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codeName="EstaPastaDeTrabalho" defaultThemeVersion="202300"/>
  <mc:AlternateContent xmlns:mc="http://schemas.openxmlformats.org/markup-compatibility/2006">
    <mc:Choice Requires="x15">
      <x15ac:absPath xmlns:x15ac="http://schemas.microsoft.com/office/spreadsheetml/2010/11/ac" url="/Users/pedroorlandi/Library/Mobile Documents/com~apple~CloudDocs/Profissional/Ciklus/AppCiklus/"/>
    </mc:Choice>
  </mc:AlternateContent>
  <xr:revisionPtr revIDLastSave="0" documentId="13_ncr:1_{E93463EB-76C1-C44E-B95D-F6AD4C01375F}" xr6:coauthVersionLast="47" xr6:coauthVersionMax="47" xr10:uidLastSave="{00000000-0000-0000-0000-000000000000}"/>
  <bookViews>
    <workbookView xWindow="-34020" yWindow="1560" windowWidth="28520" windowHeight="17200" activeTab="4" xr2:uid="{6769B887-F9BA-5446-B8BE-54D27266DAF6}"/>
  </bookViews>
  <sheets>
    <sheet name="Usuários" sheetId="21" r:id="rId1"/>
    <sheet name="Planejamento" sheetId="22" r:id="rId2"/>
    <sheet name="Membros" sheetId="1" r:id="rId3"/>
    <sheet name="Imóveis" sheetId="24" r:id="rId4"/>
    <sheet name="Investimentos" sheetId="30" r:id="rId5"/>
    <sheet name="Receitas" sheetId="2" r:id="rId6"/>
    <sheet name="Despesas" sheetId="16" r:id="rId7"/>
    <sheet name="Projetos" sheetId="7" r:id="rId8"/>
    <sheet name="Auxiliar_Projetos" sheetId="27" r:id="rId9"/>
    <sheet name="Dados" sheetId="14" r:id="rId10"/>
    <sheet name="Gráfico" sheetId="15" r:id="rId11"/>
    <sheet name="Listas" sheetId="10" r:id="rId12"/>
    <sheet name="Parametros_Portfolio" sheetId="29" r:id="rId13"/>
    <sheet name="Indicadores_Economicos" sheetId="8" r:id="rId14"/>
  </sheets>
  <externalReferences>
    <externalReference r:id="rId15"/>
  </externalReferences>
  <definedNames>
    <definedName name="_xlnm._FilterDatabase" localSheetId="9" hidden="1">Dados!$A$1:$Z$1200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5" i="30" l="1"/>
  <c r="AG36" i="30"/>
  <c r="AG37" i="30"/>
  <c r="AG38" i="30"/>
  <c r="AG39" i="30"/>
  <c r="AG40" i="30"/>
  <c r="AG41" i="30"/>
  <c r="AG42" i="30"/>
  <c r="AG43" i="30"/>
  <c r="AG44" i="30"/>
  <c r="AG45" i="30"/>
  <c r="AG46" i="30"/>
  <c r="AG47" i="30"/>
  <c r="AG48" i="30"/>
  <c r="AG49" i="30"/>
  <c r="AG50" i="30"/>
  <c r="AG51" i="30"/>
  <c r="AG52" i="30"/>
  <c r="AG53" i="30"/>
  <c r="AG54" i="30"/>
  <c r="AG55" i="30"/>
  <c r="AG56" i="30"/>
  <c r="AG57" i="30"/>
  <c r="AG58" i="30"/>
  <c r="AG59" i="30"/>
  <c r="AG60" i="30"/>
  <c r="AG61" i="30"/>
  <c r="AG62" i="30"/>
  <c r="AG63" i="30"/>
  <c r="AG64" i="30"/>
  <c r="AG65" i="30"/>
  <c r="AG66" i="30"/>
  <c r="AG67" i="30"/>
  <c r="AG68" i="30"/>
  <c r="AG69" i="30"/>
  <c r="AC1" i="10" l="1"/>
  <c r="B10" i="30" s="1" a="1"/>
  <c r="B10" i="30" s="1"/>
  <c r="T2" i="30" l="1" a="1"/>
  <c r="AG3" i="30" s="1"/>
  <c r="P25" i="30"/>
  <c r="P24" i="30"/>
  <c r="P23" i="30"/>
  <c r="P22" i="30"/>
  <c r="P21" i="30"/>
  <c r="P20" i="30"/>
  <c r="P19" i="30"/>
  <c r="P18" i="30"/>
  <c r="P17" i="30"/>
  <c r="P13" i="30"/>
  <c r="P12" i="30"/>
  <c r="P8" i="30"/>
  <c r="P7" i="30"/>
  <c r="P3" i="30"/>
  <c r="P4" i="30" s="1"/>
  <c r="O4" i="30"/>
  <c r="W1" i="10" a="1"/>
  <c r="W1" i="10" s="1"/>
  <c r="J44" i="29"/>
  <c r="K44" i="29" s="1"/>
  <c r="I44" i="29"/>
  <c r="J43" i="29"/>
  <c r="K43" i="29" s="1"/>
  <c r="I43" i="29"/>
  <c r="J42" i="29"/>
  <c r="I42" i="29" s="1"/>
  <c r="J41" i="29"/>
  <c r="K41" i="29" s="1"/>
  <c r="I41" i="29"/>
  <c r="J40" i="29"/>
  <c r="K40" i="29" s="1"/>
  <c r="I40" i="29"/>
  <c r="K39" i="29"/>
  <c r="J39" i="29"/>
  <c r="I39" i="29"/>
  <c r="J38" i="29"/>
  <c r="K38" i="29" s="1"/>
  <c r="I38" i="29"/>
  <c r="J37" i="29"/>
  <c r="K37" i="29" s="1"/>
  <c r="I37" i="29"/>
  <c r="J36" i="29"/>
  <c r="K36" i="29" s="1"/>
  <c r="I36" i="29"/>
  <c r="J35" i="29"/>
  <c r="K35" i="29" s="1"/>
  <c r="I35" i="29"/>
  <c r="J34" i="29"/>
  <c r="I34" i="29" s="1"/>
  <c r="J33" i="29"/>
  <c r="K33" i="29" s="1"/>
  <c r="I33" i="29"/>
  <c r="J32" i="29"/>
  <c r="K32" i="29" s="1"/>
  <c r="I32" i="29"/>
  <c r="K31" i="29"/>
  <c r="J31" i="29"/>
  <c r="I31" i="29"/>
  <c r="J30" i="29"/>
  <c r="K30" i="29" s="1"/>
  <c r="I30" i="29"/>
  <c r="J29" i="29"/>
  <c r="K29" i="29" s="1"/>
  <c r="I29" i="29"/>
  <c r="J28" i="29"/>
  <c r="K28" i="29" s="1"/>
  <c r="I28" i="29"/>
  <c r="J27" i="29"/>
  <c r="K27" i="29" s="1"/>
  <c r="I27" i="29"/>
  <c r="J26" i="29"/>
  <c r="I26" i="29" s="1"/>
  <c r="G26" i="29"/>
  <c r="J25" i="29"/>
  <c r="K25" i="29" s="1"/>
  <c r="I25" i="29"/>
  <c r="J24" i="29"/>
  <c r="K24" i="29" s="1"/>
  <c r="I24" i="29"/>
  <c r="J23" i="29"/>
  <c r="K23" i="29" s="1"/>
  <c r="I23" i="29"/>
  <c r="J22" i="29"/>
  <c r="K22" i="29" s="1"/>
  <c r="I22" i="29"/>
  <c r="J21" i="29"/>
  <c r="I21" i="29" s="1"/>
  <c r="J20" i="29"/>
  <c r="K20" i="29" s="1"/>
  <c r="I20" i="29"/>
  <c r="J19" i="29"/>
  <c r="K19" i="29" s="1"/>
  <c r="I19" i="29"/>
  <c r="K18" i="29"/>
  <c r="J18" i="29"/>
  <c r="I18" i="29"/>
  <c r="J17" i="29"/>
  <c r="K17" i="29" s="1"/>
  <c r="I17" i="29"/>
  <c r="J16" i="29"/>
  <c r="K16" i="29" s="1"/>
  <c r="I16" i="29"/>
  <c r="J15" i="29"/>
  <c r="K15" i="29" s="1"/>
  <c r="I15" i="29"/>
  <c r="J14" i="29"/>
  <c r="K14" i="29" s="1"/>
  <c r="I14" i="29"/>
  <c r="J13" i="29"/>
  <c r="I13" i="29" s="1"/>
  <c r="J12" i="29"/>
  <c r="K12" i="29" s="1"/>
  <c r="I12" i="29"/>
  <c r="J11" i="29"/>
  <c r="K11" i="29" s="1"/>
  <c r="I11" i="29"/>
  <c r="K10" i="29"/>
  <c r="J10" i="29"/>
  <c r="I10" i="29"/>
  <c r="J9" i="29"/>
  <c r="K9" i="29" s="1"/>
  <c r="I9" i="29"/>
  <c r="J8" i="29"/>
  <c r="K8" i="29" s="1"/>
  <c r="I8" i="29"/>
  <c r="J7" i="29"/>
  <c r="K7" i="29" s="1"/>
  <c r="I7" i="29"/>
  <c r="J6" i="29"/>
  <c r="K6" i="29" s="1"/>
  <c r="I6" i="29"/>
  <c r="J5" i="29"/>
  <c r="I5" i="29" s="1"/>
  <c r="J4" i="29"/>
  <c r="K4" i="29" s="1"/>
  <c r="I4" i="29"/>
  <c r="J3" i="29"/>
  <c r="K3" i="29" s="1"/>
  <c r="I3" i="29"/>
  <c r="K2" i="29"/>
  <c r="J2" i="29"/>
  <c r="I2" i="29"/>
  <c r="AG27" i="30" l="1"/>
  <c r="AG25" i="30"/>
  <c r="AG23" i="30"/>
  <c r="AG21" i="30"/>
  <c r="AG19" i="30"/>
  <c r="AG17" i="30"/>
  <c r="AG15" i="30"/>
  <c r="AG13" i="30"/>
  <c r="AG11" i="30"/>
  <c r="AG9" i="30"/>
  <c r="AG7" i="30"/>
  <c r="AG5" i="30"/>
  <c r="AG34" i="30"/>
  <c r="AG30" i="30"/>
  <c r="AG24" i="30"/>
  <c r="AG20" i="30"/>
  <c r="AG16" i="30"/>
  <c r="AG10" i="30"/>
  <c r="AG6" i="30"/>
  <c r="AG4" i="30"/>
  <c r="AG32" i="30"/>
  <c r="AG28" i="30"/>
  <c r="AG26" i="30"/>
  <c r="AG22" i="30"/>
  <c r="AG18" i="30"/>
  <c r="AG14" i="30"/>
  <c r="AG12" i="30"/>
  <c r="AG8" i="30"/>
  <c r="T2" i="30"/>
  <c r="AG33" i="30"/>
  <c r="AG31" i="30"/>
  <c r="AG29" i="30"/>
  <c r="P26" i="30"/>
  <c r="P14" i="30"/>
  <c r="P9" i="30"/>
  <c r="O3" i="30"/>
  <c r="C13" i="30"/>
  <c r="K26" i="29"/>
  <c r="K42" i="29"/>
  <c r="K5" i="29"/>
  <c r="K13" i="29"/>
  <c r="K21" i="29"/>
  <c r="K34" i="29"/>
  <c r="W3" i="14"/>
  <c r="W4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40" i="14"/>
  <c r="W41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66" i="14"/>
  <c r="W67" i="14"/>
  <c r="W68" i="14"/>
  <c r="W69" i="14"/>
  <c r="W70" i="14"/>
  <c r="W71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W109" i="14"/>
  <c r="W110" i="14"/>
  <c r="W111" i="14"/>
  <c r="W112" i="14"/>
  <c r="W113" i="14"/>
  <c r="W114" i="14"/>
  <c r="W115" i="14"/>
  <c r="W116" i="14"/>
  <c r="W117" i="14"/>
  <c r="W118" i="14"/>
  <c r="W119" i="14"/>
  <c r="W120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W147" i="14"/>
  <c r="W148" i="14"/>
  <c r="W149" i="14"/>
  <c r="W150" i="14"/>
  <c r="W151" i="14"/>
  <c r="W152" i="14"/>
  <c r="W153" i="14"/>
  <c r="W154" i="14"/>
  <c r="W155" i="14"/>
  <c r="W156" i="14"/>
  <c r="W157" i="14"/>
  <c r="W158" i="14"/>
  <c r="W159" i="14"/>
  <c r="W160" i="14"/>
  <c r="W161" i="14"/>
  <c r="W162" i="14"/>
  <c r="W163" i="14"/>
  <c r="W164" i="14"/>
  <c r="W165" i="14"/>
  <c r="W166" i="14"/>
  <c r="W167" i="14"/>
  <c r="W168" i="14"/>
  <c r="W169" i="14"/>
  <c r="W170" i="14"/>
  <c r="W171" i="14"/>
  <c r="W172" i="14"/>
  <c r="W173" i="14"/>
  <c r="W174" i="14"/>
  <c r="W175" i="14"/>
  <c r="W176" i="14"/>
  <c r="W177" i="14"/>
  <c r="W178" i="14"/>
  <c r="W179" i="14"/>
  <c r="W180" i="14"/>
  <c r="W181" i="14"/>
  <c r="W182" i="14"/>
  <c r="W183" i="14"/>
  <c r="W184" i="14"/>
  <c r="W185" i="14"/>
  <c r="W186" i="14"/>
  <c r="W187" i="14"/>
  <c r="W188" i="14"/>
  <c r="W189" i="14"/>
  <c r="W190" i="14"/>
  <c r="W191" i="14"/>
  <c r="W192" i="14"/>
  <c r="W193" i="14"/>
  <c r="W194" i="14"/>
  <c r="W195" i="14"/>
  <c r="W196" i="14"/>
  <c r="W197" i="14"/>
  <c r="W198" i="14"/>
  <c r="W199" i="14"/>
  <c r="W200" i="14"/>
  <c r="W201" i="14"/>
  <c r="W202" i="14"/>
  <c r="W203" i="14"/>
  <c r="W204" i="14"/>
  <c r="W206" i="14"/>
  <c r="W207" i="14"/>
  <c r="W208" i="14"/>
  <c r="W209" i="14"/>
  <c r="W210" i="14"/>
  <c r="W211" i="14"/>
  <c r="W212" i="14"/>
  <c r="W213" i="14"/>
  <c r="W214" i="14"/>
  <c r="W215" i="14"/>
  <c r="W216" i="14"/>
  <c r="W217" i="14"/>
  <c r="W218" i="14"/>
  <c r="W219" i="14"/>
  <c r="W220" i="14"/>
  <c r="W221" i="14"/>
  <c r="W222" i="14"/>
  <c r="W223" i="14"/>
  <c r="W224" i="14"/>
  <c r="W225" i="14"/>
  <c r="W226" i="14"/>
  <c r="W227" i="14"/>
  <c r="W228" i="14"/>
  <c r="W229" i="14"/>
  <c r="W230" i="14"/>
  <c r="W231" i="14"/>
  <c r="W232" i="14"/>
  <c r="W233" i="14"/>
  <c r="W234" i="14"/>
  <c r="W235" i="14"/>
  <c r="W236" i="14"/>
  <c r="W237" i="14"/>
  <c r="W238" i="14"/>
  <c r="W239" i="14"/>
  <c r="W240" i="14"/>
  <c r="W241" i="14"/>
  <c r="W242" i="14"/>
  <c r="W243" i="14"/>
  <c r="W244" i="14"/>
  <c r="W245" i="14"/>
  <c r="W246" i="14"/>
  <c r="W247" i="14"/>
  <c r="W248" i="14"/>
  <c r="W249" i="14"/>
  <c r="W250" i="14"/>
  <c r="W251" i="14"/>
  <c r="W252" i="14"/>
  <c r="W253" i="14"/>
  <c r="W254" i="14"/>
  <c r="W255" i="14"/>
  <c r="W256" i="14"/>
  <c r="W257" i="14"/>
  <c r="W258" i="14"/>
  <c r="W259" i="14"/>
  <c r="W260" i="14"/>
  <c r="W261" i="14"/>
  <c r="W262" i="14"/>
  <c r="W263" i="14"/>
  <c r="W264" i="14"/>
  <c r="W265" i="14"/>
  <c r="W266" i="14"/>
  <c r="W267" i="14"/>
  <c r="W268" i="14"/>
  <c r="W269" i="14"/>
  <c r="W270" i="14"/>
  <c r="W271" i="14"/>
  <c r="W272" i="14"/>
  <c r="W273" i="14"/>
  <c r="W274" i="14"/>
  <c r="W275" i="14"/>
  <c r="W276" i="14"/>
  <c r="W277" i="14"/>
  <c r="W278" i="14"/>
  <c r="W279" i="14"/>
  <c r="W280" i="14"/>
  <c r="W281" i="14"/>
  <c r="W282" i="14"/>
  <c r="W283" i="14"/>
  <c r="W284" i="14"/>
  <c r="W285" i="14"/>
  <c r="W286" i="14"/>
  <c r="W287" i="14"/>
  <c r="W288" i="14"/>
  <c r="W289" i="14"/>
  <c r="W290" i="14"/>
  <c r="W291" i="14"/>
  <c r="W292" i="14"/>
  <c r="W293" i="14"/>
  <c r="W294" i="14"/>
  <c r="W295" i="14"/>
  <c r="W296" i="14"/>
  <c r="W297" i="14"/>
  <c r="W298" i="14"/>
  <c r="W299" i="14"/>
  <c r="W300" i="14"/>
  <c r="W301" i="14"/>
  <c r="W302" i="14"/>
  <c r="W303" i="14"/>
  <c r="W304" i="14"/>
  <c r="W305" i="14"/>
  <c r="W306" i="14"/>
  <c r="W307" i="14"/>
  <c r="W308" i="14"/>
  <c r="W309" i="14"/>
  <c r="W310" i="14"/>
  <c r="W311" i="14"/>
  <c r="W312" i="14"/>
  <c r="W313" i="14"/>
  <c r="W314" i="14"/>
  <c r="W315" i="14"/>
  <c r="W316" i="14"/>
  <c r="W317" i="14"/>
  <c r="W318" i="14"/>
  <c r="W319" i="14"/>
  <c r="W320" i="14"/>
  <c r="W321" i="14"/>
  <c r="W322" i="14"/>
  <c r="W323" i="14"/>
  <c r="W324" i="14"/>
  <c r="W325" i="14"/>
  <c r="W326" i="14"/>
  <c r="W327" i="14"/>
  <c r="W328" i="14"/>
  <c r="W329" i="14"/>
  <c r="W330" i="14"/>
  <c r="W331" i="14"/>
  <c r="W332" i="14"/>
  <c r="W333" i="14"/>
  <c r="W334" i="14"/>
  <c r="W335" i="14"/>
  <c r="W336" i="14"/>
  <c r="W337" i="14"/>
  <c r="W338" i="14"/>
  <c r="W339" i="14"/>
  <c r="W340" i="14"/>
  <c r="W341" i="14"/>
  <c r="W342" i="14"/>
  <c r="W343" i="14"/>
  <c r="W344" i="14"/>
  <c r="W345" i="14"/>
  <c r="W346" i="14"/>
  <c r="W347" i="14"/>
  <c r="W348" i="14"/>
  <c r="W349" i="14"/>
  <c r="W350" i="14"/>
  <c r="W351" i="14"/>
  <c r="W352" i="14"/>
  <c r="W353" i="14"/>
  <c r="W354" i="14"/>
  <c r="W355" i="14"/>
  <c r="W356" i="14"/>
  <c r="W357" i="14"/>
  <c r="W358" i="14"/>
  <c r="W359" i="14"/>
  <c r="W360" i="14"/>
  <c r="W361" i="14"/>
  <c r="W362" i="14"/>
  <c r="W363" i="14"/>
  <c r="W364" i="14"/>
  <c r="W365" i="14"/>
  <c r="W366" i="14"/>
  <c r="W367" i="14"/>
  <c r="W368" i="14"/>
  <c r="W369" i="14"/>
  <c r="W370" i="14"/>
  <c r="W371" i="14"/>
  <c r="W372" i="14"/>
  <c r="W373" i="14"/>
  <c r="W374" i="14"/>
  <c r="W375" i="14"/>
  <c r="W376" i="14"/>
  <c r="W377" i="14"/>
  <c r="W378" i="14"/>
  <c r="W379" i="14"/>
  <c r="W380" i="14"/>
  <c r="W381" i="14"/>
  <c r="W382" i="14"/>
  <c r="W383" i="14"/>
  <c r="W384" i="14"/>
  <c r="W385" i="14"/>
  <c r="W386" i="14"/>
  <c r="W387" i="14"/>
  <c r="W388" i="14"/>
  <c r="W389" i="14"/>
  <c r="W390" i="14"/>
  <c r="W391" i="14"/>
  <c r="W392" i="14"/>
  <c r="W393" i="14"/>
  <c r="W394" i="14"/>
  <c r="W395" i="14"/>
  <c r="W396" i="14"/>
  <c r="W397" i="14"/>
  <c r="W398" i="14"/>
  <c r="W399" i="14"/>
  <c r="W400" i="14"/>
  <c r="W401" i="14"/>
  <c r="W402" i="14"/>
  <c r="W403" i="14"/>
  <c r="W404" i="14"/>
  <c r="W405" i="14"/>
  <c r="W406" i="14"/>
  <c r="W407" i="14"/>
  <c r="W408" i="14"/>
  <c r="W409" i="14"/>
  <c r="W410" i="14"/>
  <c r="W411" i="14"/>
  <c r="W412" i="14"/>
  <c r="W413" i="14"/>
  <c r="W414" i="14"/>
  <c r="W415" i="14"/>
  <c r="W416" i="14"/>
  <c r="W417" i="14"/>
  <c r="W418" i="14"/>
  <c r="W419" i="14"/>
  <c r="W420" i="14"/>
  <c r="W421" i="14"/>
  <c r="W422" i="14"/>
  <c r="W423" i="14"/>
  <c r="W424" i="14"/>
  <c r="W425" i="14"/>
  <c r="W426" i="14"/>
  <c r="W427" i="14"/>
  <c r="W428" i="14"/>
  <c r="W429" i="14"/>
  <c r="W430" i="14"/>
  <c r="W431" i="14"/>
  <c r="W432" i="14"/>
  <c r="W433" i="14"/>
  <c r="W434" i="14"/>
  <c r="W435" i="14"/>
  <c r="W436" i="14"/>
  <c r="W437" i="14"/>
  <c r="W438" i="14"/>
  <c r="W439" i="14"/>
  <c r="W440" i="14"/>
  <c r="W441" i="14"/>
  <c r="W442" i="14"/>
  <c r="W443" i="14"/>
  <c r="W444" i="14"/>
  <c r="W445" i="14"/>
  <c r="W446" i="14"/>
  <c r="W447" i="14"/>
  <c r="W448" i="14"/>
  <c r="W449" i="14"/>
  <c r="W450" i="14"/>
  <c r="W451" i="14"/>
  <c r="W452" i="14"/>
  <c r="W453" i="14"/>
  <c r="W454" i="14"/>
  <c r="W455" i="14"/>
  <c r="W456" i="14"/>
  <c r="W457" i="14"/>
  <c r="W458" i="14"/>
  <c r="W459" i="14"/>
  <c r="W460" i="14"/>
  <c r="W461" i="14"/>
  <c r="W462" i="14"/>
  <c r="W463" i="14"/>
  <c r="W464" i="14"/>
  <c r="W465" i="14"/>
  <c r="W466" i="14"/>
  <c r="W467" i="14"/>
  <c r="W468" i="14"/>
  <c r="W469" i="14"/>
  <c r="W470" i="14"/>
  <c r="W471" i="14"/>
  <c r="W472" i="14"/>
  <c r="W473" i="14"/>
  <c r="W474" i="14"/>
  <c r="W475" i="14"/>
  <c r="W476" i="14"/>
  <c r="W477" i="14"/>
  <c r="W478" i="14"/>
  <c r="W479" i="14"/>
  <c r="W480" i="14"/>
  <c r="W481" i="14"/>
  <c r="W482" i="14"/>
  <c r="W483" i="14"/>
  <c r="W484" i="14"/>
  <c r="W485" i="14"/>
  <c r="W486" i="14"/>
  <c r="W487" i="14"/>
  <c r="W488" i="14"/>
  <c r="W489" i="14"/>
  <c r="W490" i="14"/>
  <c r="W491" i="14"/>
  <c r="W492" i="14"/>
  <c r="W493" i="14"/>
  <c r="W494" i="14"/>
  <c r="W495" i="14"/>
  <c r="W496" i="14"/>
  <c r="W497" i="14"/>
  <c r="W498" i="14"/>
  <c r="W499" i="14"/>
  <c r="W500" i="14"/>
  <c r="W501" i="14"/>
  <c r="W502" i="14"/>
  <c r="W503" i="14"/>
  <c r="W504" i="14"/>
  <c r="W505" i="14"/>
  <c r="W506" i="14"/>
  <c r="W507" i="14"/>
  <c r="W508" i="14"/>
  <c r="W509" i="14"/>
  <c r="W510" i="14"/>
  <c r="W511" i="14"/>
  <c r="W512" i="14"/>
  <c r="W513" i="14"/>
  <c r="W514" i="14"/>
  <c r="W515" i="14"/>
  <c r="W516" i="14"/>
  <c r="W517" i="14"/>
  <c r="W518" i="14"/>
  <c r="W519" i="14"/>
  <c r="W520" i="14"/>
  <c r="W521" i="14"/>
  <c r="W522" i="14"/>
  <c r="W523" i="14"/>
  <c r="W524" i="14"/>
  <c r="W525" i="14"/>
  <c r="W526" i="14"/>
  <c r="W527" i="14"/>
  <c r="W528" i="14"/>
  <c r="W529" i="14"/>
  <c r="W530" i="14"/>
  <c r="W531" i="14"/>
  <c r="W532" i="14"/>
  <c r="W533" i="14"/>
  <c r="W534" i="14"/>
  <c r="W535" i="14"/>
  <c r="W536" i="14"/>
  <c r="W537" i="14"/>
  <c r="W538" i="14"/>
  <c r="W539" i="14"/>
  <c r="W540" i="14"/>
  <c r="W541" i="14"/>
  <c r="W542" i="14"/>
  <c r="W543" i="14"/>
  <c r="W544" i="14"/>
  <c r="W545" i="14"/>
  <c r="W546" i="14"/>
  <c r="W547" i="14"/>
  <c r="W548" i="14"/>
  <c r="W549" i="14"/>
  <c r="W550" i="14"/>
  <c r="W551" i="14"/>
  <c r="W552" i="14"/>
  <c r="W553" i="14"/>
  <c r="W554" i="14"/>
  <c r="W555" i="14"/>
  <c r="W556" i="14"/>
  <c r="W557" i="14"/>
  <c r="W558" i="14"/>
  <c r="W559" i="14"/>
  <c r="W560" i="14"/>
  <c r="W561" i="14"/>
  <c r="W562" i="14"/>
  <c r="W563" i="14"/>
  <c r="W564" i="14"/>
  <c r="W565" i="14"/>
  <c r="W566" i="14"/>
  <c r="W567" i="14"/>
  <c r="W568" i="14"/>
  <c r="W569" i="14"/>
  <c r="W570" i="14"/>
  <c r="W571" i="14"/>
  <c r="W572" i="14"/>
  <c r="W573" i="14"/>
  <c r="W574" i="14"/>
  <c r="W575" i="14"/>
  <c r="W576" i="14"/>
  <c r="W577" i="14"/>
  <c r="W578" i="14"/>
  <c r="W579" i="14"/>
  <c r="W580" i="14"/>
  <c r="W581" i="14"/>
  <c r="W582" i="14"/>
  <c r="W583" i="14"/>
  <c r="W584" i="14"/>
  <c r="W585" i="14"/>
  <c r="W586" i="14"/>
  <c r="W587" i="14"/>
  <c r="W588" i="14"/>
  <c r="W589" i="14"/>
  <c r="W590" i="14"/>
  <c r="W591" i="14"/>
  <c r="W592" i="14"/>
  <c r="W593" i="14"/>
  <c r="W594" i="14"/>
  <c r="W595" i="14"/>
  <c r="W596" i="14"/>
  <c r="W597" i="14"/>
  <c r="W598" i="14"/>
  <c r="W599" i="14"/>
  <c r="W600" i="14"/>
  <c r="W601" i="14"/>
  <c r="W602" i="14"/>
  <c r="W603" i="14"/>
  <c r="W604" i="14"/>
  <c r="W605" i="14"/>
  <c r="W606" i="14"/>
  <c r="W607" i="14"/>
  <c r="W608" i="14"/>
  <c r="W609" i="14"/>
  <c r="W610" i="14"/>
  <c r="W611" i="14"/>
  <c r="W612" i="14"/>
  <c r="W613" i="14"/>
  <c r="W614" i="14"/>
  <c r="W615" i="14"/>
  <c r="W616" i="14"/>
  <c r="W617" i="14"/>
  <c r="W618" i="14"/>
  <c r="W619" i="14"/>
  <c r="W620" i="14"/>
  <c r="W621" i="14"/>
  <c r="W622" i="14"/>
  <c r="W623" i="14"/>
  <c r="W624" i="14"/>
  <c r="W625" i="14"/>
  <c r="W626" i="14"/>
  <c r="W627" i="14"/>
  <c r="W628" i="14"/>
  <c r="W629" i="14"/>
  <c r="W630" i="14"/>
  <c r="W631" i="14"/>
  <c r="W632" i="14"/>
  <c r="W633" i="14"/>
  <c r="W634" i="14"/>
  <c r="W635" i="14"/>
  <c r="W636" i="14"/>
  <c r="W637" i="14"/>
  <c r="W638" i="14"/>
  <c r="W639" i="14"/>
  <c r="W640" i="14"/>
  <c r="W641" i="14"/>
  <c r="W642" i="14"/>
  <c r="W643" i="14"/>
  <c r="W644" i="14"/>
  <c r="W645" i="14"/>
  <c r="W646" i="14"/>
  <c r="W647" i="14"/>
  <c r="W648" i="14"/>
  <c r="W649" i="14"/>
  <c r="W650" i="14"/>
  <c r="W651" i="14"/>
  <c r="W652" i="14"/>
  <c r="W653" i="14"/>
  <c r="W654" i="14"/>
  <c r="W655" i="14"/>
  <c r="W656" i="14"/>
  <c r="W657" i="14"/>
  <c r="W658" i="14"/>
  <c r="W659" i="14"/>
  <c r="W660" i="14"/>
  <c r="W661" i="14"/>
  <c r="W662" i="14"/>
  <c r="W663" i="14"/>
  <c r="W664" i="14"/>
  <c r="W665" i="14"/>
  <c r="W666" i="14"/>
  <c r="W667" i="14"/>
  <c r="W668" i="14"/>
  <c r="W669" i="14"/>
  <c r="W670" i="14"/>
  <c r="W671" i="14"/>
  <c r="W672" i="14"/>
  <c r="W673" i="14"/>
  <c r="W674" i="14"/>
  <c r="W675" i="14"/>
  <c r="W676" i="14"/>
  <c r="W677" i="14"/>
  <c r="W678" i="14"/>
  <c r="W679" i="14"/>
  <c r="W680" i="14"/>
  <c r="W681" i="14"/>
  <c r="W682" i="14"/>
  <c r="W683" i="14"/>
  <c r="W684" i="14"/>
  <c r="W685" i="14"/>
  <c r="W686" i="14"/>
  <c r="W687" i="14"/>
  <c r="W688" i="14"/>
  <c r="W689" i="14"/>
  <c r="W690" i="14"/>
  <c r="W691" i="14"/>
  <c r="W692" i="14"/>
  <c r="W693" i="14"/>
  <c r="W694" i="14"/>
  <c r="W695" i="14"/>
  <c r="W696" i="14"/>
  <c r="W697" i="14"/>
  <c r="W698" i="14"/>
  <c r="W699" i="14"/>
  <c r="W700" i="14"/>
  <c r="W701" i="14"/>
  <c r="W702" i="14"/>
  <c r="W703" i="14"/>
  <c r="W704" i="14"/>
  <c r="W705" i="14"/>
  <c r="W706" i="14"/>
  <c r="W707" i="14"/>
  <c r="W708" i="14"/>
  <c r="W709" i="14"/>
  <c r="W710" i="14"/>
  <c r="W711" i="14"/>
  <c r="W712" i="14"/>
  <c r="W713" i="14"/>
  <c r="W714" i="14"/>
  <c r="W715" i="14"/>
  <c r="W716" i="14"/>
  <c r="W717" i="14"/>
  <c r="W718" i="14"/>
  <c r="W719" i="14"/>
  <c r="W720" i="14"/>
  <c r="W721" i="14"/>
  <c r="W722" i="14"/>
  <c r="W723" i="14"/>
  <c r="W724" i="14"/>
  <c r="W725" i="14"/>
  <c r="W726" i="14"/>
  <c r="W727" i="14"/>
  <c r="W728" i="14"/>
  <c r="W729" i="14"/>
  <c r="W730" i="14"/>
  <c r="W731" i="14"/>
  <c r="W732" i="14"/>
  <c r="W733" i="14"/>
  <c r="W734" i="14"/>
  <c r="W735" i="14"/>
  <c r="W736" i="14"/>
  <c r="W737" i="14"/>
  <c r="W738" i="14"/>
  <c r="W739" i="14"/>
  <c r="W740" i="14"/>
  <c r="W741" i="14"/>
  <c r="W742" i="14"/>
  <c r="W743" i="14"/>
  <c r="W744" i="14"/>
  <c r="W745" i="14"/>
  <c r="W746" i="14"/>
  <c r="W747" i="14"/>
  <c r="W748" i="14"/>
  <c r="W749" i="14"/>
  <c r="W750" i="14"/>
  <c r="W751" i="14"/>
  <c r="W752" i="14"/>
  <c r="W753" i="14"/>
  <c r="W754" i="14"/>
  <c r="W755" i="14"/>
  <c r="W756" i="14"/>
  <c r="W757" i="14"/>
  <c r="W758" i="14"/>
  <c r="W759" i="14"/>
  <c r="W760" i="14"/>
  <c r="W761" i="14"/>
  <c r="W762" i="14"/>
  <c r="W763" i="14"/>
  <c r="W764" i="14"/>
  <c r="W765" i="14"/>
  <c r="W766" i="14"/>
  <c r="W767" i="14"/>
  <c r="W768" i="14"/>
  <c r="W769" i="14"/>
  <c r="W770" i="14"/>
  <c r="W771" i="14"/>
  <c r="W772" i="14"/>
  <c r="W773" i="14"/>
  <c r="W774" i="14"/>
  <c r="W775" i="14"/>
  <c r="W776" i="14"/>
  <c r="W777" i="14"/>
  <c r="W778" i="14"/>
  <c r="W779" i="14"/>
  <c r="W780" i="14"/>
  <c r="W781" i="14"/>
  <c r="W782" i="14"/>
  <c r="W783" i="14"/>
  <c r="W784" i="14"/>
  <c r="W785" i="14"/>
  <c r="W786" i="14"/>
  <c r="W787" i="14"/>
  <c r="W788" i="14"/>
  <c r="W789" i="14"/>
  <c r="W790" i="14"/>
  <c r="W791" i="14"/>
  <c r="W792" i="14"/>
  <c r="W793" i="14"/>
  <c r="W794" i="14"/>
  <c r="W795" i="14"/>
  <c r="W796" i="14"/>
  <c r="W797" i="14"/>
  <c r="W798" i="14"/>
  <c r="W799" i="14"/>
  <c r="W800" i="14"/>
  <c r="W801" i="14"/>
  <c r="W802" i="14"/>
  <c r="W803" i="14"/>
  <c r="W804" i="14"/>
  <c r="W805" i="14"/>
  <c r="W806" i="14"/>
  <c r="W807" i="14"/>
  <c r="W808" i="14"/>
  <c r="W809" i="14"/>
  <c r="W810" i="14"/>
  <c r="W811" i="14"/>
  <c r="W812" i="14"/>
  <c r="W813" i="14"/>
  <c r="W814" i="14"/>
  <c r="W815" i="14"/>
  <c r="W816" i="14"/>
  <c r="W817" i="14"/>
  <c r="W818" i="14"/>
  <c r="W819" i="14"/>
  <c r="W820" i="14"/>
  <c r="W821" i="14"/>
  <c r="W822" i="14"/>
  <c r="W823" i="14"/>
  <c r="W824" i="14"/>
  <c r="W825" i="14"/>
  <c r="W826" i="14"/>
  <c r="W827" i="14"/>
  <c r="W828" i="14"/>
  <c r="W829" i="14"/>
  <c r="W830" i="14"/>
  <c r="W831" i="14"/>
  <c r="W832" i="14"/>
  <c r="W833" i="14"/>
  <c r="W834" i="14"/>
  <c r="W835" i="14"/>
  <c r="W836" i="14"/>
  <c r="W837" i="14"/>
  <c r="W838" i="14"/>
  <c r="W839" i="14"/>
  <c r="W840" i="14"/>
  <c r="W841" i="14"/>
  <c r="W842" i="14"/>
  <c r="W843" i="14"/>
  <c r="W844" i="14"/>
  <c r="W845" i="14"/>
  <c r="W846" i="14"/>
  <c r="W847" i="14"/>
  <c r="W848" i="14"/>
  <c r="W849" i="14"/>
  <c r="W850" i="14"/>
  <c r="W851" i="14"/>
  <c r="W852" i="14"/>
  <c r="W853" i="14"/>
  <c r="W854" i="14"/>
  <c r="W855" i="14"/>
  <c r="W856" i="14"/>
  <c r="W857" i="14"/>
  <c r="W858" i="14"/>
  <c r="W859" i="14"/>
  <c r="W860" i="14"/>
  <c r="W861" i="14"/>
  <c r="W862" i="14"/>
  <c r="W863" i="14"/>
  <c r="W864" i="14"/>
  <c r="W865" i="14"/>
  <c r="W866" i="14"/>
  <c r="W867" i="14"/>
  <c r="W868" i="14"/>
  <c r="W869" i="14"/>
  <c r="W870" i="14"/>
  <c r="W871" i="14"/>
  <c r="W872" i="14"/>
  <c r="W873" i="14"/>
  <c r="W874" i="14"/>
  <c r="W875" i="14"/>
  <c r="W876" i="14"/>
  <c r="W877" i="14"/>
  <c r="W878" i="14"/>
  <c r="W879" i="14"/>
  <c r="W880" i="14"/>
  <c r="W881" i="14"/>
  <c r="W882" i="14"/>
  <c r="W883" i="14"/>
  <c r="W884" i="14"/>
  <c r="W885" i="14"/>
  <c r="W886" i="14"/>
  <c r="W887" i="14"/>
  <c r="W888" i="14"/>
  <c r="W889" i="14"/>
  <c r="W890" i="14"/>
  <c r="W891" i="14"/>
  <c r="W892" i="14"/>
  <c r="W893" i="14"/>
  <c r="W894" i="14"/>
  <c r="W895" i="14"/>
  <c r="W896" i="14"/>
  <c r="W897" i="14"/>
  <c r="W898" i="14"/>
  <c r="W899" i="14"/>
  <c r="W900" i="14"/>
  <c r="W901" i="14"/>
  <c r="W902" i="14"/>
  <c r="W903" i="14"/>
  <c r="W904" i="14"/>
  <c r="W905" i="14"/>
  <c r="W906" i="14"/>
  <c r="W907" i="14"/>
  <c r="W908" i="14"/>
  <c r="W909" i="14"/>
  <c r="W910" i="14"/>
  <c r="W911" i="14"/>
  <c r="W912" i="14"/>
  <c r="W913" i="14"/>
  <c r="W914" i="14"/>
  <c r="W915" i="14"/>
  <c r="W916" i="14"/>
  <c r="W917" i="14"/>
  <c r="W918" i="14"/>
  <c r="W919" i="14"/>
  <c r="W920" i="14"/>
  <c r="W921" i="14"/>
  <c r="W922" i="14"/>
  <c r="W923" i="14"/>
  <c r="W924" i="14"/>
  <c r="W925" i="14"/>
  <c r="W926" i="14"/>
  <c r="W927" i="14"/>
  <c r="W928" i="14"/>
  <c r="W929" i="14"/>
  <c r="W930" i="14"/>
  <c r="W931" i="14"/>
  <c r="W932" i="14"/>
  <c r="W933" i="14"/>
  <c r="W934" i="14"/>
  <c r="W935" i="14"/>
  <c r="W936" i="14"/>
  <c r="W937" i="14"/>
  <c r="W938" i="14"/>
  <c r="W939" i="14"/>
  <c r="W940" i="14"/>
  <c r="W941" i="14"/>
  <c r="W942" i="14"/>
  <c r="W943" i="14"/>
  <c r="W944" i="14"/>
  <c r="W945" i="14"/>
  <c r="W946" i="14"/>
  <c r="W947" i="14"/>
  <c r="W948" i="14"/>
  <c r="W949" i="14"/>
  <c r="W950" i="14"/>
  <c r="W951" i="14"/>
  <c r="W952" i="14"/>
  <c r="W953" i="14"/>
  <c r="W954" i="14"/>
  <c r="W955" i="14"/>
  <c r="W956" i="14"/>
  <c r="W957" i="14"/>
  <c r="W958" i="14"/>
  <c r="W959" i="14"/>
  <c r="W960" i="14"/>
  <c r="W961" i="14"/>
  <c r="W962" i="14"/>
  <c r="W963" i="14"/>
  <c r="W964" i="14"/>
  <c r="W965" i="14"/>
  <c r="W966" i="14"/>
  <c r="W967" i="14"/>
  <c r="W968" i="14"/>
  <c r="W969" i="14"/>
  <c r="W970" i="14"/>
  <c r="W971" i="14"/>
  <c r="W972" i="14"/>
  <c r="W973" i="14"/>
  <c r="W974" i="14"/>
  <c r="W975" i="14"/>
  <c r="W976" i="14"/>
  <c r="W977" i="14"/>
  <c r="W978" i="14"/>
  <c r="W979" i="14"/>
  <c r="W980" i="14"/>
  <c r="W981" i="14"/>
  <c r="W982" i="14"/>
  <c r="W983" i="14"/>
  <c r="W984" i="14"/>
  <c r="W985" i="14"/>
  <c r="W986" i="14"/>
  <c r="W987" i="14"/>
  <c r="W988" i="14"/>
  <c r="W989" i="14"/>
  <c r="W990" i="14"/>
  <c r="W991" i="14"/>
  <c r="W992" i="14"/>
  <c r="W993" i="14"/>
  <c r="W994" i="14"/>
  <c r="W995" i="14"/>
  <c r="W996" i="14"/>
  <c r="W997" i="14"/>
  <c r="W998" i="14"/>
  <c r="W999" i="14"/>
  <c r="W1000" i="14"/>
  <c r="W1001" i="14"/>
  <c r="W1002" i="14"/>
  <c r="W1003" i="14"/>
  <c r="W1004" i="14"/>
  <c r="W1005" i="14"/>
  <c r="W1006" i="14"/>
  <c r="W1007" i="14"/>
  <c r="W1008" i="14"/>
  <c r="W1009" i="14"/>
  <c r="W1010" i="14"/>
  <c r="W1011" i="14"/>
  <c r="W1012" i="14"/>
  <c r="W1013" i="14"/>
  <c r="W1014" i="14"/>
  <c r="W1015" i="14"/>
  <c r="W1016" i="14"/>
  <c r="W1017" i="14"/>
  <c r="W1018" i="14"/>
  <c r="W1019" i="14"/>
  <c r="W1020" i="14"/>
  <c r="W1021" i="14"/>
  <c r="W1022" i="14"/>
  <c r="W1023" i="14"/>
  <c r="W1024" i="14"/>
  <c r="W1025" i="14"/>
  <c r="W1026" i="14"/>
  <c r="W1027" i="14"/>
  <c r="W1028" i="14"/>
  <c r="W1029" i="14"/>
  <c r="W1030" i="14"/>
  <c r="W1031" i="14"/>
  <c r="W1032" i="14"/>
  <c r="W1033" i="14"/>
  <c r="W1034" i="14"/>
  <c r="W1035" i="14"/>
  <c r="W1036" i="14"/>
  <c r="W1037" i="14"/>
  <c r="W1038" i="14"/>
  <c r="W1039" i="14"/>
  <c r="W1040" i="14"/>
  <c r="W1041" i="14"/>
  <c r="W1042" i="14"/>
  <c r="W1043" i="14"/>
  <c r="W1044" i="14"/>
  <c r="W1045" i="14"/>
  <c r="W1046" i="14"/>
  <c r="W1047" i="14"/>
  <c r="W1048" i="14"/>
  <c r="W1049" i="14"/>
  <c r="W1050" i="14"/>
  <c r="W1051" i="14"/>
  <c r="W1052" i="14"/>
  <c r="W1053" i="14"/>
  <c r="W1054" i="14"/>
  <c r="W1055" i="14"/>
  <c r="W1056" i="14"/>
  <c r="W1057" i="14"/>
  <c r="W1058" i="14"/>
  <c r="W1059" i="14"/>
  <c r="W1060" i="14"/>
  <c r="W1061" i="14"/>
  <c r="W1062" i="14"/>
  <c r="W1063" i="14"/>
  <c r="W1064" i="14"/>
  <c r="W1065" i="14"/>
  <c r="W1066" i="14"/>
  <c r="W1067" i="14"/>
  <c r="W1068" i="14"/>
  <c r="W1069" i="14"/>
  <c r="W1070" i="14"/>
  <c r="W1071" i="14"/>
  <c r="W1072" i="14"/>
  <c r="W1073" i="14"/>
  <c r="W1074" i="14"/>
  <c r="W1075" i="14"/>
  <c r="W1076" i="14"/>
  <c r="W1077" i="14"/>
  <c r="W1078" i="14"/>
  <c r="W1079" i="14"/>
  <c r="W1080" i="14"/>
  <c r="W1081" i="14"/>
  <c r="W1082" i="14"/>
  <c r="W1083" i="14"/>
  <c r="W1084" i="14"/>
  <c r="W1085" i="14"/>
  <c r="W1086" i="14"/>
  <c r="W1087" i="14"/>
  <c r="W1088" i="14"/>
  <c r="W1089" i="14"/>
  <c r="W1090" i="14"/>
  <c r="W1091" i="14"/>
  <c r="W1092" i="14"/>
  <c r="W1093" i="14"/>
  <c r="W1094" i="14"/>
  <c r="W1095" i="14"/>
  <c r="W1096" i="14"/>
  <c r="W1097" i="14"/>
  <c r="W1098" i="14"/>
  <c r="W1099" i="14"/>
  <c r="W1100" i="14"/>
  <c r="W1101" i="14"/>
  <c r="W1102" i="14"/>
  <c r="W1103" i="14"/>
  <c r="W1104" i="14"/>
  <c r="W1105" i="14"/>
  <c r="W1106" i="14"/>
  <c r="W1107" i="14"/>
  <c r="W1108" i="14"/>
  <c r="W1109" i="14"/>
  <c r="W1110" i="14"/>
  <c r="W1111" i="14"/>
  <c r="W1112" i="14"/>
  <c r="W1113" i="14"/>
  <c r="W1114" i="14"/>
  <c r="W1115" i="14"/>
  <c r="W1116" i="14"/>
  <c r="W1117" i="14"/>
  <c r="W1118" i="14"/>
  <c r="W1119" i="14"/>
  <c r="W1120" i="14"/>
  <c r="W1121" i="14"/>
  <c r="W1122" i="14"/>
  <c r="W1123" i="14"/>
  <c r="W1124" i="14"/>
  <c r="W1125" i="14"/>
  <c r="W1126" i="14"/>
  <c r="W1127" i="14"/>
  <c r="W1128" i="14"/>
  <c r="W1129" i="14"/>
  <c r="W1130" i="14"/>
  <c r="W1131" i="14"/>
  <c r="W1132" i="14"/>
  <c r="W1133" i="14"/>
  <c r="W1134" i="14"/>
  <c r="W1135" i="14"/>
  <c r="W1136" i="14"/>
  <c r="W1137" i="14"/>
  <c r="W1138" i="14"/>
  <c r="W1139" i="14"/>
  <c r="W1140" i="14"/>
  <c r="W1141" i="14"/>
  <c r="W1142" i="14"/>
  <c r="W1143" i="14"/>
  <c r="W1144" i="14"/>
  <c r="W1145" i="14"/>
  <c r="W1146" i="14"/>
  <c r="W1147" i="14"/>
  <c r="W1148" i="14"/>
  <c r="W1149" i="14"/>
  <c r="W1150" i="14"/>
  <c r="W1151" i="14"/>
  <c r="W1152" i="14"/>
  <c r="W1153" i="14"/>
  <c r="W1154" i="14"/>
  <c r="W1155" i="14"/>
  <c r="W1156" i="14"/>
  <c r="W1157" i="14"/>
  <c r="W1158" i="14"/>
  <c r="W1159" i="14"/>
  <c r="W1160" i="14"/>
  <c r="W1161" i="14"/>
  <c r="W1162" i="14"/>
  <c r="W1163" i="14"/>
  <c r="W1164" i="14"/>
  <c r="W1165" i="14"/>
  <c r="W1166" i="14"/>
  <c r="W1167" i="14"/>
  <c r="W1168" i="14"/>
  <c r="W1169" i="14"/>
  <c r="W1170" i="14"/>
  <c r="W1171" i="14"/>
  <c r="W1172" i="14"/>
  <c r="W1173" i="14"/>
  <c r="W1174" i="14"/>
  <c r="W1175" i="14"/>
  <c r="W1176" i="14"/>
  <c r="W1177" i="14"/>
  <c r="W1178" i="14"/>
  <c r="W1179" i="14"/>
  <c r="W1180" i="14"/>
  <c r="W1181" i="14"/>
  <c r="W1182" i="14"/>
  <c r="W1183" i="14"/>
  <c r="W1184" i="14"/>
  <c r="W1185" i="14"/>
  <c r="W1186" i="14"/>
  <c r="W1187" i="14"/>
  <c r="W1188" i="14"/>
  <c r="W1189" i="14"/>
  <c r="W1190" i="14"/>
  <c r="W1191" i="14"/>
  <c r="W1192" i="14"/>
  <c r="W1193" i="14"/>
  <c r="W1194" i="14"/>
  <c r="W1195" i="14"/>
  <c r="W1196" i="14"/>
  <c r="W1197" i="14"/>
  <c r="W1198" i="14"/>
  <c r="W1199" i="14"/>
  <c r="W1200" i="14"/>
  <c r="W1201" i="14"/>
  <c r="W2" i="14"/>
  <c r="J205" i="27"/>
  <c r="J206" i="27"/>
  <c r="J207" i="27"/>
  <c r="J208" i="27"/>
  <c r="J209" i="27"/>
  <c r="J210" i="27"/>
  <c r="J211" i="27"/>
  <c r="J212" i="27"/>
  <c r="J213" i="27"/>
  <c r="J214" i="27"/>
  <c r="J215" i="27"/>
  <c r="J216" i="27"/>
  <c r="J217" i="27"/>
  <c r="J218" i="27"/>
  <c r="J219" i="27"/>
  <c r="J220" i="27"/>
  <c r="J221" i="27"/>
  <c r="J222" i="27"/>
  <c r="J223" i="27"/>
  <c r="J224" i="27"/>
  <c r="J225" i="27"/>
  <c r="J226" i="27"/>
  <c r="J227" i="27"/>
  <c r="J228" i="27"/>
  <c r="J229" i="27"/>
  <c r="J230" i="27"/>
  <c r="J231" i="27"/>
  <c r="J232" i="27"/>
  <c r="J233" i="27"/>
  <c r="J234" i="27"/>
  <c r="J235" i="27"/>
  <c r="J236" i="27"/>
  <c r="J237" i="27"/>
  <c r="J238" i="27"/>
  <c r="J239" i="27"/>
  <c r="J240" i="27"/>
  <c r="J241" i="27"/>
  <c r="J242" i="27"/>
  <c r="J243" i="27"/>
  <c r="J244" i="27"/>
  <c r="J245" i="27"/>
  <c r="J246" i="27"/>
  <c r="J247" i="27"/>
  <c r="J248" i="27"/>
  <c r="J249" i="27"/>
  <c r="J250" i="27"/>
  <c r="J251" i="27"/>
  <c r="J252" i="27"/>
  <c r="J253" i="27"/>
  <c r="J254" i="27"/>
  <c r="J255" i="27"/>
  <c r="J256" i="27"/>
  <c r="J257" i="27"/>
  <c r="J258" i="27"/>
  <c r="J259" i="27"/>
  <c r="J260" i="27"/>
  <c r="J261" i="27"/>
  <c r="J262" i="27"/>
  <c r="J263" i="27"/>
  <c r="J264" i="27"/>
  <c r="J265" i="27"/>
  <c r="J266" i="27"/>
  <c r="J267" i="27"/>
  <c r="J268" i="27"/>
  <c r="J269" i="27"/>
  <c r="J270" i="27"/>
  <c r="J271" i="27"/>
  <c r="J272" i="27"/>
  <c r="J273" i="27"/>
  <c r="J274" i="27"/>
  <c r="J275" i="27"/>
  <c r="J276" i="27"/>
  <c r="J277" i="27"/>
  <c r="J278" i="27"/>
  <c r="J279" i="27"/>
  <c r="J280" i="27"/>
  <c r="J281" i="27"/>
  <c r="J282" i="27"/>
  <c r="J283" i="27"/>
  <c r="J284" i="27"/>
  <c r="J285" i="27"/>
  <c r="J286" i="27"/>
  <c r="J287" i="27"/>
  <c r="J288" i="27"/>
  <c r="J289" i="27"/>
  <c r="J290" i="27"/>
  <c r="J291" i="27"/>
  <c r="J292" i="27"/>
  <c r="J293" i="27"/>
  <c r="J294" i="27"/>
  <c r="J295" i="27"/>
  <c r="J296" i="27"/>
  <c r="J297" i="27"/>
  <c r="J298" i="27"/>
  <c r="J299" i="27"/>
  <c r="J300" i="27"/>
  <c r="J301" i="27"/>
  <c r="J302" i="27"/>
  <c r="J303" i="27"/>
  <c r="J304" i="27"/>
  <c r="J305" i="27"/>
  <c r="J306" i="27"/>
  <c r="J307" i="27"/>
  <c r="J308" i="27"/>
  <c r="J309" i="27"/>
  <c r="J310" i="27"/>
  <c r="J311" i="27"/>
  <c r="J312" i="27"/>
  <c r="J313" i="27"/>
  <c r="J314" i="27"/>
  <c r="J315" i="27"/>
  <c r="J316" i="27"/>
  <c r="J317" i="27"/>
  <c r="J318" i="27"/>
  <c r="J319" i="27"/>
  <c r="J320" i="27"/>
  <c r="J321" i="27"/>
  <c r="J322" i="27"/>
  <c r="J323" i="27"/>
  <c r="J324" i="27"/>
  <c r="J325" i="27"/>
  <c r="J326" i="27"/>
  <c r="J327" i="27"/>
  <c r="J328" i="27"/>
  <c r="J329" i="27"/>
  <c r="J330" i="27"/>
  <c r="J331" i="27"/>
  <c r="J332" i="27"/>
  <c r="J333" i="27"/>
  <c r="J334" i="27"/>
  <c r="J335" i="27"/>
  <c r="J336" i="27"/>
  <c r="J337" i="27"/>
  <c r="J338" i="27"/>
  <c r="J339" i="27"/>
  <c r="J340" i="27"/>
  <c r="J341" i="27"/>
  <c r="J342" i="27"/>
  <c r="J343" i="27"/>
  <c r="J344" i="27"/>
  <c r="J345" i="27"/>
  <c r="J346" i="27"/>
  <c r="J347" i="27"/>
  <c r="J348" i="27"/>
  <c r="J349" i="27"/>
  <c r="J350" i="27"/>
  <c r="J351" i="27"/>
  <c r="J352" i="27"/>
  <c r="J353" i="27"/>
  <c r="J354" i="27"/>
  <c r="J355" i="27"/>
  <c r="J356" i="27"/>
  <c r="J357" i="27"/>
  <c r="J358" i="27"/>
  <c r="J359" i="27"/>
  <c r="J360" i="27"/>
  <c r="J361" i="27"/>
  <c r="J362" i="27"/>
  <c r="J363" i="27"/>
  <c r="J364" i="27"/>
  <c r="J365" i="27"/>
  <c r="J366" i="27"/>
  <c r="J367" i="27"/>
  <c r="J368" i="27"/>
  <c r="J369" i="27"/>
  <c r="J370" i="27"/>
  <c r="J371" i="27"/>
  <c r="J372" i="27"/>
  <c r="J373" i="27"/>
  <c r="J374" i="27"/>
  <c r="J375" i="27"/>
  <c r="J376" i="27"/>
  <c r="J377" i="27"/>
  <c r="J378" i="27"/>
  <c r="J379" i="27"/>
  <c r="J380" i="27"/>
  <c r="J381" i="27"/>
  <c r="J382" i="27"/>
  <c r="J383" i="27"/>
  <c r="J384" i="27"/>
  <c r="J385" i="27"/>
  <c r="J386" i="27"/>
  <c r="J387" i="27"/>
  <c r="J388" i="27"/>
  <c r="J389" i="27"/>
  <c r="J390" i="27"/>
  <c r="J391" i="27"/>
  <c r="J392" i="27"/>
  <c r="J393" i="27"/>
  <c r="J394" i="27"/>
  <c r="J395" i="27"/>
  <c r="J396" i="27"/>
  <c r="J397" i="27"/>
  <c r="J398" i="27"/>
  <c r="J399" i="27"/>
  <c r="J400" i="27"/>
  <c r="J401" i="27"/>
  <c r="J402" i="27"/>
  <c r="J403" i="27"/>
  <c r="J404" i="27"/>
  <c r="J405" i="27"/>
  <c r="J406" i="27"/>
  <c r="J407" i="27"/>
  <c r="J408" i="27"/>
  <c r="J409" i="27"/>
  <c r="J410" i="27"/>
  <c r="J411" i="27"/>
  <c r="J412" i="27"/>
  <c r="J413" i="27"/>
  <c r="J414" i="27"/>
  <c r="J415" i="27"/>
  <c r="J416" i="27"/>
  <c r="J417" i="27"/>
  <c r="J418" i="27"/>
  <c r="J419" i="27"/>
  <c r="J420" i="27"/>
  <c r="J421" i="27"/>
  <c r="J422" i="27"/>
  <c r="J423" i="27"/>
  <c r="J424" i="27"/>
  <c r="J425" i="27"/>
  <c r="J426" i="27"/>
  <c r="J427" i="27"/>
  <c r="J428" i="27"/>
  <c r="J429" i="27"/>
  <c r="J430" i="27"/>
  <c r="J431" i="27"/>
  <c r="J432" i="27"/>
  <c r="J433" i="27"/>
  <c r="J434" i="27"/>
  <c r="J435" i="27"/>
  <c r="J436" i="27"/>
  <c r="J437" i="27"/>
  <c r="J438" i="27"/>
  <c r="J439" i="27"/>
  <c r="J440" i="27"/>
  <c r="J441" i="27"/>
  <c r="J442" i="27"/>
  <c r="J443" i="27"/>
  <c r="J444" i="27"/>
  <c r="J445" i="27"/>
  <c r="J446" i="27"/>
  <c r="J447" i="27"/>
  <c r="J448" i="27"/>
  <c r="J449" i="27"/>
  <c r="J450" i="27"/>
  <c r="J451" i="27"/>
  <c r="J452" i="27"/>
  <c r="J453" i="27"/>
  <c r="J454" i="27"/>
  <c r="J455" i="27"/>
  <c r="J456" i="27"/>
  <c r="J457" i="27"/>
  <c r="J458" i="27"/>
  <c r="J459" i="27"/>
  <c r="J460" i="27"/>
  <c r="J461" i="27"/>
  <c r="J462" i="27"/>
  <c r="J463" i="27"/>
  <c r="J464" i="27"/>
  <c r="J465" i="27"/>
  <c r="J466" i="27"/>
  <c r="J467" i="27"/>
  <c r="J468" i="27"/>
  <c r="J469" i="27"/>
  <c r="J470" i="27"/>
  <c r="J471" i="27"/>
  <c r="J472" i="27"/>
  <c r="J473" i="27"/>
  <c r="J474" i="27"/>
  <c r="J475" i="27"/>
  <c r="J476" i="27"/>
  <c r="J477" i="27"/>
  <c r="J478" i="27"/>
  <c r="J479" i="27"/>
  <c r="J480" i="27"/>
  <c r="J481" i="27"/>
  <c r="J482" i="27"/>
  <c r="J483" i="27"/>
  <c r="J484" i="27"/>
  <c r="J485" i="27"/>
  <c r="J486" i="27"/>
  <c r="J487" i="27"/>
  <c r="J488" i="27"/>
  <c r="J489" i="27"/>
  <c r="J490" i="27"/>
  <c r="J491" i="27"/>
  <c r="J492" i="27"/>
  <c r="J493" i="27"/>
  <c r="J494" i="27"/>
  <c r="J495" i="27"/>
  <c r="J496" i="27"/>
  <c r="J497" i="27"/>
  <c r="J498" i="27"/>
  <c r="J499" i="27"/>
  <c r="J500" i="27"/>
  <c r="J501" i="27"/>
  <c r="J502" i="27"/>
  <c r="J503" i="27"/>
  <c r="J504" i="27"/>
  <c r="J505" i="27"/>
  <c r="J506" i="27"/>
  <c r="J507" i="27"/>
  <c r="J508" i="27"/>
  <c r="J509" i="27"/>
  <c r="J510" i="27"/>
  <c r="J511" i="27"/>
  <c r="J512" i="27"/>
  <c r="J513" i="27"/>
  <c r="J514" i="27"/>
  <c r="J515" i="27"/>
  <c r="J516" i="27"/>
  <c r="J517" i="27"/>
  <c r="J518" i="27"/>
  <c r="J519" i="27"/>
  <c r="J520" i="27"/>
  <c r="J521" i="27"/>
  <c r="J522" i="27"/>
  <c r="J523" i="27"/>
  <c r="J524" i="27"/>
  <c r="J525" i="27"/>
  <c r="J526" i="27"/>
  <c r="J527" i="27"/>
  <c r="J528" i="27"/>
  <c r="J529" i="27"/>
  <c r="J530" i="27"/>
  <c r="J531" i="27"/>
  <c r="J532" i="27"/>
  <c r="J533" i="27"/>
  <c r="J534" i="27"/>
  <c r="J535" i="27"/>
  <c r="J536" i="27"/>
  <c r="J537" i="27"/>
  <c r="J538" i="27"/>
  <c r="J539" i="27"/>
  <c r="J540" i="27"/>
  <c r="J541" i="27"/>
  <c r="J542" i="27"/>
  <c r="J543" i="27"/>
  <c r="J544" i="27"/>
  <c r="J545" i="27"/>
  <c r="J546" i="27"/>
  <c r="J547" i="27"/>
  <c r="J548" i="27"/>
  <c r="J549" i="27"/>
  <c r="J550" i="27"/>
  <c r="J551" i="27"/>
  <c r="J552" i="27"/>
  <c r="J553" i="27"/>
  <c r="J554" i="27"/>
  <c r="J555" i="27"/>
  <c r="J556" i="27"/>
  <c r="J557" i="27"/>
  <c r="J558" i="27"/>
  <c r="J559" i="27"/>
  <c r="J560" i="27"/>
  <c r="J561" i="27"/>
  <c r="J562" i="27"/>
  <c r="J563" i="27"/>
  <c r="J564" i="27"/>
  <c r="J565" i="27"/>
  <c r="J566" i="27"/>
  <c r="J567" i="27"/>
  <c r="J568" i="27"/>
  <c r="J569" i="27"/>
  <c r="J570" i="27"/>
  <c r="J571" i="27"/>
  <c r="J572" i="27"/>
  <c r="J573" i="27"/>
  <c r="J574" i="27"/>
  <c r="J575" i="27"/>
  <c r="J576" i="27"/>
  <c r="J577" i="27"/>
  <c r="J578" i="27"/>
  <c r="J579" i="27"/>
  <c r="J580" i="27"/>
  <c r="J581" i="27"/>
  <c r="J582" i="27"/>
  <c r="J583" i="27"/>
  <c r="J584" i="27"/>
  <c r="J585" i="27"/>
  <c r="J586" i="27"/>
  <c r="J587" i="27"/>
  <c r="J588" i="27"/>
  <c r="J589" i="27"/>
  <c r="J590" i="27"/>
  <c r="J591" i="27"/>
  <c r="J592" i="27"/>
  <c r="J593" i="27"/>
  <c r="J594" i="27"/>
  <c r="J595" i="27"/>
  <c r="J596" i="27"/>
  <c r="J597" i="27"/>
  <c r="J598" i="27"/>
  <c r="J599" i="27"/>
  <c r="J600" i="27"/>
  <c r="J601" i="27"/>
  <c r="J602" i="27"/>
  <c r="J603" i="27"/>
  <c r="J604" i="27"/>
  <c r="J605" i="27"/>
  <c r="J606" i="27"/>
  <c r="J607" i="27"/>
  <c r="J608" i="27"/>
  <c r="J609" i="27"/>
  <c r="J610" i="27"/>
  <c r="J611" i="27"/>
  <c r="J612" i="27"/>
  <c r="J613" i="27"/>
  <c r="J614" i="27"/>
  <c r="J615" i="27"/>
  <c r="J616" i="27"/>
  <c r="J617" i="27"/>
  <c r="J618" i="27"/>
  <c r="J619" i="27"/>
  <c r="J620" i="27"/>
  <c r="J621" i="27"/>
  <c r="J622" i="27"/>
  <c r="J623" i="27"/>
  <c r="J624" i="27"/>
  <c r="J625" i="27"/>
  <c r="J626" i="27"/>
  <c r="J627" i="27"/>
  <c r="J628" i="27"/>
  <c r="J629" i="27"/>
  <c r="J630" i="27"/>
  <c r="J631" i="27"/>
  <c r="J632" i="27"/>
  <c r="J633" i="27"/>
  <c r="J634" i="27"/>
  <c r="J635" i="27"/>
  <c r="J636" i="27"/>
  <c r="J637" i="27"/>
  <c r="J638" i="27"/>
  <c r="J639" i="27"/>
  <c r="J640" i="27"/>
  <c r="J641" i="27"/>
  <c r="J642" i="27"/>
  <c r="J643" i="27"/>
  <c r="J644" i="27"/>
  <c r="J645" i="27"/>
  <c r="J646" i="27"/>
  <c r="J647" i="27"/>
  <c r="J648" i="27"/>
  <c r="J649" i="27"/>
  <c r="J650" i="27"/>
  <c r="J651" i="27"/>
  <c r="J652" i="27"/>
  <c r="J653" i="27"/>
  <c r="J654" i="27"/>
  <c r="J655" i="27"/>
  <c r="J656" i="27"/>
  <c r="J657" i="27"/>
  <c r="J658" i="27"/>
  <c r="J659" i="27"/>
  <c r="J660" i="27"/>
  <c r="J661" i="27"/>
  <c r="J662" i="27"/>
  <c r="J663" i="27"/>
  <c r="J664" i="27"/>
  <c r="J665" i="27"/>
  <c r="J666" i="27"/>
  <c r="J667" i="27"/>
  <c r="J668" i="27"/>
  <c r="J669" i="27"/>
  <c r="J670" i="27"/>
  <c r="J671" i="27"/>
  <c r="J672" i="27"/>
  <c r="J673" i="27"/>
  <c r="J674" i="27"/>
  <c r="J675" i="27"/>
  <c r="J676" i="27"/>
  <c r="J677" i="27"/>
  <c r="J678" i="27"/>
  <c r="J679" i="27"/>
  <c r="J680" i="27"/>
  <c r="J681" i="27"/>
  <c r="J682" i="27"/>
  <c r="J683" i="27"/>
  <c r="J684" i="27"/>
  <c r="J685" i="27"/>
  <c r="J686" i="27"/>
  <c r="J687" i="27"/>
  <c r="J688" i="27"/>
  <c r="J689" i="27"/>
  <c r="J690" i="27"/>
  <c r="J691" i="27"/>
  <c r="J692" i="27"/>
  <c r="J693" i="27"/>
  <c r="J694" i="27"/>
  <c r="J695" i="27"/>
  <c r="J696" i="27"/>
  <c r="J697" i="27"/>
  <c r="J698" i="27"/>
  <c r="J699" i="27"/>
  <c r="J700" i="27"/>
  <c r="J701" i="27"/>
  <c r="J702" i="27"/>
  <c r="J703" i="27"/>
  <c r="J704" i="27"/>
  <c r="J705" i="27"/>
  <c r="J706" i="27"/>
  <c r="J707" i="27"/>
  <c r="J708" i="27"/>
  <c r="J709" i="27"/>
  <c r="J710" i="27"/>
  <c r="J711" i="27"/>
  <c r="J712" i="27"/>
  <c r="J713" i="27"/>
  <c r="J714" i="27"/>
  <c r="J715" i="27"/>
  <c r="J716" i="27"/>
  <c r="J717" i="27"/>
  <c r="J718" i="27"/>
  <c r="J719" i="27"/>
  <c r="J720" i="27"/>
  <c r="J721" i="27"/>
  <c r="J722" i="27"/>
  <c r="J723" i="27"/>
  <c r="J724" i="27"/>
  <c r="J725" i="27"/>
  <c r="J726" i="27"/>
  <c r="J727" i="27"/>
  <c r="J728" i="27"/>
  <c r="J729" i="27"/>
  <c r="J730" i="27"/>
  <c r="J731" i="27"/>
  <c r="J732" i="27"/>
  <c r="J733" i="27"/>
  <c r="J734" i="27"/>
  <c r="J735" i="27"/>
  <c r="J736" i="27"/>
  <c r="J737" i="27"/>
  <c r="J738" i="27"/>
  <c r="J739" i="27"/>
  <c r="J740" i="27"/>
  <c r="J741" i="27"/>
  <c r="J742" i="27"/>
  <c r="J743" i="27"/>
  <c r="J744" i="27"/>
  <c r="J745" i="27"/>
  <c r="J746" i="27"/>
  <c r="J747" i="27"/>
  <c r="J748" i="27"/>
  <c r="J749" i="27"/>
  <c r="J750" i="27"/>
  <c r="J751" i="27"/>
  <c r="J752" i="27"/>
  <c r="J753" i="27"/>
  <c r="J754" i="27"/>
  <c r="J755" i="27"/>
  <c r="J756" i="27"/>
  <c r="J757" i="27"/>
  <c r="J758" i="27"/>
  <c r="J759" i="27"/>
  <c r="J760" i="27"/>
  <c r="J761" i="27"/>
  <c r="J762" i="27"/>
  <c r="J763" i="27"/>
  <c r="J764" i="27"/>
  <c r="J765" i="27"/>
  <c r="J766" i="27"/>
  <c r="J767" i="27"/>
  <c r="J768" i="27"/>
  <c r="J769" i="27"/>
  <c r="J770" i="27"/>
  <c r="J771" i="27"/>
  <c r="J772" i="27"/>
  <c r="J773" i="27"/>
  <c r="J774" i="27"/>
  <c r="J775" i="27"/>
  <c r="J776" i="27"/>
  <c r="J777" i="27"/>
  <c r="J778" i="27"/>
  <c r="J779" i="27"/>
  <c r="J780" i="27"/>
  <c r="J781" i="27"/>
  <c r="J782" i="27"/>
  <c r="J783" i="27"/>
  <c r="J784" i="27"/>
  <c r="J785" i="27"/>
  <c r="J786" i="27"/>
  <c r="J787" i="27"/>
  <c r="J788" i="27"/>
  <c r="J789" i="27"/>
  <c r="J790" i="27"/>
  <c r="J791" i="27"/>
  <c r="J792" i="27"/>
  <c r="J793" i="27"/>
  <c r="J794" i="27"/>
  <c r="J795" i="27"/>
  <c r="J796" i="27"/>
  <c r="J797" i="27"/>
  <c r="J798" i="27"/>
  <c r="J799" i="27"/>
  <c r="J800" i="27"/>
  <c r="J801" i="27"/>
  <c r="J802" i="27"/>
  <c r="J803" i="27"/>
  <c r="J804" i="27"/>
  <c r="J805" i="27"/>
  <c r="J806" i="27"/>
  <c r="J807" i="27"/>
  <c r="J808" i="27"/>
  <c r="J809" i="27"/>
  <c r="J810" i="27"/>
  <c r="J811" i="27"/>
  <c r="J812" i="27"/>
  <c r="J813" i="27"/>
  <c r="J814" i="27"/>
  <c r="J815" i="27"/>
  <c r="J816" i="27"/>
  <c r="J817" i="27"/>
  <c r="J818" i="27"/>
  <c r="J819" i="27"/>
  <c r="J820" i="27"/>
  <c r="J821" i="27"/>
  <c r="J822" i="27"/>
  <c r="J823" i="27"/>
  <c r="J824" i="27"/>
  <c r="J825" i="27"/>
  <c r="J826" i="27"/>
  <c r="J827" i="27"/>
  <c r="J828" i="27"/>
  <c r="J829" i="27"/>
  <c r="J830" i="27"/>
  <c r="J831" i="27"/>
  <c r="J832" i="27"/>
  <c r="J833" i="27"/>
  <c r="J834" i="27"/>
  <c r="J835" i="27"/>
  <c r="J836" i="27"/>
  <c r="J837" i="27"/>
  <c r="J838" i="27"/>
  <c r="J839" i="27"/>
  <c r="J840" i="27"/>
  <c r="J841" i="27"/>
  <c r="J842" i="27"/>
  <c r="J843" i="27"/>
  <c r="J844" i="27"/>
  <c r="J845" i="27"/>
  <c r="J846" i="27"/>
  <c r="J847" i="27"/>
  <c r="J848" i="27"/>
  <c r="J849" i="27"/>
  <c r="J850" i="27"/>
  <c r="J851" i="27"/>
  <c r="J852" i="27"/>
  <c r="J853" i="27"/>
  <c r="J854" i="27"/>
  <c r="J855" i="27"/>
  <c r="J856" i="27"/>
  <c r="J857" i="27"/>
  <c r="J858" i="27"/>
  <c r="J859" i="27"/>
  <c r="J860" i="27"/>
  <c r="J861" i="27"/>
  <c r="J862" i="27"/>
  <c r="J863" i="27"/>
  <c r="J864" i="27"/>
  <c r="J865" i="27"/>
  <c r="J866" i="27"/>
  <c r="J867" i="27"/>
  <c r="J868" i="27"/>
  <c r="J869" i="27"/>
  <c r="J870" i="27"/>
  <c r="J871" i="27"/>
  <c r="J872" i="27"/>
  <c r="J873" i="27"/>
  <c r="J874" i="27"/>
  <c r="J875" i="27"/>
  <c r="J876" i="27"/>
  <c r="J877" i="27"/>
  <c r="J878" i="27"/>
  <c r="J879" i="27"/>
  <c r="J880" i="27"/>
  <c r="J881" i="27"/>
  <c r="J882" i="27"/>
  <c r="J883" i="27"/>
  <c r="J884" i="27"/>
  <c r="J885" i="27"/>
  <c r="J886" i="27"/>
  <c r="J887" i="27"/>
  <c r="J888" i="27"/>
  <c r="J889" i="27"/>
  <c r="J890" i="27"/>
  <c r="J891" i="27"/>
  <c r="J892" i="27"/>
  <c r="J893" i="27"/>
  <c r="J894" i="27"/>
  <c r="J895" i="27"/>
  <c r="J896" i="27"/>
  <c r="J897" i="27"/>
  <c r="J898" i="27"/>
  <c r="J899" i="27"/>
  <c r="J900" i="27"/>
  <c r="J901" i="27"/>
  <c r="J902" i="27"/>
  <c r="J903" i="27"/>
  <c r="J904" i="27"/>
  <c r="J905" i="27"/>
  <c r="J906" i="27"/>
  <c r="J907" i="27"/>
  <c r="J908" i="27"/>
  <c r="J909" i="27"/>
  <c r="J910" i="27"/>
  <c r="J911" i="27"/>
  <c r="J912" i="27"/>
  <c r="J913" i="27"/>
  <c r="J914" i="27"/>
  <c r="J915" i="27"/>
  <c r="J916" i="27"/>
  <c r="J917" i="27"/>
  <c r="J918" i="27"/>
  <c r="J919" i="27"/>
  <c r="J920" i="27"/>
  <c r="J921" i="27"/>
  <c r="J922" i="27"/>
  <c r="J923" i="27"/>
  <c r="J924" i="27"/>
  <c r="J925" i="27"/>
  <c r="J926" i="27"/>
  <c r="J927" i="27"/>
  <c r="J928" i="27"/>
  <c r="J929" i="27"/>
  <c r="J930" i="27"/>
  <c r="J931" i="27"/>
  <c r="J932" i="27"/>
  <c r="J933" i="27"/>
  <c r="J934" i="27"/>
  <c r="J935" i="27"/>
  <c r="J936" i="27"/>
  <c r="J937" i="27"/>
  <c r="J938" i="27"/>
  <c r="J939" i="27"/>
  <c r="J940" i="27"/>
  <c r="J941" i="27"/>
  <c r="J942" i="27"/>
  <c r="J943" i="27"/>
  <c r="J944" i="27"/>
  <c r="J945" i="27"/>
  <c r="J946" i="27"/>
  <c r="J947" i="27"/>
  <c r="J948" i="27"/>
  <c r="J949" i="27"/>
  <c r="J950" i="27"/>
  <c r="J951" i="27"/>
  <c r="J952" i="27"/>
  <c r="J953" i="27"/>
  <c r="J954" i="27"/>
  <c r="J955" i="27"/>
  <c r="J956" i="27"/>
  <c r="J957" i="27"/>
  <c r="J958" i="27"/>
  <c r="J959" i="27"/>
  <c r="J960" i="27"/>
  <c r="J961" i="27"/>
  <c r="J962" i="27"/>
  <c r="J963" i="27"/>
  <c r="J964" i="27"/>
  <c r="J965" i="27"/>
  <c r="J966" i="27"/>
  <c r="J967" i="27"/>
  <c r="J968" i="27"/>
  <c r="J969" i="27"/>
  <c r="J970" i="27"/>
  <c r="J971" i="27"/>
  <c r="J972" i="27"/>
  <c r="J973" i="27"/>
  <c r="J974" i="27"/>
  <c r="J975" i="27"/>
  <c r="J976" i="27"/>
  <c r="J977" i="27"/>
  <c r="J978" i="27"/>
  <c r="J979" i="27"/>
  <c r="J980" i="27"/>
  <c r="J981" i="27"/>
  <c r="J982" i="27"/>
  <c r="J983" i="27"/>
  <c r="J984" i="27"/>
  <c r="J985" i="27"/>
  <c r="J986" i="27"/>
  <c r="J987" i="27"/>
  <c r="J988" i="27"/>
  <c r="J989" i="27"/>
  <c r="J990" i="27"/>
  <c r="J991" i="27"/>
  <c r="J992" i="27"/>
  <c r="J993" i="27"/>
  <c r="J994" i="27"/>
  <c r="J995" i="27"/>
  <c r="J996" i="27"/>
  <c r="J997" i="27"/>
  <c r="J998" i="27"/>
  <c r="J999" i="27"/>
  <c r="J1000" i="27"/>
  <c r="J1001" i="27"/>
  <c r="J1002" i="27"/>
  <c r="J1003" i="27"/>
  <c r="J1004" i="27"/>
  <c r="J1005" i="27"/>
  <c r="J1006" i="27"/>
  <c r="J1007" i="27"/>
  <c r="J1008" i="27"/>
  <c r="J1009" i="27"/>
  <c r="J1010" i="27"/>
  <c r="J1011" i="27"/>
  <c r="J1012" i="27"/>
  <c r="J1013" i="27"/>
  <c r="J1014" i="27"/>
  <c r="J1015" i="27"/>
  <c r="J1016" i="27"/>
  <c r="J1017" i="27"/>
  <c r="J1018" i="27"/>
  <c r="J1019" i="27"/>
  <c r="J1020" i="27"/>
  <c r="J1021" i="27"/>
  <c r="J1022" i="27"/>
  <c r="J1023" i="27"/>
  <c r="J1024" i="27"/>
  <c r="J1025" i="27"/>
  <c r="J1026" i="27"/>
  <c r="J1027" i="27"/>
  <c r="J1028" i="27"/>
  <c r="J1029" i="27"/>
  <c r="J1030" i="27"/>
  <c r="J1031" i="27"/>
  <c r="J1032" i="27"/>
  <c r="J1033" i="27"/>
  <c r="J1034" i="27"/>
  <c r="J1035" i="27"/>
  <c r="J1036" i="27"/>
  <c r="J1037" i="27"/>
  <c r="J1038" i="27"/>
  <c r="J1039" i="27"/>
  <c r="J1040" i="27"/>
  <c r="J1041" i="27"/>
  <c r="J1042" i="27"/>
  <c r="J1043" i="27"/>
  <c r="J1044" i="27"/>
  <c r="J1045" i="27"/>
  <c r="J1046" i="27"/>
  <c r="J1047" i="27"/>
  <c r="J1048" i="27"/>
  <c r="J1049" i="27"/>
  <c r="J1050" i="27"/>
  <c r="J1051" i="27"/>
  <c r="J1052" i="27"/>
  <c r="J1053" i="27"/>
  <c r="J1054" i="27"/>
  <c r="J1055" i="27"/>
  <c r="J1056" i="27"/>
  <c r="J1057" i="27"/>
  <c r="J1058" i="27"/>
  <c r="J1059" i="27"/>
  <c r="J1060" i="27"/>
  <c r="J1061" i="27"/>
  <c r="J1062" i="27"/>
  <c r="J1063" i="27"/>
  <c r="J1064" i="27"/>
  <c r="J1065" i="27"/>
  <c r="J1066" i="27"/>
  <c r="J1067" i="27"/>
  <c r="J1068" i="27"/>
  <c r="J1069" i="27"/>
  <c r="J1070" i="27"/>
  <c r="J1071" i="27"/>
  <c r="J1072" i="27"/>
  <c r="J1073" i="27"/>
  <c r="J1074" i="27"/>
  <c r="J1075" i="27"/>
  <c r="J1076" i="27"/>
  <c r="J1077" i="27"/>
  <c r="J1078" i="27"/>
  <c r="J1079" i="27"/>
  <c r="J1080" i="27"/>
  <c r="J1081" i="27"/>
  <c r="J1082" i="27"/>
  <c r="J1083" i="27"/>
  <c r="J1084" i="27"/>
  <c r="J1085" i="27"/>
  <c r="J1086" i="27"/>
  <c r="J1087" i="27"/>
  <c r="J1088" i="27"/>
  <c r="J1089" i="27"/>
  <c r="J1090" i="27"/>
  <c r="J1091" i="27"/>
  <c r="J1092" i="27"/>
  <c r="J1093" i="27"/>
  <c r="J1094" i="27"/>
  <c r="J1095" i="27"/>
  <c r="J1096" i="27"/>
  <c r="J1097" i="27"/>
  <c r="J1098" i="27"/>
  <c r="J1099" i="27"/>
  <c r="J1100" i="27"/>
  <c r="J1101" i="27"/>
  <c r="J1102" i="27"/>
  <c r="J1103" i="27"/>
  <c r="J1104" i="27"/>
  <c r="J1105" i="27"/>
  <c r="J1106" i="27"/>
  <c r="J1107" i="27"/>
  <c r="J1108" i="27"/>
  <c r="J1109" i="27"/>
  <c r="J1110" i="27"/>
  <c r="J1111" i="27"/>
  <c r="J1112" i="27"/>
  <c r="J1113" i="27"/>
  <c r="J1114" i="27"/>
  <c r="J1115" i="27"/>
  <c r="J1116" i="27"/>
  <c r="J1117" i="27"/>
  <c r="J1118" i="27"/>
  <c r="J1119" i="27"/>
  <c r="J1120" i="27"/>
  <c r="J1121" i="27"/>
  <c r="J1122" i="27"/>
  <c r="J1123" i="27"/>
  <c r="J1124" i="27"/>
  <c r="J1125" i="27"/>
  <c r="J1126" i="27"/>
  <c r="J1127" i="27"/>
  <c r="J1128" i="27"/>
  <c r="J1129" i="27"/>
  <c r="J1130" i="27"/>
  <c r="J1131" i="27"/>
  <c r="J1132" i="27"/>
  <c r="J1133" i="27"/>
  <c r="J1134" i="27"/>
  <c r="J1135" i="27"/>
  <c r="J1136" i="27"/>
  <c r="J1137" i="27"/>
  <c r="J1138" i="27"/>
  <c r="J1139" i="27"/>
  <c r="J1140" i="27"/>
  <c r="J1141" i="27"/>
  <c r="J1142" i="27"/>
  <c r="J1143" i="27"/>
  <c r="J1144" i="27"/>
  <c r="J1145" i="27"/>
  <c r="J1146" i="27"/>
  <c r="J1147" i="27"/>
  <c r="J1148" i="27"/>
  <c r="J1149" i="27"/>
  <c r="J1150" i="27"/>
  <c r="J1151" i="27"/>
  <c r="J1152" i="27"/>
  <c r="J1153" i="27"/>
  <c r="J1154" i="27"/>
  <c r="J1155" i="27"/>
  <c r="J1156" i="27"/>
  <c r="J1157" i="27"/>
  <c r="J1158" i="27"/>
  <c r="J1159" i="27"/>
  <c r="J1160" i="27"/>
  <c r="J1161" i="27"/>
  <c r="J1162" i="27"/>
  <c r="J1163" i="27"/>
  <c r="J1164" i="27"/>
  <c r="J1165" i="27"/>
  <c r="J1166" i="27"/>
  <c r="J1167" i="27"/>
  <c r="J1168" i="27"/>
  <c r="J1169" i="27"/>
  <c r="J1170" i="27"/>
  <c r="J1171" i="27"/>
  <c r="J1172" i="27"/>
  <c r="J1173" i="27"/>
  <c r="J1174" i="27"/>
  <c r="J1175" i="27"/>
  <c r="J1176" i="27"/>
  <c r="J1177" i="27"/>
  <c r="J1178" i="27"/>
  <c r="J1179" i="27"/>
  <c r="J1180" i="27"/>
  <c r="J1181" i="27"/>
  <c r="J1182" i="27"/>
  <c r="J1183" i="27"/>
  <c r="J1184" i="27"/>
  <c r="J1185" i="27"/>
  <c r="J1186" i="27"/>
  <c r="J1187" i="27"/>
  <c r="J1188" i="27"/>
  <c r="J1189" i="27"/>
  <c r="J1190" i="27"/>
  <c r="J1191" i="27"/>
  <c r="J1192" i="27"/>
  <c r="J1193" i="27"/>
  <c r="J1194" i="27"/>
  <c r="J1195" i="27"/>
  <c r="J1196" i="27"/>
  <c r="J1197" i="27"/>
  <c r="J1198" i="27"/>
  <c r="J1199" i="27"/>
  <c r="J1200" i="27"/>
  <c r="J1201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672" i="27"/>
  <c r="D673" i="27"/>
  <c r="D674" i="27"/>
  <c r="D675" i="27"/>
  <c r="D676" i="27"/>
  <c r="D677" i="27"/>
  <c r="D678" i="27"/>
  <c r="D679" i="27"/>
  <c r="D680" i="27"/>
  <c r="D681" i="27"/>
  <c r="D682" i="27"/>
  <c r="D683" i="27"/>
  <c r="D684" i="27"/>
  <c r="D685" i="27"/>
  <c r="D686" i="27"/>
  <c r="D687" i="27"/>
  <c r="D688" i="27"/>
  <c r="D689" i="27"/>
  <c r="D690" i="27"/>
  <c r="D691" i="27"/>
  <c r="D692" i="27"/>
  <c r="D693" i="27"/>
  <c r="D694" i="27"/>
  <c r="D695" i="27"/>
  <c r="D696" i="27"/>
  <c r="D697" i="27"/>
  <c r="D698" i="27"/>
  <c r="D699" i="27"/>
  <c r="D700" i="27"/>
  <c r="D701" i="27"/>
  <c r="D702" i="27"/>
  <c r="D703" i="27"/>
  <c r="D704" i="27"/>
  <c r="D705" i="27"/>
  <c r="D706" i="27"/>
  <c r="D707" i="27"/>
  <c r="D708" i="27"/>
  <c r="D709" i="27"/>
  <c r="D710" i="27"/>
  <c r="D711" i="27"/>
  <c r="D712" i="27"/>
  <c r="D713" i="27"/>
  <c r="D714" i="27"/>
  <c r="D715" i="27"/>
  <c r="D716" i="27"/>
  <c r="D717" i="27"/>
  <c r="D718" i="27"/>
  <c r="D719" i="27"/>
  <c r="D720" i="27"/>
  <c r="D721" i="27"/>
  <c r="D722" i="27"/>
  <c r="D723" i="27"/>
  <c r="D724" i="27"/>
  <c r="D725" i="27"/>
  <c r="D726" i="27"/>
  <c r="D727" i="27"/>
  <c r="D728" i="27"/>
  <c r="D729" i="27"/>
  <c r="D730" i="27"/>
  <c r="D731" i="27"/>
  <c r="D732" i="27"/>
  <c r="D733" i="27"/>
  <c r="D734" i="27"/>
  <c r="D735" i="27"/>
  <c r="D736" i="27"/>
  <c r="D737" i="27"/>
  <c r="D738" i="27"/>
  <c r="D739" i="27"/>
  <c r="D740" i="27"/>
  <c r="D741" i="27"/>
  <c r="D742" i="27"/>
  <c r="D743" i="27"/>
  <c r="D744" i="27"/>
  <c r="D745" i="27"/>
  <c r="D746" i="27"/>
  <c r="D747" i="27"/>
  <c r="D748" i="27"/>
  <c r="D749" i="27"/>
  <c r="D750" i="27"/>
  <c r="D751" i="27"/>
  <c r="D752" i="27"/>
  <c r="D753" i="27"/>
  <c r="D754" i="27"/>
  <c r="D755" i="27"/>
  <c r="D756" i="27"/>
  <c r="D757" i="27"/>
  <c r="D758" i="27"/>
  <c r="D759" i="27"/>
  <c r="D760" i="27"/>
  <c r="D761" i="27"/>
  <c r="D762" i="27"/>
  <c r="D763" i="27"/>
  <c r="D764" i="27"/>
  <c r="D765" i="27"/>
  <c r="D766" i="27"/>
  <c r="D767" i="27"/>
  <c r="D768" i="27"/>
  <c r="D769" i="27"/>
  <c r="D770" i="27"/>
  <c r="D771" i="27"/>
  <c r="D772" i="27"/>
  <c r="D773" i="27"/>
  <c r="D774" i="27"/>
  <c r="D775" i="27"/>
  <c r="D776" i="27"/>
  <c r="D777" i="27"/>
  <c r="D778" i="27"/>
  <c r="D779" i="27"/>
  <c r="D780" i="27"/>
  <c r="D781" i="27"/>
  <c r="D782" i="27"/>
  <c r="D783" i="27"/>
  <c r="D784" i="27"/>
  <c r="D785" i="27"/>
  <c r="D786" i="27"/>
  <c r="D787" i="27"/>
  <c r="D788" i="27"/>
  <c r="D789" i="27"/>
  <c r="D790" i="27"/>
  <c r="D791" i="27"/>
  <c r="D792" i="27"/>
  <c r="D793" i="27"/>
  <c r="D794" i="27"/>
  <c r="D795" i="27"/>
  <c r="D796" i="27"/>
  <c r="D797" i="27"/>
  <c r="D798" i="27"/>
  <c r="D799" i="27"/>
  <c r="D800" i="27"/>
  <c r="D801" i="27"/>
  <c r="D802" i="27"/>
  <c r="D803" i="27"/>
  <c r="D804" i="27"/>
  <c r="D805" i="27"/>
  <c r="D806" i="27"/>
  <c r="D807" i="27"/>
  <c r="D808" i="27"/>
  <c r="D809" i="27"/>
  <c r="D810" i="27"/>
  <c r="D811" i="27"/>
  <c r="D812" i="27"/>
  <c r="D813" i="27"/>
  <c r="D814" i="27"/>
  <c r="D815" i="27"/>
  <c r="D816" i="27"/>
  <c r="D817" i="27"/>
  <c r="D818" i="27"/>
  <c r="D819" i="27"/>
  <c r="D820" i="27"/>
  <c r="D821" i="27"/>
  <c r="D822" i="27"/>
  <c r="D823" i="27"/>
  <c r="D824" i="27"/>
  <c r="D825" i="27"/>
  <c r="D826" i="27"/>
  <c r="D827" i="27"/>
  <c r="D828" i="27"/>
  <c r="D829" i="27"/>
  <c r="D830" i="27"/>
  <c r="D831" i="27"/>
  <c r="D832" i="27"/>
  <c r="D833" i="27"/>
  <c r="D834" i="27"/>
  <c r="D835" i="27"/>
  <c r="D836" i="27"/>
  <c r="D837" i="27"/>
  <c r="D838" i="27"/>
  <c r="D839" i="27"/>
  <c r="D840" i="27"/>
  <c r="D841" i="27"/>
  <c r="D842" i="27"/>
  <c r="D843" i="27"/>
  <c r="D844" i="27"/>
  <c r="D845" i="27"/>
  <c r="D846" i="27"/>
  <c r="D847" i="27"/>
  <c r="D848" i="27"/>
  <c r="D849" i="27"/>
  <c r="D850" i="27"/>
  <c r="D851" i="27"/>
  <c r="D852" i="27"/>
  <c r="D853" i="27"/>
  <c r="D854" i="27"/>
  <c r="D855" i="27"/>
  <c r="D856" i="27"/>
  <c r="D857" i="27"/>
  <c r="D858" i="27"/>
  <c r="D859" i="27"/>
  <c r="D860" i="27"/>
  <c r="D861" i="27"/>
  <c r="D862" i="27"/>
  <c r="D863" i="27"/>
  <c r="D864" i="27"/>
  <c r="D865" i="27"/>
  <c r="D866" i="27"/>
  <c r="D867" i="27"/>
  <c r="D868" i="27"/>
  <c r="D869" i="27"/>
  <c r="D870" i="27"/>
  <c r="D871" i="27"/>
  <c r="D872" i="27"/>
  <c r="D873" i="27"/>
  <c r="D874" i="27"/>
  <c r="D875" i="27"/>
  <c r="D876" i="27"/>
  <c r="D877" i="27"/>
  <c r="D878" i="27"/>
  <c r="D879" i="27"/>
  <c r="D880" i="27"/>
  <c r="D881" i="27"/>
  <c r="D882" i="27"/>
  <c r="D883" i="27"/>
  <c r="D884" i="27"/>
  <c r="D885" i="27"/>
  <c r="D886" i="27"/>
  <c r="D887" i="27"/>
  <c r="D888" i="27"/>
  <c r="D889" i="27"/>
  <c r="D890" i="27"/>
  <c r="D891" i="27"/>
  <c r="D892" i="27"/>
  <c r="D893" i="27"/>
  <c r="D894" i="27"/>
  <c r="D895" i="27"/>
  <c r="D896" i="27"/>
  <c r="D897" i="27"/>
  <c r="D898" i="27"/>
  <c r="D899" i="27"/>
  <c r="D900" i="27"/>
  <c r="D901" i="27"/>
  <c r="D902" i="27"/>
  <c r="D903" i="27"/>
  <c r="D904" i="27"/>
  <c r="D905" i="27"/>
  <c r="D906" i="27"/>
  <c r="D907" i="27"/>
  <c r="D908" i="27"/>
  <c r="D909" i="27"/>
  <c r="D910" i="27"/>
  <c r="D911" i="27"/>
  <c r="D912" i="27"/>
  <c r="D913" i="27"/>
  <c r="D914" i="27"/>
  <c r="D915" i="27"/>
  <c r="D916" i="27"/>
  <c r="D917" i="27"/>
  <c r="D918" i="27"/>
  <c r="D919" i="27"/>
  <c r="D920" i="27"/>
  <c r="D921" i="27"/>
  <c r="D922" i="27"/>
  <c r="D923" i="27"/>
  <c r="D924" i="27"/>
  <c r="D925" i="27"/>
  <c r="D926" i="27"/>
  <c r="D927" i="27"/>
  <c r="D928" i="27"/>
  <c r="D929" i="27"/>
  <c r="D930" i="27"/>
  <c r="D931" i="27"/>
  <c r="D932" i="27"/>
  <c r="D933" i="27"/>
  <c r="D934" i="27"/>
  <c r="D935" i="27"/>
  <c r="D936" i="27"/>
  <c r="D937" i="27"/>
  <c r="D938" i="27"/>
  <c r="D939" i="27"/>
  <c r="D940" i="27"/>
  <c r="D941" i="27"/>
  <c r="D942" i="27"/>
  <c r="D943" i="27"/>
  <c r="D944" i="27"/>
  <c r="D945" i="27"/>
  <c r="D946" i="27"/>
  <c r="D947" i="27"/>
  <c r="D948" i="27"/>
  <c r="D949" i="27"/>
  <c r="D950" i="27"/>
  <c r="D951" i="27"/>
  <c r="D952" i="27"/>
  <c r="D953" i="27"/>
  <c r="D954" i="27"/>
  <c r="D955" i="27"/>
  <c r="D956" i="27"/>
  <c r="D957" i="27"/>
  <c r="D958" i="27"/>
  <c r="D959" i="27"/>
  <c r="D960" i="27"/>
  <c r="D961" i="27"/>
  <c r="D962" i="27"/>
  <c r="D963" i="27"/>
  <c r="D964" i="27"/>
  <c r="D965" i="27"/>
  <c r="D966" i="27"/>
  <c r="D967" i="27"/>
  <c r="D968" i="27"/>
  <c r="D969" i="27"/>
  <c r="D970" i="27"/>
  <c r="D971" i="27"/>
  <c r="D972" i="27"/>
  <c r="D973" i="27"/>
  <c r="D974" i="27"/>
  <c r="D975" i="27"/>
  <c r="D976" i="27"/>
  <c r="D977" i="27"/>
  <c r="D978" i="27"/>
  <c r="D979" i="27"/>
  <c r="D980" i="27"/>
  <c r="D981" i="27"/>
  <c r="D982" i="27"/>
  <c r="D983" i="27"/>
  <c r="D984" i="27"/>
  <c r="D985" i="27"/>
  <c r="D986" i="27"/>
  <c r="D987" i="27"/>
  <c r="D988" i="27"/>
  <c r="D989" i="27"/>
  <c r="D990" i="27"/>
  <c r="D991" i="27"/>
  <c r="D992" i="27"/>
  <c r="D993" i="27"/>
  <c r="D994" i="27"/>
  <c r="D995" i="27"/>
  <c r="D996" i="27"/>
  <c r="D997" i="27"/>
  <c r="D998" i="27"/>
  <c r="D999" i="27"/>
  <c r="D1000" i="27"/>
  <c r="D1001" i="27"/>
  <c r="D1002" i="27"/>
  <c r="D1003" i="27"/>
  <c r="D1004" i="27"/>
  <c r="D1005" i="27"/>
  <c r="D1006" i="27"/>
  <c r="D1007" i="27"/>
  <c r="D1008" i="27"/>
  <c r="D1009" i="27"/>
  <c r="D1010" i="27"/>
  <c r="D1011" i="27"/>
  <c r="D1012" i="27"/>
  <c r="D1013" i="27"/>
  <c r="D1014" i="27"/>
  <c r="D1015" i="27"/>
  <c r="D1016" i="27"/>
  <c r="D1017" i="27"/>
  <c r="D1018" i="27"/>
  <c r="D1019" i="27"/>
  <c r="D1020" i="27"/>
  <c r="D1021" i="27"/>
  <c r="D1022" i="27"/>
  <c r="D1023" i="27"/>
  <c r="D1024" i="27"/>
  <c r="D1025" i="27"/>
  <c r="D1026" i="27"/>
  <c r="D1027" i="27"/>
  <c r="D1028" i="27"/>
  <c r="D1029" i="27"/>
  <c r="D1030" i="27"/>
  <c r="D1031" i="27"/>
  <c r="D1032" i="27"/>
  <c r="D1033" i="27"/>
  <c r="D1034" i="27"/>
  <c r="D1035" i="27"/>
  <c r="D1036" i="27"/>
  <c r="D1037" i="27"/>
  <c r="D1038" i="27"/>
  <c r="D1039" i="27"/>
  <c r="D1040" i="27"/>
  <c r="D1041" i="27"/>
  <c r="D1042" i="27"/>
  <c r="D1043" i="27"/>
  <c r="D1044" i="27"/>
  <c r="D1045" i="27"/>
  <c r="D1046" i="27"/>
  <c r="D1047" i="27"/>
  <c r="D1048" i="27"/>
  <c r="D1049" i="27"/>
  <c r="D1050" i="27"/>
  <c r="D1051" i="27"/>
  <c r="D1052" i="27"/>
  <c r="D1053" i="27"/>
  <c r="D1054" i="27"/>
  <c r="D1055" i="27"/>
  <c r="D1056" i="27"/>
  <c r="D1057" i="27"/>
  <c r="D1058" i="27"/>
  <c r="D1059" i="27"/>
  <c r="D1060" i="27"/>
  <c r="D1061" i="27"/>
  <c r="D1062" i="27"/>
  <c r="D1063" i="27"/>
  <c r="D1064" i="27"/>
  <c r="D1065" i="27"/>
  <c r="D1066" i="27"/>
  <c r="D1067" i="27"/>
  <c r="D1068" i="27"/>
  <c r="D1069" i="27"/>
  <c r="D1070" i="27"/>
  <c r="D1071" i="27"/>
  <c r="D1072" i="27"/>
  <c r="D1073" i="27"/>
  <c r="D1074" i="27"/>
  <c r="D1075" i="27"/>
  <c r="D1076" i="27"/>
  <c r="D1077" i="27"/>
  <c r="D1078" i="27"/>
  <c r="D1079" i="27"/>
  <c r="D1080" i="27"/>
  <c r="D1081" i="27"/>
  <c r="D1082" i="27"/>
  <c r="D1083" i="27"/>
  <c r="D1084" i="27"/>
  <c r="D1085" i="27"/>
  <c r="D1086" i="27"/>
  <c r="D1087" i="27"/>
  <c r="D1088" i="27"/>
  <c r="D1089" i="27"/>
  <c r="D1090" i="27"/>
  <c r="D1091" i="27"/>
  <c r="D1092" i="27"/>
  <c r="D1093" i="27"/>
  <c r="D1094" i="27"/>
  <c r="D1095" i="27"/>
  <c r="D1096" i="27"/>
  <c r="D1097" i="27"/>
  <c r="D1098" i="27"/>
  <c r="D1099" i="27"/>
  <c r="D1100" i="27"/>
  <c r="D1101" i="27"/>
  <c r="D1102" i="27"/>
  <c r="D1103" i="27"/>
  <c r="D1104" i="27"/>
  <c r="D1105" i="27"/>
  <c r="D1106" i="27"/>
  <c r="D1107" i="27"/>
  <c r="D1108" i="27"/>
  <c r="D1109" i="27"/>
  <c r="D1110" i="27"/>
  <c r="D1111" i="27"/>
  <c r="D1112" i="27"/>
  <c r="D1113" i="27"/>
  <c r="D1114" i="27"/>
  <c r="D1115" i="27"/>
  <c r="D1116" i="27"/>
  <c r="D1117" i="27"/>
  <c r="D1118" i="27"/>
  <c r="D1119" i="27"/>
  <c r="D1120" i="27"/>
  <c r="D1121" i="27"/>
  <c r="D1122" i="27"/>
  <c r="D1123" i="27"/>
  <c r="D1124" i="27"/>
  <c r="D1125" i="27"/>
  <c r="D1126" i="27"/>
  <c r="D1127" i="27"/>
  <c r="D1128" i="27"/>
  <c r="D1129" i="27"/>
  <c r="D1130" i="27"/>
  <c r="D1131" i="27"/>
  <c r="D1132" i="27"/>
  <c r="D1133" i="27"/>
  <c r="D1134" i="27"/>
  <c r="D1135" i="27"/>
  <c r="D1136" i="27"/>
  <c r="D1137" i="27"/>
  <c r="D1138" i="27"/>
  <c r="D1139" i="27"/>
  <c r="D1140" i="27"/>
  <c r="D1141" i="27"/>
  <c r="D1142" i="27"/>
  <c r="D1143" i="27"/>
  <c r="D1144" i="27"/>
  <c r="D1145" i="27"/>
  <c r="D1146" i="27"/>
  <c r="D1147" i="27"/>
  <c r="D1148" i="27"/>
  <c r="D1149" i="27"/>
  <c r="D1150" i="27"/>
  <c r="D1151" i="27"/>
  <c r="D1152" i="27"/>
  <c r="D1153" i="27"/>
  <c r="D1154" i="27"/>
  <c r="D1155" i="27"/>
  <c r="D1156" i="27"/>
  <c r="D1157" i="27"/>
  <c r="D1158" i="27"/>
  <c r="D1159" i="27"/>
  <c r="D1160" i="27"/>
  <c r="D1161" i="27"/>
  <c r="D1162" i="27"/>
  <c r="D1163" i="27"/>
  <c r="D1164" i="27"/>
  <c r="D1165" i="27"/>
  <c r="D1166" i="27"/>
  <c r="D1167" i="27"/>
  <c r="D1168" i="27"/>
  <c r="D1169" i="27"/>
  <c r="D1170" i="27"/>
  <c r="D1171" i="27"/>
  <c r="D1172" i="27"/>
  <c r="D1173" i="27"/>
  <c r="D1174" i="27"/>
  <c r="D1175" i="27"/>
  <c r="D1176" i="27"/>
  <c r="D1177" i="27"/>
  <c r="D1178" i="27"/>
  <c r="D1179" i="27"/>
  <c r="D1180" i="27"/>
  <c r="D1181" i="27"/>
  <c r="D1182" i="27"/>
  <c r="D1183" i="27"/>
  <c r="D1184" i="27"/>
  <c r="D1185" i="27"/>
  <c r="D1186" i="27"/>
  <c r="D1187" i="27"/>
  <c r="D1188" i="27"/>
  <c r="D1189" i="27"/>
  <c r="D1190" i="27"/>
  <c r="D1191" i="27"/>
  <c r="D1192" i="27"/>
  <c r="D1193" i="27"/>
  <c r="D1194" i="27"/>
  <c r="D1195" i="27"/>
  <c r="D1196" i="27"/>
  <c r="D1197" i="27"/>
  <c r="D1198" i="27"/>
  <c r="D1199" i="27"/>
  <c r="D1200" i="27"/>
  <c r="D1201" i="2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H236" i="27"/>
  <c r="H237" i="27"/>
  <c r="H238" i="27"/>
  <c r="H239" i="27"/>
  <c r="H240" i="27"/>
  <c r="H241" i="27"/>
  <c r="H242" i="27"/>
  <c r="H243" i="27"/>
  <c r="H244" i="27"/>
  <c r="H245" i="27"/>
  <c r="H246" i="27"/>
  <c r="H247" i="27"/>
  <c r="H248" i="27"/>
  <c r="H249" i="27"/>
  <c r="H250" i="27"/>
  <c r="H251" i="27"/>
  <c r="H252" i="27"/>
  <c r="H253" i="27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H272" i="27"/>
  <c r="H273" i="27"/>
  <c r="H274" i="27"/>
  <c r="H275" i="27"/>
  <c r="H276" i="27"/>
  <c r="H277" i="27"/>
  <c r="H278" i="27"/>
  <c r="H279" i="27"/>
  <c r="H280" i="27"/>
  <c r="H281" i="27"/>
  <c r="H282" i="27"/>
  <c r="H283" i="27"/>
  <c r="H284" i="27"/>
  <c r="H285" i="27"/>
  <c r="H286" i="27"/>
  <c r="H287" i="27"/>
  <c r="H288" i="27"/>
  <c r="H289" i="27"/>
  <c r="H290" i="27"/>
  <c r="H291" i="27"/>
  <c r="H292" i="27"/>
  <c r="H293" i="27"/>
  <c r="H294" i="27"/>
  <c r="H295" i="27"/>
  <c r="H296" i="27"/>
  <c r="H297" i="27"/>
  <c r="H298" i="27"/>
  <c r="H299" i="27"/>
  <c r="H300" i="27"/>
  <c r="H301" i="27"/>
  <c r="H302" i="27"/>
  <c r="H303" i="27"/>
  <c r="H304" i="27"/>
  <c r="H305" i="27"/>
  <c r="H306" i="27"/>
  <c r="H307" i="27"/>
  <c r="H308" i="27"/>
  <c r="H309" i="27"/>
  <c r="H310" i="27"/>
  <c r="H311" i="27"/>
  <c r="H312" i="27"/>
  <c r="H313" i="27"/>
  <c r="H314" i="27"/>
  <c r="H315" i="27"/>
  <c r="H316" i="27"/>
  <c r="H317" i="27"/>
  <c r="H318" i="27"/>
  <c r="H319" i="27"/>
  <c r="H320" i="27"/>
  <c r="H321" i="27"/>
  <c r="H322" i="27"/>
  <c r="H323" i="27"/>
  <c r="H324" i="27"/>
  <c r="H325" i="27"/>
  <c r="H326" i="27"/>
  <c r="H327" i="27"/>
  <c r="H328" i="27"/>
  <c r="H329" i="27"/>
  <c r="H330" i="27"/>
  <c r="H331" i="27"/>
  <c r="H332" i="27"/>
  <c r="H333" i="27"/>
  <c r="H334" i="27"/>
  <c r="H335" i="27"/>
  <c r="H336" i="27"/>
  <c r="H337" i="27"/>
  <c r="H338" i="27"/>
  <c r="H339" i="27"/>
  <c r="H340" i="27"/>
  <c r="H341" i="27"/>
  <c r="H342" i="27"/>
  <c r="H343" i="27"/>
  <c r="H344" i="27"/>
  <c r="H345" i="27"/>
  <c r="H346" i="27"/>
  <c r="H347" i="27"/>
  <c r="H348" i="27"/>
  <c r="H349" i="27"/>
  <c r="H350" i="27"/>
  <c r="H351" i="27"/>
  <c r="H352" i="27"/>
  <c r="H353" i="27"/>
  <c r="H354" i="27"/>
  <c r="H355" i="27"/>
  <c r="H356" i="27"/>
  <c r="H357" i="27"/>
  <c r="H358" i="27"/>
  <c r="H359" i="27"/>
  <c r="H360" i="27"/>
  <c r="H361" i="27"/>
  <c r="H362" i="27"/>
  <c r="H363" i="27"/>
  <c r="H364" i="27"/>
  <c r="H365" i="27"/>
  <c r="H366" i="27"/>
  <c r="H367" i="27"/>
  <c r="H368" i="27"/>
  <c r="H369" i="27"/>
  <c r="H370" i="27"/>
  <c r="H371" i="27"/>
  <c r="H372" i="27"/>
  <c r="H373" i="27"/>
  <c r="H374" i="27"/>
  <c r="H375" i="27"/>
  <c r="H376" i="27"/>
  <c r="H377" i="27"/>
  <c r="H378" i="27"/>
  <c r="H379" i="27"/>
  <c r="H380" i="27"/>
  <c r="H381" i="27"/>
  <c r="H382" i="27"/>
  <c r="H383" i="27"/>
  <c r="H384" i="27"/>
  <c r="H385" i="27"/>
  <c r="H386" i="27"/>
  <c r="H387" i="27"/>
  <c r="H388" i="27"/>
  <c r="H389" i="27"/>
  <c r="H390" i="27"/>
  <c r="H391" i="27"/>
  <c r="H392" i="27"/>
  <c r="H393" i="27"/>
  <c r="H394" i="27"/>
  <c r="H395" i="27"/>
  <c r="H396" i="27"/>
  <c r="H397" i="27"/>
  <c r="H398" i="27"/>
  <c r="H399" i="27"/>
  <c r="H400" i="27"/>
  <c r="H401" i="27"/>
  <c r="H402" i="27"/>
  <c r="H403" i="27"/>
  <c r="H404" i="27"/>
  <c r="H405" i="27"/>
  <c r="H406" i="27"/>
  <c r="H407" i="27"/>
  <c r="H408" i="27"/>
  <c r="H409" i="27"/>
  <c r="H410" i="27"/>
  <c r="H411" i="27"/>
  <c r="H412" i="27"/>
  <c r="H413" i="27"/>
  <c r="H414" i="27"/>
  <c r="H415" i="27"/>
  <c r="H416" i="27"/>
  <c r="H417" i="27"/>
  <c r="H418" i="27"/>
  <c r="H419" i="27"/>
  <c r="H420" i="27"/>
  <c r="H421" i="27"/>
  <c r="H422" i="27"/>
  <c r="H423" i="27"/>
  <c r="H424" i="27"/>
  <c r="H425" i="27"/>
  <c r="H426" i="27"/>
  <c r="H427" i="27"/>
  <c r="H428" i="27"/>
  <c r="H429" i="27"/>
  <c r="H430" i="27"/>
  <c r="H431" i="27"/>
  <c r="H432" i="27"/>
  <c r="H433" i="27"/>
  <c r="H434" i="27"/>
  <c r="H435" i="27"/>
  <c r="H436" i="27"/>
  <c r="H437" i="27"/>
  <c r="H438" i="27"/>
  <c r="H439" i="27"/>
  <c r="H440" i="27"/>
  <c r="H441" i="27"/>
  <c r="H442" i="27"/>
  <c r="H443" i="27"/>
  <c r="H444" i="27"/>
  <c r="H445" i="27"/>
  <c r="H446" i="27"/>
  <c r="H447" i="27"/>
  <c r="H448" i="27"/>
  <c r="H449" i="27"/>
  <c r="H450" i="27"/>
  <c r="H451" i="27"/>
  <c r="H452" i="27"/>
  <c r="H453" i="27"/>
  <c r="H454" i="27"/>
  <c r="H455" i="27"/>
  <c r="H456" i="27"/>
  <c r="H457" i="27"/>
  <c r="H458" i="27"/>
  <c r="H459" i="27"/>
  <c r="H460" i="27"/>
  <c r="H461" i="27"/>
  <c r="H462" i="27"/>
  <c r="H463" i="27"/>
  <c r="H464" i="27"/>
  <c r="H465" i="27"/>
  <c r="H466" i="27"/>
  <c r="H467" i="27"/>
  <c r="H468" i="27"/>
  <c r="H469" i="27"/>
  <c r="H470" i="27"/>
  <c r="H471" i="27"/>
  <c r="H472" i="27"/>
  <c r="H473" i="27"/>
  <c r="H474" i="27"/>
  <c r="H475" i="27"/>
  <c r="H476" i="27"/>
  <c r="H477" i="27"/>
  <c r="H478" i="27"/>
  <c r="H479" i="27"/>
  <c r="H480" i="27"/>
  <c r="H481" i="27"/>
  <c r="H482" i="27"/>
  <c r="H483" i="27"/>
  <c r="H484" i="27"/>
  <c r="H485" i="27"/>
  <c r="H486" i="27"/>
  <c r="H487" i="27"/>
  <c r="H488" i="27"/>
  <c r="H489" i="27"/>
  <c r="H490" i="27"/>
  <c r="H491" i="27"/>
  <c r="H492" i="27"/>
  <c r="H493" i="27"/>
  <c r="H494" i="27"/>
  <c r="H495" i="27"/>
  <c r="H496" i="27"/>
  <c r="H497" i="27"/>
  <c r="H498" i="27"/>
  <c r="H499" i="27"/>
  <c r="H500" i="27"/>
  <c r="H501" i="27"/>
  <c r="H502" i="27"/>
  <c r="H503" i="27"/>
  <c r="H504" i="27"/>
  <c r="H505" i="27"/>
  <c r="H506" i="27"/>
  <c r="H507" i="27"/>
  <c r="H508" i="27"/>
  <c r="H509" i="27"/>
  <c r="H510" i="27"/>
  <c r="H511" i="27"/>
  <c r="H512" i="27"/>
  <c r="H513" i="27"/>
  <c r="H514" i="27"/>
  <c r="H515" i="27"/>
  <c r="H516" i="27"/>
  <c r="H517" i="27"/>
  <c r="H518" i="27"/>
  <c r="H519" i="27"/>
  <c r="H520" i="27"/>
  <c r="H521" i="27"/>
  <c r="H522" i="27"/>
  <c r="H523" i="27"/>
  <c r="H524" i="27"/>
  <c r="H525" i="27"/>
  <c r="H526" i="27"/>
  <c r="H527" i="27"/>
  <c r="H528" i="27"/>
  <c r="H529" i="27"/>
  <c r="H530" i="27"/>
  <c r="H531" i="27"/>
  <c r="H532" i="27"/>
  <c r="H533" i="27"/>
  <c r="H534" i="27"/>
  <c r="H535" i="27"/>
  <c r="H536" i="27"/>
  <c r="H537" i="27"/>
  <c r="H538" i="27"/>
  <c r="H539" i="27"/>
  <c r="H540" i="27"/>
  <c r="H541" i="27"/>
  <c r="H542" i="27"/>
  <c r="H543" i="27"/>
  <c r="H544" i="27"/>
  <c r="H545" i="27"/>
  <c r="H546" i="27"/>
  <c r="H547" i="27"/>
  <c r="H548" i="27"/>
  <c r="H549" i="27"/>
  <c r="H550" i="27"/>
  <c r="H551" i="27"/>
  <c r="H552" i="27"/>
  <c r="H553" i="27"/>
  <c r="H554" i="27"/>
  <c r="H555" i="27"/>
  <c r="H556" i="27"/>
  <c r="H557" i="27"/>
  <c r="H558" i="27"/>
  <c r="H559" i="27"/>
  <c r="H560" i="27"/>
  <c r="H561" i="27"/>
  <c r="H562" i="27"/>
  <c r="H563" i="27"/>
  <c r="H564" i="27"/>
  <c r="H565" i="27"/>
  <c r="H566" i="27"/>
  <c r="H567" i="27"/>
  <c r="H568" i="27"/>
  <c r="H569" i="27"/>
  <c r="H570" i="27"/>
  <c r="H571" i="27"/>
  <c r="H572" i="27"/>
  <c r="H573" i="27"/>
  <c r="H574" i="27"/>
  <c r="H575" i="27"/>
  <c r="H576" i="27"/>
  <c r="H577" i="27"/>
  <c r="H578" i="27"/>
  <c r="H579" i="27"/>
  <c r="H580" i="27"/>
  <c r="H581" i="27"/>
  <c r="H582" i="27"/>
  <c r="H583" i="27"/>
  <c r="H584" i="27"/>
  <c r="H585" i="27"/>
  <c r="H586" i="27"/>
  <c r="H587" i="27"/>
  <c r="H588" i="27"/>
  <c r="H589" i="27"/>
  <c r="H590" i="27"/>
  <c r="H591" i="27"/>
  <c r="H592" i="27"/>
  <c r="H593" i="27"/>
  <c r="H594" i="27"/>
  <c r="H595" i="27"/>
  <c r="H596" i="27"/>
  <c r="H597" i="27"/>
  <c r="H598" i="27"/>
  <c r="H599" i="27"/>
  <c r="H600" i="27"/>
  <c r="H601" i="27"/>
  <c r="H602" i="27"/>
  <c r="H603" i="27"/>
  <c r="H604" i="27"/>
  <c r="H605" i="27"/>
  <c r="H606" i="27"/>
  <c r="H607" i="27"/>
  <c r="H608" i="27"/>
  <c r="H609" i="27"/>
  <c r="H610" i="27"/>
  <c r="H611" i="27"/>
  <c r="H612" i="27"/>
  <c r="H613" i="27"/>
  <c r="H614" i="27"/>
  <c r="H615" i="27"/>
  <c r="H616" i="27"/>
  <c r="H617" i="27"/>
  <c r="H618" i="27"/>
  <c r="H619" i="27"/>
  <c r="H620" i="27"/>
  <c r="H621" i="27"/>
  <c r="H622" i="27"/>
  <c r="H623" i="27"/>
  <c r="H624" i="27"/>
  <c r="H625" i="27"/>
  <c r="H626" i="27"/>
  <c r="H627" i="27"/>
  <c r="H628" i="27"/>
  <c r="H629" i="27"/>
  <c r="H630" i="27"/>
  <c r="H631" i="27"/>
  <c r="H632" i="27"/>
  <c r="H633" i="27"/>
  <c r="H634" i="27"/>
  <c r="H635" i="27"/>
  <c r="H636" i="27"/>
  <c r="H637" i="27"/>
  <c r="H638" i="27"/>
  <c r="H639" i="27"/>
  <c r="H640" i="27"/>
  <c r="H641" i="27"/>
  <c r="H642" i="27"/>
  <c r="H643" i="27"/>
  <c r="H644" i="27"/>
  <c r="H645" i="27"/>
  <c r="H646" i="27"/>
  <c r="H647" i="27"/>
  <c r="H648" i="27"/>
  <c r="H649" i="27"/>
  <c r="H650" i="27"/>
  <c r="H651" i="27"/>
  <c r="H652" i="27"/>
  <c r="H653" i="27"/>
  <c r="H654" i="27"/>
  <c r="H655" i="27"/>
  <c r="H656" i="27"/>
  <c r="H657" i="27"/>
  <c r="H658" i="27"/>
  <c r="H659" i="27"/>
  <c r="H660" i="27"/>
  <c r="H661" i="27"/>
  <c r="H662" i="27"/>
  <c r="H663" i="27"/>
  <c r="H664" i="27"/>
  <c r="H665" i="27"/>
  <c r="H666" i="27"/>
  <c r="H667" i="27"/>
  <c r="H668" i="27"/>
  <c r="H669" i="27"/>
  <c r="H670" i="27"/>
  <c r="H671" i="27"/>
  <c r="H672" i="27"/>
  <c r="H673" i="27"/>
  <c r="H674" i="27"/>
  <c r="H675" i="27"/>
  <c r="H676" i="27"/>
  <c r="H677" i="27"/>
  <c r="H678" i="27"/>
  <c r="H679" i="27"/>
  <c r="H680" i="27"/>
  <c r="H681" i="27"/>
  <c r="H682" i="27"/>
  <c r="H683" i="27"/>
  <c r="H684" i="27"/>
  <c r="H685" i="27"/>
  <c r="H686" i="27"/>
  <c r="H687" i="27"/>
  <c r="H688" i="27"/>
  <c r="H689" i="27"/>
  <c r="H690" i="27"/>
  <c r="H691" i="27"/>
  <c r="H692" i="27"/>
  <c r="H693" i="27"/>
  <c r="H694" i="27"/>
  <c r="H695" i="27"/>
  <c r="H696" i="27"/>
  <c r="H697" i="27"/>
  <c r="H698" i="27"/>
  <c r="H699" i="27"/>
  <c r="H700" i="27"/>
  <c r="H701" i="27"/>
  <c r="H702" i="27"/>
  <c r="H703" i="27"/>
  <c r="H704" i="27"/>
  <c r="H705" i="27"/>
  <c r="H706" i="27"/>
  <c r="H707" i="27"/>
  <c r="H708" i="27"/>
  <c r="H709" i="27"/>
  <c r="H710" i="27"/>
  <c r="H711" i="27"/>
  <c r="H712" i="27"/>
  <c r="H713" i="27"/>
  <c r="H714" i="27"/>
  <c r="H715" i="27"/>
  <c r="H716" i="27"/>
  <c r="H717" i="27"/>
  <c r="H718" i="27"/>
  <c r="H719" i="27"/>
  <c r="H720" i="27"/>
  <c r="H721" i="27"/>
  <c r="H722" i="27"/>
  <c r="H723" i="27"/>
  <c r="H724" i="27"/>
  <c r="H725" i="27"/>
  <c r="H726" i="27"/>
  <c r="H727" i="27"/>
  <c r="H728" i="27"/>
  <c r="H729" i="27"/>
  <c r="H730" i="27"/>
  <c r="H731" i="27"/>
  <c r="H732" i="27"/>
  <c r="H733" i="27"/>
  <c r="H734" i="27"/>
  <c r="H735" i="27"/>
  <c r="H736" i="27"/>
  <c r="H737" i="27"/>
  <c r="H738" i="27"/>
  <c r="H739" i="27"/>
  <c r="H740" i="27"/>
  <c r="H741" i="27"/>
  <c r="H742" i="27"/>
  <c r="H743" i="27"/>
  <c r="H744" i="27"/>
  <c r="H745" i="27"/>
  <c r="H746" i="27"/>
  <c r="H747" i="27"/>
  <c r="H748" i="27"/>
  <c r="H749" i="27"/>
  <c r="H750" i="27"/>
  <c r="H751" i="27"/>
  <c r="H752" i="27"/>
  <c r="H753" i="27"/>
  <c r="H754" i="27"/>
  <c r="H755" i="27"/>
  <c r="H756" i="27"/>
  <c r="H757" i="27"/>
  <c r="H758" i="27"/>
  <c r="H759" i="27"/>
  <c r="H760" i="27"/>
  <c r="H761" i="27"/>
  <c r="H762" i="27"/>
  <c r="H763" i="27"/>
  <c r="H764" i="27"/>
  <c r="H765" i="27"/>
  <c r="H766" i="27"/>
  <c r="H767" i="27"/>
  <c r="H768" i="27"/>
  <c r="H769" i="27"/>
  <c r="H770" i="27"/>
  <c r="H771" i="27"/>
  <c r="H772" i="27"/>
  <c r="H773" i="27"/>
  <c r="H774" i="27"/>
  <c r="H775" i="27"/>
  <c r="H776" i="27"/>
  <c r="H777" i="27"/>
  <c r="H778" i="27"/>
  <c r="H779" i="27"/>
  <c r="H780" i="27"/>
  <c r="H781" i="27"/>
  <c r="H782" i="27"/>
  <c r="H783" i="27"/>
  <c r="H784" i="27"/>
  <c r="H785" i="27"/>
  <c r="H786" i="27"/>
  <c r="H787" i="27"/>
  <c r="H788" i="27"/>
  <c r="H789" i="27"/>
  <c r="H790" i="27"/>
  <c r="H791" i="27"/>
  <c r="H792" i="27"/>
  <c r="H793" i="27"/>
  <c r="H794" i="27"/>
  <c r="H795" i="27"/>
  <c r="H796" i="27"/>
  <c r="H797" i="27"/>
  <c r="H798" i="27"/>
  <c r="H799" i="27"/>
  <c r="H800" i="27"/>
  <c r="H801" i="27"/>
  <c r="H802" i="27"/>
  <c r="H803" i="27"/>
  <c r="H804" i="27"/>
  <c r="H805" i="27"/>
  <c r="H806" i="27"/>
  <c r="H807" i="27"/>
  <c r="H808" i="27"/>
  <c r="H809" i="27"/>
  <c r="H810" i="27"/>
  <c r="H811" i="27"/>
  <c r="H812" i="27"/>
  <c r="H813" i="27"/>
  <c r="H814" i="27"/>
  <c r="H815" i="27"/>
  <c r="H816" i="27"/>
  <c r="H817" i="27"/>
  <c r="H818" i="27"/>
  <c r="H819" i="27"/>
  <c r="H820" i="27"/>
  <c r="H821" i="27"/>
  <c r="H822" i="27"/>
  <c r="H823" i="27"/>
  <c r="H824" i="27"/>
  <c r="H825" i="27"/>
  <c r="H826" i="27"/>
  <c r="H827" i="27"/>
  <c r="H828" i="27"/>
  <c r="H829" i="27"/>
  <c r="H830" i="27"/>
  <c r="H831" i="27"/>
  <c r="H832" i="27"/>
  <c r="H833" i="27"/>
  <c r="H834" i="27"/>
  <c r="H835" i="27"/>
  <c r="H836" i="27"/>
  <c r="H837" i="27"/>
  <c r="H838" i="27"/>
  <c r="H839" i="27"/>
  <c r="H840" i="27"/>
  <c r="H841" i="27"/>
  <c r="H842" i="27"/>
  <c r="H843" i="27"/>
  <c r="H844" i="27"/>
  <c r="H845" i="27"/>
  <c r="H846" i="27"/>
  <c r="H847" i="27"/>
  <c r="H848" i="27"/>
  <c r="H849" i="27"/>
  <c r="H850" i="27"/>
  <c r="H851" i="27"/>
  <c r="H852" i="27"/>
  <c r="H853" i="27"/>
  <c r="H854" i="27"/>
  <c r="H855" i="27"/>
  <c r="H856" i="27"/>
  <c r="H857" i="27"/>
  <c r="H858" i="27"/>
  <c r="H859" i="27"/>
  <c r="H860" i="27"/>
  <c r="H861" i="27"/>
  <c r="H862" i="27"/>
  <c r="H863" i="27"/>
  <c r="H864" i="27"/>
  <c r="H865" i="27"/>
  <c r="H866" i="27"/>
  <c r="H867" i="27"/>
  <c r="H868" i="27"/>
  <c r="H869" i="27"/>
  <c r="H870" i="27"/>
  <c r="H871" i="27"/>
  <c r="H872" i="27"/>
  <c r="H873" i="27"/>
  <c r="H874" i="27"/>
  <c r="H875" i="27"/>
  <c r="H876" i="27"/>
  <c r="H877" i="27"/>
  <c r="H878" i="27"/>
  <c r="H879" i="27"/>
  <c r="H880" i="27"/>
  <c r="H881" i="27"/>
  <c r="H882" i="27"/>
  <c r="H883" i="27"/>
  <c r="H884" i="27"/>
  <c r="H885" i="27"/>
  <c r="H886" i="27"/>
  <c r="H887" i="27"/>
  <c r="H888" i="27"/>
  <c r="H889" i="27"/>
  <c r="H890" i="27"/>
  <c r="H891" i="27"/>
  <c r="H892" i="27"/>
  <c r="H893" i="27"/>
  <c r="H894" i="27"/>
  <c r="H895" i="27"/>
  <c r="H896" i="27"/>
  <c r="H897" i="27"/>
  <c r="H898" i="27"/>
  <c r="H899" i="27"/>
  <c r="H900" i="27"/>
  <c r="H901" i="27"/>
  <c r="H902" i="27"/>
  <c r="H903" i="27"/>
  <c r="H904" i="27"/>
  <c r="H905" i="27"/>
  <c r="H906" i="27"/>
  <c r="H907" i="27"/>
  <c r="H908" i="27"/>
  <c r="H909" i="27"/>
  <c r="H910" i="27"/>
  <c r="H911" i="27"/>
  <c r="H912" i="27"/>
  <c r="H913" i="27"/>
  <c r="H914" i="27"/>
  <c r="H915" i="27"/>
  <c r="H916" i="27"/>
  <c r="H917" i="27"/>
  <c r="H918" i="27"/>
  <c r="H919" i="27"/>
  <c r="H920" i="27"/>
  <c r="H921" i="27"/>
  <c r="H922" i="27"/>
  <c r="H923" i="27"/>
  <c r="H924" i="27"/>
  <c r="H925" i="27"/>
  <c r="H926" i="27"/>
  <c r="H927" i="27"/>
  <c r="H928" i="27"/>
  <c r="H929" i="27"/>
  <c r="H930" i="27"/>
  <c r="H931" i="27"/>
  <c r="H932" i="27"/>
  <c r="H933" i="27"/>
  <c r="H934" i="27"/>
  <c r="H935" i="27"/>
  <c r="H936" i="27"/>
  <c r="H937" i="27"/>
  <c r="H938" i="27"/>
  <c r="H939" i="27"/>
  <c r="H940" i="27"/>
  <c r="H941" i="27"/>
  <c r="H942" i="27"/>
  <c r="H943" i="27"/>
  <c r="H944" i="27"/>
  <c r="H945" i="27"/>
  <c r="H946" i="27"/>
  <c r="H947" i="27"/>
  <c r="H948" i="27"/>
  <c r="H949" i="27"/>
  <c r="H950" i="27"/>
  <c r="H951" i="27"/>
  <c r="H952" i="27"/>
  <c r="H953" i="27"/>
  <c r="H954" i="27"/>
  <c r="H955" i="27"/>
  <c r="H956" i="27"/>
  <c r="H957" i="27"/>
  <c r="H958" i="27"/>
  <c r="H959" i="27"/>
  <c r="H960" i="27"/>
  <c r="H961" i="27"/>
  <c r="H962" i="27"/>
  <c r="H963" i="27"/>
  <c r="H964" i="27"/>
  <c r="H965" i="27"/>
  <c r="H966" i="27"/>
  <c r="H967" i="27"/>
  <c r="H968" i="27"/>
  <c r="H969" i="27"/>
  <c r="H970" i="27"/>
  <c r="H971" i="27"/>
  <c r="H972" i="27"/>
  <c r="H973" i="27"/>
  <c r="H974" i="27"/>
  <c r="H975" i="27"/>
  <c r="H976" i="27"/>
  <c r="H977" i="27"/>
  <c r="H978" i="27"/>
  <c r="H979" i="27"/>
  <c r="H980" i="27"/>
  <c r="H981" i="27"/>
  <c r="H982" i="27"/>
  <c r="H983" i="27"/>
  <c r="H984" i="27"/>
  <c r="H985" i="27"/>
  <c r="H986" i="27"/>
  <c r="H987" i="27"/>
  <c r="H988" i="27"/>
  <c r="H989" i="27"/>
  <c r="H990" i="27"/>
  <c r="H991" i="27"/>
  <c r="H992" i="27"/>
  <c r="H993" i="27"/>
  <c r="H994" i="27"/>
  <c r="H995" i="27"/>
  <c r="H996" i="27"/>
  <c r="H997" i="27"/>
  <c r="H998" i="27"/>
  <c r="H999" i="27"/>
  <c r="H1000" i="27"/>
  <c r="H1001" i="27"/>
  <c r="H1002" i="27"/>
  <c r="H1003" i="27"/>
  <c r="H1004" i="27"/>
  <c r="H1005" i="27"/>
  <c r="H1006" i="27"/>
  <c r="H1007" i="27"/>
  <c r="H1008" i="27"/>
  <c r="H1009" i="27"/>
  <c r="H1010" i="27"/>
  <c r="H1011" i="27"/>
  <c r="H1012" i="27"/>
  <c r="H1013" i="27"/>
  <c r="H1014" i="27"/>
  <c r="H1015" i="27"/>
  <c r="H1016" i="27"/>
  <c r="H1017" i="27"/>
  <c r="H1018" i="27"/>
  <c r="H1019" i="27"/>
  <c r="H1020" i="27"/>
  <c r="H1021" i="27"/>
  <c r="H1022" i="27"/>
  <c r="H1023" i="27"/>
  <c r="H1024" i="27"/>
  <c r="H1025" i="27"/>
  <c r="H1026" i="27"/>
  <c r="H1027" i="27"/>
  <c r="H1028" i="27"/>
  <c r="H1029" i="27"/>
  <c r="H1030" i="27"/>
  <c r="H1031" i="27"/>
  <c r="H1032" i="27"/>
  <c r="H1033" i="27"/>
  <c r="H1034" i="27"/>
  <c r="H1035" i="27"/>
  <c r="H1036" i="27"/>
  <c r="H1037" i="27"/>
  <c r="H1038" i="27"/>
  <c r="H1039" i="27"/>
  <c r="H1040" i="27"/>
  <c r="H1041" i="27"/>
  <c r="H1042" i="27"/>
  <c r="H1043" i="27"/>
  <c r="H1044" i="27"/>
  <c r="H1045" i="27"/>
  <c r="H1046" i="27"/>
  <c r="H1047" i="27"/>
  <c r="H1048" i="27"/>
  <c r="H1049" i="27"/>
  <c r="H1050" i="27"/>
  <c r="H1051" i="27"/>
  <c r="H1052" i="27"/>
  <c r="H1053" i="27"/>
  <c r="H1054" i="27"/>
  <c r="H1055" i="27"/>
  <c r="H1056" i="27"/>
  <c r="H1057" i="27"/>
  <c r="H1058" i="27"/>
  <c r="H1059" i="27"/>
  <c r="H1060" i="27"/>
  <c r="H1061" i="27"/>
  <c r="H1062" i="27"/>
  <c r="H1063" i="27"/>
  <c r="H1064" i="27"/>
  <c r="H1065" i="27"/>
  <c r="H1066" i="27"/>
  <c r="H1067" i="27"/>
  <c r="H1068" i="27"/>
  <c r="H1069" i="27"/>
  <c r="H1070" i="27"/>
  <c r="H1071" i="27"/>
  <c r="H1072" i="27"/>
  <c r="H1073" i="27"/>
  <c r="H1074" i="27"/>
  <c r="H1075" i="27"/>
  <c r="H1076" i="27"/>
  <c r="H1077" i="27"/>
  <c r="H1078" i="27"/>
  <c r="H1079" i="27"/>
  <c r="H1080" i="27"/>
  <c r="H1081" i="27"/>
  <c r="H1082" i="27"/>
  <c r="H1083" i="27"/>
  <c r="H1084" i="27"/>
  <c r="H1085" i="27"/>
  <c r="H1086" i="27"/>
  <c r="H1087" i="27"/>
  <c r="H1088" i="27"/>
  <c r="H1089" i="27"/>
  <c r="H1090" i="27"/>
  <c r="H1091" i="27"/>
  <c r="H1092" i="27"/>
  <c r="H1093" i="27"/>
  <c r="H1094" i="27"/>
  <c r="H1095" i="27"/>
  <c r="H1096" i="27"/>
  <c r="H1097" i="27"/>
  <c r="H1098" i="27"/>
  <c r="H1099" i="27"/>
  <c r="H1100" i="27"/>
  <c r="H1101" i="27"/>
  <c r="H1102" i="27"/>
  <c r="H1103" i="27"/>
  <c r="H1104" i="27"/>
  <c r="H1105" i="27"/>
  <c r="H1106" i="27"/>
  <c r="H1107" i="27"/>
  <c r="H1108" i="27"/>
  <c r="H1109" i="27"/>
  <c r="H1110" i="27"/>
  <c r="H1111" i="27"/>
  <c r="H1112" i="27"/>
  <c r="H1113" i="27"/>
  <c r="H1114" i="27"/>
  <c r="H1115" i="27"/>
  <c r="H1116" i="27"/>
  <c r="H1117" i="27"/>
  <c r="H1118" i="27"/>
  <c r="H1119" i="27"/>
  <c r="H1120" i="27"/>
  <c r="H1121" i="27"/>
  <c r="H1122" i="27"/>
  <c r="H1123" i="27"/>
  <c r="H1124" i="27"/>
  <c r="H1125" i="27"/>
  <c r="H1126" i="27"/>
  <c r="H1127" i="27"/>
  <c r="H1128" i="27"/>
  <c r="H1129" i="27"/>
  <c r="H1130" i="27"/>
  <c r="H1131" i="27"/>
  <c r="H1132" i="27"/>
  <c r="H1133" i="27"/>
  <c r="H1134" i="27"/>
  <c r="H1135" i="27"/>
  <c r="H1136" i="27"/>
  <c r="H1137" i="27"/>
  <c r="H1138" i="27"/>
  <c r="H1139" i="27"/>
  <c r="H1140" i="27"/>
  <c r="H1141" i="27"/>
  <c r="H1142" i="27"/>
  <c r="H1143" i="27"/>
  <c r="H1144" i="27"/>
  <c r="H1145" i="27"/>
  <c r="H1146" i="27"/>
  <c r="H1147" i="27"/>
  <c r="H1148" i="27"/>
  <c r="H1149" i="27"/>
  <c r="H1150" i="27"/>
  <c r="H1151" i="27"/>
  <c r="H1152" i="27"/>
  <c r="H1153" i="27"/>
  <c r="H1154" i="27"/>
  <c r="H1155" i="27"/>
  <c r="H1156" i="27"/>
  <c r="H1157" i="27"/>
  <c r="H1158" i="27"/>
  <c r="H1159" i="27"/>
  <c r="H1160" i="27"/>
  <c r="H1161" i="27"/>
  <c r="H1162" i="27"/>
  <c r="H1163" i="27"/>
  <c r="H1164" i="27"/>
  <c r="H1165" i="27"/>
  <c r="H1166" i="27"/>
  <c r="H1167" i="27"/>
  <c r="H1168" i="27"/>
  <c r="H1169" i="27"/>
  <c r="H1170" i="27"/>
  <c r="H1171" i="27"/>
  <c r="H1172" i="27"/>
  <c r="H1173" i="27"/>
  <c r="H1174" i="27"/>
  <c r="H1175" i="27"/>
  <c r="H1176" i="27"/>
  <c r="H1177" i="27"/>
  <c r="H1178" i="27"/>
  <c r="H1179" i="27"/>
  <c r="H1180" i="27"/>
  <c r="H1181" i="27"/>
  <c r="H1182" i="27"/>
  <c r="H1183" i="27"/>
  <c r="H1184" i="27"/>
  <c r="H1185" i="27"/>
  <c r="H1186" i="27"/>
  <c r="H1187" i="27"/>
  <c r="H1188" i="27"/>
  <c r="H1189" i="27"/>
  <c r="H1190" i="27"/>
  <c r="H1191" i="27"/>
  <c r="H1192" i="27"/>
  <c r="H1193" i="27"/>
  <c r="H1194" i="27"/>
  <c r="H1195" i="27"/>
  <c r="H1196" i="27"/>
  <c r="H1197" i="27"/>
  <c r="H1198" i="27"/>
  <c r="H1199" i="27"/>
  <c r="H1200" i="27"/>
  <c r="H1201" i="27"/>
  <c r="H2" i="27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B501" i="27"/>
  <c r="B502" i="27"/>
  <c r="B503" i="27"/>
  <c r="B504" i="27"/>
  <c r="B505" i="27"/>
  <c r="B506" i="27"/>
  <c r="B507" i="27"/>
  <c r="B508" i="27"/>
  <c r="B509" i="27"/>
  <c r="B510" i="27"/>
  <c r="B511" i="27"/>
  <c r="B512" i="27"/>
  <c r="B513" i="27"/>
  <c r="B514" i="27"/>
  <c r="B515" i="27"/>
  <c r="B516" i="27"/>
  <c r="B517" i="27"/>
  <c r="B518" i="27"/>
  <c r="B519" i="27"/>
  <c r="B520" i="27"/>
  <c r="B521" i="27"/>
  <c r="B522" i="27"/>
  <c r="B523" i="27"/>
  <c r="B524" i="27"/>
  <c r="B525" i="27"/>
  <c r="B526" i="27"/>
  <c r="B527" i="27"/>
  <c r="B528" i="27"/>
  <c r="B529" i="27"/>
  <c r="B530" i="27"/>
  <c r="B531" i="27"/>
  <c r="B532" i="27"/>
  <c r="B533" i="27"/>
  <c r="B534" i="27"/>
  <c r="B535" i="27"/>
  <c r="B536" i="27"/>
  <c r="B537" i="27"/>
  <c r="B538" i="27"/>
  <c r="B539" i="27"/>
  <c r="B540" i="27"/>
  <c r="B541" i="27"/>
  <c r="B542" i="27"/>
  <c r="B543" i="27"/>
  <c r="B544" i="27"/>
  <c r="B545" i="27"/>
  <c r="B546" i="27"/>
  <c r="B547" i="27"/>
  <c r="B548" i="27"/>
  <c r="B549" i="27"/>
  <c r="B550" i="27"/>
  <c r="B551" i="27"/>
  <c r="B552" i="27"/>
  <c r="B553" i="27"/>
  <c r="B554" i="27"/>
  <c r="B555" i="27"/>
  <c r="B556" i="27"/>
  <c r="B557" i="27"/>
  <c r="B558" i="27"/>
  <c r="B559" i="27"/>
  <c r="B560" i="27"/>
  <c r="B561" i="27"/>
  <c r="B562" i="27"/>
  <c r="B563" i="27"/>
  <c r="B564" i="27"/>
  <c r="B565" i="27"/>
  <c r="B566" i="27"/>
  <c r="B567" i="27"/>
  <c r="B568" i="27"/>
  <c r="B569" i="27"/>
  <c r="B570" i="27"/>
  <c r="B571" i="27"/>
  <c r="B572" i="27"/>
  <c r="B573" i="27"/>
  <c r="B574" i="27"/>
  <c r="B575" i="27"/>
  <c r="B576" i="27"/>
  <c r="B577" i="27"/>
  <c r="B578" i="27"/>
  <c r="B579" i="27"/>
  <c r="B580" i="27"/>
  <c r="B581" i="27"/>
  <c r="B582" i="27"/>
  <c r="B583" i="27"/>
  <c r="B584" i="27"/>
  <c r="B585" i="27"/>
  <c r="B586" i="27"/>
  <c r="B587" i="27"/>
  <c r="B588" i="27"/>
  <c r="B589" i="27"/>
  <c r="B590" i="27"/>
  <c r="B591" i="27"/>
  <c r="B592" i="27"/>
  <c r="B593" i="27"/>
  <c r="B594" i="27"/>
  <c r="B595" i="27"/>
  <c r="B596" i="27"/>
  <c r="B597" i="27"/>
  <c r="B598" i="27"/>
  <c r="B599" i="27"/>
  <c r="B600" i="27"/>
  <c r="B601" i="27"/>
  <c r="B602" i="27"/>
  <c r="B603" i="27"/>
  <c r="B604" i="27"/>
  <c r="B605" i="27"/>
  <c r="B606" i="27"/>
  <c r="B607" i="27"/>
  <c r="B608" i="27"/>
  <c r="B609" i="27"/>
  <c r="B610" i="27"/>
  <c r="B611" i="27"/>
  <c r="B612" i="27"/>
  <c r="B613" i="27"/>
  <c r="B614" i="27"/>
  <c r="B615" i="27"/>
  <c r="B616" i="27"/>
  <c r="B617" i="27"/>
  <c r="B618" i="27"/>
  <c r="B619" i="27"/>
  <c r="B620" i="27"/>
  <c r="B621" i="27"/>
  <c r="B622" i="27"/>
  <c r="B623" i="27"/>
  <c r="B624" i="27"/>
  <c r="B625" i="27"/>
  <c r="B626" i="27"/>
  <c r="B627" i="27"/>
  <c r="B628" i="27"/>
  <c r="B629" i="27"/>
  <c r="B630" i="27"/>
  <c r="B631" i="27"/>
  <c r="B632" i="27"/>
  <c r="B633" i="27"/>
  <c r="B634" i="27"/>
  <c r="B635" i="27"/>
  <c r="B636" i="27"/>
  <c r="B637" i="27"/>
  <c r="B638" i="27"/>
  <c r="B639" i="27"/>
  <c r="B640" i="27"/>
  <c r="B641" i="27"/>
  <c r="B642" i="27"/>
  <c r="B643" i="27"/>
  <c r="B644" i="27"/>
  <c r="B645" i="27"/>
  <c r="B646" i="27"/>
  <c r="B647" i="27"/>
  <c r="B648" i="27"/>
  <c r="B649" i="27"/>
  <c r="B650" i="27"/>
  <c r="B651" i="27"/>
  <c r="B652" i="27"/>
  <c r="B653" i="27"/>
  <c r="B654" i="27"/>
  <c r="B655" i="27"/>
  <c r="B656" i="27"/>
  <c r="B657" i="27"/>
  <c r="B658" i="27"/>
  <c r="B659" i="27"/>
  <c r="B660" i="27"/>
  <c r="B661" i="27"/>
  <c r="B662" i="27"/>
  <c r="B663" i="27"/>
  <c r="B664" i="27"/>
  <c r="B665" i="27"/>
  <c r="B666" i="27"/>
  <c r="B667" i="27"/>
  <c r="B668" i="27"/>
  <c r="B669" i="27"/>
  <c r="B670" i="27"/>
  <c r="B671" i="27"/>
  <c r="B672" i="27"/>
  <c r="B673" i="27"/>
  <c r="B674" i="27"/>
  <c r="B675" i="27"/>
  <c r="B676" i="27"/>
  <c r="B677" i="27"/>
  <c r="B678" i="27"/>
  <c r="B679" i="27"/>
  <c r="B680" i="27"/>
  <c r="B681" i="27"/>
  <c r="B682" i="27"/>
  <c r="B683" i="27"/>
  <c r="B684" i="27"/>
  <c r="B685" i="27"/>
  <c r="B686" i="27"/>
  <c r="B687" i="27"/>
  <c r="B688" i="27"/>
  <c r="B689" i="27"/>
  <c r="B690" i="27"/>
  <c r="B691" i="27"/>
  <c r="B692" i="27"/>
  <c r="B693" i="27"/>
  <c r="B694" i="27"/>
  <c r="B695" i="27"/>
  <c r="B696" i="27"/>
  <c r="B697" i="27"/>
  <c r="B698" i="27"/>
  <c r="B699" i="27"/>
  <c r="B700" i="27"/>
  <c r="B701" i="27"/>
  <c r="B702" i="27"/>
  <c r="B703" i="27"/>
  <c r="B704" i="27"/>
  <c r="B705" i="27"/>
  <c r="B706" i="27"/>
  <c r="B707" i="27"/>
  <c r="B708" i="27"/>
  <c r="B709" i="27"/>
  <c r="B710" i="27"/>
  <c r="B711" i="27"/>
  <c r="B712" i="27"/>
  <c r="B713" i="27"/>
  <c r="B714" i="27"/>
  <c r="B715" i="27"/>
  <c r="B716" i="27"/>
  <c r="B717" i="27"/>
  <c r="B718" i="27"/>
  <c r="B719" i="27"/>
  <c r="B720" i="27"/>
  <c r="B721" i="27"/>
  <c r="B722" i="27"/>
  <c r="B723" i="27"/>
  <c r="B724" i="27"/>
  <c r="B725" i="27"/>
  <c r="B726" i="27"/>
  <c r="B727" i="27"/>
  <c r="B728" i="27"/>
  <c r="B729" i="27"/>
  <c r="B730" i="27"/>
  <c r="B731" i="27"/>
  <c r="B732" i="27"/>
  <c r="B733" i="27"/>
  <c r="B734" i="27"/>
  <c r="B735" i="27"/>
  <c r="B736" i="27"/>
  <c r="B737" i="27"/>
  <c r="B738" i="27"/>
  <c r="B739" i="27"/>
  <c r="B740" i="27"/>
  <c r="B741" i="27"/>
  <c r="B742" i="27"/>
  <c r="B743" i="27"/>
  <c r="B744" i="27"/>
  <c r="B745" i="27"/>
  <c r="B746" i="27"/>
  <c r="B747" i="27"/>
  <c r="B748" i="27"/>
  <c r="B749" i="27"/>
  <c r="B750" i="27"/>
  <c r="B751" i="27"/>
  <c r="B752" i="27"/>
  <c r="B753" i="27"/>
  <c r="B754" i="27"/>
  <c r="B755" i="27"/>
  <c r="B756" i="27"/>
  <c r="B757" i="27"/>
  <c r="B758" i="27"/>
  <c r="B759" i="27"/>
  <c r="B760" i="27"/>
  <c r="B761" i="27"/>
  <c r="B762" i="27"/>
  <c r="B763" i="27"/>
  <c r="B764" i="27"/>
  <c r="B765" i="27"/>
  <c r="B766" i="27"/>
  <c r="B767" i="27"/>
  <c r="B768" i="27"/>
  <c r="B769" i="27"/>
  <c r="B770" i="27"/>
  <c r="B771" i="27"/>
  <c r="B772" i="27"/>
  <c r="B773" i="27"/>
  <c r="B774" i="27"/>
  <c r="B775" i="27"/>
  <c r="B776" i="27"/>
  <c r="B777" i="27"/>
  <c r="B778" i="27"/>
  <c r="B779" i="27"/>
  <c r="B780" i="27"/>
  <c r="B781" i="27"/>
  <c r="B782" i="27"/>
  <c r="B783" i="27"/>
  <c r="B784" i="27"/>
  <c r="B785" i="27"/>
  <c r="B786" i="27"/>
  <c r="B787" i="27"/>
  <c r="B788" i="27"/>
  <c r="B789" i="27"/>
  <c r="B790" i="27"/>
  <c r="B791" i="27"/>
  <c r="B792" i="27"/>
  <c r="B793" i="27"/>
  <c r="B794" i="27"/>
  <c r="B795" i="27"/>
  <c r="B796" i="27"/>
  <c r="B797" i="27"/>
  <c r="B798" i="27"/>
  <c r="B799" i="27"/>
  <c r="B800" i="27"/>
  <c r="B801" i="27"/>
  <c r="B802" i="27"/>
  <c r="B803" i="27"/>
  <c r="B804" i="27"/>
  <c r="B805" i="27"/>
  <c r="B806" i="27"/>
  <c r="B807" i="27"/>
  <c r="B808" i="27"/>
  <c r="B809" i="27"/>
  <c r="B810" i="27"/>
  <c r="B811" i="27"/>
  <c r="B812" i="27"/>
  <c r="B813" i="27"/>
  <c r="B814" i="27"/>
  <c r="B815" i="27"/>
  <c r="B816" i="27"/>
  <c r="B817" i="27"/>
  <c r="B818" i="27"/>
  <c r="B819" i="27"/>
  <c r="B820" i="27"/>
  <c r="B821" i="27"/>
  <c r="B822" i="27"/>
  <c r="B823" i="27"/>
  <c r="B824" i="27"/>
  <c r="B825" i="27"/>
  <c r="B826" i="27"/>
  <c r="B827" i="27"/>
  <c r="B828" i="27"/>
  <c r="B829" i="27"/>
  <c r="B830" i="27"/>
  <c r="B831" i="27"/>
  <c r="B832" i="27"/>
  <c r="B833" i="27"/>
  <c r="B834" i="27"/>
  <c r="B835" i="27"/>
  <c r="B836" i="27"/>
  <c r="B837" i="27"/>
  <c r="B838" i="27"/>
  <c r="B839" i="27"/>
  <c r="B840" i="27"/>
  <c r="B841" i="27"/>
  <c r="B842" i="27"/>
  <c r="B843" i="27"/>
  <c r="B844" i="27"/>
  <c r="B845" i="27"/>
  <c r="B846" i="27"/>
  <c r="B847" i="27"/>
  <c r="B848" i="27"/>
  <c r="B849" i="27"/>
  <c r="B850" i="27"/>
  <c r="B851" i="27"/>
  <c r="B852" i="27"/>
  <c r="B853" i="27"/>
  <c r="B854" i="27"/>
  <c r="B855" i="27"/>
  <c r="B856" i="27"/>
  <c r="B857" i="27"/>
  <c r="B858" i="27"/>
  <c r="B859" i="27"/>
  <c r="B860" i="27"/>
  <c r="B861" i="27"/>
  <c r="B862" i="27"/>
  <c r="B863" i="27"/>
  <c r="B864" i="27"/>
  <c r="B865" i="27"/>
  <c r="B866" i="27"/>
  <c r="B867" i="27"/>
  <c r="B868" i="27"/>
  <c r="B869" i="27"/>
  <c r="B870" i="27"/>
  <c r="B871" i="27"/>
  <c r="B872" i="27"/>
  <c r="B873" i="27"/>
  <c r="B874" i="27"/>
  <c r="B875" i="27"/>
  <c r="B876" i="27"/>
  <c r="B877" i="27"/>
  <c r="B878" i="27"/>
  <c r="B879" i="27"/>
  <c r="B880" i="27"/>
  <c r="B881" i="27"/>
  <c r="B882" i="27"/>
  <c r="B883" i="27"/>
  <c r="B884" i="27"/>
  <c r="B885" i="27"/>
  <c r="B886" i="27"/>
  <c r="B887" i="27"/>
  <c r="B888" i="27"/>
  <c r="B889" i="27"/>
  <c r="B890" i="27"/>
  <c r="B891" i="27"/>
  <c r="B892" i="27"/>
  <c r="B893" i="27"/>
  <c r="B894" i="27"/>
  <c r="B895" i="27"/>
  <c r="B896" i="27"/>
  <c r="B897" i="27"/>
  <c r="B898" i="27"/>
  <c r="B899" i="27"/>
  <c r="B900" i="27"/>
  <c r="B901" i="27"/>
  <c r="B902" i="27"/>
  <c r="B903" i="27"/>
  <c r="B904" i="27"/>
  <c r="B905" i="27"/>
  <c r="B906" i="27"/>
  <c r="B907" i="27"/>
  <c r="B908" i="27"/>
  <c r="B909" i="27"/>
  <c r="B910" i="27"/>
  <c r="B911" i="27"/>
  <c r="B912" i="27"/>
  <c r="B913" i="27"/>
  <c r="B914" i="27"/>
  <c r="B915" i="27"/>
  <c r="B916" i="27"/>
  <c r="B917" i="27"/>
  <c r="B918" i="27"/>
  <c r="B919" i="27"/>
  <c r="B920" i="27"/>
  <c r="B921" i="27"/>
  <c r="B922" i="27"/>
  <c r="B923" i="27"/>
  <c r="B924" i="27"/>
  <c r="B925" i="27"/>
  <c r="B926" i="27"/>
  <c r="B927" i="27"/>
  <c r="B928" i="27"/>
  <c r="B929" i="27"/>
  <c r="B930" i="27"/>
  <c r="B931" i="27"/>
  <c r="B932" i="27"/>
  <c r="B933" i="27"/>
  <c r="B934" i="27"/>
  <c r="B935" i="27"/>
  <c r="B936" i="27"/>
  <c r="B937" i="27"/>
  <c r="B938" i="27"/>
  <c r="B939" i="27"/>
  <c r="B940" i="27"/>
  <c r="B941" i="27"/>
  <c r="B942" i="27"/>
  <c r="B943" i="27"/>
  <c r="B944" i="27"/>
  <c r="B945" i="27"/>
  <c r="B946" i="27"/>
  <c r="B947" i="27"/>
  <c r="B948" i="27"/>
  <c r="B949" i="27"/>
  <c r="B950" i="27"/>
  <c r="B951" i="27"/>
  <c r="B952" i="27"/>
  <c r="B953" i="27"/>
  <c r="B954" i="27"/>
  <c r="B955" i="27"/>
  <c r="B956" i="27"/>
  <c r="B957" i="27"/>
  <c r="B958" i="27"/>
  <c r="B959" i="27"/>
  <c r="B960" i="27"/>
  <c r="B961" i="27"/>
  <c r="B962" i="27"/>
  <c r="B963" i="27"/>
  <c r="B964" i="27"/>
  <c r="B965" i="27"/>
  <c r="B966" i="27"/>
  <c r="B967" i="27"/>
  <c r="B968" i="27"/>
  <c r="B969" i="27"/>
  <c r="B970" i="27"/>
  <c r="B971" i="27"/>
  <c r="B972" i="27"/>
  <c r="B973" i="27"/>
  <c r="B974" i="27"/>
  <c r="B975" i="27"/>
  <c r="B976" i="27"/>
  <c r="B977" i="27"/>
  <c r="B978" i="27"/>
  <c r="B979" i="27"/>
  <c r="B980" i="27"/>
  <c r="B981" i="27"/>
  <c r="B982" i="27"/>
  <c r="B983" i="27"/>
  <c r="B984" i="27"/>
  <c r="B985" i="27"/>
  <c r="B986" i="27"/>
  <c r="B987" i="27"/>
  <c r="B988" i="27"/>
  <c r="B989" i="27"/>
  <c r="B990" i="27"/>
  <c r="B991" i="27"/>
  <c r="B992" i="27"/>
  <c r="B993" i="27"/>
  <c r="B994" i="27"/>
  <c r="B995" i="27"/>
  <c r="B996" i="27"/>
  <c r="B997" i="27"/>
  <c r="B998" i="27"/>
  <c r="B999" i="27"/>
  <c r="B1000" i="27"/>
  <c r="B1001" i="27"/>
  <c r="B1002" i="27"/>
  <c r="B1003" i="27"/>
  <c r="B1004" i="27"/>
  <c r="B1005" i="27"/>
  <c r="B1006" i="27"/>
  <c r="B1007" i="27"/>
  <c r="B1008" i="27"/>
  <c r="B1009" i="27"/>
  <c r="B1010" i="27"/>
  <c r="B1011" i="27"/>
  <c r="B1012" i="27"/>
  <c r="B1013" i="27"/>
  <c r="B1014" i="27"/>
  <c r="B1015" i="27"/>
  <c r="B1016" i="27"/>
  <c r="B1017" i="27"/>
  <c r="B1018" i="27"/>
  <c r="B1019" i="27"/>
  <c r="B1020" i="27"/>
  <c r="B1021" i="27"/>
  <c r="B1022" i="27"/>
  <c r="B1023" i="27"/>
  <c r="B1024" i="27"/>
  <c r="B1025" i="27"/>
  <c r="B1026" i="27"/>
  <c r="B1027" i="27"/>
  <c r="B1028" i="27"/>
  <c r="B1029" i="27"/>
  <c r="B1030" i="27"/>
  <c r="B1031" i="27"/>
  <c r="B1032" i="27"/>
  <c r="B1033" i="27"/>
  <c r="B1034" i="27"/>
  <c r="B1035" i="27"/>
  <c r="B1036" i="27"/>
  <c r="B1037" i="27"/>
  <c r="B1038" i="27"/>
  <c r="B1039" i="27"/>
  <c r="B1040" i="27"/>
  <c r="B1041" i="27"/>
  <c r="B1042" i="27"/>
  <c r="B1043" i="27"/>
  <c r="B1044" i="27"/>
  <c r="B1045" i="27"/>
  <c r="B1046" i="27"/>
  <c r="B1047" i="27"/>
  <c r="B1048" i="27"/>
  <c r="B1049" i="27"/>
  <c r="B1050" i="27"/>
  <c r="B1051" i="27"/>
  <c r="B1052" i="27"/>
  <c r="B1053" i="27"/>
  <c r="B1054" i="27"/>
  <c r="B1055" i="27"/>
  <c r="B1056" i="27"/>
  <c r="B1057" i="27"/>
  <c r="B1058" i="27"/>
  <c r="B1059" i="27"/>
  <c r="B1060" i="27"/>
  <c r="B1061" i="27"/>
  <c r="B1062" i="27"/>
  <c r="B1063" i="27"/>
  <c r="B1064" i="27"/>
  <c r="B1065" i="27"/>
  <c r="B1066" i="27"/>
  <c r="B1067" i="27"/>
  <c r="B1068" i="27"/>
  <c r="B1069" i="27"/>
  <c r="B1070" i="27"/>
  <c r="B1071" i="27"/>
  <c r="B1072" i="27"/>
  <c r="B1073" i="27"/>
  <c r="B1074" i="27"/>
  <c r="B1075" i="27"/>
  <c r="B1076" i="27"/>
  <c r="B1077" i="27"/>
  <c r="B1078" i="27"/>
  <c r="B1079" i="27"/>
  <c r="B1080" i="27"/>
  <c r="B1081" i="27"/>
  <c r="B1082" i="27"/>
  <c r="B1083" i="27"/>
  <c r="B1084" i="27"/>
  <c r="B1085" i="27"/>
  <c r="B1086" i="27"/>
  <c r="B1087" i="27"/>
  <c r="B1088" i="27"/>
  <c r="B1089" i="27"/>
  <c r="B1090" i="27"/>
  <c r="B1091" i="27"/>
  <c r="B1092" i="27"/>
  <c r="B1093" i="27"/>
  <c r="B1094" i="27"/>
  <c r="B1095" i="27"/>
  <c r="B1096" i="27"/>
  <c r="B1097" i="27"/>
  <c r="B1098" i="27"/>
  <c r="B1099" i="27"/>
  <c r="B1100" i="27"/>
  <c r="B1101" i="27"/>
  <c r="B1102" i="27"/>
  <c r="B1103" i="27"/>
  <c r="B1104" i="27"/>
  <c r="B1105" i="27"/>
  <c r="B1106" i="27"/>
  <c r="B1107" i="27"/>
  <c r="B1108" i="27"/>
  <c r="B1109" i="27"/>
  <c r="B1110" i="27"/>
  <c r="B1111" i="27"/>
  <c r="B1112" i="27"/>
  <c r="B1113" i="27"/>
  <c r="B1114" i="27"/>
  <c r="B1115" i="27"/>
  <c r="B1116" i="27"/>
  <c r="B1117" i="27"/>
  <c r="B1118" i="27"/>
  <c r="B1119" i="27"/>
  <c r="B1120" i="27"/>
  <c r="B1121" i="27"/>
  <c r="B1122" i="27"/>
  <c r="B1123" i="27"/>
  <c r="B1124" i="27"/>
  <c r="B1125" i="27"/>
  <c r="B1126" i="27"/>
  <c r="B1127" i="27"/>
  <c r="B1128" i="27"/>
  <c r="B1129" i="27"/>
  <c r="B1130" i="27"/>
  <c r="B1131" i="27"/>
  <c r="B1132" i="27"/>
  <c r="B1133" i="27"/>
  <c r="B1134" i="27"/>
  <c r="B1135" i="27"/>
  <c r="B1136" i="27"/>
  <c r="B1137" i="27"/>
  <c r="B1138" i="27"/>
  <c r="B1139" i="27"/>
  <c r="B1140" i="27"/>
  <c r="B1141" i="27"/>
  <c r="B1142" i="27"/>
  <c r="B1143" i="27"/>
  <c r="B1144" i="27"/>
  <c r="B1145" i="27"/>
  <c r="B1146" i="27"/>
  <c r="B1147" i="27"/>
  <c r="B1148" i="27"/>
  <c r="B1149" i="27"/>
  <c r="B1150" i="27"/>
  <c r="B1151" i="27"/>
  <c r="B1152" i="27"/>
  <c r="B1153" i="27"/>
  <c r="B1154" i="27"/>
  <c r="B1155" i="27"/>
  <c r="B1156" i="27"/>
  <c r="B1157" i="27"/>
  <c r="B1158" i="27"/>
  <c r="B1159" i="27"/>
  <c r="B1160" i="27"/>
  <c r="B1161" i="27"/>
  <c r="B1162" i="27"/>
  <c r="B1163" i="27"/>
  <c r="B1164" i="27"/>
  <c r="B1165" i="27"/>
  <c r="B1166" i="27"/>
  <c r="B1167" i="27"/>
  <c r="B1168" i="27"/>
  <c r="B1169" i="27"/>
  <c r="B1170" i="27"/>
  <c r="B1171" i="27"/>
  <c r="B1172" i="27"/>
  <c r="B1173" i="27"/>
  <c r="B1174" i="27"/>
  <c r="B1175" i="27"/>
  <c r="B1176" i="27"/>
  <c r="B1177" i="27"/>
  <c r="B1178" i="27"/>
  <c r="B1179" i="27"/>
  <c r="B1180" i="27"/>
  <c r="B1181" i="27"/>
  <c r="B1182" i="27"/>
  <c r="B1183" i="27"/>
  <c r="B1184" i="27"/>
  <c r="B1185" i="27"/>
  <c r="B1186" i="27"/>
  <c r="B1187" i="27"/>
  <c r="B1188" i="27"/>
  <c r="B1189" i="27"/>
  <c r="B1190" i="27"/>
  <c r="B1191" i="27"/>
  <c r="B1192" i="27"/>
  <c r="B1193" i="27"/>
  <c r="B1194" i="27"/>
  <c r="B1195" i="27"/>
  <c r="B1196" i="27"/>
  <c r="B1197" i="27"/>
  <c r="B1198" i="27"/>
  <c r="B1199" i="27"/>
  <c r="B1200" i="27"/>
  <c r="B1201" i="27"/>
  <c r="B2" i="27"/>
  <c r="F10" i="30" l="1"/>
  <c r="F11" i="30"/>
  <c r="F3" i="30"/>
  <c r="F9" i="30"/>
  <c r="F5" i="30"/>
  <c r="F6" i="30"/>
  <c r="F4" i="30"/>
  <c r="F7" i="30"/>
  <c r="F8" i="30"/>
  <c r="N2" i="2"/>
  <c r="N3" i="2"/>
  <c r="N4" i="2"/>
  <c r="N5" i="2"/>
  <c r="N6" i="2"/>
  <c r="N7" i="2"/>
  <c r="N8" i="2"/>
  <c r="N9" i="2"/>
  <c r="N10" i="2"/>
  <c r="N11" i="2"/>
  <c r="N12" i="2"/>
  <c r="N13" i="2"/>
  <c r="N2" i="16"/>
  <c r="P6" i="7"/>
  <c r="P3" i="7"/>
  <c r="P4" i="7"/>
  <c r="P5" i="7"/>
  <c r="P7" i="7"/>
  <c r="P8" i="7"/>
  <c r="P9" i="7"/>
  <c r="P10" i="7"/>
  <c r="P11" i="7"/>
  <c r="P2" i="7"/>
  <c r="I2" i="24"/>
  <c r="I3" i="24"/>
  <c r="I4" i="24"/>
  <c r="I5" i="24"/>
  <c r="I6" i="24"/>
  <c r="N38" i="16"/>
  <c r="N39" i="16"/>
  <c r="N40" i="16"/>
  <c r="N32" i="16"/>
  <c r="N33" i="16"/>
  <c r="N34" i="16"/>
  <c r="N35" i="16"/>
  <c r="N36" i="16"/>
  <c r="N37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M3" i="7"/>
  <c r="L9" i="16" a="1"/>
  <c r="L9" i="16" s="1"/>
  <c r="L10" i="16" a="1"/>
  <c r="L10" i="16" s="1"/>
  <c r="L11" i="16" a="1"/>
  <c r="L11" i="16" s="1"/>
  <c r="L12" i="16" a="1"/>
  <c r="L12" i="16" s="1"/>
  <c r="L13" i="16" a="1"/>
  <c r="L13" i="16" s="1"/>
  <c r="L14" i="16" a="1"/>
  <c r="L14" i="16" s="1"/>
  <c r="L15" i="16" a="1"/>
  <c r="L15" i="16" s="1"/>
  <c r="L16" i="16" a="1"/>
  <c r="L16" i="16" s="1"/>
  <c r="L17" i="16" a="1"/>
  <c r="L17" i="16" s="1"/>
  <c r="L18" i="16" a="1"/>
  <c r="L18" i="16" s="1"/>
  <c r="L19" i="16" a="1"/>
  <c r="L19" i="16" s="1"/>
  <c r="L20" i="16" a="1"/>
  <c r="L20" i="16" s="1"/>
  <c r="L21" i="16" a="1"/>
  <c r="L21" i="16" s="1"/>
  <c r="L22" i="16" a="1"/>
  <c r="L22" i="16" s="1"/>
  <c r="L23" i="16" a="1"/>
  <c r="L23" i="16" s="1"/>
  <c r="L24" i="16" a="1"/>
  <c r="L24" i="16" s="1"/>
  <c r="L25" i="16" a="1"/>
  <c r="L25" i="16" s="1"/>
  <c r="L26" i="16" a="1"/>
  <c r="L26" i="16" s="1"/>
  <c r="L27" i="16" a="1"/>
  <c r="L27" i="16" s="1"/>
  <c r="L28" i="16" a="1"/>
  <c r="L28" i="16" s="1"/>
  <c r="L29" i="16" a="1"/>
  <c r="L29" i="16" s="1"/>
  <c r="L30" i="16" a="1"/>
  <c r="L30" i="16" s="1"/>
  <c r="L31" i="16" a="1"/>
  <c r="L31" i="16" s="1"/>
  <c r="L34" i="16" a="1"/>
  <c r="L34" i="16" s="1"/>
  <c r="L35" i="16" a="1"/>
  <c r="L35" i="16" s="1"/>
  <c r="L36" i="16" a="1"/>
  <c r="L36" i="16" s="1"/>
  <c r="L37" i="16" a="1"/>
  <c r="L37" i="16" s="1"/>
  <c r="L38" i="16" a="1"/>
  <c r="L38" i="16" s="1"/>
  <c r="L39" i="16" a="1"/>
  <c r="L39" i="16" s="1"/>
  <c r="L40" i="16" a="1"/>
  <c r="L40" i="16" s="1"/>
  <c r="L2" i="2"/>
  <c r="L3" i="2"/>
  <c r="G4" i="1"/>
  <c r="G5" i="1"/>
  <c r="G6" i="1"/>
  <c r="F12" i="30" l="1"/>
  <c r="G11" i="30" s="1"/>
  <c r="F2" i="2"/>
  <c r="F3" i="2"/>
  <c r="G4" i="30" l="1"/>
  <c r="G5" i="30"/>
  <c r="G8" i="30"/>
  <c r="G7" i="30"/>
  <c r="G9" i="30"/>
  <c r="G6" i="30"/>
  <c r="G3" i="30"/>
  <c r="G10" i="30"/>
  <c r="N2" i="24"/>
  <c r="N4" i="24"/>
  <c r="G12" i="30" l="1"/>
  <c r="E8" i="7"/>
  <c r="E9" i="7"/>
  <c r="E10" i="7"/>
  <c r="E11" i="7"/>
  <c r="E7" i="7"/>
  <c r="M8" i="7"/>
  <c r="M9" i="7"/>
  <c r="M10" i="7"/>
  <c r="M11" i="7"/>
  <c r="M7" i="7"/>
  <c r="F7" i="7" l="1"/>
  <c r="F11" i="7"/>
  <c r="F10" i="7"/>
  <c r="F9" i="7"/>
  <c r="F8" i="7"/>
  <c r="V3" i="14" l="1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3" i="14"/>
  <c r="V124" i="14"/>
  <c r="V125" i="14"/>
  <c r="V126" i="14"/>
  <c r="V127" i="14"/>
  <c r="V128" i="14"/>
  <c r="V129" i="14"/>
  <c r="V130" i="14"/>
  <c r="V131" i="14"/>
  <c r="V132" i="14"/>
  <c r="V133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30" i="14"/>
  <c r="V331" i="14"/>
  <c r="V332" i="14"/>
  <c r="V333" i="14"/>
  <c r="V334" i="14"/>
  <c r="V335" i="14"/>
  <c r="V336" i="14"/>
  <c r="V337" i="14"/>
  <c r="V338" i="14"/>
  <c r="V339" i="14"/>
  <c r="V340" i="14"/>
  <c r="V341" i="14"/>
  <c r="V342" i="14"/>
  <c r="V343" i="14"/>
  <c r="V344" i="14"/>
  <c r="V345" i="14"/>
  <c r="V346" i="14"/>
  <c r="V347" i="14"/>
  <c r="V348" i="14"/>
  <c r="V349" i="14"/>
  <c r="V350" i="14"/>
  <c r="V351" i="14"/>
  <c r="V352" i="14"/>
  <c r="V353" i="14"/>
  <c r="V354" i="14"/>
  <c r="V355" i="14"/>
  <c r="V356" i="14"/>
  <c r="V357" i="14"/>
  <c r="V358" i="14"/>
  <c r="V359" i="14"/>
  <c r="V360" i="14"/>
  <c r="V361" i="14"/>
  <c r="V362" i="14"/>
  <c r="V363" i="14"/>
  <c r="V364" i="14"/>
  <c r="V365" i="14"/>
  <c r="V366" i="14"/>
  <c r="V367" i="14"/>
  <c r="V368" i="14"/>
  <c r="V369" i="14"/>
  <c r="V370" i="14"/>
  <c r="V371" i="14"/>
  <c r="V372" i="14"/>
  <c r="V373" i="14"/>
  <c r="V374" i="14"/>
  <c r="V375" i="14"/>
  <c r="V376" i="14"/>
  <c r="V377" i="14"/>
  <c r="V378" i="14"/>
  <c r="V379" i="14"/>
  <c r="V380" i="14"/>
  <c r="V381" i="14"/>
  <c r="V382" i="14"/>
  <c r="V383" i="14"/>
  <c r="V384" i="14"/>
  <c r="V385" i="14"/>
  <c r="V386" i="14"/>
  <c r="V387" i="14"/>
  <c r="V388" i="14"/>
  <c r="V389" i="14"/>
  <c r="V390" i="14"/>
  <c r="V391" i="14"/>
  <c r="V392" i="14"/>
  <c r="V393" i="14"/>
  <c r="V394" i="14"/>
  <c r="V395" i="14"/>
  <c r="V396" i="14"/>
  <c r="V397" i="14"/>
  <c r="V398" i="14"/>
  <c r="V399" i="14"/>
  <c r="V400" i="14"/>
  <c r="V401" i="14"/>
  <c r="V402" i="14"/>
  <c r="V403" i="14"/>
  <c r="V404" i="14"/>
  <c r="V405" i="14"/>
  <c r="V406" i="14"/>
  <c r="V407" i="14"/>
  <c r="V408" i="14"/>
  <c r="V409" i="14"/>
  <c r="V410" i="14"/>
  <c r="V411" i="14"/>
  <c r="V412" i="14"/>
  <c r="V413" i="14"/>
  <c r="V414" i="14"/>
  <c r="V415" i="14"/>
  <c r="V416" i="14"/>
  <c r="V417" i="14"/>
  <c r="V418" i="14"/>
  <c r="V419" i="14"/>
  <c r="V420" i="14"/>
  <c r="V421" i="14"/>
  <c r="V422" i="14"/>
  <c r="V423" i="14"/>
  <c r="V424" i="14"/>
  <c r="V425" i="14"/>
  <c r="V426" i="14"/>
  <c r="V427" i="14"/>
  <c r="V428" i="14"/>
  <c r="V429" i="14"/>
  <c r="V430" i="14"/>
  <c r="V431" i="14"/>
  <c r="V432" i="14"/>
  <c r="V433" i="14"/>
  <c r="V434" i="14"/>
  <c r="V435" i="14"/>
  <c r="V436" i="14"/>
  <c r="V437" i="14"/>
  <c r="V438" i="14"/>
  <c r="V439" i="14"/>
  <c r="V440" i="14"/>
  <c r="V441" i="14"/>
  <c r="V442" i="14"/>
  <c r="V443" i="14"/>
  <c r="V444" i="14"/>
  <c r="V445" i="14"/>
  <c r="V446" i="14"/>
  <c r="V447" i="14"/>
  <c r="V448" i="14"/>
  <c r="V449" i="14"/>
  <c r="V450" i="14"/>
  <c r="V451" i="14"/>
  <c r="V452" i="14"/>
  <c r="V453" i="14"/>
  <c r="V454" i="14"/>
  <c r="V455" i="14"/>
  <c r="V456" i="14"/>
  <c r="V457" i="14"/>
  <c r="V458" i="14"/>
  <c r="V459" i="14"/>
  <c r="V460" i="14"/>
  <c r="V461" i="14"/>
  <c r="V462" i="14"/>
  <c r="V463" i="14"/>
  <c r="V464" i="14"/>
  <c r="V465" i="14"/>
  <c r="V466" i="14"/>
  <c r="V467" i="14"/>
  <c r="V468" i="14"/>
  <c r="V469" i="14"/>
  <c r="V470" i="14"/>
  <c r="V471" i="14"/>
  <c r="V472" i="14"/>
  <c r="V473" i="14"/>
  <c r="V474" i="14"/>
  <c r="V475" i="14"/>
  <c r="V476" i="14"/>
  <c r="V477" i="14"/>
  <c r="V478" i="14"/>
  <c r="V479" i="14"/>
  <c r="V480" i="14"/>
  <c r="V481" i="14"/>
  <c r="V482" i="14"/>
  <c r="V483" i="14"/>
  <c r="V484" i="14"/>
  <c r="V485" i="14"/>
  <c r="V486" i="14"/>
  <c r="V487" i="14"/>
  <c r="V488" i="14"/>
  <c r="V489" i="14"/>
  <c r="V490" i="14"/>
  <c r="V491" i="14"/>
  <c r="V492" i="14"/>
  <c r="V493" i="14"/>
  <c r="V494" i="14"/>
  <c r="V495" i="14"/>
  <c r="V496" i="14"/>
  <c r="V497" i="14"/>
  <c r="V498" i="14"/>
  <c r="V499" i="14"/>
  <c r="V500" i="14"/>
  <c r="V501" i="14"/>
  <c r="V502" i="14"/>
  <c r="V503" i="14"/>
  <c r="V504" i="14"/>
  <c r="V505" i="14"/>
  <c r="V506" i="14"/>
  <c r="V507" i="14"/>
  <c r="V508" i="14"/>
  <c r="V509" i="14"/>
  <c r="V510" i="14"/>
  <c r="V511" i="14"/>
  <c r="V512" i="14"/>
  <c r="V513" i="14"/>
  <c r="V514" i="14"/>
  <c r="V515" i="14"/>
  <c r="V516" i="14"/>
  <c r="V517" i="14"/>
  <c r="V518" i="14"/>
  <c r="V519" i="14"/>
  <c r="V520" i="14"/>
  <c r="V521" i="14"/>
  <c r="V522" i="14"/>
  <c r="V523" i="14"/>
  <c r="V524" i="14"/>
  <c r="V525" i="14"/>
  <c r="V526" i="14"/>
  <c r="V527" i="14"/>
  <c r="V528" i="14"/>
  <c r="V529" i="14"/>
  <c r="V530" i="14"/>
  <c r="V531" i="14"/>
  <c r="V532" i="14"/>
  <c r="V533" i="14"/>
  <c r="V534" i="14"/>
  <c r="V535" i="14"/>
  <c r="V536" i="14"/>
  <c r="V537" i="14"/>
  <c r="V538" i="14"/>
  <c r="V539" i="14"/>
  <c r="V540" i="14"/>
  <c r="V541" i="14"/>
  <c r="V542" i="14"/>
  <c r="V543" i="14"/>
  <c r="V544" i="14"/>
  <c r="V545" i="14"/>
  <c r="V546" i="14"/>
  <c r="V547" i="14"/>
  <c r="V548" i="14"/>
  <c r="V549" i="14"/>
  <c r="V550" i="14"/>
  <c r="V551" i="14"/>
  <c r="V552" i="14"/>
  <c r="V553" i="14"/>
  <c r="V554" i="14"/>
  <c r="V555" i="14"/>
  <c r="V556" i="14"/>
  <c r="V557" i="14"/>
  <c r="V558" i="14"/>
  <c r="V559" i="14"/>
  <c r="V560" i="14"/>
  <c r="V561" i="14"/>
  <c r="V562" i="14"/>
  <c r="V563" i="14"/>
  <c r="V564" i="14"/>
  <c r="V565" i="14"/>
  <c r="V566" i="14"/>
  <c r="V567" i="14"/>
  <c r="V568" i="14"/>
  <c r="V569" i="14"/>
  <c r="V570" i="14"/>
  <c r="V571" i="14"/>
  <c r="V572" i="14"/>
  <c r="V573" i="14"/>
  <c r="V574" i="14"/>
  <c r="V575" i="14"/>
  <c r="V576" i="14"/>
  <c r="V577" i="14"/>
  <c r="V578" i="14"/>
  <c r="V579" i="14"/>
  <c r="V580" i="14"/>
  <c r="V581" i="14"/>
  <c r="V582" i="14"/>
  <c r="V583" i="14"/>
  <c r="V584" i="14"/>
  <c r="V585" i="14"/>
  <c r="V586" i="14"/>
  <c r="V587" i="14"/>
  <c r="V588" i="14"/>
  <c r="V589" i="14"/>
  <c r="V590" i="14"/>
  <c r="V591" i="14"/>
  <c r="V592" i="14"/>
  <c r="V593" i="14"/>
  <c r="V594" i="14"/>
  <c r="V595" i="14"/>
  <c r="V596" i="14"/>
  <c r="V597" i="14"/>
  <c r="V598" i="14"/>
  <c r="V599" i="14"/>
  <c r="V600" i="14"/>
  <c r="V601" i="14"/>
  <c r="V602" i="14"/>
  <c r="V603" i="14"/>
  <c r="V604" i="14"/>
  <c r="V605" i="14"/>
  <c r="V606" i="14"/>
  <c r="V607" i="14"/>
  <c r="V608" i="14"/>
  <c r="V609" i="14"/>
  <c r="V610" i="14"/>
  <c r="V611" i="14"/>
  <c r="V612" i="14"/>
  <c r="V613" i="14"/>
  <c r="V614" i="14"/>
  <c r="V615" i="14"/>
  <c r="V616" i="14"/>
  <c r="V617" i="14"/>
  <c r="V618" i="14"/>
  <c r="V619" i="14"/>
  <c r="V620" i="14"/>
  <c r="V621" i="14"/>
  <c r="V622" i="14"/>
  <c r="V623" i="14"/>
  <c r="V624" i="14"/>
  <c r="V625" i="14"/>
  <c r="V626" i="14"/>
  <c r="V627" i="14"/>
  <c r="V628" i="14"/>
  <c r="V629" i="14"/>
  <c r="V630" i="14"/>
  <c r="V631" i="14"/>
  <c r="V632" i="14"/>
  <c r="V633" i="14"/>
  <c r="V634" i="14"/>
  <c r="V635" i="14"/>
  <c r="V636" i="14"/>
  <c r="V637" i="14"/>
  <c r="V638" i="14"/>
  <c r="V639" i="14"/>
  <c r="V640" i="14"/>
  <c r="V641" i="14"/>
  <c r="V642" i="14"/>
  <c r="V643" i="14"/>
  <c r="V644" i="14"/>
  <c r="V645" i="14"/>
  <c r="V646" i="14"/>
  <c r="V647" i="14"/>
  <c r="V648" i="14"/>
  <c r="V649" i="14"/>
  <c r="V650" i="14"/>
  <c r="V651" i="14"/>
  <c r="V652" i="14"/>
  <c r="V653" i="14"/>
  <c r="V654" i="14"/>
  <c r="V655" i="14"/>
  <c r="V656" i="14"/>
  <c r="V657" i="14"/>
  <c r="V658" i="14"/>
  <c r="V659" i="14"/>
  <c r="V660" i="14"/>
  <c r="V661" i="14"/>
  <c r="V662" i="14"/>
  <c r="V663" i="14"/>
  <c r="V664" i="14"/>
  <c r="V665" i="14"/>
  <c r="V666" i="14"/>
  <c r="V667" i="14"/>
  <c r="V668" i="14"/>
  <c r="V669" i="14"/>
  <c r="V670" i="14"/>
  <c r="V671" i="14"/>
  <c r="V672" i="14"/>
  <c r="V673" i="14"/>
  <c r="V674" i="14"/>
  <c r="V675" i="14"/>
  <c r="V676" i="14"/>
  <c r="V677" i="14"/>
  <c r="V678" i="14"/>
  <c r="V679" i="14"/>
  <c r="V680" i="14"/>
  <c r="V681" i="14"/>
  <c r="V682" i="14"/>
  <c r="V683" i="14"/>
  <c r="V684" i="14"/>
  <c r="V685" i="14"/>
  <c r="V686" i="14"/>
  <c r="V687" i="14"/>
  <c r="V688" i="14"/>
  <c r="V689" i="14"/>
  <c r="V690" i="14"/>
  <c r="V691" i="14"/>
  <c r="V692" i="14"/>
  <c r="V693" i="14"/>
  <c r="V694" i="14"/>
  <c r="V695" i="14"/>
  <c r="V696" i="14"/>
  <c r="V697" i="14"/>
  <c r="V698" i="14"/>
  <c r="V699" i="14"/>
  <c r="V700" i="14"/>
  <c r="V701" i="14"/>
  <c r="V702" i="14"/>
  <c r="V703" i="14"/>
  <c r="V704" i="14"/>
  <c r="V705" i="14"/>
  <c r="V706" i="14"/>
  <c r="V707" i="14"/>
  <c r="V708" i="14"/>
  <c r="V709" i="14"/>
  <c r="V710" i="14"/>
  <c r="V711" i="14"/>
  <c r="V712" i="14"/>
  <c r="V713" i="14"/>
  <c r="V714" i="14"/>
  <c r="V715" i="14"/>
  <c r="V716" i="14"/>
  <c r="V717" i="14"/>
  <c r="V718" i="14"/>
  <c r="V719" i="14"/>
  <c r="V720" i="14"/>
  <c r="V721" i="14"/>
  <c r="V722" i="14"/>
  <c r="V723" i="14"/>
  <c r="V724" i="14"/>
  <c r="V725" i="14"/>
  <c r="V726" i="14"/>
  <c r="V727" i="14"/>
  <c r="V728" i="14"/>
  <c r="V729" i="14"/>
  <c r="V730" i="14"/>
  <c r="V731" i="14"/>
  <c r="V732" i="14"/>
  <c r="V733" i="14"/>
  <c r="V734" i="14"/>
  <c r="V735" i="14"/>
  <c r="V736" i="14"/>
  <c r="V737" i="14"/>
  <c r="V738" i="14"/>
  <c r="V739" i="14"/>
  <c r="V740" i="14"/>
  <c r="V741" i="14"/>
  <c r="V742" i="14"/>
  <c r="V743" i="14"/>
  <c r="V744" i="14"/>
  <c r="V745" i="14"/>
  <c r="V746" i="14"/>
  <c r="V747" i="14"/>
  <c r="V748" i="14"/>
  <c r="V749" i="14"/>
  <c r="V750" i="14"/>
  <c r="V751" i="14"/>
  <c r="V752" i="14"/>
  <c r="V753" i="14"/>
  <c r="V754" i="14"/>
  <c r="V755" i="14"/>
  <c r="V756" i="14"/>
  <c r="V757" i="14"/>
  <c r="V758" i="14"/>
  <c r="V759" i="14"/>
  <c r="V760" i="14"/>
  <c r="V761" i="14"/>
  <c r="V762" i="14"/>
  <c r="V763" i="14"/>
  <c r="V764" i="14"/>
  <c r="V765" i="14"/>
  <c r="V766" i="14"/>
  <c r="V767" i="14"/>
  <c r="V768" i="14"/>
  <c r="V769" i="14"/>
  <c r="V770" i="14"/>
  <c r="V771" i="14"/>
  <c r="V772" i="14"/>
  <c r="V773" i="14"/>
  <c r="V774" i="14"/>
  <c r="V775" i="14"/>
  <c r="V776" i="14"/>
  <c r="V777" i="14"/>
  <c r="V778" i="14"/>
  <c r="V779" i="14"/>
  <c r="V780" i="14"/>
  <c r="V781" i="14"/>
  <c r="V782" i="14"/>
  <c r="V783" i="14"/>
  <c r="V784" i="14"/>
  <c r="V785" i="14"/>
  <c r="V786" i="14"/>
  <c r="V787" i="14"/>
  <c r="V788" i="14"/>
  <c r="V789" i="14"/>
  <c r="V790" i="14"/>
  <c r="V791" i="14"/>
  <c r="V792" i="14"/>
  <c r="V793" i="14"/>
  <c r="V794" i="14"/>
  <c r="V795" i="14"/>
  <c r="V796" i="14"/>
  <c r="V797" i="14"/>
  <c r="V798" i="14"/>
  <c r="V799" i="14"/>
  <c r="V800" i="14"/>
  <c r="V801" i="14"/>
  <c r="V802" i="14"/>
  <c r="V803" i="14"/>
  <c r="V804" i="14"/>
  <c r="V805" i="14"/>
  <c r="V806" i="14"/>
  <c r="V807" i="14"/>
  <c r="V808" i="14"/>
  <c r="V809" i="14"/>
  <c r="V810" i="14"/>
  <c r="V811" i="14"/>
  <c r="V812" i="14"/>
  <c r="V813" i="14"/>
  <c r="V814" i="14"/>
  <c r="V815" i="14"/>
  <c r="V816" i="14"/>
  <c r="V817" i="14"/>
  <c r="V818" i="14"/>
  <c r="V819" i="14"/>
  <c r="V820" i="14"/>
  <c r="V821" i="14"/>
  <c r="V822" i="14"/>
  <c r="V823" i="14"/>
  <c r="V824" i="14"/>
  <c r="V825" i="14"/>
  <c r="V826" i="14"/>
  <c r="V827" i="14"/>
  <c r="V828" i="14"/>
  <c r="V829" i="14"/>
  <c r="V830" i="14"/>
  <c r="V831" i="14"/>
  <c r="V832" i="14"/>
  <c r="V833" i="14"/>
  <c r="V834" i="14"/>
  <c r="V835" i="14"/>
  <c r="V836" i="14"/>
  <c r="V837" i="14"/>
  <c r="V838" i="14"/>
  <c r="V839" i="14"/>
  <c r="V840" i="14"/>
  <c r="V841" i="14"/>
  <c r="V842" i="14"/>
  <c r="V843" i="14"/>
  <c r="V844" i="14"/>
  <c r="V845" i="14"/>
  <c r="V846" i="14"/>
  <c r="V847" i="14"/>
  <c r="V848" i="14"/>
  <c r="V849" i="14"/>
  <c r="V850" i="14"/>
  <c r="V851" i="14"/>
  <c r="V852" i="14"/>
  <c r="V853" i="14"/>
  <c r="V854" i="14"/>
  <c r="V855" i="14"/>
  <c r="V856" i="14"/>
  <c r="V857" i="14"/>
  <c r="V858" i="14"/>
  <c r="V859" i="14"/>
  <c r="V860" i="14"/>
  <c r="V861" i="14"/>
  <c r="V862" i="14"/>
  <c r="V863" i="14"/>
  <c r="V864" i="14"/>
  <c r="V865" i="14"/>
  <c r="V866" i="14"/>
  <c r="V867" i="14"/>
  <c r="V868" i="14"/>
  <c r="V869" i="14"/>
  <c r="V870" i="14"/>
  <c r="V871" i="14"/>
  <c r="V872" i="14"/>
  <c r="V873" i="14"/>
  <c r="V874" i="14"/>
  <c r="V875" i="14"/>
  <c r="V876" i="14"/>
  <c r="V877" i="14"/>
  <c r="V878" i="14"/>
  <c r="V879" i="14"/>
  <c r="V880" i="14"/>
  <c r="V881" i="14"/>
  <c r="V882" i="14"/>
  <c r="V883" i="14"/>
  <c r="V884" i="14"/>
  <c r="V885" i="14"/>
  <c r="V886" i="14"/>
  <c r="V887" i="14"/>
  <c r="V888" i="14"/>
  <c r="V889" i="14"/>
  <c r="V890" i="14"/>
  <c r="V891" i="14"/>
  <c r="V892" i="14"/>
  <c r="V893" i="14"/>
  <c r="V894" i="14"/>
  <c r="V895" i="14"/>
  <c r="V896" i="14"/>
  <c r="V897" i="14"/>
  <c r="V898" i="14"/>
  <c r="V899" i="14"/>
  <c r="V900" i="14"/>
  <c r="V901" i="14"/>
  <c r="V902" i="14"/>
  <c r="V903" i="14"/>
  <c r="V904" i="14"/>
  <c r="V905" i="14"/>
  <c r="V906" i="14"/>
  <c r="V907" i="14"/>
  <c r="V908" i="14"/>
  <c r="V909" i="14"/>
  <c r="V910" i="14"/>
  <c r="V911" i="14"/>
  <c r="V912" i="14"/>
  <c r="V913" i="14"/>
  <c r="V914" i="14"/>
  <c r="V915" i="14"/>
  <c r="V916" i="14"/>
  <c r="V917" i="14"/>
  <c r="V918" i="14"/>
  <c r="V919" i="14"/>
  <c r="V920" i="14"/>
  <c r="V921" i="14"/>
  <c r="V922" i="14"/>
  <c r="V923" i="14"/>
  <c r="V924" i="14"/>
  <c r="V925" i="14"/>
  <c r="V926" i="14"/>
  <c r="V927" i="14"/>
  <c r="V928" i="14"/>
  <c r="V929" i="14"/>
  <c r="V930" i="14"/>
  <c r="V931" i="14"/>
  <c r="V932" i="14"/>
  <c r="V933" i="14"/>
  <c r="V934" i="14"/>
  <c r="V935" i="14"/>
  <c r="V936" i="14"/>
  <c r="V937" i="14"/>
  <c r="V938" i="14"/>
  <c r="V939" i="14"/>
  <c r="V940" i="14"/>
  <c r="V941" i="14"/>
  <c r="V942" i="14"/>
  <c r="V943" i="14"/>
  <c r="V944" i="14"/>
  <c r="V945" i="14"/>
  <c r="V946" i="14"/>
  <c r="V947" i="14"/>
  <c r="V948" i="14"/>
  <c r="V949" i="14"/>
  <c r="V950" i="14"/>
  <c r="V951" i="14"/>
  <c r="V952" i="14"/>
  <c r="V953" i="14"/>
  <c r="V954" i="14"/>
  <c r="V955" i="14"/>
  <c r="V956" i="14"/>
  <c r="V957" i="14"/>
  <c r="V958" i="14"/>
  <c r="V959" i="14"/>
  <c r="V960" i="14"/>
  <c r="V961" i="14"/>
  <c r="V962" i="14"/>
  <c r="V963" i="14"/>
  <c r="V964" i="14"/>
  <c r="V965" i="14"/>
  <c r="V966" i="14"/>
  <c r="V967" i="14"/>
  <c r="V968" i="14"/>
  <c r="V969" i="14"/>
  <c r="V970" i="14"/>
  <c r="V971" i="14"/>
  <c r="V972" i="14"/>
  <c r="V973" i="14"/>
  <c r="V974" i="14"/>
  <c r="V975" i="14"/>
  <c r="V976" i="14"/>
  <c r="V977" i="14"/>
  <c r="V978" i="14"/>
  <c r="V979" i="14"/>
  <c r="V980" i="14"/>
  <c r="V981" i="14"/>
  <c r="V982" i="14"/>
  <c r="V983" i="14"/>
  <c r="V984" i="14"/>
  <c r="V985" i="14"/>
  <c r="V986" i="14"/>
  <c r="V987" i="14"/>
  <c r="V988" i="14"/>
  <c r="V989" i="14"/>
  <c r="V990" i="14"/>
  <c r="V991" i="14"/>
  <c r="V992" i="14"/>
  <c r="V993" i="14"/>
  <c r="V994" i="14"/>
  <c r="V995" i="14"/>
  <c r="V996" i="14"/>
  <c r="V997" i="14"/>
  <c r="V998" i="14"/>
  <c r="V999" i="14"/>
  <c r="V1000" i="14"/>
  <c r="V1001" i="14"/>
  <c r="V1002" i="14"/>
  <c r="V1003" i="14"/>
  <c r="V1004" i="14"/>
  <c r="V1005" i="14"/>
  <c r="V1006" i="14"/>
  <c r="V1007" i="14"/>
  <c r="V1008" i="14"/>
  <c r="V1009" i="14"/>
  <c r="V1010" i="14"/>
  <c r="V1011" i="14"/>
  <c r="V1012" i="14"/>
  <c r="V1013" i="14"/>
  <c r="V1014" i="14"/>
  <c r="V1015" i="14"/>
  <c r="V1016" i="14"/>
  <c r="V1017" i="14"/>
  <c r="V1018" i="14"/>
  <c r="V1019" i="14"/>
  <c r="V1020" i="14"/>
  <c r="V1021" i="14"/>
  <c r="V1022" i="14"/>
  <c r="V1023" i="14"/>
  <c r="V1024" i="14"/>
  <c r="V1025" i="14"/>
  <c r="V1026" i="14"/>
  <c r="V1027" i="14"/>
  <c r="V1028" i="14"/>
  <c r="V1029" i="14"/>
  <c r="V1030" i="14"/>
  <c r="V1031" i="14"/>
  <c r="V1032" i="14"/>
  <c r="V1033" i="14"/>
  <c r="V1034" i="14"/>
  <c r="V1035" i="14"/>
  <c r="V1036" i="14"/>
  <c r="V1037" i="14"/>
  <c r="V1038" i="14"/>
  <c r="V1039" i="14"/>
  <c r="V1040" i="14"/>
  <c r="V1041" i="14"/>
  <c r="V1042" i="14"/>
  <c r="V1043" i="14"/>
  <c r="V1044" i="14"/>
  <c r="V1045" i="14"/>
  <c r="V1046" i="14"/>
  <c r="V1047" i="14"/>
  <c r="V1048" i="14"/>
  <c r="V1049" i="14"/>
  <c r="V1050" i="14"/>
  <c r="V1051" i="14"/>
  <c r="V1052" i="14"/>
  <c r="V1053" i="14"/>
  <c r="V1054" i="14"/>
  <c r="V1055" i="14"/>
  <c r="V1056" i="14"/>
  <c r="V1057" i="14"/>
  <c r="V1058" i="14"/>
  <c r="V1059" i="14"/>
  <c r="V1060" i="14"/>
  <c r="V1061" i="14"/>
  <c r="V1062" i="14"/>
  <c r="V1063" i="14"/>
  <c r="V1064" i="14"/>
  <c r="V1065" i="14"/>
  <c r="V1066" i="14"/>
  <c r="V1067" i="14"/>
  <c r="V1068" i="14"/>
  <c r="V1069" i="14"/>
  <c r="V1070" i="14"/>
  <c r="V1071" i="14"/>
  <c r="V1072" i="14"/>
  <c r="V1073" i="14"/>
  <c r="V1074" i="14"/>
  <c r="V1075" i="14"/>
  <c r="V1076" i="14"/>
  <c r="V1077" i="14"/>
  <c r="V1078" i="14"/>
  <c r="V1079" i="14"/>
  <c r="V1080" i="14"/>
  <c r="V1081" i="14"/>
  <c r="V1082" i="14"/>
  <c r="V1083" i="14"/>
  <c r="V1084" i="14"/>
  <c r="V1085" i="14"/>
  <c r="V1086" i="14"/>
  <c r="V1087" i="14"/>
  <c r="V1088" i="14"/>
  <c r="V1089" i="14"/>
  <c r="V1090" i="14"/>
  <c r="V1091" i="14"/>
  <c r="V1092" i="14"/>
  <c r="V1093" i="14"/>
  <c r="V1094" i="14"/>
  <c r="V1095" i="14"/>
  <c r="V1096" i="14"/>
  <c r="V1097" i="14"/>
  <c r="V1098" i="14"/>
  <c r="V1099" i="14"/>
  <c r="V1100" i="14"/>
  <c r="V1101" i="14"/>
  <c r="V1102" i="14"/>
  <c r="V1103" i="14"/>
  <c r="V1104" i="14"/>
  <c r="V1105" i="14"/>
  <c r="V1106" i="14"/>
  <c r="V1107" i="14"/>
  <c r="V1108" i="14"/>
  <c r="V1109" i="14"/>
  <c r="V1110" i="14"/>
  <c r="V1111" i="14"/>
  <c r="V1112" i="14"/>
  <c r="V1113" i="14"/>
  <c r="V1114" i="14"/>
  <c r="V1115" i="14"/>
  <c r="V1116" i="14"/>
  <c r="V1117" i="14"/>
  <c r="V1118" i="14"/>
  <c r="V1119" i="14"/>
  <c r="V1120" i="14"/>
  <c r="V1121" i="14"/>
  <c r="V1122" i="14"/>
  <c r="V1123" i="14"/>
  <c r="V1124" i="14"/>
  <c r="V1125" i="14"/>
  <c r="V1126" i="14"/>
  <c r="V1127" i="14"/>
  <c r="V1128" i="14"/>
  <c r="V1129" i="14"/>
  <c r="V1130" i="14"/>
  <c r="V1131" i="14"/>
  <c r="V1132" i="14"/>
  <c r="V1133" i="14"/>
  <c r="V1134" i="14"/>
  <c r="V1135" i="14"/>
  <c r="V1136" i="14"/>
  <c r="V1137" i="14"/>
  <c r="V1138" i="14"/>
  <c r="V1139" i="14"/>
  <c r="V1140" i="14"/>
  <c r="V1141" i="14"/>
  <c r="V1142" i="14"/>
  <c r="V1143" i="14"/>
  <c r="V1144" i="14"/>
  <c r="V1145" i="14"/>
  <c r="V1146" i="14"/>
  <c r="V1147" i="14"/>
  <c r="V1148" i="14"/>
  <c r="V1149" i="14"/>
  <c r="V1150" i="14"/>
  <c r="V1151" i="14"/>
  <c r="V1152" i="14"/>
  <c r="V1153" i="14"/>
  <c r="V1154" i="14"/>
  <c r="V1155" i="14"/>
  <c r="V1156" i="14"/>
  <c r="V1157" i="14"/>
  <c r="V1158" i="14"/>
  <c r="V1159" i="14"/>
  <c r="V1160" i="14"/>
  <c r="V1161" i="14"/>
  <c r="V1162" i="14"/>
  <c r="V1163" i="14"/>
  <c r="V1164" i="14"/>
  <c r="V1165" i="14"/>
  <c r="V1166" i="14"/>
  <c r="V1167" i="14"/>
  <c r="V1168" i="14"/>
  <c r="V1169" i="14"/>
  <c r="V1170" i="14"/>
  <c r="V1171" i="14"/>
  <c r="V1172" i="14"/>
  <c r="V1173" i="14"/>
  <c r="V1174" i="14"/>
  <c r="V1175" i="14"/>
  <c r="V1176" i="14"/>
  <c r="V1177" i="14"/>
  <c r="V1178" i="14"/>
  <c r="V1179" i="14"/>
  <c r="V1180" i="14"/>
  <c r="V1181" i="14"/>
  <c r="V1182" i="14"/>
  <c r="V1183" i="14"/>
  <c r="V1184" i="14"/>
  <c r="V1185" i="14"/>
  <c r="V1186" i="14"/>
  <c r="V1187" i="14"/>
  <c r="V1188" i="14"/>
  <c r="V1189" i="14"/>
  <c r="V1190" i="14"/>
  <c r="V1191" i="14"/>
  <c r="V1192" i="14"/>
  <c r="V1193" i="14"/>
  <c r="V1194" i="14"/>
  <c r="V1195" i="14"/>
  <c r="V1196" i="14"/>
  <c r="V1197" i="14"/>
  <c r="V1198" i="14"/>
  <c r="V1199" i="14"/>
  <c r="V1200" i="14"/>
  <c r="V1201" i="14"/>
  <c r="V2" i="14"/>
  <c r="R9" i="7" l="1"/>
  <c r="R10" i="7"/>
  <c r="R11" i="7"/>
  <c r="M2" i="7" l="1"/>
  <c r="L4" i="2" l="1"/>
  <c r="L5" i="2"/>
  <c r="L6" i="2"/>
  <c r="L7" i="2"/>
  <c r="L8" i="2"/>
  <c r="L9" i="2"/>
  <c r="L10" i="2"/>
  <c r="L11" i="2"/>
  <c r="L12" i="2"/>
  <c r="L13" i="2"/>
  <c r="F13" i="2"/>
  <c r="G12" i="2"/>
  <c r="F38" i="16" l="1"/>
  <c r="F39" i="16"/>
  <c r="F40" i="16"/>
  <c r="F32" i="16"/>
  <c r="F33" i="16"/>
  <c r="F34" i="16"/>
  <c r="G35" i="16"/>
  <c r="G36" i="16"/>
  <c r="G37" i="16"/>
  <c r="F4" i="16"/>
  <c r="F5" i="16"/>
  <c r="F6" i="16"/>
  <c r="F7" i="16"/>
  <c r="F8" i="16"/>
  <c r="F9" i="16"/>
  <c r="F10" i="16"/>
  <c r="F11" i="16"/>
  <c r="F12" i="16"/>
  <c r="F14" i="16"/>
  <c r="F15" i="16"/>
  <c r="F16" i="16"/>
  <c r="F17" i="16"/>
  <c r="F18" i="16"/>
  <c r="F19" i="16"/>
  <c r="F21" i="16"/>
  <c r="F22" i="16"/>
  <c r="F23" i="16"/>
  <c r="F24" i="16"/>
  <c r="F25" i="16"/>
  <c r="F26" i="16"/>
  <c r="F28" i="16"/>
  <c r="F29" i="16"/>
  <c r="F30" i="16"/>
  <c r="F31" i="16"/>
  <c r="L5" i="24"/>
  <c r="M5" i="24"/>
  <c r="N5" i="24" s="1"/>
  <c r="P5" i="24"/>
  <c r="S5" i="24"/>
  <c r="Z5" i="24"/>
  <c r="L6" i="24"/>
  <c r="M6" i="24"/>
  <c r="N6" i="24" s="1"/>
  <c r="P6" i="24"/>
  <c r="S6" i="24"/>
  <c r="Z6" i="24"/>
  <c r="U6" i="24" l="1"/>
  <c r="U5" i="24"/>
  <c r="V5" i="24" s="1"/>
  <c r="V6" i="24" l="1"/>
  <c r="Z4" i="24" l="1"/>
  <c r="T4" i="24"/>
  <c r="S4" i="24"/>
  <c r="P4" i="24"/>
  <c r="L4" i="24"/>
  <c r="Z2" i="24"/>
  <c r="T3" i="24"/>
  <c r="S3" i="24"/>
  <c r="P3" i="24"/>
  <c r="L3" i="24"/>
  <c r="T2" i="24"/>
  <c r="S2" i="24"/>
  <c r="P2" i="24"/>
  <c r="L2" i="24"/>
  <c r="I187" i="14" l="1"/>
  <c r="I195" i="14"/>
  <c r="I203" i="14"/>
  <c r="I211" i="14"/>
  <c r="I219" i="14"/>
  <c r="I227" i="14"/>
  <c r="I235" i="14"/>
  <c r="I243" i="14"/>
  <c r="I251" i="14"/>
  <c r="I259" i="14"/>
  <c r="I267" i="14"/>
  <c r="I275" i="14"/>
  <c r="I283" i="14"/>
  <c r="I291" i="14"/>
  <c r="I299" i="14"/>
  <c r="I307" i="14"/>
  <c r="I315" i="14"/>
  <c r="I323" i="14"/>
  <c r="I331" i="14"/>
  <c r="I339" i="14"/>
  <c r="I347" i="14"/>
  <c r="I355" i="14"/>
  <c r="I363" i="14"/>
  <c r="I371" i="14"/>
  <c r="I379" i="14"/>
  <c r="I387" i="14"/>
  <c r="I395" i="14"/>
  <c r="I403" i="14"/>
  <c r="I411" i="14"/>
  <c r="I419" i="14"/>
  <c r="I427" i="14"/>
  <c r="I435" i="14"/>
  <c r="I443" i="14"/>
  <c r="I451" i="14"/>
  <c r="I459" i="14"/>
  <c r="I467" i="14"/>
  <c r="I475" i="14"/>
  <c r="I483" i="14"/>
  <c r="I491" i="14"/>
  <c r="I499" i="14"/>
  <c r="I507" i="14"/>
  <c r="I515" i="14"/>
  <c r="I523" i="14"/>
  <c r="I531" i="14"/>
  <c r="I539" i="14"/>
  <c r="I547" i="14"/>
  <c r="I555" i="14"/>
  <c r="I563" i="14"/>
  <c r="I571" i="14"/>
  <c r="I579" i="14"/>
  <c r="I587" i="14"/>
  <c r="I595" i="14"/>
  <c r="I603" i="14"/>
  <c r="I611" i="14"/>
  <c r="I619" i="14"/>
  <c r="I627" i="14"/>
  <c r="I635" i="14"/>
  <c r="I643" i="14"/>
  <c r="I651" i="14"/>
  <c r="I659" i="14"/>
  <c r="I667" i="14"/>
  <c r="I675" i="14"/>
  <c r="I683" i="14"/>
  <c r="I691" i="14"/>
  <c r="I699" i="14"/>
  <c r="I707" i="14"/>
  <c r="I715" i="14"/>
  <c r="I723" i="14"/>
  <c r="I731" i="14"/>
  <c r="I739" i="14"/>
  <c r="I747" i="14"/>
  <c r="I755" i="14"/>
  <c r="I763" i="14"/>
  <c r="I771" i="14"/>
  <c r="I779" i="14"/>
  <c r="I787" i="14"/>
  <c r="I795" i="14"/>
  <c r="I803" i="14"/>
  <c r="I811" i="14"/>
  <c r="I819" i="14"/>
  <c r="I188" i="14"/>
  <c r="I196" i="14"/>
  <c r="I204" i="14"/>
  <c r="I212" i="14"/>
  <c r="I220" i="14"/>
  <c r="I228" i="14"/>
  <c r="I236" i="14"/>
  <c r="I244" i="14"/>
  <c r="I252" i="14"/>
  <c r="I260" i="14"/>
  <c r="I268" i="14"/>
  <c r="I276" i="14"/>
  <c r="I284" i="14"/>
  <c r="I292" i="14"/>
  <c r="I300" i="14"/>
  <c r="I308" i="14"/>
  <c r="I316" i="14"/>
  <c r="I324" i="14"/>
  <c r="I332" i="14"/>
  <c r="I340" i="14"/>
  <c r="I348" i="14"/>
  <c r="I356" i="14"/>
  <c r="I364" i="14"/>
  <c r="I372" i="14"/>
  <c r="I380" i="14"/>
  <c r="I388" i="14"/>
  <c r="I396" i="14"/>
  <c r="I404" i="14"/>
  <c r="I412" i="14"/>
  <c r="I420" i="14"/>
  <c r="I428" i="14"/>
  <c r="I436" i="14"/>
  <c r="I444" i="14"/>
  <c r="I452" i="14"/>
  <c r="I460" i="14"/>
  <c r="I468" i="14"/>
  <c r="I476" i="14"/>
  <c r="I484" i="14"/>
  <c r="I492" i="14"/>
  <c r="I500" i="14"/>
  <c r="I508" i="14"/>
  <c r="I516" i="14"/>
  <c r="I524" i="14"/>
  <c r="I532" i="14"/>
  <c r="I540" i="14"/>
  <c r="I548" i="14"/>
  <c r="I556" i="14"/>
  <c r="I564" i="14"/>
  <c r="I572" i="14"/>
  <c r="I580" i="14"/>
  <c r="I588" i="14"/>
  <c r="I596" i="14"/>
  <c r="I604" i="14"/>
  <c r="I612" i="14"/>
  <c r="I620" i="14"/>
  <c r="I628" i="14"/>
  <c r="I636" i="14"/>
  <c r="I644" i="14"/>
  <c r="I652" i="14"/>
  <c r="I660" i="14"/>
  <c r="I668" i="14"/>
  <c r="I676" i="14"/>
  <c r="I684" i="14"/>
  <c r="I692" i="14"/>
  <c r="I700" i="14"/>
  <c r="I708" i="14"/>
  <c r="I716" i="14"/>
  <c r="I724" i="14"/>
  <c r="I732" i="14"/>
  <c r="I740" i="14"/>
  <c r="I748" i="14"/>
  <c r="I756" i="14"/>
  <c r="I764" i="14"/>
  <c r="I772" i="14"/>
  <c r="I780" i="14"/>
  <c r="I788" i="14"/>
  <c r="I796" i="14"/>
  <c r="I804" i="14"/>
  <c r="I812" i="14"/>
  <c r="I820" i="14"/>
  <c r="I189" i="14"/>
  <c r="I197" i="14"/>
  <c r="I205" i="14"/>
  <c r="I213" i="14"/>
  <c r="I221" i="14"/>
  <c r="I229" i="14"/>
  <c r="I237" i="14"/>
  <c r="I245" i="14"/>
  <c r="I253" i="14"/>
  <c r="I261" i="14"/>
  <c r="I269" i="14"/>
  <c r="I277" i="14"/>
  <c r="I285" i="14"/>
  <c r="I293" i="14"/>
  <c r="I301" i="14"/>
  <c r="I186" i="14"/>
  <c r="I194" i="14"/>
  <c r="I202" i="14"/>
  <c r="I210" i="14"/>
  <c r="I218" i="14"/>
  <c r="I190" i="14"/>
  <c r="I206" i="14"/>
  <c r="I222" i="14"/>
  <c r="I233" i="14"/>
  <c r="I247" i="14"/>
  <c r="I258" i="14"/>
  <c r="I272" i="14"/>
  <c r="I286" i="14"/>
  <c r="I297" i="14"/>
  <c r="I310" i="14"/>
  <c r="I320" i="14"/>
  <c r="I330" i="14"/>
  <c r="I342" i="14"/>
  <c r="I352" i="14"/>
  <c r="I362" i="14"/>
  <c r="I374" i="14"/>
  <c r="I384" i="14"/>
  <c r="I394" i="14"/>
  <c r="I406" i="14"/>
  <c r="I416" i="14"/>
  <c r="I426" i="14"/>
  <c r="I438" i="14"/>
  <c r="I448" i="14"/>
  <c r="I458" i="14"/>
  <c r="I470" i="14"/>
  <c r="I480" i="14"/>
  <c r="I490" i="14"/>
  <c r="I502" i="14"/>
  <c r="I512" i="14"/>
  <c r="I522" i="14"/>
  <c r="I534" i="14"/>
  <c r="I544" i="14"/>
  <c r="I554" i="14"/>
  <c r="I566" i="14"/>
  <c r="I576" i="14"/>
  <c r="I586" i="14"/>
  <c r="I598" i="14"/>
  <c r="I608" i="14"/>
  <c r="I618" i="14"/>
  <c r="I630" i="14"/>
  <c r="I640" i="14"/>
  <c r="I650" i="14"/>
  <c r="I662" i="14"/>
  <c r="I672" i="14"/>
  <c r="I682" i="14"/>
  <c r="I694" i="14"/>
  <c r="I704" i="14"/>
  <c r="I714" i="14"/>
  <c r="I726" i="14"/>
  <c r="I736" i="14"/>
  <c r="I746" i="14"/>
  <c r="I758" i="14"/>
  <c r="I768" i="14"/>
  <c r="I778" i="14"/>
  <c r="I790" i="14"/>
  <c r="I800" i="14"/>
  <c r="I810" i="14"/>
  <c r="I822" i="14"/>
  <c r="I830" i="14"/>
  <c r="I838" i="14"/>
  <c r="I846" i="14"/>
  <c r="I854" i="14"/>
  <c r="I862" i="14"/>
  <c r="I870" i="14"/>
  <c r="I878" i="14"/>
  <c r="I886" i="14"/>
  <c r="I894" i="14"/>
  <c r="I902" i="14"/>
  <c r="I910" i="14"/>
  <c r="I918" i="14"/>
  <c r="I926" i="14"/>
  <c r="I934" i="14"/>
  <c r="I942" i="14"/>
  <c r="I950" i="14"/>
  <c r="I958" i="14"/>
  <c r="I966" i="14"/>
  <c r="I974" i="14"/>
  <c r="I982" i="14"/>
  <c r="I990" i="14"/>
  <c r="I998" i="14"/>
  <c r="I1006" i="14"/>
  <c r="I1014" i="14"/>
  <c r="I1022" i="14"/>
  <c r="I1030" i="14"/>
  <c r="I1038" i="14"/>
  <c r="I1046" i="14"/>
  <c r="I1054" i="14"/>
  <c r="I1062" i="14"/>
  <c r="I1070" i="14"/>
  <c r="I1078" i="14"/>
  <c r="I1086" i="14"/>
  <c r="I1094" i="14"/>
  <c r="I1102" i="14"/>
  <c r="I1110" i="14"/>
  <c r="I1118" i="14"/>
  <c r="I1126" i="14"/>
  <c r="I1134" i="14"/>
  <c r="I1142" i="14"/>
  <c r="I1150" i="14"/>
  <c r="I1158" i="14"/>
  <c r="I1166" i="14"/>
  <c r="I1174" i="14"/>
  <c r="I1182" i="14"/>
  <c r="I1190" i="14"/>
  <c r="I1198" i="14"/>
  <c r="I191" i="14"/>
  <c r="I207" i="14"/>
  <c r="I223" i="14"/>
  <c r="I234" i="14"/>
  <c r="I248" i="14"/>
  <c r="I262" i="14"/>
  <c r="I273" i="14"/>
  <c r="I287" i="14"/>
  <c r="I298" i="14"/>
  <c r="I311" i="14"/>
  <c r="I321" i="14"/>
  <c r="I333" i="14"/>
  <c r="I343" i="14"/>
  <c r="I353" i="14"/>
  <c r="I365" i="14"/>
  <c r="I375" i="14"/>
  <c r="I385" i="14"/>
  <c r="I397" i="14"/>
  <c r="I407" i="14"/>
  <c r="I417" i="14"/>
  <c r="I429" i="14"/>
  <c r="I439" i="14"/>
  <c r="I449" i="14"/>
  <c r="I461" i="14"/>
  <c r="I471" i="14"/>
  <c r="I481" i="14"/>
  <c r="I493" i="14"/>
  <c r="I503" i="14"/>
  <c r="I513" i="14"/>
  <c r="I525" i="14"/>
  <c r="I535" i="14"/>
  <c r="I545" i="14"/>
  <c r="I557" i="14"/>
  <c r="I567" i="14"/>
  <c r="I577" i="14"/>
  <c r="I589" i="14"/>
  <c r="I599" i="14"/>
  <c r="I609" i="14"/>
  <c r="I621" i="14"/>
  <c r="I631" i="14"/>
  <c r="I641" i="14"/>
  <c r="I653" i="14"/>
  <c r="I663" i="14"/>
  <c r="I673" i="14"/>
  <c r="I685" i="14"/>
  <c r="I695" i="14"/>
  <c r="I705" i="14"/>
  <c r="I717" i="14"/>
  <c r="I727" i="14"/>
  <c r="I737" i="14"/>
  <c r="I749" i="14"/>
  <c r="I759" i="14"/>
  <c r="I769" i="14"/>
  <c r="I781" i="14"/>
  <c r="I791" i="14"/>
  <c r="I801" i="14"/>
  <c r="I813" i="14"/>
  <c r="I823" i="14"/>
  <c r="I831" i="14"/>
  <c r="I839" i="14"/>
  <c r="I847" i="14"/>
  <c r="I855" i="14"/>
  <c r="I863" i="14"/>
  <c r="I871" i="14"/>
  <c r="I879" i="14"/>
  <c r="I887" i="14"/>
  <c r="I895" i="14"/>
  <c r="I903" i="14"/>
  <c r="I911" i="14"/>
  <c r="I919" i="14"/>
  <c r="I927" i="14"/>
  <c r="I935" i="14"/>
  <c r="I943" i="14"/>
  <c r="I951" i="14"/>
  <c r="I959" i="14"/>
  <c r="I967" i="14"/>
  <c r="I975" i="14"/>
  <c r="I983" i="14"/>
  <c r="I991" i="14"/>
  <c r="I999" i="14"/>
  <c r="I1007" i="14"/>
  <c r="I1015" i="14"/>
  <c r="I1023" i="14"/>
  <c r="I1031" i="14"/>
  <c r="I1039" i="14"/>
  <c r="I1047" i="14"/>
  <c r="I1055" i="14"/>
  <c r="I1063" i="14"/>
  <c r="I1071" i="14"/>
  <c r="I1079" i="14"/>
  <c r="I1087" i="14"/>
  <c r="I1095" i="14"/>
  <c r="I1103" i="14"/>
  <c r="I1111" i="14"/>
  <c r="I1119" i="14"/>
  <c r="I1127" i="14"/>
  <c r="I1135" i="14"/>
  <c r="I1143" i="14"/>
  <c r="I1151" i="14"/>
  <c r="I1159" i="14"/>
  <c r="I1167" i="14"/>
  <c r="I1175" i="14"/>
  <c r="I1183" i="14"/>
  <c r="I1191" i="14"/>
  <c r="I1199" i="14"/>
  <c r="I192" i="14"/>
  <c r="I208" i="14"/>
  <c r="I224" i="14"/>
  <c r="I238" i="14"/>
  <c r="I249" i="14"/>
  <c r="I263" i="14"/>
  <c r="I274" i="14"/>
  <c r="I288" i="14"/>
  <c r="I302" i="14"/>
  <c r="I312" i="14"/>
  <c r="I322" i="14"/>
  <c r="I334" i="14"/>
  <c r="I344" i="14"/>
  <c r="I354" i="14"/>
  <c r="I366" i="14"/>
  <c r="I376" i="14"/>
  <c r="I386" i="14"/>
  <c r="I398" i="14"/>
  <c r="I408" i="14"/>
  <c r="I418" i="14"/>
  <c r="I430" i="14"/>
  <c r="I440" i="14"/>
  <c r="I450" i="14"/>
  <c r="I462" i="14"/>
  <c r="I472" i="14"/>
  <c r="I482" i="14"/>
  <c r="I494" i="14"/>
  <c r="I504" i="14"/>
  <c r="I514" i="14"/>
  <c r="I526" i="14"/>
  <c r="I536" i="14"/>
  <c r="I546" i="14"/>
  <c r="I558" i="14"/>
  <c r="I568" i="14"/>
  <c r="I578" i="14"/>
  <c r="I590" i="14"/>
  <c r="I600" i="14"/>
  <c r="I610" i="14"/>
  <c r="I622" i="14"/>
  <c r="I632" i="14"/>
  <c r="I642" i="14"/>
  <c r="I654" i="14"/>
  <c r="I664" i="14"/>
  <c r="I674" i="14"/>
  <c r="I686" i="14"/>
  <c r="I696" i="14"/>
  <c r="I706" i="14"/>
  <c r="I718" i="14"/>
  <c r="I728" i="14"/>
  <c r="I738" i="14"/>
  <c r="I750" i="14"/>
  <c r="I760" i="14"/>
  <c r="I770" i="14"/>
  <c r="I782" i="14"/>
  <c r="I792" i="14"/>
  <c r="I802" i="14"/>
  <c r="I814" i="14"/>
  <c r="I824" i="14"/>
  <c r="I832" i="14"/>
  <c r="I840" i="14"/>
  <c r="I848" i="14"/>
  <c r="I856" i="14"/>
  <c r="I864" i="14"/>
  <c r="I872" i="14"/>
  <c r="I880" i="14"/>
  <c r="I888" i="14"/>
  <c r="I896" i="14"/>
  <c r="I904" i="14"/>
  <c r="I912" i="14"/>
  <c r="I920" i="14"/>
  <c r="I928" i="14"/>
  <c r="I936" i="14"/>
  <c r="I944" i="14"/>
  <c r="I952" i="14"/>
  <c r="I960" i="14"/>
  <c r="I968" i="14"/>
  <c r="I976" i="14"/>
  <c r="I984" i="14"/>
  <c r="I992" i="14"/>
  <c r="I1000" i="14"/>
  <c r="I1008" i="14"/>
  <c r="I1016" i="14"/>
  <c r="I1024" i="14"/>
  <c r="I1032" i="14"/>
  <c r="I1040" i="14"/>
  <c r="I1048" i="14"/>
  <c r="I1056" i="14"/>
  <c r="I1064" i="14"/>
  <c r="I1072" i="14"/>
  <c r="I1080" i="14"/>
  <c r="I1088" i="14"/>
  <c r="I1096" i="14"/>
  <c r="I1104" i="14"/>
  <c r="I1112" i="14"/>
  <c r="I1120" i="14"/>
  <c r="I1128" i="14"/>
  <c r="I1136" i="14"/>
  <c r="I1144" i="14"/>
  <c r="I1152" i="14"/>
  <c r="I1160" i="14"/>
  <c r="I1168" i="14"/>
  <c r="I1176" i="14"/>
  <c r="I1184" i="14"/>
  <c r="I1192" i="14"/>
  <c r="I1200" i="14"/>
  <c r="I193" i="14"/>
  <c r="I209" i="14"/>
  <c r="I225" i="14"/>
  <c r="I239" i="14"/>
  <c r="I250" i="14"/>
  <c r="I264" i="14"/>
  <c r="I278" i="14"/>
  <c r="I289" i="14"/>
  <c r="I303" i="14"/>
  <c r="I313" i="14"/>
  <c r="I325" i="14"/>
  <c r="I335" i="14"/>
  <c r="I345" i="14"/>
  <c r="I357" i="14"/>
  <c r="I367" i="14"/>
  <c r="I377" i="14"/>
  <c r="I389" i="14"/>
  <c r="I399" i="14"/>
  <c r="I409" i="14"/>
  <c r="I421" i="14"/>
  <c r="I431" i="14"/>
  <c r="I441" i="14"/>
  <c r="I453" i="14"/>
  <c r="I463" i="14"/>
  <c r="I473" i="14"/>
  <c r="I485" i="14"/>
  <c r="I495" i="14"/>
  <c r="I505" i="14"/>
  <c r="I517" i="14"/>
  <c r="I527" i="14"/>
  <c r="I537" i="14"/>
  <c r="I549" i="14"/>
  <c r="I559" i="14"/>
  <c r="I569" i="14"/>
  <c r="I581" i="14"/>
  <c r="I591" i="14"/>
  <c r="I601" i="14"/>
  <c r="I613" i="14"/>
  <c r="I623" i="14"/>
  <c r="I633" i="14"/>
  <c r="I645" i="14"/>
  <c r="I655" i="14"/>
  <c r="I665" i="14"/>
  <c r="I677" i="14"/>
  <c r="I687" i="14"/>
  <c r="I697" i="14"/>
  <c r="I709" i="14"/>
  <c r="I719" i="14"/>
  <c r="I729" i="14"/>
  <c r="I741" i="14"/>
  <c r="I751" i="14"/>
  <c r="I761" i="14"/>
  <c r="I773" i="14"/>
  <c r="I783" i="14"/>
  <c r="I793" i="14"/>
  <c r="I805" i="14"/>
  <c r="I182" i="14"/>
  <c r="I198" i="14"/>
  <c r="I214" i="14"/>
  <c r="I226" i="14"/>
  <c r="I240" i="14"/>
  <c r="I254" i="14"/>
  <c r="I265" i="14"/>
  <c r="I279" i="14"/>
  <c r="I290" i="14"/>
  <c r="I304" i="14"/>
  <c r="I314" i="14"/>
  <c r="I326" i="14"/>
  <c r="I336" i="14"/>
  <c r="I346" i="14"/>
  <c r="I358" i="14"/>
  <c r="I368" i="14"/>
  <c r="I378" i="14"/>
  <c r="I390" i="14"/>
  <c r="I400" i="14"/>
  <c r="I410" i="14"/>
  <c r="I422" i="14"/>
  <c r="I432" i="14"/>
  <c r="I442" i="14"/>
  <c r="I454" i="14"/>
  <c r="I464" i="14"/>
  <c r="I474" i="14"/>
  <c r="I486" i="14"/>
  <c r="I496" i="14"/>
  <c r="I506" i="14"/>
  <c r="I518" i="14"/>
  <c r="I528" i="14"/>
  <c r="I538" i="14"/>
  <c r="I550" i="14"/>
  <c r="I560" i="14"/>
  <c r="I570" i="14"/>
  <c r="I582" i="14"/>
  <c r="I592" i="14"/>
  <c r="I602" i="14"/>
  <c r="I614" i="14"/>
  <c r="I624" i="14"/>
  <c r="I634" i="14"/>
  <c r="I646" i="14"/>
  <c r="I656" i="14"/>
  <c r="I666" i="14"/>
  <c r="I678" i="14"/>
  <c r="I688" i="14"/>
  <c r="I698" i="14"/>
  <c r="I710" i="14"/>
  <c r="I720" i="14"/>
  <c r="I730" i="14"/>
  <c r="I742" i="14"/>
  <c r="I752" i="14"/>
  <c r="I762" i="14"/>
  <c r="I774" i="14"/>
  <c r="I784" i="14"/>
  <c r="I794" i="14"/>
  <c r="I183" i="14"/>
  <c r="I199" i="14"/>
  <c r="I215" i="14"/>
  <c r="I230" i="14"/>
  <c r="I241" i="14"/>
  <c r="I255" i="14"/>
  <c r="I266" i="14"/>
  <c r="I280" i="14"/>
  <c r="I294" i="14"/>
  <c r="I305" i="14"/>
  <c r="I317" i="14"/>
  <c r="I327" i="14"/>
  <c r="I337" i="14"/>
  <c r="I349" i="14"/>
  <c r="I359" i="14"/>
  <c r="I369" i="14"/>
  <c r="I381" i="14"/>
  <c r="I391" i="14"/>
  <c r="I401" i="14"/>
  <c r="I413" i="14"/>
  <c r="I423" i="14"/>
  <c r="I433" i="14"/>
  <c r="I445" i="14"/>
  <c r="I455" i="14"/>
  <c r="I465" i="14"/>
  <c r="I477" i="14"/>
  <c r="I487" i="14"/>
  <c r="I497" i="14"/>
  <c r="I509" i="14"/>
  <c r="I519" i="14"/>
  <c r="I529" i="14"/>
  <c r="I541" i="14"/>
  <c r="I551" i="14"/>
  <c r="I561" i="14"/>
  <c r="I573" i="14"/>
  <c r="I583" i="14"/>
  <c r="I593" i="14"/>
  <c r="I605" i="14"/>
  <c r="I615" i="14"/>
  <c r="I625" i="14"/>
  <c r="I637" i="14"/>
  <c r="I647" i="14"/>
  <c r="I657" i="14"/>
  <c r="I669" i="14"/>
  <c r="I679" i="14"/>
  <c r="I689" i="14"/>
  <c r="I701" i="14"/>
  <c r="I711" i="14"/>
  <c r="I721" i="14"/>
  <c r="I733" i="14"/>
  <c r="I743" i="14"/>
  <c r="I753" i="14"/>
  <c r="I765" i="14"/>
  <c r="I775" i="14"/>
  <c r="I785" i="14"/>
  <c r="I797" i="14"/>
  <c r="I184" i="14"/>
  <c r="I200" i="14"/>
  <c r="I216" i="14"/>
  <c r="I231" i="14"/>
  <c r="I242" i="14"/>
  <c r="I256" i="14"/>
  <c r="I270" i="14"/>
  <c r="I281" i="14"/>
  <c r="I295" i="14"/>
  <c r="I306" i="14"/>
  <c r="I318" i="14"/>
  <c r="I328" i="14"/>
  <c r="I338" i="14"/>
  <c r="I350" i="14"/>
  <c r="I360" i="14"/>
  <c r="I370" i="14"/>
  <c r="I382" i="14"/>
  <c r="I392" i="14"/>
  <c r="I402" i="14"/>
  <c r="I414" i="14"/>
  <c r="I424" i="14"/>
  <c r="I434" i="14"/>
  <c r="I446" i="14"/>
  <c r="I456" i="14"/>
  <c r="I466" i="14"/>
  <c r="I478" i="14"/>
  <c r="I488" i="14"/>
  <c r="I498" i="14"/>
  <c r="I510" i="14"/>
  <c r="I520" i="14"/>
  <c r="I530" i="14"/>
  <c r="I542" i="14"/>
  <c r="I552" i="14"/>
  <c r="I562" i="14"/>
  <c r="I574" i="14"/>
  <c r="I584" i="14"/>
  <c r="I594" i="14"/>
  <c r="I606" i="14"/>
  <c r="I616" i="14"/>
  <c r="I626" i="14"/>
  <c r="I638" i="14"/>
  <c r="I648" i="14"/>
  <c r="I658" i="14"/>
  <c r="I670" i="14"/>
  <c r="I680" i="14"/>
  <c r="I690" i="14"/>
  <c r="I702" i="14"/>
  <c r="I712" i="14"/>
  <c r="I722" i="14"/>
  <c r="I734" i="14"/>
  <c r="I744" i="14"/>
  <c r="I754" i="14"/>
  <c r="I766" i="14"/>
  <c r="I776" i="14"/>
  <c r="I786" i="14"/>
  <c r="I798" i="14"/>
  <c r="I185" i="14"/>
  <c r="I201" i="14"/>
  <c r="I217" i="14"/>
  <c r="I232" i="14"/>
  <c r="I246" i="14"/>
  <c r="I257" i="14"/>
  <c r="I271" i="14"/>
  <c r="I282" i="14"/>
  <c r="I296" i="14"/>
  <c r="I309" i="14"/>
  <c r="I319" i="14"/>
  <c r="I329" i="14"/>
  <c r="I341" i="14"/>
  <c r="I351" i="14"/>
  <c r="I361" i="14"/>
  <c r="I373" i="14"/>
  <c r="I383" i="14"/>
  <c r="I393" i="14"/>
  <c r="I405" i="14"/>
  <c r="I415" i="14"/>
  <c r="I425" i="14"/>
  <c r="I437" i="14"/>
  <c r="I447" i="14"/>
  <c r="I457" i="14"/>
  <c r="I469" i="14"/>
  <c r="I479" i="14"/>
  <c r="I489" i="14"/>
  <c r="I501" i="14"/>
  <c r="I511" i="14"/>
  <c r="I521" i="14"/>
  <c r="I533" i="14"/>
  <c r="I543" i="14"/>
  <c r="I553" i="14"/>
  <c r="I565" i="14"/>
  <c r="I575" i="14"/>
  <c r="I585" i="14"/>
  <c r="I597" i="14"/>
  <c r="I607" i="14"/>
  <c r="I617" i="14"/>
  <c r="I629" i="14"/>
  <c r="I639" i="14"/>
  <c r="I649" i="14"/>
  <c r="I661" i="14"/>
  <c r="I671" i="14"/>
  <c r="I681" i="14"/>
  <c r="I693" i="14"/>
  <c r="I703" i="14"/>
  <c r="I713" i="14"/>
  <c r="I725" i="14"/>
  <c r="I735" i="14"/>
  <c r="I745" i="14"/>
  <c r="I757" i="14"/>
  <c r="I767" i="14"/>
  <c r="I777" i="14"/>
  <c r="I789" i="14"/>
  <c r="I799" i="14"/>
  <c r="I809" i="14"/>
  <c r="I821" i="14"/>
  <c r="I829" i="14"/>
  <c r="I837" i="14"/>
  <c r="I845" i="14"/>
  <c r="I853" i="14"/>
  <c r="I861" i="14"/>
  <c r="I869" i="14"/>
  <c r="I877" i="14"/>
  <c r="I885" i="14"/>
  <c r="I893" i="14"/>
  <c r="I901" i="14"/>
  <c r="I909" i="14"/>
  <c r="I917" i="14"/>
  <c r="I925" i="14"/>
  <c r="I933" i="14"/>
  <c r="I941" i="14"/>
  <c r="I949" i="14"/>
  <c r="I957" i="14"/>
  <c r="I965" i="14"/>
  <c r="I973" i="14"/>
  <c r="I981" i="14"/>
  <c r="I989" i="14"/>
  <c r="I997" i="14"/>
  <c r="I1005" i="14"/>
  <c r="I1013" i="14"/>
  <c r="I1021" i="14"/>
  <c r="I1029" i="14"/>
  <c r="I1037" i="14"/>
  <c r="I1045" i="14"/>
  <c r="I1053" i="14"/>
  <c r="I1061" i="14"/>
  <c r="I1069" i="14"/>
  <c r="I1077" i="14"/>
  <c r="I1085" i="14"/>
  <c r="I1093" i="14"/>
  <c r="I1101" i="14"/>
  <c r="I1109" i="14"/>
  <c r="I1117" i="14"/>
  <c r="I1125" i="14"/>
  <c r="I1133" i="14"/>
  <c r="I1141" i="14"/>
  <c r="I1149" i="14"/>
  <c r="I1157" i="14"/>
  <c r="I1165" i="14"/>
  <c r="I1173" i="14"/>
  <c r="I1181" i="14"/>
  <c r="I1189" i="14"/>
  <c r="I1197" i="14"/>
  <c r="I816" i="14"/>
  <c r="I834" i="14"/>
  <c r="I850" i="14"/>
  <c r="I866" i="14"/>
  <c r="I882" i="14"/>
  <c r="I898" i="14"/>
  <c r="I914" i="14"/>
  <c r="I930" i="14"/>
  <c r="I946" i="14"/>
  <c r="I962" i="14"/>
  <c r="I978" i="14"/>
  <c r="I994" i="14"/>
  <c r="I1010" i="14"/>
  <c r="I1026" i="14"/>
  <c r="I1042" i="14"/>
  <c r="I1058" i="14"/>
  <c r="I1074" i="14"/>
  <c r="I1090" i="14"/>
  <c r="I1106" i="14"/>
  <c r="I1122" i="14"/>
  <c r="I1138" i="14"/>
  <c r="I1154" i="14"/>
  <c r="I1170" i="14"/>
  <c r="I1186" i="14"/>
  <c r="I1049" i="14"/>
  <c r="I1177" i="14"/>
  <c r="I1193" i="14"/>
  <c r="I817" i="14"/>
  <c r="I835" i="14"/>
  <c r="I851" i="14"/>
  <c r="I867" i="14"/>
  <c r="I883" i="14"/>
  <c r="I899" i="14"/>
  <c r="I915" i="14"/>
  <c r="I931" i="14"/>
  <c r="I947" i="14"/>
  <c r="I963" i="14"/>
  <c r="I979" i="14"/>
  <c r="I995" i="14"/>
  <c r="I1011" i="14"/>
  <c r="I1027" i="14"/>
  <c r="I1043" i="14"/>
  <c r="I1059" i="14"/>
  <c r="I1075" i="14"/>
  <c r="I1091" i="14"/>
  <c r="I1107" i="14"/>
  <c r="I1123" i="14"/>
  <c r="I1139" i="14"/>
  <c r="I1155" i="14"/>
  <c r="I1171" i="14"/>
  <c r="I1187" i="14"/>
  <c r="I1145" i="14"/>
  <c r="I818" i="14"/>
  <c r="I836" i="14"/>
  <c r="I852" i="14"/>
  <c r="I868" i="14"/>
  <c r="I884" i="14"/>
  <c r="I900" i="14"/>
  <c r="I916" i="14"/>
  <c r="I932" i="14"/>
  <c r="I948" i="14"/>
  <c r="I964" i="14"/>
  <c r="I980" i="14"/>
  <c r="I996" i="14"/>
  <c r="I1012" i="14"/>
  <c r="I1028" i="14"/>
  <c r="I1044" i="14"/>
  <c r="I1060" i="14"/>
  <c r="I1076" i="14"/>
  <c r="I1092" i="14"/>
  <c r="I1108" i="14"/>
  <c r="I1124" i="14"/>
  <c r="I1140" i="14"/>
  <c r="I1156" i="14"/>
  <c r="I1172" i="14"/>
  <c r="I1188" i="14"/>
  <c r="I825" i="14"/>
  <c r="I841" i="14"/>
  <c r="I857" i="14"/>
  <c r="I873" i="14"/>
  <c r="I889" i="14"/>
  <c r="I905" i="14"/>
  <c r="I921" i="14"/>
  <c r="I937" i="14"/>
  <c r="I953" i="14"/>
  <c r="I969" i="14"/>
  <c r="I985" i="14"/>
  <c r="I1001" i="14"/>
  <c r="I1017" i="14"/>
  <c r="I1033" i="14"/>
  <c r="I1065" i="14"/>
  <c r="I1081" i="14"/>
  <c r="I1097" i="14"/>
  <c r="I1113" i="14"/>
  <c r="I1129" i="14"/>
  <c r="I1161" i="14"/>
  <c r="I806" i="14"/>
  <c r="I826" i="14"/>
  <c r="I842" i="14"/>
  <c r="I858" i="14"/>
  <c r="I874" i="14"/>
  <c r="I890" i="14"/>
  <c r="I906" i="14"/>
  <c r="I922" i="14"/>
  <c r="I938" i="14"/>
  <c r="I954" i="14"/>
  <c r="I970" i="14"/>
  <c r="I986" i="14"/>
  <c r="I1002" i="14"/>
  <c r="I1018" i="14"/>
  <c r="I1034" i="14"/>
  <c r="I1050" i="14"/>
  <c r="I1066" i="14"/>
  <c r="I1082" i="14"/>
  <c r="I1098" i="14"/>
  <c r="I1114" i="14"/>
  <c r="I1130" i="14"/>
  <c r="I1146" i="14"/>
  <c r="I1162" i="14"/>
  <c r="I1178" i="14"/>
  <c r="I1194" i="14"/>
  <c r="I807" i="14"/>
  <c r="I827" i="14"/>
  <c r="I843" i="14"/>
  <c r="I859" i="14"/>
  <c r="I875" i="14"/>
  <c r="I891" i="14"/>
  <c r="I907" i="14"/>
  <c r="I923" i="14"/>
  <c r="I939" i="14"/>
  <c r="I955" i="14"/>
  <c r="I971" i="14"/>
  <c r="I987" i="14"/>
  <c r="I1003" i="14"/>
  <c r="I1019" i="14"/>
  <c r="I1035" i="14"/>
  <c r="I1051" i="14"/>
  <c r="I1067" i="14"/>
  <c r="I1083" i="14"/>
  <c r="I1099" i="14"/>
  <c r="I1115" i="14"/>
  <c r="I1131" i="14"/>
  <c r="I1147" i="14"/>
  <c r="I1163" i="14"/>
  <c r="I1179" i="14"/>
  <c r="I1195" i="14"/>
  <c r="I808" i="14"/>
  <c r="I828" i="14"/>
  <c r="I844" i="14"/>
  <c r="I860" i="14"/>
  <c r="I876" i="14"/>
  <c r="I892" i="14"/>
  <c r="I908" i="14"/>
  <c r="I924" i="14"/>
  <c r="I940" i="14"/>
  <c r="I956" i="14"/>
  <c r="I972" i="14"/>
  <c r="I988" i="14"/>
  <c r="I1004" i="14"/>
  <c r="I1020" i="14"/>
  <c r="I1036" i="14"/>
  <c r="I1052" i="14"/>
  <c r="I1068" i="14"/>
  <c r="I1084" i="14"/>
  <c r="I1100" i="14"/>
  <c r="I1116" i="14"/>
  <c r="I1132" i="14"/>
  <c r="I1148" i="14"/>
  <c r="I1164" i="14"/>
  <c r="I1180" i="14"/>
  <c r="I1196" i="14"/>
  <c r="I815" i="14"/>
  <c r="I833" i="14"/>
  <c r="I849" i="14"/>
  <c r="I865" i="14"/>
  <c r="I881" i="14"/>
  <c r="I897" i="14"/>
  <c r="I913" i="14"/>
  <c r="I929" i="14"/>
  <c r="I945" i="14"/>
  <c r="I961" i="14"/>
  <c r="I977" i="14"/>
  <c r="I993" i="14"/>
  <c r="I1009" i="14"/>
  <c r="I1025" i="14"/>
  <c r="I1041" i="14"/>
  <c r="I1057" i="14"/>
  <c r="I1073" i="14"/>
  <c r="I1089" i="14"/>
  <c r="I1105" i="14"/>
  <c r="I1121" i="14"/>
  <c r="I1137" i="14"/>
  <c r="I1153" i="14"/>
  <c r="I1169" i="14"/>
  <c r="I1185" i="14"/>
  <c r="I1201" i="14"/>
  <c r="I7" i="14"/>
  <c r="I92" i="14"/>
  <c r="I105" i="14"/>
  <c r="I150" i="14"/>
  <c r="I20" i="14"/>
  <c r="I33" i="14"/>
  <c r="I62" i="14"/>
  <c r="I131" i="14"/>
  <c r="I152" i="14"/>
  <c r="I158" i="14"/>
  <c r="I59" i="14"/>
  <c r="I80" i="14"/>
  <c r="I69" i="14"/>
  <c r="I82" i="14"/>
  <c r="I127" i="14"/>
  <c r="I116" i="14"/>
  <c r="I129" i="14"/>
  <c r="I94" i="14"/>
  <c r="I163" i="14"/>
  <c r="I170" i="14"/>
  <c r="I173" i="14"/>
  <c r="I27" i="14"/>
  <c r="I48" i="14"/>
  <c r="I174" i="14"/>
  <c r="I28" i="14"/>
  <c r="I41" i="14"/>
  <c r="I70" i="14"/>
  <c r="I139" i="14"/>
  <c r="I160" i="14"/>
  <c r="I166" i="14"/>
  <c r="I67" i="14"/>
  <c r="I88" i="14"/>
  <c r="I141" i="14"/>
  <c r="I178" i="14"/>
  <c r="I16" i="14"/>
  <c r="I5" i="14"/>
  <c r="I18" i="14"/>
  <c r="I63" i="14"/>
  <c r="I52" i="14"/>
  <c r="I65" i="14"/>
  <c r="I30" i="14"/>
  <c r="I99" i="14"/>
  <c r="I120" i="14"/>
  <c r="I109" i="14"/>
  <c r="I138" i="14"/>
  <c r="I167" i="14"/>
  <c r="I78" i="14"/>
  <c r="I147" i="14"/>
  <c r="I168" i="14"/>
  <c r="I6" i="14"/>
  <c r="I75" i="14"/>
  <c r="I96" i="14"/>
  <c r="I149" i="14"/>
  <c r="I3" i="14"/>
  <c r="I24" i="14"/>
  <c r="I77" i="14"/>
  <c r="I90" i="14"/>
  <c r="I135" i="14"/>
  <c r="I124" i="14"/>
  <c r="I137" i="14"/>
  <c r="I110" i="14"/>
  <c r="I171" i="14"/>
  <c r="I2" i="14"/>
  <c r="I181" i="14"/>
  <c r="I35" i="14"/>
  <c r="I56" i="14"/>
  <c r="I45" i="14"/>
  <c r="I58" i="14"/>
  <c r="I103" i="14"/>
  <c r="I14" i="14"/>
  <c r="I83" i="14"/>
  <c r="I104" i="14"/>
  <c r="I157" i="14"/>
  <c r="I11" i="14"/>
  <c r="I32" i="14"/>
  <c r="I85" i="14"/>
  <c r="I98" i="14"/>
  <c r="I143" i="14"/>
  <c r="I13" i="14"/>
  <c r="I26" i="14"/>
  <c r="I71" i="14"/>
  <c r="I60" i="14"/>
  <c r="I73" i="14"/>
  <c r="I38" i="14"/>
  <c r="I107" i="14"/>
  <c r="I128" i="14"/>
  <c r="I117" i="14"/>
  <c r="I146" i="14"/>
  <c r="I175" i="14"/>
  <c r="I164" i="14"/>
  <c r="I177" i="14"/>
  <c r="I39" i="14"/>
  <c r="I165" i="14"/>
  <c r="I19" i="14"/>
  <c r="I40" i="14"/>
  <c r="I93" i="14"/>
  <c r="I114" i="14"/>
  <c r="I151" i="14"/>
  <c r="I21" i="14"/>
  <c r="I34" i="14"/>
  <c r="I79" i="14"/>
  <c r="I132" i="14"/>
  <c r="I145" i="14"/>
  <c r="I118" i="14"/>
  <c r="I179" i="14"/>
  <c r="I9" i="14"/>
  <c r="I102" i="14"/>
  <c r="I43" i="14"/>
  <c r="I64" i="14"/>
  <c r="I53" i="14"/>
  <c r="I66" i="14"/>
  <c r="I111" i="14"/>
  <c r="I100" i="14"/>
  <c r="I113" i="14"/>
  <c r="I101" i="14"/>
  <c r="I130" i="14"/>
  <c r="I159" i="14"/>
  <c r="I29" i="14"/>
  <c r="I42" i="14"/>
  <c r="I87" i="14"/>
  <c r="I140" i="14"/>
  <c r="I153" i="14"/>
  <c r="I15" i="14"/>
  <c r="I68" i="14"/>
  <c r="I81" i="14"/>
  <c r="I46" i="14"/>
  <c r="I115" i="14"/>
  <c r="I136" i="14"/>
  <c r="I125" i="14"/>
  <c r="I154" i="14"/>
  <c r="I106" i="14"/>
  <c r="I172" i="14"/>
  <c r="I122" i="14"/>
  <c r="I47" i="14"/>
  <c r="I36" i="14"/>
  <c r="I49" i="14"/>
  <c r="I37" i="14"/>
  <c r="I50" i="14"/>
  <c r="I95" i="14"/>
  <c r="I148" i="14"/>
  <c r="I161" i="14"/>
  <c r="I23" i="14"/>
  <c r="I76" i="14"/>
  <c r="I89" i="14"/>
  <c r="I126" i="14"/>
  <c r="I4" i="14"/>
  <c r="I17" i="14"/>
  <c r="I142" i="14"/>
  <c r="I51" i="14"/>
  <c r="I72" i="14"/>
  <c r="I61" i="14"/>
  <c r="I74" i="14"/>
  <c r="I119" i="14"/>
  <c r="I108" i="14"/>
  <c r="I121" i="14"/>
  <c r="I86" i="14"/>
  <c r="I155" i="14"/>
  <c r="I176" i="14"/>
  <c r="I156" i="14"/>
  <c r="I169" i="14"/>
  <c r="I31" i="14"/>
  <c r="I84" i="14"/>
  <c r="I97" i="14"/>
  <c r="I134" i="14"/>
  <c r="I12" i="14"/>
  <c r="I25" i="14"/>
  <c r="I54" i="14"/>
  <c r="I123" i="14"/>
  <c r="I144" i="14"/>
  <c r="I133" i="14"/>
  <c r="I162" i="14"/>
  <c r="I8" i="14"/>
  <c r="I180" i="14"/>
  <c r="I10" i="14"/>
  <c r="I55" i="14"/>
  <c r="I44" i="14"/>
  <c r="I57" i="14"/>
  <c r="I22" i="14"/>
  <c r="I91" i="14"/>
  <c r="I112" i="14"/>
  <c r="J7" i="14"/>
  <c r="J195" i="14"/>
  <c r="J203" i="14"/>
  <c r="J211" i="14"/>
  <c r="J219" i="14"/>
  <c r="J227" i="14"/>
  <c r="J235" i="14"/>
  <c r="J243" i="14"/>
  <c r="J251" i="14"/>
  <c r="J259" i="14"/>
  <c r="J267" i="14"/>
  <c r="J275" i="14"/>
  <c r="J283" i="14"/>
  <c r="J291" i="14"/>
  <c r="J299" i="14"/>
  <c r="J307" i="14"/>
  <c r="J315" i="14"/>
  <c r="J323" i="14"/>
  <c r="J331" i="14"/>
  <c r="J339" i="14"/>
  <c r="J347" i="14"/>
  <c r="J355" i="14"/>
  <c r="J363" i="14"/>
  <c r="J371" i="14"/>
  <c r="J379" i="14"/>
  <c r="J387" i="14"/>
  <c r="J395" i="14"/>
  <c r="J403" i="14"/>
  <c r="J411" i="14"/>
  <c r="J419" i="14"/>
  <c r="J427" i="14"/>
  <c r="J435" i="14"/>
  <c r="J443" i="14"/>
  <c r="J451" i="14"/>
  <c r="J459" i="14"/>
  <c r="J8" i="14"/>
  <c r="J196" i="14"/>
  <c r="J204" i="14"/>
  <c r="J212" i="14"/>
  <c r="J220" i="14"/>
  <c r="J228" i="14"/>
  <c r="J236" i="14"/>
  <c r="J244" i="14"/>
  <c r="J252" i="14"/>
  <c r="J260" i="14"/>
  <c r="J268" i="14"/>
  <c r="J276" i="14"/>
  <c r="J284" i="14"/>
  <c r="J292" i="14"/>
  <c r="J300" i="14"/>
  <c r="J308" i="14"/>
  <c r="J316" i="14"/>
  <c r="J324" i="14"/>
  <c r="J332" i="14"/>
  <c r="J340" i="14"/>
  <c r="J348" i="14"/>
  <c r="J356" i="14"/>
  <c r="J364" i="14"/>
  <c r="J372" i="14"/>
  <c r="J380" i="14"/>
  <c r="J388" i="14"/>
  <c r="J396" i="14"/>
  <c r="J404" i="14"/>
  <c r="J412" i="14"/>
  <c r="J420" i="14"/>
  <c r="J428" i="14"/>
  <c r="J436" i="14"/>
  <c r="J444" i="14"/>
  <c r="J452" i="14"/>
  <c r="J460" i="14"/>
  <c r="J9" i="14"/>
  <c r="J197" i="14"/>
  <c r="J205" i="14"/>
  <c r="J213" i="14"/>
  <c r="J221" i="14"/>
  <c r="J229" i="14"/>
  <c r="J237" i="14"/>
  <c r="J245" i="14"/>
  <c r="J253" i="14"/>
  <c r="J261" i="14"/>
  <c r="J269" i="14"/>
  <c r="J277" i="14"/>
  <c r="J285" i="14"/>
  <c r="J293" i="14"/>
  <c r="J301" i="14"/>
  <c r="J309" i="14"/>
  <c r="J317" i="14"/>
  <c r="J325" i="14"/>
  <c r="J333" i="14"/>
  <c r="J341" i="14"/>
  <c r="J349" i="14"/>
  <c r="J357" i="14"/>
  <c r="J365" i="14"/>
  <c r="J373" i="14"/>
  <c r="J381" i="14"/>
  <c r="J6" i="14"/>
  <c r="J194" i="14"/>
  <c r="J202" i="14"/>
  <c r="J210" i="14"/>
  <c r="J218" i="14"/>
  <c r="J226" i="14"/>
  <c r="J234" i="14"/>
  <c r="J242" i="14"/>
  <c r="J250" i="14"/>
  <c r="J258" i="14"/>
  <c r="J266" i="14"/>
  <c r="J274" i="14"/>
  <c r="J282" i="14"/>
  <c r="J290" i="14"/>
  <c r="J298" i="14"/>
  <c r="J306" i="14"/>
  <c r="J314" i="14"/>
  <c r="J322" i="14"/>
  <c r="J330" i="14"/>
  <c r="J338" i="14"/>
  <c r="J346" i="14"/>
  <c r="J354" i="14"/>
  <c r="J362" i="14"/>
  <c r="J370" i="14"/>
  <c r="J378" i="14"/>
  <c r="J386" i="14"/>
  <c r="J394" i="14"/>
  <c r="J402" i="14"/>
  <c r="J12" i="14"/>
  <c r="J208" i="14"/>
  <c r="J224" i="14"/>
  <c r="J240" i="14"/>
  <c r="J256" i="14"/>
  <c r="J272" i="14"/>
  <c r="J288" i="14"/>
  <c r="J304" i="14"/>
  <c r="J320" i="14"/>
  <c r="J336" i="14"/>
  <c r="J352" i="14"/>
  <c r="J368" i="14"/>
  <c r="J384" i="14"/>
  <c r="J398" i="14"/>
  <c r="J409" i="14"/>
  <c r="J421" i="14"/>
  <c r="J431" i="14"/>
  <c r="J441" i="14"/>
  <c r="J453" i="14"/>
  <c r="J463" i="14"/>
  <c r="J471" i="14"/>
  <c r="J479" i="14"/>
  <c r="J487" i="14"/>
  <c r="J495" i="14"/>
  <c r="J503" i="14"/>
  <c r="J511" i="14"/>
  <c r="J519" i="14"/>
  <c r="J527" i="14"/>
  <c r="J535" i="14"/>
  <c r="J543" i="14"/>
  <c r="J551" i="14"/>
  <c r="J559" i="14"/>
  <c r="J567" i="14"/>
  <c r="J575" i="14"/>
  <c r="J583" i="14"/>
  <c r="J591" i="14"/>
  <c r="J599" i="14"/>
  <c r="J607" i="14"/>
  <c r="J615" i="14"/>
  <c r="J623" i="14"/>
  <c r="J631" i="14"/>
  <c r="J639" i="14"/>
  <c r="J647" i="14"/>
  <c r="J655" i="14"/>
  <c r="J663" i="14"/>
  <c r="J671" i="14"/>
  <c r="J679" i="14"/>
  <c r="J687" i="14"/>
  <c r="J695" i="14"/>
  <c r="J703" i="14"/>
  <c r="J711" i="14"/>
  <c r="J719" i="14"/>
  <c r="J727" i="14"/>
  <c r="J735" i="14"/>
  <c r="J743" i="14"/>
  <c r="J751" i="14"/>
  <c r="J759" i="14"/>
  <c r="J767" i="14"/>
  <c r="J775" i="14"/>
  <c r="J783" i="14"/>
  <c r="J791" i="14"/>
  <c r="J799" i="14"/>
  <c r="J807" i="14"/>
  <c r="J13" i="14"/>
  <c r="J209" i="14"/>
  <c r="J225" i="14"/>
  <c r="J241" i="14"/>
  <c r="J257" i="14"/>
  <c r="J273" i="14"/>
  <c r="J289" i="14"/>
  <c r="J305" i="14"/>
  <c r="J321" i="14"/>
  <c r="J337" i="14"/>
  <c r="J353" i="14"/>
  <c r="J369" i="14"/>
  <c r="J385" i="14"/>
  <c r="J399" i="14"/>
  <c r="J410" i="14"/>
  <c r="J422" i="14"/>
  <c r="J432" i="14"/>
  <c r="J442" i="14"/>
  <c r="J454" i="14"/>
  <c r="J464" i="14"/>
  <c r="J472" i="14"/>
  <c r="J480" i="14"/>
  <c r="J488" i="14"/>
  <c r="J496" i="14"/>
  <c r="J504" i="14"/>
  <c r="J512" i="14"/>
  <c r="J520" i="14"/>
  <c r="J528" i="14"/>
  <c r="J536" i="14"/>
  <c r="J544" i="14"/>
  <c r="J552" i="14"/>
  <c r="J560" i="14"/>
  <c r="J568" i="14"/>
  <c r="J576" i="14"/>
  <c r="J584" i="14"/>
  <c r="J592" i="14"/>
  <c r="J600" i="14"/>
  <c r="J608" i="14"/>
  <c r="J616" i="14"/>
  <c r="J624" i="14"/>
  <c r="J632" i="14"/>
  <c r="J640" i="14"/>
  <c r="J648" i="14"/>
  <c r="J656" i="14"/>
  <c r="J664" i="14"/>
  <c r="J672" i="14"/>
  <c r="J680" i="14"/>
  <c r="J688" i="14"/>
  <c r="J696" i="14"/>
  <c r="J704" i="14"/>
  <c r="J712" i="14"/>
  <c r="J720" i="14"/>
  <c r="J728" i="14"/>
  <c r="J736" i="14"/>
  <c r="J744" i="14"/>
  <c r="J752" i="14"/>
  <c r="J760" i="14"/>
  <c r="J768" i="14"/>
  <c r="J776" i="14"/>
  <c r="J784" i="14"/>
  <c r="J792" i="14"/>
  <c r="J800" i="14"/>
  <c r="J808" i="14"/>
  <c r="J198" i="14"/>
  <c r="J214" i="14"/>
  <c r="J230" i="14"/>
  <c r="J246" i="14"/>
  <c r="J262" i="14"/>
  <c r="J278" i="14"/>
  <c r="J294" i="14"/>
  <c r="J310" i="14"/>
  <c r="J326" i="14"/>
  <c r="J342" i="14"/>
  <c r="J358" i="14"/>
  <c r="J374" i="14"/>
  <c r="J389" i="14"/>
  <c r="J400" i="14"/>
  <c r="J413" i="14"/>
  <c r="J423" i="14"/>
  <c r="J433" i="14"/>
  <c r="J445" i="14"/>
  <c r="J455" i="14"/>
  <c r="J465" i="14"/>
  <c r="J473" i="14"/>
  <c r="J481" i="14"/>
  <c r="J489" i="14"/>
  <c r="J497" i="14"/>
  <c r="J505" i="14"/>
  <c r="J513" i="14"/>
  <c r="J521" i="14"/>
  <c r="J529" i="14"/>
  <c r="J537" i="14"/>
  <c r="J545" i="14"/>
  <c r="J553" i="14"/>
  <c r="J561" i="14"/>
  <c r="J569" i="14"/>
  <c r="J577" i="14"/>
  <c r="J585" i="14"/>
  <c r="J593" i="14"/>
  <c r="J601" i="14"/>
  <c r="J609" i="14"/>
  <c r="J617" i="14"/>
  <c r="J625" i="14"/>
  <c r="J633" i="14"/>
  <c r="J641" i="14"/>
  <c r="J649" i="14"/>
  <c r="J657" i="14"/>
  <c r="J665" i="14"/>
  <c r="J673" i="14"/>
  <c r="J681" i="14"/>
  <c r="J689" i="14"/>
  <c r="J697" i="14"/>
  <c r="J705" i="14"/>
  <c r="J713" i="14"/>
  <c r="J721" i="14"/>
  <c r="J729" i="14"/>
  <c r="J737" i="14"/>
  <c r="J745" i="14"/>
  <c r="J753" i="14"/>
  <c r="J761" i="14"/>
  <c r="J769" i="14"/>
  <c r="J777" i="14"/>
  <c r="J785" i="14"/>
  <c r="J793" i="14"/>
  <c r="J11" i="14"/>
  <c r="J207" i="14"/>
  <c r="J223" i="14"/>
  <c r="J239" i="14"/>
  <c r="J255" i="14"/>
  <c r="J271" i="14"/>
  <c r="J287" i="14"/>
  <c r="J303" i="14"/>
  <c r="J319" i="14"/>
  <c r="J335" i="14"/>
  <c r="J351" i="14"/>
  <c r="J367" i="14"/>
  <c r="J383" i="14"/>
  <c r="J397" i="14"/>
  <c r="J408" i="14"/>
  <c r="J418" i="14"/>
  <c r="J430" i="14"/>
  <c r="J440" i="14"/>
  <c r="J450" i="14"/>
  <c r="J462" i="14"/>
  <c r="J470" i="14"/>
  <c r="J478" i="14"/>
  <c r="J486" i="14"/>
  <c r="J494" i="14"/>
  <c r="J502" i="14"/>
  <c r="J510" i="14"/>
  <c r="J518" i="14"/>
  <c r="J526" i="14"/>
  <c r="J534" i="14"/>
  <c r="J542" i="14"/>
  <c r="J550" i="14"/>
  <c r="J558" i="14"/>
  <c r="J566" i="14"/>
  <c r="J574" i="14"/>
  <c r="J582" i="14"/>
  <c r="J590" i="14"/>
  <c r="J598" i="14"/>
  <c r="J606" i="14"/>
  <c r="J614" i="14"/>
  <c r="J622" i="14"/>
  <c r="J630" i="14"/>
  <c r="J638" i="14"/>
  <c r="J646" i="14"/>
  <c r="J654" i="14"/>
  <c r="J662" i="14"/>
  <c r="J670" i="14"/>
  <c r="J678" i="14"/>
  <c r="J686" i="14"/>
  <c r="J694" i="14"/>
  <c r="J702" i="14"/>
  <c r="J710" i="14"/>
  <c r="J718" i="14"/>
  <c r="J726" i="14"/>
  <c r="J734" i="14"/>
  <c r="J742" i="14"/>
  <c r="J750" i="14"/>
  <c r="J758" i="14"/>
  <c r="J766" i="14"/>
  <c r="J774" i="14"/>
  <c r="J782" i="14"/>
  <c r="J790" i="14"/>
  <c r="J798" i="14"/>
  <c r="J200" i="14"/>
  <c r="J232" i="14"/>
  <c r="J264" i="14"/>
  <c r="J296" i="14"/>
  <c r="J328" i="14"/>
  <c r="J360" i="14"/>
  <c r="J391" i="14"/>
  <c r="J415" i="14"/>
  <c r="J437" i="14"/>
  <c r="J457" i="14"/>
  <c r="J475" i="14"/>
  <c r="J491" i="14"/>
  <c r="J507" i="14"/>
  <c r="J523" i="14"/>
  <c r="J539" i="14"/>
  <c r="J555" i="14"/>
  <c r="J571" i="14"/>
  <c r="J587" i="14"/>
  <c r="J603" i="14"/>
  <c r="J619" i="14"/>
  <c r="J635" i="14"/>
  <c r="J651" i="14"/>
  <c r="J667" i="14"/>
  <c r="J683" i="14"/>
  <c r="J699" i="14"/>
  <c r="J715" i="14"/>
  <c r="J731" i="14"/>
  <c r="J747" i="14"/>
  <c r="J763" i="14"/>
  <c r="J779" i="14"/>
  <c r="J795" i="14"/>
  <c r="J806" i="14"/>
  <c r="J816" i="14"/>
  <c r="J824" i="14"/>
  <c r="J832" i="14"/>
  <c r="J840" i="14"/>
  <c r="J848" i="14"/>
  <c r="J856" i="14"/>
  <c r="J864" i="14"/>
  <c r="J872" i="14"/>
  <c r="J880" i="14"/>
  <c r="J888" i="14"/>
  <c r="J896" i="14"/>
  <c r="J904" i="14"/>
  <c r="J912" i="14"/>
  <c r="J920" i="14"/>
  <c r="J928" i="14"/>
  <c r="J936" i="14"/>
  <c r="J944" i="14"/>
  <c r="J952" i="14"/>
  <c r="J960" i="14"/>
  <c r="J968" i="14"/>
  <c r="J976" i="14"/>
  <c r="J984" i="14"/>
  <c r="J992" i="14"/>
  <c r="J1000" i="14"/>
  <c r="J1008" i="14"/>
  <c r="J1016" i="14"/>
  <c r="J1024" i="14"/>
  <c r="J1032" i="14"/>
  <c r="J1040" i="14"/>
  <c r="J1048" i="14"/>
  <c r="J1056" i="14"/>
  <c r="J1064" i="14"/>
  <c r="J1072" i="14"/>
  <c r="J1080" i="14"/>
  <c r="J1088" i="14"/>
  <c r="J1096" i="14"/>
  <c r="J1104" i="14"/>
  <c r="J1112" i="14"/>
  <c r="J1120" i="14"/>
  <c r="J1128" i="14"/>
  <c r="J1136" i="14"/>
  <c r="J1144" i="14"/>
  <c r="J1152" i="14"/>
  <c r="J1160" i="14"/>
  <c r="J1168" i="14"/>
  <c r="J1176" i="14"/>
  <c r="J1184" i="14"/>
  <c r="J1192" i="14"/>
  <c r="J1200" i="14"/>
  <c r="J201" i="14"/>
  <c r="J233" i="14"/>
  <c r="J265" i="14"/>
  <c r="J297" i="14"/>
  <c r="J329" i="14"/>
  <c r="J361" i="14"/>
  <c r="J392" i="14"/>
  <c r="J416" i="14"/>
  <c r="J438" i="14"/>
  <c r="J458" i="14"/>
  <c r="J476" i="14"/>
  <c r="J492" i="14"/>
  <c r="J508" i="14"/>
  <c r="J524" i="14"/>
  <c r="J540" i="14"/>
  <c r="J556" i="14"/>
  <c r="J572" i="14"/>
  <c r="J588" i="14"/>
  <c r="J604" i="14"/>
  <c r="J620" i="14"/>
  <c r="J636" i="14"/>
  <c r="J652" i="14"/>
  <c r="J668" i="14"/>
  <c r="J684" i="14"/>
  <c r="J700" i="14"/>
  <c r="J716" i="14"/>
  <c r="J732" i="14"/>
  <c r="J748" i="14"/>
  <c r="J764" i="14"/>
  <c r="J780" i="14"/>
  <c r="J796" i="14"/>
  <c r="J809" i="14"/>
  <c r="J817" i="14"/>
  <c r="J825" i="14"/>
  <c r="J833" i="14"/>
  <c r="J841" i="14"/>
  <c r="J849" i="14"/>
  <c r="J857" i="14"/>
  <c r="J865" i="14"/>
  <c r="J873" i="14"/>
  <c r="J881" i="14"/>
  <c r="J889" i="14"/>
  <c r="J897" i="14"/>
  <c r="J905" i="14"/>
  <c r="J913" i="14"/>
  <c r="J921" i="14"/>
  <c r="J929" i="14"/>
  <c r="J937" i="14"/>
  <c r="J945" i="14"/>
  <c r="J953" i="14"/>
  <c r="J961" i="14"/>
  <c r="J969" i="14"/>
  <c r="J977" i="14"/>
  <c r="J985" i="14"/>
  <c r="J993" i="14"/>
  <c r="J1001" i="14"/>
  <c r="J1009" i="14"/>
  <c r="J1017" i="14"/>
  <c r="J1025" i="14"/>
  <c r="J1033" i="14"/>
  <c r="J1041" i="14"/>
  <c r="J1049" i="14"/>
  <c r="J1057" i="14"/>
  <c r="J1065" i="14"/>
  <c r="J1073" i="14"/>
  <c r="J1081" i="14"/>
  <c r="J1089" i="14"/>
  <c r="J1097" i="14"/>
  <c r="J1105" i="14"/>
  <c r="J1113" i="14"/>
  <c r="J1121" i="14"/>
  <c r="J1129" i="14"/>
  <c r="J1137" i="14"/>
  <c r="J1145" i="14"/>
  <c r="J1153" i="14"/>
  <c r="J1161" i="14"/>
  <c r="J1169" i="14"/>
  <c r="J1177" i="14"/>
  <c r="J1185" i="14"/>
  <c r="J1193" i="14"/>
  <c r="J1201" i="14"/>
  <c r="J206" i="14"/>
  <c r="J238" i="14"/>
  <c r="J270" i="14"/>
  <c r="J302" i="14"/>
  <c r="J334" i="14"/>
  <c r="J366" i="14"/>
  <c r="J393" i="14"/>
  <c r="J417" i="14"/>
  <c r="J439" i="14"/>
  <c r="J461" i="14"/>
  <c r="J477" i="14"/>
  <c r="J493" i="14"/>
  <c r="J509" i="14"/>
  <c r="J525" i="14"/>
  <c r="J541" i="14"/>
  <c r="J557" i="14"/>
  <c r="J573" i="14"/>
  <c r="J589" i="14"/>
  <c r="J605" i="14"/>
  <c r="J621" i="14"/>
  <c r="J637" i="14"/>
  <c r="J653" i="14"/>
  <c r="J669" i="14"/>
  <c r="J685" i="14"/>
  <c r="J701" i="14"/>
  <c r="J717" i="14"/>
  <c r="J733" i="14"/>
  <c r="J749" i="14"/>
  <c r="J765" i="14"/>
  <c r="J781" i="14"/>
  <c r="J797" i="14"/>
  <c r="J810" i="14"/>
  <c r="J818" i="14"/>
  <c r="J826" i="14"/>
  <c r="J834" i="14"/>
  <c r="J842" i="14"/>
  <c r="J850" i="14"/>
  <c r="J858" i="14"/>
  <c r="J866" i="14"/>
  <c r="J874" i="14"/>
  <c r="J882" i="14"/>
  <c r="J890" i="14"/>
  <c r="J898" i="14"/>
  <c r="J906" i="14"/>
  <c r="J914" i="14"/>
  <c r="J922" i="14"/>
  <c r="J930" i="14"/>
  <c r="J938" i="14"/>
  <c r="J946" i="14"/>
  <c r="J954" i="14"/>
  <c r="J962" i="14"/>
  <c r="J970" i="14"/>
  <c r="J978" i="14"/>
  <c r="J986" i="14"/>
  <c r="J994" i="14"/>
  <c r="J1002" i="14"/>
  <c r="J1010" i="14"/>
  <c r="J1018" i="14"/>
  <c r="J1026" i="14"/>
  <c r="J1034" i="14"/>
  <c r="J1042" i="14"/>
  <c r="J1050" i="14"/>
  <c r="J1058" i="14"/>
  <c r="J1066" i="14"/>
  <c r="J1074" i="14"/>
  <c r="J1082" i="14"/>
  <c r="J1090" i="14"/>
  <c r="J1098" i="14"/>
  <c r="J1106" i="14"/>
  <c r="J1114" i="14"/>
  <c r="J1122" i="14"/>
  <c r="J1130" i="14"/>
  <c r="J1138" i="14"/>
  <c r="J1146" i="14"/>
  <c r="J1154" i="14"/>
  <c r="J1162" i="14"/>
  <c r="J1170" i="14"/>
  <c r="J1178" i="14"/>
  <c r="J1186" i="14"/>
  <c r="J1194" i="14"/>
  <c r="J2" i="14"/>
  <c r="J3" i="14"/>
  <c r="J215" i="14"/>
  <c r="J247" i="14"/>
  <c r="J279" i="14"/>
  <c r="J311" i="14"/>
  <c r="J343" i="14"/>
  <c r="J375" i="14"/>
  <c r="J401" i="14"/>
  <c r="J424" i="14"/>
  <c r="J446" i="14"/>
  <c r="J466" i="14"/>
  <c r="J482" i="14"/>
  <c r="J498" i="14"/>
  <c r="J514" i="14"/>
  <c r="J530" i="14"/>
  <c r="J546" i="14"/>
  <c r="J562" i="14"/>
  <c r="J578" i="14"/>
  <c r="J594" i="14"/>
  <c r="J610" i="14"/>
  <c r="J626" i="14"/>
  <c r="J642" i="14"/>
  <c r="J658" i="14"/>
  <c r="J4" i="14"/>
  <c r="J216" i="14"/>
  <c r="J248" i="14"/>
  <c r="J280" i="14"/>
  <c r="J312" i="14"/>
  <c r="J344" i="14"/>
  <c r="J376" i="14"/>
  <c r="J405" i="14"/>
  <c r="J425" i="14"/>
  <c r="J447" i="14"/>
  <c r="J467" i="14"/>
  <c r="J483" i="14"/>
  <c r="J499" i="14"/>
  <c r="J515" i="14"/>
  <c r="J531" i="14"/>
  <c r="J547" i="14"/>
  <c r="J563" i="14"/>
  <c r="J579" i="14"/>
  <c r="J595" i="14"/>
  <c r="J611" i="14"/>
  <c r="J627" i="14"/>
  <c r="J643" i="14"/>
  <c r="J659" i="14"/>
  <c r="J5" i="14"/>
  <c r="J217" i="14"/>
  <c r="J249" i="14"/>
  <c r="J281" i="14"/>
  <c r="J313" i="14"/>
  <c r="J345" i="14"/>
  <c r="J377" i="14"/>
  <c r="J406" i="14"/>
  <c r="J426" i="14"/>
  <c r="J448" i="14"/>
  <c r="J468" i="14"/>
  <c r="J484" i="14"/>
  <c r="J500" i="14"/>
  <c r="J516" i="14"/>
  <c r="J532" i="14"/>
  <c r="J548" i="14"/>
  <c r="J564" i="14"/>
  <c r="J580" i="14"/>
  <c r="J596" i="14"/>
  <c r="J612" i="14"/>
  <c r="J628" i="14"/>
  <c r="J644" i="14"/>
  <c r="J660" i="14"/>
  <c r="J10" i="14"/>
  <c r="J222" i="14"/>
  <c r="J254" i="14"/>
  <c r="J286" i="14"/>
  <c r="J318" i="14"/>
  <c r="J350" i="14"/>
  <c r="J382" i="14"/>
  <c r="J407" i="14"/>
  <c r="J429" i="14"/>
  <c r="J449" i="14"/>
  <c r="J469" i="14"/>
  <c r="J485" i="14"/>
  <c r="J501" i="14"/>
  <c r="J517" i="14"/>
  <c r="J533" i="14"/>
  <c r="J549" i="14"/>
  <c r="J565" i="14"/>
  <c r="J581" i="14"/>
  <c r="J597" i="14"/>
  <c r="J613" i="14"/>
  <c r="J629" i="14"/>
  <c r="J645" i="14"/>
  <c r="J661" i="14"/>
  <c r="J199" i="14"/>
  <c r="J231" i="14"/>
  <c r="J263" i="14"/>
  <c r="J295" i="14"/>
  <c r="J327" i="14"/>
  <c r="J359" i="14"/>
  <c r="J390" i="14"/>
  <c r="J414" i="14"/>
  <c r="J434" i="14"/>
  <c r="J456" i="14"/>
  <c r="J474" i="14"/>
  <c r="J490" i="14"/>
  <c r="J506" i="14"/>
  <c r="J522" i="14"/>
  <c r="J538" i="14"/>
  <c r="J554" i="14"/>
  <c r="J570" i="14"/>
  <c r="J586" i="14"/>
  <c r="J602" i="14"/>
  <c r="J618" i="14"/>
  <c r="J634" i="14"/>
  <c r="J650" i="14"/>
  <c r="J666" i="14"/>
  <c r="J682" i="14"/>
  <c r="J698" i="14"/>
  <c r="J714" i="14"/>
  <c r="J730" i="14"/>
  <c r="J746" i="14"/>
  <c r="J762" i="14"/>
  <c r="J778" i="14"/>
  <c r="J794" i="14"/>
  <c r="J805" i="14"/>
  <c r="J815" i="14"/>
  <c r="J823" i="14"/>
  <c r="J831" i="14"/>
  <c r="J839" i="14"/>
  <c r="J847" i="14"/>
  <c r="J855" i="14"/>
  <c r="J863" i="14"/>
  <c r="J871" i="14"/>
  <c r="J879" i="14"/>
  <c r="J887" i="14"/>
  <c r="J895" i="14"/>
  <c r="J903" i="14"/>
  <c r="J911" i="14"/>
  <c r="J919" i="14"/>
  <c r="J927" i="14"/>
  <c r="J935" i="14"/>
  <c r="J943" i="14"/>
  <c r="J951" i="14"/>
  <c r="J959" i="14"/>
  <c r="J967" i="14"/>
  <c r="J975" i="14"/>
  <c r="J983" i="14"/>
  <c r="J991" i="14"/>
  <c r="J999" i="14"/>
  <c r="J1007" i="14"/>
  <c r="J1015" i="14"/>
  <c r="J1023" i="14"/>
  <c r="J1031" i="14"/>
  <c r="J1039" i="14"/>
  <c r="J1047" i="14"/>
  <c r="J1055" i="14"/>
  <c r="J1063" i="14"/>
  <c r="J1071" i="14"/>
  <c r="J1079" i="14"/>
  <c r="J1087" i="14"/>
  <c r="J1095" i="14"/>
  <c r="J1103" i="14"/>
  <c r="J1111" i="14"/>
  <c r="J1119" i="14"/>
  <c r="J1127" i="14"/>
  <c r="J1135" i="14"/>
  <c r="J1143" i="14"/>
  <c r="J1151" i="14"/>
  <c r="J1159" i="14"/>
  <c r="J1167" i="14"/>
  <c r="J1175" i="14"/>
  <c r="J1183" i="14"/>
  <c r="J1191" i="14"/>
  <c r="J1199" i="14"/>
  <c r="J690" i="14"/>
  <c r="J722" i="14"/>
  <c r="J754" i="14"/>
  <c r="J786" i="14"/>
  <c r="J811" i="14"/>
  <c r="J827" i="14"/>
  <c r="J843" i="14"/>
  <c r="J859" i="14"/>
  <c r="J875" i="14"/>
  <c r="J891" i="14"/>
  <c r="J907" i="14"/>
  <c r="J923" i="14"/>
  <c r="J939" i="14"/>
  <c r="J955" i="14"/>
  <c r="J971" i="14"/>
  <c r="J987" i="14"/>
  <c r="J1003" i="14"/>
  <c r="J1019" i="14"/>
  <c r="J1035" i="14"/>
  <c r="J1051" i="14"/>
  <c r="J1067" i="14"/>
  <c r="J1083" i="14"/>
  <c r="J1099" i="14"/>
  <c r="J1115" i="14"/>
  <c r="J1131" i="14"/>
  <c r="J1147" i="14"/>
  <c r="J1163" i="14"/>
  <c r="J1179" i="14"/>
  <c r="J1195" i="14"/>
  <c r="J691" i="14"/>
  <c r="J723" i="14"/>
  <c r="J755" i="14"/>
  <c r="J787" i="14"/>
  <c r="J812" i="14"/>
  <c r="J828" i="14"/>
  <c r="J844" i="14"/>
  <c r="J860" i="14"/>
  <c r="J876" i="14"/>
  <c r="J892" i="14"/>
  <c r="J908" i="14"/>
  <c r="J924" i="14"/>
  <c r="J940" i="14"/>
  <c r="J956" i="14"/>
  <c r="J972" i="14"/>
  <c r="J988" i="14"/>
  <c r="J1004" i="14"/>
  <c r="J1020" i="14"/>
  <c r="J1036" i="14"/>
  <c r="J1052" i="14"/>
  <c r="J1068" i="14"/>
  <c r="J1084" i="14"/>
  <c r="J1100" i="14"/>
  <c r="J1116" i="14"/>
  <c r="J1132" i="14"/>
  <c r="J1148" i="14"/>
  <c r="J1164" i="14"/>
  <c r="J1180" i="14"/>
  <c r="J1196" i="14"/>
  <c r="J692" i="14"/>
  <c r="J724" i="14"/>
  <c r="J756" i="14"/>
  <c r="J788" i="14"/>
  <c r="J813" i="14"/>
  <c r="J829" i="14"/>
  <c r="J845" i="14"/>
  <c r="J861" i="14"/>
  <c r="J877" i="14"/>
  <c r="J893" i="14"/>
  <c r="J909" i="14"/>
  <c r="J925" i="14"/>
  <c r="J941" i="14"/>
  <c r="J957" i="14"/>
  <c r="J973" i="14"/>
  <c r="J989" i="14"/>
  <c r="J1005" i="14"/>
  <c r="J1021" i="14"/>
  <c r="J1037" i="14"/>
  <c r="J1053" i="14"/>
  <c r="J1069" i="14"/>
  <c r="J1085" i="14"/>
  <c r="J1101" i="14"/>
  <c r="J1117" i="14"/>
  <c r="J1133" i="14"/>
  <c r="J1149" i="14"/>
  <c r="J1165" i="14"/>
  <c r="J1181" i="14"/>
  <c r="J1197" i="14"/>
  <c r="J693" i="14"/>
  <c r="J725" i="14"/>
  <c r="J757" i="14"/>
  <c r="J789" i="14"/>
  <c r="J814" i="14"/>
  <c r="J830" i="14"/>
  <c r="J846" i="14"/>
  <c r="J862" i="14"/>
  <c r="J878" i="14"/>
  <c r="J894" i="14"/>
  <c r="J910" i="14"/>
  <c r="J926" i="14"/>
  <c r="J942" i="14"/>
  <c r="J958" i="14"/>
  <c r="J974" i="14"/>
  <c r="J990" i="14"/>
  <c r="J1006" i="14"/>
  <c r="J1022" i="14"/>
  <c r="J1038" i="14"/>
  <c r="J1054" i="14"/>
  <c r="J1070" i="14"/>
  <c r="J1086" i="14"/>
  <c r="J1102" i="14"/>
  <c r="J1118" i="14"/>
  <c r="J1134" i="14"/>
  <c r="J1150" i="14"/>
  <c r="J1166" i="14"/>
  <c r="J1182" i="14"/>
  <c r="J1198" i="14"/>
  <c r="J674" i="14"/>
  <c r="J706" i="14"/>
  <c r="J738" i="14"/>
  <c r="J770" i="14"/>
  <c r="J801" i="14"/>
  <c r="J819" i="14"/>
  <c r="J835" i="14"/>
  <c r="J851" i="14"/>
  <c r="J867" i="14"/>
  <c r="J883" i="14"/>
  <c r="J899" i="14"/>
  <c r="J915" i="14"/>
  <c r="J931" i="14"/>
  <c r="J947" i="14"/>
  <c r="J963" i="14"/>
  <c r="J979" i="14"/>
  <c r="J995" i="14"/>
  <c r="J1011" i="14"/>
  <c r="J1027" i="14"/>
  <c r="J1043" i="14"/>
  <c r="J1059" i="14"/>
  <c r="J1075" i="14"/>
  <c r="J1091" i="14"/>
  <c r="J1107" i="14"/>
  <c r="J1123" i="14"/>
  <c r="J1139" i="14"/>
  <c r="J1155" i="14"/>
  <c r="J1171" i="14"/>
  <c r="J1187" i="14"/>
  <c r="J675" i="14"/>
  <c r="J707" i="14"/>
  <c r="J739" i="14"/>
  <c r="J771" i="14"/>
  <c r="J802" i="14"/>
  <c r="J820" i="14"/>
  <c r="J836" i="14"/>
  <c r="J852" i="14"/>
  <c r="J868" i="14"/>
  <c r="J884" i="14"/>
  <c r="J900" i="14"/>
  <c r="J916" i="14"/>
  <c r="J932" i="14"/>
  <c r="J948" i="14"/>
  <c r="J964" i="14"/>
  <c r="J980" i="14"/>
  <c r="J996" i="14"/>
  <c r="J1012" i="14"/>
  <c r="J1028" i="14"/>
  <c r="J1044" i="14"/>
  <c r="J1060" i="14"/>
  <c r="J1076" i="14"/>
  <c r="J1092" i="14"/>
  <c r="J1108" i="14"/>
  <c r="J1124" i="14"/>
  <c r="J1140" i="14"/>
  <c r="J1156" i="14"/>
  <c r="J1172" i="14"/>
  <c r="J1188" i="14"/>
  <c r="J676" i="14"/>
  <c r="J708" i="14"/>
  <c r="J740" i="14"/>
  <c r="J772" i="14"/>
  <c r="J803" i="14"/>
  <c r="J821" i="14"/>
  <c r="J837" i="14"/>
  <c r="J853" i="14"/>
  <c r="J869" i="14"/>
  <c r="J885" i="14"/>
  <c r="J901" i="14"/>
  <c r="J917" i="14"/>
  <c r="J933" i="14"/>
  <c r="J949" i="14"/>
  <c r="J965" i="14"/>
  <c r="J981" i="14"/>
  <c r="J997" i="14"/>
  <c r="J1013" i="14"/>
  <c r="J1029" i="14"/>
  <c r="J1045" i="14"/>
  <c r="J1061" i="14"/>
  <c r="J1077" i="14"/>
  <c r="J1093" i="14"/>
  <c r="J1109" i="14"/>
  <c r="J1125" i="14"/>
  <c r="J1141" i="14"/>
  <c r="J1157" i="14"/>
  <c r="J1173" i="14"/>
  <c r="J1189" i="14"/>
  <c r="J677" i="14"/>
  <c r="J709" i="14"/>
  <c r="J741" i="14"/>
  <c r="J773" i="14"/>
  <c r="J804" i="14"/>
  <c r="J822" i="14"/>
  <c r="J838" i="14"/>
  <c r="J854" i="14"/>
  <c r="J870" i="14"/>
  <c r="J886" i="14"/>
  <c r="J902" i="14"/>
  <c r="J918" i="14"/>
  <c r="J934" i="14"/>
  <c r="J950" i="14"/>
  <c r="J966" i="14"/>
  <c r="J982" i="14"/>
  <c r="J998" i="14"/>
  <c r="J1014" i="14"/>
  <c r="J1030" i="14"/>
  <c r="J1046" i="14"/>
  <c r="J1062" i="14"/>
  <c r="J1078" i="14"/>
  <c r="J1094" i="14"/>
  <c r="J1110" i="14"/>
  <c r="J1126" i="14"/>
  <c r="J1142" i="14"/>
  <c r="J1158" i="14"/>
  <c r="J1174" i="14"/>
  <c r="J1190" i="14"/>
  <c r="K174" i="14"/>
  <c r="K182" i="14"/>
  <c r="K190" i="14"/>
  <c r="K198" i="14"/>
  <c r="K206" i="14"/>
  <c r="K214" i="14"/>
  <c r="K222" i="14"/>
  <c r="K230" i="14"/>
  <c r="K238" i="14"/>
  <c r="K246" i="14"/>
  <c r="K254" i="14"/>
  <c r="K262" i="14"/>
  <c r="K270" i="14"/>
  <c r="K278" i="14"/>
  <c r="K286" i="14"/>
  <c r="K294" i="14"/>
  <c r="K302" i="14"/>
  <c r="K310" i="14"/>
  <c r="K318" i="14"/>
  <c r="K326" i="14"/>
  <c r="K334" i="14"/>
  <c r="K342" i="14"/>
  <c r="K350" i="14"/>
  <c r="K358" i="14"/>
  <c r="K366" i="14"/>
  <c r="K374" i="14"/>
  <c r="K382" i="14"/>
  <c r="K390" i="14"/>
  <c r="K398" i="14"/>
  <c r="K406" i="14"/>
  <c r="K414" i="14"/>
  <c r="K422" i="14"/>
  <c r="K430" i="14"/>
  <c r="K438" i="14"/>
  <c r="K446" i="14"/>
  <c r="K454" i="14"/>
  <c r="K462" i="14"/>
  <c r="K470" i="14"/>
  <c r="K478" i="14"/>
  <c r="K486" i="14"/>
  <c r="K494" i="14"/>
  <c r="K502" i="14"/>
  <c r="K510" i="14"/>
  <c r="K518" i="14"/>
  <c r="K526" i="14"/>
  <c r="K534" i="14"/>
  <c r="K542" i="14"/>
  <c r="K550" i="14"/>
  <c r="K558" i="14"/>
  <c r="K566" i="14"/>
  <c r="K574" i="14"/>
  <c r="K582" i="14"/>
  <c r="K590" i="14"/>
  <c r="K598" i="14"/>
  <c r="K606" i="14"/>
  <c r="K614" i="14"/>
  <c r="K622" i="14"/>
  <c r="K630" i="14"/>
  <c r="K638" i="14"/>
  <c r="K646" i="14"/>
  <c r="K654" i="14"/>
  <c r="K662" i="14"/>
  <c r="K670" i="14"/>
  <c r="K678" i="14"/>
  <c r="K686" i="14"/>
  <c r="K694" i="14"/>
  <c r="K702" i="14"/>
  <c r="K710" i="14"/>
  <c r="K718" i="14"/>
  <c r="K726" i="14"/>
  <c r="K734" i="14"/>
  <c r="K742" i="14"/>
  <c r="K750" i="14"/>
  <c r="K758" i="14"/>
  <c r="K766" i="14"/>
  <c r="K774" i="14"/>
  <c r="K782" i="14"/>
  <c r="K790" i="14"/>
  <c r="K798" i="14"/>
  <c r="K806" i="14"/>
  <c r="K814" i="14"/>
  <c r="K822" i="14"/>
  <c r="K830" i="14"/>
  <c r="K838" i="14"/>
  <c r="K846" i="14"/>
  <c r="K175" i="14"/>
  <c r="K183" i="14"/>
  <c r="K191" i="14"/>
  <c r="K199" i="14"/>
  <c r="K207" i="14"/>
  <c r="K215" i="14"/>
  <c r="K223" i="14"/>
  <c r="K231" i="14"/>
  <c r="K239" i="14"/>
  <c r="K247" i="14"/>
  <c r="K255" i="14"/>
  <c r="K263" i="14"/>
  <c r="K271" i="14"/>
  <c r="K279" i="14"/>
  <c r="K287" i="14"/>
  <c r="K295" i="14"/>
  <c r="K303" i="14"/>
  <c r="K311" i="14"/>
  <c r="K319" i="14"/>
  <c r="K327" i="14"/>
  <c r="K335" i="14"/>
  <c r="K343" i="14"/>
  <c r="K351" i="14"/>
  <c r="K359" i="14"/>
  <c r="K367" i="14"/>
  <c r="K375" i="14"/>
  <c r="K383" i="14"/>
  <c r="K391" i="14"/>
  <c r="K399" i="14"/>
  <c r="K407" i="14"/>
  <c r="K415" i="14"/>
  <c r="K423" i="14"/>
  <c r="K431" i="14"/>
  <c r="K439" i="14"/>
  <c r="K447" i="14"/>
  <c r="K455" i="14"/>
  <c r="K463" i="14"/>
  <c r="K471" i="14"/>
  <c r="K479" i="14"/>
  <c r="K487" i="14"/>
  <c r="K495" i="14"/>
  <c r="K503" i="14"/>
  <c r="K511" i="14"/>
  <c r="K519" i="14"/>
  <c r="K527" i="14"/>
  <c r="K535" i="14"/>
  <c r="K543" i="14"/>
  <c r="K551" i="14"/>
  <c r="K559" i="14"/>
  <c r="K567" i="14"/>
  <c r="K575" i="14"/>
  <c r="K583" i="14"/>
  <c r="K591" i="14"/>
  <c r="K599" i="14"/>
  <c r="K607" i="14"/>
  <c r="K615" i="14"/>
  <c r="K623" i="14"/>
  <c r="K631" i="14"/>
  <c r="K639" i="14"/>
  <c r="K647" i="14"/>
  <c r="K655" i="14"/>
  <c r="K663" i="14"/>
  <c r="K671" i="14"/>
  <c r="K679" i="14"/>
  <c r="K687" i="14"/>
  <c r="K695" i="14"/>
  <c r="K703" i="14"/>
  <c r="K711" i="14"/>
  <c r="K719" i="14"/>
  <c r="K727" i="14"/>
  <c r="K735" i="14"/>
  <c r="K743" i="14"/>
  <c r="K751" i="14"/>
  <c r="K759" i="14"/>
  <c r="K767" i="14"/>
  <c r="K775" i="14"/>
  <c r="K783" i="14"/>
  <c r="K791" i="14"/>
  <c r="K799" i="14"/>
  <c r="K807" i="14"/>
  <c r="K815" i="14"/>
  <c r="K823" i="14"/>
  <c r="K831" i="14"/>
  <c r="K839" i="14"/>
  <c r="K847" i="14"/>
  <c r="K176" i="14"/>
  <c r="K184" i="14"/>
  <c r="K192" i="14"/>
  <c r="K200" i="14"/>
  <c r="K208" i="14"/>
  <c r="K216" i="14"/>
  <c r="K224" i="14"/>
  <c r="K232" i="14"/>
  <c r="K240" i="14"/>
  <c r="K248" i="14"/>
  <c r="K256" i="14"/>
  <c r="K264" i="14"/>
  <c r="K272" i="14"/>
  <c r="K280" i="14"/>
  <c r="K288" i="14"/>
  <c r="K296" i="14"/>
  <c r="K304" i="14"/>
  <c r="K312" i="14"/>
  <c r="K320" i="14"/>
  <c r="K328" i="14"/>
  <c r="K336" i="14"/>
  <c r="K344" i="14"/>
  <c r="K352" i="14"/>
  <c r="K360" i="14"/>
  <c r="K368" i="14"/>
  <c r="K376" i="14"/>
  <c r="K384" i="14"/>
  <c r="K392" i="14"/>
  <c r="K400" i="14"/>
  <c r="K408" i="14"/>
  <c r="K416" i="14"/>
  <c r="K424" i="14"/>
  <c r="K432" i="14"/>
  <c r="K440" i="14"/>
  <c r="K448" i="14"/>
  <c r="K456" i="14"/>
  <c r="K464" i="14"/>
  <c r="K472" i="14"/>
  <c r="K480" i="14"/>
  <c r="K488" i="14"/>
  <c r="K496" i="14"/>
  <c r="K504" i="14"/>
  <c r="K512" i="14"/>
  <c r="K520" i="14"/>
  <c r="K528" i="14"/>
  <c r="K536" i="14"/>
  <c r="K544" i="14"/>
  <c r="K552" i="14"/>
  <c r="K560" i="14"/>
  <c r="K568" i="14"/>
  <c r="K576" i="14"/>
  <c r="K584" i="14"/>
  <c r="K592" i="14"/>
  <c r="K600" i="14"/>
  <c r="K608" i="14"/>
  <c r="K616" i="14"/>
  <c r="K624" i="14"/>
  <c r="K632" i="14"/>
  <c r="K640" i="14"/>
  <c r="K648" i="14"/>
  <c r="K656" i="14"/>
  <c r="K664" i="14"/>
  <c r="K672" i="14"/>
  <c r="K680" i="14"/>
  <c r="K688" i="14"/>
  <c r="K696" i="14"/>
  <c r="K704" i="14"/>
  <c r="K712" i="14"/>
  <c r="K720" i="14"/>
  <c r="K728" i="14"/>
  <c r="K736" i="14"/>
  <c r="K744" i="14"/>
  <c r="K752" i="14"/>
  <c r="K760" i="14"/>
  <c r="K768" i="14"/>
  <c r="K776" i="14"/>
  <c r="K784" i="14"/>
  <c r="K792" i="14"/>
  <c r="K800" i="14"/>
  <c r="K808" i="14"/>
  <c r="K816" i="14"/>
  <c r="K824" i="14"/>
  <c r="K832" i="14"/>
  <c r="K840" i="14"/>
  <c r="K848" i="14"/>
  <c r="K172" i="14"/>
  <c r="K180" i="14"/>
  <c r="K188" i="14"/>
  <c r="K196" i="14"/>
  <c r="K204" i="14"/>
  <c r="K212" i="14"/>
  <c r="K220" i="14"/>
  <c r="K228" i="14"/>
  <c r="K236" i="14"/>
  <c r="K244" i="14"/>
  <c r="K252" i="14"/>
  <c r="K260" i="14"/>
  <c r="K268" i="14"/>
  <c r="K276" i="14"/>
  <c r="K284" i="14"/>
  <c r="K292" i="14"/>
  <c r="K300" i="14"/>
  <c r="K308" i="14"/>
  <c r="K316" i="14"/>
  <c r="K324" i="14"/>
  <c r="K332" i="14"/>
  <c r="K340" i="14"/>
  <c r="K348" i="14"/>
  <c r="K356" i="14"/>
  <c r="K364" i="14"/>
  <c r="K372" i="14"/>
  <c r="K380" i="14"/>
  <c r="K388" i="14"/>
  <c r="K396" i="14"/>
  <c r="K404" i="14"/>
  <c r="K412" i="14"/>
  <c r="K420" i="14"/>
  <c r="K428" i="14"/>
  <c r="K436" i="14"/>
  <c r="K444" i="14"/>
  <c r="K452" i="14"/>
  <c r="K460" i="14"/>
  <c r="K468" i="14"/>
  <c r="K476" i="14"/>
  <c r="K484" i="14"/>
  <c r="K492" i="14"/>
  <c r="K500" i="14"/>
  <c r="K508" i="14"/>
  <c r="K516" i="14"/>
  <c r="K524" i="14"/>
  <c r="K532" i="14"/>
  <c r="K540" i="14"/>
  <c r="K548" i="14"/>
  <c r="K556" i="14"/>
  <c r="K564" i="14"/>
  <c r="K572" i="14"/>
  <c r="K580" i="14"/>
  <c r="K588" i="14"/>
  <c r="K596" i="14"/>
  <c r="K604" i="14"/>
  <c r="K612" i="14"/>
  <c r="K620" i="14"/>
  <c r="K628" i="14"/>
  <c r="K636" i="14"/>
  <c r="K644" i="14"/>
  <c r="K652" i="14"/>
  <c r="K660" i="14"/>
  <c r="K668" i="14"/>
  <c r="K676" i="14"/>
  <c r="K684" i="14"/>
  <c r="K692" i="14"/>
  <c r="K700" i="14"/>
  <c r="K708" i="14"/>
  <c r="K716" i="14"/>
  <c r="K724" i="14"/>
  <c r="K732" i="14"/>
  <c r="K740" i="14"/>
  <c r="K748" i="14"/>
  <c r="K756" i="14"/>
  <c r="K764" i="14"/>
  <c r="K772" i="14"/>
  <c r="K780" i="14"/>
  <c r="K788" i="14"/>
  <c r="K796" i="14"/>
  <c r="K804" i="14"/>
  <c r="K812" i="14"/>
  <c r="K820" i="14"/>
  <c r="K828" i="14"/>
  <c r="K836" i="14"/>
  <c r="K844" i="14"/>
  <c r="K178" i="14"/>
  <c r="K194" i="14"/>
  <c r="K210" i="14"/>
  <c r="K226" i="14"/>
  <c r="K242" i="14"/>
  <c r="K258" i="14"/>
  <c r="K274" i="14"/>
  <c r="K290" i="14"/>
  <c r="K306" i="14"/>
  <c r="K322" i="14"/>
  <c r="K338" i="14"/>
  <c r="K354" i="14"/>
  <c r="K370" i="14"/>
  <c r="K386" i="14"/>
  <c r="K402" i="14"/>
  <c r="K418" i="14"/>
  <c r="K434" i="14"/>
  <c r="K450" i="14"/>
  <c r="K466" i="14"/>
  <c r="K482" i="14"/>
  <c r="K498" i="14"/>
  <c r="K514" i="14"/>
  <c r="K530" i="14"/>
  <c r="K546" i="14"/>
  <c r="K562" i="14"/>
  <c r="K578" i="14"/>
  <c r="K594" i="14"/>
  <c r="K610" i="14"/>
  <c r="K626" i="14"/>
  <c r="K642" i="14"/>
  <c r="K658" i="14"/>
  <c r="K674" i="14"/>
  <c r="K690" i="14"/>
  <c r="K706" i="14"/>
  <c r="K722" i="14"/>
  <c r="K738" i="14"/>
  <c r="K754" i="14"/>
  <c r="K770" i="14"/>
  <c r="K786" i="14"/>
  <c r="K802" i="14"/>
  <c r="K818" i="14"/>
  <c r="K834" i="14"/>
  <c r="K850" i="14"/>
  <c r="K858" i="14"/>
  <c r="K866" i="14"/>
  <c r="K874" i="14"/>
  <c r="K882" i="14"/>
  <c r="K890" i="14"/>
  <c r="K898" i="14"/>
  <c r="K906" i="14"/>
  <c r="K914" i="14"/>
  <c r="K922" i="14"/>
  <c r="K930" i="14"/>
  <c r="K938" i="14"/>
  <c r="K946" i="14"/>
  <c r="K954" i="14"/>
  <c r="K962" i="14"/>
  <c r="K970" i="14"/>
  <c r="K978" i="14"/>
  <c r="K986" i="14"/>
  <c r="K994" i="14"/>
  <c r="K1002" i="14"/>
  <c r="K1010" i="14"/>
  <c r="K1018" i="14"/>
  <c r="K1026" i="14"/>
  <c r="K1034" i="14"/>
  <c r="K1042" i="14"/>
  <c r="K1050" i="14"/>
  <c r="K1058" i="14"/>
  <c r="K1066" i="14"/>
  <c r="K1074" i="14"/>
  <c r="K1082" i="14"/>
  <c r="K1090" i="14"/>
  <c r="K1098" i="14"/>
  <c r="K1106" i="14"/>
  <c r="K1114" i="14"/>
  <c r="K1122" i="14"/>
  <c r="K1130" i="14"/>
  <c r="K1138" i="14"/>
  <c r="K1146" i="14"/>
  <c r="K1154" i="14"/>
  <c r="K1162" i="14"/>
  <c r="K1170" i="14"/>
  <c r="K1178" i="14"/>
  <c r="K1186" i="14"/>
  <c r="K179" i="14"/>
  <c r="K195" i="14"/>
  <c r="K211" i="14"/>
  <c r="K227" i="14"/>
  <c r="K243" i="14"/>
  <c r="K259" i="14"/>
  <c r="K275" i="14"/>
  <c r="K291" i="14"/>
  <c r="K307" i="14"/>
  <c r="K323" i="14"/>
  <c r="K339" i="14"/>
  <c r="K355" i="14"/>
  <c r="K371" i="14"/>
  <c r="K387" i="14"/>
  <c r="K403" i="14"/>
  <c r="K419" i="14"/>
  <c r="K435" i="14"/>
  <c r="K451" i="14"/>
  <c r="K467" i="14"/>
  <c r="K483" i="14"/>
  <c r="K499" i="14"/>
  <c r="K515" i="14"/>
  <c r="K531" i="14"/>
  <c r="K547" i="14"/>
  <c r="K563" i="14"/>
  <c r="K579" i="14"/>
  <c r="K595" i="14"/>
  <c r="K611" i="14"/>
  <c r="K627" i="14"/>
  <c r="K643" i="14"/>
  <c r="K659" i="14"/>
  <c r="K675" i="14"/>
  <c r="K691" i="14"/>
  <c r="K707" i="14"/>
  <c r="K723" i="14"/>
  <c r="K739" i="14"/>
  <c r="K755" i="14"/>
  <c r="K771" i="14"/>
  <c r="K787" i="14"/>
  <c r="K803" i="14"/>
  <c r="K819" i="14"/>
  <c r="K835" i="14"/>
  <c r="K851" i="14"/>
  <c r="K859" i="14"/>
  <c r="K867" i="14"/>
  <c r="K875" i="14"/>
  <c r="K883" i="14"/>
  <c r="K891" i="14"/>
  <c r="K899" i="14"/>
  <c r="K907" i="14"/>
  <c r="K915" i="14"/>
  <c r="K923" i="14"/>
  <c r="K931" i="14"/>
  <c r="K939" i="14"/>
  <c r="K947" i="14"/>
  <c r="K955" i="14"/>
  <c r="K963" i="14"/>
  <c r="K971" i="14"/>
  <c r="K979" i="14"/>
  <c r="K987" i="14"/>
  <c r="K995" i="14"/>
  <c r="K1003" i="14"/>
  <c r="K1011" i="14"/>
  <c r="K1019" i="14"/>
  <c r="K1027" i="14"/>
  <c r="K1035" i="14"/>
  <c r="K1043" i="14"/>
  <c r="K1051" i="14"/>
  <c r="K1059" i="14"/>
  <c r="K1067" i="14"/>
  <c r="K1075" i="14"/>
  <c r="K1083" i="14"/>
  <c r="K1091" i="14"/>
  <c r="K1099" i="14"/>
  <c r="K1107" i="14"/>
  <c r="K1115" i="14"/>
  <c r="K1123" i="14"/>
  <c r="K1131" i="14"/>
  <c r="K1139" i="14"/>
  <c r="K1147" i="14"/>
  <c r="K1155" i="14"/>
  <c r="K1163" i="14"/>
  <c r="K1171" i="14"/>
  <c r="K181" i="14"/>
  <c r="K197" i="14"/>
  <c r="K213" i="14"/>
  <c r="K229" i="14"/>
  <c r="K245" i="14"/>
  <c r="K261" i="14"/>
  <c r="K277" i="14"/>
  <c r="K293" i="14"/>
  <c r="K309" i="14"/>
  <c r="K325" i="14"/>
  <c r="K341" i="14"/>
  <c r="K357" i="14"/>
  <c r="K373" i="14"/>
  <c r="K389" i="14"/>
  <c r="K405" i="14"/>
  <c r="K421" i="14"/>
  <c r="K437" i="14"/>
  <c r="K453" i="14"/>
  <c r="K469" i="14"/>
  <c r="K485" i="14"/>
  <c r="K501" i="14"/>
  <c r="K517" i="14"/>
  <c r="K533" i="14"/>
  <c r="K549" i="14"/>
  <c r="K565" i="14"/>
  <c r="K581" i="14"/>
  <c r="K597" i="14"/>
  <c r="K613" i="14"/>
  <c r="K629" i="14"/>
  <c r="K645" i="14"/>
  <c r="K661" i="14"/>
  <c r="K677" i="14"/>
  <c r="K693" i="14"/>
  <c r="K709" i="14"/>
  <c r="K725" i="14"/>
  <c r="K741" i="14"/>
  <c r="K757" i="14"/>
  <c r="K773" i="14"/>
  <c r="K789" i="14"/>
  <c r="K805" i="14"/>
  <c r="K821" i="14"/>
  <c r="K837" i="14"/>
  <c r="K852" i="14"/>
  <c r="K860" i="14"/>
  <c r="K868" i="14"/>
  <c r="K876" i="14"/>
  <c r="K884" i="14"/>
  <c r="K892" i="14"/>
  <c r="K900" i="14"/>
  <c r="K908" i="14"/>
  <c r="K916" i="14"/>
  <c r="K924" i="14"/>
  <c r="K932" i="14"/>
  <c r="K940" i="14"/>
  <c r="K948" i="14"/>
  <c r="K956" i="14"/>
  <c r="K964" i="14"/>
  <c r="K972" i="14"/>
  <c r="K980" i="14"/>
  <c r="K988" i="14"/>
  <c r="K996" i="14"/>
  <c r="K1004" i="14"/>
  <c r="K1012" i="14"/>
  <c r="K1020" i="14"/>
  <c r="K1028" i="14"/>
  <c r="K1036" i="14"/>
  <c r="K1044" i="14"/>
  <c r="K1052" i="14"/>
  <c r="K1060" i="14"/>
  <c r="K1068" i="14"/>
  <c r="K1076" i="14"/>
  <c r="K1084" i="14"/>
  <c r="K1092" i="14"/>
  <c r="K185" i="14"/>
  <c r="K170" i="14"/>
  <c r="K171" i="14"/>
  <c r="K177" i="14"/>
  <c r="K193" i="14"/>
  <c r="K209" i="14"/>
  <c r="K225" i="14"/>
  <c r="K241" i="14"/>
  <c r="K257" i="14"/>
  <c r="K273" i="14"/>
  <c r="K289" i="14"/>
  <c r="K305" i="14"/>
  <c r="K321" i="14"/>
  <c r="K337" i="14"/>
  <c r="K353" i="14"/>
  <c r="K369" i="14"/>
  <c r="K385" i="14"/>
  <c r="K401" i="14"/>
  <c r="K417" i="14"/>
  <c r="K433" i="14"/>
  <c r="K449" i="14"/>
  <c r="K465" i="14"/>
  <c r="K481" i="14"/>
  <c r="K497" i="14"/>
  <c r="K513" i="14"/>
  <c r="K529" i="14"/>
  <c r="K545" i="14"/>
  <c r="K561" i="14"/>
  <c r="K577" i="14"/>
  <c r="K593" i="14"/>
  <c r="K609" i="14"/>
  <c r="K625" i="14"/>
  <c r="K641" i="14"/>
  <c r="K657" i="14"/>
  <c r="K673" i="14"/>
  <c r="K689" i="14"/>
  <c r="K705" i="14"/>
  <c r="K721" i="14"/>
  <c r="K737" i="14"/>
  <c r="K753" i="14"/>
  <c r="K769" i="14"/>
  <c r="K785" i="14"/>
  <c r="K801" i="14"/>
  <c r="K817" i="14"/>
  <c r="K833" i="14"/>
  <c r="K849" i="14"/>
  <c r="K857" i="14"/>
  <c r="K865" i="14"/>
  <c r="K873" i="14"/>
  <c r="K881" i="14"/>
  <c r="K889" i="14"/>
  <c r="K201" i="14"/>
  <c r="K233" i="14"/>
  <c r="K265" i="14"/>
  <c r="K297" i="14"/>
  <c r="K329" i="14"/>
  <c r="K361" i="14"/>
  <c r="K393" i="14"/>
  <c r="K425" i="14"/>
  <c r="K457" i="14"/>
  <c r="K489" i="14"/>
  <c r="K521" i="14"/>
  <c r="K553" i="14"/>
  <c r="K585" i="14"/>
  <c r="K617" i="14"/>
  <c r="K649" i="14"/>
  <c r="K681" i="14"/>
  <c r="K713" i="14"/>
  <c r="K745" i="14"/>
  <c r="K777" i="14"/>
  <c r="K809" i="14"/>
  <c r="K841" i="14"/>
  <c r="K861" i="14"/>
  <c r="K877" i="14"/>
  <c r="K893" i="14"/>
  <c r="K904" i="14"/>
  <c r="K918" i="14"/>
  <c r="K929" i="14"/>
  <c r="K943" i="14"/>
  <c r="K957" i="14"/>
  <c r="K968" i="14"/>
  <c r="K982" i="14"/>
  <c r="K993" i="14"/>
  <c r="K1007" i="14"/>
  <c r="K1021" i="14"/>
  <c r="K1032" i="14"/>
  <c r="K1046" i="14"/>
  <c r="K1057" i="14"/>
  <c r="K1071" i="14"/>
  <c r="K1085" i="14"/>
  <c r="K1096" i="14"/>
  <c r="K1108" i="14"/>
  <c r="K1118" i="14"/>
  <c r="K1128" i="14"/>
  <c r="K1140" i="14"/>
  <c r="K1150" i="14"/>
  <c r="K1160" i="14"/>
  <c r="K1172" i="14"/>
  <c r="K1181" i="14"/>
  <c r="K1190" i="14"/>
  <c r="K1198" i="14"/>
  <c r="K202" i="14"/>
  <c r="K234" i="14"/>
  <c r="K266" i="14"/>
  <c r="K298" i="14"/>
  <c r="K330" i="14"/>
  <c r="K362" i="14"/>
  <c r="K394" i="14"/>
  <c r="K426" i="14"/>
  <c r="K458" i="14"/>
  <c r="K490" i="14"/>
  <c r="K522" i="14"/>
  <c r="K554" i="14"/>
  <c r="K586" i="14"/>
  <c r="K618" i="14"/>
  <c r="K650" i="14"/>
  <c r="K682" i="14"/>
  <c r="K714" i="14"/>
  <c r="K746" i="14"/>
  <c r="K778" i="14"/>
  <c r="K810" i="14"/>
  <c r="K842" i="14"/>
  <c r="K862" i="14"/>
  <c r="K878" i="14"/>
  <c r="K894" i="14"/>
  <c r="K905" i="14"/>
  <c r="K919" i="14"/>
  <c r="K933" i="14"/>
  <c r="K944" i="14"/>
  <c r="K958" i="14"/>
  <c r="K969" i="14"/>
  <c r="K983" i="14"/>
  <c r="K997" i="14"/>
  <c r="K1008" i="14"/>
  <c r="K1022" i="14"/>
  <c r="K1033" i="14"/>
  <c r="K1047" i="14"/>
  <c r="K1061" i="14"/>
  <c r="K1072" i="14"/>
  <c r="K1086" i="14"/>
  <c r="K1097" i="14"/>
  <c r="K1109" i="14"/>
  <c r="K1119" i="14"/>
  <c r="K1129" i="14"/>
  <c r="K1141" i="14"/>
  <c r="K1151" i="14"/>
  <c r="K1161" i="14"/>
  <c r="K1173" i="14"/>
  <c r="K1182" i="14"/>
  <c r="K1191" i="14"/>
  <c r="K1199" i="14"/>
  <c r="K203" i="14"/>
  <c r="K235" i="14"/>
  <c r="K267" i="14"/>
  <c r="K299" i="14"/>
  <c r="K331" i="14"/>
  <c r="K363" i="14"/>
  <c r="K395" i="14"/>
  <c r="K427" i="14"/>
  <c r="K459" i="14"/>
  <c r="K491" i="14"/>
  <c r="K523" i="14"/>
  <c r="K555" i="14"/>
  <c r="K587" i="14"/>
  <c r="K619" i="14"/>
  <c r="K651" i="14"/>
  <c r="K683" i="14"/>
  <c r="K715" i="14"/>
  <c r="K747" i="14"/>
  <c r="K779" i="14"/>
  <c r="K811" i="14"/>
  <c r="K843" i="14"/>
  <c r="K863" i="14"/>
  <c r="K879" i="14"/>
  <c r="K895" i="14"/>
  <c r="K909" i="14"/>
  <c r="K920" i="14"/>
  <c r="K934" i="14"/>
  <c r="K945" i="14"/>
  <c r="K959" i="14"/>
  <c r="K973" i="14"/>
  <c r="K984" i="14"/>
  <c r="K998" i="14"/>
  <c r="K1009" i="14"/>
  <c r="K1023" i="14"/>
  <c r="K1037" i="14"/>
  <c r="K1048" i="14"/>
  <c r="K1062" i="14"/>
  <c r="K1073" i="14"/>
  <c r="K1087" i="14"/>
  <c r="K1100" i="14"/>
  <c r="K1110" i="14"/>
  <c r="K1120" i="14"/>
  <c r="K1132" i="14"/>
  <c r="K1142" i="14"/>
  <c r="K1152" i="14"/>
  <c r="K1164" i="14"/>
  <c r="K1174" i="14"/>
  <c r="K1183" i="14"/>
  <c r="K1192" i="14"/>
  <c r="K1200" i="14"/>
  <c r="K205" i="14"/>
  <c r="K237" i="14"/>
  <c r="K269" i="14"/>
  <c r="K301" i="14"/>
  <c r="K333" i="14"/>
  <c r="K365" i="14"/>
  <c r="K397" i="14"/>
  <c r="K173" i="14"/>
  <c r="K217" i="14"/>
  <c r="K249" i="14"/>
  <c r="K281" i="14"/>
  <c r="K313" i="14"/>
  <c r="K345" i="14"/>
  <c r="K377" i="14"/>
  <c r="K186" i="14"/>
  <c r="K218" i="14"/>
  <c r="K187" i="14"/>
  <c r="K189" i="14"/>
  <c r="K221" i="14"/>
  <c r="K253" i="14"/>
  <c r="K285" i="14"/>
  <c r="K317" i="14"/>
  <c r="K349" i="14"/>
  <c r="K381" i="14"/>
  <c r="K413" i="14"/>
  <c r="K445" i="14"/>
  <c r="K477" i="14"/>
  <c r="K509" i="14"/>
  <c r="K541" i="14"/>
  <c r="K573" i="14"/>
  <c r="K605" i="14"/>
  <c r="K637" i="14"/>
  <c r="K669" i="14"/>
  <c r="K701" i="14"/>
  <c r="K733" i="14"/>
  <c r="K765" i="14"/>
  <c r="K797" i="14"/>
  <c r="K829" i="14"/>
  <c r="K856" i="14"/>
  <c r="K872" i="14"/>
  <c r="K888" i="14"/>
  <c r="K903" i="14"/>
  <c r="K917" i="14"/>
  <c r="K928" i="14"/>
  <c r="K942" i="14"/>
  <c r="K953" i="14"/>
  <c r="K967" i="14"/>
  <c r="K981" i="14"/>
  <c r="K992" i="14"/>
  <c r="K1006" i="14"/>
  <c r="K1017" i="14"/>
  <c r="K1031" i="14"/>
  <c r="K1045" i="14"/>
  <c r="K1056" i="14"/>
  <c r="K1070" i="14"/>
  <c r="K1081" i="14"/>
  <c r="K1095" i="14"/>
  <c r="K1105" i="14"/>
  <c r="K1117" i="14"/>
  <c r="K1127" i="14"/>
  <c r="K1137" i="14"/>
  <c r="K1149" i="14"/>
  <c r="K1159" i="14"/>
  <c r="K1169" i="14"/>
  <c r="K1180" i="14"/>
  <c r="K1189" i="14"/>
  <c r="K1197" i="14"/>
  <c r="K283" i="14"/>
  <c r="K410" i="14"/>
  <c r="K474" i="14"/>
  <c r="K538" i="14"/>
  <c r="K602" i="14"/>
  <c r="K666" i="14"/>
  <c r="K730" i="14"/>
  <c r="K794" i="14"/>
  <c r="K854" i="14"/>
  <c r="K886" i="14"/>
  <c r="K912" i="14"/>
  <c r="K937" i="14"/>
  <c r="K965" i="14"/>
  <c r="K990" i="14"/>
  <c r="K1015" i="14"/>
  <c r="K1040" i="14"/>
  <c r="K1065" i="14"/>
  <c r="K1093" i="14"/>
  <c r="K1113" i="14"/>
  <c r="K1135" i="14"/>
  <c r="K1157" i="14"/>
  <c r="K1177" i="14"/>
  <c r="K1195" i="14"/>
  <c r="K314" i="14"/>
  <c r="K411" i="14"/>
  <c r="K475" i="14"/>
  <c r="K539" i="14"/>
  <c r="K603" i="14"/>
  <c r="K667" i="14"/>
  <c r="K731" i="14"/>
  <c r="K795" i="14"/>
  <c r="K855" i="14"/>
  <c r="K887" i="14"/>
  <c r="K913" i="14"/>
  <c r="K941" i="14"/>
  <c r="K966" i="14"/>
  <c r="K991" i="14"/>
  <c r="K1016" i="14"/>
  <c r="K1041" i="14"/>
  <c r="K1069" i="14"/>
  <c r="K1094" i="14"/>
  <c r="K1116" i="14"/>
  <c r="K1136" i="14"/>
  <c r="K1158" i="14"/>
  <c r="K1179" i="14"/>
  <c r="K1196" i="14"/>
  <c r="K315" i="14"/>
  <c r="K429" i="14"/>
  <c r="K493" i="14"/>
  <c r="K557" i="14"/>
  <c r="K621" i="14"/>
  <c r="K685" i="14"/>
  <c r="K749" i="14"/>
  <c r="K813" i="14"/>
  <c r="K864" i="14"/>
  <c r="K896" i="14"/>
  <c r="K921" i="14"/>
  <c r="K949" i="14"/>
  <c r="K974" i="14"/>
  <c r="K999" i="14"/>
  <c r="K1024" i="14"/>
  <c r="K1049" i="14"/>
  <c r="K1077" i="14"/>
  <c r="K1101" i="14"/>
  <c r="K1121" i="14"/>
  <c r="K1143" i="14"/>
  <c r="K1165" i="14"/>
  <c r="K1184" i="14"/>
  <c r="K1201" i="14"/>
  <c r="K346" i="14"/>
  <c r="K441" i="14"/>
  <c r="K505" i="14"/>
  <c r="K569" i="14"/>
  <c r="K633" i="14"/>
  <c r="K697" i="14"/>
  <c r="K761" i="14"/>
  <c r="K219" i="14"/>
  <c r="K347" i="14"/>
  <c r="K442" i="14"/>
  <c r="K506" i="14"/>
  <c r="K570" i="14"/>
  <c r="K634" i="14"/>
  <c r="K698" i="14"/>
  <c r="K762" i="14"/>
  <c r="K250" i="14"/>
  <c r="K378" i="14"/>
  <c r="K443" i="14"/>
  <c r="K251" i="14"/>
  <c r="K379" i="14"/>
  <c r="K282" i="14"/>
  <c r="K409" i="14"/>
  <c r="K473" i="14"/>
  <c r="K537" i="14"/>
  <c r="K601" i="14"/>
  <c r="K665" i="14"/>
  <c r="K729" i="14"/>
  <c r="K793" i="14"/>
  <c r="K853" i="14"/>
  <c r="K885" i="14"/>
  <c r="K911" i="14"/>
  <c r="K936" i="14"/>
  <c r="K961" i="14"/>
  <c r="K989" i="14"/>
  <c r="K1014" i="14"/>
  <c r="K1039" i="14"/>
  <c r="K1064" i="14"/>
  <c r="K1089" i="14"/>
  <c r="K1112" i="14"/>
  <c r="K1134" i="14"/>
  <c r="K1156" i="14"/>
  <c r="K1176" i="14"/>
  <c r="K1194" i="14"/>
  <c r="K589" i="14"/>
  <c r="K826" i="14"/>
  <c r="K901" i="14"/>
  <c r="K951" i="14"/>
  <c r="K1001" i="14"/>
  <c r="K1054" i="14"/>
  <c r="K1103" i="14"/>
  <c r="K1145" i="14"/>
  <c r="K1187" i="14"/>
  <c r="K635" i="14"/>
  <c r="K827" i="14"/>
  <c r="K902" i="14"/>
  <c r="K952" i="14"/>
  <c r="K1005" i="14"/>
  <c r="K1055" i="14"/>
  <c r="K1104" i="14"/>
  <c r="K1148" i="14"/>
  <c r="K1188" i="14"/>
  <c r="K653" i="14"/>
  <c r="K845" i="14"/>
  <c r="K910" i="14"/>
  <c r="K960" i="14"/>
  <c r="K1013" i="14"/>
  <c r="K1063" i="14"/>
  <c r="K1111" i="14"/>
  <c r="K1153" i="14"/>
  <c r="K1193" i="14"/>
  <c r="K699" i="14"/>
  <c r="K869" i="14"/>
  <c r="K925" i="14"/>
  <c r="K975" i="14"/>
  <c r="K1025" i="14"/>
  <c r="K1078" i="14"/>
  <c r="K1124" i="14"/>
  <c r="K1166" i="14"/>
  <c r="K461" i="14"/>
  <c r="K717" i="14"/>
  <c r="K870" i="14"/>
  <c r="K926" i="14"/>
  <c r="K976" i="14"/>
  <c r="K1029" i="14"/>
  <c r="K1079" i="14"/>
  <c r="K1125" i="14"/>
  <c r="K1167" i="14"/>
  <c r="K507" i="14"/>
  <c r="K763" i="14"/>
  <c r="K871" i="14"/>
  <c r="K927" i="14"/>
  <c r="K977" i="14"/>
  <c r="K1030" i="14"/>
  <c r="K1080" i="14"/>
  <c r="K1126" i="14"/>
  <c r="K1168" i="14"/>
  <c r="K525" i="14"/>
  <c r="K781" i="14"/>
  <c r="K880" i="14"/>
  <c r="K935" i="14"/>
  <c r="K985" i="14"/>
  <c r="K1038" i="14"/>
  <c r="K1088" i="14"/>
  <c r="K1133" i="14"/>
  <c r="K1175" i="14"/>
  <c r="K571" i="14"/>
  <c r="K825" i="14"/>
  <c r="K897" i="14"/>
  <c r="K950" i="14"/>
  <c r="K1000" i="14"/>
  <c r="K1053" i="14"/>
  <c r="K1102" i="14"/>
  <c r="K1144" i="14"/>
  <c r="K1185" i="14"/>
  <c r="U4" i="24"/>
  <c r="U2" i="24"/>
  <c r="V2" i="24"/>
  <c r="X2" i="24"/>
  <c r="X4" i="24"/>
  <c r="V4" i="24" l="1"/>
  <c r="K3" i="14"/>
  <c r="K11" i="14"/>
  <c r="K19" i="14"/>
  <c r="K27" i="14"/>
  <c r="K35" i="14"/>
  <c r="K43" i="14"/>
  <c r="K51" i="14"/>
  <c r="K59" i="14"/>
  <c r="K67" i="14"/>
  <c r="K75" i="14"/>
  <c r="K83" i="14"/>
  <c r="K91" i="14"/>
  <c r="K99" i="14"/>
  <c r="K107" i="14"/>
  <c r="K115" i="14"/>
  <c r="K123" i="14"/>
  <c r="K131" i="14"/>
  <c r="K139" i="14"/>
  <c r="K147" i="14"/>
  <c r="K155" i="14"/>
  <c r="K163" i="14"/>
  <c r="K4" i="14"/>
  <c r="K12" i="14"/>
  <c r="K20" i="14"/>
  <c r="K28" i="14"/>
  <c r="K36" i="14"/>
  <c r="K44" i="14"/>
  <c r="K52" i="14"/>
  <c r="K60" i="14"/>
  <c r="K68" i="14"/>
  <c r="K76" i="14"/>
  <c r="K84" i="14"/>
  <c r="K92" i="14"/>
  <c r="K100" i="14"/>
  <c r="K108" i="14"/>
  <c r="K116" i="14"/>
  <c r="K124" i="14"/>
  <c r="K132" i="14"/>
  <c r="K140" i="14"/>
  <c r="K148" i="14"/>
  <c r="K156" i="14"/>
  <c r="K164" i="14"/>
  <c r="K5" i="14"/>
  <c r="K13" i="14"/>
  <c r="K21" i="14"/>
  <c r="K29" i="14"/>
  <c r="K37" i="14"/>
  <c r="K45" i="14"/>
  <c r="K53" i="14"/>
  <c r="K61" i="14"/>
  <c r="K69" i="14"/>
  <c r="K77" i="14"/>
  <c r="K85" i="14"/>
  <c r="K93" i="14"/>
  <c r="K101" i="14"/>
  <c r="K109" i="14"/>
  <c r="K117" i="14"/>
  <c r="K125" i="14"/>
  <c r="K133" i="14"/>
  <c r="K141" i="14"/>
  <c r="K149" i="14"/>
  <c r="K157" i="14"/>
  <c r="K165" i="14"/>
  <c r="K6" i="14"/>
  <c r="K14" i="14"/>
  <c r="K22" i="14"/>
  <c r="K30" i="14"/>
  <c r="K38" i="14"/>
  <c r="K46" i="14"/>
  <c r="K54" i="14"/>
  <c r="K62" i="14"/>
  <c r="K70" i="14"/>
  <c r="K78" i="14"/>
  <c r="K86" i="14"/>
  <c r="K94" i="14"/>
  <c r="K102" i="14"/>
  <c r="K110" i="14"/>
  <c r="K118" i="14"/>
  <c r="K126" i="14"/>
  <c r="K134" i="14"/>
  <c r="K142" i="14"/>
  <c r="K150" i="14"/>
  <c r="K158" i="14"/>
  <c r="K166" i="14"/>
  <c r="K7" i="14"/>
  <c r="K15" i="14"/>
  <c r="K23" i="14"/>
  <c r="K31" i="14"/>
  <c r="K39" i="14"/>
  <c r="K47" i="14"/>
  <c r="K55" i="14"/>
  <c r="K63" i="14"/>
  <c r="K71" i="14"/>
  <c r="K79" i="14"/>
  <c r="K87" i="14"/>
  <c r="K95" i="14"/>
  <c r="K103" i="14"/>
  <c r="K111" i="14"/>
  <c r="K119" i="14"/>
  <c r="K127" i="14"/>
  <c r="K135" i="14"/>
  <c r="K143" i="14"/>
  <c r="K151" i="14"/>
  <c r="K159" i="14"/>
  <c r="K167" i="14"/>
  <c r="K8" i="14"/>
  <c r="K16" i="14"/>
  <c r="K24" i="14"/>
  <c r="K32" i="14"/>
  <c r="K40" i="14"/>
  <c r="K48" i="14"/>
  <c r="K56" i="14"/>
  <c r="K64" i="14"/>
  <c r="K72" i="14"/>
  <c r="K80" i="14"/>
  <c r="K88" i="14"/>
  <c r="K96" i="14"/>
  <c r="K104" i="14"/>
  <c r="K112" i="14"/>
  <c r="K120" i="14"/>
  <c r="K128" i="14"/>
  <c r="K136" i="14"/>
  <c r="K144" i="14"/>
  <c r="K152" i="14"/>
  <c r="K160" i="14"/>
  <c r="K168" i="14"/>
  <c r="K9" i="14"/>
  <c r="K17" i="14"/>
  <c r="K25" i="14"/>
  <c r="K33" i="14"/>
  <c r="K41" i="14"/>
  <c r="K49" i="14"/>
  <c r="K57" i="14"/>
  <c r="K65" i="14"/>
  <c r="K73" i="14"/>
  <c r="K81" i="14"/>
  <c r="K89" i="14"/>
  <c r="K97" i="14"/>
  <c r="K105" i="14"/>
  <c r="K113" i="14"/>
  <c r="K121" i="14"/>
  <c r="K129" i="14"/>
  <c r="K137" i="14"/>
  <c r="K145" i="14"/>
  <c r="K153" i="14"/>
  <c r="K161" i="14"/>
  <c r="K169" i="14"/>
  <c r="K10" i="14"/>
  <c r="K18" i="14"/>
  <c r="K26" i="14"/>
  <c r="K34" i="14"/>
  <c r="K42" i="14"/>
  <c r="K50" i="14"/>
  <c r="K58" i="14"/>
  <c r="K66" i="14"/>
  <c r="K74" i="14"/>
  <c r="K82" i="14"/>
  <c r="K90" i="14"/>
  <c r="K98" i="14"/>
  <c r="K106" i="14"/>
  <c r="K114" i="14"/>
  <c r="K122" i="14"/>
  <c r="K130" i="14"/>
  <c r="K138" i="14"/>
  <c r="K146" i="14"/>
  <c r="K154" i="14"/>
  <c r="K162" i="14"/>
  <c r="K2" i="14"/>
  <c r="W4" i="24"/>
  <c r="Y4" i="24" s="1"/>
  <c r="V134" i="14" s="1"/>
  <c r="W2" i="24"/>
  <c r="Y2" i="24"/>
  <c r="B2" i="8" a="1"/>
  <c r="B2" i="8" s="1"/>
  <c r="G27" i="16"/>
  <c r="G20" i="16"/>
  <c r="G13" i="16"/>
  <c r="G2" i="16"/>
  <c r="G3" i="16"/>
  <c r="R7" i="7" l="1"/>
  <c r="E2" i="7"/>
  <c r="E4" i="7"/>
  <c r="E5" i="7"/>
  <c r="E3" i="7"/>
  <c r="G13" i="2"/>
  <c r="G38" i="16"/>
  <c r="G40" i="16"/>
  <c r="G39" i="16"/>
  <c r="G34" i="16"/>
  <c r="G32" i="16"/>
  <c r="G33" i="16"/>
  <c r="M2" i="24"/>
  <c r="M4" i="24"/>
  <c r="D11" i="2"/>
  <c r="D6" i="2"/>
  <c r="F11" i="2"/>
  <c r="F7" i="2"/>
  <c r="F8" i="2"/>
  <c r="F9" i="2"/>
  <c r="F10" i="2"/>
  <c r="F4" i="2"/>
  <c r="F5" i="2"/>
  <c r="F6" i="2"/>
  <c r="J5" i="1"/>
  <c r="J6" i="1"/>
  <c r="J4" i="1"/>
  <c r="E4" i="1"/>
  <c r="C6" i="8"/>
  <c r="B6" i="8" s="1"/>
  <c r="F3" i="7"/>
  <c r="B205" i="27" s="1"/>
  <c r="F4" i="7"/>
  <c r="F5" i="7"/>
  <c r="F2" i="7"/>
  <c r="E3" i="1"/>
  <c r="E5" i="1"/>
  <c r="E6" i="1"/>
  <c r="E2" i="1"/>
  <c r="J3" i="1"/>
  <c r="J2" i="1"/>
  <c r="A7" i="8" a="1"/>
  <c r="B42" i="27" l="1"/>
  <c r="W42" i="14"/>
  <c r="B121" i="27"/>
  <c r="W121" i="14"/>
  <c r="B86" i="27"/>
  <c r="W86" i="14"/>
  <c r="R2" i="7"/>
  <c r="S2" i="7" s="1"/>
  <c r="T2" i="7" s="1"/>
  <c r="R3" i="14" a="1"/>
  <c r="R3" i="14" s="1"/>
  <c r="R9" i="14" a="1"/>
  <c r="R9" i="14" s="1"/>
  <c r="R16" i="14" a="1"/>
  <c r="R16" i="14" s="1"/>
  <c r="R21" i="14" a="1"/>
  <c r="R21" i="14" s="1"/>
  <c r="R27" i="14" a="1"/>
  <c r="R27" i="14" s="1"/>
  <c r="R34" i="14" a="1"/>
  <c r="R34" i="14" s="1"/>
  <c r="R47" i="14" a="1"/>
  <c r="R47" i="14" s="1"/>
  <c r="R52" i="14" a="1"/>
  <c r="R52" i="14" s="1"/>
  <c r="R58" i="14" a="1"/>
  <c r="R58" i="14" s="1"/>
  <c r="R70" i="14" a="1"/>
  <c r="R70" i="14" s="1"/>
  <c r="R76" i="14" a="1"/>
  <c r="R76" i="14" s="1"/>
  <c r="R88" i="14" a="1"/>
  <c r="R88" i="14" s="1"/>
  <c r="R93" i="14" a="1"/>
  <c r="R93" i="14" s="1"/>
  <c r="R110" i="14" a="1"/>
  <c r="R110" i="14" s="1"/>
  <c r="R115" i="14" a="1"/>
  <c r="R115" i="14" s="1"/>
  <c r="R122" i="14" a="1"/>
  <c r="R122" i="14" s="1"/>
  <c r="R128" i="14" a="1"/>
  <c r="R128" i="14" s="1"/>
  <c r="R134" i="14" a="1"/>
  <c r="R134" i="14" s="1"/>
  <c r="R140" i="14" a="1"/>
  <c r="R140" i="14" s="1"/>
  <c r="R152" i="14" a="1"/>
  <c r="R152" i="14" s="1"/>
  <c r="R157" i="14" a="1"/>
  <c r="R157" i="14" s="1"/>
  <c r="R169" i="14" a="1"/>
  <c r="R169" i="14" s="1"/>
  <c r="R175" i="14" a="1"/>
  <c r="R175" i="14" s="1"/>
  <c r="R181" i="14" a="1"/>
  <c r="R181" i="14" s="1"/>
  <c r="R188" i="14" a="1"/>
  <c r="R188" i="14" s="1"/>
  <c r="R194" i="14" a="1"/>
  <c r="R194" i="14" s="1"/>
  <c r="R201" i="14" a="1"/>
  <c r="R201" i="14" s="1"/>
  <c r="R207" i="14" a="1"/>
  <c r="R207" i="14" s="1"/>
  <c r="R213" i="14" a="1"/>
  <c r="R213" i="14" s="1"/>
  <c r="R219" i="14" a="1"/>
  <c r="R219" i="14" s="1"/>
  <c r="R231" i="14" a="1"/>
  <c r="R231" i="14" s="1"/>
  <c r="R238" i="14" a="1"/>
  <c r="R238" i="14" s="1"/>
  <c r="R244" i="14" a="1"/>
  <c r="R244" i="14" s="1"/>
  <c r="R251" i="14" a="1"/>
  <c r="R251" i="14" s="1"/>
  <c r="R257" i="14" a="1"/>
  <c r="R257" i="14" s="1"/>
  <c r="R263" i="14" a="1"/>
  <c r="R263" i="14" s="1"/>
  <c r="R270" i="14" a="1"/>
  <c r="R270" i="14" s="1"/>
  <c r="R276" i="14" a="1"/>
  <c r="R276" i="14" s="1"/>
  <c r="R282" i="14" a="1"/>
  <c r="R282" i="14" s="1"/>
  <c r="R289" i="14" a="1"/>
  <c r="R289" i="14" s="1"/>
  <c r="R295" i="14" a="1"/>
  <c r="R295" i="14" s="1"/>
  <c r="R301" i="14" a="1"/>
  <c r="R301" i="14" s="1"/>
  <c r="R307" i="14" a="1"/>
  <c r="R307" i="14" s="1"/>
  <c r="R314" i="14" a="1"/>
  <c r="R314" i="14" s="1"/>
  <c r="R321" i="14" a="1"/>
  <c r="R321" i="14" s="1"/>
  <c r="R327" i="14" a="1"/>
  <c r="R327" i="14" s="1"/>
  <c r="R334" i="14" a="1"/>
  <c r="R334" i="14" s="1"/>
  <c r="R340" i="14" a="1"/>
  <c r="R340" i="14" s="1"/>
  <c r="R346" i="14" a="1"/>
  <c r="R346" i="14" s="1"/>
  <c r="R353" i="14" a="1"/>
  <c r="R353" i="14" s="1"/>
  <c r="R366" i="14" a="1"/>
  <c r="R366" i="14" s="1"/>
  <c r="R373" i="14" a="1"/>
  <c r="R373" i="14" s="1"/>
  <c r="R380" i="14" a="1"/>
  <c r="R380" i="14" s="1"/>
  <c r="R387" i="14" a="1"/>
  <c r="R387" i="14" s="1"/>
  <c r="R393" i="14" a="1"/>
  <c r="R393" i="14" s="1"/>
  <c r="R400" i="14" a="1"/>
  <c r="R400" i="14" s="1"/>
  <c r="R407" i="14" a="1"/>
  <c r="R407" i="14" s="1"/>
  <c r="R414" i="14" a="1"/>
  <c r="R414" i="14" s="1"/>
  <c r="R421" i="14" a="1"/>
  <c r="R421" i="14" s="1"/>
  <c r="R428" i="14" a="1"/>
  <c r="R428" i="14" s="1"/>
  <c r="R442" i="14" a="1"/>
  <c r="R442" i="14" s="1"/>
  <c r="R461" i="14" a="1"/>
  <c r="R461" i="14" s="1"/>
  <c r="R467" i="14" a="1"/>
  <c r="R467" i="14" s="1"/>
  <c r="R472" i="14" a="1"/>
  <c r="R472" i="14" s="1"/>
  <c r="R484" i="14" a="1"/>
  <c r="R484" i="14" s="1"/>
  <c r="R489" i="14" a="1"/>
  <c r="R489" i="14" s="1"/>
  <c r="R495" i="14" a="1"/>
  <c r="R495" i="14" s="1"/>
  <c r="R501" i="14" a="1"/>
  <c r="R501" i="14" s="1"/>
  <c r="R506" i="14" a="1"/>
  <c r="R506" i="14" s="1"/>
  <c r="R525" i="14" a="1"/>
  <c r="R525" i="14" s="1"/>
  <c r="R4" i="14" a="1"/>
  <c r="R4" i="14" s="1"/>
  <c r="R22" i="14" a="1"/>
  <c r="R22" i="14" s="1"/>
  <c r="R28" i="14" a="1"/>
  <c r="R28" i="14" s="1"/>
  <c r="R41" i="14" a="1"/>
  <c r="R41" i="14" s="1"/>
  <c r="R48" i="14" a="1"/>
  <c r="R48" i="14" s="1"/>
  <c r="R53" i="14" a="1"/>
  <c r="R53" i="14" s="1"/>
  <c r="R65" i="14" a="1"/>
  <c r="R65" i="14" s="1"/>
  <c r="R71" i="14" a="1"/>
  <c r="R71" i="14" s="1"/>
  <c r="R77" i="14" a="1"/>
  <c r="R77" i="14" s="1"/>
  <c r="R82" i="14" a="1"/>
  <c r="R82" i="14" s="1"/>
  <c r="R94" i="14" a="1"/>
  <c r="R94" i="14" s="1"/>
  <c r="R99" i="14" a="1"/>
  <c r="R99" i="14" s="1"/>
  <c r="R105" i="14" a="1"/>
  <c r="R105" i="14" s="1"/>
  <c r="R111" i="14" a="1"/>
  <c r="R111" i="14" s="1"/>
  <c r="R116" i="14" a="1"/>
  <c r="R116" i="14" s="1"/>
  <c r="R135" i="14" a="1"/>
  <c r="R135" i="14" s="1"/>
  <c r="R141" i="14" a="1"/>
  <c r="R141" i="14" s="1"/>
  <c r="R146" i="14" a="1"/>
  <c r="R146" i="14" s="1"/>
  <c r="R158" i="14" a="1"/>
  <c r="R158" i="14" s="1"/>
  <c r="R163" i="14" a="1"/>
  <c r="R163" i="14" s="1"/>
  <c r="R176" i="14" a="1"/>
  <c r="R176" i="14" s="1"/>
  <c r="R182" i="14" a="1"/>
  <c r="R182" i="14" s="1"/>
  <c r="R189" i="14" a="1"/>
  <c r="R189" i="14" s="1"/>
  <c r="R208" i="14" a="1"/>
  <c r="R208" i="14" s="1"/>
  <c r="R214" i="14" a="1"/>
  <c r="R214" i="14" s="1"/>
  <c r="R220" i="14" a="1"/>
  <c r="R220" i="14" s="1"/>
  <c r="R226" i="14" a="1"/>
  <c r="R226" i="14" s="1"/>
  <c r="R232" i="14" a="1"/>
  <c r="R232" i="14" s="1"/>
  <c r="R239" i="14" a="1"/>
  <c r="R239" i="14" s="1"/>
  <c r="R245" i="14" a="1"/>
  <c r="R245" i="14" s="1"/>
  <c r="R252" i="14" a="1"/>
  <c r="R252" i="14" s="1"/>
  <c r="R264" i="14" a="1"/>
  <c r="R264" i="14" s="1"/>
  <c r="R271" i="14" a="1"/>
  <c r="R271" i="14" s="1"/>
  <c r="R277" i="14" a="1"/>
  <c r="R277" i="14" s="1"/>
  <c r="R283" i="14" a="1"/>
  <c r="R283" i="14" s="1"/>
  <c r="R296" i="14" a="1"/>
  <c r="R296" i="14" s="1"/>
  <c r="R302" i="14" a="1"/>
  <c r="R302" i="14" s="1"/>
  <c r="R308" i="14" a="1"/>
  <c r="R308" i="14" s="1"/>
  <c r="R315" i="14" a="1"/>
  <c r="R315" i="14" s="1"/>
  <c r="R328" i="14" a="1"/>
  <c r="R328" i="14" s="1"/>
  <c r="R335" i="14" a="1"/>
  <c r="R335" i="14" s="1"/>
  <c r="R341" i="14" a="1"/>
  <c r="R341" i="14" s="1"/>
  <c r="R347" i="14" a="1"/>
  <c r="R347" i="14" s="1"/>
  <c r="R354" i="14" a="1"/>
  <c r="R354" i="14" s="1"/>
  <c r="R360" i="14" a="1"/>
  <c r="R360" i="14" s="1"/>
  <c r="R367" i="14" a="1"/>
  <c r="R367" i="14" s="1"/>
  <c r="R374" i="14" a="1"/>
  <c r="R374" i="14" s="1"/>
  <c r="R394" i="14" a="1"/>
  <c r="R394" i="14" s="1"/>
  <c r="R401" i="14" a="1"/>
  <c r="R401" i="14" s="1"/>
  <c r="R408" i="14" a="1"/>
  <c r="R408" i="14" s="1"/>
  <c r="R415" i="14" a="1"/>
  <c r="R415" i="14" s="1"/>
  <c r="R422" i="14" a="1"/>
  <c r="R422" i="14" s="1"/>
  <c r="R429" i="14" a="1"/>
  <c r="R429" i="14" s="1"/>
  <c r="R436" i="14" a="1"/>
  <c r="R436" i="14" s="1"/>
  <c r="R443" i="14" a="1"/>
  <c r="R443" i="14" s="1"/>
  <c r="R449" i="14" a="1"/>
  <c r="R449" i="14" s="1"/>
  <c r="R455" i="14" a="1"/>
  <c r="R455" i="14" s="1"/>
  <c r="R462" i="14" a="1"/>
  <c r="R462" i="14" s="1"/>
  <c r="R468" i="14" a="1"/>
  <c r="R468" i="14" s="1"/>
  <c r="R479" i="14" a="1"/>
  <c r="R479" i="14" s="1"/>
  <c r="R485" i="14" a="1"/>
  <c r="R485" i="14" s="1"/>
  <c r="R490" i="14" a="1"/>
  <c r="R490" i="14" s="1"/>
  <c r="R502" i="14" a="1"/>
  <c r="R502" i="14" s="1"/>
  <c r="R507" i="14" a="1"/>
  <c r="R507" i="14" s="1"/>
  <c r="R513" i="14" a="1"/>
  <c r="R513" i="14" s="1"/>
  <c r="R519" i="14" a="1"/>
  <c r="R519" i="14" s="1"/>
  <c r="R10" i="14" a="1"/>
  <c r="R10" i="14" s="1"/>
  <c r="R17" i="14" a="1"/>
  <c r="R17" i="14" s="1"/>
  <c r="R23" i="14" a="1"/>
  <c r="R23" i="14" s="1"/>
  <c r="R29" i="14" a="1"/>
  <c r="R29" i="14" s="1"/>
  <c r="R35" i="14" a="1"/>
  <c r="R35" i="14" s="1"/>
  <c r="R54" i="14" a="1"/>
  <c r="R54" i="14" s="1"/>
  <c r="R59" i="14" a="1"/>
  <c r="R59" i="14" s="1"/>
  <c r="R72" i="14" a="1"/>
  <c r="R72" i="14" s="1"/>
  <c r="R78" i="14" a="1"/>
  <c r="R78" i="14" s="1"/>
  <c r="R89" i="14" a="1"/>
  <c r="R89" i="14" s="1"/>
  <c r="R95" i="14" a="1"/>
  <c r="R95" i="14" s="1"/>
  <c r="R100" i="14" a="1"/>
  <c r="R100" i="14" s="1"/>
  <c r="R112" i="14" a="1"/>
  <c r="R112" i="14" s="1"/>
  <c r="R117" i="14" a="1"/>
  <c r="R117" i="14" s="1"/>
  <c r="R123" i="14" a="1"/>
  <c r="R123" i="14" s="1"/>
  <c r="R129" i="14" a="1"/>
  <c r="R129" i="14" s="1"/>
  <c r="R136" i="14" a="1"/>
  <c r="R136" i="14" s="1"/>
  <c r="R142" i="14" a="1"/>
  <c r="R142" i="14" s="1"/>
  <c r="R153" i="14" a="1"/>
  <c r="R153" i="14" s="1"/>
  <c r="R159" i="14" a="1"/>
  <c r="R159" i="14" s="1"/>
  <c r="R164" i="14" a="1"/>
  <c r="R164" i="14" s="1"/>
  <c r="R170" i="14" a="1"/>
  <c r="R170" i="14" s="1"/>
  <c r="R183" i="14" a="1"/>
  <c r="R183" i="14" s="1"/>
  <c r="R190" i="14" a="1"/>
  <c r="R190" i="14" s="1"/>
  <c r="R195" i="14" a="1"/>
  <c r="R195" i="14" s="1"/>
  <c r="R202" i="14" a="1"/>
  <c r="R202" i="14" s="1"/>
  <c r="R215" i="14" a="1"/>
  <c r="R215" i="14" s="1"/>
  <c r="R221" i="14" a="1"/>
  <c r="R221" i="14" s="1"/>
  <c r="R233" i="14" a="1"/>
  <c r="R233" i="14" s="1"/>
  <c r="R240" i="14" a="1"/>
  <c r="R240" i="14" s="1"/>
  <c r="R246" i="14" a="1"/>
  <c r="R246" i="14" s="1"/>
  <c r="R258" i="14" a="1"/>
  <c r="R258" i="14" s="1"/>
  <c r="R265" i="14" a="1"/>
  <c r="R265" i="14" s="1"/>
  <c r="R272" i="14" a="1"/>
  <c r="R272" i="14" s="1"/>
  <c r="R278" i="14" a="1"/>
  <c r="R278" i="14" s="1"/>
  <c r="R284" i="14" a="1"/>
  <c r="R284" i="14" s="1"/>
  <c r="R290" i="14" a="1"/>
  <c r="R290" i="14" s="1"/>
  <c r="R297" i="14" a="1"/>
  <c r="R297" i="14" s="1"/>
  <c r="R303" i="14" a="1"/>
  <c r="R303" i="14" s="1"/>
  <c r="R309" i="14" a="1"/>
  <c r="R309" i="14" s="1"/>
  <c r="R316" i="14" a="1"/>
  <c r="R316" i="14" s="1"/>
  <c r="R322" i="14" a="1"/>
  <c r="R322" i="14" s="1"/>
  <c r="R329" i="14" a="1"/>
  <c r="R329" i="14" s="1"/>
  <c r="R336" i="14" a="1"/>
  <c r="R336" i="14" s="1"/>
  <c r="R342" i="14" a="1"/>
  <c r="R342" i="14" s="1"/>
  <c r="R348" i="14" a="1"/>
  <c r="R348" i="14" s="1"/>
  <c r="R355" i="14" a="1"/>
  <c r="R355" i="14" s="1"/>
  <c r="R361" i="14" a="1"/>
  <c r="R361" i="14" s="1"/>
  <c r="R368" i="14" a="1"/>
  <c r="R368" i="14" s="1"/>
  <c r="R375" i="14" a="1"/>
  <c r="R375" i="14" s="1"/>
  <c r="R381" i="14" a="1"/>
  <c r="R381" i="14" s="1"/>
  <c r="R388" i="14" a="1"/>
  <c r="R388" i="14" s="1"/>
  <c r="R395" i="14" a="1"/>
  <c r="R395" i="14" s="1"/>
  <c r="R402" i="14" a="1"/>
  <c r="R402" i="14" s="1"/>
  <c r="R416" i="14" a="1"/>
  <c r="R416" i="14" s="1"/>
  <c r="R423" i="14" a="1"/>
  <c r="R423" i="14" s="1"/>
  <c r="R430" i="14" a="1"/>
  <c r="R430" i="14" s="1"/>
  <c r="R437" i="14" a="1"/>
  <c r="R437" i="14" s="1"/>
  <c r="R444" i="14" a="1"/>
  <c r="R444" i="14" s="1"/>
  <c r="R450" i="14" a="1"/>
  <c r="R450" i="14" s="1"/>
  <c r="R456" i="14" a="1"/>
  <c r="R456" i="14" s="1"/>
  <c r="R473" i="14" a="1"/>
  <c r="R473" i="14" s="1"/>
  <c r="R486" i="14" a="1"/>
  <c r="R486" i="14" s="1"/>
  <c r="R491" i="14" a="1"/>
  <c r="R491" i="14" s="1"/>
  <c r="R496" i="14" a="1"/>
  <c r="R496" i="14" s="1"/>
  <c r="R508" i="14" a="1"/>
  <c r="R508" i="14" s="1"/>
  <c r="R514" i="14" a="1"/>
  <c r="R514" i="14" s="1"/>
  <c r="R520" i="14" a="1"/>
  <c r="R520" i="14" s="1"/>
  <c r="R5" i="14" a="1"/>
  <c r="R5" i="14" s="1"/>
  <c r="R11" i="14" a="1"/>
  <c r="R11" i="14" s="1"/>
  <c r="R24" i="14" a="1"/>
  <c r="R24" i="14" s="1"/>
  <c r="R30" i="14" a="1"/>
  <c r="R30" i="14" s="1"/>
  <c r="R36" i="14" a="1"/>
  <c r="R36" i="14" s="1"/>
  <c r="R42" i="14" a="1"/>
  <c r="R42" i="14" s="1"/>
  <c r="R49" i="14" a="1"/>
  <c r="R49" i="14" s="1"/>
  <c r="R55" i="14" a="1"/>
  <c r="R55" i="14" s="1"/>
  <c r="R60" i="14" a="1"/>
  <c r="R60" i="14" s="1"/>
  <c r="R6" i="14" a="1"/>
  <c r="R6" i="14" s="1"/>
  <c r="R12" i="14" a="1"/>
  <c r="R12" i="14" s="1"/>
  <c r="R18" i="14" a="1"/>
  <c r="R18" i="14" s="1"/>
  <c r="R25" i="14" a="1"/>
  <c r="R25" i="14" s="1"/>
  <c r="R31" i="14" a="1"/>
  <c r="R31" i="14" s="1"/>
  <c r="R37" i="14" a="1"/>
  <c r="R37" i="14" s="1"/>
  <c r="R43" i="14" a="1"/>
  <c r="R43" i="14" s="1"/>
  <c r="R56" i="14" a="1"/>
  <c r="R56" i="14" s="1"/>
  <c r="R61" i="14" a="1"/>
  <c r="R61" i="14" s="1"/>
  <c r="R13" i="14" a="1"/>
  <c r="R13" i="14" s="1"/>
  <c r="R32" i="14" a="1"/>
  <c r="R32" i="14" s="1"/>
  <c r="R38" i="14" a="1"/>
  <c r="R38" i="14" s="1"/>
  <c r="R44" i="14" a="1"/>
  <c r="R44" i="14" s="1"/>
  <c r="R50" i="14" a="1"/>
  <c r="R50" i="14" s="1"/>
  <c r="R7" i="14" a="1"/>
  <c r="R7" i="14" s="1"/>
  <c r="R14" i="14" a="1"/>
  <c r="R14" i="14" s="1"/>
  <c r="R19" i="14" a="1"/>
  <c r="R19" i="14" s="1"/>
  <c r="R26" i="14" a="1"/>
  <c r="R26" i="14" s="1"/>
  <c r="R39" i="14" a="1"/>
  <c r="R39" i="14" s="1"/>
  <c r="R45" i="14" a="1"/>
  <c r="R45" i="14" s="1"/>
  <c r="R57" i="14" a="1"/>
  <c r="R57" i="14" s="1"/>
  <c r="R63" i="14" a="1"/>
  <c r="R63" i="14" s="1"/>
  <c r="R68" i="14" a="1"/>
  <c r="R68" i="14" s="1"/>
  <c r="R74" i="14" a="1"/>
  <c r="R74" i="14" s="1"/>
  <c r="R86" i="14" a="1"/>
  <c r="R86" i="14" s="1"/>
  <c r="R91" i="14" a="1"/>
  <c r="R91" i="14" s="1"/>
  <c r="R103" i="14" a="1"/>
  <c r="R103" i="14" s="1"/>
  <c r="R108" i="14" a="1"/>
  <c r="R108" i="14" s="1"/>
  <c r="R114" i="14" a="1"/>
  <c r="R114" i="14" s="1"/>
  <c r="R121" i="14" a="1"/>
  <c r="R121" i="14" s="1"/>
  <c r="R126" i="14" a="1"/>
  <c r="R126" i="14" s="1"/>
  <c r="R132" i="14" a="1"/>
  <c r="R132" i="14" s="1"/>
  <c r="R138" i="14" a="1"/>
  <c r="R138" i="14" s="1"/>
  <c r="R150" i="14" a="1"/>
  <c r="R150" i="14" s="1"/>
  <c r="R155" i="14" a="1"/>
  <c r="R155" i="14" s="1"/>
  <c r="R167" i="14" a="1"/>
  <c r="R167" i="14" s="1"/>
  <c r="R174" i="14" a="1"/>
  <c r="R174" i="14" s="1"/>
  <c r="R179" i="14" a="1"/>
  <c r="R179" i="14" s="1"/>
  <c r="R186" i="14" a="1"/>
  <c r="R186" i="14" s="1"/>
  <c r="R193" i="14" a="1"/>
  <c r="R193" i="14" s="1"/>
  <c r="R199" i="14" a="1"/>
  <c r="R199" i="14" s="1"/>
  <c r="R206" i="14" a="1"/>
  <c r="R206" i="14" s="1"/>
  <c r="R211" i="14" a="1"/>
  <c r="R211" i="14" s="1"/>
  <c r="R236" i="14" a="1"/>
  <c r="R236" i="14" s="1"/>
  <c r="R256" i="14" a="1"/>
  <c r="R256" i="14" s="1"/>
  <c r="R261" i="14" a="1"/>
  <c r="R261" i="14" s="1"/>
  <c r="R268" i="14" a="1"/>
  <c r="R268" i="14" s="1"/>
  <c r="R281" i="14" a="1"/>
  <c r="R281" i="14" s="1"/>
  <c r="R288" i="14" a="1"/>
  <c r="R288" i="14" s="1"/>
  <c r="R293" i="14" a="1"/>
  <c r="R293" i="14" s="1"/>
  <c r="R299" i="14" a="1"/>
  <c r="R299" i="14" s="1"/>
  <c r="R306" i="14" a="1"/>
  <c r="R306" i="14" s="1"/>
  <c r="R313" i="14" a="1"/>
  <c r="R313" i="14" s="1"/>
  <c r="R320" i="14" a="1"/>
  <c r="R320" i="14" s="1"/>
  <c r="R325" i="14" a="1"/>
  <c r="R325" i="14" s="1"/>
  <c r="R332" i="14" a="1"/>
  <c r="R332" i="14" s="1"/>
  <c r="R351" i="14" a="1"/>
  <c r="R351" i="14" s="1"/>
  <c r="R358" i="14" a="1"/>
  <c r="R358" i="14" s="1"/>
  <c r="R378" i="14" a="1"/>
  <c r="R378" i="14" s="1"/>
  <c r="R385" i="14" a="1"/>
  <c r="R385" i="14" s="1"/>
  <c r="R398" i="14" a="1"/>
  <c r="R398" i="14" s="1"/>
  <c r="R405" i="14" a="1"/>
  <c r="R405" i="14" s="1"/>
  <c r="R412" i="14" a="1"/>
  <c r="R412" i="14" s="1"/>
  <c r="R426" i="14" a="1"/>
  <c r="R426" i="14" s="1"/>
  <c r="R434" i="14" a="1"/>
  <c r="R434" i="14" s="1"/>
  <c r="R453" i="14" a="1"/>
  <c r="R453" i="14" s="1"/>
  <c r="R459" i="14" a="1"/>
  <c r="R459" i="14" s="1"/>
  <c r="R465" i="14" a="1"/>
  <c r="R465" i="14" s="1"/>
  <c r="R471" i="14" a="1"/>
  <c r="R471" i="14" s="1"/>
  <c r="R477" i="14" a="1"/>
  <c r="R477" i="14" s="1"/>
  <c r="R482" i="14" a="1"/>
  <c r="R482" i="14" s="1"/>
  <c r="R488" i="14" a="1"/>
  <c r="R488" i="14" s="1"/>
  <c r="R494" i="14" a="1"/>
  <c r="R494" i="14" s="1"/>
  <c r="R499" i="14" a="1"/>
  <c r="R499" i="14" s="1"/>
  <c r="R517" i="14" a="1"/>
  <c r="R517" i="14" s="1"/>
  <c r="R523" i="14" a="1"/>
  <c r="R523" i="14" s="1"/>
  <c r="R8" i="14" a="1"/>
  <c r="R8" i="14" s="1"/>
  <c r="R83" i="14" a="1"/>
  <c r="R83" i="14" s="1"/>
  <c r="R96" i="14" a="1"/>
  <c r="R96" i="14" s="1"/>
  <c r="R106" i="14" a="1"/>
  <c r="R106" i="14" s="1"/>
  <c r="R118" i="14" a="1"/>
  <c r="R118" i="14" s="1"/>
  <c r="R130" i="14" a="1"/>
  <c r="R130" i="14" s="1"/>
  <c r="R165" i="14" a="1"/>
  <c r="R165" i="14" s="1"/>
  <c r="R177" i="14" a="1"/>
  <c r="R177" i="14" s="1"/>
  <c r="R191" i="14" a="1"/>
  <c r="R191" i="14" s="1"/>
  <c r="R203" i="14" a="1"/>
  <c r="R203" i="14" s="1"/>
  <c r="R216" i="14" a="1"/>
  <c r="R216" i="14" s="1"/>
  <c r="R227" i="14" a="1"/>
  <c r="R227" i="14" s="1"/>
  <c r="R253" i="14" a="1"/>
  <c r="R253" i="14" s="1"/>
  <c r="R279" i="14" a="1"/>
  <c r="R279" i="14" s="1"/>
  <c r="R304" i="14" a="1"/>
  <c r="R304" i="14" s="1"/>
  <c r="R317" i="14" a="1"/>
  <c r="R317" i="14" s="1"/>
  <c r="R343" i="14" a="1"/>
  <c r="R343" i="14" s="1"/>
  <c r="R369" i="14" a="1"/>
  <c r="R369" i="14" s="1"/>
  <c r="R382" i="14" a="1"/>
  <c r="R382" i="14" s="1"/>
  <c r="R396" i="14" a="1"/>
  <c r="R396" i="14" s="1"/>
  <c r="R409" i="14" a="1"/>
  <c r="R409" i="14" s="1"/>
  <c r="R424" i="14" a="1"/>
  <c r="R424" i="14" s="1"/>
  <c r="R438" i="14" a="1"/>
  <c r="R438" i="14" s="1"/>
  <c r="R463" i="14" a="1"/>
  <c r="R463" i="14" s="1"/>
  <c r="R474" i="14" a="1"/>
  <c r="R474" i="14" s="1"/>
  <c r="R509" i="14" a="1"/>
  <c r="R509" i="14" s="1"/>
  <c r="R529" i="14" a="1"/>
  <c r="R529" i="14" s="1"/>
  <c r="R541" i="14" a="1"/>
  <c r="R541" i="14" s="1"/>
  <c r="R546" i="14" a="1"/>
  <c r="R546" i="14" s="1"/>
  <c r="R554" i="14" a="1"/>
  <c r="R554" i="14" s="1"/>
  <c r="R559" i="14" a="1"/>
  <c r="R559" i="14" s="1"/>
  <c r="R571" i="14" a="1"/>
  <c r="R571" i="14" s="1"/>
  <c r="R577" i="14" a="1"/>
  <c r="R577" i="14" s="1"/>
  <c r="R582" i="14" a="1"/>
  <c r="R582" i="14" s="1"/>
  <c r="R588" i="14" a="1"/>
  <c r="R588" i="14" s="1"/>
  <c r="R600" i="14" a="1"/>
  <c r="R600" i="14" s="1"/>
  <c r="R605" i="14" a="1"/>
  <c r="R605" i="14" s="1"/>
  <c r="R618" i="14" a="1"/>
  <c r="R618" i="14" s="1"/>
  <c r="R623" i="14" a="1"/>
  <c r="R623" i="14" s="1"/>
  <c r="R635" i="14" a="1"/>
  <c r="R635" i="14" s="1"/>
  <c r="R641" i="14" a="1"/>
  <c r="R641" i="14" s="1"/>
  <c r="R646" i="14" a="1"/>
  <c r="R646" i="14" s="1"/>
  <c r="R652" i="14" a="1"/>
  <c r="R652" i="14" s="1"/>
  <c r="R664" i="14" a="1"/>
  <c r="R664" i="14" s="1"/>
  <c r="R669" i="14" a="1"/>
  <c r="R669" i="14" s="1"/>
  <c r="R682" i="14" a="1"/>
  <c r="R682" i="14" s="1"/>
  <c r="R687" i="14" a="1"/>
  <c r="R687" i="14" s="1"/>
  <c r="R699" i="14" a="1"/>
  <c r="R699" i="14" s="1"/>
  <c r="R705" i="14" a="1"/>
  <c r="R705" i="14" s="1"/>
  <c r="R710" i="14" a="1"/>
  <c r="R710" i="14" s="1"/>
  <c r="R716" i="14" a="1"/>
  <c r="R716" i="14" s="1"/>
  <c r="R728" i="14" a="1"/>
  <c r="R728" i="14" s="1"/>
  <c r="R733" i="14" a="1"/>
  <c r="R733" i="14" s="1"/>
  <c r="R746" i="14" a="1"/>
  <c r="R746" i="14" s="1"/>
  <c r="R751" i="14" a="1"/>
  <c r="R751" i="14" s="1"/>
  <c r="R763" i="14" a="1"/>
  <c r="R763" i="14" s="1"/>
  <c r="R769" i="14" a="1"/>
  <c r="R769" i="14" s="1"/>
  <c r="R774" i="14" a="1"/>
  <c r="R774" i="14" s="1"/>
  <c r="R780" i="14" a="1"/>
  <c r="R780" i="14" s="1"/>
  <c r="R792" i="14" a="1"/>
  <c r="R792" i="14" s="1"/>
  <c r="R797" i="14" a="1"/>
  <c r="R797" i="14" s="1"/>
  <c r="R15" i="14" a="1"/>
  <c r="R15" i="14" s="1"/>
  <c r="R73" i="14" a="1"/>
  <c r="R73" i="14" s="1"/>
  <c r="R84" i="14" a="1"/>
  <c r="R84" i="14" s="1"/>
  <c r="R119" i="14" a="1"/>
  <c r="R119" i="14" s="1"/>
  <c r="R143" i="14" a="1"/>
  <c r="R143" i="14" s="1"/>
  <c r="R154" i="14" a="1"/>
  <c r="R154" i="14" s="1"/>
  <c r="R178" i="14" a="1"/>
  <c r="R178" i="14" s="1"/>
  <c r="R192" i="14" a="1"/>
  <c r="R192" i="14" s="1"/>
  <c r="R204" i="14" a="1"/>
  <c r="R204" i="14" s="1"/>
  <c r="R228" i="14" a="1"/>
  <c r="R228" i="14" s="1"/>
  <c r="R241" i="14" a="1"/>
  <c r="R241" i="14" s="1"/>
  <c r="R254" i="14" a="1"/>
  <c r="R254" i="14" s="1"/>
  <c r="R266" i="14" a="1"/>
  <c r="R266" i="14" s="1"/>
  <c r="R280" i="14" a="1"/>
  <c r="R280" i="14" s="1"/>
  <c r="R291" i="14" a="1"/>
  <c r="R291" i="14" s="1"/>
  <c r="R318" i="14" a="1"/>
  <c r="R318" i="14" s="1"/>
  <c r="R330" i="14" a="1"/>
  <c r="R330" i="14" s="1"/>
  <c r="R356" i="14" a="1"/>
  <c r="R356" i="14" s="1"/>
  <c r="R370" i="14" a="1"/>
  <c r="R370" i="14" s="1"/>
  <c r="R383" i="14" a="1"/>
  <c r="R383" i="14" s="1"/>
  <c r="R410" i="14" a="1"/>
  <c r="R410" i="14" s="1"/>
  <c r="R439" i="14" a="1"/>
  <c r="R439" i="14" s="1"/>
  <c r="R451" i="14" a="1"/>
  <c r="R451" i="14" s="1"/>
  <c r="R475" i="14" a="1"/>
  <c r="R475" i="14" s="1"/>
  <c r="R487" i="14" a="1"/>
  <c r="R487" i="14" s="1"/>
  <c r="R497" i="14" a="1"/>
  <c r="R497" i="14" s="1"/>
  <c r="R510" i="14" a="1"/>
  <c r="R510" i="14" s="1"/>
  <c r="R521" i="14" a="1"/>
  <c r="R521" i="14" s="1"/>
  <c r="R530" i="14" a="1"/>
  <c r="R530" i="14" s="1"/>
  <c r="R536" i="14" a="1"/>
  <c r="R536" i="14" s="1"/>
  <c r="R542" i="14" a="1"/>
  <c r="R542" i="14" s="1"/>
  <c r="R547" i="14" a="1"/>
  <c r="R547" i="14" s="1"/>
  <c r="R560" i="14" a="1"/>
  <c r="R560" i="14" s="1"/>
  <c r="R565" i="14" a="1"/>
  <c r="R565" i="14" s="1"/>
  <c r="R578" i="14" a="1"/>
  <c r="R578" i="14" s="1"/>
  <c r="R583" i="14" a="1"/>
  <c r="R583" i="14" s="1"/>
  <c r="R595" i="14" a="1"/>
  <c r="R595" i="14" s="1"/>
  <c r="R601" i="14" a="1"/>
  <c r="R601" i="14" s="1"/>
  <c r="R606" i="14" a="1"/>
  <c r="R606" i="14" s="1"/>
  <c r="R612" i="14" a="1"/>
  <c r="R612" i="14" s="1"/>
  <c r="R624" i="14" a="1"/>
  <c r="R624" i="14" s="1"/>
  <c r="R629" i="14" a="1"/>
  <c r="R629" i="14" s="1"/>
  <c r="R642" i="14" a="1"/>
  <c r="R642" i="14" s="1"/>
  <c r="R647" i="14" a="1"/>
  <c r="R647" i="14" s="1"/>
  <c r="R659" i="14" a="1"/>
  <c r="R659" i="14" s="1"/>
  <c r="R665" i="14" a="1"/>
  <c r="R665" i="14" s="1"/>
  <c r="R670" i="14" a="1"/>
  <c r="R670" i="14" s="1"/>
  <c r="R676" i="14" a="1"/>
  <c r="R676" i="14" s="1"/>
  <c r="R688" i="14" a="1"/>
  <c r="R688" i="14" s="1"/>
  <c r="R693" i="14" a="1"/>
  <c r="R693" i="14" s="1"/>
  <c r="R706" i="14" a="1"/>
  <c r="R706" i="14" s="1"/>
  <c r="R711" i="14" a="1"/>
  <c r="R711" i="14" s="1"/>
  <c r="R723" i="14" a="1"/>
  <c r="R723" i="14" s="1"/>
  <c r="R729" i="14" a="1"/>
  <c r="R729" i="14" s="1"/>
  <c r="R734" i="14" a="1"/>
  <c r="R734" i="14" s="1"/>
  <c r="R740" i="14" a="1"/>
  <c r="R740" i="14" s="1"/>
  <c r="R752" i="14" a="1"/>
  <c r="R752" i="14" s="1"/>
  <c r="R757" i="14" a="1"/>
  <c r="R757" i="14" s="1"/>
  <c r="R770" i="14" a="1"/>
  <c r="R770" i="14" s="1"/>
  <c r="R775" i="14" a="1"/>
  <c r="R775" i="14" s="1"/>
  <c r="R787" i="14" a="1"/>
  <c r="R787" i="14" s="1"/>
  <c r="R793" i="14" a="1"/>
  <c r="R793" i="14" s="1"/>
  <c r="R20" i="14" a="1"/>
  <c r="R20" i="14" s="1"/>
  <c r="R62" i="14" a="1"/>
  <c r="R62" i="14" s="1"/>
  <c r="R85" i="14" a="1"/>
  <c r="R85" i="14" s="1"/>
  <c r="R97" i="14" a="1"/>
  <c r="R97" i="14" s="1"/>
  <c r="R107" i="14" a="1"/>
  <c r="R107" i="14" s="1"/>
  <c r="R120" i="14" a="1"/>
  <c r="R120" i="14" s="1"/>
  <c r="R131" i="14" a="1"/>
  <c r="R131" i="14" s="1"/>
  <c r="R144" i="14" a="1"/>
  <c r="R144" i="14" s="1"/>
  <c r="R166" i="14" a="1"/>
  <c r="R166" i="14" s="1"/>
  <c r="R205" i="14" a="1"/>
  <c r="R205" i="14" s="1"/>
  <c r="R217" i="14" a="1"/>
  <c r="R217" i="14" s="1"/>
  <c r="R229" i="14" a="1"/>
  <c r="R229" i="14" s="1"/>
  <c r="R242" i="14" a="1"/>
  <c r="R242" i="14" s="1"/>
  <c r="R255" i="14" a="1"/>
  <c r="R255" i="14" s="1"/>
  <c r="R267" i="14" a="1"/>
  <c r="R267" i="14" s="1"/>
  <c r="R292" i="14" a="1"/>
  <c r="R292" i="14" s="1"/>
  <c r="R305" i="14" a="1"/>
  <c r="R305" i="14" s="1"/>
  <c r="R319" i="14" a="1"/>
  <c r="R319" i="14" s="1"/>
  <c r="R331" i="14" a="1"/>
  <c r="R331" i="14" s="1"/>
  <c r="R344" i="14" a="1"/>
  <c r="R344" i="14" s="1"/>
  <c r="R357" i="14" a="1"/>
  <c r="R357" i="14" s="1"/>
  <c r="R371" i="14" a="1"/>
  <c r="R371" i="14" s="1"/>
  <c r="R384" i="14" a="1"/>
  <c r="R384" i="14" s="1"/>
  <c r="R397" i="14" a="1"/>
  <c r="R397" i="14" s="1"/>
  <c r="R411" i="14" a="1"/>
  <c r="R411" i="14" s="1"/>
  <c r="R425" i="14" a="1"/>
  <c r="R425" i="14" s="1"/>
  <c r="R440" i="14" a="1"/>
  <c r="R440" i="14" s="1"/>
  <c r="R452" i="14" a="1"/>
  <c r="R452" i="14" s="1"/>
  <c r="R464" i="14" a="1"/>
  <c r="R464" i="14" s="1"/>
  <c r="R476" i="14" a="1"/>
  <c r="R476" i="14" s="1"/>
  <c r="R498" i="14" a="1"/>
  <c r="R498" i="14" s="1"/>
  <c r="R511" i="14" a="1"/>
  <c r="R511" i="14" s="1"/>
  <c r="R522" i="14" a="1"/>
  <c r="R522" i="14" s="1"/>
  <c r="R531" i="14" a="1"/>
  <c r="R531" i="14" s="1"/>
  <c r="R548" i="14" a="1"/>
  <c r="R548" i="14" s="1"/>
  <c r="R555" i="14" a="1"/>
  <c r="R555" i="14" s="1"/>
  <c r="R561" i="14" a="1"/>
  <c r="R561" i="14" s="1"/>
  <c r="R566" i="14" a="1"/>
  <c r="R566" i="14" s="1"/>
  <c r="R572" i="14" a="1"/>
  <c r="R572" i="14" s="1"/>
  <c r="R584" i="14" a="1"/>
  <c r="R584" i="14" s="1"/>
  <c r="R589" i="14" a="1"/>
  <c r="R589" i="14" s="1"/>
  <c r="R602" i="14" a="1"/>
  <c r="R602" i="14" s="1"/>
  <c r="R607" i="14" a="1"/>
  <c r="R607" i="14" s="1"/>
  <c r="R619" i="14" a="1"/>
  <c r="R619" i="14" s="1"/>
  <c r="R625" i="14" a="1"/>
  <c r="R625" i="14" s="1"/>
  <c r="R630" i="14" a="1"/>
  <c r="R630" i="14" s="1"/>
  <c r="R636" i="14" a="1"/>
  <c r="R636" i="14" s="1"/>
  <c r="R648" i="14" a="1"/>
  <c r="R648" i="14" s="1"/>
  <c r="R653" i="14" a="1"/>
  <c r="R653" i="14" s="1"/>
  <c r="R666" i="14" a="1"/>
  <c r="R666" i="14" s="1"/>
  <c r="R671" i="14" a="1"/>
  <c r="R671" i="14" s="1"/>
  <c r="R683" i="14" a="1"/>
  <c r="R683" i="14" s="1"/>
  <c r="R689" i="14" a="1"/>
  <c r="R689" i="14" s="1"/>
  <c r="R694" i="14" a="1"/>
  <c r="R694" i="14" s="1"/>
  <c r="R700" i="14" a="1"/>
  <c r="R700" i="14" s="1"/>
  <c r="R51" i="14" a="1"/>
  <c r="R51" i="14" s="1"/>
  <c r="R69" i="14" a="1"/>
  <c r="R69" i="14" s="1"/>
  <c r="R81" i="14" a="1"/>
  <c r="R81" i="14" s="1"/>
  <c r="R92" i="14" a="1"/>
  <c r="R92" i="14" s="1"/>
  <c r="R104" i="14" a="1"/>
  <c r="R104" i="14" s="1"/>
  <c r="R127" i="14" a="1"/>
  <c r="R127" i="14" s="1"/>
  <c r="R139" i="14" a="1"/>
  <c r="R139" i="14" s="1"/>
  <c r="R151" i="14" a="1"/>
  <c r="R151" i="14" s="1"/>
  <c r="R162" i="14" a="1"/>
  <c r="R162" i="14" s="1"/>
  <c r="R187" i="14" a="1"/>
  <c r="R187" i="14" s="1"/>
  <c r="R200" i="14" a="1"/>
  <c r="R200" i="14" s="1"/>
  <c r="R212" i="14" a="1"/>
  <c r="R212" i="14" s="1"/>
  <c r="R225" i="14" a="1"/>
  <c r="R225" i="14" s="1"/>
  <c r="R237" i="14" a="1"/>
  <c r="R237" i="14" s="1"/>
  <c r="R250" i="14" a="1"/>
  <c r="R250" i="14" s="1"/>
  <c r="R262" i="14" a="1"/>
  <c r="R262" i="14" s="1"/>
  <c r="R275" i="14" a="1"/>
  <c r="R275" i="14" s="1"/>
  <c r="R300" i="14" a="1"/>
  <c r="R300" i="14" s="1"/>
  <c r="R326" i="14" a="1"/>
  <c r="R326" i="14" s="1"/>
  <c r="R339" i="14" a="1"/>
  <c r="R339" i="14" s="1"/>
  <c r="R352" i="14" a="1"/>
  <c r="R352" i="14" s="1"/>
  <c r="R365" i="14" a="1"/>
  <c r="R365" i="14" s="1"/>
  <c r="R379" i="14" a="1"/>
  <c r="R379" i="14" s="1"/>
  <c r="R392" i="14" a="1"/>
  <c r="R392" i="14" s="1"/>
  <c r="R406" i="14" a="1"/>
  <c r="R406" i="14" s="1"/>
  <c r="R420" i="14" a="1"/>
  <c r="R420" i="14" s="1"/>
  <c r="R435" i="14" a="1"/>
  <c r="R435" i="14" s="1"/>
  <c r="R448" i="14" a="1"/>
  <c r="R448" i="14" s="1"/>
  <c r="R460" i="14" a="1"/>
  <c r="R460" i="14" s="1"/>
  <c r="R483" i="14" a="1"/>
  <c r="R483" i="14" s="1"/>
  <c r="R505" i="14" a="1"/>
  <c r="R505" i="14" s="1"/>
  <c r="R518" i="14" a="1"/>
  <c r="R518" i="14" s="1"/>
  <c r="R528" i="14" a="1"/>
  <c r="R528" i="14" s="1"/>
  <c r="R535" i="14" a="1"/>
  <c r="R535" i="14" s="1"/>
  <c r="R540" i="14" a="1"/>
  <c r="R540" i="14" s="1"/>
  <c r="R545" i="14" a="1"/>
  <c r="R545" i="14" s="1"/>
  <c r="R553" i="14" a="1"/>
  <c r="R553" i="14" s="1"/>
  <c r="R558" i="14" a="1"/>
  <c r="R558" i="14" s="1"/>
  <c r="R564" i="14" a="1"/>
  <c r="R564" i="14" s="1"/>
  <c r="R576" i="14" a="1"/>
  <c r="R576" i="14" s="1"/>
  <c r="R581" i="14" a="1"/>
  <c r="R581" i="14" s="1"/>
  <c r="R75" i="14" a="1"/>
  <c r="R75" i="14" s="1"/>
  <c r="R98" i="14" a="1"/>
  <c r="R98" i="14" s="1"/>
  <c r="R145" i="14" a="1"/>
  <c r="R145" i="14" s="1"/>
  <c r="R168" i="14" a="1"/>
  <c r="R168" i="14" s="1"/>
  <c r="R218" i="14" a="1"/>
  <c r="R218" i="14" s="1"/>
  <c r="R243" i="14" a="1"/>
  <c r="R243" i="14" s="1"/>
  <c r="R269" i="14" a="1"/>
  <c r="R269" i="14" s="1"/>
  <c r="R294" i="14" a="1"/>
  <c r="R294" i="14" s="1"/>
  <c r="R345" i="14" a="1"/>
  <c r="R345" i="14" s="1"/>
  <c r="R372" i="14" a="1"/>
  <c r="R372" i="14" s="1"/>
  <c r="R399" i="14" a="1"/>
  <c r="R399" i="14" s="1"/>
  <c r="R427" i="14" a="1"/>
  <c r="R427" i="14" s="1"/>
  <c r="R454" i="14" a="1"/>
  <c r="R454" i="14" s="1"/>
  <c r="R478" i="14" a="1"/>
  <c r="R478" i="14" s="1"/>
  <c r="R500" i="14" a="1"/>
  <c r="R500" i="14" s="1"/>
  <c r="R524" i="14" a="1"/>
  <c r="R524" i="14" s="1"/>
  <c r="R537" i="14" a="1"/>
  <c r="R537" i="14" s="1"/>
  <c r="R549" i="14" a="1"/>
  <c r="R549" i="14" s="1"/>
  <c r="R562" i="14" a="1"/>
  <c r="R562" i="14" s="1"/>
  <c r="R585" i="14" a="1"/>
  <c r="R585" i="14" s="1"/>
  <c r="R593" i="14" a="1"/>
  <c r="R593" i="14" s="1"/>
  <c r="R603" i="14" a="1"/>
  <c r="R603" i="14" s="1"/>
  <c r="R611" i="14" a="1"/>
  <c r="R611" i="14" s="1"/>
  <c r="R631" i="14" a="1"/>
  <c r="R631" i="14" s="1"/>
  <c r="R639" i="14" a="1"/>
  <c r="R639" i="14" s="1"/>
  <c r="R650" i="14" a="1"/>
  <c r="R650" i="14" s="1"/>
  <c r="R658" i="14" a="1"/>
  <c r="R658" i="14" s="1"/>
  <c r="R677" i="14" a="1"/>
  <c r="R677" i="14" s="1"/>
  <c r="R685" i="14" a="1"/>
  <c r="R685" i="14" s="1"/>
  <c r="R696" i="14" a="1"/>
  <c r="R696" i="14" s="1"/>
  <c r="R704" i="14" a="1"/>
  <c r="R704" i="14" s="1"/>
  <c r="R714" i="14" a="1"/>
  <c r="R714" i="14" s="1"/>
  <c r="R721" i="14" a="1"/>
  <c r="R721" i="14" s="1"/>
  <c r="R730" i="14" a="1"/>
  <c r="R730" i="14" s="1"/>
  <c r="R737" i="14" a="1"/>
  <c r="R737" i="14" s="1"/>
  <c r="R744" i="14" a="1"/>
  <c r="R744" i="14" s="1"/>
  <c r="R753" i="14" a="1"/>
  <c r="R753" i="14" s="1"/>
  <c r="R760" i="14" a="1"/>
  <c r="R760" i="14" s="1"/>
  <c r="R767" i="14" a="1"/>
  <c r="R767" i="14" s="1"/>
  <c r="R776" i="14" a="1"/>
  <c r="R776" i="14" s="1"/>
  <c r="R783" i="14" a="1"/>
  <c r="R783" i="14" s="1"/>
  <c r="R790" i="14" a="1"/>
  <c r="R790" i="14" s="1"/>
  <c r="R798" i="14" a="1"/>
  <c r="R798" i="14" s="1"/>
  <c r="R804" i="14" a="1"/>
  <c r="R804" i="14" s="1"/>
  <c r="R816" i="14" a="1"/>
  <c r="R816" i="14" s="1"/>
  <c r="R821" i="14" a="1"/>
  <c r="R821" i="14" s="1"/>
  <c r="R834" i="14" a="1"/>
  <c r="R834" i="14" s="1"/>
  <c r="R839" i="14" a="1"/>
  <c r="R839" i="14" s="1"/>
  <c r="R851" i="14" a="1"/>
  <c r="R851" i="14" s="1"/>
  <c r="R857" i="14" a="1"/>
  <c r="R857" i="14" s="1"/>
  <c r="R863" i="14" a="1"/>
  <c r="R863" i="14" s="1"/>
  <c r="R868" i="14" a="1"/>
  <c r="R868" i="14" s="1"/>
  <c r="R880" i="14" a="1"/>
  <c r="R880" i="14" s="1"/>
  <c r="R886" i="14" a="1"/>
  <c r="R886" i="14" s="1"/>
  <c r="R892" i="14" a="1"/>
  <c r="R892" i="14" s="1"/>
  <c r="R898" i="14" a="1"/>
  <c r="R898" i="14" s="1"/>
  <c r="R904" i="14" a="1"/>
  <c r="R904" i="14" s="1"/>
  <c r="R921" i="14" a="1"/>
  <c r="R921" i="14" s="1"/>
  <c r="R927" i="14" a="1"/>
  <c r="R927" i="14" s="1"/>
  <c r="R932" i="14" a="1"/>
  <c r="R932" i="14" s="1"/>
  <c r="R944" i="14" a="1"/>
  <c r="R944" i="14" s="1"/>
  <c r="R950" i="14" a="1"/>
  <c r="R950" i="14" s="1"/>
  <c r="R956" i="14" a="1"/>
  <c r="R956" i="14" s="1"/>
  <c r="R962" i="14" a="1"/>
  <c r="R962" i="14" s="1"/>
  <c r="R968" i="14" a="1"/>
  <c r="R968" i="14" s="1"/>
  <c r="R985" i="14" a="1"/>
  <c r="R985" i="14" s="1"/>
  <c r="R991" i="14" a="1"/>
  <c r="R991" i="14" s="1"/>
  <c r="R996" i="14" a="1"/>
  <c r="R996" i="14" s="1"/>
  <c r="R1008" i="14" a="1"/>
  <c r="R1008" i="14" s="1"/>
  <c r="R33" i="14" a="1"/>
  <c r="R33" i="14" s="1"/>
  <c r="R101" i="14" a="1"/>
  <c r="R101" i="14" s="1"/>
  <c r="R124" i="14" a="1"/>
  <c r="R124" i="14" s="1"/>
  <c r="R147" i="14" a="1"/>
  <c r="R147" i="14" s="1"/>
  <c r="R171" i="14" a="1"/>
  <c r="R171" i="14" s="1"/>
  <c r="R196" i="14" a="1"/>
  <c r="R196" i="14" s="1"/>
  <c r="R222" i="14" a="1"/>
  <c r="R222" i="14" s="1"/>
  <c r="R247" i="14" a="1"/>
  <c r="R247" i="14" s="1"/>
  <c r="R403" i="14" a="1"/>
  <c r="R403" i="14" s="1"/>
  <c r="R431" i="14" a="1"/>
  <c r="R431" i="14" s="1"/>
  <c r="R480" i="14" a="1"/>
  <c r="R480" i="14" s="1"/>
  <c r="R503" i="14" a="1"/>
  <c r="R503" i="14" s="1"/>
  <c r="R526" i="14" a="1"/>
  <c r="R526" i="14" s="1"/>
  <c r="R538" i="14" a="1"/>
  <c r="R538" i="14" s="1"/>
  <c r="R550" i="14" a="1"/>
  <c r="R550" i="14" s="1"/>
  <c r="R573" i="14" a="1"/>
  <c r="R573" i="14" s="1"/>
  <c r="R586" i="14" a="1"/>
  <c r="R586" i="14" s="1"/>
  <c r="R594" i="14" a="1"/>
  <c r="R594" i="14" s="1"/>
  <c r="R613" i="14" a="1"/>
  <c r="R613" i="14" s="1"/>
  <c r="R621" i="14" a="1"/>
  <c r="R621" i="14" s="1"/>
  <c r="R632" i="14" a="1"/>
  <c r="R632" i="14" s="1"/>
  <c r="R640" i="14" a="1"/>
  <c r="R640" i="14" s="1"/>
  <c r="R660" i="14" a="1"/>
  <c r="R660" i="14" s="1"/>
  <c r="R668" i="14" a="1"/>
  <c r="R668" i="14" s="1"/>
  <c r="R678" i="14" a="1"/>
  <c r="R678" i="14" s="1"/>
  <c r="R686" i="14" a="1"/>
  <c r="R686" i="14" s="1"/>
  <c r="R697" i="14" a="1"/>
  <c r="R697" i="14" s="1"/>
  <c r="R707" i="14" a="1"/>
  <c r="R707" i="14" s="1"/>
  <c r="R722" i="14" a="1"/>
  <c r="R722" i="14" s="1"/>
  <c r="R738" i="14" a="1"/>
  <c r="R738" i="14" s="1"/>
  <c r="R745" i="14" a="1"/>
  <c r="R745" i="14" s="1"/>
  <c r="R754" i="14" a="1"/>
  <c r="R754" i="14" s="1"/>
  <c r="R761" i="14" a="1"/>
  <c r="R761" i="14" s="1"/>
  <c r="R768" i="14" a="1"/>
  <c r="R768" i="14" s="1"/>
  <c r="R777" i="14" a="1"/>
  <c r="R777" i="14" s="1"/>
  <c r="R784" i="14" a="1"/>
  <c r="R784" i="14" s="1"/>
  <c r="R791" i="14" a="1"/>
  <c r="R791" i="14" s="1"/>
  <c r="R799" i="14" a="1"/>
  <c r="R799" i="14" s="1"/>
  <c r="R811" i="14" a="1"/>
  <c r="R811" i="14" s="1"/>
  <c r="R817" i="14" a="1"/>
  <c r="R817" i="14" s="1"/>
  <c r="R822" i="14" a="1"/>
  <c r="R822" i="14" s="1"/>
  <c r="R828" i="14" a="1"/>
  <c r="R828" i="14" s="1"/>
  <c r="R840" i="14" a="1"/>
  <c r="R840" i="14" s="1"/>
  <c r="R845" i="14" a="1"/>
  <c r="R845" i="14" s="1"/>
  <c r="R858" i="14" a="1"/>
  <c r="R858" i="14" s="1"/>
  <c r="R869" i="14" a="1"/>
  <c r="R869" i="14" s="1"/>
  <c r="R875" i="14" a="1"/>
  <c r="R875" i="14" s="1"/>
  <c r="R881" i="14" a="1"/>
  <c r="R881" i="14" s="1"/>
  <c r="R909" i="14" a="1"/>
  <c r="R909" i="14" s="1"/>
  <c r="R916" i="14" a="1"/>
  <c r="R916" i="14" s="1"/>
  <c r="R922" i="14" a="1"/>
  <c r="R922" i="14" s="1"/>
  <c r="R933" i="14" a="1"/>
  <c r="R933" i="14" s="1"/>
  <c r="R939" i="14" a="1"/>
  <c r="R939" i="14" s="1"/>
  <c r="R945" i="14" a="1"/>
  <c r="R945" i="14" s="1"/>
  <c r="R973" i="14" a="1"/>
  <c r="R973" i="14" s="1"/>
  <c r="R980" i="14" a="1"/>
  <c r="R980" i="14" s="1"/>
  <c r="R986" i="14" a="1"/>
  <c r="R986" i="14" s="1"/>
  <c r="R997" i="14" a="1"/>
  <c r="R997" i="14" s="1"/>
  <c r="R1003" i="14" a="1"/>
  <c r="R1003" i="14" s="1"/>
  <c r="R40" i="14" a="1"/>
  <c r="R40" i="14" s="1"/>
  <c r="R79" i="14" a="1"/>
  <c r="R79" i="14" s="1"/>
  <c r="R148" i="14" a="1"/>
  <c r="R148" i="14" s="1"/>
  <c r="R172" i="14" a="1"/>
  <c r="R172" i="14" s="1"/>
  <c r="R197" i="14" a="1"/>
  <c r="R197" i="14" s="1"/>
  <c r="R223" i="14" a="1"/>
  <c r="R223" i="14" s="1"/>
  <c r="R248" i="14" a="1"/>
  <c r="R248" i="14" s="1"/>
  <c r="R273" i="14" a="1"/>
  <c r="R273" i="14" s="1"/>
  <c r="R298" i="14" a="1"/>
  <c r="R298" i="14" s="1"/>
  <c r="R323" i="14" a="1"/>
  <c r="R323" i="14" s="1"/>
  <c r="R349" i="14" a="1"/>
  <c r="R349" i="14" s="1"/>
  <c r="R376" i="14" a="1"/>
  <c r="R376" i="14" s="1"/>
  <c r="R432" i="14" a="1"/>
  <c r="R432" i="14" s="1"/>
  <c r="R457" i="14" a="1"/>
  <c r="R457" i="14" s="1"/>
  <c r="R527" i="14" a="1"/>
  <c r="R527" i="14" s="1"/>
  <c r="R551" i="14" a="1"/>
  <c r="R551" i="14" s="1"/>
  <c r="R563" i="14" a="1"/>
  <c r="R563" i="14" s="1"/>
  <c r="R574" i="14" a="1"/>
  <c r="R574" i="14" s="1"/>
  <c r="R596" i="14" a="1"/>
  <c r="R596" i="14" s="1"/>
  <c r="R604" i="14" a="1"/>
  <c r="R604" i="14" s="1"/>
  <c r="R614" i="14" a="1"/>
  <c r="R614" i="14" s="1"/>
  <c r="R622" i="14" a="1"/>
  <c r="R622" i="14" s="1"/>
  <c r="R633" i="14" a="1"/>
  <c r="R633" i="14" s="1"/>
  <c r="R643" i="14" a="1"/>
  <c r="R643" i="14" s="1"/>
  <c r="R651" i="14" a="1"/>
  <c r="R651" i="14" s="1"/>
  <c r="R679" i="14" a="1"/>
  <c r="R679" i="14" s="1"/>
  <c r="R690" i="14" a="1"/>
  <c r="R690" i="14" s="1"/>
  <c r="R698" i="14" a="1"/>
  <c r="R698" i="14" s="1"/>
  <c r="R715" i="14" a="1"/>
  <c r="R715" i="14" s="1"/>
  <c r="R731" i="14" a="1"/>
  <c r="R731" i="14" s="1"/>
  <c r="R747" i="14" a="1"/>
  <c r="R747" i="14" s="1"/>
  <c r="R762" i="14" a="1"/>
  <c r="R762" i="14" s="1"/>
  <c r="R778" i="14" a="1"/>
  <c r="R778" i="14" s="1"/>
  <c r="R785" i="14" a="1"/>
  <c r="R785" i="14" s="1"/>
  <c r="R794" i="14" a="1"/>
  <c r="R794" i="14" s="1"/>
  <c r="R800" i="14" a="1"/>
  <c r="R800" i="14" s="1"/>
  <c r="R805" i="14" a="1"/>
  <c r="R805" i="14" s="1"/>
  <c r="R818" i="14" a="1"/>
  <c r="R818" i="14" s="1"/>
  <c r="R823" i="14" a="1"/>
  <c r="R823" i="14" s="1"/>
  <c r="R835" i="14" a="1"/>
  <c r="R835" i="14" s="1"/>
  <c r="R841" i="14" a="1"/>
  <c r="R841" i="14" s="1"/>
  <c r="R846" i="14" a="1"/>
  <c r="R846" i="14" s="1"/>
  <c r="R852" i="14" a="1"/>
  <c r="R852" i="14" s="1"/>
  <c r="R864" i="14" a="1"/>
  <c r="R864" i="14" s="1"/>
  <c r="R870" i="14" a="1"/>
  <c r="R870" i="14" s="1"/>
  <c r="R882" i="14" a="1"/>
  <c r="R882" i="14" s="1"/>
  <c r="R887" i="14" a="1"/>
  <c r="R887" i="14" s="1"/>
  <c r="R893" i="14" a="1"/>
  <c r="R893" i="14" s="1"/>
  <c r="R899" i="14" a="1"/>
  <c r="R899" i="14" s="1"/>
  <c r="R905" i="14" a="1"/>
  <c r="R905" i="14" s="1"/>
  <c r="R910" i="14" a="1"/>
  <c r="R910" i="14" s="1"/>
  <c r="R928" i="14" a="1"/>
  <c r="R928" i="14" s="1"/>
  <c r="R934" i="14" a="1"/>
  <c r="R934" i="14" s="1"/>
  <c r="R946" i="14" a="1"/>
  <c r="R946" i="14" s="1"/>
  <c r="R951" i="14" a="1"/>
  <c r="R951" i="14" s="1"/>
  <c r="R957" i="14" a="1"/>
  <c r="R957" i="14" s="1"/>
  <c r="R963" i="14" a="1"/>
  <c r="R963" i="14" s="1"/>
  <c r="R969" i="14" a="1"/>
  <c r="R969" i="14" s="1"/>
  <c r="R974" i="14" a="1"/>
  <c r="R974" i="14" s="1"/>
  <c r="R992" i="14" a="1"/>
  <c r="R992" i="14" s="1"/>
  <c r="R998" i="14" a="1"/>
  <c r="R998" i="14" s="1"/>
  <c r="R67" i="14" a="1"/>
  <c r="R67" i="14" s="1"/>
  <c r="R161" i="14" a="1"/>
  <c r="R161" i="14" s="1"/>
  <c r="R235" i="14" a="1"/>
  <c r="R235" i="14" s="1"/>
  <c r="R260" i="14" a="1"/>
  <c r="R260" i="14" s="1"/>
  <c r="R287" i="14" a="1"/>
  <c r="R287" i="14" s="1"/>
  <c r="R312" i="14" a="1"/>
  <c r="R312" i="14" s="1"/>
  <c r="R338" i="14" a="1"/>
  <c r="R338" i="14" s="1"/>
  <c r="R364" i="14" a="1"/>
  <c r="R364" i="14" s="1"/>
  <c r="R391" i="14" a="1"/>
  <c r="R391" i="14" s="1"/>
  <c r="R419" i="14" a="1"/>
  <c r="R419" i="14" s="1"/>
  <c r="R447" i="14" a="1"/>
  <c r="R447" i="14" s="1"/>
  <c r="R493" i="14" a="1"/>
  <c r="R493" i="14" s="1"/>
  <c r="R516" i="14" a="1"/>
  <c r="R516" i="14" s="1"/>
  <c r="R534" i="14" a="1"/>
  <c r="R534" i="14" s="1"/>
  <c r="R557" i="14" a="1"/>
  <c r="R557" i="14" s="1"/>
  <c r="R570" i="14" a="1"/>
  <c r="R570" i="14" s="1"/>
  <c r="R592" i="14" a="1"/>
  <c r="R592" i="14" s="1"/>
  <c r="R620" i="14" a="1"/>
  <c r="R620" i="14" s="1"/>
  <c r="R628" i="14" a="1"/>
  <c r="R628" i="14" s="1"/>
  <c r="R638" i="14" a="1"/>
  <c r="R638" i="14" s="1"/>
  <c r="R649" i="14" a="1"/>
  <c r="R649" i="14" s="1"/>
  <c r="R657" i="14" a="1"/>
  <c r="R657" i="14" s="1"/>
  <c r="R667" i="14" a="1"/>
  <c r="R667" i="14" s="1"/>
  <c r="R675" i="14" a="1"/>
  <c r="R675" i="14" s="1"/>
  <c r="R695" i="14" a="1"/>
  <c r="R695" i="14" s="1"/>
  <c r="R703" i="14" a="1"/>
  <c r="R703" i="14" s="1"/>
  <c r="R713" i="14" a="1"/>
  <c r="R713" i="14" s="1"/>
  <c r="R720" i="14" a="1"/>
  <c r="R720" i="14" s="1"/>
  <c r="R727" i="14" a="1"/>
  <c r="R727" i="14" s="1"/>
  <c r="R736" i="14" a="1"/>
  <c r="R736" i="14" s="1"/>
  <c r="R743" i="14" a="1"/>
  <c r="R743" i="14" s="1"/>
  <c r="R750" i="14" a="1"/>
  <c r="R750" i="14" s="1"/>
  <c r="R759" i="14" a="1"/>
  <c r="R759" i="14" s="1"/>
  <c r="R766" i="14" a="1"/>
  <c r="R766" i="14" s="1"/>
  <c r="R773" i="14" a="1"/>
  <c r="R773" i="14" s="1"/>
  <c r="R782" i="14" a="1"/>
  <c r="R782" i="14" s="1"/>
  <c r="R789" i="14" a="1"/>
  <c r="R789" i="14" s="1"/>
  <c r="R810" i="14" a="1"/>
  <c r="R810" i="14" s="1"/>
  <c r="R815" i="14" a="1"/>
  <c r="R815" i="14" s="1"/>
  <c r="R827" i="14" a="1"/>
  <c r="R827" i="14" s="1"/>
  <c r="R833" i="14" a="1"/>
  <c r="R833" i="14" s="1"/>
  <c r="R838" i="14" a="1"/>
  <c r="R838" i="14" s="1"/>
  <c r="R844" i="14" a="1"/>
  <c r="R844" i="14" s="1"/>
  <c r="R856" i="14" a="1"/>
  <c r="R856" i="14" s="1"/>
  <c r="R862" i="14" a="1"/>
  <c r="R862" i="14" s="1"/>
  <c r="R874" i="14" a="1"/>
  <c r="R874" i="14" s="1"/>
  <c r="R879" i="14" a="1"/>
  <c r="R879" i="14" s="1"/>
  <c r="R885" i="14" a="1"/>
  <c r="R885" i="14" s="1"/>
  <c r="R891" i="14" a="1"/>
  <c r="R891" i="14" s="1"/>
  <c r="R897" i="14" a="1"/>
  <c r="R897" i="14" s="1"/>
  <c r="R903" i="14" a="1"/>
  <c r="R903" i="14" s="1"/>
  <c r="R908" i="14" a="1"/>
  <c r="R908" i="14" s="1"/>
  <c r="R915" i="14" a="1"/>
  <c r="R915" i="14" s="1"/>
  <c r="R920" i="14" a="1"/>
  <c r="R920" i="14" s="1"/>
  <c r="R926" i="14" a="1"/>
  <c r="R926" i="14" s="1"/>
  <c r="R938" i="14" a="1"/>
  <c r="R938" i="14" s="1"/>
  <c r="R943" i="14" a="1"/>
  <c r="R943" i="14" s="1"/>
  <c r="R949" i="14" a="1"/>
  <c r="R949" i="14" s="1"/>
  <c r="R955" i="14" a="1"/>
  <c r="R955" i="14" s="1"/>
  <c r="R961" i="14" a="1"/>
  <c r="R961" i="14" s="1"/>
  <c r="R967" i="14" a="1"/>
  <c r="R967" i="14" s="1"/>
  <c r="R46" i="14" a="1"/>
  <c r="R46" i="14" s="1"/>
  <c r="R102" i="14" a="1"/>
  <c r="R102" i="14" s="1"/>
  <c r="R149" i="14" a="1"/>
  <c r="R149" i="14" s="1"/>
  <c r="R198" i="14" a="1"/>
  <c r="R198" i="14" s="1"/>
  <c r="R249" i="14" a="1"/>
  <c r="R249" i="14" s="1"/>
  <c r="R350" i="14" a="1"/>
  <c r="R350" i="14" s="1"/>
  <c r="R404" i="14" a="1"/>
  <c r="R404" i="14" s="1"/>
  <c r="R458" i="14" a="1"/>
  <c r="R458" i="14" s="1"/>
  <c r="R504" i="14" a="1"/>
  <c r="R504" i="14" s="1"/>
  <c r="R539" i="14" a="1"/>
  <c r="R539" i="14" s="1"/>
  <c r="R587" i="14" a="1"/>
  <c r="R587" i="14" s="1"/>
  <c r="R626" i="14" a="1"/>
  <c r="R626" i="14" s="1"/>
  <c r="R661" i="14" a="1"/>
  <c r="R661" i="14" s="1"/>
  <c r="R680" i="14" a="1"/>
  <c r="R680" i="14" s="1"/>
  <c r="R806" i="14" a="1"/>
  <c r="R806" i="14" s="1"/>
  <c r="R829" i="14" a="1"/>
  <c r="R829" i="14" s="1"/>
  <c r="R842" i="14" a="1"/>
  <c r="R842" i="14" s="1"/>
  <c r="R865" i="14" a="1"/>
  <c r="R865" i="14" s="1"/>
  <c r="R876" i="14" a="1"/>
  <c r="R876" i="14" s="1"/>
  <c r="R888" i="14" a="1"/>
  <c r="R888" i="14" s="1"/>
  <c r="R911" i="14" a="1"/>
  <c r="R911" i="14" s="1"/>
  <c r="R923" i="14" a="1"/>
  <c r="R923" i="14" s="1"/>
  <c r="R935" i="14" a="1"/>
  <c r="R935" i="14" s="1"/>
  <c r="R947" i="14" a="1"/>
  <c r="R947" i="14" s="1"/>
  <c r="R958" i="14" a="1"/>
  <c r="R958" i="14" s="1"/>
  <c r="R970" i="14" a="1"/>
  <c r="R970" i="14" s="1"/>
  <c r="R978" i="14" a="1"/>
  <c r="R978" i="14" s="1"/>
  <c r="R988" i="14" a="1"/>
  <c r="R988" i="14" s="1"/>
  <c r="R1005" i="14" a="1"/>
  <c r="R1005" i="14" s="1"/>
  <c r="R1040" i="14" a="1"/>
  <c r="R1040" i="14" s="1"/>
  <c r="R1055" i="14" a="1"/>
  <c r="R1055" i="14" s="1"/>
  <c r="R1060" i="14" a="1"/>
  <c r="R1060" i="14" s="1"/>
  <c r="R1065" i="14" a="1"/>
  <c r="R1065" i="14" s="1"/>
  <c r="R1070" i="14" a="1"/>
  <c r="R1070" i="14" s="1"/>
  <c r="R1081" i="14" a="1"/>
  <c r="R1081" i="14" s="1"/>
  <c r="R1086" i="14" a="1"/>
  <c r="R1086" i="14" s="1"/>
  <c r="R1091" i="14" a="1"/>
  <c r="R1091" i="14" s="1"/>
  <c r="R1096" i="14" a="1"/>
  <c r="R1096" i="14" s="1"/>
  <c r="R1119" i="14" a="1"/>
  <c r="R1119" i="14" s="1"/>
  <c r="R1128" i="14" a="1"/>
  <c r="R1128" i="14" s="1"/>
  <c r="R1133" i="14" a="1"/>
  <c r="R1133" i="14" s="1"/>
  <c r="R1142" i="14" a="1"/>
  <c r="R1142" i="14" s="1"/>
  <c r="R1151" i="14" a="1"/>
  <c r="R1151" i="14" s="1"/>
  <c r="R1160" i="14" a="1"/>
  <c r="R1160" i="14" s="1"/>
  <c r="R1165" i="14" a="1"/>
  <c r="R1165" i="14" s="1"/>
  <c r="R1174" i="14" a="1"/>
  <c r="R1174" i="14" s="1"/>
  <c r="R1183" i="14" a="1"/>
  <c r="R1183" i="14" s="1"/>
  <c r="R1192" i="14" a="1"/>
  <c r="R1192" i="14" s="1"/>
  <c r="R1197" i="14" a="1"/>
  <c r="R1197" i="14" s="1"/>
  <c r="R64" i="14" a="1"/>
  <c r="R64" i="14" s="1"/>
  <c r="R109" i="14" a="1"/>
  <c r="R109" i="14" s="1"/>
  <c r="R156" i="14" a="1"/>
  <c r="R156" i="14" s="1"/>
  <c r="R359" i="14" a="1"/>
  <c r="R359" i="14" s="1"/>
  <c r="R413" i="14" a="1"/>
  <c r="R413" i="14" s="1"/>
  <c r="R466" i="14" a="1"/>
  <c r="R466" i="14" s="1"/>
  <c r="R512" i="14" a="1"/>
  <c r="R512" i="14" s="1"/>
  <c r="R543" i="14" a="1"/>
  <c r="R543" i="14" s="1"/>
  <c r="R567" i="14" a="1"/>
  <c r="R567" i="14" s="1"/>
  <c r="R608" i="14" a="1"/>
  <c r="R608" i="14" s="1"/>
  <c r="R644" i="14" a="1"/>
  <c r="R644" i="14" s="1"/>
  <c r="R662" i="14" a="1"/>
  <c r="R662" i="14" s="1"/>
  <c r="R681" i="14" a="1"/>
  <c r="R681" i="14" s="1"/>
  <c r="R717" i="14" a="1"/>
  <c r="R717" i="14" s="1"/>
  <c r="R732" i="14" a="1"/>
  <c r="R732" i="14" s="1"/>
  <c r="R748" i="14" a="1"/>
  <c r="R748" i="14" s="1"/>
  <c r="R764" i="14" a="1"/>
  <c r="R764" i="14" s="1"/>
  <c r="R779" i="14" a="1"/>
  <c r="R779" i="14" s="1"/>
  <c r="R795" i="14" a="1"/>
  <c r="R795" i="14" s="1"/>
  <c r="R807" i="14" a="1"/>
  <c r="R807" i="14" s="1"/>
  <c r="R819" i="14" a="1"/>
  <c r="R819" i="14" s="1"/>
  <c r="R830" i="14" a="1"/>
  <c r="R830" i="14" s="1"/>
  <c r="R853" i="14" a="1"/>
  <c r="R853" i="14" s="1"/>
  <c r="R866" i="14" a="1"/>
  <c r="R866" i="14" s="1"/>
  <c r="R889" i="14" a="1"/>
  <c r="R889" i="14" s="1"/>
  <c r="R900" i="14" a="1"/>
  <c r="R900" i="14" s="1"/>
  <c r="R912" i="14" a="1"/>
  <c r="R912" i="14" s="1"/>
  <c r="R924" i="14" a="1"/>
  <c r="R924" i="14" s="1"/>
  <c r="R936" i="14" a="1"/>
  <c r="R936" i="14" s="1"/>
  <c r="R959" i="14" a="1"/>
  <c r="R959" i="14" s="1"/>
  <c r="R979" i="14" a="1"/>
  <c r="R979" i="14" s="1"/>
  <c r="R999" i="14" a="1"/>
  <c r="R999" i="14" s="1"/>
  <c r="R1006" i="14" a="1"/>
  <c r="R1006" i="14" s="1"/>
  <c r="R1013" i="14" a="1"/>
  <c r="R1013" i="14" s="1"/>
  <c r="R1019" i="14" a="1"/>
  <c r="R1019" i="14" s="1"/>
  <c r="R1024" i="14" a="1"/>
  <c r="R1024" i="14" s="1"/>
  <c r="R1029" i="14" a="1"/>
  <c r="R1029" i="14" s="1"/>
  <c r="R1035" i="14" a="1"/>
  <c r="R1035" i="14" s="1"/>
  <c r="R1045" i="14" a="1"/>
  <c r="R1045" i="14" s="1"/>
  <c r="R1051" i="14" a="1"/>
  <c r="R1051" i="14" s="1"/>
  <c r="R1066" i="14" a="1"/>
  <c r="R1066" i="14" s="1"/>
  <c r="R1071" i="14" a="1"/>
  <c r="R1071" i="14" s="1"/>
  <c r="R1076" i="14" a="1"/>
  <c r="R1076" i="14" s="1"/>
  <c r="R1082" i="14" a="1"/>
  <c r="R1082" i="14" s="1"/>
  <c r="R1101" i="14" a="1"/>
  <c r="R1101" i="14" s="1"/>
  <c r="R1107" i="14" a="1"/>
  <c r="R1107" i="14" s="1"/>
  <c r="R1111" i="14" a="1"/>
  <c r="R1111" i="14" s="1"/>
  <c r="R1115" i="14" a="1"/>
  <c r="R1115" i="14" s="1"/>
  <c r="R1124" i="14" a="1"/>
  <c r="R1124" i="14" s="1"/>
  <c r="R1129" i="14" a="1"/>
  <c r="R1129" i="14" s="1"/>
  <c r="R1138" i="14" a="1"/>
  <c r="R1138" i="14" s="1"/>
  <c r="R1147" i="14" a="1"/>
  <c r="R1147" i="14" s="1"/>
  <c r="R1156" i="14" a="1"/>
  <c r="R1156" i="14" s="1"/>
  <c r="R1161" i="14" a="1"/>
  <c r="R1161" i="14" s="1"/>
  <c r="R1170" i="14" a="1"/>
  <c r="R1170" i="14" s="1"/>
  <c r="R1179" i="14" a="1"/>
  <c r="R1179" i="14" s="1"/>
  <c r="R1188" i="14" a="1"/>
  <c r="R1188" i="14" s="1"/>
  <c r="R1193" i="14" a="1"/>
  <c r="R1193" i="14" s="1"/>
  <c r="R2" i="14" a="1"/>
  <c r="R2" i="14" s="1"/>
  <c r="R66" i="14" a="1"/>
  <c r="R66" i="14" s="1"/>
  <c r="R160" i="14" a="1"/>
  <c r="R160" i="14" s="1"/>
  <c r="R209" i="14" a="1"/>
  <c r="R209" i="14" s="1"/>
  <c r="R310" i="14" a="1"/>
  <c r="R310" i="14" s="1"/>
  <c r="R362" i="14" a="1"/>
  <c r="R362" i="14" s="1"/>
  <c r="R417" i="14" a="1"/>
  <c r="R417" i="14" s="1"/>
  <c r="R469" i="14" a="1"/>
  <c r="R469" i="14" s="1"/>
  <c r="R568" i="14" a="1"/>
  <c r="R568" i="14" s="1"/>
  <c r="R590" i="14" a="1"/>
  <c r="R590" i="14" s="1"/>
  <c r="R609" i="14" a="1"/>
  <c r="R609" i="14" s="1"/>
  <c r="R627" i="14" a="1"/>
  <c r="R627" i="14" s="1"/>
  <c r="R663" i="14" a="1"/>
  <c r="R663" i="14" s="1"/>
  <c r="R701" i="14" a="1"/>
  <c r="R701" i="14" s="1"/>
  <c r="R718" i="14" a="1"/>
  <c r="R718" i="14" s="1"/>
  <c r="R808" i="14" a="1"/>
  <c r="R808" i="14" s="1"/>
  <c r="R831" i="14" a="1"/>
  <c r="R831" i="14" s="1"/>
  <c r="R843" i="14" a="1"/>
  <c r="R843" i="14" s="1"/>
  <c r="R854" i="14" a="1"/>
  <c r="R854" i="14" s="1"/>
  <c r="R877" i="14" a="1"/>
  <c r="R877" i="14" s="1"/>
  <c r="R890" i="14" a="1"/>
  <c r="R890" i="14" s="1"/>
  <c r="R901" i="14" a="1"/>
  <c r="R901" i="14" s="1"/>
  <c r="R913" i="14" a="1"/>
  <c r="R913" i="14" s="1"/>
  <c r="R948" i="14" a="1"/>
  <c r="R948" i="14" s="1"/>
  <c r="R971" i="14" a="1"/>
  <c r="R971" i="14" s="1"/>
  <c r="R981" i="14" a="1"/>
  <c r="R981" i="14" s="1"/>
  <c r="R989" i="14" a="1"/>
  <c r="R989" i="14" s="1"/>
  <c r="R1000" i="14" a="1"/>
  <c r="R1000" i="14" s="1"/>
  <c r="R1007" i="14" a="1"/>
  <c r="R1007" i="14" s="1"/>
  <c r="R1014" i="14" a="1"/>
  <c r="R1014" i="14" s="1"/>
  <c r="R1025" i="14" a="1"/>
  <c r="R1025" i="14" s="1"/>
  <c r="R1030" i="14" a="1"/>
  <c r="R1030" i="14" s="1"/>
  <c r="R1041" i="14" a="1"/>
  <c r="R1041" i="14" s="1"/>
  <c r="R1046" i="14" a="1"/>
  <c r="R1046" i="14" s="1"/>
  <c r="R1056" i="14" a="1"/>
  <c r="R1056" i="14" s="1"/>
  <c r="R1061" i="14" a="1"/>
  <c r="R1061" i="14" s="1"/>
  <c r="R1072" i="14" a="1"/>
  <c r="R1072" i="14" s="1"/>
  <c r="R1087" i="14" a="1"/>
  <c r="R1087" i="14" s="1"/>
  <c r="R1092" i="14" a="1"/>
  <c r="R1092" i="14" s="1"/>
  <c r="R1097" i="14" a="1"/>
  <c r="R1097" i="14" s="1"/>
  <c r="R1102" i="14" a="1"/>
  <c r="R1102" i="14" s="1"/>
  <c r="R1120" i="14" a="1"/>
  <c r="R1120" i="14" s="1"/>
  <c r="R1125" i="14" a="1"/>
  <c r="R1125" i="14" s="1"/>
  <c r="R1134" i="14" a="1"/>
  <c r="R1134" i="14" s="1"/>
  <c r="R1143" i="14" a="1"/>
  <c r="R1143" i="14" s="1"/>
  <c r="R1152" i="14" a="1"/>
  <c r="R1152" i="14" s="1"/>
  <c r="R1157" i="14" a="1"/>
  <c r="R1157" i="14" s="1"/>
  <c r="R1166" i="14" a="1"/>
  <c r="R1166" i="14" s="1"/>
  <c r="R1175" i="14" a="1"/>
  <c r="R1175" i="14" s="1"/>
  <c r="R1184" i="14" a="1"/>
  <c r="R1184" i="14" s="1"/>
  <c r="R1189" i="14" a="1"/>
  <c r="R1189" i="14" s="1"/>
  <c r="R1198" i="14" a="1"/>
  <c r="R1198" i="14" s="1"/>
  <c r="P2" i="16" a="1"/>
  <c r="P2" i="16" s="1"/>
  <c r="R113" i="14" a="1"/>
  <c r="R113" i="14" s="1"/>
  <c r="R210" i="14" a="1"/>
  <c r="R210" i="14" s="1"/>
  <c r="R259" i="14" a="1"/>
  <c r="R259" i="14" s="1"/>
  <c r="R311" i="14" a="1"/>
  <c r="R311" i="14" s="1"/>
  <c r="R363" i="14" a="1"/>
  <c r="R363" i="14" s="1"/>
  <c r="R418" i="14" a="1"/>
  <c r="R418" i="14" s="1"/>
  <c r="R470" i="14" a="1"/>
  <c r="R470" i="14" s="1"/>
  <c r="R515" i="14" a="1"/>
  <c r="R515" i="14" s="1"/>
  <c r="R544" i="14" a="1"/>
  <c r="R544" i="14" s="1"/>
  <c r="R569" i="14" a="1"/>
  <c r="R569" i="14" s="1"/>
  <c r="R591" i="14" a="1"/>
  <c r="R591" i="14" s="1"/>
  <c r="R610" i="14" a="1"/>
  <c r="R610" i="14" s="1"/>
  <c r="R645" i="14" a="1"/>
  <c r="R645" i="14" s="1"/>
  <c r="R684" i="14" a="1"/>
  <c r="R684" i="14" s="1"/>
  <c r="R702" i="14" a="1"/>
  <c r="R702" i="14" s="1"/>
  <c r="R719" i="14" a="1"/>
  <c r="R719" i="14" s="1"/>
  <c r="R735" i="14" a="1"/>
  <c r="R735" i="14" s="1"/>
  <c r="R749" i="14" a="1"/>
  <c r="R749" i="14" s="1"/>
  <c r="R765" i="14" a="1"/>
  <c r="R765" i="14" s="1"/>
  <c r="R781" i="14" a="1"/>
  <c r="R781" i="14" s="1"/>
  <c r="R796" i="14" a="1"/>
  <c r="R796" i="14" s="1"/>
  <c r="R809" i="14" a="1"/>
  <c r="R809" i="14" s="1"/>
  <c r="R820" i="14" a="1"/>
  <c r="R820" i="14" s="1"/>
  <c r="R832" i="14" a="1"/>
  <c r="R832" i="14" s="1"/>
  <c r="R855" i="14" a="1"/>
  <c r="R855" i="14" s="1"/>
  <c r="R867" i="14" a="1"/>
  <c r="R867" i="14" s="1"/>
  <c r="R878" i="14" a="1"/>
  <c r="R878" i="14" s="1"/>
  <c r="R902" i="14" a="1"/>
  <c r="R902" i="14" s="1"/>
  <c r="R914" i="14" a="1"/>
  <c r="R914" i="14" s="1"/>
  <c r="R925" i="14" a="1"/>
  <c r="R925" i="14" s="1"/>
  <c r="R937" i="14" a="1"/>
  <c r="R937" i="14" s="1"/>
  <c r="R960" i="14" a="1"/>
  <c r="R960" i="14" s="1"/>
  <c r="R982" i="14" a="1"/>
  <c r="R982" i="14" s="1"/>
  <c r="R990" i="14" a="1"/>
  <c r="R990" i="14" s="1"/>
  <c r="R1009" i="14" a="1"/>
  <c r="R1009" i="14" s="1"/>
  <c r="R1020" i="14" a="1"/>
  <c r="R1020" i="14" s="1"/>
  <c r="R1026" i="14" a="1"/>
  <c r="R1026" i="14" s="1"/>
  <c r="R1031" i="14" a="1"/>
  <c r="R1031" i="14" s="1"/>
  <c r="R1036" i="14" a="1"/>
  <c r="R1036" i="14" s="1"/>
  <c r="R1042" i="14" a="1"/>
  <c r="R1042" i="14" s="1"/>
  <c r="R1052" i="14" a="1"/>
  <c r="R1052" i="14" s="1"/>
  <c r="R1057" i="14" a="1"/>
  <c r="R1057" i="14" s="1"/>
  <c r="R1062" i="14" a="1"/>
  <c r="R1062" i="14" s="1"/>
  <c r="R1067" i="14" a="1"/>
  <c r="R1067" i="14" s="1"/>
  <c r="R1077" i="14" a="1"/>
  <c r="R1077" i="14" s="1"/>
  <c r="R1083" i="14" a="1"/>
  <c r="R1083" i="14" s="1"/>
  <c r="R1098" i="14" a="1"/>
  <c r="R1098" i="14" s="1"/>
  <c r="R1103" i="14" a="1"/>
  <c r="R1103" i="14" s="1"/>
  <c r="R1108" i="14" a="1"/>
  <c r="R1108" i="14" s="1"/>
  <c r="R1112" i="14" a="1"/>
  <c r="R1112" i="14" s="1"/>
  <c r="R1116" i="14" a="1"/>
  <c r="R1116" i="14" s="1"/>
  <c r="R1121" i="14" a="1"/>
  <c r="R1121" i="14" s="1"/>
  <c r="R1130" i="14" a="1"/>
  <c r="R1130" i="14" s="1"/>
  <c r="R1139" i="14" a="1"/>
  <c r="R1139" i="14" s="1"/>
  <c r="R1148" i="14" a="1"/>
  <c r="R1148" i="14" s="1"/>
  <c r="R1153" i="14" a="1"/>
  <c r="R1153" i="14" s="1"/>
  <c r="R1162" i="14" a="1"/>
  <c r="R1162" i="14" s="1"/>
  <c r="R1171" i="14" a="1"/>
  <c r="R1171" i="14" s="1"/>
  <c r="R1180" i="14" a="1"/>
  <c r="R1180" i="14" s="1"/>
  <c r="R1185" i="14" a="1"/>
  <c r="R1185" i="14" s="1"/>
  <c r="R1194" i="14" a="1"/>
  <c r="R1194" i="14" s="1"/>
  <c r="L2" i="16" a="1"/>
  <c r="L2" i="16" s="1"/>
  <c r="R80" i="14" a="1"/>
  <c r="R80" i="14" s="1"/>
  <c r="R125" i="14" a="1"/>
  <c r="R125" i="14" s="1"/>
  <c r="R173" i="14" a="1"/>
  <c r="R173" i="14" s="1"/>
  <c r="R224" i="14" a="1"/>
  <c r="R224" i="14" s="1"/>
  <c r="R274" i="14" a="1"/>
  <c r="R274" i="14" s="1"/>
  <c r="R324" i="14" a="1"/>
  <c r="R324" i="14" s="1"/>
  <c r="R377" i="14" a="1"/>
  <c r="R377" i="14" s="1"/>
  <c r="R433" i="14" a="1"/>
  <c r="R433" i="14" s="1"/>
  <c r="R481" i="14" a="1"/>
  <c r="R481" i="14" s="1"/>
  <c r="R552" i="14" a="1"/>
  <c r="R552" i="14" s="1"/>
  <c r="R575" i="14" a="1"/>
  <c r="R575" i="14" s="1"/>
  <c r="R615" i="14" a="1"/>
  <c r="R615" i="14" s="1"/>
  <c r="R634" i="14" a="1"/>
  <c r="R634" i="14" s="1"/>
  <c r="R672" i="14" a="1"/>
  <c r="R672" i="14" s="1"/>
  <c r="R708" i="14" a="1"/>
  <c r="R708" i="14" s="1"/>
  <c r="R724" i="14" a="1"/>
  <c r="R724" i="14" s="1"/>
  <c r="R739" i="14" a="1"/>
  <c r="R739" i="14" s="1"/>
  <c r="R755" i="14" a="1"/>
  <c r="R755" i="14" s="1"/>
  <c r="R771" i="14" a="1"/>
  <c r="R771" i="14" s="1"/>
  <c r="R786" i="14" a="1"/>
  <c r="R786" i="14" s="1"/>
  <c r="R801" i="14" a="1"/>
  <c r="R801" i="14" s="1"/>
  <c r="R812" i="14" a="1"/>
  <c r="R812" i="14" s="1"/>
  <c r="R824" i="14" a="1"/>
  <c r="R824" i="14" s="1"/>
  <c r="R847" i="14" a="1"/>
  <c r="R847" i="14" s="1"/>
  <c r="R859" i="14" a="1"/>
  <c r="R859" i="14" s="1"/>
  <c r="R871" i="14" a="1"/>
  <c r="R871" i="14" s="1"/>
  <c r="R883" i="14" a="1"/>
  <c r="R883" i="14" s="1"/>
  <c r="R894" i="14" a="1"/>
  <c r="R894" i="14" s="1"/>
  <c r="R906" i="14" a="1"/>
  <c r="R906" i="14" s="1"/>
  <c r="R917" i="14" a="1"/>
  <c r="R917" i="14" s="1"/>
  <c r="R929" i="14" a="1"/>
  <c r="R929" i="14" s="1"/>
  <c r="R940" i="14" a="1"/>
  <c r="R940" i="14" s="1"/>
  <c r="R952" i="14" a="1"/>
  <c r="R952" i="14" s="1"/>
  <c r="R972" i="14" a="1"/>
  <c r="R972" i="14" s="1"/>
  <c r="R993" i="14" a="1"/>
  <c r="R993" i="14" s="1"/>
  <c r="R1001" i="14" a="1"/>
  <c r="R1001" i="14" s="1"/>
  <c r="R1010" i="14" a="1"/>
  <c r="R1010" i="14" s="1"/>
  <c r="R1015" i="14" a="1"/>
  <c r="R1015" i="14" s="1"/>
  <c r="R1032" i="14" a="1"/>
  <c r="R1032" i="14" s="1"/>
  <c r="R1047" i="14" a="1"/>
  <c r="R1047" i="14" s="1"/>
  <c r="R1058" i="14" a="1"/>
  <c r="R1058" i="14" s="1"/>
  <c r="R1063" i="14" a="1"/>
  <c r="R1063" i="14" s="1"/>
  <c r="R1073" i="14" a="1"/>
  <c r="R1073" i="14" s="1"/>
  <c r="R1078" i="14" a="1"/>
  <c r="R1078" i="14" s="1"/>
  <c r="R1088" i="14" a="1"/>
  <c r="R1088" i="14" s="1"/>
  <c r="R1093" i="14" a="1"/>
  <c r="R1093" i="14" s="1"/>
  <c r="R1104" i="14" a="1"/>
  <c r="R1104" i="14" s="1"/>
  <c r="R1117" i="14" a="1"/>
  <c r="R1117" i="14" s="1"/>
  <c r="R1126" i="14" a="1"/>
  <c r="R1126" i="14" s="1"/>
  <c r="R1135" i="14" a="1"/>
  <c r="R1135" i="14" s="1"/>
  <c r="R1144" i="14" a="1"/>
  <c r="R1144" i="14" s="1"/>
  <c r="R1149" i="14" a="1"/>
  <c r="R1149" i="14" s="1"/>
  <c r="R1158" i="14" a="1"/>
  <c r="R1158" i="14" s="1"/>
  <c r="R1167" i="14" a="1"/>
  <c r="R1167" i="14" s="1"/>
  <c r="R1176" i="14" a="1"/>
  <c r="R1176" i="14" s="1"/>
  <c r="R1181" i="14" a="1"/>
  <c r="R1181" i="14" s="1"/>
  <c r="R1190" i="14" a="1"/>
  <c r="R1190" i="14" s="1"/>
  <c r="R1199" i="14" a="1"/>
  <c r="R1199" i="14" s="1"/>
  <c r="R87" i="14" a="1"/>
  <c r="R87" i="14" s="1"/>
  <c r="R133" i="14" a="1"/>
  <c r="R133" i="14" s="1"/>
  <c r="R180" i="14" a="1"/>
  <c r="R180" i="14" s="1"/>
  <c r="R230" i="14" a="1"/>
  <c r="R230" i="14" s="1"/>
  <c r="R333" i="14" a="1"/>
  <c r="R333" i="14" s="1"/>
  <c r="R386" i="14" a="1"/>
  <c r="R386" i="14" s="1"/>
  <c r="R441" i="14" a="1"/>
  <c r="R441" i="14" s="1"/>
  <c r="R532" i="14" a="1"/>
  <c r="R532" i="14" s="1"/>
  <c r="R579" i="14" a="1"/>
  <c r="R579" i="14" s="1"/>
  <c r="R597" i="14" a="1"/>
  <c r="R597" i="14" s="1"/>
  <c r="R616" i="14" a="1"/>
  <c r="R616" i="14" s="1"/>
  <c r="R654" i="14" a="1"/>
  <c r="R654" i="14" s="1"/>
  <c r="R673" i="14" a="1"/>
  <c r="R673" i="14" s="1"/>
  <c r="R691" i="14" a="1"/>
  <c r="R691" i="14" s="1"/>
  <c r="R802" i="14" a="1"/>
  <c r="R802" i="14" s="1"/>
  <c r="R825" i="14" a="1"/>
  <c r="R825" i="14" s="1"/>
  <c r="R836" i="14" a="1"/>
  <c r="R836" i="14" s="1"/>
  <c r="R848" i="14" a="1"/>
  <c r="R848" i="14" s="1"/>
  <c r="R860" i="14" a="1"/>
  <c r="R860" i="14" s="1"/>
  <c r="R872" i="14" a="1"/>
  <c r="R872" i="14" s="1"/>
  <c r="R895" i="14" a="1"/>
  <c r="R895" i="14" s="1"/>
  <c r="R918" i="14" a="1"/>
  <c r="R918" i="14" s="1"/>
  <c r="R930" i="14" a="1"/>
  <c r="R930" i="14" s="1"/>
  <c r="R953" i="14" a="1"/>
  <c r="R953" i="14" s="1"/>
  <c r="R964" i="14" a="1"/>
  <c r="R964" i="14" s="1"/>
  <c r="R975" i="14" a="1"/>
  <c r="R975" i="14" s="1"/>
  <c r="R983" i="14" a="1"/>
  <c r="R983" i="14" s="1"/>
  <c r="R994" i="14" a="1"/>
  <c r="R994" i="14" s="1"/>
  <c r="R1002" i="14" a="1"/>
  <c r="R1002" i="14" s="1"/>
  <c r="R1011" i="14" a="1"/>
  <c r="R1011" i="14" s="1"/>
  <c r="R1016" i="14" a="1"/>
  <c r="R1016" i="14" s="1"/>
  <c r="R1021" i="14" a="1"/>
  <c r="R1021" i="14" s="1"/>
  <c r="R1027" i="14" a="1"/>
  <c r="R1027" i="14" s="1"/>
  <c r="R1037" i="14" a="1"/>
  <c r="R1037" i="14" s="1"/>
  <c r="R1043" i="14" a="1"/>
  <c r="R1043" i="14" s="1"/>
  <c r="R1048" i="14" a="1"/>
  <c r="R1048" i="14" s="1"/>
  <c r="R1053" i="14" a="1"/>
  <c r="R1053" i="14" s="1"/>
  <c r="R1068" i="14" a="1"/>
  <c r="R1068" i="14" s="1"/>
  <c r="R1074" i="14" a="1"/>
  <c r="R1074" i="14" s="1"/>
  <c r="R1084" i="14" a="1"/>
  <c r="R1084" i="14" s="1"/>
  <c r="R1089" i="14" a="1"/>
  <c r="R1089" i="14" s="1"/>
  <c r="R1094" i="14" a="1"/>
  <c r="R1094" i="14" s="1"/>
  <c r="R1099" i="14" a="1"/>
  <c r="R1099" i="14" s="1"/>
  <c r="R1109" i="14" a="1"/>
  <c r="R1109" i="14" s="1"/>
  <c r="R1113" i="14" a="1"/>
  <c r="R1113" i="14" s="1"/>
  <c r="R1122" i="14" a="1"/>
  <c r="R1122" i="14" s="1"/>
  <c r="R1131" i="14" a="1"/>
  <c r="R1131" i="14" s="1"/>
  <c r="R1140" i="14" a="1"/>
  <c r="R1140" i="14" s="1"/>
  <c r="R1145" i="14" a="1"/>
  <c r="R1145" i="14" s="1"/>
  <c r="R1154" i="14" a="1"/>
  <c r="R1154" i="14" s="1"/>
  <c r="R1163" i="14" a="1"/>
  <c r="R1163" i="14" s="1"/>
  <c r="R1172" i="14" a="1"/>
  <c r="R1172" i="14" s="1"/>
  <c r="R1177" i="14" a="1"/>
  <c r="R1177" i="14" s="1"/>
  <c r="R1186" i="14" a="1"/>
  <c r="R1186" i="14" s="1"/>
  <c r="R1195" i="14" a="1"/>
  <c r="R1195" i="14" s="1"/>
  <c r="R184" i="14" a="1"/>
  <c r="R184" i="14" s="1"/>
  <c r="R285" i="14" a="1"/>
  <c r="R285" i="14" s="1"/>
  <c r="R389" i="14" a="1"/>
  <c r="R389" i="14" s="1"/>
  <c r="R445" i="14" a="1"/>
  <c r="R445" i="14" s="1"/>
  <c r="R556" i="14" a="1"/>
  <c r="R556" i="14" s="1"/>
  <c r="R598" i="14" a="1"/>
  <c r="R598" i="14" s="1"/>
  <c r="R617" i="14" a="1"/>
  <c r="R617" i="14" s="1"/>
  <c r="R655" i="14" a="1"/>
  <c r="R655" i="14" s="1"/>
  <c r="R674" i="14" a="1"/>
  <c r="R674" i="14" s="1"/>
  <c r="R709" i="14" a="1"/>
  <c r="R709" i="14" s="1"/>
  <c r="R725" i="14" a="1"/>
  <c r="R725" i="14" s="1"/>
  <c r="R741" i="14" a="1"/>
  <c r="R741" i="14" s="1"/>
  <c r="R756" i="14" a="1"/>
  <c r="R756" i="14" s="1"/>
  <c r="R772" i="14" a="1"/>
  <c r="R772" i="14" s="1"/>
  <c r="R788" i="14" a="1"/>
  <c r="R788" i="14" s="1"/>
  <c r="R813" i="14" a="1"/>
  <c r="R813" i="14" s="1"/>
  <c r="R826" i="14" a="1"/>
  <c r="R826" i="14" s="1"/>
  <c r="R849" i="14" a="1"/>
  <c r="R849" i="14" s="1"/>
  <c r="R884" i="14" a="1"/>
  <c r="R884" i="14" s="1"/>
  <c r="R907" i="14" a="1"/>
  <c r="R907" i="14" s="1"/>
  <c r="R941" i="14" a="1"/>
  <c r="R941" i="14" s="1"/>
  <c r="R954" i="14" a="1"/>
  <c r="R954" i="14" s="1"/>
  <c r="R965" i="14" a="1"/>
  <c r="R965" i="14" s="1"/>
  <c r="R976" i="14" a="1"/>
  <c r="R976" i="14" s="1"/>
  <c r="R984" i="14" a="1"/>
  <c r="R984" i="14" s="1"/>
  <c r="R1004" i="14" a="1"/>
  <c r="R1004" i="14" s="1"/>
  <c r="R1017" i="14" a="1"/>
  <c r="R1017" i="14" s="1"/>
  <c r="R1022" i="14" a="1"/>
  <c r="R1022" i="14" s="1"/>
  <c r="R1033" i="14" a="1"/>
  <c r="R1033" i="14" s="1"/>
  <c r="R1038" i="14" a="1"/>
  <c r="R1038" i="14" s="1"/>
  <c r="R1049" i="14" a="1"/>
  <c r="R1049" i="14" s="1"/>
  <c r="R1054" i="14" a="1"/>
  <c r="R1054" i="14" s="1"/>
  <c r="R1059" i="14" a="1"/>
  <c r="R1059" i="14" s="1"/>
  <c r="R1064" i="14" a="1"/>
  <c r="R1064" i="14" s="1"/>
  <c r="R1079" i="14" a="1"/>
  <c r="R1079" i="14" s="1"/>
  <c r="R1090" i="14" a="1"/>
  <c r="R1090" i="14" s="1"/>
  <c r="R1095" i="14" a="1"/>
  <c r="R1095" i="14" s="1"/>
  <c r="R1105" i="14" a="1"/>
  <c r="R1105" i="14" s="1"/>
  <c r="R1118" i="14" a="1"/>
  <c r="R1118" i="14" s="1"/>
  <c r="R1127" i="14" a="1"/>
  <c r="R1127" i="14" s="1"/>
  <c r="R1136" i="14" a="1"/>
  <c r="R1136" i="14" s="1"/>
  <c r="R1141" i="14" a="1"/>
  <c r="R1141" i="14" s="1"/>
  <c r="R1150" i="14" a="1"/>
  <c r="R1150" i="14" s="1"/>
  <c r="R1159" i="14" a="1"/>
  <c r="R1159" i="14" s="1"/>
  <c r="R1168" i="14" a="1"/>
  <c r="R1168" i="14" s="1"/>
  <c r="R1173" i="14" a="1"/>
  <c r="R1173" i="14" s="1"/>
  <c r="R1182" i="14" a="1"/>
  <c r="R1182" i="14" s="1"/>
  <c r="R1191" i="14" a="1"/>
  <c r="R1191" i="14" s="1"/>
  <c r="R1200" i="14" a="1"/>
  <c r="R1200" i="14" s="1"/>
  <c r="R90" i="14" a="1"/>
  <c r="R90" i="14" s="1"/>
  <c r="R137" i="14" a="1"/>
  <c r="R137" i="14" s="1"/>
  <c r="R185" i="14" a="1"/>
  <c r="R185" i="14" s="1"/>
  <c r="R234" i="14" a="1"/>
  <c r="R234" i="14" s="1"/>
  <c r="R286" i="14" a="1"/>
  <c r="R286" i="14" s="1"/>
  <c r="R337" i="14" a="1"/>
  <c r="R337" i="14" s="1"/>
  <c r="R390" i="14" a="1"/>
  <c r="R390" i="14" s="1"/>
  <c r="R446" i="14" a="1"/>
  <c r="R446" i="14" s="1"/>
  <c r="R492" i="14" a="1"/>
  <c r="R492" i="14" s="1"/>
  <c r="R533" i="14" a="1"/>
  <c r="R533" i="14" s="1"/>
  <c r="R580" i="14" a="1"/>
  <c r="R580" i="14" s="1"/>
  <c r="R599" i="14" a="1"/>
  <c r="R599" i="14" s="1"/>
  <c r="R637" i="14" a="1"/>
  <c r="R637" i="14" s="1"/>
  <c r="R656" i="14" a="1"/>
  <c r="R656" i="14" s="1"/>
  <c r="R692" i="14" a="1"/>
  <c r="R692" i="14" s="1"/>
  <c r="R712" i="14" a="1"/>
  <c r="R712" i="14" s="1"/>
  <c r="R726" i="14" a="1"/>
  <c r="R726" i="14" s="1"/>
  <c r="R742" i="14" a="1"/>
  <c r="R742" i="14" s="1"/>
  <c r="R758" i="14" a="1"/>
  <c r="R758" i="14" s="1"/>
  <c r="R803" i="14" a="1"/>
  <c r="R803" i="14" s="1"/>
  <c r="R814" i="14" a="1"/>
  <c r="R814" i="14" s="1"/>
  <c r="R837" i="14" a="1"/>
  <c r="R837" i="14" s="1"/>
  <c r="R850" i="14" a="1"/>
  <c r="R850" i="14" s="1"/>
  <c r="R861" i="14" a="1"/>
  <c r="R861" i="14" s="1"/>
  <c r="R873" i="14" a="1"/>
  <c r="R873" i="14" s="1"/>
  <c r="R896" i="14" a="1"/>
  <c r="R896" i="14" s="1"/>
  <c r="R919" i="14" a="1"/>
  <c r="R919" i="14" s="1"/>
  <c r="R931" i="14" a="1"/>
  <c r="R931" i="14" s="1"/>
  <c r="R942" i="14" a="1"/>
  <c r="R942" i="14" s="1"/>
  <c r="R966" i="14" a="1"/>
  <c r="R966" i="14" s="1"/>
  <c r="R977" i="14" a="1"/>
  <c r="R977" i="14" s="1"/>
  <c r="R987" i="14" a="1"/>
  <c r="R987" i="14" s="1"/>
  <c r="R995" i="14" a="1"/>
  <c r="R995" i="14" s="1"/>
  <c r="R1012" i="14" a="1"/>
  <c r="R1012" i="14" s="1"/>
  <c r="R1018" i="14" a="1"/>
  <c r="R1018" i="14" s="1"/>
  <c r="R1023" i="14" a="1"/>
  <c r="R1023" i="14" s="1"/>
  <c r="R1028" i="14" a="1"/>
  <c r="R1028" i="14" s="1"/>
  <c r="R1034" i="14" a="1"/>
  <c r="R1034" i="14" s="1"/>
  <c r="R1039" i="14" a="1"/>
  <c r="R1039" i="14" s="1"/>
  <c r="R1044" i="14" a="1"/>
  <c r="R1044" i="14" s="1"/>
  <c r="R1050" i="14" a="1"/>
  <c r="R1050" i="14" s="1"/>
  <c r="R1069" i="14" a="1"/>
  <c r="R1069" i="14" s="1"/>
  <c r="R1075" i="14" a="1"/>
  <c r="R1075" i="14" s="1"/>
  <c r="R1080" i="14" a="1"/>
  <c r="R1080" i="14" s="1"/>
  <c r="R1085" i="14" a="1"/>
  <c r="R1085" i="14" s="1"/>
  <c r="R1100" i="14" a="1"/>
  <c r="R1100" i="14" s="1"/>
  <c r="R1106" i="14" a="1"/>
  <c r="R1106" i="14" s="1"/>
  <c r="R1110" i="14" a="1"/>
  <c r="R1110" i="14" s="1"/>
  <c r="R1114" i="14" a="1"/>
  <c r="R1114" i="14" s="1"/>
  <c r="R1123" i="14" a="1"/>
  <c r="R1123" i="14" s="1"/>
  <c r="R1132" i="14" a="1"/>
  <c r="R1132" i="14" s="1"/>
  <c r="R1137" i="14" a="1"/>
  <c r="R1137" i="14" s="1"/>
  <c r="R1146" i="14" a="1"/>
  <c r="R1146" i="14" s="1"/>
  <c r="R1155" i="14" a="1"/>
  <c r="R1155" i="14" s="1"/>
  <c r="R1164" i="14" a="1"/>
  <c r="R1164" i="14" s="1"/>
  <c r="R1169" i="14" a="1"/>
  <c r="R1169" i="14" s="1"/>
  <c r="R1178" i="14" a="1"/>
  <c r="R1178" i="14" s="1"/>
  <c r="R1187" i="14" a="1"/>
  <c r="R1187" i="14" s="1"/>
  <c r="R1196" i="14" a="1"/>
  <c r="R1196" i="14" s="1"/>
  <c r="R1201" i="14" a="1"/>
  <c r="R1201" i="14" s="1"/>
  <c r="L32" i="16" a="1"/>
  <c r="L32" i="16" s="1"/>
  <c r="L6" i="16" a="1"/>
  <c r="L6" i="16" s="1"/>
  <c r="L7" i="16" a="1"/>
  <c r="L7" i="16" s="1"/>
  <c r="L3" i="16" a="1"/>
  <c r="L3" i="16" s="1"/>
  <c r="L33" i="16" a="1"/>
  <c r="L33" i="16" s="1"/>
  <c r="L4" i="16" a="1"/>
  <c r="L4" i="16" s="1"/>
  <c r="A7" i="8"/>
  <c r="T6" i="24"/>
  <c r="T5" i="24"/>
  <c r="A2" i="8"/>
  <c r="F2" i="16" s="1"/>
  <c r="L8" i="16" l="1" a="1"/>
  <c r="L8" i="16" s="1"/>
  <c r="L5" i="16" a="1"/>
  <c r="L5" i="16" s="1"/>
  <c r="X5" i="24"/>
  <c r="L1110" i="14"/>
  <c r="L879" i="14"/>
  <c r="L943" i="14"/>
  <c r="L1007" i="14"/>
  <c r="L1071" i="14"/>
  <c r="L1135" i="14"/>
  <c r="L1199" i="14"/>
  <c r="L912" i="14"/>
  <c r="L976" i="14"/>
  <c r="L1040" i="14"/>
  <c r="L1104" i="14"/>
  <c r="L1168" i="14"/>
  <c r="L891" i="14"/>
  <c r="L977" i="14"/>
  <c r="L1061" i="14"/>
  <c r="L1147" i="14"/>
  <c r="L882" i="14"/>
  <c r="L966" i="14"/>
  <c r="L1052" i="14"/>
  <c r="L1138" i="14"/>
  <c r="L883" i="14"/>
  <c r="L969" i="14"/>
  <c r="L1053" i="14"/>
  <c r="L1139" i="14"/>
  <c r="L884" i="14"/>
  <c r="L970" i="14"/>
  <c r="L1054" i="14"/>
  <c r="L1140" i="14"/>
  <c r="L908" i="14"/>
  <c r="L1078" i="14"/>
  <c r="L909" i="14"/>
  <c r="L1081" i="14"/>
  <c r="L910" i="14"/>
  <c r="L1082" i="14"/>
  <c r="L917" i="14"/>
  <c r="L854" i="14"/>
  <c r="L1026" i="14"/>
  <c r="L963" i="14"/>
  <c r="L907" i="14"/>
  <c r="L1077" i="14"/>
  <c r="L1131" i="14"/>
  <c r="L1133" i="14"/>
  <c r="L1114" i="14"/>
  <c r="L1195" i="14"/>
  <c r="W5" i="24"/>
  <c r="Y5" i="24" s="1"/>
  <c r="L887" i="14"/>
  <c r="L951" i="14"/>
  <c r="L1015" i="14"/>
  <c r="L1079" i="14"/>
  <c r="L1143" i="14"/>
  <c r="L856" i="14"/>
  <c r="L920" i="14"/>
  <c r="L984" i="14"/>
  <c r="L1048" i="14"/>
  <c r="L1112" i="14"/>
  <c r="L1176" i="14"/>
  <c r="L901" i="14"/>
  <c r="L987" i="14"/>
  <c r="L1073" i="14"/>
  <c r="L1157" i="14"/>
  <c r="L892" i="14"/>
  <c r="L978" i="14"/>
  <c r="L1062" i="14"/>
  <c r="L1148" i="14"/>
  <c r="L893" i="14"/>
  <c r="L979" i="14"/>
  <c r="L1065" i="14"/>
  <c r="L1149" i="14"/>
  <c r="L894" i="14"/>
  <c r="L980" i="14"/>
  <c r="L1066" i="14"/>
  <c r="L1150" i="14"/>
  <c r="L930" i="14"/>
  <c r="L1100" i="14"/>
  <c r="L931" i="14"/>
  <c r="L1101" i="14"/>
  <c r="L932" i="14"/>
  <c r="L1102" i="14"/>
  <c r="L939" i="14"/>
  <c r="L876" i="14"/>
  <c r="L1046" i="14"/>
  <c r="L985" i="14"/>
  <c r="L929" i="14"/>
  <c r="L1099" i="14"/>
  <c r="L1173" i="14"/>
  <c r="L1177" i="14"/>
  <c r="L1156" i="14"/>
  <c r="L1050" i="14"/>
  <c r="L895" i="14"/>
  <c r="L959" i="14"/>
  <c r="L1023" i="14"/>
  <c r="L1087" i="14"/>
  <c r="L1151" i="14"/>
  <c r="L864" i="14"/>
  <c r="L928" i="14"/>
  <c r="L992" i="14"/>
  <c r="L1056" i="14"/>
  <c r="L1120" i="14"/>
  <c r="L1184" i="14"/>
  <c r="L913" i="14"/>
  <c r="L997" i="14"/>
  <c r="L1083" i="14"/>
  <c r="L1169" i="14"/>
  <c r="L902" i="14"/>
  <c r="L988" i="14"/>
  <c r="L1074" i="14"/>
  <c r="L1158" i="14"/>
  <c r="L905" i="14"/>
  <c r="L989" i="14"/>
  <c r="L1075" i="14"/>
  <c r="L903" i="14"/>
  <c r="L967" i="14"/>
  <c r="L1031" i="14"/>
  <c r="L1095" i="14"/>
  <c r="L1159" i="14"/>
  <c r="L872" i="14"/>
  <c r="L936" i="14"/>
  <c r="L1000" i="14"/>
  <c r="L1064" i="14"/>
  <c r="L1128" i="14"/>
  <c r="L1192" i="14"/>
  <c r="L923" i="14"/>
  <c r="L1009" i="14"/>
  <c r="L1093" i="14"/>
  <c r="L1179" i="14"/>
  <c r="L914" i="14"/>
  <c r="L998" i="14"/>
  <c r="L1084" i="14"/>
  <c r="L1170" i="14"/>
  <c r="L915" i="14"/>
  <c r="L1001" i="14"/>
  <c r="L1113" i="14"/>
  <c r="L911" i="14"/>
  <c r="L975" i="14"/>
  <c r="L1039" i="14"/>
  <c r="L1103" i="14"/>
  <c r="L1167" i="14"/>
  <c r="L880" i="14"/>
  <c r="L944" i="14"/>
  <c r="L1008" i="14"/>
  <c r="L1072" i="14"/>
  <c r="L1136" i="14"/>
  <c r="L1200" i="14"/>
  <c r="L933" i="14"/>
  <c r="L1019" i="14"/>
  <c r="L1105" i="14"/>
  <c r="L1189" i="14"/>
  <c r="L924" i="14"/>
  <c r="L1010" i="14"/>
  <c r="L1094" i="14"/>
  <c r="L1180" i="14"/>
  <c r="L925" i="14"/>
  <c r="L1011" i="14"/>
  <c r="L855" i="14"/>
  <c r="L919" i="14"/>
  <c r="L983" i="14"/>
  <c r="L1047" i="14"/>
  <c r="L1111" i="14"/>
  <c r="L1175" i="14"/>
  <c r="L888" i="14"/>
  <c r="L952" i="14"/>
  <c r="L1016" i="14"/>
  <c r="L1080" i="14"/>
  <c r="L1144" i="14"/>
  <c r="L859" i="14"/>
  <c r="L945" i="14"/>
  <c r="L1029" i="14"/>
  <c r="L1115" i="14"/>
  <c r="L1201" i="14"/>
  <c r="L934" i="14"/>
  <c r="L1020" i="14"/>
  <c r="L1106" i="14"/>
  <c r="L1190" i="14"/>
  <c r="L937" i="14"/>
  <c r="L1021" i="14"/>
  <c r="L863" i="14"/>
  <c r="L927" i="14"/>
  <c r="L991" i="14"/>
  <c r="L1055" i="14"/>
  <c r="L1119" i="14"/>
  <c r="L1183" i="14"/>
  <c r="L896" i="14"/>
  <c r="L960" i="14"/>
  <c r="L1024" i="14"/>
  <c r="L1088" i="14"/>
  <c r="L1152" i="14"/>
  <c r="L869" i="14"/>
  <c r="L955" i="14"/>
  <c r="L1041" i="14"/>
  <c r="L1125" i="14"/>
  <c r="L860" i="14"/>
  <c r="L946" i="14"/>
  <c r="L1030" i="14"/>
  <c r="L1116" i="14"/>
  <c r="L861" i="14"/>
  <c r="L947" i="14"/>
  <c r="L1033" i="14"/>
  <c r="L1117" i="14"/>
  <c r="L862" i="14"/>
  <c r="L948" i="14"/>
  <c r="L1034" i="14"/>
  <c r="L1118" i="14"/>
  <c r="L866" i="14"/>
  <c r="L1036" i="14"/>
  <c r="L867" i="14"/>
  <c r="L1037" i="14"/>
  <c r="L868" i="14"/>
  <c r="L1038" i="14"/>
  <c r="L875" i="14"/>
  <c r="L1045" i="14"/>
  <c r="L982" i="14"/>
  <c r="L921" i="14"/>
  <c r="L865" i="14"/>
  <c r="L1035" i="14"/>
  <c r="L922" i="14"/>
  <c r="L964" i="14"/>
  <c r="L900" i="14"/>
  <c r="L1155" i="14"/>
  <c r="L1153" i="14"/>
  <c r="L871" i="14"/>
  <c r="L935" i="14"/>
  <c r="L999" i="14"/>
  <c r="L1063" i="14"/>
  <c r="L1127" i="14"/>
  <c r="L1191" i="14"/>
  <c r="L904" i="14"/>
  <c r="L968" i="14"/>
  <c r="L1032" i="14"/>
  <c r="L1096" i="14"/>
  <c r="L1160" i="14"/>
  <c r="L881" i="14"/>
  <c r="L965" i="14"/>
  <c r="L1051" i="14"/>
  <c r="L1137" i="14"/>
  <c r="L870" i="14"/>
  <c r="L956" i="14"/>
  <c r="L1042" i="14"/>
  <c r="L1126" i="14"/>
  <c r="L873" i="14"/>
  <c r="L957" i="14"/>
  <c r="L1043" i="14"/>
  <c r="L1129" i="14"/>
  <c r="L874" i="14"/>
  <c r="L958" i="14"/>
  <c r="L1044" i="14"/>
  <c r="L1130" i="14"/>
  <c r="L886" i="14"/>
  <c r="L1058" i="14"/>
  <c r="L889" i="14"/>
  <c r="L1059" i="14"/>
  <c r="L890" i="14"/>
  <c r="L1060" i="14"/>
  <c r="L897" i="14"/>
  <c r="L1067" i="14"/>
  <c r="L1004" i="14"/>
  <c r="L941" i="14"/>
  <c r="L885" i="14"/>
  <c r="L1057" i="14"/>
  <c r="L1089" i="14"/>
  <c r="L1091" i="14"/>
  <c r="L1070" i="14"/>
  <c r="L1028" i="14"/>
  <c r="L906" i="14"/>
  <c r="L1076" i="14"/>
  <c r="L950" i="14"/>
  <c r="L953" i="14"/>
  <c r="L954" i="14"/>
  <c r="L961" i="14"/>
  <c r="L1068" i="14"/>
  <c r="L949" i="14"/>
  <c r="L942" i="14"/>
  <c r="L1198" i="14"/>
  <c r="L1107" i="14"/>
  <c r="L1018" i="14"/>
  <c r="L1006" i="14"/>
  <c r="L1161" i="14"/>
  <c r="L1123" i="14"/>
  <c r="L986" i="14"/>
  <c r="L1142" i="14"/>
  <c r="L918" i="14"/>
  <c r="L1109" i="14"/>
  <c r="L1182" i="14"/>
  <c r="L1049" i="14"/>
  <c r="L1085" i="14"/>
  <c r="L916" i="14"/>
  <c r="L1086" i="14"/>
  <c r="L972" i="14"/>
  <c r="L973" i="14"/>
  <c r="L974" i="14"/>
  <c r="L981" i="14"/>
  <c r="L857" i="14"/>
  <c r="L971" i="14"/>
  <c r="L1090" i="14"/>
  <c r="L878" i="14"/>
  <c r="L938" i="14"/>
  <c r="L1025" i="14"/>
  <c r="L1174" i="14"/>
  <c r="L1162" i="14"/>
  <c r="L898" i="14"/>
  <c r="L1196" i="14"/>
  <c r="L1171" i="14"/>
  <c r="L1145" i="14"/>
  <c r="L1141" i="14"/>
  <c r="L1164" i="14"/>
  <c r="L940" i="14"/>
  <c r="L1197" i="14"/>
  <c r="L1097" i="14"/>
  <c r="L926" i="14"/>
  <c r="L1098" i="14"/>
  <c r="L994" i="14"/>
  <c r="L995" i="14"/>
  <c r="L996" i="14"/>
  <c r="L1003" i="14"/>
  <c r="L877" i="14"/>
  <c r="L993" i="14"/>
  <c r="L1132" i="14"/>
  <c r="L1154" i="14"/>
  <c r="L1014" i="14"/>
  <c r="L1017" i="14"/>
  <c r="L1013" i="14"/>
  <c r="L990" i="14"/>
  <c r="L1124" i="14"/>
  <c r="L1121" i="14"/>
  <c r="L1002" i="14"/>
  <c r="L1146" i="14"/>
  <c r="L1092" i="14"/>
  <c r="L1181" i="14"/>
  <c r="L1166" i="14"/>
  <c r="L1134" i="14"/>
  <c r="L1193" i="14"/>
  <c r="L1022" i="14"/>
  <c r="L1194" i="14"/>
  <c r="L1186" i="14"/>
  <c r="L1187" i="14"/>
  <c r="L1188" i="14"/>
  <c r="L962" i="14"/>
  <c r="L1069" i="14"/>
  <c r="L1185" i="14"/>
  <c r="L1178" i="14"/>
  <c r="L858" i="14"/>
  <c r="L1108" i="14"/>
  <c r="L899" i="14"/>
  <c r="L1122" i="14"/>
  <c r="L1005" i="14"/>
  <c r="L1172" i="14"/>
  <c r="L1027" i="14"/>
  <c r="L1012" i="14"/>
  <c r="L1165" i="14"/>
  <c r="L1163" i="14"/>
  <c r="X6" i="24"/>
  <c r="M863" i="14"/>
  <c r="M927" i="14"/>
  <c r="M991" i="14"/>
  <c r="M1055" i="14"/>
  <c r="M1119" i="14"/>
  <c r="M1183" i="14"/>
  <c r="M896" i="14"/>
  <c r="M960" i="14"/>
  <c r="M1024" i="14"/>
  <c r="M1088" i="14"/>
  <c r="M865" i="14"/>
  <c r="M949" i="14"/>
  <c r="M1035" i="14"/>
  <c r="M1121" i="14"/>
  <c r="M1197" i="14"/>
  <c r="M930" i="14"/>
  <c r="M1014" i="14"/>
  <c r="M1100" i="14"/>
  <c r="M1180" i="14"/>
  <c r="M909" i="14"/>
  <c r="M995" i="14"/>
  <c r="M1081" i="14"/>
  <c r="M1163" i="14"/>
  <c r="M894" i="14"/>
  <c r="M980" i="14"/>
  <c r="M1066" i="14"/>
  <c r="M1150" i="14"/>
  <c r="M910" i="14"/>
  <c r="M1082" i="14"/>
  <c r="M891" i="14"/>
  <c r="M1061" i="14"/>
  <c r="M892" i="14"/>
  <c r="M1062" i="14"/>
  <c r="M883" i="14"/>
  <c r="M1053" i="14"/>
  <c r="M882" i="14"/>
  <c r="M893" i="14"/>
  <c r="M858" i="14"/>
  <c r="M1192" i="14"/>
  <c r="M1156" i="14"/>
  <c r="M1116" i="14"/>
  <c r="M871" i="14"/>
  <c r="M935" i="14"/>
  <c r="M999" i="14"/>
  <c r="M1063" i="14"/>
  <c r="M1127" i="14"/>
  <c r="M1191" i="14"/>
  <c r="M904" i="14"/>
  <c r="M968" i="14"/>
  <c r="M1032" i="14"/>
  <c r="M1096" i="14"/>
  <c r="M875" i="14"/>
  <c r="M961" i="14"/>
  <c r="M1045" i="14"/>
  <c r="M1131" i="14"/>
  <c r="M854" i="14"/>
  <c r="M940" i="14"/>
  <c r="M1026" i="14"/>
  <c r="M1110" i="14"/>
  <c r="M1189" i="14"/>
  <c r="M921" i="14"/>
  <c r="M1005" i="14"/>
  <c r="M1091" i="14"/>
  <c r="M1172" i="14"/>
  <c r="M906" i="14"/>
  <c r="M990" i="14"/>
  <c r="M1076" i="14"/>
  <c r="M1160" i="14"/>
  <c r="M932" i="14"/>
  <c r="M1102" i="14"/>
  <c r="M913" i="14"/>
  <c r="M1083" i="14"/>
  <c r="M914" i="14"/>
  <c r="M1084" i="14"/>
  <c r="M905" i="14"/>
  <c r="M1075" i="14"/>
  <c r="M924" i="14"/>
  <c r="M937" i="14"/>
  <c r="M900" i="14"/>
  <c r="M859" i="14"/>
  <c r="M1193" i="14"/>
  <c r="M1157" i="14"/>
  <c r="W6" i="24"/>
  <c r="Y6" i="24" s="1"/>
  <c r="M911" i="14"/>
  <c r="M975" i="14"/>
  <c r="M1039" i="14"/>
  <c r="M1103" i="14"/>
  <c r="M1167" i="14"/>
  <c r="M880" i="14"/>
  <c r="M944" i="14"/>
  <c r="M1008" i="14"/>
  <c r="M1072" i="14"/>
  <c r="M1136" i="14"/>
  <c r="M929" i="14"/>
  <c r="M1013" i="14"/>
  <c r="M1099" i="14"/>
  <c r="M1179" i="14"/>
  <c r="M908" i="14"/>
  <c r="M994" i="14"/>
  <c r="M1078" i="14"/>
  <c r="M1162" i="14"/>
  <c r="M889" i="14"/>
  <c r="M973" i="14"/>
  <c r="M1059" i="14"/>
  <c r="M1145" i="14"/>
  <c r="M874" i="14"/>
  <c r="M958" i="14"/>
  <c r="M1044" i="14"/>
  <c r="M1130" i="14"/>
  <c r="M868" i="14"/>
  <c r="M1038" i="14"/>
  <c r="M1201" i="14"/>
  <c r="M1019" i="14"/>
  <c r="M1184" i="14"/>
  <c r="M1020" i="14"/>
  <c r="M1185" i="14"/>
  <c r="M1011" i="14"/>
  <c r="M1177" i="14"/>
  <c r="M1138" i="14"/>
  <c r="M1149" i="14"/>
  <c r="M1114" i="14"/>
  <c r="M1073" i="14"/>
  <c r="M1030" i="14"/>
  <c r="M957" i="14"/>
  <c r="M855" i="14"/>
  <c r="M919" i="14"/>
  <c r="M983" i="14"/>
  <c r="M1047" i="14"/>
  <c r="M1111" i="14"/>
  <c r="M1175" i="14"/>
  <c r="M888" i="14"/>
  <c r="M952" i="14"/>
  <c r="M1016" i="14"/>
  <c r="M1080" i="14"/>
  <c r="M1144" i="14"/>
  <c r="M939" i="14"/>
  <c r="M1025" i="14"/>
  <c r="M1109" i="14"/>
  <c r="M1188" i="14"/>
  <c r="M918" i="14"/>
  <c r="M1004" i="14"/>
  <c r="M1090" i="14"/>
  <c r="M1171" i="14"/>
  <c r="M899" i="14"/>
  <c r="M985" i="14"/>
  <c r="M1069" i="14"/>
  <c r="M1154" i="14"/>
  <c r="M884" i="14"/>
  <c r="M970" i="14"/>
  <c r="M1054" i="14"/>
  <c r="M1140" i="14"/>
  <c r="M890" i="14"/>
  <c r="M1060" i="14"/>
  <c r="M869" i="14"/>
  <c r="M1041" i="14"/>
  <c r="M870" i="14"/>
  <c r="M1042" i="14"/>
  <c r="M861" i="14"/>
  <c r="M1033" i="14"/>
  <c r="M1195" i="14"/>
  <c r="M1176" i="14"/>
  <c r="M1186" i="14"/>
  <c r="M1155" i="14"/>
  <c r="M1115" i="14"/>
  <c r="M1074" i="14"/>
  <c r="M1051" i="14"/>
  <c r="M879" i="14"/>
  <c r="M1007" i="14"/>
  <c r="M1135" i="14"/>
  <c r="M912" i="14"/>
  <c r="M1040" i="14"/>
  <c r="M885" i="14"/>
  <c r="M1057" i="14"/>
  <c r="M866" i="14"/>
  <c r="M1036" i="14"/>
  <c r="M1198" i="14"/>
  <c r="M1017" i="14"/>
  <c r="M1181" i="14"/>
  <c r="M1002" i="14"/>
  <c r="M1169" i="14"/>
  <c r="M1124" i="14"/>
  <c r="M1105" i="14"/>
  <c r="M1106" i="14"/>
  <c r="M1097" i="14"/>
  <c r="M979" i="14"/>
  <c r="M901" i="14"/>
  <c r="M1194" i="14"/>
  <c r="M873" i="14"/>
  <c r="M1129" i="14"/>
  <c r="M1146" i="14"/>
  <c r="M1126" i="14"/>
  <c r="M1021" i="14"/>
  <c r="M923" i="14"/>
  <c r="M915" i="14"/>
  <c r="M928" i="14"/>
  <c r="M886" i="14"/>
  <c r="M1200" i="14"/>
  <c r="M1164" i="14"/>
  <c r="M1139" i="14"/>
  <c r="M1050" i="14"/>
  <c r="M936" i="14"/>
  <c r="M898" i="14"/>
  <c r="M862" i="14"/>
  <c r="M1165" i="14"/>
  <c r="M1029" i="14"/>
  <c r="M1199" i="14"/>
  <c r="M1141" i="14"/>
  <c r="M1101" i="14"/>
  <c r="M933" i="14"/>
  <c r="M942" i="14"/>
  <c r="M1137" i="14"/>
  <c r="M1112" i="14"/>
  <c r="M941" i="14"/>
  <c r="M974" i="14"/>
  <c r="M1010" i="14"/>
  <c r="M1093" i="14"/>
  <c r="M959" i="14"/>
  <c r="M1120" i="14"/>
  <c r="M953" i="14"/>
  <c r="M996" i="14"/>
  <c r="M1052" i="14"/>
  <c r="M881" i="14"/>
  <c r="M887" i="14"/>
  <c r="M1015" i="14"/>
  <c r="M1143" i="14"/>
  <c r="M920" i="14"/>
  <c r="M1048" i="14"/>
  <c r="M897" i="14"/>
  <c r="M1067" i="14"/>
  <c r="M876" i="14"/>
  <c r="M1046" i="14"/>
  <c r="M857" i="14"/>
  <c r="M1027" i="14"/>
  <c r="M1190" i="14"/>
  <c r="M1012" i="14"/>
  <c r="M1178" i="14"/>
  <c r="M1125" i="14"/>
  <c r="M1117" i="14"/>
  <c r="M945" i="14"/>
  <c r="M965" i="14"/>
  <c r="M907" i="14"/>
  <c r="M1058" i="14"/>
  <c r="M1037" i="14"/>
  <c r="M1187" i="14"/>
  <c r="M1148" i="14"/>
  <c r="M987" i="14"/>
  <c r="M922" i="14"/>
  <c r="M1031" i="14"/>
  <c r="M917" i="14"/>
  <c r="M877" i="14"/>
  <c r="M1196" i="14"/>
  <c r="M1158" i="14"/>
  <c r="M878" i="14"/>
  <c r="M976" i="14"/>
  <c r="M950" i="14"/>
  <c r="M916" i="14"/>
  <c r="M934" i="14"/>
  <c r="M860" i="14"/>
  <c r="M1079" i="14"/>
  <c r="M1152" i="14"/>
  <c r="M1113" i="14"/>
  <c r="M955" i="14"/>
  <c r="M986" i="14"/>
  <c r="M1009" i="14"/>
  <c r="M992" i="14"/>
  <c r="M972" i="14"/>
  <c r="M938" i="14"/>
  <c r="M978" i="14"/>
  <c r="M1085" i="14"/>
  <c r="M895" i="14"/>
  <c r="M1023" i="14"/>
  <c r="M1151" i="14"/>
  <c r="M1056" i="14"/>
  <c r="M1077" i="14"/>
  <c r="M867" i="14"/>
  <c r="M1022" i="14"/>
  <c r="M1147" i="14"/>
  <c r="M1065" i="14"/>
  <c r="M1092" i="14"/>
  <c r="M903" i="14"/>
  <c r="M1064" i="14"/>
  <c r="M1068" i="14"/>
  <c r="M1034" i="14"/>
  <c r="M1166" i="14"/>
  <c r="M1168" i="14"/>
  <c r="M1071" i="14"/>
  <c r="M971" i="14"/>
  <c r="M1122" i="14"/>
  <c r="M1086" i="14"/>
  <c r="M925" i="14"/>
  <c r="M1173" i="14"/>
  <c r="M856" i="14"/>
  <c r="M981" i="14"/>
  <c r="M1132" i="14"/>
  <c r="M1098" i="14"/>
  <c r="M947" i="14"/>
  <c r="M902" i="14"/>
  <c r="M864" i="14"/>
  <c r="M1161" i="14"/>
  <c r="M1123" i="14"/>
  <c r="M977" i="14"/>
  <c r="M1028" i="14"/>
  <c r="M1134" i="14"/>
  <c r="M967" i="14"/>
  <c r="M1095" i="14"/>
  <c r="M872" i="14"/>
  <c r="M1000" i="14"/>
  <c r="M1128" i="14"/>
  <c r="M1003" i="14"/>
  <c r="M1170" i="14"/>
  <c r="M982" i="14"/>
  <c r="M1153" i="14"/>
  <c r="M963" i="14"/>
  <c r="M1133" i="14"/>
  <c r="M948" i="14"/>
  <c r="M1118" i="14"/>
  <c r="M1018" i="14"/>
  <c r="M997" i="14"/>
  <c r="M998" i="14"/>
  <c r="M989" i="14"/>
  <c r="M1094" i="14"/>
  <c r="M1070" i="14"/>
  <c r="M988" i="14"/>
  <c r="M1174" i="14"/>
  <c r="M1006" i="14"/>
  <c r="M1159" i="14"/>
  <c r="M1089" i="14"/>
  <c r="M1049" i="14"/>
  <c r="M1182" i="14"/>
  <c r="M1107" i="14"/>
  <c r="M1043" i="14"/>
  <c r="M943" i="14"/>
  <c r="M1104" i="14"/>
  <c r="M931" i="14"/>
  <c r="M954" i="14"/>
  <c r="M966" i="14"/>
  <c r="M1001" i="14"/>
  <c r="M951" i="14"/>
  <c r="M984" i="14"/>
  <c r="M962" i="14"/>
  <c r="M926" i="14"/>
  <c r="M956" i="14"/>
  <c r="M964" i="14"/>
  <c r="M1087" i="14"/>
  <c r="M993" i="14"/>
  <c r="M1142" i="14"/>
  <c r="M1108" i="14"/>
  <c r="M969" i="14"/>
  <c r="M946" i="14"/>
  <c r="F35" i="16"/>
  <c r="F36" i="16"/>
  <c r="F37" i="16"/>
  <c r="F13" i="16"/>
  <c r="F20" i="16"/>
  <c r="F27" i="16"/>
  <c r="F3" i="16"/>
  <c r="E6" i="7"/>
  <c r="F6" i="7" s="1"/>
  <c r="F12" i="2"/>
  <c r="R8" i="7"/>
  <c r="M3" i="24"/>
  <c r="L231" i="14"/>
  <c r="L295" i="14"/>
  <c r="L359" i="14"/>
  <c r="L220" i="14"/>
  <c r="L293" i="14"/>
  <c r="L366" i="14"/>
  <c r="L203" i="14"/>
  <c r="L276" i="14"/>
  <c r="L349" i="14"/>
  <c r="L186" i="14"/>
  <c r="L259" i="14"/>
  <c r="L332" i="14"/>
  <c r="L402" i="14"/>
  <c r="L205" i="14"/>
  <c r="L325" i="14"/>
  <c r="L423" i="14"/>
  <c r="L487" i="14"/>
  <c r="L551" i="14"/>
  <c r="L615" i="14"/>
  <c r="L679" i="14"/>
  <c r="L743" i="14"/>
  <c r="L807" i="14"/>
  <c r="L269" i="14"/>
  <c r="L383" i="14"/>
  <c r="L456" i="14"/>
  <c r="L520" i="14"/>
  <c r="L584" i="14"/>
  <c r="L648" i="14"/>
  <c r="L712" i="14"/>
  <c r="L776" i="14"/>
  <c r="L840" i="14"/>
  <c r="L208" i="14"/>
  <c r="L328" i="14"/>
  <c r="L425" i="14"/>
  <c r="L489" i="14"/>
  <c r="L553" i="14"/>
  <c r="L617" i="14"/>
  <c r="L681" i="14"/>
  <c r="L745" i="14"/>
  <c r="L235" i="14"/>
  <c r="L353" i="14"/>
  <c r="L438" i="14"/>
  <c r="L502" i="14"/>
  <c r="L566" i="14"/>
  <c r="L630" i="14"/>
  <c r="L694" i="14"/>
  <c r="L278" i="14"/>
  <c r="L461" i="14"/>
  <c r="L589" i="14"/>
  <c r="L717" i="14"/>
  <c r="L817" i="14"/>
  <c r="L288" i="14"/>
  <c r="L466" i="14"/>
  <c r="L594" i="14"/>
  <c r="L722" i="14"/>
  <c r="L818" i="14"/>
  <c r="L317" i="14"/>
  <c r="L483" i="14"/>
  <c r="L611" i="14"/>
  <c r="L738" i="14"/>
  <c r="L829" i="14"/>
  <c r="L347" i="14"/>
  <c r="L500" i="14"/>
  <c r="L628" i="14"/>
  <c r="L750" i="14"/>
  <c r="L842" i="14"/>
  <c r="L410" i="14"/>
  <c r="L666" i="14"/>
  <c r="L243" i="14"/>
  <c r="L571" i="14"/>
  <c r="L803" i="14"/>
  <c r="L476" i="14"/>
  <c r="L732" i="14"/>
  <c r="L320" i="14"/>
  <c r="L613" i="14"/>
  <c r="L833" i="14"/>
  <c r="L426" i="14"/>
  <c r="L682" i="14"/>
  <c r="L491" i="14"/>
  <c r="L742" i="14"/>
  <c r="L214" i="14"/>
  <c r="L565" i="14"/>
  <c r="L801" i="14"/>
  <c r="L175" i="14"/>
  <c r="L239" i="14"/>
  <c r="L303" i="14"/>
  <c r="L367" i="14"/>
  <c r="L229" i="14"/>
  <c r="L302" i="14"/>
  <c r="L376" i="14"/>
  <c r="L212" i="14"/>
  <c r="L285" i="14"/>
  <c r="L358" i="14"/>
  <c r="L195" i="14"/>
  <c r="L268" i="14"/>
  <c r="L341" i="14"/>
  <c r="L173" i="14"/>
  <c r="L224" i="14"/>
  <c r="L338" i="14"/>
  <c r="L431" i="14"/>
  <c r="L495" i="14"/>
  <c r="L559" i="14"/>
  <c r="L623" i="14"/>
  <c r="L687" i="14"/>
  <c r="L751" i="14"/>
  <c r="L815" i="14"/>
  <c r="L282" i="14"/>
  <c r="L397" i="14"/>
  <c r="L464" i="14"/>
  <c r="L528" i="14"/>
  <c r="L592" i="14"/>
  <c r="L656" i="14"/>
  <c r="L720" i="14"/>
  <c r="L784" i="14"/>
  <c r="L848" i="14"/>
  <c r="L226" i="14"/>
  <c r="L344" i="14"/>
  <c r="L433" i="14"/>
  <c r="L497" i="14"/>
  <c r="L561" i="14"/>
  <c r="L625" i="14"/>
  <c r="L689" i="14"/>
  <c r="L753" i="14"/>
  <c r="L251" i="14"/>
  <c r="L365" i="14"/>
  <c r="L446" i="14"/>
  <c r="L510" i="14"/>
  <c r="L574" i="14"/>
  <c r="L638" i="14"/>
  <c r="L702" i="14"/>
  <c r="L307" i="14"/>
  <c r="L477" i="14"/>
  <c r="L605" i="14"/>
  <c r="L733" i="14"/>
  <c r="L827" i="14"/>
  <c r="L316" i="14"/>
  <c r="L482" i="14"/>
  <c r="L610" i="14"/>
  <c r="L734" i="14"/>
  <c r="L828" i="14"/>
  <c r="L346" i="14"/>
  <c r="L499" i="14"/>
  <c r="L627" i="14"/>
  <c r="L749" i="14"/>
  <c r="L841" i="14"/>
  <c r="L379" i="14"/>
  <c r="L516" i="14"/>
  <c r="L644" i="14"/>
  <c r="L764" i="14"/>
  <c r="L852" i="14"/>
  <c r="L442" i="14"/>
  <c r="L698" i="14"/>
  <c r="L301" i="14"/>
  <c r="L603" i="14"/>
  <c r="L825" i="14"/>
  <c r="L508" i="14"/>
  <c r="L757" i="14"/>
  <c r="L380" i="14"/>
  <c r="L645" i="14"/>
  <c r="L853" i="14"/>
  <c r="L458" i="14"/>
  <c r="L714" i="14"/>
  <c r="L523" i="14"/>
  <c r="L770" i="14"/>
  <c r="L291" i="14"/>
  <c r="L597" i="14"/>
  <c r="L821" i="14"/>
  <c r="L524" i="14"/>
  <c r="L183" i="14"/>
  <c r="L247" i="14"/>
  <c r="L311" i="14"/>
  <c r="L375" i="14"/>
  <c r="L238" i="14"/>
  <c r="L312" i="14"/>
  <c r="L384" i="14"/>
  <c r="L221" i="14"/>
  <c r="L294" i="14"/>
  <c r="L368" i="14"/>
  <c r="L204" i="14"/>
  <c r="L277" i="14"/>
  <c r="L350" i="14"/>
  <c r="L182" i="14"/>
  <c r="L236" i="14"/>
  <c r="L354" i="14"/>
  <c r="L439" i="14"/>
  <c r="L503" i="14"/>
  <c r="L567" i="14"/>
  <c r="L631" i="14"/>
  <c r="L695" i="14"/>
  <c r="L759" i="14"/>
  <c r="L823" i="14"/>
  <c r="L170" i="14"/>
  <c r="L298" i="14"/>
  <c r="L408" i="14"/>
  <c r="L472" i="14"/>
  <c r="L536" i="14"/>
  <c r="L600" i="14"/>
  <c r="L664" i="14"/>
  <c r="L728" i="14"/>
  <c r="L792" i="14"/>
  <c r="L242" i="14"/>
  <c r="L356" i="14"/>
  <c r="L441" i="14"/>
  <c r="L505" i="14"/>
  <c r="L569" i="14"/>
  <c r="L633" i="14"/>
  <c r="L697" i="14"/>
  <c r="L761" i="14"/>
  <c r="L264" i="14"/>
  <c r="L381" i="14"/>
  <c r="L454" i="14"/>
  <c r="L518" i="14"/>
  <c r="L582" i="14"/>
  <c r="L646" i="14"/>
  <c r="L710" i="14"/>
  <c r="L336" i="14"/>
  <c r="L493" i="14"/>
  <c r="L621" i="14"/>
  <c r="L747" i="14"/>
  <c r="L837" i="14"/>
  <c r="L345" i="14"/>
  <c r="L498" i="14"/>
  <c r="L626" i="14"/>
  <c r="L748" i="14"/>
  <c r="L838" i="14"/>
  <c r="L374" i="14"/>
  <c r="L515" i="14"/>
  <c r="L643" i="14"/>
  <c r="L763" i="14"/>
  <c r="L851" i="14"/>
  <c r="L404" i="14"/>
  <c r="L532" i="14"/>
  <c r="L660" i="14"/>
  <c r="L778" i="14"/>
  <c r="L198" i="14"/>
  <c r="L474" i="14"/>
  <c r="L730" i="14"/>
  <c r="L362" i="14"/>
  <c r="L635" i="14"/>
  <c r="L845" i="14"/>
  <c r="L540" i="14"/>
  <c r="L782" i="14"/>
  <c r="L421" i="14"/>
  <c r="L677" i="14"/>
  <c r="L490" i="14"/>
  <c r="L741" i="14"/>
  <c r="L179" i="14"/>
  <c r="L555" i="14"/>
  <c r="L793" i="14"/>
  <c r="L352" i="14"/>
  <c r="L629" i="14"/>
  <c r="L843" i="14"/>
  <c r="L191" i="14"/>
  <c r="L255" i="14"/>
  <c r="L319" i="14"/>
  <c r="L174" i="14"/>
  <c r="L248" i="14"/>
  <c r="L321" i="14"/>
  <c r="L392" i="14"/>
  <c r="L230" i="14"/>
  <c r="L304" i="14"/>
  <c r="L377" i="14"/>
  <c r="L213" i="14"/>
  <c r="L286" i="14"/>
  <c r="L360" i="14"/>
  <c r="L192" i="14"/>
  <c r="L252" i="14"/>
  <c r="L370" i="14"/>
  <c r="L447" i="14"/>
  <c r="L511" i="14"/>
  <c r="L575" i="14"/>
  <c r="L639" i="14"/>
  <c r="L703" i="14"/>
  <c r="L767" i="14"/>
  <c r="L831" i="14"/>
  <c r="L188" i="14"/>
  <c r="L310" i="14"/>
  <c r="L416" i="14"/>
  <c r="L480" i="14"/>
  <c r="L544" i="14"/>
  <c r="L608" i="14"/>
  <c r="L672" i="14"/>
  <c r="L736" i="14"/>
  <c r="L800" i="14"/>
  <c r="L199" i="14"/>
  <c r="L263" i="14"/>
  <c r="L327" i="14"/>
  <c r="L184" i="14"/>
  <c r="L257" i="14"/>
  <c r="L330" i="14"/>
  <c r="L400" i="14"/>
  <c r="L240" i="14"/>
  <c r="L313" i="14"/>
  <c r="L385" i="14"/>
  <c r="L222" i="14"/>
  <c r="L296" i="14"/>
  <c r="L369" i="14"/>
  <c r="L201" i="14"/>
  <c r="L265" i="14"/>
  <c r="L382" i="14"/>
  <c r="L455" i="14"/>
  <c r="L519" i="14"/>
  <c r="L583" i="14"/>
  <c r="L647" i="14"/>
  <c r="L711" i="14"/>
  <c r="L775" i="14"/>
  <c r="L839" i="14"/>
  <c r="L206" i="14"/>
  <c r="L326" i="14"/>
  <c r="L424" i="14"/>
  <c r="L488" i="14"/>
  <c r="L552" i="14"/>
  <c r="L616" i="14"/>
  <c r="L680" i="14"/>
  <c r="L744" i="14"/>
  <c r="L808" i="14"/>
  <c r="L207" i="14"/>
  <c r="L271" i="14"/>
  <c r="L335" i="14"/>
  <c r="L193" i="14"/>
  <c r="L266" i="14"/>
  <c r="L339" i="14"/>
  <c r="L176" i="14"/>
  <c r="L249" i="14"/>
  <c r="L322" i="14"/>
  <c r="L393" i="14"/>
  <c r="L232" i="14"/>
  <c r="L305" i="14"/>
  <c r="L378" i="14"/>
  <c r="L210" i="14"/>
  <c r="L215" i="14"/>
  <c r="L279" i="14"/>
  <c r="L343" i="14"/>
  <c r="L202" i="14"/>
  <c r="L275" i="14"/>
  <c r="L348" i="14"/>
  <c r="L185" i="14"/>
  <c r="L258" i="14"/>
  <c r="L331" i="14"/>
  <c r="L401" i="14"/>
  <c r="L241" i="14"/>
  <c r="L314" i="14"/>
  <c r="L386" i="14"/>
  <c r="L219" i="14"/>
  <c r="L297" i="14"/>
  <c r="L407" i="14"/>
  <c r="L471" i="14"/>
  <c r="L535" i="14"/>
  <c r="L599" i="14"/>
  <c r="L663" i="14"/>
  <c r="L727" i="14"/>
  <c r="L791" i="14"/>
  <c r="L237" i="14"/>
  <c r="L355" i="14"/>
  <c r="L440" i="14"/>
  <c r="L504" i="14"/>
  <c r="L568" i="14"/>
  <c r="L632" i="14"/>
  <c r="L696" i="14"/>
  <c r="L760" i="14"/>
  <c r="L824" i="14"/>
  <c r="L171" i="14"/>
  <c r="L299" i="14"/>
  <c r="L409" i="14"/>
  <c r="L473" i="14"/>
  <c r="L537" i="14"/>
  <c r="L601" i="14"/>
  <c r="L665" i="14"/>
  <c r="L729" i="14"/>
  <c r="L200" i="14"/>
  <c r="L324" i="14"/>
  <c r="L422" i="14"/>
  <c r="L486" i="14"/>
  <c r="L550" i="14"/>
  <c r="L614" i="14"/>
  <c r="L678" i="14"/>
  <c r="L217" i="14"/>
  <c r="L429" i="14"/>
  <c r="L557" i="14"/>
  <c r="L685" i="14"/>
  <c r="L795" i="14"/>
  <c r="L227" i="14"/>
  <c r="L434" i="14"/>
  <c r="L562" i="14"/>
  <c r="L690" i="14"/>
  <c r="L796" i="14"/>
  <c r="L260" i="14"/>
  <c r="L451" i="14"/>
  <c r="L579" i="14"/>
  <c r="L707" i="14"/>
  <c r="L809" i="14"/>
  <c r="L290" i="14"/>
  <c r="L468" i="14"/>
  <c r="L596" i="14"/>
  <c r="L724" i="14"/>
  <c r="L820" i="14"/>
  <c r="L300" i="14"/>
  <c r="L602" i="14"/>
  <c r="L822" i="14"/>
  <c r="L507" i="14"/>
  <c r="L756" i="14"/>
  <c r="L412" i="14"/>
  <c r="L668" i="14"/>
  <c r="L172" i="14"/>
  <c r="L549" i="14"/>
  <c r="L789" i="14"/>
  <c r="L329" i="14"/>
  <c r="L618" i="14"/>
  <c r="L834" i="14"/>
  <c r="L427" i="14"/>
  <c r="L683" i="14"/>
  <c r="L501" i="14"/>
  <c r="L754" i="14"/>
  <c r="L223" i="14"/>
  <c r="L287" i="14"/>
  <c r="L351" i="14"/>
  <c r="L211" i="14"/>
  <c r="L284" i="14"/>
  <c r="L357" i="14"/>
  <c r="L194" i="14"/>
  <c r="L267" i="14"/>
  <c r="L340" i="14"/>
  <c r="L177" i="14"/>
  <c r="L250" i="14"/>
  <c r="L463" i="14"/>
  <c r="L719" i="14"/>
  <c r="L512" i="14"/>
  <c r="L768" i="14"/>
  <c r="L254" i="14"/>
  <c r="L449" i="14"/>
  <c r="L577" i="14"/>
  <c r="L705" i="14"/>
  <c r="L280" i="14"/>
  <c r="L462" i="14"/>
  <c r="L590" i="14"/>
  <c r="L718" i="14"/>
  <c r="L509" i="14"/>
  <c r="L758" i="14"/>
  <c r="L373" i="14"/>
  <c r="L642" i="14"/>
  <c r="L850" i="14"/>
  <c r="L531" i="14"/>
  <c r="L774" i="14"/>
  <c r="L420" i="14"/>
  <c r="L676" i="14"/>
  <c r="L234" i="14"/>
  <c r="L755" i="14"/>
  <c r="L667" i="14"/>
  <c r="L572" i="14"/>
  <c r="L453" i="14"/>
  <c r="L650" i="14"/>
  <c r="L333" i="14"/>
  <c r="L835" i="14"/>
  <c r="L661" i="14"/>
  <c r="L556" i="14"/>
  <c r="L814" i="14"/>
  <c r="L652" i="14"/>
  <c r="L323" i="14"/>
  <c r="L479" i="14"/>
  <c r="L735" i="14"/>
  <c r="L225" i="14"/>
  <c r="L560" i="14"/>
  <c r="L816" i="14"/>
  <c r="L270" i="14"/>
  <c r="L457" i="14"/>
  <c r="L585" i="14"/>
  <c r="L713" i="14"/>
  <c r="L292" i="14"/>
  <c r="L470" i="14"/>
  <c r="L598" i="14"/>
  <c r="L726" i="14"/>
  <c r="L525" i="14"/>
  <c r="L772" i="14"/>
  <c r="L399" i="14"/>
  <c r="L658" i="14"/>
  <c r="L196" i="14"/>
  <c r="L547" i="14"/>
  <c r="L787" i="14"/>
  <c r="L436" i="14"/>
  <c r="L692" i="14"/>
  <c r="L262" i="14"/>
  <c r="L780" i="14"/>
  <c r="L699" i="14"/>
  <c r="L604" i="14"/>
  <c r="L485" i="14"/>
  <c r="L766" i="14"/>
  <c r="L389" i="14"/>
  <c r="L693" i="14"/>
  <c r="L794" i="14"/>
  <c r="L394" i="14"/>
  <c r="L527" i="14"/>
  <c r="L783" i="14"/>
  <c r="L253" i="14"/>
  <c r="L576" i="14"/>
  <c r="L832" i="14"/>
  <c r="L283" i="14"/>
  <c r="L465" i="14"/>
  <c r="L593" i="14"/>
  <c r="L721" i="14"/>
  <c r="L308" i="14"/>
  <c r="L478" i="14"/>
  <c r="L606" i="14"/>
  <c r="L180" i="14"/>
  <c r="L541" i="14"/>
  <c r="L785" i="14"/>
  <c r="L418" i="14"/>
  <c r="L674" i="14"/>
  <c r="L228" i="14"/>
  <c r="L563" i="14"/>
  <c r="L797" i="14"/>
  <c r="L452" i="14"/>
  <c r="L708" i="14"/>
  <c r="L216" i="14"/>
  <c r="L802" i="14"/>
  <c r="L731" i="14"/>
  <c r="L636" i="14"/>
  <c r="L517" i="14"/>
  <c r="L178" i="14"/>
  <c r="L790" i="14"/>
  <c r="L459" i="14"/>
  <c r="L725" i="14"/>
  <c r="L771" i="14"/>
  <c r="L428" i="14"/>
  <c r="L187" i="14"/>
  <c r="L543" i="14"/>
  <c r="L799" i="14"/>
  <c r="L342" i="14"/>
  <c r="L624" i="14"/>
  <c r="L315" i="14"/>
  <c r="L481" i="14"/>
  <c r="L609" i="14"/>
  <c r="L737" i="14"/>
  <c r="L337" i="14"/>
  <c r="L494" i="14"/>
  <c r="L622" i="14"/>
  <c r="L246" i="14"/>
  <c r="L573" i="14"/>
  <c r="L281" i="14"/>
  <c r="L591" i="14"/>
  <c r="L847" i="14"/>
  <c r="L309" i="14"/>
  <c r="L607" i="14"/>
  <c r="L396" i="14"/>
  <c r="L415" i="14"/>
  <c r="L671" i="14"/>
  <c r="L496" i="14"/>
  <c r="L752" i="14"/>
  <c r="L189" i="14"/>
  <c r="L417" i="14"/>
  <c r="L545" i="14"/>
  <c r="L673" i="14"/>
  <c r="L218" i="14"/>
  <c r="L430" i="14"/>
  <c r="L558" i="14"/>
  <c r="L686" i="14"/>
  <c r="L445" i="14"/>
  <c r="L701" i="14"/>
  <c r="L256" i="14"/>
  <c r="L578" i="14"/>
  <c r="L806" i="14"/>
  <c r="L467" i="14"/>
  <c r="L723" i="14"/>
  <c r="L318" i="14"/>
  <c r="L612" i="14"/>
  <c r="L830" i="14"/>
  <c r="L634" i="14"/>
  <c r="L539" i="14"/>
  <c r="L444" i="14"/>
  <c r="L245" i="14"/>
  <c r="L811" i="14"/>
  <c r="L586" i="14"/>
  <c r="L273" i="14"/>
  <c r="L813" i="14"/>
  <c r="L533" i="14"/>
  <c r="L209" i="14"/>
  <c r="L588" i="14"/>
  <c r="L390" i="14"/>
  <c r="L448" i="14"/>
  <c r="L372" i="14"/>
  <c r="L657" i="14"/>
  <c r="L534" i="14"/>
  <c r="L637" i="14"/>
  <c r="L514" i="14"/>
  <c r="L403" i="14"/>
  <c r="L197" i="14"/>
  <c r="L788" i="14"/>
  <c r="L411" i="14"/>
  <c r="L804" i="14"/>
  <c r="L405" i="14"/>
  <c r="L716" i="14"/>
  <c r="L655" i="14"/>
  <c r="L640" i="14"/>
  <c r="L387" i="14"/>
  <c r="L769" i="14"/>
  <c r="L542" i="14"/>
  <c r="L653" i="14"/>
  <c r="L530" i="14"/>
  <c r="L419" i="14"/>
  <c r="L233" i="14"/>
  <c r="L798" i="14"/>
  <c r="L443" i="14"/>
  <c r="L826" i="14"/>
  <c r="L272" i="14"/>
  <c r="L587" i="14"/>
  <c r="L437" i="14"/>
  <c r="L688" i="14"/>
  <c r="L398" i="14"/>
  <c r="L777" i="14"/>
  <c r="L654" i="14"/>
  <c r="L669" i="14"/>
  <c r="L546" i="14"/>
  <c r="L435" i="14"/>
  <c r="L261" i="14"/>
  <c r="L810" i="14"/>
  <c r="L475" i="14"/>
  <c r="L846" i="14"/>
  <c r="L388" i="14"/>
  <c r="L619" i="14"/>
  <c r="L469" i="14"/>
  <c r="L274" i="14"/>
  <c r="L704" i="14"/>
  <c r="L513" i="14"/>
  <c r="L181" i="14"/>
  <c r="L662" i="14"/>
  <c r="L805" i="14"/>
  <c r="L706" i="14"/>
  <c r="L595" i="14"/>
  <c r="L484" i="14"/>
  <c r="L361" i="14"/>
  <c r="L781" i="14"/>
  <c r="L581" i="14"/>
  <c r="L522" i="14"/>
  <c r="L651" i="14"/>
  <c r="L779" i="14"/>
  <c r="L521" i="14"/>
  <c r="L395" i="14"/>
  <c r="L670" i="14"/>
  <c r="L849" i="14"/>
  <c r="L762" i="14"/>
  <c r="L659" i="14"/>
  <c r="L548" i="14"/>
  <c r="L506" i="14"/>
  <c r="L244" i="14"/>
  <c r="L709" i="14"/>
  <c r="L554" i="14"/>
  <c r="L715" i="14"/>
  <c r="L492" i="14"/>
  <c r="L836" i="14"/>
  <c r="L529" i="14"/>
  <c r="L406" i="14"/>
  <c r="L364" i="14"/>
  <c r="L773" i="14"/>
  <c r="L675" i="14"/>
  <c r="L564" i="14"/>
  <c r="L538" i="14"/>
  <c r="L306" i="14"/>
  <c r="L740" i="14"/>
  <c r="L812" i="14"/>
  <c r="L746" i="14"/>
  <c r="L620" i="14"/>
  <c r="L371" i="14"/>
  <c r="L641" i="14"/>
  <c r="L414" i="14"/>
  <c r="L391" i="14"/>
  <c r="L190" i="14"/>
  <c r="L786" i="14"/>
  <c r="L691" i="14"/>
  <c r="L580" i="14"/>
  <c r="L570" i="14"/>
  <c r="L363" i="14"/>
  <c r="L765" i="14"/>
  <c r="L432" i="14"/>
  <c r="L649" i="14"/>
  <c r="L526" i="14"/>
  <c r="L413" i="14"/>
  <c r="L450" i="14"/>
  <c r="L289" i="14"/>
  <c r="L819" i="14"/>
  <c r="L739" i="14"/>
  <c r="L844" i="14"/>
  <c r="L700" i="14"/>
  <c r="L460" i="14"/>
  <c r="L684" i="14"/>
  <c r="L334" i="14"/>
  <c r="M186" i="14"/>
  <c r="M250" i="14"/>
  <c r="M314" i="14"/>
  <c r="M378" i="14"/>
  <c r="M442" i="14"/>
  <c r="M506" i="14"/>
  <c r="M570" i="14"/>
  <c r="M634" i="14"/>
  <c r="M698" i="14"/>
  <c r="M762" i="14"/>
  <c r="M826" i="14"/>
  <c r="M211" i="14"/>
  <c r="M275" i="14"/>
  <c r="M339" i="14"/>
  <c r="M403" i="14"/>
  <c r="M467" i="14"/>
  <c r="M531" i="14"/>
  <c r="M595" i="14"/>
  <c r="M659" i="14"/>
  <c r="M723" i="14"/>
  <c r="M787" i="14"/>
  <c r="M172" i="14"/>
  <c r="M236" i="14"/>
  <c r="M300" i="14"/>
  <c r="M364" i="14"/>
  <c r="M428" i="14"/>
  <c r="M492" i="14"/>
  <c r="M556" i="14"/>
  <c r="M620" i="14"/>
  <c r="M174" i="14"/>
  <c r="M217" i="14"/>
  <c r="M281" i="14"/>
  <c r="M345" i="14"/>
  <c r="M409" i="14"/>
  <c r="M473" i="14"/>
  <c r="M537" i="14"/>
  <c r="M601" i="14"/>
  <c r="M665" i="14"/>
  <c r="M261" i="14"/>
  <c r="M389" i="14"/>
  <c r="M517" i="14"/>
  <c r="M645" i="14"/>
  <c r="M741" i="14"/>
  <c r="M825" i="14"/>
  <c r="M198" i="14"/>
  <c r="M326" i="14"/>
  <c r="M454" i="14"/>
  <c r="M582" i="14"/>
  <c r="M700" i="14"/>
  <c r="M784" i="14"/>
  <c r="M194" i="14"/>
  <c r="M258" i="14"/>
  <c r="M322" i="14"/>
  <c r="M386" i="14"/>
  <c r="M450" i="14"/>
  <c r="M514" i="14"/>
  <c r="M578" i="14"/>
  <c r="M642" i="14"/>
  <c r="M706" i="14"/>
  <c r="M770" i="14"/>
  <c r="M834" i="14"/>
  <c r="M219" i="14"/>
  <c r="M283" i="14"/>
  <c r="M347" i="14"/>
  <c r="M411" i="14"/>
  <c r="M475" i="14"/>
  <c r="M539" i="14"/>
  <c r="M603" i="14"/>
  <c r="M667" i="14"/>
  <c r="M731" i="14"/>
  <c r="M795" i="14"/>
  <c r="M180" i="14"/>
  <c r="M244" i="14"/>
  <c r="M308" i="14"/>
  <c r="M372" i="14"/>
  <c r="M436" i="14"/>
  <c r="M500" i="14"/>
  <c r="M564" i="14"/>
  <c r="M628" i="14"/>
  <c r="M175" i="14"/>
  <c r="M225" i="14"/>
  <c r="M289" i="14"/>
  <c r="M353" i="14"/>
  <c r="M417" i="14"/>
  <c r="M481" i="14"/>
  <c r="M545" i="14"/>
  <c r="M609" i="14"/>
  <c r="M673" i="14"/>
  <c r="M277" i="14"/>
  <c r="M405" i="14"/>
  <c r="M533" i="14"/>
  <c r="M661" i="14"/>
  <c r="M751" i="14"/>
  <c r="M837" i="14"/>
  <c r="M214" i="14"/>
  <c r="M342" i="14"/>
  <c r="M470" i="14"/>
  <c r="M598" i="14"/>
  <c r="M710" i="14"/>
  <c r="M796" i="14"/>
  <c r="M202" i="14"/>
  <c r="M266" i="14"/>
  <c r="M330" i="14"/>
  <c r="M394" i="14"/>
  <c r="M458" i="14"/>
  <c r="M522" i="14"/>
  <c r="M586" i="14"/>
  <c r="M650" i="14"/>
  <c r="M714" i="14"/>
  <c r="M778" i="14"/>
  <c r="M842" i="14"/>
  <c r="M227" i="14"/>
  <c r="M291" i="14"/>
  <c r="M355" i="14"/>
  <c r="M419" i="14"/>
  <c r="M483" i="14"/>
  <c r="M547" i="14"/>
  <c r="M611" i="14"/>
  <c r="M675" i="14"/>
  <c r="M739" i="14"/>
  <c r="M803" i="14"/>
  <c r="M188" i="14"/>
  <c r="M252" i="14"/>
  <c r="M316" i="14"/>
  <c r="M380" i="14"/>
  <c r="M444" i="14"/>
  <c r="M508" i="14"/>
  <c r="M572" i="14"/>
  <c r="M636" i="14"/>
  <c r="M176" i="14"/>
  <c r="M233" i="14"/>
  <c r="M297" i="14"/>
  <c r="M361" i="14"/>
  <c r="M425" i="14"/>
  <c r="M489" i="14"/>
  <c r="M553" i="14"/>
  <c r="M617" i="14"/>
  <c r="M681" i="14"/>
  <c r="M293" i="14"/>
  <c r="M421" i="14"/>
  <c r="M549" i="14"/>
  <c r="M676" i="14"/>
  <c r="M761" i="14"/>
  <c r="M847" i="14"/>
  <c r="M230" i="14"/>
  <c r="M358" i="14"/>
  <c r="M486" i="14"/>
  <c r="M614" i="14"/>
  <c r="M720" i="14"/>
  <c r="M806" i="14"/>
  <c r="M178" i="14"/>
  <c r="M242" i="14"/>
  <c r="M306" i="14"/>
  <c r="M370" i="14"/>
  <c r="M434" i="14"/>
  <c r="M498" i="14"/>
  <c r="M562" i="14"/>
  <c r="M626" i="14"/>
  <c r="M690" i="14"/>
  <c r="M754" i="14"/>
  <c r="M818" i="14"/>
  <c r="M203" i="14"/>
  <c r="M267" i="14"/>
  <c r="M331" i="14"/>
  <c r="M395" i="14"/>
  <c r="M459" i="14"/>
  <c r="M523" i="14"/>
  <c r="M587" i="14"/>
  <c r="M651" i="14"/>
  <c r="M715" i="14"/>
  <c r="M779" i="14"/>
  <c r="M843" i="14"/>
  <c r="M228" i="14"/>
  <c r="M292" i="14"/>
  <c r="M356" i="14"/>
  <c r="M420" i="14"/>
  <c r="M484" i="14"/>
  <c r="M548" i="14"/>
  <c r="M612" i="14"/>
  <c r="M173" i="14"/>
  <c r="M209" i="14"/>
  <c r="M273" i="14"/>
  <c r="M337" i="14"/>
  <c r="M401" i="14"/>
  <c r="M465" i="14"/>
  <c r="M529" i="14"/>
  <c r="M593" i="14"/>
  <c r="M657" i="14"/>
  <c r="M245" i="14"/>
  <c r="M373" i="14"/>
  <c r="M501" i="14"/>
  <c r="M629" i="14"/>
  <c r="M729" i="14"/>
  <c r="M815" i="14"/>
  <c r="M182" i="14"/>
  <c r="M310" i="14"/>
  <c r="M438" i="14"/>
  <c r="M566" i="14"/>
  <c r="M688" i="14"/>
  <c r="M774" i="14"/>
  <c r="M231" i="14"/>
  <c r="M226" i="14"/>
  <c r="M354" i="14"/>
  <c r="M482" i="14"/>
  <c r="M610" i="14"/>
  <c r="M738" i="14"/>
  <c r="M187" i="14"/>
  <c r="M315" i="14"/>
  <c r="M443" i="14"/>
  <c r="M571" i="14"/>
  <c r="M699" i="14"/>
  <c r="M827" i="14"/>
  <c r="M276" i="14"/>
  <c r="M404" i="14"/>
  <c r="M532" i="14"/>
  <c r="M660" i="14"/>
  <c r="M257" i="14"/>
  <c r="M385" i="14"/>
  <c r="M513" i="14"/>
  <c r="M641" i="14"/>
  <c r="M341" i="14"/>
  <c r="M597" i="14"/>
  <c r="M793" i="14"/>
  <c r="M278" i="14"/>
  <c r="M534" i="14"/>
  <c r="M752" i="14"/>
  <c r="M279" i="14"/>
  <c r="M407" i="14"/>
  <c r="M535" i="14"/>
  <c r="M184" i="14"/>
  <c r="M205" i="14"/>
  <c r="M222" i="14"/>
  <c r="M239" i="14"/>
  <c r="M256" i="14"/>
  <c r="M384" i="14"/>
  <c r="M512" i="14"/>
  <c r="M296" i="14"/>
  <c r="M552" i="14"/>
  <c r="M727" i="14"/>
  <c r="M841" i="14"/>
  <c r="M461" i="14"/>
  <c r="M686" i="14"/>
  <c r="M800" i="14"/>
  <c r="M366" i="14"/>
  <c r="M622" i="14"/>
  <c r="M759" i="14"/>
  <c r="M543" i="14"/>
  <c r="M726" i="14"/>
  <c r="M840" i="14"/>
  <c r="M623" i="14"/>
  <c r="M705" i="14"/>
  <c r="M445" i="14"/>
  <c r="M792" i="14"/>
  <c r="M638" i="14"/>
  <c r="M527" i="14"/>
  <c r="M408" i="14"/>
  <c r="M777" i="14"/>
  <c r="M724" i="14"/>
  <c r="M695" i="14"/>
  <c r="M836" i="14"/>
  <c r="M833" i="14"/>
  <c r="M282" i="14"/>
  <c r="M371" i="14"/>
  <c r="M755" i="14"/>
  <c r="M460" i="14"/>
  <c r="M313" i="14"/>
  <c r="M197" i="14"/>
  <c r="M828" i="14"/>
  <c r="M455" i="14"/>
  <c r="M270" i="14"/>
  <c r="M560" i="14"/>
  <c r="M301" i="14"/>
  <c r="M844" i="14"/>
  <c r="M234" i="14"/>
  <c r="M362" i="14"/>
  <c r="M490" i="14"/>
  <c r="M618" i="14"/>
  <c r="M746" i="14"/>
  <c r="M195" i="14"/>
  <c r="M323" i="14"/>
  <c r="M451" i="14"/>
  <c r="M579" i="14"/>
  <c r="M707" i="14"/>
  <c r="M835" i="14"/>
  <c r="M284" i="14"/>
  <c r="M412" i="14"/>
  <c r="M540" i="14"/>
  <c r="M668" i="14"/>
  <c r="M265" i="14"/>
  <c r="M393" i="14"/>
  <c r="M521" i="14"/>
  <c r="M649" i="14"/>
  <c r="M357" i="14"/>
  <c r="M613" i="14"/>
  <c r="M805" i="14"/>
  <c r="M294" i="14"/>
  <c r="M550" i="14"/>
  <c r="M764" i="14"/>
  <c r="M295" i="14"/>
  <c r="M423" i="14"/>
  <c r="M551" i="14"/>
  <c r="M200" i="14"/>
  <c r="M221" i="14"/>
  <c r="M238" i="14"/>
  <c r="M255" i="14"/>
  <c r="M272" i="14"/>
  <c r="M400" i="14"/>
  <c r="M528" i="14"/>
  <c r="M328" i="14"/>
  <c r="M584" i="14"/>
  <c r="M743" i="14"/>
  <c r="M853" i="14"/>
  <c r="M493" i="14"/>
  <c r="M702" i="14"/>
  <c r="M814" i="14"/>
  <c r="M398" i="14"/>
  <c r="M653" i="14"/>
  <c r="M775" i="14"/>
  <c r="M319" i="14"/>
  <c r="M575" i="14"/>
  <c r="M740" i="14"/>
  <c r="M852" i="14"/>
  <c r="M672" i="14"/>
  <c r="M312" i="14"/>
  <c r="M735" i="14"/>
  <c r="M509" i="14"/>
  <c r="M822" i="14"/>
  <c r="M680" i="14"/>
  <c r="M591" i="14"/>
  <c r="M472" i="14"/>
  <c r="M349" i="14"/>
  <c r="M750" i="14"/>
  <c r="M725" i="14"/>
  <c r="M797" i="14"/>
  <c r="M823" i="14"/>
  <c r="M851" i="14"/>
  <c r="M410" i="14"/>
  <c r="M243" i="14"/>
  <c r="M204" i="14"/>
  <c r="M588" i="14"/>
  <c r="M441" i="14"/>
  <c r="M453" i="14"/>
  <c r="M390" i="14"/>
  <c r="M583" i="14"/>
  <c r="M287" i="14"/>
  <c r="M392" i="14"/>
  <c r="M557" i="14"/>
  <c r="M274" i="14"/>
  <c r="M402" i="14"/>
  <c r="M530" i="14"/>
  <c r="M658" i="14"/>
  <c r="M786" i="14"/>
  <c r="M235" i="14"/>
  <c r="M363" i="14"/>
  <c r="M491" i="14"/>
  <c r="M619" i="14"/>
  <c r="M747" i="14"/>
  <c r="M196" i="14"/>
  <c r="M324" i="14"/>
  <c r="M452" i="14"/>
  <c r="M580" i="14"/>
  <c r="M177" i="14"/>
  <c r="M305" i="14"/>
  <c r="M433" i="14"/>
  <c r="M561" i="14"/>
  <c r="M181" i="14"/>
  <c r="M437" i="14"/>
  <c r="M687" i="14"/>
  <c r="M374" i="14"/>
  <c r="M630" i="14"/>
  <c r="M816" i="14"/>
  <c r="M311" i="14"/>
  <c r="M439" i="14"/>
  <c r="M567" i="14"/>
  <c r="M216" i="14"/>
  <c r="M237" i="14"/>
  <c r="M254" i="14"/>
  <c r="M271" i="14"/>
  <c r="M288" i="14"/>
  <c r="M416" i="14"/>
  <c r="M544" i="14"/>
  <c r="M360" i="14"/>
  <c r="M616" i="14"/>
  <c r="M757" i="14"/>
  <c r="M525" i="14"/>
  <c r="M716" i="14"/>
  <c r="M830" i="14"/>
  <c r="M430" i="14"/>
  <c r="M671" i="14"/>
  <c r="M789" i="14"/>
  <c r="M351" i="14"/>
  <c r="M607" i="14"/>
  <c r="M756" i="14"/>
  <c r="M704" i="14"/>
  <c r="M376" i="14"/>
  <c r="M765" i="14"/>
  <c r="M573" i="14"/>
  <c r="M850" i="14"/>
  <c r="M711" i="14"/>
  <c r="M654" i="14"/>
  <c r="M536" i="14"/>
  <c r="M413" i="14"/>
  <c r="M350" i="14"/>
  <c r="M753" i="14"/>
  <c r="M538" i="14"/>
  <c r="M794" i="14"/>
  <c r="M627" i="14"/>
  <c r="M332" i="14"/>
  <c r="M185" i="14"/>
  <c r="M569" i="14"/>
  <c r="M697" i="14"/>
  <c r="M646" i="14"/>
  <c r="M327" i="14"/>
  <c r="M232" i="14"/>
  <c r="M304" i="14"/>
  <c r="M640" i="14"/>
  <c r="M728" i="14"/>
  <c r="M666" i="14"/>
  <c r="M499" i="14"/>
  <c r="M290" i="14"/>
  <c r="M418" i="14"/>
  <c r="M546" i="14"/>
  <c r="M674" i="14"/>
  <c r="M802" i="14"/>
  <c r="M170" i="14"/>
  <c r="M298" i="14"/>
  <c r="M426" i="14"/>
  <c r="M218" i="14"/>
  <c r="M346" i="14"/>
  <c r="M474" i="14"/>
  <c r="M602" i="14"/>
  <c r="M730" i="14"/>
  <c r="M179" i="14"/>
  <c r="M307" i="14"/>
  <c r="M435" i="14"/>
  <c r="M563" i="14"/>
  <c r="M691" i="14"/>
  <c r="M819" i="14"/>
  <c r="M268" i="14"/>
  <c r="M396" i="14"/>
  <c r="M524" i="14"/>
  <c r="M652" i="14"/>
  <c r="M249" i="14"/>
  <c r="M377" i="14"/>
  <c r="M505" i="14"/>
  <c r="M633" i="14"/>
  <c r="M325" i="14"/>
  <c r="M581" i="14"/>
  <c r="M783" i="14"/>
  <c r="M262" i="14"/>
  <c r="M518" i="14"/>
  <c r="M742" i="14"/>
  <c r="M263" i="14"/>
  <c r="M391" i="14"/>
  <c r="M519" i="14"/>
  <c r="M647" i="14"/>
  <c r="M189" i="14"/>
  <c r="M206" i="14"/>
  <c r="M223" i="14"/>
  <c r="M240" i="14"/>
  <c r="M368" i="14"/>
  <c r="M496" i="14"/>
  <c r="M624" i="14"/>
  <c r="M520" i="14"/>
  <c r="M713" i="14"/>
  <c r="M829" i="14"/>
  <c r="M429" i="14"/>
  <c r="M670" i="14"/>
  <c r="M788" i="14"/>
  <c r="M334" i="14"/>
  <c r="M590" i="14"/>
  <c r="M745" i="14"/>
  <c r="M511" i="14"/>
  <c r="M712" i="14"/>
  <c r="M824" i="14"/>
  <c r="M559" i="14"/>
  <c r="M846" i="14"/>
  <c r="M678" i="14"/>
  <c r="M381" i="14"/>
  <c r="M766" i="14"/>
  <c r="M574" i="14"/>
  <c r="M463" i="14"/>
  <c r="M344" i="14"/>
  <c r="M749" i="14"/>
  <c r="M694" i="14"/>
  <c r="M663" i="14"/>
  <c r="M780" i="14"/>
  <c r="M808" i="14"/>
  <c r="M183" i="14"/>
  <c r="M253" i="14"/>
  <c r="M432" i="14"/>
  <c r="M769" i="14"/>
  <c r="M594" i="14"/>
  <c r="M379" i="14"/>
  <c r="M683" i="14"/>
  <c r="M348" i="14"/>
  <c r="M193" i="14"/>
  <c r="M497" i="14"/>
  <c r="M485" i="14"/>
  <c r="M838" i="14"/>
  <c r="M215" i="14"/>
  <c r="M599" i="14"/>
  <c r="M190" i="14"/>
  <c r="M336" i="14"/>
  <c r="M424" i="14"/>
  <c r="M813" i="14"/>
  <c r="M744" i="14"/>
  <c r="M526" i="14"/>
  <c r="M831" i="14"/>
  <c r="M639" i="14"/>
  <c r="M820" i="14"/>
  <c r="M849" i="14"/>
  <c r="M446" i="14"/>
  <c r="M748" i="14"/>
  <c r="M605" i="14"/>
  <c r="M839" i="14"/>
  <c r="M464" i="14"/>
  <c r="M431" i="14"/>
  <c r="M679" i="14"/>
  <c r="M478" i="14"/>
  <c r="M210" i="14"/>
  <c r="M212" i="14"/>
  <c r="M773" i="14"/>
  <c r="M375" i="14"/>
  <c r="M685" i="14"/>
  <c r="M383" i="14"/>
  <c r="M708" i="14"/>
  <c r="M693" i="14"/>
  <c r="M807" i="14"/>
  <c r="M338" i="14"/>
  <c r="M220" i="14"/>
  <c r="M280" i="14"/>
  <c r="M576" i="14"/>
  <c r="M589" i="14"/>
  <c r="M733" i="14"/>
  <c r="M736" i="14"/>
  <c r="M682" i="14"/>
  <c r="M387" i="14"/>
  <c r="M763" i="14"/>
  <c r="M388" i="14"/>
  <c r="M201" i="14"/>
  <c r="M577" i="14"/>
  <c r="M565" i="14"/>
  <c r="M246" i="14"/>
  <c r="M848" i="14"/>
  <c r="M247" i="14"/>
  <c r="M615" i="14"/>
  <c r="M286" i="14"/>
  <c r="M352" i="14"/>
  <c r="M456" i="14"/>
  <c r="M758" i="14"/>
  <c r="M558" i="14"/>
  <c r="M845" i="14"/>
  <c r="M664" i="14"/>
  <c r="M303" i="14"/>
  <c r="M317" i="14"/>
  <c r="M510" i="14"/>
  <c r="M776" i="14"/>
  <c r="M656" i="14"/>
  <c r="M248" i="14"/>
  <c r="M365" i="14"/>
  <c r="M703" i="14"/>
  <c r="M655" i="14"/>
  <c r="M171" i="14"/>
  <c r="M515" i="14"/>
  <c r="M329" i="14"/>
  <c r="M264" i="14"/>
  <c r="M480" i="14"/>
  <c r="M397" i="14"/>
  <c r="M768" i="14"/>
  <c r="M542" i="14"/>
  <c r="M251" i="14"/>
  <c r="M596" i="14"/>
  <c r="M662" i="14"/>
  <c r="M208" i="14"/>
  <c r="M302" i="14"/>
  <c r="M782" i="14"/>
  <c r="M399" i="14"/>
  <c r="M722" i="14"/>
  <c r="M427" i="14"/>
  <c r="M771" i="14"/>
  <c r="M468" i="14"/>
  <c r="M241" i="14"/>
  <c r="M585" i="14"/>
  <c r="M709" i="14"/>
  <c r="M406" i="14"/>
  <c r="M343" i="14"/>
  <c r="M631" i="14"/>
  <c r="M191" i="14"/>
  <c r="M448" i="14"/>
  <c r="M488" i="14"/>
  <c r="M333" i="14"/>
  <c r="M772" i="14"/>
  <c r="M689" i="14"/>
  <c r="M684" i="14"/>
  <c r="M367" i="14"/>
  <c r="M440" i="14"/>
  <c r="M637" i="14"/>
  <c r="M737" i="14"/>
  <c r="M600" i="14"/>
  <c r="M414" i="14"/>
  <c r="M804" i="14"/>
  <c r="M832" i="14"/>
  <c r="M207" i="14"/>
  <c r="M696" i="14"/>
  <c r="M504" i="14"/>
  <c r="M767" i="14"/>
  <c r="M516" i="14"/>
  <c r="M213" i="14"/>
  <c r="M502" i="14"/>
  <c r="M192" i="14"/>
  <c r="M717" i="14"/>
  <c r="M495" i="14"/>
  <c r="M568" i="14"/>
  <c r="M335" i="14"/>
  <c r="M555" i="14"/>
  <c r="M369" i="14"/>
  <c r="M471" i="14"/>
  <c r="M701" i="14"/>
  <c r="M415" i="14"/>
  <c r="M734" i="14"/>
  <c r="M632" i="14"/>
  <c r="M606" i="14"/>
  <c r="M810" i="14"/>
  <c r="M507" i="14"/>
  <c r="M811" i="14"/>
  <c r="M476" i="14"/>
  <c r="M321" i="14"/>
  <c r="M625" i="14"/>
  <c r="M719" i="14"/>
  <c r="M422" i="14"/>
  <c r="M359" i="14"/>
  <c r="M669" i="14"/>
  <c r="M229" i="14"/>
  <c r="M466" i="14"/>
  <c r="M259" i="14"/>
  <c r="M635" i="14"/>
  <c r="M260" i="14"/>
  <c r="M604" i="14"/>
  <c r="M449" i="14"/>
  <c r="M309" i="14"/>
  <c r="M677" i="14"/>
  <c r="M487" i="14"/>
  <c r="M269" i="14"/>
  <c r="M224" i="14"/>
  <c r="M592" i="14"/>
  <c r="M785" i="14"/>
  <c r="M621" i="14"/>
  <c r="M462" i="14"/>
  <c r="M801" i="14"/>
  <c r="M447" i="14"/>
  <c r="M798" i="14"/>
  <c r="M760" i="14"/>
  <c r="M791" i="14"/>
  <c r="M318" i="14"/>
  <c r="M692" i="14"/>
  <c r="M477" i="14"/>
  <c r="M781" i="14"/>
  <c r="M554" i="14"/>
  <c r="M299" i="14"/>
  <c r="M643" i="14"/>
  <c r="M340" i="14"/>
  <c r="M644" i="14"/>
  <c r="M457" i="14"/>
  <c r="M469" i="14"/>
  <c r="M732" i="14"/>
  <c r="M199" i="14"/>
  <c r="M503" i="14"/>
  <c r="M285" i="14"/>
  <c r="M320" i="14"/>
  <c r="M608" i="14"/>
  <c r="M799" i="14"/>
  <c r="M648" i="14"/>
  <c r="M494" i="14"/>
  <c r="M817" i="14"/>
  <c r="M479" i="14"/>
  <c r="M812" i="14"/>
  <c r="M790" i="14"/>
  <c r="M821" i="14"/>
  <c r="M382" i="14"/>
  <c r="M718" i="14"/>
  <c r="M541" i="14"/>
  <c r="M809" i="14"/>
  <c r="M721" i="14"/>
  <c r="L10" i="14"/>
  <c r="L74" i="14"/>
  <c r="L138" i="14"/>
  <c r="L27" i="14"/>
  <c r="L91" i="14"/>
  <c r="L155" i="14"/>
  <c r="L52" i="14"/>
  <c r="L116" i="14"/>
  <c r="L13" i="14"/>
  <c r="L77" i="14"/>
  <c r="L141" i="14"/>
  <c r="L38" i="14"/>
  <c r="L102" i="14"/>
  <c r="L166" i="14"/>
  <c r="L63" i="14"/>
  <c r="L127" i="14"/>
  <c r="L24" i="14"/>
  <c r="L88" i="14"/>
  <c r="L152" i="14"/>
  <c r="L17" i="14"/>
  <c r="L161" i="14"/>
  <c r="L96" i="14"/>
  <c r="L41" i="14"/>
  <c r="L26" i="14"/>
  <c r="L90" i="14"/>
  <c r="L154" i="14"/>
  <c r="L43" i="14"/>
  <c r="L4" i="14"/>
  <c r="L68" i="14"/>
  <c r="L93" i="14"/>
  <c r="L54" i="14"/>
  <c r="L79" i="14"/>
  <c r="L40" i="14"/>
  <c r="L168" i="14"/>
  <c r="L105" i="14"/>
  <c r="L165" i="14"/>
  <c r="L23" i="14"/>
  <c r="L48" i="14"/>
  <c r="L169" i="14"/>
  <c r="L134" i="14"/>
  <c r="L56" i="14"/>
  <c r="L89" i="14"/>
  <c r="L117" i="14"/>
  <c r="L103" i="14"/>
  <c r="L153" i="14"/>
  <c r="L61" i="14"/>
  <c r="L111" i="14"/>
  <c r="L73" i="14"/>
  <c r="L80" i="14"/>
  <c r="L121" i="14"/>
  <c r="L18" i="14"/>
  <c r="L82" i="14"/>
  <c r="L146" i="14"/>
  <c r="L35" i="14"/>
  <c r="L99" i="14"/>
  <c r="L163" i="14"/>
  <c r="L60" i="14"/>
  <c r="L124" i="14"/>
  <c r="L21" i="14"/>
  <c r="L85" i="14"/>
  <c r="L149" i="14"/>
  <c r="L46" i="14"/>
  <c r="L110" i="14"/>
  <c r="L7" i="14"/>
  <c r="L71" i="14"/>
  <c r="L135" i="14"/>
  <c r="L32" i="14"/>
  <c r="L160" i="14"/>
  <c r="L81" i="14"/>
  <c r="L107" i="14"/>
  <c r="L132" i="14"/>
  <c r="L29" i="14"/>
  <c r="L157" i="14"/>
  <c r="L15" i="14"/>
  <c r="L143" i="14"/>
  <c r="L104" i="14"/>
  <c r="L145" i="14"/>
  <c r="L101" i="14"/>
  <c r="L62" i="14"/>
  <c r="L87" i="14"/>
  <c r="L112" i="14"/>
  <c r="L6" i="14"/>
  <c r="L31" i="14"/>
  <c r="L120" i="14"/>
  <c r="L49" i="14"/>
  <c r="L14" i="14"/>
  <c r="L142" i="14"/>
  <c r="L128" i="14"/>
  <c r="L113" i="14"/>
  <c r="L86" i="14"/>
  <c r="L136" i="14"/>
  <c r="L57" i="14"/>
  <c r="L97" i="14"/>
  <c r="L118" i="14"/>
  <c r="L126" i="14"/>
  <c r="L151" i="14"/>
  <c r="L25" i="14"/>
  <c r="L70" i="14"/>
  <c r="L95" i="14"/>
  <c r="L129" i="14"/>
  <c r="L53" i="14"/>
  <c r="L39" i="14"/>
  <c r="L9" i="14"/>
  <c r="L125" i="14"/>
  <c r="L8" i="14"/>
  <c r="L33" i="14"/>
  <c r="L144" i="14"/>
  <c r="L34" i="14"/>
  <c r="L98" i="14"/>
  <c r="L162" i="14"/>
  <c r="L51" i="14"/>
  <c r="L115" i="14"/>
  <c r="L12" i="14"/>
  <c r="L76" i="14"/>
  <c r="L140" i="14"/>
  <c r="L37" i="14"/>
  <c r="L65" i="14"/>
  <c r="L78" i="14"/>
  <c r="L22" i="14"/>
  <c r="L42" i="14"/>
  <c r="L106" i="14"/>
  <c r="L2" i="14"/>
  <c r="L59" i="14"/>
  <c r="L123" i="14"/>
  <c r="L20" i="14"/>
  <c r="L84" i="14"/>
  <c r="L148" i="14"/>
  <c r="L45" i="14"/>
  <c r="L109" i="14"/>
  <c r="L159" i="14"/>
  <c r="L167" i="14"/>
  <c r="L150" i="14"/>
  <c r="L50" i="14"/>
  <c r="L114" i="14"/>
  <c r="L3" i="14"/>
  <c r="L67" i="14"/>
  <c r="L131" i="14"/>
  <c r="L28" i="14"/>
  <c r="L92" i="14"/>
  <c r="L156" i="14"/>
  <c r="L64" i="14"/>
  <c r="L72" i="14"/>
  <c r="L58" i="14"/>
  <c r="L122" i="14"/>
  <c r="L11" i="14"/>
  <c r="L75" i="14"/>
  <c r="L139" i="14"/>
  <c r="L36" i="14"/>
  <c r="L100" i="14"/>
  <c r="L164" i="14"/>
  <c r="L47" i="14"/>
  <c r="L66" i="14"/>
  <c r="L130" i="14"/>
  <c r="L19" i="14"/>
  <c r="L83" i="14"/>
  <c r="L147" i="14"/>
  <c r="L44" i="14"/>
  <c r="L108" i="14"/>
  <c r="L5" i="14"/>
  <c r="L69" i="14"/>
  <c r="L133" i="14"/>
  <c r="L30" i="14"/>
  <c r="L94" i="14"/>
  <c r="L158" i="14"/>
  <c r="L55" i="14"/>
  <c r="L119" i="14"/>
  <c r="L16" i="14"/>
  <c r="L137" i="14"/>
  <c r="M3" i="14"/>
  <c r="M67" i="14"/>
  <c r="M131" i="14"/>
  <c r="M28" i="14"/>
  <c r="M92" i="14"/>
  <c r="M156" i="14"/>
  <c r="M53" i="14"/>
  <c r="M117" i="14"/>
  <c r="M14" i="14"/>
  <c r="M78" i="14"/>
  <c r="M142" i="14"/>
  <c r="M39" i="14"/>
  <c r="M103" i="14"/>
  <c r="M167" i="14"/>
  <c r="M64" i="14"/>
  <c r="M128" i="14"/>
  <c r="M25" i="14"/>
  <c r="M89" i="14"/>
  <c r="M153" i="14"/>
  <c r="M50" i="14"/>
  <c r="M114" i="14"/>
  <c r="M124" i="14"/>
  <c r="M46" i="14"/>
  <c r="M135" i="14"/>
  <c r="M160" i="14"/>
  <c r="M82" i="14"/>
  <c r="M107" i="14"/>
  <c r="M29" i="14"/>
  <c r="M118" i="14"/>
  <c r="M40" i="14"/>
  <c r="M129" i="14"/>
  <c r="M51" i="14"/>
  <c r="M140" i="14"/>
  <c r="M62" i="14"/>
  <c r="M151" i="14"/>
  <c r="M73" i="14"/>
  <c r="M123" i="14"/>
  <c r="M70" i="14"/>
  <c r="M159" i="14"/>
  <c r="M145" i="14"/>
  <c r="M11" i="14"/>
  <c r="M75" i="14"/>
  <c r="M139" i="14"/>
  <c r="M36" i="14"/>
  <c r="M100" i="14"/>
  <c r="M164" i="14"/>
  <c r="M61" i="14"/>
  <c r="M125" i="14"/>
  <c r="M22" i="14"/>
  <c r="M86" i="14"/>
  <c r="M150" i="14"/>
  <c r="M47" i="14"/>
  <c r="M111" i="14"/>
  <c r="M8" i="14"/>
  <c r="M72" i="14"/>
  <c r="M136" i="14"/>
  <c r="M33" i="14"/>
  <c r="M97" i="14"/>
  <c r="M161" i="14"/>
  <c r="M58" i="14"/>
  <c r="M122" i="14"/>
  <c r="M60" i="14"/>
  <c r="M85" i="14"/>
  <c r="M7" i="14"/>
  <c r="M57" i="14"/>
  <c r="M146" i="14"/>
  <c r="M4" i="14"/>
  <c r="M93" i="14"/>
  <c r="M15" i="14"/>
  <c r="M104" i="14"/>
  <c r="M26" i="14"/>
  <c r="M76" i="14"/>
  <c r="M165" i="14"/>
  <c r="M87" i="14"/>
  <c r="M9" i="14"/>
  <c r="M59" i="14"/>
  <c r="M6" i="14"/>
  <c r="M95" i="14"/>
  <c r="M81" i="14"/>
  <c r="M2" i="14"/>
  <c r="M19" i="14"/>
  <c r="M83" i="14"/>
  <c r="M147" i="14"/>
  <c r="M44" i="14"/>
  <c r="M108" i="14"/>
  <c r="M5" i="14"/>
  <c r="M69" i="14"/>
  <c r="M133" i="14"/>
  <c r="M30" i="14"/>
  <c r="M94" i="14"/>
  <c r="M158" i="14"/>
  <c r="M55" i="14"/>
  <c r="M119" i="14"/>
  <c r="M16" i="14"/>
  <c r="M80" i="14"/>
  <c r="M144" i="14"/>
  <c r="M41" i="14"/>
  <c r="M105" i="14"/>
  <c r="M169" i="14"/>
  <c r="M66" i="14"/>
  <c r="M130" i="14"/>
  <c r="M163" i="14"/>
  <c r="M149" i="14"/>
  <c r="M71" i="14"/>
  <c r="M96" i="14"/>
  <c r="M18" i="14"/>
  <c r="M43" i="14"/>
  <c r="M132" i="14"/>
  <c r="M157" i="14"/>
  <c r="M79" i="14"/>
  <c r="M168" i="14"/>
  <c r="M90" i="14"/>
  <c r="M12" i="14"/>
  <c r="M101" i="14"/>
  <c r="M23" i="14"/>
  <c r="M112" i="14"/>
  <c r="M162" i="14"/>
  <c r="M148" i="14"/>
  <c r="M31" i="14"/>
  <c r="M120" i="14"/>
  <c r="M106" i="14"/>
  <c r="M27" i="14"/>
  <c r="M91" i="14"/>
  <c r="M155" i="14"/>
  <c r="M52" i="14"/>
  <c r="M116" i="14"/>
  <c r="M13" i="14"/>
  <c r="M77" i="14"/>
  <c r="M141" i="14"/>
  <c r="M38" i="14"/>
  <c r="M102" i="14"/>
  <c r="M166" i="14"/>
  <c r="M63" i="14"/>
  <c r="M127" i="14"/>
  <c r="M24" i="14"/>
  <c r="M88" i="14"/>
  <c r="M152" i="14"/>
  <c r="M49" i="14"/>
  <c r="M113" i="14"/>
  <c r="M10" i="14"/>
  <c r="M74" i="14"/>
  <c r="M138" i="14"/>
  <c r="M35" i="14"/>
  <c r="M21" i="14"/>
  <c r="M110" i="14"/>
  <c r="M32" i="14"/>
  <c r="M121" i="14"/>
  <c r="M68" i="14"/>
  <c r="M54" i="14"/>
  <c r="M143" i="14"/>
  <c r="M65" i="14"/>
  <c r="M154" i="14"/>
  <c r="M115" i="14"/>
  <c r="M37" i="14"/>
  <c r="M126" i="14"/>
  <c r="M48" i="14"/>
  <c r="M137" i="14"/>
  <c r="M84" i="14"/>
  <c r="M134" i="14"/>
  <c r="M56" i="14"/>
  <c r="M42" i="14"/>
  <c r="M99" i="14"/>
  <c r="M109" i="14"/>
  <c r="M98" i="14"/>
  <c r="M20" i="14"/>
  <c r="M34" i="14"/>
  <c r="M45" i="14"/>
  <c r="M17" i="14"/>
  <c r="H205" i="27" l="1"/>
  <c r="W205" i="14"/>
  <c r="Z3" i="24"/>
  <c r="N3" i="24"/>
  <c r="U3" i="24" s="1"/>
  <c r="D3" i="8"/>
  <c r="J19" i="14" l="1"/>
  <c r="J27" i="14"/>
  <c r="J35" i="14"/>
  <c r="J43" i="14"/>
  <c r="J51" i="14"/>
  <c r="J59" i="14"/>
  <c r="J67" i="14"/>
  <c r="J75" i="14"/>
  <c r="J83" i="14"/>
  <c r="J91" i="14"/>
  <c r="J99" i="14"/>
  <c r="J107" i="14"/>
  <c r="J115" i="14"/>
  <c r="J123" i="14"/>
  <c r="J131" i="14"/>
  <c r="J139" i="14"/>
  <c r="J147" i="14"/>
  <c r="J155" i="14"/>
  <c r="J163" i="14"/>
  <c r="J171" i="14"/>
  <c r="J179" i="14"/>
  <c r="J187" i="14"/>
  <c r="J20" i="14"/>
  <c r="J28" i="14"/>
  <c r="J36" i="14"/>
  <c r="J44" i="14"/>
  <c r="J52" i="14"/>
  <c r="J60" i="14"/>
  <c r="J68" i="14"/>
  <c r="J76" i="14"/>
  <c r="J84" i="14"/>
  <c r="J92" i="14"/>
  <c r="J100" i="14"/>
  <c r="J108" i="14"/>
  <c r="J116" i="14"/>
  <c r="J124" i="14"/>
  <c r="J132" i="14"/>
  <c r="J140" i="14"/>
  <c r="J148" i="14"/>
  <c r="J156" i="14"/>
  <c r="J164" i="14"/>
  <c r="J172" i="14"/>
  <c r="J180" i="14"/>
  <c r="J188" i="14"/>
  <c r="J21" i="14"/>
  <c r="J29" i="14"/>
  <c r="J37" i="14"/>
  <c r="J45" i="14"/>
  <c r="J53" i="14"/>
  <c r="J61" i="14"/>
  <c r="J69" i="14"/>
  <c r="J77" i="14"/>
  <c r="J85" i="14"/>
  <c r="J93" i="14"/>
  <c r="J101" i="14"/>
  <c r="J109" i="14"/>
  <c r="J117" i="14"/>
  <c r="J125" i="14"/>
  <c r="J133" i="14"/>
  <c r="J141" i="14"/>
  <c r="J149" i="14"/>
  <c r="J157" i="14"/>
  <c r="J165" i="14"/>
  <c r="J173" i="14"/>
  <c r="J181" i="14"/>
  <c r="J189" i="14"/>
  <c r="J14" i="14"/>
  <c r="J22" i="14"/>
  <c r="J30" i="14"/>
  <c r="J38" i="14"/>
  <c r="J46" i="14"/>
  <c r="J54" i="14"/>
  <c r="J62" i="14"/>
  <c r="J70" i="14"/>
  <c r="J78" i="14"/>
  <c r="J86" i="14"/>
  <c r="J94" i="14"/>
  <c r="J102" i="14"/>
  <c r="J110" i="14"/>
  <c r="J118" i="14"/>
  <c r="J126" i="14"/>
  <c r="J134" i="14"/>
  <c r="J142" i="14"/>
  <c r="J150" i="14"/>
  <c r="J158" i="14"/>
  <c r="J166" i="14"/>
  <c r="J174" i="14"/>
  <c r="J182" i="14"/>
  <c r="J190" i="14"/>
  <c r="J15" i="14"/>
  <c r="J23" i="14"/>
  <c r="J31" i="14"/>
  <c r="J39" i="14"/>
  <c r="J47" i="14"/>
  <c r="J55" i="14"/>
  <c r="J63" i="14"/>
  <c r="J71" i="14"/>
  <c r="J79" i="14"/>
  <c r="J87" i="14"/>
  <c r="J95" i="14"/>
  <c r="J103" i="14"/>
  <c r="J111" i="14"/>
  <c r="J119" i="14"/>
  <c r="J127" i="14"/>
  <c r="J135" i="14"/>
  <c r="J143" i="14"/>
  <c r="J151" i="14"/>
  <c r="J159" i="14"/>
  <c r="J167" i="14"/>
  <c r="J175" i="14"/>
  <c r="J183" i="14"/>
  <c r="J191" i="14"/>
  <c r="J16" i="14"/>
  <c r="J24" i="14"/>
  <c r="J32" i="14"/>
  <c r="J40" i="14"/>
  <c r="J48" i="14"/>
  <c r="J56" i="14"/>
  <c r="J64" i="14"/>
  <c r="J72" i="14"/>
  <c r="J80" i="14"/>
  <c r="J88" i="14"/>
  <c r="J96" i="14"/>
  <c r="J104" i="14"/>
  <c r="J112" i="14"/>
  <c r="J120" i="14"/>
  <c r="J128" i="14"/>
  <c r="J136" i="14"/>
  <c r="J144" i="14"/>
  <c r="J152" i="14"/>
  <c r="J160" i="14"/>
  <c r="J168" i="14"/>
  <c r="J176" i="14"/>
  <c r="J184" i="14"/>
  <c r="J192" i="14"/>
  <c r="J17" i="14"/>
  <c r="J25" i="14"/>
  <c r="J33" i="14"/>
  <c r="J41" i="14"/>
  <c r="J49" i="14"/>
  <c r="J57" i="14"/>
  <c r="J65" i="14"/>
  <c r="J73" i="14"/>
  <c r="J81" i="14"/>
  <c r="J89" i="14"/>
  <c r="J97" i="14"/>
  <c r="J105" i="14"/>
  <c r="J113" i="14"/>
  <c r="J121" i="14"/>
  <c r="J129" i="14"/>
  <c r="J137" i="14"/>
  <c r="J145" i="14"/>
  <c r="J153" i="14"/>
  <c r="J161" i="14"/>
  <c r="J169" i="14"/>
  <c r="J177" i="14"/>
  <c r="J185" i="14"/>
  <c r="J193" i="14"/>
  <c r="J18" i="14"/>
  <c r="J26" i="14"/>
  <c r="J34" i="14"/>
  <c r="J42" i="14"/>
  <c r="J50" i="14"/>
  <c r="J58" i="14"/>
  <c r="J66" i="14"/>
  <c r="J74" i="14"/>
  <c r="J82" i="14"/>
  <c r="J90" i="14"/>
  <c r="J98" i="14"/>
  <c r="J106" i="14"/>
  <c r="J114" i="14"/>
  <c r="J122" i="14"/>
  <c r="J130" i="14"/>
  <c r="J138" i="14"/>
  <c r="J146" i="14"/>
  <c r="J154" i="14"/>
  <c r="J162" i="14"/>
  <c r="J170" i="14"/>
  <c r="J178" i="14"/>
  <c r="J186" i="14"/>
  <c r="X3" i="24"/>
  <c r="V3" i="24"/>
  <c r="B1201" i="14"/>
  <c r="Q1201" i="14" s="1"/>
  <c r="C1201" i="14"/>
  <c r="M6" i="7"/>
  <c r="M4" i="7"/>
  <c r="P1201" i="14" l="1"/>
  <c r="W3" i="24"/>
  <c r="Y3" i="24" s="1"/>
  <c r="V122" i="14" s="1"/>
  <c r="O1201" i="14"/>
  <c r="S1201" i="14" l="1"/>
  <c r="M5" i="7"/>
  <c r="G25" i="16" l="1"/>
  <c r="G28" i="16"/>
  <c r="G31" i="16"/>
  <c r="G29" i="16"/>
  <c r="G26" i="16"/>
  <c r="G30" i="16"/>
  <c r="G18" i="16"/>
  <c r="G9" i="16"/>
  <c r="G10" i="16"/>
  <c r="G24" i="16"/>
  <c r="G22" i="16"/>
  <c r="G17" i="16"/>
  <c r="G16" i="16"/>
  <c r="G21" i="16"/>
  <c r="G14" i="16"/>
  <c r="G11" i="16"/>
  <c r="G23" i="16"/>
  <c r="G19" i="16"/>
  <c r="G15" i="16"/>
  <c r="G12" i="16"/>
  <c r="G10" i="2"/>
  <c r="G4" i="16"/>
  <c r="G2" i="2"/>
  <c r="G6" i="16"/>
  <c r="G7" i="16"/>
  <c r="G8" i="2"/>
  <c r="G3" i="2"/>
  <c r="G11" i="2"/>
  <c r="G5" i="2"/>
  <c r="G6" i="2"/>
  <c r="G7" i="2"/>
  <c r="G4" i="2"/>
  <c r="G9" i="2"/>
  <c r="G5" i="16"/>
  <c r="G8" i="16"/>
  <c r="R5" i="7" l="1"/>
  <c r="B88" i="14"/>
  <c r="Q88" i="14" s="1"/>
  <c r="C88" i="14"/>
  <c r="B89" i="14"/>
  <c r="Q89" i="14" s="1"/>
  <c r="C89" i="14"/>
  <c r="B90" i="14"/>
  <c r="Q90" i="14" s="1"/>
  <c r="C90" i="14"/>
  <c r="B91" i="14"/>
  <c r="Q91" i="14" s="1"/>
  <c r="C91" i="14"/>
  <c r="B92" i="14"/>
  <c r="Q92" i="14" s="1"/>
  <c r="C92" i="14"/>
  <c r="B93" i="14"/>
  <c r="Q93" i="14" s="1"/>
  <c r="C93" i="14"/>
  <c r="B94" i="14"/>
  <c r="Q94" i="14" s="1"/>
  <c r="C94" i="14"/>
  <c r="B95" i="14"/>
  <c r="Q95" i="14" s="1"/>
  <c r="C95" i="14"/>
  <c r="B96" i="14"/>
  <c r="Q96" i="14" s="1"/>
  <c r="C96" i="14"/>
  <c r="B97" i="14"/>
  <c r="Q97" i="14" s="1"/>
  <c r="C97" i="14"/>
  <c r="B98" i="14"/>
  <c r="Q98" i="14" s="1"/>
  <c r="C98" i="14"/>
  <c r="B99" i="14"/>
  <c r="Q99" i="14" s="1"/>
  <c r="C99" i="14"/>
  <c r="B100" i="14"/>
  <c r="Q100" i="14" s="1"/>
  <c r="C100" i="14"/>
  <c r="B101" i="14"/>
  <c r="Q101" i="14" s="1"/>
  <c r="C101" i="14"/>
  <c r="B102" i="14"/>
  <c r="Q102" i="14" s="1"/>
  <c r="C102" i="14"/>
  <c r="B103" i="14"/>
  <c r="Q103" i="14" s="1"/>
  <c r="C103" i="14"/>
  <c r="B104" i="14"/>
  <c r="Q104" i="14" s="1"/>
  <c r="C104" i="14"/>
  <c r="B105" i="14"/>
  <c r="Q105" i="14" s="1"/>
  <c r="C105" i="14"/>
  <c r="B106" i="14"/>
  <c r="Q106" i="14" s="1"/>
  <c r="C106" i="14"/>
  <c r="B107" i="14"/>
  <c r="Q107" i="14" s="1"/>
  <c r="C107" i="14"/>
  <c r="B108" i="14"/>
  <c r="Q108" i="14" s="1"/>
  <c r="C108" i="14"/>
  <c r="B109" i="14"/>
  <c r="Q109" i="14" s="1"/>
  <c r="C109" i="14"/>
  <c r="B110" i="14"/>
  <c r="Q110" i="14" s="1"/>
  <c r="C110" i="14"/>
  <c r="B111" i="14"/>
  <c r="Q111" i="14" s="1"/>
  <c r="C111" i="14"/>
  <c r="B112" i="14"/>
  <c r="Q112" i="14" s="1"/>
  <c r="C112" i="14"/>
  <c r="B113" i="14"/>
  <c r="Q113" i="14" s="1"/>
  <c r="C113" i="14"/>
  <c r="B114" i="14"/>
  <c r="Q114" i="14" s="1"/>
  <c r="C114" i="14"/>
  <c r="B115" i="14"/>
  <c r="Q115" i="14" s="1"/>
  <c r="C115" i="14"/>
  <c r="B116" i="14"/>
  <c r="Q116" i="14" s="1"/>
  <c r="C116" i="14"/>
  <c r="B117" i="14"/>
  <c r="Q117" i="14" s="1"/>
  <c r="C117" i="14"/>
  <c r="B118" i="14"/>
  <c r="Q118" i="14" s="1"/>
  <c r="C118" i="14"/>
  <c r="B119" i="14"/>
  <c r="Q119" i="14" s="1"/>
  <c r="C119" i="14"/>
  <c r="B120" i="14"/>
  <c r="Q120" i="14" s="1"/>
  <c r="C120" i="14"/>
  <c r="B121" i="14"/>
  <c r="Q121" i="14" s="1"/>
  <c r="C121" i="14"/>
  <c r="B122" i="14"/>
  <c r="Q122" i="14" s="1"/>
  <c r="C122" i="14"/>
  <c r="B123" i="14"/>
  <c r="Q123" i="14" s="1"/>
  <c r="C123" i="14"/>
  <c r="B124" i="14"/>
  <c r="Q124" i="14" s="1"/>
  <c r="C124" i="14"/>
  <c r="B125" i="14"/>
  <c r="Q125" i="14" s="1"/>
  <c r="C125" i="14"/>
  <c r="B126" i="14"/>
  <c r="Q126" i="14" s="1"/>
  <c r="C126" i="14"/>
  <c r="B127" i="14"/>
  <c r="Q127" i="14" s="1"/>
  <c r="C127" i="14"/>
  <c r="B128" i="14"/>
  <c r="Q128" i="14" s="1"/>
  <c r="C128" i="14"/>
  <c r="B129" i="14"/>
  <c r="Q129" i="14" s="1"/>
  <c r="C129" i="14"/>
  <c r="B130" i="14"/>
  <c r="Q130" i="14" s="1"/>
  <c r="C130" i="14"/>
  <c r="B131" i="14"/>
  <c r="Q131" i="14" s="1"/>
  <c r="C131" i="14"/>
  <c r="B132" i="14"/>
  <c r="Q132" i="14" s="1"/>
  <c r="C132" i="14"/>
  <c r="B133" i="14"/>
  <c r="Q133" i="14" s="1"/>
  <c r="C133" i="14"/>
  <c r="B134" i="14"/>
  <c r="Q134" i="14" s="1"/>
  <c r="C134" i="14"/>
  <c r="B135" i="14"/>
  <c r="Q135" i="14" s="1"/>
  <c r="C135" i="14"/>
  <c r="B136" i="14"/>
  <c r="Q136" i="14" s="1"/>
  <c r="C136" i="14"/>
  <c r="B137" i="14"/>
  <c r="Q137" i="14" s="1"/>
  <c r="C137" i="14"/>
  <c r="B138" i="14"/>
  <c r="Q138" i="14" s="1"/>
  <c r="C138" i="14"/>
  <c r="B139" i="14"/>
  <c r="Q139" i="14" s="1"/>
  <c r="C139" i="14"/>
  <c r="B140" i="14"/>
  <c r="Q140" i="14" s="1"/>
  <c r="C140" i="14"/>
  <c r="B141" i="14"/>
  <c r="Q141" i="14" s="1"/>
  <c r="C141" i="14"/>
  <c r="B142" i="14"/>
  <c r="Q142" i="14" s="1"/>
  <c r="C142" i="14"/>
  <c r="B143" i="14"/>
  <c r="Q143" i="14" s="1"/>
  <c r="C143" i="14"/>
  <c r="B144" i="14"/>
  <c r="Q144" i="14" s="1"/>
  <c r="C144" i="14"/>
  <c r="B145" i="14"/>
  <c r="Q145" i="14" s="1"/>
  <c r="C145" i="14"/>
  <c r="B146" i="14"/>
  <c r="Q146" i="14" s="1"/>
  <c r="C146" i="14"/>
  <c r="B147" i="14"/>
  <c r="Q147" i="14" s="1"/>
  <c r="C147" i="14"/>
  <c r="B148" i="14"/>
  <c r="Q148" i="14" s="1"/>
  <c r="C148" i="14"/>
  <c r="B149" i="14"/>
  <c r="Q149" i="14" s="1"/>
  <c r="C149" i="14"/>
  <c r="B150" i="14"/>
  <c r="Q150" i="14" s="1"/>
  <c r="C150" i="14"/>
  <c r="B151" i="14"/>
  <c r="Q151" i="14" s="1"/>
  <c r="C151" i="14"/>
  <c r="B152" i="14"/>
  <c r="Q152" i="14" s="1"/>
  <c r="C152" i="14"/>
  <c r="B153" i="14"/>
  <c r="Q153" i="14" s="1"/>
  <c r="C153" i="14"/>
  <c r="B154" i="14"/>
  <c r="Q154" i="14" s="1"/>
  <c r="C154" i="14"/>
  <c r="B155" i="14"/>
  <c r="Q155" i="14" s="1"/>
  <c r="C155" i="14"/>
  <c r="B156" i="14"/>
  <c r="Q156" i="14" s="1"/>
  <c r="C156" i="14"/>
  <c r="B157" i="14"/>
  <c r="Q157" i="14" s="1"/>
  <c r="C157" i="14"/>
  <c r="B158" i="14"/>
  <c r="Q158" i="14" s="1"/>
  <c r="C158" i="14"/>
  <c r="B159" i="14"/>
  <c r="Q159" i="14" s="1"/>
  <c r="C159" i="14"/>
  <c r="B160" i="14"/>
  <c r="Q160" i="14" s="1"/>
  <c r="C160" i="14"/>
  <c r="B161" i="14"/>
  <c r="Q161" i="14" s="1"/>
  <c r="C161" i="14"/>
  <c r="B162" i="14"/>
  <c r="Q162" i="14" s="1"/>
  <c r="C162" i="14"/>
  <c r="B163" i="14"/>
  <c r="Q163" i="14" s="1"/>
  <c r="C163" i="14"/>
  <c r="B164" i="14"/>
  <c r="Q164" i="14" s="1"/>
  <c r="C164" i="14"/>
  <c r="B165" i="14"/>
  <c r="Q165" i="14" s="1"/>
  <c r="C165" i="14"/>
  <c r="B166" i="14"/>
  <c r="Q166" i="14" s="1"/>
  <c r="C166" i="14"/>
  <c r="B167" i="14"/>
  <c r="Q167" i="14" s="1"/>
  <c r="C167" i="14"/>
  <c r="B168" i="14"/>
  <c r="Q168" i="14" s="1"/>
  <c r="C168" i="14"/>
  <c r="B169" i="14"/>
  <c r="Q169" i="14" s="1"/>
  <c r="C169" i="14"/>
  <c r="B170" i="14"/>
  <c r="Q170" i="14" s="1"/>
  <c r="C170" i="14"/>
  <c r="B171" i="14"/>
  <c r="Q171" i="14" s="1"/>
  <c r="C171" i="14"/>
  <c r="B172" i="14"/>
  <c r="Q172" i="14" s="1"/>
  <c r="C172" i="14"/>
  <c r="B173" i="14"/>
  <c r="Q173" i="14" s="1"/>
  <c r="C173" i="14"/>
  <c r="B174" i="14"/>
  <c r="Q174" i="14" s="1"/>
  <c r="C174" i="14"/>
  <c r="B175" i="14"/>
  <c r="Q175" i="14" s="1"/>
  <c r="C175" i="14"/>
  <c r="B176" i="14"/>
  <c r="Q176" i="14" s="1"/>
  <c r="C176" i="14"/>
  <c r="B177" i="14"/>
  <c r="Q177" i="14" s="1"/>
  <c r="C177" i="14"/>
  <c r="B178" i="14"/>
  <c r="Q178" i="14" s="1"/>
  <c r="C178" i="14"/>
  <c r="B179" i="14"/>
  <c r="Q179" i="14" s="1"/>
  <c r="C179" i="14"/>
  <c r="B180" i="14"/>
  <c r="Q180" i="14" s="1"/>
  <c r="C180" i="14"/>
  <c r="B181" i="14"/>
  <c r="Q181" i="14" s="1"/>
  <c r="C181" i="14"/>
  <c r="B182" i="14"/>
  <c r="Q182" i="14" s="1"/>
  <c r="C182" i="14"/>
  <c r="B183" i="14"/>
  <c r="Q183" i="14" s="1"/>
  <c r="C183" i="14"/>
  <c r="B184" i="14"/>
  <c r="Q184" i="14" s="1"/>
  <c r="C184" i="14"/>
  <c r="B185" i="14"/>
  <c r="Q185" i="14" s="1"/>
  <c r="C185" i="14"/>
  <c r="B186" i="14"/>
  <c r="Q186" i="14" s="1"/>
  <c r="C186" i="14"/>
  <c r="B187" i="14"/>
  <c r="Q187" i="14" s="1"/>
  <c r="C187" i="14"/>
  <c r="B188" i="14"/>
  <c r="Q188" i="14" s="1"/>
  <c r="C188" i="14"/>
  <c r="B189" i="14"/>
  <c r="Q189" i="14" s="1"/>
  <c r="C189" i="14"/>
  <c r="B190" i="14"/>
  <c r="Q190" i="14" s="1"/>
  <c r="C190" i="14"/>
  <c r="B191" i="14"/>
  <c r="Q191" i="14" s="1"/>
  <c r="C191" i="14"/>
  <c r="B192" i="14"/>
  <c r="Q192" i="14" s="1"/>
  <c r="C192" i="14"/>
  <c r="B193" i="14"/>
  <c r="Q193" i="14" s="1"/>
  <c r="C193" i="14"/>
  <c r="B194" i="14"/>
  <c r="Q194" i="14" s="1"/>
  <c r="C194" i="14"/>
  <c r="B195" i="14"/>
  <c r="Q195" i="14" s="1"/>
  <c r="C195" i="14"/>
  <c r="B196" i="14"/>
  <c r="Q196" i="14" s="1"/>
  <c r="C196" i="14"/>
  <c r="B197" i="14"/>
  <c r="Q197" i="14" s="1"/>
  <c r="C197" i="14"/>
  <c r="B198" i="14"/>
  <c r="Q198" i="14" s="1"/>
  <c r="C198" i="14"/>
  <c r="B199" i="14"/>
  <c r="Q199" i="14" s="1"/>
  <c r="C199" i="14"/>
  <c r="B200" i="14"/>
  <c r="Q200" i="14" s="1"/>
  <c r="C200" i="14"/>
  <c r="B201" i="14"/>
  <c r="Q201" i="14" s="1"/>
  <c r="C201" i="14"/>
  <c r="B202" i="14"/>
  <c r="Q202" i="14" s="1"/>
  <c r="C202" i="14"/>
  <c r="B203" i="14"/>
  <c r="Q203" i="14" s="1"/>
  <c r="C203" i="14"/>
  <c r="B204" i="14"/>
  <c r="Q204" i="14" s="1"/>
  <c r="C204" i="14"/>
  <c r="B205" i="14"/>
  <c r="Q205" i="14" s="1"/>
  <c r="C205" i="14"/>
  <c r="B206" i="14"/>
  <c r="Q206" i="14" s="1"/>
  <c r="C206" i="14"/>
  <c r="B207" i="14"/>
  <c r="Q207" i="14" s="1"/>
  <c r="C207" i="14"/>
  <c r="B208" i="14"/>
  <c r="Q208" i="14" s="1"/>
  <c r="C208" i="14"/>
  <c r="B209" i="14"/>
  <c r="Q209" i="14" s="1"/>
  <c r="C209" i="14"/>
  <c r="B210" i="14"/>
  <c r="Q210" i="14" s="1"/>
  <c r="C210" i="14"/>
  <c r="B211" i="14"/>
  <c r="Q211" i="14" s="1"/>
  <c r="C211" i="14"/>
  <c r="B212" i="14"/>
  <c r="Q212" i="14" s="1"/>
  <c r="C212" i="14"/>
  <c r="B213" i="14"/>
  <c r="Q213" i="14" s="1"/>
  <c r="C213" i="14"/>
  <c r="B214" i="14"/>
  <c r="Q214" i="14" s="1"/>
  <c r="C214" i="14"/>
  <c r="B215" i="14"/>
  <c r="Q215" i="14" s="1"/>
  <c r="C215" i="14"/>
  <c r="B216" i="14"/>
  <c r="Q216" i="14" s="1"/>
  <c r="C216" i="14"/>
  <c r="B217" i="14"/>
  <c r="Q217" i="14" s="1"/>
  <c r="C217" i="14"/>
  <c r="B218" i="14"/>
  <c r="Q218" i="14" s="1"/>
  <c r="C218" i="14"/>
  <c r="B219" i="14"/>
  <c r="Q219" i="14" s="1"/>
  <c r="C219" i="14"/>
  <c r="B220" i="14"/>
  <c r="Q220" i="14" s="1"/>
  <c r="C220" i="14"/>
  <c r="B221" i="14"/>
  <c r="Q221" i="14" s="1"/>
  <c r="C221" i="14"/>
  <c r="B222" i="14"/>
  <c r="Q222" i="14" s="1"/>
  <c r="C222" i="14"/>
  <c r="B223" i="14"/>
  <c r="Q223" i="14" s="1"/>
  <c r="C223" i="14"/>
  <c r="B224" i="14"/>
  <c r="Q224" i="14" s="1"/>
  <c r="C224" i="14"/>
  <c r="B225" i="14"/>
  <c r="Q225" i="14" s="1"/>
  <c r="C225" i="14"/>
  <c r="B226" i="14"/>
  <c r="Q226" i="14" s="1"/>
  <c r="C226" i="14"/>
  <c r="B227" i="14"/>
  <c r="Q227" i="14" s="1"/>
  <c r="C227" i="14"/>
  <c r="B228" i="14"/>
  <c r="Q228" i="14" s="1"/>
  <c r="C228" i="14"/>
  <c r="B229" i="14"/>
  <c r="Q229" i="14" s="1"/>
  <c r="C229" i="14"/>
  <c r="B230" i="14"/>
  <c r="Q230" i="14" s="1"/>
  <c r="C230" i="14"/>
  <c r="B231" i="14"/>
  <c r="Q231" i="14" s="1"/>
  <c r="C231" i="14"/>
  <c r="B232" i="14"/>
  <c r="Q232" i="14" s="1"/>
  <c r="C232" i="14"/>
  <c r="B233" i="14"/>
  <c r="Q233" i="14" s="1"/>
  <c r="C233" i="14"/>
  <c r="B234" i="14"/>
  <c r="Q234" i="14" s="1"/>
  <c r="C234" i="14"/>
  <c r="B235" i="14"/>
  <c r="Q235" i="14" s="1"/>
  <c r="C235" i="14"/>
  <c r="B236" i="14"/>
  <c r="Q236" i="14" s="1"/>
  <c r="C236" i="14"/>
  <c r="B237" i="14"/>
  <c r="Q237" i="14" s="1"/>
  <c r="C237" i="14"/>
  <c r="B238" i="14"/>
  <c r="Q238" i="14" s="1"/>
  <c r="C238" i="14"/>
  <c r="B239" i="14"/>
  <c r="Q239" i="14" s="1"/>
  <c r="C239" i="14"/>
  <c r="B240" i="14"/>
  <c r="Q240" i="14" s="1"/>
  <c r="C240" i="14"/>
  <c r="B241" i="14"/>
  <c r="Q241" i="14" s="1"/>
  <c r="C241" i="14"/>
  <c r="B242" i="14"/>
  <c r="Q242" i="14" s="1"/>
  <c r="C242" i="14"/>
  <c r="B243" i="14"/>
  <c r="Q243" i="14" s="1"/>
  <c r="C243" i="14"/>
  <c r="B244" i="14"/>
  <c r="Q244" i="14" s="1"/>
  <c r="C244" i="14"/>
  <c r="B245" i="14"/>
  <c r="Q245" i="14" s="1"/>
  <c r="C245" i="14"/>
  <c r="B246" i="14"/>
  <c r="Q246" i="14" s="1"/>
  <c r="C246" i="14"/>
  <c r="B247" i="14"/>
  <c r="Q247" i="14" s="1"/>
  <c r="C247" i="14"/>
  <c r="B248" i="14"/>
  <c r="Q248" i="14" s="1"/>
  <c r="C248" i="14"/>
  <c r="B249" i="14"/>
  <c r="Q249" i="14" s="1"/>
  <c r="C249" i="14"/>
  <c r="B250" i="14"/>
  <c r="Q250" i="14" s="1"/>
  <c r="C250" i="14"/>
  <c r="B251" i="14"/>
  <c r="Q251" i="14" s="1"/>
  <c r="C251" i="14"/>
  <c r="B252" i="14"/>
  <c r="Q252" i="14" s="1"/>
  <c r="C252" i="14"/>
  <c r="B253" i="14"/>
  <c r="Q253" i="14" s="1"/>
  <c r="C253" i="14"/>
  <c r="B254" i="14"/>
  <c r="Q254" i="14" s="1"/>
  <c r="C254" i="14"/>
  <c r="B255" i="14"/>
  <c r="Q255" i="14" s="1"/>
  <c r="C255" i="14"/>
  <c r="B256" i="14"/>
  <c r="Q256" i="14" s="1"/>
  <c r="C256" i="14"/>
  <c r="B257" i="14"/>
  <c r="Q257" i="14" s="1"/>
  <c r="C257" i="14"/>
  <c r="B258" i="14"/>
  <c r="Q258" i="14" s="1"/>
  <c r="C258" i="14"/>
  <c r="B259" i="14"/>
  <c r="Q259" i="14" s="1"/>
  <c r="C259" i="14"/>
  <c r="B260" i="14"/>
  <c r="Q260" i="14" s="1"/>
  <c r="C260" i="14"/>
  <c r="B261" i="14"/>
  <c r="Q261" i="14" s="1"/>
  <c r="C261" i="14"/>
  <c r="B262" i="14"/>
  <c r="Q262" i="14" s="1"/>
  <c r="C262" i="14"/>
  <c r="B263" i="14"/>
  <c r="Q263" i="14" s="1"/>
  <c r="C263" i="14"/>
  <c r="B264" i="14"/>
  <c r="Q264" i="14" s="1"/>
  <c r="C264" i="14"/>
  <c r="B265" i="14"/>
  <c r="Q265" i="14" s="1"/>
  <c r="C265" i="14"/>
  <c r="B266" i="14"/>
  <c r="Q266" i="14" s="1"/>
  <c r="C266" i="14"/>
  <c r="B267" i="14"/>
  <c r="Q267" i="14" s="1"/>
  <c r="C267" i="14"/>
  <c r="B268" i="14"/>
  <c r="Q268" i="14" s="1"/>
  <c r="C268" i="14"/>
  <c r="B269" i="14"/>
  <c r="Q269" i="14" s="1"/>
  <c r="C269" i="14"/>
  <c r="B270" i="14"/>
  <c r="Q270" i="14" s="1"/>
  <c r="C270" i="14"/>
  <c r="B271" i="14"/>
  <c r="Q271" i="14" s="1"/>
  <c r="C271" i="14"/>
  <c r="B272" i="14"/>
  <c r="Q272" i="14" s="1"/>
  <c r="C272" i="14"/>
  <c r="B273" i="14"/>
  <c r="Q273" i="14" s="1"/>
  <c r="C273" i="14"/>
  <c r="B274" i="14"/>
  <c r="Q274" i="14" s="1"/>
  <c r="C274" i="14"/>
  <c r="B275" i="14"/>
  <c r="Q275" i="14" s="1"/>
  <c r="C275" i="14"/>
  <c r="B276" i="14"/>
  <c r="Q276" i="14" s="1"/>
  <c r="C276" i="14"/>
  <c r="B277" i="14"/>
  <c r="Q277" i="14" s="1"/>
  <c r="C277" i="14"/>
  <c r="B278" i="14"/>
  <c r="Q278" i="14" s="1"/>
  <c r="C278" i="14"/>
  <c r="B279" i="14"/>
  <c r="Q279" i="14" s="1"/>
  <c r="C279" i="14"/>
  <c r="B280" i="14"/>
  <c r="Q280" i="14" s="1"/>
  <c r="C280" i="14"/>
  <c r="B281" i="14"/>
  <c r="Q281" i="14" s="1"/>
  <c r="C281" i="14"/>
  <c r="B282" i="14"/>
  <c r="Q282" i="14" s="1"/>
  <c r="C282" i="14"/>
  <c r="B283" i="14"/>
  <c r="Q283" i="14" s="1"/>
  <c r="C283" i="14"/>
  <c r="B284" i="14"/>
  <c r="Q284" i="14" s="1"/>
  <c r="C284" i="14"/>
  <c r="B285" i="14"/>
  <c r="Q285" i="14" s="1"/>
  <c r="C285" i="14"/>
  <c r="B286" i="14"/>
  <c r="Q286" i="14" s="1"/>
  <c r="C286" i="14"/>
  <c r="B287" i="14"/>
  <c r="Q287" i="14" s="1"/>
  <c r="C287" i="14"/>
  <c r="B288" i="14"/>
  <c r="Q288" i="14" s="1"/>
  <c r="C288" i="14"/>
  <c r="B289" i="14"/>
  <c r="Q289" i="14" s="1"/>
  <c r="C289" i="14"/>
  <c r="B290" i="14"/>
  <c r="Q290" i="14" s="1"/>
  <c r="C290" i="14"/>
  <c r="B291" i="14"/>
  <c r="Q291" i="14" s="1"/>
  <c r="C291" i="14"/>
  <c r="B292" i="14"/>
  <c r="Q292" i="14" s="1"/>
  <c r="C292" i="14"/>
  <c r="B293" i="14"/>
  <c r="Q293" i="14" s="1"/>
  <c r="C293" i="14"/>
  <c r="B294" i="14"/>
  <c r="Q294" i="14" s="1"/>
  <c r="C294" i="14"/>
  <c r="B295" i="14"/>
  <c r="Q295" i="14" s="1"/>
  <c r="C295" i="14"/>
  <c r="B296" i="14"/>
  <c r="Q296" i="14" s="1"/>
  <c r="C296" i="14"/>
  <c r="B297" i="14"/>
  <c r="Q297" i="14" s="1"/>
  <c r="C297" i="14"/>
  <c r="B298" i="14"/>
  <c r="Q298" i="14" s="1"/>
  <c r="C298" i="14"/>
  <c r="B299" i="14"/>
  <c r="Q299" i="14" s="1"/>
  <c r="C299" i="14"/>
  <c r="B300" i="14"/>
  <c r="Q300" i="14" s="1"/>
  <c r="C300" i="14"/>
  <c r="B301" i="14"/>
  <c r="Q301" i="14" s="1"/>
  <c r="C301" i="14"/>
  <c r="B302" i="14"/>
  <c r="Q302" i="14" s="1"/>
  <c r="C302" i="14"/>
  <c r="B303" i="14"/>
  <c r="Q303" i="14" s="1"/>
  <c r="C303" i="14"/>
  <c r="B304" i="14"/>
  <c r="Q304" i="14" s="1"/>
  <c r="C304" i="14"/>
  <c r="B305" i="14"/>
  <c r="Q305" i="14" s="1"/>
  <c r="C305" i="14"/>
  <c r="B306" i="14"/>
  <c r="Q306" i="14" s="1"/>
  <c r="C306" i="14"/>
  <c r="B307" i="14"/>
  <c r="Q307" i="14" s="1"/>
  <c r="C307" i="14"/>
  <c r="B308" i="14"/>
  <c r="Q308" i="14" s="1"/>
  <c r="C308" i="14"/>
  <c r="B309" i="14"/>
  <c r="Q309" i="14" s="1"/>
  <c r="C309" i="14"/>
  <c r="B310" i="14"/>
  <c r="Q310" i="14" s="1"/>
  <c r="C310" i="14"/>
  <c r="B311" i="14"/>
  <c r="Q311" i="14" s="1"/>
  <c r="C311" i="14"/>
  <c r="B312" i="14"/>
  <c r="Q312" i="14" s="1"/>
  <c r="C312" i="14"/>
  <c r="B313" i="14"/>
  <c r="Q313" i="14" s="1"/>
  <c r="C313" i="14"/>
  <c r="B314" i="14"/>
  <c r="Q314" i="14" s="1"/>
  <c r="C314" i="14"/>
  <c r="B315" i="14"/>
  <c r="Q315" i="14" s="1"/>
  <c r="C315" i="14"/>
  <c r="B316" i="14"/>
  <c r="Q316" i="14" s="1"/>
  <c r="C316" i="14"/>
  <c r="B317" i="14"/>
  <c r="Q317" i="14" s="1"/>
  <c r="C317" i="14"/>
  <c r="B318" i="14"/>
  <c r="Q318" i="14" s="1"/>
  <c r="C318" i="14"/>
  <c r="B319" i="14"/>
  <c r="Q319" i="14" s="1"/>
  <c r="C319" i="14"/>
  <c r="B320" i="14"/>
  <c r="Q320" i="14" s="1"/>
  <c r="C320" i="14"/>
  <c r="B321" i="14"/>
  <c r="Q321" i="14" s="1"/>
  <c r="C321" i="14"/>
  <c r="B322" i="14"/>
  <c r="Q322" i="14" s="1"/>
  <c r="C322" i="14"/>
  <c r="B323" i="14"/>
  <c r="Q323" i="14" s="1"/>
  <c r="C323" i="14"/>
  <c r="B324" i="14"/>
  <c r="Q324" i="14" s="1"/>
  <c r="C324" i="14"/>
  <c r="B325" i="14"/>
  <c r="Q325" i="14" s="1"/>
  <c r="C325" i="14"/>
  <c r="B326" i="14"/>
  <c r="Q326" i="14" s="1"/>
  <c r="C326" i="14"/>
  <c r="B327" i="14"/>
  <c r="Q327" i="14" s="1"/>
  <c r="C327" i="14"/>
  <c r="B328" i="14"/>
  <c r="Q328" i="14" s="1"/>
  <c r="C328" i="14"/>
  <c r="B329" i="14"/>
  <c r="Q329" i="14" s="1"/>
  <c r="C329" i="14"/>
  <c r="B330" i="14"/>
  <c r="Q330" i="14" s="1"/>
  <c r="C330" i="14"/>
  <c r="B331" i="14"/>
  <c r="Q331" i="14" s="1"/>
  <c r="C331" i="14"/>
  <c r="B332" i="14"/>
  <c r="Q332" i="14" s="1"/>
  <c r="C332" i="14"/>
  <c r="B333" i="14"/>
  <c r="Q333" i="14" s="1"/>
  <c r="C333" i="14"/>
  <c r="B334" i="14"/>
  <c r="Q334" i="14" s="1"/>
  <c r="C334" i="14"/>
  <c r="B335" i="14"/>
  <c r="Q335" i="14" s="1"/>
  <c r="C335" i="14"/>
  <c r="B336" i="14"/>
  <c r="Q336" i="14" s="1"/>
  <c r="C336" i="14"/>
  <c r="B337" i="14"/>
  <c r="Q337" i="14" s="1"/>
  <c r="C337" i="14"/>
  <c r="B338" i="14"/>
  <c r="Q338" i="14" s="1"/>
  <c r="C338" i="14"/>
  <c r="B339" i="14"/>
  <c r="Q339" i="14" s="1"/>
  <c r="C339" i="14"/>
  <c r="B340" i="14"/>
  <c r="Q340" i="14" s="1"/>
  <c r="C340" i="14"/>
  <c r="B341" i="14"/>
  <c r="Q341" i="14" s="1"/>
  <c r="C341" i="14"/>
  <c r="B342" i="14"/>
  <c r="Q342" i="14" s="1"/>
  <c r="C342" i="14"/>
  <c r="B343" i="14"/>
  <c r="Q343" i="14" s="1"/>
  <c r="C343" i="14"/>
  <c r="B344" i="14"/>
  <c r="Q344" i="14" s="1"/>
  <c r="C344" i="14"/>
  <c r="B345" i="14"/>
  <c r="Q345" i="14" s="1"/>
  <c r="C345" i="14"/>
  <c r="B346" i="14"/>
  <c r="Q346" i="14" s="1"/>
  <c r="C346" i="14"/>
  <c r="B347" i="14"/>
  <c r="Q347" i="14" s="1"/>
  <c r="C347" i="14"/>
  <c r="B348" i="14"/>
  <c r="Q348" i="14" s="1"/>
  <c r="C348" i="14"/>
  <c r="B349" i="14"/>
  <c r="Q349" i="14" s="1"/>
  <c r="C349" i="14"/>
  <c r="B350" i="14"/>
  <c r="Q350" i="14" s="1"/>
  <c r="C350" i="14"/>
  <c r="B351" i="14"/>
  <c r="Q351" i="14" s="1"/>
  <c r="C351" i="14"/>
  <c r="B352" i="14"/>
  <c r="Q352" i="14" s="1"/>
  <c r="C352" i="14"/>
  <c r="B353" i="14"/>
  <c r="Q353" i="14" s="1"/>
  <c r="C353" i="14"/>
  <c r="B354" i="14"/>
  <c r="Q354" i="14" s="1"/>
  <c r="C354" i="14"/>
  <c r="B355" i="14"/>
  <c r="Q355" i="14" s="1"/>
  <c r="C355" i="14"/>
  <c r="B356" i="14"/>
  <c r="Q356" i="14" s="1"/>
  <c r="C356" i="14"/>
  <c r="B357" i="14"/>
  <c r="Q357" i="14" s="1"/>
  <c r="C357" i="14"/>
  <c r="B358" i="14"/>
  <c r="Q358" i="14" s="1"/>
  <c r="C358" i="14"/>
  <c r="B359" i="14"/>
  <c r="Q359" i="14" s="1"/>
  <c r="C359" i="14"/>
  <c r="B360" i="14"/>
  <c r="Q360" i="14" s="1"/>
  <c r="C360" i="14"/>
  <c r="B361" i="14"/>
  <c r="Q361" i="14" s="1"/>
  <c r="C361" i="14"/>
  <c r="B362" i="14"/>
  <c r="Q362" i="14" s="1"/>
  <c r="C362" i="14"/>
  <c r="B363" i="14"/>
  <c r="Q363" i="14" s="1"/>
  <c r="C363" i="14"/>
  <c r="B364" i="14"/>
  <c r="Q364" i="14" s="1"/>
  <c r="C364" i="14"/>
  <c r="B365" i="14"/>
  <c r="Q365" i="14" s="1"/>
  <c r="C365" i="14"/>
  <c r="B366" i="14"/>
  <c r="Q366" i="14" s="1"/>
  <c r="C366" i="14"/>
  <c r="B367" i="14"/>
  <c r="Q367" i="14" s="1"/>
  <c r="C367" i="14"/>
  <c r="B368" i="14"/>
  <c r="Q368" i="14" s="1"/>
  <c r="C368" i="14"/>
  <c r="B369" i="14"/>
  <c r="Q369" i="14" s="1"/>
  <c r="C369" i="14"/>
  <c r="B370" i="14"/>
  <c r="Q370" i="14" s="1"/>
  <c r="C370" i="14"/>
  <c r="B371" i="14"/>
  <c r="Q371" i="14" s="1"/>
  <c r="C371" i="14"/>
  <c r="B372" i="14"/>
  <c r="Q372" i="14" s="1"/>
  <c r="C372" i="14"/>
  <c r="B373" i="14"/>
  <c r="Q373" i="14" s="1"/>
  <c r="C373" i="14"/>
  <c r="B374" i="14"/>
  <c r="Q374" i="14" s="1"/>
  <c r="C374" i="14"/>
  <c r="B375" i="14"/>
  <c r="Q375" i="14" s="1"/>
  <c r="C375" i="14"/>
  <c r="B376" i="14"/>
  <c r="Q376" i="14" s="1"/>
  <c r="C376" i="14"/>
  <c r="B377" i="14"/>
  <c r="Q377" i="14" s="1"/>
  <c r="C377" i="14"/>
  <c r="B378" i="14"/>
  <c r="Q378" i="14" s="1"/>
  <c r="C378" i="14"/>
  <c r="B379" i="14"/>
  <c r="Q379" i="14" s="1"/>
  <c r="C379" i="14"/>
  <c r="B380" i="14"/>
  <c r="Q380" i="14" s="1"/>
  <c r="C380" i="14"/>
  <c r="B381" i="14"/>
  <c r="Q381" i="14" s="1"/>
  <c r="C381" i="14"/>
  <c r="B382" i="14"/>
  <c r="Q382" i="14" s="1"/>
  <c r="C382" i="14"/>
  <c r="B383" i="14"/>
  <c r="Q383" i="14" s="1"/>
  <c r="C383" i="14"/>
  <c r="B384" i="14"/>
  <c r="Q384" i="14" s="1"/>
  <c r="C384" i="14"/>
  <c r="B385" i="14"/>
  <c r="Q385" i="14" s="1"/>
  <c r="C385" i="14"/>
  <c r="B386" i="14"/>
  <c r="Q386" i="14" s="1"/>
  <c r="C386" i="14"/>
  <c r="B387" i="14"/>
  <c r="Q387" i="14" s="1"/>
  <c r="C387" i="14"/>
  <c r="B388" i="14"/>
  <c r="Q388" i="14" s="1"/>
  <c r="C388" i="14"/>
  <c r="B389" i="14"/>
  <c r="Q389" i="14" s="1"/>
  <c r="C389" i="14"/>
  <c r="B390" i="14"/>
  <c r="Q390" i="14" s="1"/>
  <c r="C390" i="14"/>
  <c r="B391" i="14"/>
  <c r="Q391" i="14" s="1"/>
  <c r="C391" i="14"/>
  <c r="B392" i="14"/>
  <c r="Q392" i="14" s="1"/>
  <c r="C392" i="14"/>
  <c r="B393" i="14"/>
  <c r="Q393" i="14" s="1"/>
  <c r="C393" i="14"/>
  <c r="B394" i="14"/>
  <c r="Q394" i="14" s="1"/>
  <c r="C394" i="14"/>
  <c r="B395" i="14"/>
  <c r="Q395" i="14" s="1"/>
  <c r="C395" i="14"/>
  <c r="B396" i="14"/>
  <c r="Q396" i="14" s="1"/>
  <c r="C396" i="14"/>
  <c r="B397" i="14"/>
  <c r="Q397" i="14" s="1"/>
  <c r="C397" i="14"/>
  <c r="B398" i="14"/>
  <c r="Q398" i="14" s="1"/>
  <c r="C398" i="14"/>
  <c r="B399" i="14"/>
  <c r="Q399" i="14" s="1"/>
  <c r="C399" i="14"/>
  <c r="B400" i="14"/>
  <c r="Q400" i="14" s="1"/>
  <c r="C400" i="14"/>
  <c r="B401" i="14"/>
  <c r="Q401" i="14" s="1"/>
  <c r="C401" i="14"/>
  <c r="B402" i="14"/>
  <c r="Q402" i="14" s="1"/>
  <c r="C402" i="14"/>
  <c r="B403" i="14"/>
  <c r="Q403" i="14" s="1"/>
  <c r="C403" i="14"/>
  <c r="B404" i="14"/>
  <c r="Q404" i="14" s="1"/>
  <c r="C404" i="14"/>
  <c r="B405" i="14"/>
  <c r="Q405" i="14" s="1"/>
  <c r="C405" i="14"/>
  <c r="B406" i="14"/>
  <c r="Q406" i="14" s="1"/>
  <c r="C406" i="14"/>
  <c r="B407" i="14"/>
  <c r="Q407" i="14" s="1"/>
  <c r="C407" i="14"/>
  <c r="B408" i="14"/>
  <c r="Q408" i="14" s="1"/>
  <c r="C408" i="14"/>
  <c r="B409" i="14"/>
  <c r="Q409" i="14" s="1"/>
  <c r="C409" i="14"/>
  <c r="B410" i="14"/>
  <c r="Q410" i="14" s="1"/>
  <c r="C410" i="14"/>
  <c r="B411" i="14"/>
  <c r="Q411" i="14" s="1"/>
  <c r="C411" i="14"/>
  <c r="B412" i="14"/>
  <c r="Q412" i="14" s="1"/>
  <c r="C412" i="14"/>
  <c r="B413" i="14"/>
  <c r="Q413" i="14" s="1"/>
  <c r="C413" i="14"/>
  <c r="B414" i="14"/>
  <c r="Q414" i="14" s="1"/>
  <c r="C414" i="14"/>
  <c r="B415" i="14"/>
  <c r="Q415" i="14" s="1"/>
  <c r="C415" i="14"/>
  <c r="B416" i="14"/>
  <c r="Q416" i="14" s="1"/>
  <c r="C416" i="14"/>
  <c r="B417" i="14"/>
  <c r="Q417" i="14" s="1"/>
  <c r="C417" i="14"/>
  <c r="B418" i="14"/>
  <c r="Q418" i="14" s="1"/>
  <c r="C418" i="14"/>
  <c r="B419" i="14"/>
  <c r="Q419" i="14" s="1"/>
  <c r="C419" i="14"/>
  <c r="B420" i="14"/>
  <c r="Q420" i="14" s="1"/>
  <c r="C420" i="14"/>
  <c r="B421" i="14"/>
  <c r="Q421" i="14" s="1"/>
  <c r="C421" i="14"/>
  <c r="B422" i="14"/>
  <c r="Q422" i="14" s="1"/>
  <c r="C422" i="14"/>
  <c r="B423" i="14"/>
  <c r="Q423" i="14" s="1"/>
  <c r="C423" i="14"/>
  <c r="B424" i="14"/>
  <c r="Q424" i="14" s="1"/>
  <c r="C424" i="14"/>
  <c r="B425" i="14"/>
  <c r="Q425" i="14" s="1"/>
  <c r="C425" i="14"/>
  <c r="B426" i="14"/>
  <c r="Q426" i="14" s="1"/>
  <c r="C426" i="14"/>
  <c r="B427" i="14"/>
  <c r="Q427" i="14" s="1"/>
  <c r="C427" i="14"/>
  <c r="B428" i="14"/>
  <c r="Q428" i="14" s="1"/>
  <c r="C428" i="14"/>
  <c r="B429" i="14"/>
  <c r="Q429" i="14" s="1"/>
  <c r="C429" i="14"/>
  <c r="B430" i="14"/>
  <c r="Q430" i="14" s="1"/>
  <c r="C430" i="14"/>
  <c r="B431" i="14"/>
  <c r="Q431" i="14" s="1"/>
  <c r="C431" i="14"/>
  <c r="B432" i="14"/>
  <c r="Q432" i="14" s="1"/>
  <c r="C432" i="14"/>
  <c r="B433" i="14"/>
  <c r="Q433" i="14" s="1"/>
  <c r="C433" i="14"/>
  <c r="B434" i="14"/>
  <c r="Q434" i="14" s="1"/>
  <c r="C434" i="14"/>
  <c r="B435" i="14"/>
  <c r="Q435" i="14" s="1"/>
  <c r="C435" i="14"/>
  <c r="B436" i="14"/>
  <c r="Q436" i="14" s="1"/>
  <c r="C436" i="14"/>
  <c r="B437" i="14"/>
  <c r="Q437" i="14" s="1"/>
  <c r="C437" i="14"/>
  <c r="B438" i="14"/>
  <c r="Q438" i="14" s="1"/>
  <c r="C438" i="14"/>
  <c r="B439" i="14"/>
  <c r="Q439" i="14" s="1"/>
  <c r="C439" i="14"/>
  <c r="B440" i="14"/>
  <c r="Q440" i="14" s="1"/>
  <c r="C440" i="14"/>
  <c r="B441" i="14"/>
  <c r="Q441" i="14" s="1"/>
  <c r="C441" i="14"/>
  <c r="B442" i="14"/>
  <c r="Q442" i="14" s="1"/>
  <c r="C442" i="14"/>
  <c r="B443" i="14"/>
  <c r="Q443" i="14" s="1"/>
  <c r="C443" i="14"/>
  <c r="B444" i="14"/>
  <c r="Q444" i="14" s="1"/>
  <c r="C444" i="14"/>
  <c r="B445" i="14"/>
  <c r="Q445" i="14" s="1"/>
  <c r="C445" i="14"/>
  <c r="B446" i="14"/>
  <c r="Q446" i="14" s="1"/>
  <c r="C446" i="14"/>
  <c r="B447" i="14"/>
  <c r="Q447" i="14" s="1"/>
  <c r="C447" i="14"/>
  <c r="B448" i="14"/>
  <c r="Q448" i="14" s="1"/>
  <c r="C448" i="14"/>
  <c r="B449" i="14"/>
  <c r="Q449" i="14" s="1"/>
  <c r="C449" i="14"/>
  <c r="B450" i="14"/>
  <c r="Q450" i="14" s="1"/>
  <c r="C450" i="14"/>
  <c r="B451" i="14"/>
  <c r="Q451" i="14" s="1"/>
  <c r="C451" i="14"/>
  <c r="B452" i="14"/>
  <c r="Q452" i="14" s="1"/>
  <c r="C452" i="14"/>
  <c r="B453" i="14"/>
  <c r="Q453" i="14" s="1"/>
  <c r="C453" i="14"/>
  <c r="B454" i="14"/>
  <c r="Q454" i="14" s="1"/>
  <c r="C454" i="14"/>
  <c r="B455" i="14"/>
  <c r="Q455" i="14" s="1"/>
  <c r="C455" i="14"/>
  <c r="B456" i="14"/>
  <c r="Q456" i="14" s="1"/>
  <c r="C456" i="14"/>
  <c r="B457" i="14"/>
  <c r="Q457" i="14" s="1"/>
  <c r="C457" i="14"/>
  <c r="B458" i="14"/>
  <c r="Q458" i="14" s="1"/>
  <c r="C458" i="14"/>
  <c r="B459" i="14"/>
  <c r="Q459" i="14" s="1"/>
  <c r="C459" i="14"/>
  <c r="B460" i="14"/>
  <c r="Q460" i="14" s="1"/>
  <c r="C460" i="14"/>
  <c r="B461" i="14"/>
  <c r="Q461" i="14" s="1"/>
  <c r="C461" i="14"/>
  <c r="B462" i="14"/>
  <c r="Q462" i="14" s="1"/>
  <c r="C462" i="14"/>
  <c r="B463" i="14"/>
  <c r="Q463" i="14" s="1"/>
  <c r="C463" i="14"/>
  <c r="B464" i="14"/>
  <c r="Q464" i="14" s="1"/>
  <c r="C464" i="14"/>
  <c r="B465" i="14"/>
  <c r="Q465" i="14" s="1"/>
  <c r="C465" i="14"/>
  <c r="B466" i="14"/>
  <c r="Q466" i="14" s="1"/>
  <c r="C466" i="14"/>
  <c r="B467" i="14"/>
  <c r="Q467" i="14" s="1"/>
  <c r="C467" i="14"/>
  <c r="B468" i="14"/>
  <c r="Q468" i="14" s="1"/>
  <c r="C468" i="14"/>
  <c r="B469" i="14"/>
  <c r="Q469" i="14" s="1"/>
  <c r="C469" i="14"/>
  <c r="B470" i="14"/>
  <c r="Q470" i="14" s="1"/>
  <c r="C470" i="14"/>
  <c r="B471" i="14"/>
  <c r="Q471" i="14" s="1"/>
  <c r="C471" i="14"/>
  <c r="B472" i="14"/>
  <c r="Q472" i="14" s="1"/>
  <c r="C472" i="14"/>
  <c r="B473" i="14"/>
  <c r="Q473" i="14" s="1"/>
  <c r="C473" i="14"/>
  <c r="B474" i="14"/>
  <c r="Q474" i="14" s="1"/>
  <c r="C474" i="14"/>
  <c r="B475" i="14"/>
  <c r="Q475" i="14" s="1"/>
  <c r="C475" i="14"/>
  <c r="B476" i="14"/>
  <c r="Q476" i="14" s="1"/>
  <c r="C476" i="14"/>
  <c r="B477" i="14"/>
  <c r="Q477" i="14" s="1"/>
  <c r="C477" i="14"/>
  <c r="B478" i="14"/>
  <c r="Q478" i="14" s="1"/>
  <c r="C478" i="14"/>
  <c r="B479" i="14"/>
  <c r="Q479" i="14" s="1"/>
  <c r="C479" i="14"/>
  <c r="B480" i="14"/>
  <c r="Q480" i="14" s="1"/>
  <c r="C480" i="14"/>
  <c r="B481" i="14"/>
  <c r="Q481" i="14" s="1"/>
  <c r="C481" i="14"/>
  <c r="B482" i="14"/>
  <c r="Q482" i="14" s="1"/>
  <c r="C482" i="14"/>
  <c r="B483" i="14"/>
  <c r="Q483" i="14" s="1"/>
  <c r="C483" i="14"/>
  <c r="B484" i="14"/>
  <c r="Q484" i="14" s="1"/>
  <c r="C484" i="14"/>
  <c r="B485" i="14"/>
  <c r="Q485" i="14" s="1"/>
  <c r="C485" i="14"/>
  <c r="B486" i="14"/>
  <c r="Q486" i="14" s="1"/>
  <c r="C486" i="14"/>
  <c r="B487" i="14"/>
  <c r="Q487" i="14" s="1"/>
  <c r="C487" i="14"/>
  <c r="B488" i="14"/>
  <c r="Q488" i="14" s="1"/>
  <c r="C488" i="14"/>
  <c r="B489" i="14"/>
  <c r="Q489" i="14" s="1"/>
  <c r="C489" i="14"/>
  <c r="B490" i="14"/>
  <c r="Q490" i="14" s="1"/>
  <c r="C490" i="14"/>
  <c r="B491" i="14"/>
  <c r="Q491" i="14" s="1"/>
  <c r="C491" i="14"/>
  <c r="B492" i="14"/>
  <c r="Q492" i="14" s="1"/>
  <c r="C492" i="14"/>
  <c r="B493" i="14"/>
  <c r="Q493" i="14" s="1"/>
  <c r="C493" i="14"/>
  <c r="B494" i="14"/>
  <c r="Q494" i="14" s="1"/>
  <c r="C494" i="14"/>
  <c r="B495" i="14"/>
  <c r="Q495" i="14" s="1"/>
  <c r="C495" i="14"/>
  <c r="B496" i="14"/>
  <c r="Q496" i="14" s="1"/>
  <c r="C496" i="14"/>
  <c r="B497" i="14"/>
  <c r="Q497" i="14" s="1"/>
  <c r="C497" i="14"/>
  <c r="B498" i="14"/>
  <c r="Q498" i="14" s="1"/>
  <c r="C498" i="14"/>
  <c r="B499" i="14"/>
  <c r="Q499" i="14" s="1"/>
  <c r="C499" i="14"/>
  <c r="B500" i="14"/>
  <c r="Q500" i="14" s="1"/>
  <c r="C500" i="14"/>
  <c r="B501" i="14"/>
  <c r="Q501" i="14" s="1"/>
  <c r="C501" i="14"/>
  <c r="B502" i="14"/>
  <c r="Q502" i="14" s="1"/>
  <c r="C502" i="14"/>
  <c r="B503" i="14"/>
  <c r="Q503" i="14" s="1"/>
  <c r="C503" i="14"/>
  <c r="B504" i="14"/>
  <c r="Q504" i="14" s="1"/>
  <c r="C504" i="14"/>
  <c r="B505" i="14"/>
  <c r="Q505" i="14" s="1"/>
  <c r="C505" i="14"/>
  <c r="B506" i="14"/>
  <c r="Q506" i="14" s="1"/>
  <c r="C506" i="14"/>
  <c r="B507" i="14"/>
  <c r="Q507" i="14" s="1"/>
  <c r="C507" i="14"/>
  <c r="B508" i="14"/>
  <c r="Q508" i="14" s="1"/>
  <c r="C508" i="14"/>
  <c r="B509" i="14"/>
  <c r="Q509" i="14" s="1"/>
  <c r="C509" i="14"/>
  <c r="B510" i="14"/>
  <c r="Q510" i="14" s="1"/>
  <c r="C510" i="14"/>
  <c r="B511" i="14"/>
  <c r="Q511" i="14" s="1"/>
  <c r="C511" i="14"/>
  <c r="B512" i="14"/>
  <c r="Q512" i="14" s="1"/>
  <c r="C512" i="14"/>
  <c r="B513" i="14"/>
  <c r="Q513" i="14" s="1"/>
  <c r="C513" i="14"/>
  <c r="B514" i="14"/>
  <c r="Q514" i="14" s="1"/>
  <c r="C514" i="14"/>
  <c r="B515" i="14"/>
  <c r="Q515" i="14" s="1"/>
  <c r="C515" i="14"/>
  <c r="B516" i="14"/>
  <c r="Q516" i="14" s="1"/>
  <c r="C516" i="14"/>
  <c r="B517" i="14"/>
  <c r="Q517" i="14" s="1"/>
  <c r="C517" i="14"/>
  <c r="B518" i="14"/>
  <c r="Q518" i="14" s="1"/>
  <c r="C518" i="14"/>
  <c r="B519" i="14"/>
  <c r="Q519" i="14" s="1"/>
  <c r="C519" i="14"/>
  <c r="B520" i="14"/>
  <c r="Q520" i="14" s="1"/>
  <c r="C520" i="14"/>
  <c r="B521" i="14"/>
  <c r="Q521" i="14" s="1"/>
  <c r="C521" i="14"/>
  <c r="B522" i="14"/>
  <c r="Q522" i="14" s="1"/>
  <c r="C522" i="14"/>
  <c r="B523" i="14"/>
  <c r="Q523" i="14" s="1"/>
  <c r="C523" i="14"/>
  <c r="B524" i="14"/>
  <c r="Q524" i="14" s="1"/>
  <c r="C524" i="14"/>
  <c r="B525" i="14"/>
  <c r="Q525" i="14" s="1"/>
  <c r="C525" i="14"/>
  <c r="B526" i="14"/>
  <c r="Q526" i="14" s="1"/>
  <c r="C526" i="14"/>
  <c r="B527" i="14"/>
  <c r="Q527" i="14" s="1"/>
  <c r="C527" i="14"/>
  <c r="B528" i="14"/>
  <c r="Q528" i="14" s="1"/>
  <c r="C528" i="14"/>
  <c r="B529" i="14"/>
  <c r="Q529" i="14" s="1"/>
  <c r="C529" i="14"/>
  <c r="B530" i="14"/>
  <c r="Q530" i="14" s="1"/>
  <c r="C530" i="14"/>
  <c r="B531" i="14"/>
  <c r="Q531" i="14" s="1"/>
  <c r="C531" i="14"/>
  <c r="B532" i="14"/>
  <c r="Q532" i="14" s="1"/>
  <c r="C532" i="14"/>
  <c r="B533" i="14"/>
  <c r="Q533" i="14" s="1"/>
  <c r="C533" i="14"/>
  <c r="B534" i="14"/>
  <c r="Q534" i="14" s="1"/>
  <c r="C534" i="14"/>
  <c r="B535" i="14"/>
  <c r="Q535" i="14" s="1"/>
  <c r="C535" i="14"/>
  <c r="B536" i="14"/>
  <c r="Q536" i="14" s="1"/>
  <c r="C536" i="14"/>
  <c r="B537" i="14"/>
  <c r="Q537" i="14" s="1"/>
  <c r="C537" i="14"/>
  <c r="B538" i="14"/>
  <c r="Q538" i="14" s="1"/>
  <c r="C538" i="14"/>
  <c r="B539" i="14"/>
  <c r="Q539" i="14" s="1"/>
  <c r="C539" i="14"/>
  <c r="B540" i="14"/>
  <c r="Q540" i="14" s="1"/>
  <c r="C540" i="14"/>
  <c r="B541" i="14"/>
  <c r="Q541" i="14" s="1"/>
  <c r="C541" i="14"/>
  <c r="B542" i="14"/>
  <c r="Q542" i="14" s="1"/>
  <c r="C542" i="14"/>
  <c r="B543" i="14"/>
  <c r="Q543" i="14" s="1"/>
  <c r="C543" i="14"/>
  <c r="B544" i="14"/>
  <c r="Q544" i="14" s="1"/>
  <c r="C544" i="14"/>
  <c r="B545" i="14"/>
  <c r="Q545" i="14" s="1"/>
  <c r="C545" i="14"/>
  <c r="B546" i="14"/>
  <c r="Q546" i="14" s="1"/>
  <c r="C546" i="14"/>
  <c r="B547" i="14"/>
  <c r="Q547" i="14" s="1"/>
  <c r="C547" i="14"/>
  <c r="B548" i="14"/>
  <c r="Q548" i="14" s="1"/>
  <c r="C548" i="14"/>
  <c r="B549" i="14"/>
  <c r="Q549" i="14" s="1"/>
  <c r="C549" i="14"/>
  <c r="B550" i="14"/>
  <c r="Q550" i="14" s="1"/>
  <c r="C550" i="14"/>
  <c r="B551" i="14"/>
  <c r="Q551" i="14" s="1"/>
  <c r="C551" i="14"/>
  <c r="B552" i="14"/>
  <c r="Q552" i="14" s="1"/>
  <c r="C552" i="14"/>
  <c r="B553" i="14"/>
  <c r="Q553" i="14" s="1"/>
  <c r="C553" i="14"/>
  <c r="B554" i="14"/>
  <c r="Q554" i="14" s="1"/>
  <c r="C554" i="14"/>
  <c r="B555" i="14"/>
  <c r="Q555" i="14" s="1"/>
  <c r="C555" i="14"/>
  <c r="B556" i="14"/>
  <c r="Q556" i="14" s="1"/>
  <c r="C556" i="14"/>
  <c r="B557" i="14"/>
  <c r="Q557" i="14" s="1"/>
  <c r="C557" i="14"/>
  <c r="B558" i="14"/>
  <c r="Q558" i="14" s="1"/>
  <c r="C558" i="14"/>
  <c r="B559" i="14"/>
  <c r="Q559" i="14" s="1"/>
  <c r="C559" i="14"/>
  <c r="B560" i="14"/>
  <c r="Q560" i="14" s="1"/>
  <c r="C560" i="14"/>
  <c r="B561" i="14"/>
  <c r="Q561" i="14" s="1"/>
  <c r="C561" i="14"/>
  <c r="B562" i="14"/>
  <c r="Q562" i="14" s="1"/>
  <c r="C562" i="14"/>
  <c r="B563" i="14"/>
  <c r="Q563" i="14" s="1"/>
  <c r="C563" i="14"/>
  <c r="B564" i="14"/>
  <c r="Q564" i="14" s="1"/>
  <c r="C564" i="14"/>
  <c r="B565" i="14"/>
  <c r="Q565" i="14" s="1"/>
  <c r="C565" i="14"/>
  <c r="B566" i="14"/>
  <c r="Q566" i="14" s="1"/>
  <c r="C566" i="14"/>
  <c r="B567" i="14"/>
  <c r="Q567" i="14" s="1"/>
  <c r="C567" i="14"/>
  <c r="B568" i="14"/>
  <c r="Q568" i="14" s="1"/>
  <c r="C568" i="14"/>
  <c r="B569" i="14"/>
  <c r="Q569" i="14" s="1"/>
  <c r="C569" i="14"/>
  <c r="B570" i="14"/>
  <c r="Q570" i="14" s="1"/>
  <c r="C570" i="14"/>
  <c r="B571" i="14"/>
  <c r="Q571" i="14" s="1"/>
  <c r="C571" i="14"/>
  <c r="B572" i="14"/>
  <c r="Q572" i="14" s="1"/>
  <c r="C572" i="14"/>
  <c r="B573" i="14"/>
  <c r="Q573" i="14" s="1"/>
  <c r="C573" i="14"/>
  <c r="B574" i="14"/>
  <c r="Q574" i="14" s="1"/>
  <c r="C574" i="14"/>
  <c r="B575" i="14"/>
  <c r="Q575" i="14" s="1"/>
  <c r="C575" i="14"/>
  <c r="B576" i="14"/>
  <c r="Q576" i="14" s="1"/>
  <c r="C576" i="14"/>
  <c r="B577" i="14"/>
  <c r="Q577" i="14" s="1"/>
  <c r="C577" i="14"/>
  <c r="B578" i="14"/>
  <c r="Q578" i="14" s="1"/>
  <c r="C578" i="14"/>
  <c r="B579" i="14"/>
  <c r="Q579" i="14" s="1"/>
  <c r="C579" i="14"/>
  <c r="B580" i="14"/>
  <c r="Q580" i="14" s="1"/>
  <c r="C580" i="14"/>
  <c r="B581" i="14"/>
  <c r="Q581" i="14" s="1"/>
  <c r="C581" i="14"/>
  <c r="B582" i="14"/>
  <c r="Q582" i="14" s="1"/>
  <c r="C582" i="14"/>
  <c r="B583" i="14"/>
  <c r="Q583" i="14" s="1"/>
  <c r="C583" i="14"/>
  <c r="B584" i="14"/>
  <c r="Q584" i="14" s="1"/>
  <c r="C584" i="14"/>
  <c r="B585" i="14"/>
  <c r="Q585" i="14" s="1"/>
  <c r="C585" i="14"/>
  <c r="B586" i="14"/>
  <c r="Q586" i="14" s="1"/>
  <c r="C586" i="14"/>
  <c r="B587" i="14"/>
  <c r="Q587" i="14" s="1"/>
  <c r="C587" i="14"/>
  <c r="B588" i="14"/>
  <c r="Q588" i="14" s="1"/>
  <c r="C588" i="14"/>
  <c r="B589" i="14"/>
  <c r="Q589" i="14" s="1"/>
  <c r="C589" i="14"/>
  <c r="B590" i="14"/>
  <c r="Q590" i="14" s="1"/>
  <c r="C590" i="14"/>
  <c r="B591" i="14"/>
  <c r="Q591" i="14" s="1"/>
  <c r="C591" i="14"/>
  <c r="B592" i="14"/>
  <c r="Q592" i="14" s="1"/>
  <c r="C592" i="14"/>
  <c r="B593" i="14"/>
  <c r="Q593" i="14" s="1"/>
  <c r="C593" i="14"/>
  <c r="B594" i="14"/>
  <c r="Q594" i="14" s="1"/>
  <c r="C594" i="14"/>
  <c r="B595" i="14"/>
  <c r="Q595" i="14" s="1"/>
  <c r="C595" i="14"/>
  <c r="B596" i="14"/>
  <c r="Q596" i="14" s="1"/>
  <c r="C596" i="14"/>
  <c r="B597" i="14"/>
  <c r="Q597" i="14" s="1"/>
  <c r="C597" i="14"/>
  <c r="B598" i="14"/>
  <c r="Q598" i="14" s="1"/>
  <c r="C598" i="14"/>
  <c r="B599" i="14"/>
  <c r="Q599" i="14" s="1"/>
  <c r="C599" i="14"/>
  <c r="B600" i="14"/>
  <c r="Q600" i="14" s="1"/>
  <c r="C600" i="14"/>
  <c r="B601" i="14"/>
  <c r="Q601" i="14" s="1"/>
  <c r="C601" i="14"/>
  <c r="B602" i="14"/>
  <c r="Q602" i="14" s="1"/>
  <c r="C602" i="14"/>
  <c r="B603" i="14"/>
  <c r="Q603" i="14" s="1"/>
  <c r="C603" i="14"/>
  <c r="B604" i="14"/>
  <c r="Q604" i="14" s="1"/>
  <c r="C604" i="14"/>
  <c r="B605" i="14"/>
  <c r="Q605" i="14" s="1"/>
  <c r="C605" i="14"/>
  <c r="B606" i="14"/>
  <c r="Q606" i="14" s="1"/>
  <c r="C606" i="14"/>
  <c r="B607" i="14"/>
  <c r="Q607" i="14" s="1"/>
  <c r="C607" i="14"/>
  <c r="B608" i="14"/>
  <c r="Q608" i="14" s="1"/>
  <c r="C608" i="14"/>
  <c r="B609" i="14"/>
  <c r="Q609" i="14" s="1"/>
  <c r="C609" i="14"/>
  <c r="B610" i="14"/>
  <c r="Q610" i="14" s="1"/>
  <c r="C610" i="14"/>
  <c r="B611" i="14"/>
  <c r="Q611" i="14" s="1"/>
  <c r="C611" i="14"/>
  <c r="B612" i="14"/>
  <c r="Q612" i="14" s="1"/>
  <c r="C612" i="14"/>
  <c r="B613" i="14"/>
  <c r="Q613" i="14" s="1"/>
  <c r="C613" i="14"/>
  <c r="B614" i="14"/>
  <c r="Q614" i="14" s="1"/>
  <c r="C614" i="14"/>
  <c r="B615" i="14"/>
  <c r="Q615" i="14" s="1"/>
  <c r="C615" i="14"/>
  <c r="B616" i="14"/>
  <c r="Q616" i="14" s="1"/>
  <c r="C616" i="14"/>
  <c r="B617" i="14"/>
  <c r="Q617" i="14" s="1"/>
  <c r="C617" i="14"/>
  <c r="B618" i="14"/>
  <c r="Q618" i="14" s="1"/>
  <c r="C618" i="14"/>
  <c r="B619" i="14"/>
  <c r="Q619" i="14" s="1"/>
  <c r="C619" i="14"/>
  <c r="B620" i="14"/>
  <c r="Q620" i="14" s="1"/>
  <c r="C620" i="14"/>
  <c r="B621" i="14"/>
  <c r="Q621" i="14" s="1"/>
  <c r="C621" i="14"/>
  <c r="B622" i="14"/>
  <c r="Q622" i="14" s="1"/>
  <c r="C622" i="14"/>
  <c r="B623" i="14"/>
  <c r="Q623" i="14" s="1"/>
  <c r="C623" i="14"/>
  <c r="B624" i="14"/>
  <c r="Q624" i="14" s="1"/>
  <c r="C624" i="14"/>
  <c r="B625" i="14"/>
  <c r="Q625" i="14" s="1"/>
  <c r="C625" i="14"/>
  <c r="B626" i="14"/>
  <c r="Q626" i="14" s="1"/>
  <c r="C626" i="14"/>
  <c r="B627" i="14"/>
  <c r="Q627" i="14" s="1"/>
  <c r="C627" i="14"/>
  <c r="B628" i="14"/>
  <c r="Q628" i="14" s="1"/>
  <c r="C628" i="14"/>
  <c r="B629" i="14"/>
  <c r="Q629" i="14" s="1"/>
  <c r="C629" i="14"/>
  <c r="B630" i="14"/>
  <c r="Q630" i="14" s="1"/>
  <c r="C630" i="14"/>
  <c r="B631" i="14"/>
  <c r="Q631" i="14" s="1"/>
  <c r="C631" i="14"/>
  <c r="B632" i="14"/>
  <c r="Q632" i="14" s="1"/>
  <c r="C632" i="14"/>
  <c r="B633" i="14"/>
  <c r="Q633" i="14" s="1"/>
  <c r="C633" i="14"/>
  <c r="B634" i="14"/>
  <c r="Q634" i="14" s="1"/>
  <c r="C634" i="14"/>
  <c r="B635" i="14"/>
  <c r="Q635" i="14" s="1"/>
  <c r="C635" i="14"/>
  <c r="B636" i="14"/>
  <c r="Q636" i="14" s="1"/>
  <c r="C636" i="14"/>
  <c r="B637" i="14"/>
  <c r="Q637" i="14" s="1"/>
  <c r="C637" i="14"/>
  <c r="B638" i="14"/>
  <c r="Q638" i="14" s="1"/>
  <c r="C638" i="14"/>
  <c r="B639" i="14"/>
  <c r="Q639" i="14" s="1"/>
  <c r="C639" i="14"/>
  <c r="B640" i="14"/>
  <c r="Q640" i="14" s="1"/>
  <c r="C640" i="14"/>
  <c r="B641" i="14"/>
  <c r="Q641" i="14" s="1"/>
  <c r="C641" i="14"/>
  <c r="B642" i="14"/>
  <c r="Q642" i="14" s="1"/>
  <c r="C642" i="14"/>
  <c r="B643" i="14"/>
  <c r="Q643" i="14" s="1"/>
  <c r="C643" i="14"/>
  <c r="B644" i="14"/>
  <c r="Q644" i="14" s="1"/>
  <c r="C644" i="14"/>
  <c r="B645" i="14"/>
  <c r="Q645" i="14" s="1"/>
  <c r="C645" i="14"/>
  <c r="B646" i="14"/>
  <c r="Q646" i="14" s="1"/>
  <c r="C646" i="14"/>
  <c r="B647" i="14"/>
  <c r="Q647" i="14" s="1"/>
  <c r="C647" i="14"/>
  <c r="B648" i="14"/>
  <c r="Q648" i="14" s="1"/>
  <c r="C648" i="14"/>
  <c r="B649" i="14"/>
  <c r="Q649" i="14" s="1"/>
  <c r="C649" i="14"/>
  <c r="B650" i="14"/>
  <c r="Q650" i="14" s="1"/>
  <c r="C650" i="14"/>
  <c r="B651" i="14"/>
  <c r="Q651" i="14" s="1"/>
  <c r="C651" i="14"/>
  <c r="B652" i="14"/>
  <c r="Q652" i="14" s="1"/>
  <c r="C652" i="14"/>
  <c r="B653" i="14"/>
  <c r="Q653" i="14" s="1"/>
  <c r="C653" i="14"/>
  <c r="B654" i="14"/>
  <c r="Q654" i="14" s="1"/>
  <c r="C654" i="14"/>
  <c r="B655" i="14"/>
  <c r="Q655" i="14" s="1"/>
  <c r="C655" i="14"/>
  <c r="B656" i="14"/>
  <c r="Q656" i="14" s="1"/>
  <c r="C656" i="14"/>
  <c r="B657" i="14"/>
  <c r="Q657" i="14" s="1"/>
  <c r="C657" i="14"/>
  <c r="B658" i="14"/>
  <c r="Q658" i="14" s="1"/>
  <c r="C658" i="14"/>
  <c r="B659" i="14"/>
  <c r="Q659" i="14" s="1"/>
  <c r="C659" i="14"/>
  <c r="B660" i="14"/>
  <c r="Q660" i="14" s="1"/>
  <c r="C660" i="14"/>
  <c r="B661" i="14"/>
  <c r="Q661" i="14" s="1"/>
  <c r="C661" i="14"/>
  <c r="B662" i="14"/>
  <c r="Q662" i="14" s="1"/>
  <c r="C662" i="14"/>
  <c r="B663" i="14"/>
  <c r="Q663" i="14" s="1"/>
  <c r="C663" i="14"/>
  <c r="B664" i="14"/>
  <c r="Q664" i="14" s="1"/>
  <c r="C664" i="14"/>
  <c r="B665" i="14"/>
  <c r="Q665" i="14" s="1"/>
  <c r="C665" i="14"/>
  <c r="B666" i="14"/>
  <c r="Q666" i="14" s="1"/>
  <c r="C666" i="14"/>
  <c r="B667" i="14"/>
  <c r="Q667" i="14" s="1"/>
  <c r="C667" i="14"/>
  <c r="B668" i="14"/>
  <c r="Q668" i="14" s="1"/>
  <c r="C668" i="14"/>
  <c r="B669" i="14"/>
  <c r="Q669" i="14" s="1"/>
  <c r="C669" i="14"/>
  <c r="B670" i="14"/>
  <c r="Q670" i="14" s="1"/>
  <c r="C670" i="14"/>
  <c r="B671" i="14"/>
  <c r="Q671" i="14" s="1"/>
  <c r="C671" i="14"/>
  <c r="B672" i="14"/>
  <c r="Q672" i="14" s="1"/>
  <c r="C672" i="14"/>
  <c r="B673" i="14"/>
  <c r="Q673" i="14" s="1"/>
  <c r="C673" i="14"/>
  <c r="B674" i="14"/>
  <c r="Q674" i="14" s="1"/>
  <c r="C674" i="14"/>
  <c r="B675" i="14"/>
  <c r="Q675" i="14" s="1"/>
  <c r="C675" i="14"/>
  <c r="B676" i="14"/>
  <c r="Q676" i="14" s="1"/>
  <c r="C676" i="14"/>
  <c r="B677" i="14"/>
  <c r="Q677" i="14" s="1"/>
  <c r="C677" i="14"/>
  <c r="B678" i="14"/>
  <c r="Q678" i="14" s="1"/>
  <c r="C678" i="14"/>
  <c r="B679" i="14"/>
  <c r="Q679" i="14" s="1"/>
  <c r="C679" i="14"/>
  <c r="B680" i="14"/>
  <c r="Q680" i="14" s="1"/>
  <c r="C680" i="14"/>
  <c r="B681" i="14"/>
  <c r="Q681" i="14" s="1"/>
  <c r="C681" i="14"/>
  <c r="B682" i="14"/>
  <c r="Q682" i="14" s="1"/>
  <c r="C682" i="14"/>
  <c r="B683" i="14"/>
  <c r="Q683" i="14" s="1"/>
  <c r="C683" i="14"/>
  <c r="B684" i="14"/>
  <c r="Q684" i="14" s="1"/>
  <c r="C684" i="14"/>
  <c r="B685" i="14"/>
  <c r="Q685" i="14" s="1"/>
  <c r="C685" i="14"/>
  <c r="B686" i="14"/>
  <c r="Q686" i="14" s="1"/>
  <c r="C686" i="14"/>
  <c r="B687" i="14"/>
  <c r="Q687" i="14" s="1"/>
  <c r="C687" i="14"/>
  <c r="B688" i="14"/>
  <c r="Q688" i="14" s="1"/>
  <c r="C688" i="14"/>
  <c r="B689" i="14"/>
  <c r="Q689" i="14" s="1"/>
  <c r="C689" i="14"/>
  <c r="B690" i="14"/>
  <c r="Q690" i="14" s="1"/>
  <c r="C690" i="14"/>
  <c r="B691" i="14"/>
  <c r="Q691" i="14" s="1"/>
  <c r="C691" i="14"/>
  <c r="B692" i="14"/>
  <c r="Q692" i="14" s="1"/>
  <c r="C692" i="14"/>
  <c r="B693" i="14"/>
  <c r="Q693" i="14" s="1"/>
  <c r="C693" i="14"/>
  <c r="B694" i="14"/>
  <c r="Q694" i="14" s="1"/>
  <c r="C694" i="14"/>
  <c r="B695" i="14"/>
  <c r="Q695" i="14" s="1"/>
  <c r="C695" i="14"/>
  <c r="B696" i="14"/>
  <c r="Q696" i="14" s="1"/>
  <c r="C696" i="14"/>
  <c r="B697" i="14"/>
  <c r="Q697" i="14" s="1"/>
  <c r="C697" i="14"/>
  <c r="B698" i="14"/>
  <c r="Q698" i="14" s="1"/>
  <c r="C698" i="14"/>
  <c r="B699" i="14"/>
  <c r="Q699" i="14" s="1"/>
  <c r="C699" i="14"/>
  <c r="B700" i="14"/>
  <c r="Q700" i="14" s="1"/>
  <c r="C700" i="14"/>
  <c r="B701" i="14"/>
  <c r="Q701" i="14" s="1"/>
  <c r="C701" i="14"/>
  <c r="B702" i="14"/>
  <c r="Q702" i="14" s="1"/>
  <c r="C702" i="14"/>
  <c r="B703" i="14"/>
  <c r="Q703" i="14" s="1"/>
  <c r="C703" i="14"/>
  <c r="B704" i="14"/>
  <c r="Q704" i="14" s="1"/>
  <c r="C704" i="14"/>
  <c r="B705" i="14"/>
  <c r="Q705" i="14" s="1"/>
  <c r="C705" i="14"/>
  <c r="B706" i="14"/>
  <c r="Q706" i="14" s="1"/>
  <c r="C706" i="14"/>
  <c r="B707" i="14"/>
  <c r="Q707" i="14" s="1"/>
  <c r="C707" i="14"/>
  <c r="B708" i="14"/>
  <c r="Q708" i="14" s="1"/>
  <c r="C708" i="14"/>
  <c r="B709" i="14"/>
  <c r="Q709" i="14" s="1"/>
  <c r="C709" i="14"/>
  <c r="B710" i="14"/>
  <c r="Q710" i="14" s="1"/>
  <c r="C710" i="14"/>
  <c r="B711" i="14"/>
  <c r="Q711" i="14" s="1"/>
  <c r="C711" i="14"/>
  <c r="B712" i="14"/>
  <c r="Q712" i="14" s="1"/>
  <c r="C712" i="14"/>
  <c r="B713" i="14"/>
  <c r="Q713" i="14" s="1"/>
  <c r="C713" i="14"/>
  <c r="B714" i="14"/>
  <c r="Q714" i="14" s="1"/>
  <c r="C714" i="14"/>
  <c r="B715" i="14"/>
  <c r="Q715" i="14" s="1"/>
  <c r="C715" i="14"/>
  <c r="B716" i="14"/>
  <c r="Q716" i="14" s="1"/>
  <c r="C716" i="14"/>
  <c r="B717" i="14"/>
  <c r="Q717" i="14" s="1"/>
  <c r="C717" i="14"/>
  <c r="B718" i="14"/>
  <c r="Q718" i="14" s="1"/>
  <c r="C718" i="14"/>
  <c r="B719" i="14"/>
  <c r="Q719" i="14" s="1"/>
  <c r="C719" i="14"/>
  <c r="B720" i="14"/>
  <c r="Q720" i="14" s="1"/>
  <c r="C720" i="14"/>
  <c r="B721" i="14"/>
  <c r="Q721" i="14" s="1"/>
  <c r="C721" i="14"/>
  <c r="B722" i="14"/>
  <c r="Q722" i="14" s="1"/>
  <c r="C722" i="14"/>
  <c r="B723" i="14"/>
  <c r="Q723" i="14" s="1"/>
  <c r="C723" i="14"/>
  <c r="B724" i="14"/>
  <c r="Q724" i="14" s="1"/>
  <c r="C724" i="14"/>
  <c r="B725" i="14"/>
  <c r="Q725" i="14" s="1"/>
  <c r="C725" i="14"/>
  <c r="B726" i="14"/>
  <c r="Q726" i="14" s="1"/>
  <c r="C726" i="14"/>
  <c r="B727" i="14"/>
  <c r="Q727" i="14" s="1"/>
  <c r="C727" i="14"/>
  <c r="B728" i="14"/>
  <c r="Q728" i="14" s="1"/>
  <c r="C728" i="14"/>
  <c r="B729" i="14"/>
  <c r="Q729" i="14" s="1"/>
  <c r="C729" i="14"/>
  <c r="B730" i="14"/>
  <c r="Q730" i="14" s="1"/>
  <c r="C730" i="14"/>
  <c r="B731" i="14"/>
  <c r="Q731" i="14" s="1"/>
  <c r="C731" i="14"/>
  <c r="B732" i="14"/>
  <c r="Q732" i="14" s="1"/>
  <c r="C732" i="14"/>
  <c r="B733" i="14"/>
  <c r="Q733" i="14" s="1"/>
  <c r="C733" i="14"/>
  <c r="B734" i="14"/>
  <c r="Q734" i="14" s="1"/>
  <c r="C734" i="14"/>
  <c r="B735" i="14"/>
  <c r="Q735" i="14" s="1"/>
  <c r="C735" i="14"/>
  <c r="B736" i="14"/>
  <c r="Q736" i="14" s="1"/>
  <c r="C736" i="14"/>
  <c r="B737" i="14"/>
  <c r="Q737" i="14" s="1"/>
  <c r="C737" i="14"/>
  <c r="B738" i="14"/>
  <c r="Q738" i="14" s="1"/>
  <c r="C738" i="14"/>
  <c r="B739" i="14"/>
  <c r="Q739" i="14" s="1"/>
  <c r="C739" i="14"/>
  <c r="B740" i="14"/>
  <c r="Q740" i="14" s="1"/>
  <c r="C740" i="14"/>
  <c r="B741" i="14"/>
  <c r="Q741" i="14" s="1"/>
  <c r="C741" i="14"/>
  <c r="B742" i="14"/>
  <c r="Q742" i="14" s="1"/>
  <c r="C742" i="14"/>
  <c r="B743" i="14"/>
  <c r="Q743" i="14" s="1"/>
  <c r="C743" i="14"/>
  <c r="B744" i="14"/>
  <c r="Q744" i="14" s="1"/>
  <c r="C744" i="14"/>
  <c r="B745" i="14"/>
  <c r="Q745" i="14" s="1"/>
  <c r="C745" i="14"/>
  <c r="B746" i="14"/>
  <c r="Q746" i="14" s="1"/>
  <c r="C746" i="14"/>
  <c r="B747" i="14"/>
  <c r="Q747" i="14" s="1"/>
  <c r="C747" i="14"/>
  <c r="B748" i="14"/>
  <c r="Q748" i="14" s="1"/>
  <c r="C748" i="14"/>
  <c r="B749" i="14"/>
  <c r="Q749" i="14" s="1"/>
  <c r="C749" i="14"/>
  <c r="B750" i="14"/>
  <c r="Q750" i="14" s="1"/>
  <c r="C750" i="14"/>
  <c r="B751" i="14"/>
  <c r="Q751" i="14" s="1"/>
  <c r="C751" i="14"/>
  <c r="B752" i="14"/>
  <c r="Q752" i="14" s="1"/>
  <c r="C752" i="14"/>
  <c r="B753" i="14"/>
  <c r="Q753" i="14" s="1"/>
  <c r="C753" i="14"/>
  <c r="B754" i="14"/>
  <c r="Q754" i="14" s="1"/>
  <c r="C754" i="14"/>
  <c r="B755" i="14"/>
  <c r="Q755" i="14" s="1"/>
  <c r="C755" i="14"/>
  <c r="B756" i="14"/>
  <c r="Q756" i="14" s="1"/>
  <c r="C756" i="14"/>
  <c r="B757" i="14"/>
  <c r="Q757" i="14" s="1"/>
  <c r="C757" i="14"/>
  <c r="B758" i="14"/>
  <c r="Q758" i="14" s="1"/>
  <c r="C758" i="14"/>
  <c r="B759" i="14"/>
  <c r="Q759" i="14" s="1"/>
  <c r="C759" i="14"/>
  <c r="B760" i="14"/>
  <c r="Q760" i="14" s="1"/>
  <c r="C760" i="14"/>
  <c r="B761" i="14"/>
  <c r="Q761" i="14" s="1"/>
  <c r="C761" i="14"/>
  <c r="B762" i="14"/>
  <c r="Q762" i="14" s="1"/>
  <c r="C762" i="14"/>
  <c r="B763" i="14"/>
  <c r="Q763" i="14" s="1"/>
  <c r="C763" i="14"/>
  <c r="B764" i="14"/>
  <c r="Q764" i="14" s="1"/>
  <c r="C764" i="14"/>
  <c r="B765" i="14"/>
  <c r="Q765" i="14" s="1"/>
  <c r="C765" i="14"/>
  <c r="B766" i="14"/>
  <c r="Q766" i="14" s="1"/>
  <c r="C766" i="14"/>
  <c r="B767" i="14"/>
  <c r="Q767" i="14" s="1"/>
  <c r="C767" i="14"/>
  <c r="B768" i="14"/>
  <c r="Q768" i="14" s="1"/>
  <c r="C768" i="14"/>
  <c r="B769" i="14"/>
  <c r="Q769" i="14" s="1"/>
  <c r="C769" i="14"/>
  <c r="B770" i="14"/>
  <c r="Q770" i="14" s="1"/>
  <c r="C770" i="14"/>
  <c r="B771" i="14"/>
  <c r="Q771" i="14" s="1"/>
  <c r="C771" i="14"/>
  <c r="B772" i="14"/>
  <c r="Q772" i="14" s="1"/>
  <c r="C772" i="14"/>
  <c r="B773" i="14"/>
  <c r="Q773" i="14" s="1"/>
  <c r="C773" i="14"/>
  <c r="B774" i="14"/>
  <c r="Q774" i="14" s="1"/>
  <c r="C774" i="14"/>
  <c r="B775" i="14"/>
  <c r="Q775" i="14" s="1"/>
  <c r="C775" i="14"/>
  <c r="B776" i="14"/>
  <c r="Q776" i="14" s="1"/>
  <c r="C776" i="14"/>
  <c r="B777" i="14"/>
  <c r="Q777" i="14" s="1"/>
  <c r="C777" i="14"/>
  <c r="B778" i="14"/>
  <c r="Q778" i="14" s="1"/>
  <c r="C778" i="14"/>
  <c r="B779" i="14"/>
  <c r="Q779" i="14" s="1"/>
  <c r="C779" i="14"/>
  <c r="B780" i="14"/>
  <c r="Q780" i="14" s="1"/>
  <c r="C780" i="14"/>
  <c r="B781" i="14"/>
  <c r="Q781" i="14" s="1"/>
  <c r="C781" i="14"/>
  <c r="B782" i="14"/>
  <c r="Q782" i="14" s="1"/>
  <c r="C782" i="14"/>
  <c r="B783" i="14"/>
  <c r="Q783" i="14" s="1"/>
  <c r="C783" i="14"/>
  <c r="B784" i="14"/>
  <c r="Q784" i="14" s="1"/>
  <c r="C784" i="14"/>
  <c r="B785" i="14"/>
  <c r="Q785" i="14" s="1"/>
  <c r="C785" i="14"/>
  <c r="B786" i="14"/>
  <c r="Q786" i="14" s="1"/>
  <c r="C786" i="14"/>
  <c r="B787" i="14"/>
  <c r="Q787" i="14" s="1"/>
  <c r="C787" i="14"/>
  <c r="B788" i="14"/>
  <c r="Q788" i="14" s="1"/>
  <c r="C788" i="14"/>
  <c r="B789" i="14"/>
  <c r="Q789" i="14" s="1"/>
  <c r="C789" i="14"/>
  <c r="B790" i="14"/>
  <c r="Q790" i="14" s="1"/>
  <c r="C790" i="14"/>
  <c r="B791" i="14"/>
  <c r="Q791" i="14" s="1"/>
  <c r="C791" i="14"/>
  <c r="B792" i="14"/>
  <c r="Q792" i="14" s="1"/>
  <c r="C792" i="14"/>
  <c r="B793" i="14"/>
  <c r="Q793" i="14" s="1"/>
  <c r="C793" i="14"/>
  <c r="B794" i="14"/>
  <c r="Q794" i="14" s="1"/>
  <c r="C794" i="14"/>
  <c r="B795" i="14"/>
  <c r="Q795" i="14" s="1"/>
  <c r="C795" i="14"/>
  <c r="B796" i="14"/>
  <c r="Q796" i="14" s="1"/>
  <c r="C796" i="14"/>
  <c r="B797" i="14"/>
  <c r="Q797" i="14" s="1"/>
  <c r="C797" i="14"/>
  <c r="B798" i="14"/>
  <c r="Q798" i="14" s="1"/>
  <c r="C798" i="14"/>
  <c r="B799" i="14"/>
  <c r="Q799" i="14" s="1"/>
  <c r="C799" i="14"/>
  <c r="B800" i="14"/>
  <c r="Q800" i="14" s="1"/>
  <c r="C800" i="14"/>
  <c r="B801" i="14"/>
  <c r="Q801" i="14" s="1"/>
  <c r="C801" i="14"/>
  <c r="B802" i="14"/>
  <c r="Q802" i="14" s="1"/>
  <c r="C802" i="14"/>
  <c r="B803" i="14"/>
  <c r="Q803" i="14" s="1"/>
  <c r="C803" i="14"/>
  <c r="B804" i="14"/>
  <c r="Q804" i="14" s="1"/>
  <c r="C804" i="14"/>
  <c r="B805" i="14"/>
  <c r="Q805" i="14" s="1"/>
  <c r="C805" i="14"/>
  <c r="B806" i="14"/>
  <c r="Q806" i="14" s="1"/>
  <c r="C806" i="14"/>
  <c r="B807" i="14"/>
  <c r="Q807" i="14" s="1"/>
  <c r="C807" i="14"/>
  <c r="B808" i="14"/>
  <c r="Q808" i="14" s="1"/>
  <c r="C808" i="14"/>
  <c r="B809" i="14"/>
  <c r="Q809" i="14" s="1"/>
  <c r="C809" i="14"/>
  <c r="B810" i="14"/>
  <c r="Q810" i="14" s="1"/>
  <c r="C810" i="14"/>
  <c r="B811" i="14"/>
  <c r="Q811" i="14" s="1"/>
  <c r="C811" i="14"/>
  <c r="B812" i="14"/>
  <c r="Q812" i="14" s="1"/>
  <c r="C812" i="14"/>
  <c r="B813" i="14"/>
  <c r="Q813" i="14" s="1"/>
  <c r="C813" i="14"/>
  <c r="B814" i="14"/>
  <c r="Q814" i="14" s="1"/>
  <c r="C814" i="14"/>
  <c r="B815" i="14"/>
  <c r="Q815" i="14" s="1"/>
  <c r="C815" i="14"/>
  <c r="B816" i="14"/>
  <c r="Q816" i="14" s="1"/>
  <c r="C816" i="14"/>
  <c r="B817" i="14"/>
  <c r="Q817" i="14" s="1"/>
  <c r="C817" i="14"/>
  <c r="B818" i="14"/>
  <c r="Q818" i="14" s="1"/>
  <c r="C818" i="14"/>
  <c r="B819" i="14"/>
  <c r="Q819" i="14" s="1"/>
  <c r="C819" i="14"/>
  <c r="B820" i="14"/>
  <c r="Q820" i="14" s="1"/>
  <c r="C820" i="14"/>
  <c r="B821" i="14"/>
  <c r="Q821" i="14" s="1"/>
  <c r="C821" i="14"/>
  <c r="B822" i="14"/>
  <c r="Q822" i="14" s="1"/>
  <c r="C822" i="14"/>
  <c r="B823" i="14"/>
  <c r="Q823" i="14" s="1"/>
  <c r="C823" i="14"/>
  <c r="B824" i="14"/>
  <c r="Q824" i="14" s="1"/>
  <c r="C824" i="14"/>
  <c r="B825" i="14"/>
  <c r="Q825" i="14" s="1"/>
  <c r="C825" i="14"/>
  <c r="B826" i="14"/>
  <c r="Q826" i="14" s="1"/>
  <c r="C826" i="14"/>
  <c r="B827" i="14"/>
  <c r="Q827" i="14" s="1"/>
  <c r="C827" i="14"/>
  <c r="B828" i="14"/>
  <c r="Q828" i="14" s="1"/>
  <c r="C828" i="14"/>
  <c r="B829" i="14"/>
  <c r="Q829" i="14" s="1"/>
  <c r="C829" i="14"/>
  <c r="B830" i="14"/>
  <c r="Q830" i="14" s="1"/>
  <c r="C830" i="14"/>
  <c r="B831" i="14"/>
  <c r="Q831" i="14" s="1"/>
  <c r="C831" i="14"/>
  <c r="B832" i="14"/>
  <c r="Q832" i="14" s="1"/>
  <c r="C832" i="14"/>
  <c r="B833" i="14"/>
  <c r="Q833" i="14" s="1"/>
  <c r="C833" i="14"/>
  <c r="B834" i="14"/>
  <c r="Q834" i="14" s="1"/>
  <c r="C834" i="14"/>
  <c r="B835" i="14"/>
  <c r="Q835" i="14" s="1"/>
  <c r="C835" i="14"/>
  <c r="B836" i="14"/>
  <c r="Q836" i="14" s="1"/>
  <c r="C836" i="14"/>
  <c r="B837" i="14"/>
  <c r="Q837" i="14" s="1"/>
  <c r="C837" i="14"/>
  <c r="B838" i="14"/>
  <c r="Q838" i="14" s="1"/>
  <c r="C838" i="14"/>
  <c r="B839" i="14"/>
  <c r="Q839" i="14" s="1"/>
  <c r="C839" i="14"/>
  <c r="B840" i="14"/>
  <c r="Q840" i="14" s="1"/>
  <c r="C840" i="14"/>
  <c r="B841" i="14"/>
  <c r="Q841" i="14" s="1"/>
  <c r="C841" i="14"/>
  <c r="B842" i="14"/>
  <c r="Q842" i="14" s="1"/>
  <c r="C842" i="14"/>
  <c r="B843" i="14"/>
  <c r="Q843" i="14" s="1"/>
  <c r="C843" i="14"/>
  <c r="B844" i="14"/>
  <c r="Q844" i="14" s="1"/>
  <c r="C844" i="14"/>
  <c r="B845" i="14"/>
  <c r="Q845" i="14" s="1"/>
  <c r="C845" i="14"/>
  <c r="B846" i="14"/>
  <c r="Q846" i="14" s="1"/>
  <c r="C846" i="14"/>
  <c r="B847" i="14"/>
  <c r="Q847" i="14" s="1"/>
  <c r="C847" i="14"/>
  <c r="B848" i="14"/>
  <c r="Q848" i="14" s="1"/>
  <c r="C848" i="14"/>
  <c r="B849" i="14"/>
  <c r="Q849" i="14" s="1"/>
  <c r="C849" i="14"/>
  <c r="B850" i="14"/>
  <c r="Q850" i="14" s="1"/>
  <c r="C850" i="14"/>
  <c r="B851" i="14"/>
  <c r="Q851" i="14" s="1"/>
  <c r="C851" i="14"/>
  <c r="B852" i="14"/>
  <c r="Q852" i="14" s="1"/>
  <c r="C852" i="14"/>
  <c r="B853" i="14"/>
  <c r="Q853" i="14" s="1"/>
  <c r="C853" i="14"/>
  <c r="B854" i="14"/>
  <c r="Q854" i="14" s="1"/>
  <c r="C854" i="14"/>
  <c r="B855" i="14"/>
  <c r="Q855" i="14" s="1"/>
  <c r="C855" i="14"/>
  <c r="B856" i="14"/>
  <c r="Q856" i="14" s="1"/>
  <c r="C856" i="14"/>
  <c r="B857" i="14"/>
  <c r="Q857" i="14" s="1"/>
  <c r="C857" i="14"/>
  <c r="B858" i="14"/>
  <c r="Q858" i="14" s="1"/>
  <c r="C858" i="14"/>
  <c r="B859" i="14"/>
  <c r="Q859" i="14" s="1"/>
  <c r="C859" i="14"/>
  <c r="B860" i="14"/>
  <c r="Q860" i="14" s="1"/>
  <c r="C860" i="14"/>
  <c r="B861" i="14"/>
  <c r="Q861" i="14" s="1"/>
  <c r="C861" i="14"/>
  <c r="B862" i="14"/>
  <c r="Q862" i="14" s="1"/>
  <c r="C862" i="14"/>
  <c r="B863" i="14"/>
  <c r="Q863" i="14" s="1"/>
  <c r="C863" i="14"/>
  <c r="B864" i="14"/>
  <c r="Q864" i="14" s="1"/>
  <c r="C864" i="14"/>
  <c r="B865" i="14"/>
  <c r="Q865" i="14" s="1"/>
  <c r="C865" i="14"/>
  <c r="B866" i="14"/>
  <c r="Q866" i="14" s="1"/>
  <c r="C866" i="14"/>
  <c r="B867" i="14"/>
  <c r="Q867" i="14" s="1"/>
  <c r="C867" i="14"/>
  <c r="B868" i="14"/>
  <c r="Q868" i="14" s="1"/>
  <c r="C868" i="14"/>
  <c r="B869" i="14"/>
  <c r="Q869" i="14" s="1"/>
  <c r="C869" i="14"/>
  <c r="B870" i="14"/>
  <c r="Q870" i="14" s="1"/>
  <c r="C870" i="14"/>
  <c r="B871" i="14"/>
  <c r="Q871" i="14" s="1"/>
  <c r="C871" i="14"/>
  <c r="B872" i="14"/>
  <c r="Q872" i="14" s="1"/>
  <c r="C872" i="14"/>
  <c r="B873" i="14"/>
  <c r="Q873" i="14" s="1"/>
  <c r="C873" i="14"/>
  <c r="B874" i="14"/>
  <c r="Q874" i="14" s="1"/>
  <c r="C874" i="14"/>
  <c r="B875" i="14"/>
  <c r="Q875" i="14" s="1"/>
  <c r="C875" i="14"/>
  <c r="B876" i="14"/>
  <c r="Q876" i="14" s="1"/>
  <c r="C876" i="14"/>
  <c r="B877" i="14"/>
  <c r="Q877" i="14" s="1"/>
  <c r="C877" i="14"/>
  <c r="B878" i="14"/>
  <c r="Q878" i="14" s="1"/>
  <c r="C878" i="14"/>
  <c r="B879" i="14"/>
  <c r="Q879" i="14" s="1"/>
  <c r="C879" i="14"/>
  <c r="B880" i="14"/>
  <c r="Q880" i="14" s="1"/>
  <c r="C880" i="14"/>
  <c r="B881" i="14"/>
  <c r="Q881" i="14" s="1"/>
  <c r="C881" i="14"/>
  <c r="B882" i="14"/>
  <c r="Q882" i="14" s="1"/>
  <c r="C882" i="14"/>
  <c r="B883" i="14"/>
  <c r="Q883" i="14" s="1"/>
  <c r="C883" i="14"/>
  <c r="B884" i="14"/>
  <c r="Q884" i="14" s="1"/>
  <c r="C884" i="14"/>
  <c r="B885" i="14"/>
  <c r="Q885" i="14" s="1"/>
  <c r="C885" i="14"/>
  <c r="B886" i="14"/>
  <c r="Q886" i="14" s="1"/>
  <c r="C886" i="14"/>
  <c r="B887" i="14"/>
  <c r="Q887" i="14" s="1"/>
  <c r="C887" i="14"/>
  <c r="B888" i="14"/>
  <c r="Q888" i="14" s="1"/>
  <c r="C888" i="14"/>
  <c r="B889" i="14"/>
  <c r="Q889" i="14" s="1"/>
  <c r="C889" i="14"/>
  <c r="B890" i="14"/>
  <c r="Q890" i="14" s="1"/>
  <c r="C890" i="14"/>
  <c r="B891" i="14"/>
  <c r="Q891" i="14" s="1"/>
  <c r="C891" i="14"/>
  <c r="B892" i="14"/>
  <c r="Q892" i="14" s="1"/>
  <c r="C892" i="14"/>
  <c r="B893" i="14"/>
  <c r="Q893" i="14" s="1"/>
  <c r="C893" i="14"/>
  <c r="B894" i="14"/>
  <c r="Q894" i="14" s="1"/>
  <c r="C894" i="14"/>
  <c r="B895" i="14"/>
  <c r="Q895" i="14" s="1"/>
  <c r="C895" i="14"/>
  <c r="B896" i="14"/>
  <c r="Q896" i="14" s="1"/>
  <c r="C896" i="14"/>
  <c r="B897" i="14"/>
  <c r="Q897" i="14" s="1"/>
  <c r="C897" i="14"/>
  <c r="B898" i="14"/>
  <c r="Q898" i="14" s="1"/>
  <c r="C898" i="14"/>
  <c r="B899" i="14"/>
  <c r="Q899" i="14" s="1"/>
  <c r="C899" i="14"/>
  <c r="B900" i="14"/>
  <c r="Q900" i="14" s="1"/>
  <c r="C900" i="14"/>
  <c r="B901" i="14"/>
  <c r="Q901" i="14" s="1"/>
  <c r="C901" i="14"/>
  <c r="B902" i="14"/>
  <c r="Q902" i="14" s="1"/>
  <c r="C902" i="14"/>
  <c r="B903" i="14"/>
  <c r="Q903" i="14" s="1"/>
  <c r="C903" i="14"/>
  <c r="B904" i="14"/>
  <c r="Q904" i="14" s="1"/>
  <c r="C904" i="14"/>
  <c r="B905" i="14"/>
  <c r="Q905" i="14" s="1"/>
  <c r="C905" i="14"/>
  <c r="B906" i="14"/>
  <c r="Q906" i="14" s="1"/>
  <c r="C906" i="14"/>
  <c r="B907" i="14"/>
  <c r="Q907" i="14" s="1"/>
  <c r="C907" i="14"/>
  <c r="B908" i="14"/>
  <c r="Q908" i="14" s="1"/>
  <c r="C908" i="14"/>
  <c r="B909" i="14"/>
  <c r="Q909" i="14" s="1"/>
  <c r="C909" i="14"/>
  <c r="B910" i="14"/>
  <c r="Q910" i="14" s="1"/>
  <c r="C910" i="14"/>
  <c r="B911" i="14"/>
  <c r="Q911" i="14" s="1"/>
  <c r="C911" i="14"/>
  <c r="B912" i="14"/>
  <c r="Q912" i="14" s="1"/>
  <c r="C912" i="14"/>
  <c r="B913" i="14"/>
  <c r="Q913" i="14" s="1"/>
  <c r="C913" i="14"/>
  <c r="B914" i="14"/>
  <c r="Q914" i="14" s="1"/>
  <c r="C914" i="14"/>
  <c r="B915" i="14"/>
  <c r="Q915" i="14" s="1"/>
  <c r="C915" i="14"/>
  <c r="B916" i="14"/>
  <c r="Q916" i="14" s="1"/>
  <c r="C916" i="14"/>
  <c r="B917" i="14"/>
  <c r="Q917" i="14" s="1"/>
  <c r="C917" i="14"/>
  <c r="B918" i="14"/>
  <c r="Q918" i="14" s="1"/>
  <c r="C918" i="14"/>
  <c r="B919" i="14"/>
  <c r="Q919" i="14" s="1"/>
  <c r="C919" i="14"/>
  <c r="B920" i="14"/>
  <c r="Q920" i="14" s="1"/>
  <c r="C920" i="14"/>
  <c r="B921" i="14"/>
  <c r="Q921" i="14" s="1"/>
  <c r="C921" i="14"/>
  <c r="B922" i="14"/>
  <c r="Q922" i="14" s="1"/>
  <c r="C922" i="14"/>
  <c r="B923" i="14"/>
  <c r="Q923" i="14" s="1"/>
  <c r="C923" i="14"/>
  <c r="B924" i="14"/>
  <c r="Q924" i="14" s="1"/>
  <c r="C924" i="14"/>
  <c r="B925" i="14"/>
  <c r="Q925" i="14" s="1"/>
  <c r="C925" i="14"/>
  <c r="B926" i="14"/>
  <c r="Q926" i="14" s="1"/>
  <c r="C926" i="14"/>
  <c r="B927" i="14"/>
  <c r="Q927" i="14" s="1"/>
  <c r="C927" i="14"/>
  <c r="B928" i="14"/>
  <c r="Q928" i="14" s="1"/>
  <c r="C928" i="14"/>
  <c r="B929" i="14"/>
  <c r="Q929" i="14" s="1"/>
  <c r="C929" i="14"/>
  <c r="B930" i="14"/>
  <c r="Q930" i="14" s="1"/>
  <c r="C930" i="14"/>
  <c r="B931" i="14"/>
  <c r="Q931" i="14" s="1"/>
  <c r="C931" i="14"/>
  <c r="B932" i="14"/>
  <c r="Q932" i="14" s="1"/>
  <c r="C932" i="14"/>
  <c r="B933" i="14"/>
  <c r="Q933" i="14" s="1"/>
  <c r="C933" i="14"/>
  <c r="B934" i="14"/>
  <c r="Q934" i="14" s="1"/>
  <c r="C934" i="14"/>
  <c r="B935" i="14"/>
  <c r="Q935" i="14" s="1"/>
  <c r="C935" i="14"/>
  <c r="B936" i="14"/>
  <c r="Q936" i="14" s="1"/>
  <c r="C936" i="14"/>
  <c r="B937" i="14"/>
  <c r="Q937" i="14" s="1"/>
  <c r="C937" i="14"/>
  <c r="B938" i="14"/>
  <c r="Q938" i="14" s="1"/>
  <c r="C938" i="14"/>
  <c r="B939" i="14"/>
  <c r="Q939" i="14" s="1"/>
  <c r="C939" i="14"/>
  <c r="B940" i="14"/>
  <c r="Q940" i="14" s="1"/>
  <c r="C940" i="14"/>
  <c r="B941" i="14"/>
  <c r="Q941" i="14" s="1"/>
  <c r="C941" i="14"/>
  <c r="B942" i="14"/>
  <c r="Q942" i="14" s="1"/>
  <c r="C942" i="14"/>
  <c r="B943" i="14"/>
  <c r="Q943" i="14" s="1"/>
  <c r="C943" i="14"/>
  <c r="B944" i="14"/>
  <c r="Q944" i="14" s="1"/>
  <c r="C944" i="14"/>
  <c r="B945" i="14"/>
  <c r="Q945" i="14" s="1"/>
  <c r="C945" i="14"/>
  <c r="B946" i="14"/>
  <c r="Q946" i="14" s="1"/>
  <c r="C946" i="14"/>
  <c r="B947" i="14"/>
  <c r="Q947" i="14" s="1"/>
  <c r="C947" i="14"/>
  <c r="B948" i="14"/>
  <c r="Q948" i="14" s="1"/>
  <c r="C948" i="14"/>
  <c r="B949" i="14"/>
  <c r="Q949" i="14" s="1"/>
  <c r="C949" i="14"/>
  <c r="B950" i="14"/>
  <c r="Q950" i="14" s="1"/>
  <c r="C950" i="14"/>
  <c r="B951" i="14"/>
  <c r="Q951" i="14" s="1"/>
  <c r="C951" i="14"/>
  <c r="B952" i="14"/>
  <c r="Q952" i="14" s="1"/>
  <c r="C952" i="14"/>
  <c r="B953" i="14"/>
  <c r="Q953" i="14" s="1"/>
  <c r="C953" i="14"/>
  <c r="B954" i="14"/>
  <c r="Q954" i="14" s="1"/>
  <c r="C954" i="14"/>
  <c r="B955" i="14"/>
  <c r="Q955" i="14" s="1"/>
  <c r="C955" i="14"/>
  <c r="B956" i="14"/>
  <c r="Q956" i="14" s="1"/>
  <c r="C956" i="14"/>
  <c r="B957" i="14"/>
  <c r="Q957" i="14" s="1"/>
  <c r="C957" i="14"/>
  <c r="B958" i="14"/>
  <c r="Q958" i="14" s="1"/>
  <c r="C958" i="14"/>
  <c r="B959" i="14"/>
  <c r="Q959" i="14" s="1"/>
  <c r="C959" i="14"/>
  <c r="B960" i="14"/>
  <c r="Q960" i="14" s="1"/>
  <c r="C960" i="14"/>
  <c r="B961" i="14"/>
  <c r="Q961" i="14" s="1"/>
  <c r="C961" i="14"/>
  <c r="B962" i="14"/>
  <c r="Q962" i="14" s="1"/>
  <c r="C962" i="14"/>
  <c r="B963" i="14"/>
  <c r="Q963" i="14" s="1"/>
  <c r="C963" i="14"/>
  <c r="B964" i="14"/>
  <c r="Q964" i="14" s="1"/>
  <c r="C964" i="14"/>
  <c r="B965" i="14"/>
  <c r="Q965" i="14" s="1"/>
  <c r="C965" i="14"/>
  <c r="B966" i="14"/>
  <c r="Q966" i="14" s="1"/>
  <c r="C966" i="14"/>
  <c r="B967" i="14"/>
  <c r="Q967" i="14" s="1"/>
  <c r="C967" i="14"/>
  <c r="B968" i="14"/>
  <c r="Q968" i="14" s="1"/>
  <c r="C968" i="14"/>
  <c r="B969" i="14"/>
  <c r="Q969" i="14" s="1"/>
  <c r="C969" i="14"/>
  <c r="B970" i="14"/>
  <c r="Q970" i="14" s="1"/>
  <c r="C970" i="14"/>
  <c r="B971" i="14"/>
  <c r="Q971" i="14" s="1"/>
  <c r="C971" i="14"/>
  <c r="B972" i="14"/>
  <c r="Q972" i="14" s="1"/>
  <c r="C972" i="14"/>
  <c r="B973" i="14"/>
  <c r="Q973" i="14" s="1"/>
  <c r="C973" i="14"/>
  <c r="B974" i="14"/>
  <c r="Q974" i="14" s="1"/>
  <c r="C974" i="14"/>
  <c r="B975" i="14"/>
  <c r="Q975" i="14" s="1"/>
  <c r="C975" i="14"/>
  <c r="B976" i="14"/>
  <c r="Q976" i="14" s="1"/>
  <c r="C976" i="14"/>
  <c r="B977" i="14"/>
  <c r="Q977" i="14" s="1"/>
  <c r="C977" i="14"/>
  <c r="B978" i="14"/>
  <c r="Q978" i="14" s="1"/>
  <c r="C978" i="14"/>
  <c r="B979" i="14"/>
  <c r="Q979" i="14" s="1"/>
  <c r="C979" i="14"/>
  <c r="B980" i="14"/>
  <c r="Q980" i="14" s="1"/>
  <c r="C980" i="14"/>
  <c r="B981" i="14"/>
  <c r="Q981" i="14" s="1"/>
  <c r="C981" i="14"/>
  <c r="B982" i="14"/>
  <c r="Q982" i="14" s="1"/>
  <c r="C982" i="14"/>
  <c r="B983" i="14"/>
  <c r="Q983" i="14" s="1"/>
  <c r="C983" i="14"/>
  <c r="B984" i="14"/>
  <c r="Q984" i="14" s="1"/>
  <c r="C984" i="14"/>
  <c r="B985" i="14"/>
  <c r="Q985" i="14" s="1"/>
  <c r="C985" i="14"/>
  <c r="B986" i="14"/>
  <c r="Q986" i="14" s="1"/>
  <c r="C986" i="14"/>
  <c r="B987" i="14"/>
  <c r="Q987" i="14" s="1"/>
  <c r="C987" i="14"/>
  <c r="B988" i="14"/>
  <c r="Q988" i="14" s="1"/>
  <c r="C988" i="14"/>
  <c r="B989" i="14"/>
  <c r="Q989" i="14" s="1"/>
  <c r="C989" i="14"/>
  <c r="B990" i="14"/>
  <c r="Q990" i="14" s="1"/>
  <c r="C990" i="14"/>
  <c r="B991" i="14"/>
  <c r="Q991" i="14" s="1"/>
  <c r="C991" i="14"/>
  <c r="B992" i="14"/>
  <c r="Q992" i="14" s="1"/>
  <c r="C992" i="14"/>
  <c r="B993" i="14"/>
  <c r="Q993" i="14" s="1"/>
  <c r="C993" i="14"/>
  <c r="B994" i="14"/>
  <c r="Q994" i="14" s="1"/>
  <c r="C994" i="14"/>
  <c r="B995" i="14"/>
  <c r="Q995" i="14" s="1"/>
  <c r="C995" i="14"/>
  <c r="B996" i="14"/>
  <c r="Q996" i="14" s="1"/>
  <c r="C996" i="14"/>
  <c r="B997" i="14"/>
  <c r="Q997" i="14" s="1"/>
  <c r="C997" i="14"/>
  <c r="B998" i="14"/>
  <c r="Q998" i="14" s="1"/>
  <c r="C998" i="14"/>
  <c r="B999" i="14"/>
  <c r="Q999" i="14" s="1"/>
  <c r="C999" i="14"/>
  <c r="B1000" i="14"/>
  <c r="Q1000" i="14" s="1"/>
  <c r="C1000" i="14"/>
  <c r="B1001" i="14"/>
  <c r="Q1001" i="14" s="1"/>
  <c r="C1001" i="14"/>
  <c r="B1002" i="14"/>
  <c r="Q1002" i="14" s="1"/>
  <c r="C1002" i="14"/>
  <c r="B1003" i="14"/>
  <c r="Q1003" i="14" s="1"/>
  <c r="C1003" i="14"/>
  <c r="B1004" i="14"/>
  <c r="Q1004" i="14" s="1"/>
  <c r="C1004" i="14"/>
  <c r="B1005" i="14"/>
  <c r="Q1005" i="14" s="1"/>
  <c r="C1005" i="14"/>
  <c r="B1006" i="14"/>
  <c r="Q1006" i="14" s="1"/>
  <c r="C1006" i="14"/>
  <c r="B1007" i="14"/>
  <c r="Q1007" i="14" s="1"/>
  <c r="C1007" i="14"/>
  <c r="B1008" i="14"/>
  <c r="Q1008" i="14" s="1"/>
  <c r="C1008" i="14"/>
  <c r="B1009" i="14"/>
  <c r="Q1009" i="14" s="1"/>
  <c r="C1009" i="14"/>
  <c r="B1010" i="14"/>
  <c r="Q1010" i="14" s="1"/>
  <c r="C1010" i="14"/>
  <c r="B1011" i="14"/>
  <c r="Q1011" i="14" s="1"/>
  <c r="C1011" i="14"/>
  <c r="B1012" i="14"/>
  <c r="Q1012" i="14" s="1"/>
  <c r="C1012" i="14"/>
  <c r="B1013" i="14"/>
  <c r="Q1013" i="14" s="1"/>
  <c r="C1013" i="14"/>
  <c r="B1014" i="14"/>
  <c r="Q1014" i="14" s="1"/>
  <c r="C1014" i="14"/>
  <c r="B1015" i="14"/>
  <c r="Q1015" i="14" s="1"/>
  <c r="C1015" i="14"/>
  <c r="B1016" i="14"/>
  <c r="Q1016" i="14" s="1"/>
  <c r="C1016" i="14"/>
  <c r="B1017" i="14"/>
  <c r="Q1017" i="14" s="1"/>
  <c r="C1017" i="14"/>
  <c r="B1018" i="14"/>
  <c r="Q1018" i="14" s="1"/>
  <c r="C1018" i="14"/>
  <c r="B1019" i="14"/>
  <c r="Q1019" i="14" s="1"/>
  <c r="C1019" i="14"/>
  <c r="B1020" i="14"/>
  <c r="Q1020" i="14" s="1"/>
  <c r="C1020" i="14"/>
  <c r="B1021" i="14"/>
  <c r="Q1021" i="14" s="1"/>
  <c r="C1021" i="14"/>
  <c r="B1022" i="14"/>
  <c r="Q1022" i="14" s="1"/>
  <c r="C1022" i="14"/>
  <c r="B1023" i="14"/>
  <c r="Q1023" i="14" s="1"/>
  <c r="C1023" i="14"/>
  <c r="B1024" i="14"/>
  <c r="Q1024" i="14" s="1"/>
  <c r="C1024" i="14"/>
  <c r="B1025" i="14"/>
  <c r="Q1025" i="14" s="1"/>
  <c r="C1025" i="14"/>
  <c r="B1026" i="14"/>
  <c r="Q1026" i="14" s="1"/>
  <c r="C1026" i="14"/>
  <c r="B1027" i="14"/>
  <c r="Q1027" i="14" s="1"/>
  <c r="C1027" i="14"/>
  <c r="B1028" i="14"/>
  <c r="Q1028" i="14" s="1"/>
  <c r="C1028" i="14"/>
  <c r="B1029" i="14"/>
  <c r="Q1029" i="14" s="1"/>
  <c r="C1029" i="14"/>
  <c r="B1030" i="14"/>
  <c r="Q1030" i="14" s="1"/>
  <c r="C1030" i="14"/>
  <c r="B1031" i="14"/>
  <c r="Q1031" i="14" s="1"/>
  <c r="C1031" i="14"/>
  <c r="B1032" i="14"/>
  <c r="Q1032" i="14" s="1"/>
  <c r="C1032" i="14"/>
  <c r="B1033" i="14"/>
  <c r="Q1033" i="14" s="1"/>
  <c r="C1033" i="14"/>
  <c r="B1034" i="14"/>
  <c r="Q1034" i="14" s="1"/>
  <c r="C1034" i="14"/>
  <c r="B1035" i="14"/>
  <c r="Q1035" i="14" s="1"/>
  <c r="C1035" i="14"/>
  <c r="B1036" i="14"/>
  <c r="Q1036" i="14" s="1"/>
  <c r="C1036" i="14"/>
  <c r="B1037" i="14"/>
  <c r="Q1037" i="14" s="1"/>
  <c r="C1037" i="14"/>
  <c r="B1038" i="14"/>
  <c r="Q1038" i="14" s="1"/>
  <c r="C1038" i="14"/>
  <c r="B1039" i="14"/>
  <c r="Q1039" i="14" s="1"/>
  <c r="C1039" i="14"/>
  <c r="B1040" i="14"/>
  <c r="Q1040" i="14" s="1"/>
  <c r="C1040" i="14"/>
  <c r="B1041" i="14"/>
  <c r="Q1041" i="14" s="1"/>
  <c r="C1041" i="14"/>
  <c r="B1042" i="14"/>
  <c r="Q1042" i="14" s="1"/>
  <c r="C1042" i="14"/>
  <c r="B1043" i="14"/>
  <c r="Q1043" i="14" s="1"/>
  <c r="C1043" i="14"/>
  <c r="B1044" i="14"/>
  <c r="Q1044" i="14" s="1"/>
  <c r="C1044" i="14"/>
  <c r="B1045" i="14"/>
  <c r="Q1045" i="14" s="1"/>
  <c r="C1045" i="14"/>
  <c r="B1046" i="14"/>
  <c r="Q1046" i="14" s="1"/>
  <c r="C1046" i="14"/>
  <c r="B1047" i="14"/>
  <c r="Q1047" i="14" s="1"/>
  <c r="C1047" i="14"/>
  <c r="B1048" i="14"/>
  <c r="Q1048" i="14" s="1"/>
  <c r="C1048" i="14"/>
  <c r="B1049" i="14"/>
  <c r="Q1049" i="14" s="1"/>
  <c r="C1049" i="14"/>
  <c r="B1050" i="14"/>
  <c r="Q1050" i="14" s="1"/>
  <c r="C1050" i="14"/>
  <c r="B1051" i="14"/>
  <c r="Q1051" i="14" s="1"/>
  <c r="C1051" i="14"/>
  <c r="B1052" i="14"/>
  <c r="Q1052" i="14" s="1"/>
  <c r="C1052" i="14"/>
  <c r="B1053" i="14"/>
  <c r="Q1053" i="14" s="1"/>
  <c r="C1053" i="14"/>
  <c r="B1054" i="14"/>
  <c r="Q1054" i="14" s="1"/>
  <c r="C1054" i="14"/>
  <c r="B1055" i="14"/>
  <c r="Q1055" i="14" s="1"/>
  <c r="C1055" i="14"/>
  <c r="B1056" i="14"/>
  <c r="Q1056" i="14" s="1"/>
  <c r="C1056" i="14"/>
  <c r="B1057" i="14"/>
  <c r="Q1057" i="14" s="1"/>
  <c r="C1057" i="14"/>
  <c r="B1058" i="14"/>
  <c r="Q1058" i="14" s="1"/>
  <c r="C1058" i="14"/>
  <c r="B1059" i="14"/>
  <c r="Q1059" i="14" s="1"/>
  <c r="C1059" i="14"/>
  <c r="B1060" i="14"/>
  <c r="Q1060" i="14" s="1"/>
  <c r="C1060" i="14"/>
  <c r="B1061" i="14"/>
  <c r="Q1061" i="14" s="1"/>
  <c r="C1061" i="14"/>
  <c r="B1062" i="14"/>
  <c r="Q1062" i="14" s="1"/>
  <c r="C1062" i="14"/>
  <c r="B1063" i="14"/>
  <c r="Q1063" i="14" s="1"/>
  <c r="C1063" i="14"/>
  <c r="B1064" i="14"/>
  <c r="Q1064" i="14" s="1"/>
  <c r="C1064" i="14"/>
  <c r="B1065" i="14"/>
  <c r="Q1065" i="14" s="1"/>
  <c r="C1065" i="14"/>
  <c r="B1066" i="14"/>
  <c r="Q1066" i="14" s="1"/>
  <c r="C1066" i="14"/>
  <c r="B1067" i="14"/>
  <c r="Q1067" i="14" s="1"/>
  <c r="C1067" i="14"/>
  <c r="B1068" i="14"/>
  <c r="Q1068" i="14" s="1"/>
  <c r="C1068" i="14"/>
  <c r="B1069" i="14"/>
  <c r="Q1069" i="14" s="1"/>
  <c r="C1069" i="14"/>
  <c r="B1070" i="14"/>
  <c r="Q1070" i="14" s="1"/>
  <c r="C1070" i="14"/>
  <c r="B1071" i="14"/>
  <c r="Q1071" i="14" s="1"/>
  <c r="C1071" i="14"/>
  <c r="B1072" i="14"/>
  <c r="Q1072" i="14" s="1"/>
  <c r="C1072" i="14"/>
  <c r="B1073" i="14"/>
  <c r="Q1073" i="14" s="1"/>
  <c r="C1073" i="14"/>
  <c r="B1074" i="14"/>
  <c r="Q1074" i="14" s="1"/>
  <c r="C1074" i="14"/>
  <c r="B1075" i="14"/>
  <c r="Q1075" i="14" s="1"/>
  <c r="C1075" i="14"/>
  <c r="B1076" i="14"/>
  <c r="Q1076" i="14" s="1"/>
  <c r="C1076" i="14"/>
  <c r="B1077" i="14"/>
  <c r="Q1077" i="14" s="1"/>
  <c r="C1077" i="14"/>
  <c r="B1078" i="14"/>
  <c r="Q1078" i="14" s="1"/>
  <c r="C1078" i="14"/>
  <c r="B1079" i="14"/>
  <c r="Q1079" i="14" s="1"/>
  <c r="C1079" i="14"/>
  <c r="B1080" i="14"/>
  <c r="Q1080" i="14" s="1"/>
  <c r="C1080" i="14"/>
  <c r="B1081" i="14"/>
  <c r="Q1081" i="14" s="1"/>
  <c r="C1081" i="14"/>
  <c r="B1082" i="14"/>
  <c r="Q1082" i="14" s="1"/>
  <c r="C1082" i="14"/>
  <c r="B1083" i="14"/>
  <c r="Q1083" i="14" s="1"/>
  <c r="C1083" i="14"/>
  <c r="B1084" i="14"/>
  <c r="Q1084" i="14" s="1"/>
  <c r="C1084" i="14"/>
  <c r="B1085" i="14"/>
  <c r="Q1085" i="14" s="1"/>
  <c r="C1085" i="14"/>
  <c r="B1086" i="14"/>
  <c r="Q1086" i="14" s="1"/>
  <c r="C1086" i="14"/>
  <c r="B1087" i="14"/>
  <c r="Q1087" i="14" s="1"/>
  <c r="C1087" i="14"/>
  <c r="B1088" i="14"/>
  <c r="Q1088" i="14" s="1"/>
  <c r="C1088" i="14"/>
  <c r="B1089" i="14"/>
  <c r="Q1089" i="14" s="1"/>
  <c r="C1089" i="14"/>
  <c r="B1090" i="14"/>
  <c r="Q1090" i="14" s="1"/>
  <c r="C1090" i="14"/>
  <c r="B1091" i="14"/>
  <c r="Q1091" i="14" s="1"/>
  <c r="C1091" i="14"/>
  <c r="B1092" i="14"/>
  <c r="Q1092" i="14" s="1"/>
  <c r="C1092" i="14"/>
  <c r="B1093" i="14"/>
  <c r="Q1093" i="14" s="1"/>
  <c r="C1093" i="14"/>
  <c r="B1094" i="14"/>
  <c r="Q1094" i="14" s="1"/>
  <c r="C1094" i="14"/>
  <c r="B1095" i="14"/>
  <c r="Q1095" i="14" s="1"/>
  <c r="C1095" i="14"/>
  <c r="B1096" i="14"/>
  <c r="Q1096" i="14" s="1"/>
  <c r="C1096" i="14"/>
  <c r="B1097" i="14"/>
  <c r="Q1097" i="14" s="1"/>
  <c r="C1097" i="14"/>
  <c r="B1098" i="14"/>
  <c r="Q1098" i="14" s="1"/>
  <c r="C1098" i="14"/>
  <c r="B1099" i="14"/>
  <c r="Q1099" i="14" s="1"/>
  <c r="C1099" i="14"/>
  <c r="B1100" i="14"/>
  <c r="Q1100" i="14" s="1"/>
  <c r="C1100" i="14"/>
  <c r="B1101" i="14"/>
  <c r="Q1101" i="14" s="1"/>
  <c r="C1101" i="14"/>
  <c r="B1102" i="14"/>
  <c r="Q1102" i="14" s="1"/>
  <c r="C1102" i="14"/>
  <c r="B1103" i="14"/>
  <c r="Q1103" i="14" s="1"/>
  <c r="C1103" i="14"/>
  <c r="B1104" i="14"/>
  <c r="Q1104" i="14" s="1"/>
  <c r="C1104" i="14"/>
  <c r="B1105" i="14"/>
  <c r="Q1105" i="14" s="1"/>
  <c r="C1105" i="14"/>
  <c r="B1106" i="14"/>
  <c r="Q1106" i="14" s="1"/>
  <c r="C1106" i="14"/>
  <c r="B1107" i="14"/>
  <c r="Q1107" i="14" s="1"/>
  <c r="C1107" i="14"/>
  <c r="B1108" i="14"/>
  <c r="Q1108" i="14" s="1"/>
  <c r="C1108" i="14"/>
  <c r="B1109" i="14"/>
  <c r="Q1109" i="14" s="1"/>
  <c r="C1109" i="14"/>
  <c r="B1110" i="14"/>
  <c r="Q1110" i="14" s="1"/>
  <c r="C1110" i="14"/>
  <c r="B1111" i="14"/>
  <c r="Q1111" i="14" s="1"/>
  <c r="C1111" i="14"/>
  <c r="B1112" i="14"/>
  <c r="Q1112" i="14" s="1"/>
  <c r="C1112" i="14"/>
  <c r="B1113" i="14"/>
  <c r="Q1113" i="14" s="1"/>
  <c r="C1113" i="14"/>
  <c r="B1114" i="14"/>
  <c r="Q1114" i="14" s="1"/>
  <c r="C1114" i="14"/>
  <c r="B1115" i="14"/>
  <c r="Q1115" i="14" s="1"/>
  <c r="C1115" i="14"/>
  <c r="B1116" i="14"/>
  <c r="Q1116" i="14" s="1"/>
  <c r="C1116" i="14"/>
  <c r="B1117" i="14"/>
  <c r="Q1117" i="14" s="1"/>
  <c r="C1117" i="14"/>
  <c r="B1118" i="14"/>
  <c r="Q1118" i="14" s="1"/>
  <c r="C1118" i="14"/>
  <c r="B1119" i="14"/>
  <c r="Q1119" i="14" s="1"/>
  <c r="C1119" i="14"/>
  <c r="B1120" i="14"/>
  <c r="Q1120" i="14" s="1"/>
  <c r="C1120" i="14"/>
  <c r="B1121" i="14"/>
  <c r="Q1121" i="14" s="1"/>
  <c r="C1121" i="14"/>
  <c r="B1122" i="14"/>
  <c r="Q1122" i="14" s="1"/>
  <c r="C1122" i="14"/>
  <c r="B1123" i="14"/>
  <c r="Q1123" i="14" s="1"/>
  <c r="C1123" i="14"/>
  <c r="B1124" i="14"/>
  <c r="Q1124" i="14" s="1"/>
  <c r="C1124" i="14"/>
  <c r="B1125" i="14"/>
  <c r="Q1125" i="14" s="1"/>
  <c r="C1125" i="14"/>
  <c r="B1126" i="14"/>
  <c r="Q1126" i="14" s="1"/>
  <c r="C1126" i="14"/>
  <c r="B1127" i="14"/>
  <c r="Q1127" i="14" s="1"/>
  <c r="C1127" i="14"/>
  <c r="B1128" i="14"/>
  <c r="Q1128" i="14" s="1"/>
  <c r="C1128" i="14"/>
  <c r="B1129" i="14"/>
  <c r="Q1129" i="14" s="1"/>
  <c r="C1129" i="14"/>
  <c r="B1130" i="14"/>
  <c r="Q1130" i="14" s="1"/>
  <c r="C1130" i="14"/>
  <c r="B1131" i="14"/>
  <c r="Q1131" i="14" s="1"/>
  <c r="C1131" i="14"/>
  <c r="B1132" i="14"/>
  <c r="Q1132" i="14" s="1"/>
  <c r="C1132" i="14"/>
  <c r="B1133" i="14"/>
  <c r="Q1133" i="14" s="1"/>
  <c r="C1133" i="14"/>
  <c r="B1134" i="14"/>
  <c r="Q1134" i="14" s="1"/>
  <c r="C1134" i="14"/>
  <c r="B1135" i="14"/>
  <c r="Q1135" i="14" s="1"/>
  <c r="C1135" i="14"/>
  <c r="B1136" i="14"/>
  <c r="Q1136" i="14" s="1"/>
  <c r="C1136" i="14"/>
  <c r="B1137" i="14"/>
  <c r="Q1137" i="14" s="1"/>
  <c r="C1137" i="14"/>
  <c r="B1138" i="14"/>
  <c r="Q1138" i="14" s="1"/>
  <c r="C1138" i="14"/>
  <c r="B1139" i="14"/>
  <c r="Q1139" i="14" s="1"/>
  <c r="C1139" i="14"/>
  <c r="B1140" i="14"/>
  <c r="Q1140" i="14" s="1"/>
  <c r="C1140" i="14"/>
  <c r="B1141" i="14"/>
  <c r="Q1141" i="14" s="1"/>
  <c r="C1141" i="14"/>
  <c r="B1142" i="14"/>
  <c r="Q1142" i="14" s="1"/>
  <c r="C1142" i="14"/>
  <c r="B1143" i="14"/>
  <c r="Q1143" i="14" s="1"/>
  <c r="C1143" i="14"/>
  <c r="B1144" i="14"/>
  <c r="Q1144" i="14" s="1"/>
  <c r="C1144" i="14"/>
  <c r="B1145" i="14"/>
  <c r="Q1145" i="14" s="1"/>
  <c r="C1145" i="14"/>
  <c r="B1146" i="14"/>
  <c r="Q1146" i="14" s="1"/>
  <c r="C1146" i="14"/>
  <c r="B1147" i="14"/>
  <c r="Q1147" i="14" s="1"/>
  <c r="C1147" i="14"/>
  <c r="B1148" i="14"/>
  <c r="Q1148" i="14" s="1"/>
  <c r="C1148" i="14"/>
  <c r="B1149" i="14"/>
  <c r="Q1149" i="14" s="1"/>
  <c r="C1149" i="14"/>
  <c r="B1150" i="14"/>
  <c r="Q1150" i="14" s="1"/>
  <c r="C1150" i="14"/>
  <c r="B1151" i="14"/>
  <c r="Q1151" i="14" s="1"/>
  <c r="C1151" i="14"/>
  <c r="B1152" i="14"/>
  <c r="Q1152" i="14" s="1"/>
  <c r="C1152" i="14"/>
  <c r="B1153" i="14"/>
  <c r="Q1153" i="14" s="1"/>
  <c r="C1153" i="14"/>
  <c r="B1154" i="14"/>
  <c r="Q1154" i="14" s="1"/>
  <c r="C1154" i="14"/>
  <c r="B1155" i="14"/>
  <c r="Q1155" i="14" s="1"/>
  <c r="C1155" i="14"/>
  <c r="B1156" i="14"/>
  <c r="Q1156" i="14" s="1"/>
  <c r="C1156" i="14"/>
  <c r="B1157" i="14"/>
  <c r="Q1157" i="14" s="1"/>
  <c r="C1157" i="14"/>
  <c r="B1158" i="14"/>
  <c r="Q1158" i="14" s="1"/>
  <c r="C1158" i="14"/>
  <c r="B1159" i="14"/>
  <c r="Q1159" i="14" s="1"/>
  <c r="C1159" i="14"/>
  <c r="B1160" i="14"/>
  <c r="Q1160" i="14" s="1"/>
  <c r="C1160" i="14"/>
  <c r="B1161" i="14"/>
  <c r="Q1161" i="14" s="1"/>
  <c r="C1161" i="14"/>
  <c r="B1162" i="14"/>
  <c r="Q1162" i="14" s="1"/>
  <c r="C1162" i="14"/>
  <c r="B1163" i="14"/>
  <c r="Q1163" i="14" s="1"/>
  <c r="C1163" i="14"/>
  <c r="B1164" i="14"/>
  <c r="Q1164" i="14" s="1"/>
  <c r="C1164" i="14"/>
  <c r="B1165" i="14"/>
  <c r="Q1165" i="14" s="1"/>
  <c r="C1165" i="14"/>
  <c r="B1166" i="14"/>
  <c r="Q1166" i="14" s="1"/>
  <c r="C1166" i="14"/>
  <c r="B1167" i="14"/>
  <c r="Q1167" i="14" s="1"/>
  <c r="C1167" i="14"/>
  <c r="B1168" i="14"/>
  <c r="Q1168" i="14" s="1"/>
  <c r="C1168" i="14"/>
  <c r="B1169" i="14"/>
  <c r="Q1169" i="14" s="1"/>
  <c r="C1169" i="14"/>
  <c r="B1170" i="14"/>
  <c r="Q1170" i="14" s="1"/>
  <c r="C1170" i="14"/>
  <c r="B1171" i="14"/>
  <c r="Q1171" i="14" s="1"/>
  <c r="C1171" i="14"/>
  <c r="B1172" i="14"/>
  <c r="Q1172" i="14" s="1"/>
  <c r="C1172" i="14"/>
  <c r="B1173" i="14"/>
  <c r="Q1173" i="14" s="1"/>
  <c r="C1173" i="14"/>
  <c r="B1174" i="14"/>
  <c r="Q1174" i="14" s="1"/>
  <c r="C1174" i="14"/>
  <c r="B1175" i="14"/>
  <c r="Q1175" i="14" s="1"/>
  <c r="C1175" i="14"/>
  <c r="B1176" i="14"/>
  <c r="Q1176" i="14" s="1"/>
  <c r="C1176" i="14"/>
  <c r="B1177" i="14"/>
  <c r="Q1177" i="14" s="1"/>
  <c r="C1177" i="14"/>
  <c r="B1178" i="14"/>
  <c r="Q1178" i="14" s="1"/>
  <c r="C1178" i="14"/>
  <c r="B1179" i="14"/>
  <c r="Q1179" i="14" s="1"/>
  <c r="C1179" i="14"/>
  <c r="B1180" i="14"/>
  <c r="Q1180" i="14" s="1"/>
  <c r="C1180" i="14"/>
  <c r="B1181" i="14"/>
  <c r="Q1181" i="14" s="1"/>
  <c r="C1181" i="14"/>
  <c r="B1182" i="14"/>
  <c r="Q1182" i="14" s="1"/>
  <c r="C1182" i="14"/>
  <c r="B1183" i="14"/>
  <c r="Q1183" i="14" s="1"/>
  <c r="C1183" i="14"/>
  <c r="B1184" i="14"/>
  <c r="Q1184" i="14" s="1"/>
  <c r="C1184" i="14"/>
  <c r="B1185" i="14"/>
  <c r="Q1185" i="14" s="1"/>
  <c r="C1185" i="14"/>
  <c r="B1186" i="14"/>
  <c r="Q1186" i="14" s="1"/>
  <c r="C1186" i="14"/>
  <c r="B1187" i="14"/>
  <c r="Q1187" i="14" s="1"/>
  <c r="C1187" i="14"/>
  <c r="B1188" i="14"/>
  <c r="Q1188" i="14" s="1"/>
  <c r="C1188" i="14"/>
  <c r="B1189" i="14"/>
  <c r="Q1189" i="14" s="1"/>
  <c r="C1189" i="14"/>
  <c r="B1190" i="14"/>
  <c r="Q1190" i="14" s="1"/>
  <c r="C1190" i="14"/>
  <c r="B1191" i="14"/>
  <c r="Q1191" i="14" s="1"/>
  <c r="C1191" i="14"/>
  <c r="B1192" i="14"/>
  <c r="Q1192" i="14" s="1"/>
  <c r="C1192" i="14"/>
  <c r="B1193" i="14"/>
  <c r="Q1193" i="14" s="1"/>
  <c r="C1193" i="14"/>
  <c r="B1194" i="14"/>
  <c r="Q1194" i="14" s="1"/>
  <c r="C1194" i="14"/>
  <c r="B1195" i="14"/>
  <c r="Q1195" i="14" s="1"/>
  <c r="C1195" i="14"/>
  <c r="B1196" i="14"/>
  <c r="Q1196" i="14" s="1"/>
  <c r="C1196" i="14"/>
  <c r="B1197" i="14"/>
  <c r="Q1197" i="14" s="1"/>
  <c r="C1197" i="14"/>
  <c r="B1198" i="14"/>
  <c r="Q1198" i="14" s="1"/>
  <c r="C1198" i="14"/>
  <c r="B1199" i="14"/>
  <c r="Q1199" i="14" s="1"/>
  <c r="C1199" i="14"/>
  <c r="B1200" i="14"/>
  <c r="Q1200" i="14" s="1"/>
  <c r="C1200" i="14"/>
  <c r="B60" i="14"/>
  <c r="Q60" i="14" s="1"/>
  <c r="C60" i="14"/>
  <c r="B61" i="14"/>
  <c r="Q61" i="14" s="1"/>
  <c r="C61" i="14"/>
  <c r="B62" i="14"/>
  <c r="Q62" i="14" s="1"/>
  <c r="C62" i="14"/>
  <c r="B63" i="14"/>
  <c r="Q63" i="14" s="1"/>
  <c r="C63" i="14"/>
  <c r="B64" i="14"/>
  <c r="Q64" i="14" s="1"/>
  <c r="C64" i="14"/>
  <c r="B65" i="14"/>
  <c r="Q65" i="14" s="1"/>
  <c r="C65" i="14"/>
  <c r="B66" i="14"/>
  <c r="Q66" i="14" s="1"/>
  <c r="C66" i="14"/>
  <c r="B67" i="14"/>
  <c r="Q67" i="14" s="1"/>
  <c r="C67" i="14"/>
  <c r="B68" i="14"/>
  <c r="Q68" i="14" s="1"/>
  <c r="C68" i="14"/>
  <c r="B69" i="14"/>
  <c r="Q69" i="14" s="1"/>
  <c r="C69" i="14"/>
  <c r="B70" i="14"/>
  <c r="Q70" i="14" s="1"/>
  <c r="C70" i="14"/>
  <c r="B71" i="14"/>
  <c r="Q71" i="14" s="1"/>
  <c r="C71" i="14"/>
  <c r="B72" i="14"/>
  <c r="Q72" i="14" s="1"/>
  <c r="C72" i="14"/>
  <c r="B73" i="14"/>
  <c r="Q73" i="14" s="1"/>
  <c r="C73" i="14"/>
  <c r="B74" i="14"/>
  <c r="Q74" i="14" s="1"/>
  <c r="C74" i="14"/>
  <c r="B75" i="14"/>
  <c r="Q75" i="14" s="1"/>
  <c r="C75" i="14"/>
  <c r="B76" i="14"/>
  <c r="Q76" i="14" s="1"/>
  <c r="C76" i="14"/>
  <c r="B77" i="14"/>
  <c r="Q77" i="14" s="1"/>
  <c r="C77" i="14"/>
  <c r="B78" i="14"/>
  <c r="Q78" i="14" s="1"/>
  <c r="C78" i="14"/>
  <c r="B79" i="14"/>
  <c r="Q79" i="14" s="1"/>
  <c r="C79" i="14"/>
  <c r="B80" i="14"/>
  <c r="Q80" i="14" s="1"/>
  <c r="C80" i="14"/>
  <c r="B81" i="14"/>
  <c r="Q81" i="14" s="1"/>
  <c r="C81" i="14"/>
  <c r="B82" i="14"/>
  <c r="Q82" i="14" s="1"/>
  <c r="C82" i="14"/>
  <c r="B83" i="14"/>
  <c r="Q83" i="14" s="1"/>
  <c r="C83" i="14"/>
  <c r="B84" i="14"/>
  <c r="Q84" i="14" s="1"/>
  <c r="C84" i="14"/>
  <c r="B85" i="14"/>
  <c r="Q85" i="14" s="1"/>
  <c r="C85" i="14"/>
  <c r="B86" i="14"/>
  <c r="Q86" i="14" s="1"/>
  <c r="C86" i="14"/>
  <c r="B87" i="14"/>
  <c r="Q87" i="14" s="1"/>
  <c r="C87" i="14"/>
  <c r="B39" i="14"/>
  <c r="Q39" i="14" s="1"/>
  <c r="C39" i="14"/>
  <c r="B40" i="14"/>
  <c r="Q40" i="14" s="1"/>
  <c r="C40" i="14"/>
  <c r="B41" i="14"/>
  <c r="Q41" i="14" s="1"/>
  <c r="C41" i="14"/>
  <c r="B42" i="14"/>
  <c r="Q42" i="14" s="1"/>
  <c r="C42" i="14"/>
  <c r="B43" i="14"/>
  <c r="Q43" i="14" s="1"/>
  <c r="C43" i="14"/>
  <c r="B44" i="14"/>
  <c r="Q44" i="14" s="1"/>
  <c r="C44" i="14"/>
  <c r="B45" i="14"/>
  <c r="Q45" i="14" s="1"/>
  <c r="C45" i="14"/>
  <c r="B46" i="14"/>
  <c r="Q46" i="14" s="1"/>
  <c r="C46" i="14"/>
  <c r="B47" i="14"/>
  <c r="Q47" i="14" s="1"/>
  <c r="C47" i="14"/>
  <c r="B48" i="14"/>
  <c r="Q48" i="14" s="1"/>
  <c r="C48" i="14"/>
  <c r="B49" i="14"/>
  <c r="Q49" i="14" s="1"/>
  <c r="C49" i="14"/>
  <c r="B50" i="14"/>
  <c r="Q50" i="14" s="1"/>
  <c r="C50" i="14"/>
  <c r="B51" i="14"/>
  <c r="Q51" i="14" s="1"/>
  <c r="C51" i="14"/>
  <c r="B52" i="14"/>
  <c r="Q52" i="14" s="1"/>
  <c r="C52" i="14"/>
  <c r="B53" i="14"/>
  <c r="Q53" i="14" s="1"/>
  <c r="C53" i="14"/>
  <c r="B54" i="14"/>
  <c r="Q54" i="14" s="1"/>
  <c r="C54" i="14"/>
  <c r="B55" i="14"/>
  <c r="Q55" i="14" s="1"/>
  <c r="C55" i="14"/>
  <c r="B56" i="14"/>
  <c r="Q56" i="14" s="1"/>
  <c r="C56" i="14"/>
  <c r="B57" i="14"/>
  <c r="Q57" i="14" s="1"/>
  <c r="C57" i="14"/>
  <c r="B58" i="14"/>
  <c r="Q58" i="14" s="1"/>
  <c r="C58" i="14"/>
  <c r="B59" i="14"/>
  <c r="Q59" i="14" s="1"/>
  <c r="C59" i="14"/>
  <c r="B30" i="14"/>
  <c r="Q30" i="14" s="1"/>
  <c r="C30" i="14"/>
  <c r="B31" i="14"/>
  <c r="Q31" i="14" s="1"/>
  <c r="C31" i="14"/>
  <c r="B32" i="14"/>
  <c r="Q32" i="14" s="1"/>
  <c r="C32" i="14"/>
  <c r="B33" i="14"/>
  <c r="Q33" i="14" s="1"/>
  <c r="C33" i="14"/>
  <c r="B34" i="14"/>
  <c r="Q34" i="14" s="1"/>
  <c r="C34" i="14"/>
  <c r="B35" i="14"/>
  <c r="Q35" i="14" s="1"/>
  <c r="C35" i="14"/>
  <c r="B36" i="14"/>
  <c r="Q36" i="14" s="1"/>
  <c r="C36" i="14"/>
  <c r="B37" i="14"/>
  <c r="Q37" i="14" s="1"/>
  <c r="C37" i="14"/>
  <c r="B38" i="14"/>
  <c r="Q38" i="14" s="1"/>
  <c r="C38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2" i="14"/>
  <c r="B3" i="14"/>
  <c r="Q3" i="14" s="1"/>
  <c r="B4" i="14"/>
  <c r="Q4" i="14" s="1"/>
  <c r="B5" i="14"/>
  <c r="Q5" i="14" s="1"/>
  <c r="B6" i="14"/>
  <c r="Q6" i="14" s="1"/>
  <c r="B7" i="14"/>
  <c r="Q7" i="14" s="1"/>
  <c r="B8" i="14"/>
  <c r="Q8" i="14" s="1"/>
  <c r="B9" i="14"/>
  <c r="Q9" i="14" s="1"/>
  <c r="B10" i="14"/>
  <c r="Q10" i="14" s="1"/>
  <c r="B11" i="14"/>
  <c r="Q11" i="14" s="1"/>
  <c r="B12" i="14"/>
  <c r="Q12" i="14" s="1"/>
  <c r="B13" i="14"/>
  <c r="Q13" i="14" s="1"/>
  <c r="B14" i="14"/>
  <c r="Q14" i="14" s="1"/>
  <c r="B15" i="14"/>
  <c r="Q15" i="14" s="1"/>
  <c r="B16" i="14"/>
  <c r="Q16" i="14" s="1"/>
  <c r="B17" i="14"/>
  <c r="Q17" i="14" s="1"/>
  <c r="B18" i="14"/>
  <c r="Q18" i="14" s="1"/>
  <c r="B19" i="14"/>
  <c r="Q19" i="14" s="1"/>
  <c r="B20" i="14"/>
  <c r="Q20" i="14" s="1"/>
  <c r="B21" i="14"/>
  <c r="Q21" i="14" s="1"/>
  <c r="B22" i="14"/>
  <c r="Q22" i="14" s="1"/>
  <c r="B23" i="14"/>
  <c r="Q23" i="14" s="1"/>
  <c r="B24" i="14"/>
  <c r="Q24" i="14" s="1"/>
  <c r="B25" i="14"/>
  <c r="Q25" i="14" s="1"/>
  <c r="B26" i="14"/>
  <c r="Q26" i="14" s="1"/>
  <c r="B27" i="14"/>
  <c r="Q27" i="14" s="1"/>
  <c r="B28" i="14"/>
  <c r="Q28" i="14" s="1"/>
  <c r="B29" i="14"/>
  <c r="Q29" i="14" s="1"/>
  <c r="B2" i="14"/>
  <c r="R6" i="7" l="1"/>
  <c r="P2" i="14"/>
  <c r="Q2" i="14"/>
  <c r="P6" i="14"/>
  <c r="P13" i="14"/>
  <c r="P34" i="14"/>
  <c r="P48" i="14"/>
  <c r="P69" i="14"/>
  <c r="P1194" i="14"/>
  <c r="P1178" i="14"/>
  <c r="P1150" i="14"/>
  <c r="P1134" i="14"/>
  <c r="P1118" i="14"/>
  <c r="P1090" i="14"/>
  <c r="P1062" i="14"/>
  <c r="P1034" i="14"/>
  <c r="P1018" i="14"/>
  <c r="P1002" i="14"/>
  <c r="P974" i="14"/>
  <c r="P970" i="14"/>
  <c r="P966" i="14"/>
  <c r="P962" i="14"/>
  <c r="P958" i="14"/>
  <c r="P954" i="14"/>
  <c r="P950" i="14"/>
  <c r="P946" i="14"/>
  <c r="P942" i="14"/>
  <c r="P938" i="14"/>
  <c r="P934" i="14"/>
  <c r="P930" i="14"/>
  <c r="P926" i="14"/>
  <c r="P922" i="14"/>
  <c r="P918" i="14"/>
  <c r="P914" i="14"/>
  <c r="P910" i="14"/>
  <c r="P906" i="14"/>
  <c r="P902" i="14"/>
  <c r="P898" i="14"/>
  <c r="P894" i="14"/>
  <c r="P890" i="14"/>
  <c r="P886" i="14"/>
  <c r="P882" i="14"/>
  <c r="P878" i="14"/>
  <c r="P874" i="14"/>
  <c r="P870" i="14"/>
  <c r="P866" i="14"/>
  <c r="P862" i="14"/>
  <c r="P858" i="14"/>
  <c r="P854" i="14"/>
  <c r="P850" i="14"/>
  <c r="P846" i="14"/>
  <c r="P842" i="14"/>
  <c r="P838" i="14"/>
  <c r="P834" i="14"/>
  <c r="P830" i="14"/>
  <c r="P826" i="14"/>
  <c r="P822" i="14"/>
  <c r="P818" i="14"/>
  <c r="P814" i="14"/>
  <c r="P810" i="14"/>
  <c r="P806" i="14"/>
  <c r="P802" i="14"/>
  <c r="P798" i="14"/>
  <c r="P794" i="14"/>
  <c r="P790" i="14"/>
  <c r="P786" i="14"/>
  <c r="P782" i="14"/>
  <c r="P778" i="14"/>
  <c r="P774" i="14"/>
  <c r="P770" i="14"/>
  <c r="P766" i="14"/>
  <c r="P762" i="14"/>
  <c r="P758" i="14"/>
  <c r="P754" i="14"/>
  <c r="P750" i="14"/>
  <c r="P746" i="14"/>
  <c r="P742" i="14"/>
  <c r="P738" i="14"/>
  <c r="P734" i="14"/>
  <c r="P730" i="14"/>
  <c r="P726" i="14"/>
  <c r="P722" i="14"/>
  <c r="P718" i="14"/>
  <c r="P714" i="14"/>
  <c r="P710" i="14"/>
  <c r="P706" i="14"/>
  <c r="P702" i="14"/>
  <c r="P698" i="14"/>
  <c r="P694" i="14"/>
  <c r="P690" i="14"/>
  <c r="P686" i="14"/>
  <c r="P682" i="14"/>
  <c r="P678" i="14"/>
  <c r="P674" i="14"/>
  <c r="P670" i="14"/>
  <c r="P666" i="14"/>
  <c r="P662" i="14"/>
  <c r="P658" i="14"/>
  <c r="P654" i="14"/>
  <c r="P650" i="14"/>
  <c r="P646" i="14"/>
  <c r="P642" i="14"/>
  <c r="P638" i="14"/>
  <c r="P634" i="14"/>
  <c r="P630" i="14"/>
  <c r="P626" i="14"/>
  <c r="P622" i="14"/>
  <c r="P618" i="14"/>
  <c r="P614" i="14"/>
  <c r="P610" i="14"/>
  <c r="P606" i="14"/>
  <c r="P602" i="14"/>
  <c r="P598" i="14"/>
  <c r="P594" i="14"/>
  <c r="P590" i="14"/>
  <c r="P586" i="14"/>
  <c r="P582" i="14"/>
  <c r="P578" i="14"/>
  <c r="P574" i="14"/>
  <c r="P570" i="14"/>
  <c r="P566" i="14"/>
  <c r="P562" i="14"/>
  <c r="P558" i="14"/>
  <c r="P554" i="14"/>
  <c r="P550" i="14"/>
  <c r="P546" i="14"/>
  <c r="P542" i="14"/>
  <c r="P538" i="14"/>
  <c r="P534" i="14"/>
  <c r="P530" i="14"/>
  <c r="P526" i="14"/>
  <c r="P522" i="14"/>
  <c r="P518" i="14"/>
  <c r="P514" i="14"/>
  <c r="P510" i="14"/>
  <c r="P506" i="14"/>
  <c r="P502" i="14"/>
  <c r="P498" i="14"/>
  <c r="P494" i="14"/>
  <c r="P490" i="14"/>
  <c r="P486" i="14"/>
  <c r="P482" i="14"/>
  <c r="P478" i="14"/>
  <c r="P474" i="14"/>
  <c r="P470" i="14"/>
  <c r="P466" i="14"/>
  <c r="P462" i="14"/>
  <c r="P458" i="14"/>
  <c r="P454" i="14"/>
  <c r="P450" i="14"/>
  <c r="P446" i="14"/>
  <c r="P442" i="14"/>
  <c r="P438" i="14"/>
  <c r="P434" i="14"/>
  <c r="P430" i="14"/>
  <c r="P426" i="14"/>
  <c r="P422" i="14"/>
  <c r="P418" i="14"/>
  <c r="P414" i="14"/>
  <c r="P410" i="14"/>
  <c r="P406" i="14"/>
  <c r="P402" i="14"/>
  <c r="P398" i="14"/>
  <c r="P394" i="14"/>
  <c r="P390" i="14"/>
  <c r="P386" i="14"/>
  <c r="P382" i="14"/>
  <c r="P378" i="14"/>
  <c r="P77" i="14"/>
  <c r="P1154" i="14"/>
  <c r="P1106" i="14"/>
  <c r="P1058" i="14"/>
  <c r="P998" i="14"/>
  <c r="P14" i="14"/>
  <c r="P5" i="14"/>
  <c r="P73" i="14"/>
  <c r="P1158" i="14"/>
  <c r="P1110" i="14"/>
  <c r="P1050" i="14"/>
  <c r="P994" i="14"/>
  <c r="P80" i="14"/>
  <c r="P1177" i="14"/>
  <c r="P1133" i="14"/>
  <c r="P1109" i="14"/>
  <c r="P1105" i="14"/>
  <c r="P1101" i="14"/>
  <c r="P1097" i="14"/>
  <c r="P1093" i="14"/>
  <c r="P1089" i="14"/>
  <c r="P1085" i="14"/>
  <c r="P1081" i="14"/>
  <c r="P1077" i="14"/>
  <c r="P1073" i="14"/>
  <c r="P1069" i="14"/>
  <c r="P1065" i="14"/>
  <c r="P1061" i="14"/>
  <c r="P1057" i="14"/>
  <c r="P1053" i="14"/>
  <c r="P1049" i="14"/>
  <c r="P1045" i="14"/>
  <c r="P1041" i="14"/>
  <c r="P1037" i="14"/>
  <c r="P1033" i="14"/>
  <c r="P1029" i="14"/>
  <c r="P1025" i="14"/>
  <c r="P1021" i="14"/>
  <c r="P1017" i="14"/>
  <c r="P1013" i="14"/>
  <c r="P1009" i="14"/>
  <c r="P1005" i="14"/>
  <c r="P1001" i="14"/>
  <c r="P997" i="14"/>
  <c r="P993" i="14"/>
  <c r="P989" i="14"/>
  <c r="P985" i="14"/>
  <c r="P981" i="14"/>
  <c r="P977" i="14"/>
  <c r="P973" i="14"/>
  <c r="P969" i="14"/>
  <c r="P965" i="14"/>
  <c r="P961" i="14"/>
  <c r="P957" i="14"/>
  <c r="P953" i="14"/>
  <c r="P949" i="14"/>
  <c r="P945" i="14"/>
  <c r="P941" i="14"/>
  <c r="P937" i="14"/>
  <c r="P21" i="14"/>
  <c r="P81" i="14"/>
  <c r="P1174" i="14"/>
  <c r="P1114" i="14"/>
  <c r="P1054" i="14"/>
  <c r="P990" i="14"/>
  <c r="P84" i="14"/>
  <c r="P1193" i="14"/>
  <c r="P1149" i="14"/>
  <c r="P30" i="14"/>
  <c r="P44" i="14"/>
  <c r="P65" i="14"/>
  <c r="P1182" i="14"/>
  <c r="P1162" i="14"/>
  <c r="P1138" i="14"/>
  <c r="P1130" i="14"/>
  <c r="P1102" i="14"/>
  <c r="P1086" i="14"/>
  <c r="P1066" i="14"/>
  <c r="P1038" i="14"/>
  <c r="P1022" i="14"/>
  <c r="P1006" i="14"/>
  <c r="P986" i="14"/>
  <c r="P28" i="14"/>
  <c r="P4" i="14"/>
  <c r="P19" i="14"/>
  <c r="P55" i="14"/>
  <c r="P47" i="14"/>
  <c r="P76" i="14"/>
  <c r="P64" i="14"/>
  <c r="P1189" i="14"/>
  <c r="P1173" i="14"/>
  <c r="P1161" i="14"/>
  <c r="P1145" i="14"/>
  <c r="P1125" i="14"/>
  <c r="P1117" i="14"/>
  <c r="P18" i="14"/>
  <c r="P9" i="14"/>
  <c r="P36" i="14"/>
  <c r="P32" i="14"/>
  <c r="P58" i="14"/>
  <c r="P54" i="14"/>
  <c r="P50" i="14"/>
  <c r="P46" i="14"/>
  <c r="P42" i="14"/>
  <c r="P87" i="14"/>
  <c r="P83" i="14"/>
  <c r="P79" i="14"/>
  <c r="P75" i="14"/>
  <c r="P71" i="14"/>
  <c r="P67" i="14"/>
  <c r="P63" i="14"/>
  <c r="P1200" i="14"/>
  <c r="P1196" i="14"/>
  <c r="P1192" i="14"/>
  <c r="P1188" i="14"/>
  <c r="P1184" i="14"/>
  <c r="P1180" i="14"/>
  <c r="P1176" i="14"/>
  <c r="P1172" i="14"/>
  <c r="P1168" i="14"/>
  <c r="P1164" i="14"/>
  <c r="P1160" i="14"/>
  <c r="P1156" i="14"/>
  <c r="P1152" i="14"/>
  <c r="P1148" i="14"/>
  <c r="P1144" i="14"/>
  <c r="P1140" i="14"/>
  <c r="P1136" i="14"/>
  <c r="P1132" i="14"/>
  <c r="P1128" i="14"/>
  <c r="P1124" i="14"/>
  <c r="P1120" i="14"/>
  <c r="P1116" i="14"/>
  <c r="P1112" i="14"/>
  <c r="P1108" i="14"/>
  <c r="P1104" i="14"/>
  <c r="P22" i="14"/>
  <c r="P29" i="14"/>
  <c r="P38" i="14"/>
  <c r="P52" i="14"/>
  <c r="P40" i="14"/>
  <c r="P61" i="14"/>
  <c r="P1186" i="14"/>
  <c r="P1166" i="14"/>
  <c r="P1142" i="14"/>
  <c r="P1122" i="14"/>
  <c r="P1098" i="14"/>
  <c r="P1082" i="14"/>
  <c r="P1074" i="14"/>
  <c r="P1042" i="14"/>
  <c r="P1026" i="14"/>
  <c r="P1010" i="14"/>
  <c r="P982" i="14"/>
  <c r="P20" i="14"/>
  <c r="P11" i="14"/>
  <c r="P37" i="14"/>
  <c r="P59" i="14"/>
  <c r="P43" i="14"/>
  <c r="P72" i="14"/>
  <c r="P60" i="14"/>
  <c r="P1185" i="14"/>
  <c r="P1169" i="14"/>
  <c r="P1157" i="14"/>
  <c r="P1141" i="14"/>
  <c r="P1129" i="14"/>
  <c r="P1113" i="14"/>
  <c r="P10" i="14"/>
  <c r="P17" i="14"/>
  <c r="P24" i="14"/>
  <c r="P16" i="14"/>
  <c r="P8" i="14"/>
  <c r="P56" i="14"/>
  <c r="P85" i="14"/>
  <c r="P1198" i="14"/>
  <c r="P1190" i="14"/>
  <c r="P1170" i="14"/>
  <c r="P1146" i="14"/>
  <c r="P1126" i="14"/>
  <c r="P1094" i="14"/>
  <c r="P1078" i="14"/>
  <c r="P1070" i="14"/>
  <c r="P1046" i="14"/>
  <c r="P1030" i="14"/>
  <c r="P1014" i="14"/>
  <c r="P978" i="14"/>
  <c r="P12" i="14"/>
  <c r="P27" i="14"/>
  <c r="P3" i="14"/>
  <c r="P33" i="14"/>
  <c r="P51" i="14"/>
  <c r="P39" i="14"/>
  <c r="P68" i="14"/>
  <c r="P1197" i="14"/>
  <c r="P1181" i="14"/>
  <c r="P1165" i="14"/>
  <c r="P1153" i="14"/>
  <c r="P1137" i="14"/>
  <c r="P1121" i="14"/>
  <c r="P26" i="14"/>
  <c r="P25" i="14"/>
  <c r="P23" i="14"/>
  <c r="P15" i="14"/>
  <c r="P7" i="14"/>
  <c r="P35" i="14"/>
  <c r="P31" i="14"/>
  <c r="P57" i="14"/>
  <c r="P53" i="14"/>
  <c r="P49" i="14"/>
  <c r="P45" i="14"/>
  <c r="P41" i="14"/>
  <c r="P86" i="14"/>
  <c r="P82" i="14"/>
  <c r="P78" i="14"/>
  <c r="P74" i="14"/>
  <c r="P70" i="14"/>
  <c r="P66" i="14"/>
  <c r="P62" i="14"/>
  <c r="P1199" i="14"/>
  <c r="P1195" i="14"/>
  <c r="P1191" i="14"/>
  <c r="P1187" i="14"/>
  <c r="P1183" i="14"/>
  <c r="P1179" i="14"/>
  <c r="P1175" i="14"/>
  <c r="P1171" i="14"/>
  <c r="P1167" i="14"/>
  <c r="P1163" i="14"/>
  <c r="P1159" i="14"/>
  <c r="P1155" i="14"/>
  <c r="P1151" i="14"/>
  <c r="P1147" i="14"/>
  <c r="P1143" i="14"/>
  <c r="P1139" i="14"/>
  <c r="P1135" i="14"/>
  <c r="P1131" i="14"/>
  <c r="P1127" i="14"/>
  <c r="P1123" i="14"/>
  <c r="P1119" i="14"/>
  <c r="P1115" i="14"/>
  <c r="P1111" i="14"/>
  <c r="P374" i="14"/>
  <c r="P370" i="14"/>
  <c r="P366" i="14"/>
  <c r="P362" i="14"/>
  <c r="P358" i="14"/>
  <c r="P354" i="14"/>
  <c r="P350" i="14"/>
  <c r="P346" i="14"/>
  <c r="P342" i="14"/>
  <c r="P338" i="14"/>
  <c r="P334" i="14"/>
  <c r="P330" i="14"/>
  <c r="P326" i="14"/>
  <c r="P322" i="14"/>
  <c r="P318" i="14"/>
  <c r="P314" i="14"/>
  <c r="P310" i="14"/>
  <c r="P306" i="14"/>
  <c r="P302" i="14"/>
  <c r="P298" i="14"/>
  <c r="P294" i="14"/>
  <c r="P290" i="14"/>
  <c r="P286" i="14"/>
  <c r="P282" i="14"/>
  <c r="P278" i="14"/>
  <c r="P274" i="14"/>
  <c r="P270" i="14"/>
  <c r="P266" i="14"/>
  <c r="P262" i="14"/>
  <c r="P258" i="14"/>
  <c r="P254" i="14"/>
  <c r="P250" i="14"/>
  <c r="P246" i="14"/>
  <c r="P242" i="14"/>
  <c r="P238" i="14"/>
  <c r="P234" i="14"/>
  <c r="P230" i="14"/>
  <c r="P226" i="14"/>
  <c r="P222" i="14"/>
  <c r="P218" i="14"/>
  <c r="P214" i="14"/>
  <c r="P210" i="14"/>
  <c r="P206" i="14"/>
  <c r="P202" i="14"/>
  <c r="P198" i="14"/>
  <c r="P194" i="14"/>
  <c r="P190" i="14"/>
  <c r="P186" i="14"/>
  <c r="P182" i="14"/>
  <c r="P178" i="14"/>
  <c r="P174" i="14"/>
  <c r="P170" i="14"/>
  <c r="P166" i="14"/>
  <c r="P162" i="14"/>
  <c r="P158" i="14"/>
  <c r="P154" i="14"/>
  <c r="P150" i="14"/>
  <c r="P146" i="14"/>
  <c r="P142" i="14"/>
  <c r="P138" i="14"/>
  <c r="P134" i="14"/>
  <c r="P130" i="14"/>
  <c r="P126" i="14"/>
  <c r="P122" i="14"/>
  <c r="P118" i="14"/>
  <c r="P114" i="14"/>
  <c r="P110" i="14"/>
  <c r="P106" i="14"/>
  <c r="P102" i="14"/>
  <c r="P98" i="14"/>
  <c r="P94" i="14"/>
  <c r="P90" i="14"/>
  <c r="P933" i="14"/>
  <c r="P929" i="14"/>
  <c r="P925" i="14"/>
  <c r="P921" i="14"/>
  <c r="P917" i="14"/>
  <c r="P913" i="14"/>
  <c r="P909" i="14"/>
  <c r="P905" i="14"/>
  <c r="P901" i="14"/>
  <c r="P897" i="14"/>
  <c r="P893" i="14"/>
  <c r="P889" i="14"/>
  <c r="P885" i="14"/>
  <c r="P881" i="14"/>
  <c r="P877" i="14"/>
  <c r="P873" i="14"/>
  <c r="P869" i="14"/>
  <c r="P865" i="14"/>
  <c r="P861" i="14"/>
  <c r="P857" i="14"/>
  <c r="P853" i="14"/>
  <c r="P849" i="14"/>
  <c r="P845" i="14"/>
  <c r="P841" i="14"/>
  <c r="P837" i="14"/>
  <c r="P833" i="14"/>
  <c r="P829" i="14"/>
  <c r="P825" i="14"/>
  <c r="P821" i="14"/>
  <c r="P817" i="14"/>
  <c r="P813" i="14"/>
  <c r="P809" i="14"/>
  <c r="P805" i="14"/>
  <c r="P801" i="14"/>
  <c r="P797" i="14"/>
  <c r="P793" i="14"/>
  <c r="P789" i="14"/>
  <c r="P785" i="14"/>
  <c r="P781" i="14"/>
  <c r="P777" i="14"/>
  <c r="P773" i="14"/>
  <c r="P769" i="14"/>
  <c r="P765" i="14"/>
  <c r="P761" i="14"/>
  <c r="P757" i="14"/>
  <c r="P753" i="14"/>
  <c r="P749" i="14"/>
  <c r="P745" i="14"/>
  <c r="P741" i="14"/>
  <c r="P737" i="14"/>
  <c r="P733" i="14"/>
  <c r="P729" i="14"/>
  <c r="P725" i="14"/>
  <c r="P721" i="14"/>
  <c r="P717" i="14"/>
  <c r="P713" i="14"/>
  <c r="P709" i="14"/>
  <c r="P705" i="14"/>
  <c r="P701" i="14"/>
  <c r="P697" i="14"/>
  <c r="P693" i="14"/>
  <c r="P689" i="14"/>
  <c r="P685" i="14"/>
  <c r="P681" i="14"/>
  <c r="P677" i="14"/>
  <c r="P673" i="14"/>
  <c r="P669" i="14"/>
  <c r="P665" i="14"/>
  <c r="P661" i="14"/>
  <c r="P657" i="14"/>
  <c r="P653" i="14"/>
  <c r="P649" i="14"/>
  <c r="P645" i="14"/>
  <c r="P641" i="14"/>
  <c r="P637" i="14"/>
  <c r="P633" i="14"/>
  <c r="P629" i="14"/>
  <c r="P625" i="14"/>
  <c r="P621" i="14"/>
  <c r="P617" i="14"/>
  <c r="P613" i="14"/>
  <c r="P609" i="14"/>
  <c r="P605" i="14"/>
  <c r="P601" i="14"/>
  <c r="P597" i="14"/>
  <c r="P593" i="14"/>
  <c r="P589" i="14"/>
  <c r="P585" i="14"/>
  <c r="P581" i="14"/>
  <c r="P577" i="14"/>
  <c r="P573" i="14"/>
  <c r="P569" i="14"/>
  <c r="P565" i="14"/>
  <c r="P561" i="14"/>
  <c r="P557" i="14"/>
  <c r="P553" i="14"/>
  <c r="P549" i="14"/>
  <c r="P545" i="14"/>
  <c r="P541" i="14"/>
  <c r="P537" i="14"/>
  <c r="P533" i="14"/>
  <c r="P529" i="14"/>
  <c r="P525" i="14"/>
  <c r="P521" i="14"/>
  <c r="P517" i="14"/>
  <c r="P513" i="14"/>
  <c r="P509" i="14"/>
  <c r="P505" i="14"/>
  <c r="P501" i="14"/>
  <c r="P497" i="14"/>
  <c r="P493" i="14"/>
  <c r="P489" i="14"/>
  <c r="P485" i="14"/>
  <c r="P481" i="14"/>
  <c r="P477" i="14"/>
  <c r="P473" i="14"/>
  <c r="P469" i="14"/>
  <c r="P465" i="14"/>
  <c r="P461" i="14"/>
  <c r="P457" i="14"/>
  <c r="P453" i="14"/>
  <c r="P449" i="14"/>
  <c r="P445" i="14"/>
  <c r="P441" i="14"/>
  <c r="P437" i="14"/>
  <c r="P433" i="14"/>
  <c r="P429" i="14"/>
  <c r="P425" i="14"/>
  <c r="P421" i="14"/>
  <c r="P417" i="14"/>
  <c r="P413" i="14"/>
  <c r="P409" i="14"/>
  <c r="P405" i="14"/>
  <c r="P401" i="14"/>
  <c r="P397" i="14"/>
  <c r="P393" i="14"/>
  <c r="P389" i="14"/>
  <c r="P385" i="14"/>
  <c r="P381" i="14"/>
  <c r="P377" i="14"/>
  <c r="P373" i="14"/>
  <c r="P369" i="14"/>
  <c r="P365" i="14"/>
  <c r="P361" i="14"/>
  <c r="P357" i="14"/>
  <c r="P353" i="14"/>
  <c r="P349" i="14"/>
  <c r="P345" i="14"/>
  <c r="P341" i="14"/>
  <c r="P337" i="14"/>
  <c r="P333" i="14"/>
  <c r="P329" i="14"/>
  <c r="P325" i="14"/>
  <c r="P321" i="14"/>
  <c r="P317" i="14"/>
  <c r="P313" i="14"/>
  <c r="P309" i="14"/>
  <c r="P305" i="14"/>
  <c r="P301" i="14"/>
  <c r="P297" i="14"/>
  <c r="P293" i="14"/>
  <c r="P289" i="14"/>
  <c r="P285" i="14"/>
  <c r="P281" i="14"/>
  <c r="P277" i="14"/>
  <c r="P273" i="14"/>
  <c r="P269" i="14"/>
  <c r="P265" i="14"/>
  <c r="P261" i="14"/>
  <c r="P257" i="14"/>
  <c r="P253" i="14"/>
  <c r="P249" i="14"/>
  <c r="P245" i="14"/>
  <c r="P241" i="14"/>
  <c r="P237" i="14"/>
  <c r="P233" i="14"/>
  <c r="P229" i="14"/>
  <c r="P225" i="14"/>
  <c r="P221" i="14"/>
  <c r="P217" i="14"/>
  <c r="P213" i="14"/>
  <c r="P209" i="14"/>
  <c r="P205" i="14"/>
  <c r="P201" i="14"/>
  <c r="P197" i="14"/>
  <c r="P193" i="14"/>
  <c r="P189" i="14"/>
  <c r="P185" i="14"/>
  <c r="P181" i="14"/>
  <c r="P177" i="14"/>
  <c r="P173" i="14"/>
  <c r="P169" i="14"/>
  <c r="P165" i="14"/>
  <c r="P161" i="14"/>
  <c r="P157" i="14"/>
  <c r="P153" i="14"/>
  <c r="P149" i="14"/>
  <c r="P145" i="14"/>
  <c r="P141" i="14"/>
  <c r="P137" i="14"/>
  <c r="P133" i="14"/>
  <c r="P129" i="14"/>
  <c r="P125" i="14"/>
  <c r="P121" i="14"/>
  <c r="P117" i="14"/>
  <c r="P113" i="14"/>
  <c r="P109" i="14"/>
  <c r="P105" i="14"/>
  <c r="P101" i="14"/>
  <c r="P97" i="14"/>
  <c r="P93" i="14"/>
  <c r="P89" i="14"/>
  <c r="P1100" i="14"/>
  <c r="P1096" i="14"/>
  <c r="P1092" i="14"/>
  <c r="P1088" i="14"/>
  <c r="P1084" i="14"/>
  <c r="P1080" i="14"/>
  <c r="P1076" i="14"/>
  <c r="P1072" i="14"/>
  <c r="P1068" i="14"/>
  <c r="P1064" i="14"/>
  <c r="P1060" i="14"/>
  <c r="P1056" i="14"/>
  <c r="P1052" i="14"/>
  <c r="P1048" i="14"/>
  <c r="P1044" i="14"/>
  <c r="P1040" i="14"/>
  <c r="P1036" i="14"/>
  <c r="P1032" i="14"/>
  <c r="P1028" i="14"/>
  <c r="P1024" i="14"/>
  <c r="P1020" i="14"/>
  <c r="P1016" i="14"/>
  <c r="P1012" i="14"/>
  <c r="P1008" i="14"/>
  <c r="P1004" i="14"/>
  <c r="P1000" i="14"/>
  <c r="P996" i="14"/>
  <c r="P992" i="14"/>
  <c r="P988" i="14"/>
  <c r="P984" i="14"/>
  <c r="P980" i="14"/>
  <c r="P976" i="14"/>
  <c r="P972" i="14"/>
  <c r="P968" i="14"/>
  <c r="P964" i="14"/>
  <c r="P960" i="14"/>
  <c r="P956" i="14"/>
  <c r="P952" i="14"/>
  <c r="P948" i="14"/>
  <c r="P944" i="14"/>
  <c r="P940" i="14"/>
  <c r="P936" i="14"/>
  <c r="P932" i="14"/>
  <c r="P928" i="14"/>
  <c r="P924" i="14"/>
  <c r="P920" i="14"/>
  <c r="P916" i="14"/>
  <c r="P912" i="14"/>
  <c r="P908" i="14"/>
  <c r="P904" i="14"/>
  <c r="P900" i="14"/>
  <c r="P896" i="14"/>
  <c r="P892" i="14"/>
  <c r="P888" i="14"/>
  <c r="P884" i="14"/>
  <c r="P880" i="14"/>
  <c r="P876" i="14"/>
  <c r="P872" i="14"/>
  <c r="P868" i="14"/>
  <c r="P864" i="14"/>
  <c r="P860" i="14"/>
  <c r="P856" i="14"/>
  <c r="P852" i="14"/>
  <c r="P848" i="14"/>
  <c r="P844" i="14"/>
  <c r="P840" i="14"/>
  <c r="P836" i="14"/>
  <c r="P832" i="14"/>
  <c r="P828" i="14"/>
  <c r="P824" i="14"/>
  <c r="P820" i="14"/>
  <c r="P816" i="14"/>
  <c r="P812" i="14"/>
  <c r="P808" i="14"/>
  <c r="P804" i="14"/>
  <c r="P800" i="14"/>
  <c r="P796" i="14"/>
  <c r="P792" i="14"/>
  <c r="P788" i="14"/>
  <c r="P784" i="14"/>
  <c r="P780" i="14"/>
  <c r="P776" i="14"/>
  <c r="P772" i="14"/>
  <c r="P768" i="14"/>
  <c r="P764" i="14"/>
  <c r="P760" i="14"/>
  <c r="P756" i="14"/>
  <c r="P752" i="14"/>
  <c r="P748" i="14"/>
  <c r="P744" i="14"/>
  <c r="P740" i="14"/>
  <c r="P736" i="14"/>
  <c r="P732" i="14"/>
  <c r="P728" i="14"/>
  <c r="P724" i="14"/>
  <c r="P720" i="14"/>
  <c r="P716" i="14"/>
  <c r="P712" i="14"/>
  <c r="P708" i="14"/>
  <c r="P704" i="14"/>
  <c r="P700" i="14"/>
  <c r="P696" i="14"/>
  <c r="P692" i="14"/>
  <c r="P688" i="14"/>
  <c r="P684" i="14"/>
  <c r="P680" i="14"/>
  <c r="P676" i="14"/>
  <c r="P672" i="14"/>
  <c r="P668" i="14"/>
  <c r="P664" i="14"/>
  <c r="P660" i="14"/>
  <c r="P656" i="14"/>
  <c r="P652" i="14"/>
  <c r="P648" i="14"/>
  <c r="P644" i="14"/>
  <c r="P640" i="14"/>
  <c r="P636" i="14"/>
  <c r="P632" i="14"/>
  <c r="P628" i="14"/>
  <c r="P624" i="14"/>
  <c r="P620" i="14"/>
  <c r="P616" i="14"/>
  <c r="P612" i="14"/>
  <c r="P608" i="14"/>
  <c r="P604" i="14"/>
  <c r="P600" i="14"/>
  <c r="P596" i="14"/>
  <c r="P592" i="14"/>
  <c r="P588" i="14"/>
  <c r="P584" i="14"/>
  <c r="P580" i="14"/>
  <c r="P576" i="14"/>
  <c r="P572" i="14"/>
  <c r="P568" i="14"/>
  <c r="P564" i="14"/>
  <c r="P560" i="14"/>
  <c r="P556" i="14"/>
  <c r="P552" i="14"/>
  <c r="P548" i="14"/>
  <c r="P544" i="14"/>
  <c r="P540" i="14"/>
  <c r="P536" i="14"/>
  <c r="P532" i="14"/>
  <c r="P528" i="14"/>
  <c r="P524" i="14"/>
  <c r="P520" i="14"/>
  <c r="P516" i="14"/>
  <c r="P512" i="14"/>
  <c r="P508" i="14"/>
  <c r="P504" i="14"/>
  <c r="P500" i="14"/>
  <c r="P496" i="14"/>
  <c r="P492" i="14"/>
  <c r="P488" i="14"/>
  <c r="P484" i="14"/>
  <c r="P480" i="14"/>
  <c r="P476" i="14"/>
  <c r="P472" i="14"/>
  <c r="P468" i="14"/>
  <c r="P464" i="14"/>
  <c r="P460" i="14"/>
  <c r="P456" i="14"/>
  <c r="P452" i="14"/>
  <c r="P448" i="14"/>
  <c r="P444" i="14"/>
  <c r="P440" i="14"/>
  <c r="P436" i="14"/>
  <c r="P432" i="14"/>
  <c r="P428" i="14"/>
  <c r="P424" i="14"/>
  <c r="P420" i="14"/>
  <c r="P416" i="14"/>
  <c r="P412" i="14"/>
  <c r="P408" i="14"/>
  <c r="P404" i="14"/>
  <c r="P400" i="14"/>
  <c r="P396" i="14"/>
  <c r="P392" i="14"/>
  <c r="P388" i="14"/>
  <c r="P384" i="14"/>
  <c r="P380" i="14"/>
  <c r="P376" i="14"/>
  <c r="P372" i="14"/>
  <c r="P368" i="14"/>
  <c r="P364" i="14"/>
  <c r="P360" i="14"/>
  <c r="P356" i="14"/>
  <c r="P352" i="14"/>
  <c r="P348" i="14"/>
  <c r="P344" i="14"/>
  <c r="P340" i="14"/>
  <c r="P336" i="14"/>
  <c r="P332" i="14"/>
  <c r="P328" i="14"/>
  <c r="P324" i="14"/>
  <c r="P320" i="14"/>
  <c r="P316" i="14"/>
  <c r="P312" i="14"/>
  <c r="P308" i="14"/>
  <c r="P304" i="14"/>
  <c r="P300" i="14"/>
  <c r="P296" i="14"/>
  <c r="P292" i="14"/>
  <c r="P288" i="14"/>
  <c r="P284" i="14"/>
  <c r="P280" i="14"/>
  <c r="P276" i="14"/>
  <c r="P272" i="14"/>
  <c r="P268" i="14"/>
  <c r="P264" i="14"/>
  <c r="P260" i="14"/>
  <c r="P256" i="14"/>
  <c r="P252" i="14"/>
  <c r="P248" i="14"/>
  <c r="P244" i="14"/>
  <c r="P240" i="14"/>
  <c r="P236" i="14"/>
  <c r="P232" i="14"/>
  <c r="P228" i="14"/>
  <c r="P224" i="14"/>
  <c r="P220" i="14"/>
  <c r="P216" i="14"/>
  <c r="P212" i="14"/>
  <c r="P208" i="14"/>
  <c r="P204" i="14"/>
  <c r="P200" i="14"/>
  <c r="P196" i="14"/>
  <c r="P192" i="14"/>
  <c r="P188" i="14"/>
  <c r="P184" i="14"/>
  <c r="P180" i="14"/>
  <c r="P176" i="14"/>
  <c r="P172" i="14"/>
  <c r="P168" i="14"/>
  <c r="P164" i="14"/>
  <c r="P160" i="14"/>
  <c r="P156" i="14"/>
  <c r="P152" i="14"/>
  <c r="P148" i="14"/>
  <c r="P144" i="14"/>
  <c r="P140" i="14"/>
  <c r="P136" i="14"/>
  <c r="P132" i="14"/>
  <c r="P128" i="14"/>
  <c r="P124" i="14"/>
  <c r="P120" i="14"/>
  <c r="P116" i="14"/>
  <c r="P112" i="14"/>
  <c r="P108" i="14"/>
  <c r="P104" i="14"/>
  <c r="P100" i="14"/>
  <c r="P96" i="14"/>
  <c r="P92" i="14"/>
  <c r="P88" i="14"/>
  <c r="P1107" i="14"/>
  <c r="P1103" i="14"/>
  <c r="P1099" i="14"/>
  <c r="P1095" i="14"/>
  <c r="P1091" i="14"/>
  <c r="P1087" i="14"/>
  <c r="P1083" i="14"/>
  <c r="P1079" i="14"/>
  <c r="P1075" i="14"/>
  <c r="P1071" i="14"/>
  <c r="P1067" i="14"/>
  <c r="P1063" i="14"/>
  <c r="P1059" i="14"/>
  <c r="P1055" i="14"/>
  <c r="P1051" i="14"/>
  <c r="P1047" i="14"/>
  <c r="P1043" i="14"/>
  <c r="P1039" i="14"/>
  <c r="P1035" i="14"/>
  <c r="P1031" i="14"/>
  <c r="P1027" i="14"/>
  <c r="P1023" i="14"/>
  <c r="P1019" i="14"/>
  <c r="P1015" i="14"/>
  <c r="P1011" i="14"/>
  <c r="P1007" i="14"/>
  <c r="P1003" i="14"/>
  <c r="P999" i="14"/>
  <c r="P995" i="14"/>
  <c r="P991" i="14"/>
  <c r="P987" i="14"/>
  <c r="P983" i="14"/>
  <c r="P979" i="14"/>
  <c r="P975" i="14"/>
  <c r="P971" i="14"/>
  <c r="P967" i="14"/>
  <c r="P963" i="14"/>
  <c r="P959" i="14"/>
  <c r="P955" i="14"/>
  <c r="P951" i="14"/>
  <c r="P947" i="14"/>
  <c r="P943" i="14"/>
  <c r="P939" i="14"/>
  <c r="P935" i="14"/>
  <c r="P931" i="14"/>
  <c r="P927" i="14"/>
  <c r="P923" i="14"/>
  <c r="P919" i="14"/>
  <c r="P915" i="14"/>
  <c r="P911" i="14"/>
  <c r="P907" i="14"/>
  <c r="P903" i="14"/>
  <c r="P899" i="14"/>
  <c r="P895" i="14"/>
  <c r="P891" i="14"/>
  <c r="P887" i="14"/>
  <c r="P883" i="14"/>
  <c r="P879" i="14"/>
  <c r="P875" i="14"/>
  <c r="P871" i="14"/>
  <c r="P867" i="14"/>
  <c r="P863" i="14"/>
  <c r="P859" i="14"/>
  <c r="P855" i="14"/>
  <c r="P851" i="14"/>
  <c r="P847" i="14"/>
  <c r="P843" i="14"/>
  <c r="P839" i="14"/>
  <c r="P835" i="14"/>
  <c r="P831" i="14"/>
  <c r="P827" i="14"/>
  <c r="P823" i="14"/>
  <c r="P819" i="14"/>
  <c r="P815" i="14"/>
  <c r="P811" i="14"/>
  <c r="P807" i="14"/>
  <c r="P803" i="14"/>
  <c r="P799" i="14"/>
  <c r="P795" i="14"/>
  <c r="P791" i="14"/>
  <c r="P787" i="14"/>
  <c r="P783" i="14"/>
  <c r="P779" i="14"/>
  <c r="P775" i="14"/>
  <c r="P771" i="14"/>
  <c r="P767" i="14"/>
  <c r="P763" i="14"/>
  <c r="P759" i="14"/>
  <c r="P755" i="14"/>
  <c r="P751" i="14"/>
  <c r="P747" i="14"/>
  <c r="P743" i="14"/>
  <c r="P739" i="14"/>
  <c r="P735" i="14"/>
  <c r="P731" i="14"/>
  <c r="P727" i="14"/>
  <c r="P723" i="14"/>
  <c r="P719" i="14"/>
  <c r="P715" i="14"/>
  <c r="P711" i="14"/>
  <c r="P707" i="14"/>
  <c r="P703" i="14"/>
  <c r="P699" i="14"/>
  <c r="P695" i="14"/>
  <c r="P691" i="14"/>
  <c r="P687" i="14"/>
  <c r="P683" i="14"/>
  <c r="P679" i="14"/>
  <c r="P675" i="14"/>
  <c r="P671" i="14"/>
  <c r="P667" i="14"/>
  <c r="P663" i="14"/>
  <c r="P659" i="14"/>
  <c r="P655" i="14"/>
  <c r="P651" i="14"/>
  <c r="P647" i="14"/>
  <c r="P643" i="14"/>
  <c r="P639" i="14"/>
  <c r="P635" i="14"/>
  <c r="P631" i="14"/>
  <c r="P627" i="14"/>
  <c r="P623" i="14"/>
  <c r="P619" i="14"/>
  <c r="P615" i="14"/>
  <c r="P611" i="14"/>
  <c r="P607" i="14"/>
  <c r="P603" i="14"/>
  <c r="P599" i="14"/>
  <c r="P595" i="14"/>
  <c r="P591" i="14"/>
  <c r="P587" i="14"/>
  <c r="P583" i="14"/>
  <c r="P579" i="14"/>
  <c r="P575" i="14"/>
  <c r="P571" i="14"/>
  <c r="P567" i="14"/>
  <c r="P563" i="14"/>
  <c r="P559" i="14"/>
  <c r="P555" i="14"/>
  <c r="P551" i="14"/>
  <c r="P547" i="14"/>
  <c r="P543" i="14"/>
  <c r="P539" i="14"/>
  <c r="P535" i="14"/>
  <c r="P531" i="14"/>
  <c r="P527" i="14"/>
  <c r="P523" i="14"/>
  <c r="P519" i="14"/>
  <c r="P515" i="14"/>
  <c r="P511" i="14"/>
  <c r="P507" i="14"/>
  <c r="P503" i="14"/>
  <c r="P499" i="14"/>
  <c r="P495" i="14"/>
  <c r="P491" i="14"/>
  <c r="P487" i="14"/>
  <c r="P483" i="14"/>
  <c r="P479" i="14"/>
  <c r="P475" i="14"/>
  <c r="P471" i="14"/>
  <c r="P467" i="14"/>
  <c r="P463" i="14"/>
  <c r="P459" i="14"/>
  <c r="P455" i="14"/>
  <c r="P451" i="14"/>
  <c r="P447" i="14"/>
  <c r="P443" i="14"/>
  <c r="P439" i="14"/>
  <c r="P435" i="14"/>
  <c r="P431" i="14"/>
  <c r="P427" i="14"/>
  <c r="P423" i="14"/>
  <c r="P419" i="14"/>
  <c r="P415" i="14"/>
  <c r="P411" i="14"/>
  <c r="P407" i="14"/>
  <c r="P403" i="14"/>
  <c r="P399" i="14"/>
  <c r="P395" i="14"/>
  <c r="P391" i="14"/>
  <c r="P387" i="14"/>
  <c r="P383" i="14"/>
  <c r="P379" i="14"/>
  <c r="P375" i="14"/>
  <c r="P371" i="14"/>
  <c r="P367" i="14"/>
  <c r="P363" i="14"/>
  <c r="P359" i="14"/>
  <c r="P355" i="14"/>
  <c r="P351" i="14"/>
  <c r="P347" i="14"/>
  <c r="P343" i="14"/>
  <c r="P339" i="14"/>
  <c r="P335" i="14"/>
  <c r="P331" i="14"/>
  <c r="P327" i="14"/>
  <c r="P323" i="14"/>
  <c r="P319" i="14"/>
  <c r="P315" i="14"/>
  <c r="P311" i="14"/>
  <c r="P307" i="14"/>
  <c r="P303" i="14"/>
  <c r="P299" i="14"/>
  <c r="P295" i="14"/>
  <c r="P291" i="14"/>
  <c r="P287" i="14"/>
  <c r="P283" i="14"/>
  <c r="P279" i="14"/>
  <c r="P275" i="14"/>
  <c r="P271" i="14"/>
  <c r="P267" i="14"/>
  <c r="P263" i="14"/>
  <c r="P259" i="14"/>
  <c r="P255" i="14"/>
  <c r="P251" i="14"/>
  <c r="P247" i="14"/>
  <c r="P243" i="14"/>
  <c r="P239" i="14"/>
  <c r="P235" i="14"/>
  <c r="P231" i="14"/>
  <c r="P227" i="14"/>
  <c r="P223" i="14"/>
  <c r="P219" i="14"/>
  <c r="P215" i="14"/>
  <c r="P211" i="14"/>
  <c r="P207" i="14"/>
  <c r="P203" i="14"/>
  <c r="P199" i="14"/>
  <c r="P195" i="14"/>
  <c r="P191" i="14"/>
  <c r="P187" i="14"/>
  <c r="P183" i="14"/>
  <c r="P179" i="14"/>
  <c r="P175" i="14"/>
  <c r="P171" i="14"/>
  <c r="P167" i="14"/>
  <c r="P163" i="14"/>
  <c r="P159" i="14"/>
  <c r="P155" i="14"/>
  <c r="P151" i="14"/>
  <c r="P147" i="14"/>
  <c r="P143" i="14"/>
  <c r="P139" i="14"/>
  <c r="P135" i="14"/>
  <c r="P131" i="14"/>
  <c r="P127" i="14"/>
  <c r="P123" i="14"/>
  <c r="P119" i="14"/>
  <c r="P115" i="14"/>
  <c r="P111" i="14"/>
  <c r="P107" i="14"/>
  <c r="P103" i="14"/>
  <c r="P99" i="14"/>
  <c r="P95" i="14"/>
  <c r="P91" i="14"/>
  <c r="O841" i="14"/>
  <c r="O837" i="14"/>
  <c r="O833" i="14"/>
  <c r="O829" i="14"/>
  <c r="O825" i="14"/>
  <c r="O821" i="14"/>
  <c r="O817" i="14"/>
  <c r="O813" i="14"/>
  <c r="O809" i="14"/>
  <c r="O805" i="14"/>
  <c r="O801" i="14"/>
  <c r="O797" i="14"/>
  <c r="O793" i="14"/>
  <c r="O789" i="14"/>
  <c r="O785" i="14"/>
  <c r="O781" i="14"/>
  <c r="O777" i="14"/>
  <c r="O773" i="14"/>
  <c r="O769" i="14"/>
  <c r="O765" i="14"/>
  <c r="O761" i="14"/>
  <c r="O757" i="14"/>
  <c r="O753" i="14"/>
  <c r="O749" i="14"/>
  <c r="O745" i="14"/>
  <c r="O741" i="14"/>
  <c r="O737" i="14"/>
  <c r="O733" i="14"/>
  <c r="O729" i="14"/>
  <c r="O725" i="14"/>
  <c r="O721" i="14"/>
  <c r="O717" i="14"/>
  <c r="O713" i="14"/>
  <c r="O709" i="14"/>
  <c r="O705" i="14"/>
  <c r="O701" i="14"/>
  <c r="O697" i="14"/>
  <c r="O693" i="14"/>
  <c r="O689" i="14"/>
  <c r="O685" i="14"/>
  <c r="O681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577" i="14"/>
  <c r="O573" i="14"/>
  <c r="O569" i="14"/>
  <c r="O565" i="14"/>
  <c r="O561" i="14"/>
  <c r="O557" i="14"/>
  <c r="O553" i="14"/>
  <c r="O549" i="14"/>
  <c r="O545" i="14"/>
  <c r="O541" i="14"/>
  <c r="O537" i="14"/>
  <c r="O533" i="14"/>
  <c r="O529" i="14"/>
  <c r="O525" i="14"/>
  <c r="O521" i="14"/>
  <c r="O517" i="14"/>
  <c r="O513" i="14"/>
  <c r="O509" i="14"/>
  <c r="O505" i="14"/>
  <c r="O501" i="14"/>
  <c r="O497" i="14"/>
  <c r="O493" i="14"/>
  <c r="O489" i="14"/>
  <c r="O485" i="14"/>
  <c r="O481" i="14"/>
  <c r="O477" i="14"/>
  <c r="O473" i="14"/>
  <c r="O469" i="14"/>
  <c r="O465" i="14"/>
  <c r="O461" i="14"/>
  <c r="O457" i="14"/>
  <c r="O453" i="14"/>
  <c r="O449" i="14"/>
  <c r="O445" i="14"/>
  <c r="O441" i="14"/>
  <c r="O437" i="14"/>
  <c r="O433" i="14"/>
  <c r="O429" i="14"/>
  <c r="O425" i="14"/>
  <c r="O421" i="14"/>
  <c r="O417" i="14"/>
  <c r="O413" i="14"/>
  <c r="O409" i="14"/>
  <c r="O405" i="14"/>
  <c r="O401" i="14"/>
  <c r="O397" i="14"/>
  <c r="O393" i="14"/>
  <c r="O389" i="14"/>
  <c r="O385" i="14"/>
  <c r="O381" i="14"/>
  <c r="O377" i="14"/>
  <c r="O373" i="14"/>
  <c r="O369" i="14"/>
  <c r="O365" i="14"/>
  <c r="O361" i="14"/>
  <c r="O357" i="14"/>
  <c r="O353" i="14"/>
  <c r="O349" i="14"/>
  <c r="O345" i="14"/>
  <c r="O341" i="14"/>
  <c r="O337" i="14"/>
  <c r="O333" i="14"/>
  <c r="O329" i="14"/>
  <c r="O325" i="14"/>
  <c r="O321" i="14"/>
  <c r="O317" i="14"/>
  <c r="O313" i="14"/>
  <c r="O309" i="14"/>
  <c r="O305" i="14"/>
  <c r="O301" i="14"/>
  <c r="O297" i="14"/>
  <c r="O293" i="14"/>
  <c r="O289" i="14"/>
  <c r="O285" i="14"/>
  <c r="O281" i="14"/>
  <c r="O277" i="14"/>
  <c r="O273" i="14"/>
  <c r="O269" i="14"/>
  <c r="O265" i="14"/>
  <c r="O261" i="14"/>
  <c r="O257" i="14"/>
  <c r="O253" i="14"/>
  <c r="O249" i="14"/>
  <c r="O245" i="14"/>
  <c r="O241" i="14"/>
  <c r="O237" i="14"/>
  <c r="O233" i="14"/>
  <c r="O229" i="14"/>
  <c r="O225" i="14"/>
  <c r="O221" i="14"/>
  <c r="O217" i="14"/>
  <c r="O213" i="14"/>
  <c r="O209" i="14"/>
  <c r="O205" i="14"/>
  <c r="O201" i="14"/>
  <c r="O197" i="14"/>
  <c r="O193" i="14"/>
  <c r="O189" i="14"/>
  <c r="O185" i="14"/>
  <c r="O181" i="14"/>
  <c r="O177" i="14"/>
  <c r="O173" i="14"/>
  <c r="O169" i="14"/>
  <c r="O165" i="14"/>
  <c r="O161" i="14"/>
  <c r="O157" i="14"/>
  <c r="O153" i="14"/>
  <c r="O149" i="14"/>
  <c r="O145" i="14"/>
  <c r="O141" i="14"/>
  <c r="O137" i="14"/>
  <c r="O133" i="14"/>
  <c r="O129" i="14"/>
  <c r="O125" i="14"/>
  <c r="O121" i="14"/>
  <c r="O117" i="14"/>
  <c r="O113" i="14"/>
  <c r="O109" i="14"/>
  <c r="O105" i="14"/>
  <c r="O101" i="14"/>
  <c r="O97" i="14"/>
  <c r="O93" i="14"/>
  <c r="O89" i="14"/>
  <c r="O59" i="14"/>
  <c r="O39" i="14"/>
  <c r="O64" i="14"/>
  <c r="S64" i="14" s="1"/>
  <c r="O1189" i="14"/>
  <c r="S1189" i="14" s="1"/>
  <c r="O1169" i="14"/>
  <c r="S1169" i="14" s="1"/>
  <c r="O1145" i="14"/>
  <c r="O1129" i="14"/>
  <c r="S1129" i="14" s="1"/>
  <c r="O1105" i="14"/>
  <c r="O1081" i="14"/>
  <c r="S1081" i="14" s="1"/>
  <c r="O1065" i="14"/>
  <c r="O1037" i="14"/>
  <c r="S1037" i="14" s="1"/>
  <c r="O1021" i="14"/>
  <c r="O1001" i="14"/>
  <c r="S1001" i="14" s="1"/>
  <c r="O981" i="14"/>
  <c r="O965" i="14"/>
  <c r="O945" i="14"/>
  <c r="O921" i="14"/>
  <c r="O905" i="14"/>
  <c r="S905" i="14" s="1"/>
  <c r="O889" i="14"/>
  <c r="O869" i="14"/>
  <c r="O849" i="14"/>
  <c r="O845" i="14"/>
  <c r="O26" i="14"/>
  <c r="O18" i="14"/>
  <c r="O10" i="14"/>
  <c r="S10" i="14" s="1"/>
  <c r="O11" i="14"/>
  <c r="O80" i="14"/>
  <c r="O1161" i="14"/>
  <c r="O1109" i="14"/>
  <c r="O1045" i="14"/>
  <c r="O985" i="14"/>
  <c r="O925" i="14"/>
  <c r="O865" i="14"/>
  <c r="O32" i="14"/>
  <c r="O63" i="14"/>
  <c r="O1156" i="14"/>
  <c r="O1116" i="14"/>
  <c r="O1068" i="14"/>
  <c r="O1020" i="14"/>
  <c r="O976" i="14"/>
  <c r="O928" i="14"/>
  <c r="O888" i="14"/>
  <c r="O844" i="14"/>
  <c r="O804" i="14"/>
  <c r="O756" i="14"/>
  <c r="S756" i="14" s="1"/>
  <c r="O716" i="14"/>
  <c r="O672" i="14"/>
  <c r="O632" i="14"/>
  <c r="O588" i="14"/>
  <c r="O552" i="14"/>
  <c r="O532" i="14"/>
  <c r="O516" i="14"/>
  <c r="O512" i="14"/>
  <c r="O508" i="14"/>
  <c r="O504" i="14"/>
  <c r="O500" i="14"/>
  <c r="O496" i="14"/>
  <c r="O492" i="14"/>
  <c r="O488" i="14"/>
  <c r="O484" i="14"/>
  <c r="O480" i="14"/>
  <c r="O476" i="14"/>
  <c r="O472" i="14"/>
  <c r="O468" i="14"/>
  <c r="O464" i="14"/>
  <c r="O460" i="14"/>
  <c r="O456" i="14"/>
  <c r="O452" i="14"/>
  <c r="O448" i="14"/>
  <c r="O444" i="14"/>
  <c r="O440" i="14"/>
  <c r="O436" i="14"/>
  <c r="O432" i="14"/>
  <c r="O428" i="14"/>
  <c r="O424" i="14"/>
  <c r="O420" i="14"/>
  <c r="O416" i="14"/>
  <c r="O412" i="14"/>
  <c r="O408" i="14"/>
  <c r="O404" i="14"/>
  <c r="O400" i="14"/>
  <c r="O396" i="14"/>
  <c r="O392" i="14"/>
  <c r="O388" i="14"/>
  <c r="O384" i="14"/>
  <c r="O380" i="14"/>
  <c r="O376" i="14"/>
  <c r="O372" i="14"/>
  <c r="O368" i="14"/>
  <c r="O364" i="14"/>
  <c r="O360" i="14"/>
  <c r="O356" i="14"/>
  <c r="O352" i="14"/>
  <c r="O348" i="14"/>
  <c r="O344" i="14"/>
  <c r="O340" i="14"/>
  <c r="O336" i="14"/>
  <c r="O332" i="14"/>
  <c r="O328" i="14"/>
  <c r="O324" i="14"/>
  <c r="O320" i="14"/>
  <c r="O316" i="14"/>
  <c r="O312" i="14"/>
  <c r="O308" i="14"/>
  <c r="O304" i="14"/>
  <c r="O300" i="14"/>
  <c r="O296" i="14"/>
  <c r="O292" i="14"/>
  <c r="O288" i="14"/>
  <c r="O284" i="14"/>
  <c r="O280" i="14"/>
  <c r="O276" i="14"/>
  <c r="O272" i="14"/>
  <c r="O268" i="14"/>
  <c r="O264" i="14"/>
  <c r="O260" i="14"/>
  <c r="O256" i="14"/>
  <c r="O252" i="14"/>
  <c r="O248" i="14"/>
  <c r="O244" i="14"/>
  <c r="O240" i="14"/>
  <c r="O236" i="14"/>
  <c r="O232" i="14"/>
  <c r="O228" i="14"/>
  <c r="O224" i="14"/>
  <c r="O220" i="14"/>
  <c r="O216" i="14"/>
  <c r="O212" i="14"/>
  <c r="O208" i="14"/>
  <c r="O204" i="14"/>
  <c r="O200" i="14"/>
  <c r="O196" i="14"/>
  <c r="O192" i="14"/>
  <c r="O188" i="14"/>
  <c r="O184" i="14"/>
  <c r="O180" i="14"/>
  <c r="O176" i="14"/>
  <c r="O172" i="14"/>
  <c r="O168" i="14"/>
  <c r="O164" i="14"/>
  <c r="O160" i="14"/>
  <c r="O156" i="14"/>
  <c r="O152" i="14"/>
  <c r="O148" i="14"/>
  <c r="O144" i="14"/>
  <c r="O140" i="14"/>
  <c r="O136" i="14"/>
  <c r="O132" i="14"/>
  <c r="O128" i="14"/>
  <c r="O124" i="14"/>
  <c r="O120" i="14"/>
  <c r="O116" i="14"/>
  <c r="O112" i="14"/>
  <c r="O108" i="14"/>
  <c r="O104" i="14"/>
  <c r="O100" i="14"/>
  <c r="O96" i="14"/>
  <c r="O92" i="14"/>
  <c r="O88" i="14"/>
  <c r="O3" i="14"/>
  <c r="O76" i="14"/>
  <c r="O1157" i="14"/>
  <c r="O1101" i="14"/>
  <c r="S1101" i="14" s="1"/>
  <c r="O1049" i="14"/>
  <c r="O989" i="14"/>
  <c r="O929" i="14"/>
  <c r="S929" i="14" s="1"/>
  <c r="O861" i="14"/>
  <c r="O54" i="14"/>
  <c r="O1200" i="14"/>
  <c r="O1152" i="14"/>
  <c r="O1112" i="14"/>
  <c r="O1064" i="14"/>
  <c r="O1024" i="14"/>
  <c r="O980" i="14"/>
  <c r="O936" i="14"/>
  <c r="O892" i="14"/>
  <c r="O848" i="14"/>
  <c r="O800" i="14"/>
  <c r="S800" i="14" s="1"/>
  <c r="O760" i="14"/>
  <c r="O712" i="14"/>
  <c r="O616" i="14"/>
  <c r="O43" i="14"/>
  <c r="O1173" i="14"/>
  <c r="O1117" i="14"/>
  <c r="O1061" i="14"/>
  <c r="O1009" i="14"/>
  <c r="S1009" i="14" s="1"/>
  <c r="O949" i="14"/>
  <c r="O877" i="14"/>
  <c r="O79" i="14"/>
  <c r="S79" i="14" s="1"/>
  <c r="O1172" i="14"/>
  <c r="O1132" i="14"/>
  <c r="S1132" i="14" s="1"/>
  <c r="O1088" i="14"/>
  <c r="O1044" i="14"/>
  <c r="O1000" i="14"/>
  <c r="O940" i="14"/>
  <c r="O57" i="14"/>
  <c r="O62" i="14"/>
  <c r="S62" i="14" s="1"/>
  <c r="O1151" i="14"/>
  <c r="O1103" i="14"/>
  <c r="O1055" i="14"/>
  <c r="O1007" i="14"/>
  <c r="O955" i="14"/>
  <c r="O903" i="14"/>
  <c r="O851" i="14"/>
  <c r="O799" i="14"/>
  <c r="O747" i="14"/>
  <c r="O699" i="14"/>
  <c r="O647" i="14"/>
  <c r="S647" i="14" s="1"/>
  <c r="O595" i="14"/>
  <c r="O543" i="14"/>
  <c r="S543" i="14" s="1"/>
  <c r="O491" i="14"/>
  <c r="O443" i="14"/>
  <c r="O395" i="14"/>
  <c r="O347" i="14"/>
  <c r="O299" i="14"/>
  <c r="S299" i="14" s="1"/>
  <c r="O267" i="14"/>
  <c r="O227" i="14"/>
  <c r="O203" i="14"/>
  <c r="O199" i="14"/>
  <c r="O191" i="14"/>
  <c r="O179" i="14"/>
  <c r="S179" i="14" s="1"/>
  <c r="O175" i="14"/>
  <c r="S175" i="14" s="1"/>
  <c r="O171" i="14"/>
  <c r="O167" i="14"/>
  <c r="S167" i="14" s="1"/>
  <c r="O163" i="14"/>
  <c r="S163" i="14" s="1"/>
  <c r="O159" i="14"/>
  <c r="S159" i="14" s="1"/>
  <c r="O155" i="14"/>
  <c r="S155" i="14" s="1"/>
  <c r="O151" i="14"/>
  <c r="S151" i="14" s="1"/>
  <c r="O147" i="14"/>
  <c r="S147" i="14" s="1"/>
  <c r="O143" i="14"/>
  <c r="S143" i="14" s="1"/>
  <c r="O139" i="14"/>
  <c r="S139" i="14" s="1"/>
  <c r="O135" i="14"/>
  <c r="S135" i="14" s="1"/>
  <c r="O131" i="14"/>
  <c r="S131" i="14" s="1"/>
  <c r="O127" i="14"/>
  <c r="S127" i="14" s="1"/>
  <c r="O123" i="14"/>
  <c r="S123" i="14" s="1"/>
  <c r="O119" i="14"/>
  <c r="S119" i="14" s="1"/>
  <c r="O115" i="14"/>
  <c r="S115" i="14" s="1"/>
  <c r="O111" i="14"/>
  <c r="S111" i="14" s="1"/>
  <c r="O107" i="14"/>
  <c r="S107" i="14" s="1"/>
  <c r="O103" i="14"/>
  <c r="O99" i="14"/>
  <c r="S99" i="14" s="1"/>
  <c r="O95" i="14"/>
  <c r="S95" i="14" s="1"/>
  <c r="O91" i="14"/>
  <c r="S91" i="14" s="1"/>
  <c r="O19" i="14"/>
  <c r="O37" i="14"/>
  <c r="O51" i="14"/>
  <c r="O72" i="14"/>
  <c r="O1197" i="14"/>
  <c r="S1197" i="14" s="1"/>
  <c r="O1181" i="14"/>
  <c r="S1181" i="14" s="1"/>
  <c r="O1153" i="14"/>
  <c r="O1137" i="14"/>
  <c r="O1121" i="14"/>
  <c r="O1093" i="14"/>
  <c r="O1077" i="14"/>
  <c r="O1057" i="14"/>
  <c r="S1057" i="14" s="1"/>
  <c r="O1033" i="14"/>
  <c r="O1017" i="14"/>
  <c r="S1017" i="14" s="1"/>
  <c r="O997" i="14"/>
  <c r="O969" i="14"/>
  <c r="O953" i="14"/>
  <c r="O933" i="14"/>
  <c r="O909" i="14"/>
  <c r="O893" i="14"/>
  <c r="O873" i="14"/>
  <c r="O25" i="14"/>
  <c r="O36" i="14"/>
  <c r="S36" i="14" s="1"/>
  <c r="O46" i="14"/>
  <c r="O83" i="14"/>
  <c r="S83" i="14" s="1"/>
  <c r="O67" i="14"/>
  <c r="O1188" i="14"/>
  <c r="O1176" i="14"/>
  <c r="O1160" i="14"/>
  <c r="S1160" i="14" s="1"/>
  <c r="O1140" i="14"/>
  <c r="S1140" i="14" s="1"/>
  <c r="O1128" i="14"/>
  <c r="S1128" i="14" s="1"/>
  <c r="O1108" i="14"/>
  <c r="O1096" i="14"/>
  <c r="O1080" i="14"/>
  <c r="O1060" i="14"/>
  <c r="O1048" i="14"/>
  <c r="O1032" i="14"/>
  <c r="S1032" i="14" s="1"/>
  <c r="O1012" i="14"/>
  <c r="O996" i="14"/>
  <c r="O984" i="14"/>
  <c r="O964" i="14"/>
  <c r="O952" i="14"/>
  <c r="O932" i="14"/>
  <c r="O916" i="14"/>
  <c r="O904" i="14"/>
  <c r="S904" i="14" s="1"/>
  <c r="O884" i="14"/>
  <c r="O872" i="14"/>
  <c r="O860" i="14"/>
  <c r="S860" i="14" s="1"/>
  <c r="O840" i="14"/>
  <c r="O828" i="14"/>
  <c r="O816" i="14"/>
  <c r="S816" i="14" s="1"/>
  <c r="O796" i="14"/>
  <c r="O784" i="14"/>
  <c r="O772" i="14"/>
  <c r="S772" i="14" s="1"/>
  <c r="O752" i="14"/>
  <c r="O740" i="14"/>
  <c r="O728" i="14"/>
  <c r="S728" i="14" s="1"/>
  <c r="O708" i="14"/>
  <c r="O696" i="14"/>
  <c r="O684" i="14"/>
  <c r="S684" i="14" s="1"/>
  <c r="O668" i="14"/>
  <c r="O656" i="14"/>
  <c r="O644" i="14"/>
  <c r="O628" i="14"/>
  <c r="O612" i="14"/>
  <c r="O600" i="14"/>
  <c r="O584" i="14"/>
  <c r="O572" i="14"/>
  <c r="O560" i="14"/>
  <c r="O544" i="14"/>
  <c r="O524" i="14"/>
  <c r="O16" i="14"/>
  <c r="S16" i="14" s="1"/>
  <c r="O7" i="14"/>
  <c r="O31" i="14"/>
  <c r="O45" i="14"/>
  <c r="S45" i="14" s="1"/>
  <c r="O82" i="14"/>
  <c r="O70" i="14"/>
  <c r="O1195" i="14"/>
  <c r="O1183" i="14"/>
  <c r="O1175" i="14"/>
  <c r="O1163" i="14"/>
  <c r="O1147" i="14"/>
  <c r="O1135" i="14"/>
  <c r="S1135" i="14" s="1"/>
  <c r="O1123" i="14"/>
  <c r="S1123" i="14" s="1"/>
  <c r="O1111" i="14"/>
  <c r="O1095" i="14"/>
  <c r="O1083" i="14"/>
  <c r="O1071" i="14"/>
  <c r="O1059" i="14"/>
  <c r="O1043" i="14"/>
  <c r="S1043" i="14" s="1"/>
  <c r="O1031" i="14"/>
  <c r="O1019" i="14"/>
  <c r="O1003" i="14"/>
  <c r="O991" i="14"/>
  <c r="O979" i="14"/>
  <c r="O967" i="14"/>
  <c r="O951" i="14"/>
  <c r="S951" i="14" s="1"/>
  <c r="O939" i="14"/>
  <c r="O927" i="14"/>
  <c r="O915" i="14"/>
  <c r="O899" i="14"/>
  <c r="O887" i="14"/>
  <c r="O875" i="14"/>
  <c r="O863" i="14"/>
  <c r="O847" i="14"/>
  <c r="O835" i="14"/>
  <c r="O823" i="14"/>
  <c r="O811" i="14"/>
  <c r="S811" i="14" s="1"/>
  <c r="O795" i="14"/>
  <c r="O783" i="14"/>
  <c r="O771" i="14"/>
  <c r="O759" i="14"/>
  <c r="O743" i="14"/>
  <c r="O731" i="14"/>
  <c r="O719" i="14"/>
  <c r="S719" i="14" s="1"/>
  <c r="O707" i="14"/>
  <c r="O691" i="14"/>
  <c r="O679" i="14"/>
  <c r="O667" i="14"/>
  <c r="O655" i="14"/>
  <c r="O639" i="14"/>
  <c r="O627" i="14"/>
  <c r="S627" i="14" s="1"/>
  <c r="O615" i="14"/>
  <c r="O603" i="14"/>
  <c r="O587" i="14"/>
  <c r="O575" i="14"/>
  <c r="O563" i="14"/>
  <c r="O551" i="14"/>
  <c r="O535" i="14"/>
  <c r="S535" i="14" s="1"/>
  <c r="O523" i="14"/>
  <c r="O511" i="14"/>
  <c r="O499" i="14"/>
  <c r="O483" i="14"/>
  <c r="O471" i="14"/>
  <c r="O459" i="14"/>
  <c r="O451" i="14"/>
  <c r="O435" i="14"/>
  <c r="O423" i="14"/>
  <c r="O411" i="14"/>
  <c r="O399" i="14"/>
  <c r="O383" i="14"/>
  <c r="O371" i="14"/>
  <c r="O359" i="14"/>
  <c r="O343" i="14"/>
  <c r="O327" i="14"/>
  <c r="O315" i="14"/>
  <c r="O307" i="14"/>
  <c r="O287" i="14"/>
  <c r="O275" i="14"/>
  <c r="O259" i="14"/>
  <c r="O247" i="14"/>
  <c r="O235" i="14"/>
  <c r="O219" i="14"/>
  <c r="O195" i="14"/>
  <c r="O2" i="14"/>
  <c r="S2" i="14" s="1"/>
  <c r="O22" i="14"/>
  <c r="S22" i="14" s="1"/>
  <c r="O14" i="14"/>
  <c r="S14" i="14" s="1"/>
  <c r="O6" i="14"/>
  <c r="O33" i="14"/>
  <c r="O47" i="14"/>
  <c r="O68" i="14"/>
  <c r="O1193" i="14"/>
  <c r="S1193" i="14" s="1"/>
  <c r="O1177" i="14"/>
  <c r="O1149" i="14"/>
  <c r="O1133" i="14"/>
  <c r="O1113" i="14"/>
  <c r="O1089" i="14"/>
  <c r="O1073" i="14"/>
  <c r="S1073" i="14" s="1"/>
  <c r="O1053" i="14"/>
  <c r="O1029" i="14"/>
  <c r="O1013" i="14"/>
  <c r="O993" i="14"/>
  <c r="S993" i="14" s="1"/>
  <c r="O973" i="14"/>
  <c r="S973" i="14" s="1"/>
  <c r="O957" i="14"/>
  <c r="O937" i="14"/>
  <c r="O913" i="14"/>
  <c r="O897" i="14"/>
  <c r="S897" i="14" s="1"/>
  <c r="O881" i="14"/>
  <c r="O853" i="14"/>
  <c r="O9" i="14"/>
  <c r="S9" i="14" s="1"/>
  <c r="O50" i="14"/>
  <c r="S50" i="14" s="1"/>
  <c r="O87" i="14"/>
  <c r="S87" i="14" s="1"/>
  <c r="O71" i="14"/>
  <c r="O1192" i="14"/>
  <c r="S1192" i="14" s="1"/>
  <c r="O1184" i="14"/>
  <c r="O1168" i="14"/>
  <c r="O1148" i="14"/>
  <c r="O1136" i="14"/>
  <c r="O1120" i="14"/>
  <c r="O1100" i="14"/>
  <c r="O1084" i="14"/>
  <c r="O1072" i="14"/>
  <c r="O1052" i="14"/>
  <c r="O1036" i="14"/>
  <c r="O1016" i="14"/>
  <c r="O1004" i="14"/>
  <c r="S1004" i="14" s="1"/>
  <c r="O988" i="14"/>
  <c r="O968" i="14"/>
  <c r="O956" i="14"/>
  <c r="O944" i="14"/>
  <c r="O920" i="14"/>
  <c r="S920" i="14" s="1"/>
  <c r="O908" i="14"/>
  <c r="O896" i="14"/>
  <c r="O876" i="14"/>
  <c r="S876" i="14" s="1"/>
  <c r="O864" i="14"/>
  <c r="O856" i="14"/>
  <c r="O836" i="14"/>
  <c r="O820" i="14"/>
  <c r="O808" i="14"/>
  <c r="O788" i="14"/>
  <c r="S788" i="14" s="1"/>
  <c r="O776" i="14"/>
  <c r="O768" i="14"/>
  <c r="O748" i="14"/>
  <c r="O736" i="14"/>
  <c r="O724" i="14"/>
  <c r="O704" i="14"/>
  <c r="O692" i="14"/>
  <c r="O680" i="14"/>
  <c r="O664" i="14"/>
  <c r="O652" i="14"/>
  <c r="S652" i="14" s="1"/>
  <c r="O640" i="14"/>
  <c r="O624" i="14"/>
  <c r="O608" i="14"/>
  <c r="S608" i="14" s="1"/>
  <c r="O596" i="14"/>
  <c r="O580" i="14"/>
  <c r="O568" i="14"/>
  <c r="O556" i="14"/>
  <c r="O540" i="14"/>
  <c r="O528" i="14"/>
  <c r="O24" i="14"/>
  <c r="S24" i="14" s="1"/>
  <c r="O23" i="14"/>
  <c r="S23" i="14" s="1"/>
  <c r="O53" i="14"/>
  <c r="O41" i="14"/>
  <c r="S41" i="14" s="1"/>
  <c r="O78" i="14"/>
  <c r="O66" i="14"/>
  <c r="O1191" i="14"/>
  <c r="O1179" i="14"/>
  <c r="O1167" i="14"/>
  <c r="S1167" i="14" s="1"/>
  <c r="O1155" i="14"/>
  <c r="O1139" i="14"/>
  <c r="S1139" i="14" s="1"/>
  <c r="O1127" i="14"/>
  <c r="O1115" i="14"/>
  <c r="O1099" i="14"/>
  <c r="O1087" i="14"/>
  <c r="O1075" i="14"/>
  <c r="O1063" i="14"/>
  <c r="O1047" i="14"/>
  <c r="O1035" i="14"/>
  <c r="O1023" i="14"/>
  <c r="O1011" i="14"/>
  <c r="S1011" i="14" s="1"/>
  <c r="O995" i="14"/>
  <c r="O983" i="14"/>
  <c r="O971" i="14"/>
  <c r="O959" i="14"/>
  <c r="O943" i="14"/>
  <c r="O931" i="14"/>
  <c r="O923" i="14"/>
  <c r="O911" i="14"/>
  <c r="O895" i="14"/>
  <c r="O883" i="14"/>
  <c r="O871" i="14"/>
  <c r="S871" i="14" s="1"/>
  <c r="O859" i="14"/>
  <c r="O843" i="14"/>
  <c r="O831" i="14"/>
  <c r="O819" i="14"/>
  <c r="O807" i="14"/>
  <c r="O791" i="14"/>
  <c r="O779" i="14"/>
  <c r="S779" i="14" s="1"/>
  <c r="O767" i="14"/>
  <c r="O755" i="14"/>
  <c r="O739" i="14"/>
  <c r="O727" i="14"/>
  <c r="O715" i="14"/>
  <c r="O703" i="14"/>
  <c r="O687" i="14"/>
  <c r="S687" i="14" s="1"/>
  <c r="O675" i="14"/>
  <c r="O663" i="14"/>
  <c r="O651" i="14"/>
  <c r="O635" i="14"/>
  <c r="O623" i="14"/>
  <c r="O611" i="14"/>
  <c r="O599" i="14"/>
  <c r="O583" i="14"/>
  <c r="O571" i="14"/>
  <c r="O559" i="14"/>
  <c r="O547" i="14"/>
  <c r="S547" i="14" s="1"/>
  <c r="O531" i="14"/>
  <c r="O519" i="14"/>
  <c r="O507" i="14"/>
  <c r="O495" i="14"/>
  <c r="O479" i="14"/>
  <c r="O467" i="14"/>
  <c r="O455" i="14"/>
  <c r="S455" i="14" s="1"/>
  <c r="O439" i="14"/>
  <c r="O427" i="14"/>
  <c r="O415" i="14"/>
  <c r="O403" i="14"/>
  <c r="O387" i="14"/>
  <c r="O375" i="14"/>
  <c r="O367" i="14"/>
  <c r="O355" i="14"/>
  <c r="O339" i="14"/>
  <c r="O331" i="14"/>
  <c r="O319" i="14"/>
  <c r="O303" i="14"/>
  <c r="O291" i="14"/>
  <c r="O279" i="14"/>
  <c r="O263" i="14"/>
  <c r="O251" i="14"/>
  <c r="O239" i="14"/>
  <c r="O223" i="14"/>
  <c r="S223" i="14" s="1"/>
  <c r="O211" i="14"/>
  <c r="O207" i="14"/>
  <c r="O183" i="14"/>
  <c r="O21" i="14"/>
  <c r="S21" i="14" s="1"/>
  <c r="O13" i="14"/>
  <c r="S13" i="14" s="1"/>
  <c r="O5" i="14"/>
  <c r="O38" i="14"/>
  <c r="O34" i="14"/>
  <c r="S34" i="14" s="1"/>
  <c r="O30" i="14"/>
  <c r="O56" i="14"/>
  <c r="O52" i="14"/>
  <c r="O48" i="14"/>
  <c r="O44" i="14"/>
  <c r="O40" i="14"/>
  <c r="O85" i="14"/>
  <c r="O81" i="14"/>
  <c r="O77" i="14"/>
  <c r="S77" i="14" s="1"/>
  <c r="O73" i="14"/>
  <c r="O69" i="14"/>
  <c r="O65" i="14"/>
  <c r="O61" i="14"/>
  <c r="O1198" i="14"/>
  <c r="S1198" i="14" s="1"/>
  <c r="O1194" i="14"/>
  <c r="S1194" i="14" s="1"/>
  <c r="O1190" i="14"/>
  <c r="O1186" i="14"/>
  <c r="O1182" i="14"/>
  <c r="O1178" i="14"/>
  <c r="S1178" i="14" s="1"/>
  <c r="O1174" i="14"/>
  <c r="O1170" i="14"/>
  <c r="O1166" i="14"/>
  <c r="O1162" i="14"/>
  <c r="S1162" i="14" s="1"/>
  <c r="O1158" i="14"/>
  <c r="S1158" i="14" s="1"/>
  <c r="O1154" i="14"/>
  <c r="S1154" i="14" s="1"/>
  <c r="O1150" i="14"/>
  <c r="O1146" i="14"/>
  <c r="S1146" i="14" s="1"/>
  <c r="O1142" i="14"/>
  <c r="S1142" i="14" s="1"/>
  <c r="O1138" i="14"/>
  <c r="S1138" i="14" s="1"/>
  <c r="O1134" i="14"/>
  <c r="O1130" i="14"/>
  <c r="S1130" i="14" s="1"/>
  <c r="O1126" i="14"/>
  <c r="S1126" i="14" s="1"/>
  <c r="O1122" i="14"/>
  <c r="S1122" i="14" s="1"/>
  <c r="O1118" i="14"/>
  <c r="O1114" i="14"/>
  <c r="O1110" i="14"/>
  <c r="S1110" i="14" s="1"/>
  <c r="O1106" i="14"/>
  <c r="O1102" i="14"/>
  <c r="O1098" i="14"/>
  <c r="O1094" i="14"/>
  <c r="O1090" i="14"/>
  <c r="O1086" i="14"/>
  <c r="O1082" i="14"/>
  <c r="O1078" i="14"/>
  <c r="S1078" i="14" s="1"/>
  <c r="O1074" i="14"/>
  <c r="S1074" i="14" s="1"/>
  <c r="O1070" i="14"/>
  <c r="O1066" i="14"/>
  <c r="O1062" i="14"/>
  <c r="S1062" i="14" s="1"/>
  <c r="O1058" i="14"/>
  <c r="O1054" i="14"/>
  <c r="O1050" i="14"/>
  <c r="S1050" i="14" s="1"/>
  <c r="O1046" i="14"/>
  <c r="O1042" i="14"/>
  <c r="O1038" i="14"/>
  <c r="O1034" i="14"/>
  <c r="O1030" i="14"/>
  <c r="O1026" i="14"/>
  <c r="O1022" i="14"/>
  <c r="O1018" i="14"/>
  <c r="S1018" i="14" s="1"/>
  <c r="O1014" i="14"/>
  <c r="O1010" i="14"/>
  <c r="O1006" i="14"/>
  <c r="S1006" i="14" s="1"/>
  <c r="O1002" i="14"/>
  <c r="S1002" i="14" s="1"/>
  <c r="O998" i="14"/>
  <c r="O994" i="14"/>
  <c r="O990" i="14"/>
  <c r="S990" i="14" s="1"/>
  <c r="O986" i="14"/>
  <c r="S986" i="14" s="1"/>
  <c r="O982" i="14"/>
  <c r="S982" i="14" s="1"/>
  <c r="O978" i="14"/>
  <c r="S978" i="14" s="1"/>
  <c r="O974" i="14"/>
  <c r="O970" i="14"/>
  <c r="O966" i="14"/>
  <c r="S966" i="14" s="1"/>
  <c r="O962" i="14"/>
  <c r="O958" i="14"/>
  <c r="O954" i="14"/>
  <c r="O950" i="14"/>
  <c r="S950" i="14" s="1"/>
  <c r="O946" i="14"/>
  <c r="S946" i="14" s="1"/>
  <c r="O942" i="14"/>
  <c r="O938" i="14"/>
  <c r="O934" i="14"/>
  <c r="S934" i="14" s="1"/>
  <c r="O930" i="14"/>
  <c r="O926" i="14"/>
  <c r="O922" i="14"/>
  <c r="O918" i="14"/>
  <c r="S918" i="14" s="1"/>
  <c r="O914" i="14"/>
  <c r="S914" i="14" s="1"/>
  <c r="O910" i="14"/>
  <c r="O906" i="14"/>
  <c r="O902" i="14"/>
  <c r="S902" i="14" s="1"/>
  <c r="O898" i="14"/>
  <c r="O894" i="14"/>
  <c r="O890" i="14"/>
  <c r="O886" i="14"/>
  <c r="S886" i="14" s="1"/>
  <c r="O882" i="14"/>
  <c r="S882" i="14" s="1"/>
  <c r="O878" i="14"/>
  <c r="O874" i="14"/>
  <c r="O870" i="14"/>
  <c r="S870" i="14" s="1"/>
  <c r="O866" i="14"/>
  <c r="O862" i="14"/>
  <c r="O858" i="14"/>
  <c r="O854" i="14"/>
  <c r="S854" i="14" s="1"/>
  <c r="O850" i="14"/>
  <c r="S850" i="14" s="1"/>
  <c r="O846" i="14"/>
  <c r="O842" i="14"/>
  <c r="O838" i="14"/>
  <c r="S838" i="14" s="1"/>
  <c r="O834" i="14"/>
  <c r="O830" i="14"/>
  <c r="O826" i="14"/>
  <c r="O822" i="14"/>
  <c r="S822" i="14" s="1"/>
  <c r="O818" i="14"/>
  <c r="S818" i="14" s="1"/>
  <c r="O814" i="14"/>
  <c r="O810" i="14"/>
  <c r="O806" i="14"/>
  <c r="S806" i="14" s="1"/>
  <c r="O802" i="14"/>
  <c r="O798" i="14"/>
  <c r="O794" i="14"/>
  <c r="O790" i="14"/>
  <c r="S790" i="14" s="1"/>
  <c r="O786" i="14"/>
  <c r="S786" i="14" s="1"/>
  <c r="O782" i="14"/>
  <c r="O778" i="14"/>
  <c r="O774" i="14"/>
  <c r="S774" i="14" s="1"/>
  <c r="O770" i="14"/>
  <c r="O766" i="14"/>
  <c r="O762" i="14"/>
  <c r="O758" i="14"/>
  <c r="S758" i="14" s="1"/>
  <c r="O754" i="14"/>
  <c r="S754" i="14" s="1"/>
  <c r="O750" i="14"/>
  <c r="O746" i="14"/>
  <c r="O742" i="14"/>
  <c r="S742" i="14" s="1"/>
  <c r="O738" i="14"/>
  <c r="O734" i="14"/>
  <c r="O730" i="14"/>
  <c r="O726" i="14"/>
  <c r="S726" i="14" s="1"/>
  <c r="O722" i="14"/>
  <c r="S722" i="14" s="1"/>
  <c r="O718" i="14"/>
  <c r="O714" i="14"/>
  <c r="O710" i="14"/>
  <c r="S710" i="14" s="1"/>
  <c r="O706" i="14"/>
  <c r="O702" i="14"/>
  <c r="O698" i="14"/>
  <c r="O694" i="14"/>
  <c r="S694" i="14" s="1"/>
  <c r="O690" i="14"/>
  <c r="S690" i="14" s="1"/>
  <c r="O686" i="14"/>
  <c r="O682" i="14"/>
  <c r="O678" i="14"/>
  <c r="S678" i="14" s="1"/>
  <c r="O674" i="14"/>
  <c r="O670" i="14"/>
  <c r="O666" i="14"/>
  <c r="O662" i="14"/>
  <c r="S662" i="14" s="1"/>
  <c r="O658" i="14"/>
  <c r="S658" i="14" s="1"/>
  <c r="O654" i="14"/>
  <c r="O650" i="14"/>
  <c r="O646" i="14"/>
  <c r="S646" i="14" s="1"/>
  <c r="O642" i="14"/>
  <c r="O638" i="14"/>
  <c r="O634" i="14"/>
  <c r="O630" i="14"/>
  <c r="S630" i="14" s="1"/>
  <c r="O626" i="14"/>
  <c r="S626" i="14" s="1"/>
  <c r="O622" i="14"/>
  <c r="O618" i="14"/>
  <c r="O614" i="14"/>
  <c r="S614" i="14" s="1"/>
  <c r="O610" i="14"/>
  <c r="O606" i="14"/>
  <c r="O602" i="14"/>
  <c r="O598" i="14"/>
  <c r="S598" i="14" s="1"/>
  <c r="O594" i="14"/>
  <c r="S594" i="14" s="1"/>
  <c r="O590" i="14"/>
  <c r="O586" i="14"/>
  <c r="O582" i="14"/>
  <c r="S582" i="14" s="1"/>
  <c r="O578" i="14"/>
  <c r="O574" i="14"/>
  <c r="O570" i="14"/>
  <c r="O566" i="14"/>
  <c r="S566" i="14" s="1"/>
  <c r="O562" i="14"/>
  <c r="S562" i="14" s="1"/>
  <c r="O558" i="14"/>
  <c r="O554" i="14"/>
  <c r="O550" i="14"/>
  <c r="S550" i="14" s="1"/>
  <c r="O546" i="14"/>
  <c r="O542" i="14"/>
  <c r="O538" i="14"/>
  <c r="O534" i="14"/>
  <c r="S534" i="14" s="1"/>
  <c r="O530" i="14"/>
  <c r="S530" i="14" s="1"/>
  <c r="O526" i="14"/>
  <c r="O522" i="14"/>
  <c r="O518" i="14"/>
  <c r="S518" i="14" s="1"/>
  <c r="O514" i="14"/>
  <c r="O510" i="14"/>
  <c r="O506" i="14"/>
  <c r="O502" i="14"/>
  <c r="S502" i="14" s="1"/>
  <c r="O498" i="14"/>
  <c r="S498" i="14" s="1"/>
  <c r="O494" i="14"/>
  <c r="O490" i="14"/>
  <c r="O486" i="14"/>
  <c r="S486" i="14" s="1"/>
  <c r="O482" i="14"/>
  <c r="O478" i="14"/>
  <c r="O474" i="14"/>
  <c r="O470" i="14"/>
  <c r="S470" i="14" s="1"/>
  <c r="O466" i="14"/>
  <c r="S466" i="14" s="1"/>
  <c r="O462" i="14"/>
  <c r="O458" i="14"/>
  <c r="O454" i="14"/>
  <c r="S454" i="14" s="1"/>
  <c r="O450" i="14"/>
  <c r="O446" i="14"/>
  <c r="O442" i="14"/>
  <c r="O438" i="14"/>
  <c r="S438" i="14" s="1"/>
  <c r="O434" i="14"/>
  <c r="S434" i="14" s="1"/>
  <c r="O430" i="14"/>
  <c r="O426" i="14"/>
  <c r="O422" i="14"/>
  <c r="O418" i="14"/>
  <c r="O414" i="14"/>
  <c r="O410" i="14"/>
  <c r="O406" i="14"/>
  <c r="S406" i="14" s="1"/>
  <c r="O402" i="14"/>
  <c r="S402" i="14" s="1"/>
  <c r="O398" i="14"/>
  <c r="O394" i="14"/>
  <c r="O390" i="14"/>
  <c r="O386" i="14"/>
  <c r="O382" i="14"/>
  <c r="O378" i="14"/>
  <c r="O374" i="14"/>
  <c r="S374" i="14" s="1"/>
  <c r="O370" i="14"/>
  <c r="S370" i="14" s="1"/>
  <c r="O366" i="14"/>
  <c r="O362" i="14"/>
  <c r="O358" i="14"/>
  <c r="O354" i="14"/>
  <c r="O350" i="14"/>
  <c r="O346" i="14"/>
  <c r="O342" i="14"/>
  <c r="S342" i="14" s="1"/>
  <c r="O338" i="14"/>
  <c r="S338" i="14" s="1"/>
  <c r="O334" i="14"/>
  <c r="O330" i="14"/>
  <c r="O326" i="14"/>
  <c r="O322" i="14"/>
  <c r="O318" i="14"/>
  <c r="O314" i="14"/>
  <c r="O310" i="14"/>
  <c r="S310" i="14" s="1"/>
  <c r="O306" i="14"/>
  <c r="S306" i="14" s="1"/>
  <c r="O302" i="14"/>
  <c r="O298" i="14"/>
  <c r="O294" i="14"/>
  <c r="O290" i="14"/>
  <c r="O286" i="14"/>
  <c r="O282" i="14"/>
  <c r="O278" i="14"/>
  <c r="S278" i="14" s="1"/>
  <c r="O274" i="14"/>
  <c r="S274" i="14" s="1"/>
  <c r="O270" i="14"/>
  <c r="O266" i="14"/>
  <c r="O262" i="14"/>
  <c r="O258" i="14"/>
  <c r="O254" i="14"/>
  <c r="O250" i="14"/>
  <c r="O246" i="14"/>
  <c r="S246" i="14" s="1"/>
  <c r="O242" i="14"/>
  <c r="S242" i="14" s="1"/>
  <c r="O238" i="14"/>
  <c r="O234" i="14"/>
  <c r="O230" i="14"/>
  <c r="O226" i="14"/>
  <c r="O222" i="14"/>
  <c r="O218" i="14"/>
  <c r="O214" i="14"/>
  <c r="S214" i="14" s="1"/>
  <c r="O210" i="14"/>
  <c r="S210" i="14" s="1"/>
  <c r="O206" i="14"/>
  <c r="O202" i="14"/>
  <c r="O198" i="14"/>
  <c r="O194" i="14"/>
  <c r="O190" i="14"/>
  <c r="O186" i="14"/>
  <c r="O182" i="14"/>
  <c r="S182" i="14" s="1"/>
  <c r="O178" i="14"/>
  <c r="S178" i="14" s="1"/>
  <c r="O174" i="14"/>
  <c r="O170" i="14"/>
  <c r="O166" i="14"/>
  <c r="O162" i="14"/>
  <c r="O158" i="14"/>
  <c r="O154" i="14"/>
  <c r="O150" i="14"/>
  <c r="S150" i="14" s="1"/>
  <c r="O146" i="14"/>
  <c r="S146" i="14" s="1"/>
  <c r="O142" i="14"/>
  <c r="O138" i="14"/>
  <c r="O134" i="14"/>
  <c r="O130" i="14"/>
  <c r="O126" i="14"/>
  <c r="O122" i="14"/>
  <c r="O118" i="14"/>
  <c r="S118" i="14" s="1"/>
  <c r="O114" i="14"/>
  <c r="S114" i="14" s="1"/>
  <c r="O110" i="14"/>
  <c r="O106" i="14"/>
  <c r="O102" i="14"/>
  <c r="O98" i="14"/>
  <c r="O94" i="14"/>
  <c r="O90" i="14"/>
  <c r="O27" i="14"/>
  <c r="S27" i="14" s="1"/>
  <c r="O55" i="14"/>
  <c r="O84" i="14"/>
  <c r="S84" i="14" s="1"/>
  <c r="O60" i="14"/>
  <c r="O1185" i="14"/>
  <c r="S1185" i="14" s="1"/>
  <c r="O1165" i="14"/>
  <c r="O1141" i="14"/>
  <c r="O1125" i="14"/>
  <c r="O1097" i="14"/>
  <c r="S1097" i="14" s="1"/>
  <c r="O1085" i="14"/>
  <c r="O1069" i="14"/>
  <c r="S1069" i="14" s="1"/>
  <c r="O1041" i="14"/>
  <c r="S1041" i="14" s="1"/>
  <c r="O1025" i="14"/>
  <c r="O1005" i="14"/>
  <c r="S1005" i="14" s="1"/>
  <c r="O977" i="14"/>
  <c r="S977" i="14" s="1"/>
  <c r="O961" i="14"/>
  <c r="O941" i="14"/>
  <c r="S941" i="14" s="1"/>
  <c r="O917" i="14"/>
  <c r="S917" i="14" s="1"/>
  <c r="O901" i="14"/>
  <c r="O885" i="14"/>
  <c r="O857" i="14"/>
  <c r="O17" i="14"/>
  <c r="O58" i="14"/>
  <c r="O42" i="14"/>
  <c r="O75" i="14"/>
  <c r="S75" i="14" s="1"/>
  <c r="O1196" i="14"/>
  <c r="S1196" i="14" s="1"/>
  <c r="O1180" i="14"/>
  <c r="S1180" i="14" s="1"/>
  <c r="O1164" i="14"/>
  <c r="S1164" i="14" s="1"/>
  <c r="O1144" i="14"/>
  <c r="O1124" i="14"/>
  <c r="O1104" i="14"/>
  <c r="O1092" i="14"/>
  <c r="O1076" i="14"/>
  <c r="S1076" i="14" s="1"/>
  <c r="O1056" i="14"/>
  <c r="O1040" i="14"/>
  <c r="O1028" i="14"/>
  <c r="S1028" i="14" s="1"/>
  <c r="O1008" i="14"/>
  <c r="O992" i="14"/>
  <c r="O972" i="14"/>
  <c r="O960" i="14"/>
  <c r="O948" i="14"/>
  <c r="S948" i="14" s="1"/>
  <c r="O924" i="14"/>
  <c r="S924" i="14" s="1"/>
  <c r="O912" i="14"/>
  <c r="O900" i="14"/>
  <c r="S900" i="14" s="1"/>
  <c r="O880" i="14"/>
  <c r="O868" i="14"/>
  <c r="O852" i="14"/>
  <c r="O832" i="14"/>
  <c r="O824" i="14"/>
  <c r="S824" i="14" s="1"/>
  <c r="O812" i="14"/>
  <c r="O792" i="14"/>
  <c r="O780" i="14"/>
  <c r="O764" i="14"/>
  <c r="O744" i="14"/>
  <c r="O732" i="14"/>
  <c r="O720" i="14"/>
  <c r="O700" i="14"/>
  <c r="O688" i="14"/>
  <c r="O676" i="14"/>
  <c r="O660" i="14"/>
  <c r="O648" i="14"/>
  <c r="O636" i="14"/>
  <c r="S636" i="14" s="1"/>
  <c r="O620" i="14"/>
  <c r="O604" i="14"/>
  <c r="O592" i="14"/>
  <c r="S592" i="14" s="1"/>
  <c r="O576" i="14"/>
  <c r="O564" i="14"/>
  <c r="O548" i="14"/>
  <c r="O536" i="14"/>
  <c r="O520" i="14"/>
  <c r="O8" i="14"/>
  <c r="O15" i="14"/>
  <c r="S15" i="14" s="1"/>
  <c r="O35" i="14"/>
  <c r="S35" i="14" s="1"/>
  <c r="O49" i="14"/>
  <c r="O86" i="14"/>
  <c r="O74" i="14"/>
  <c r="O1199" i="14"/>
  <c r="S1199" i="14" s="1"/>
  <c r="O1187" i="14"/>
  <c r="O1171" i="14"/>
  <c r="S1171" i="14" s="1"/>
  <c r="O1159" i="14"/>
  <c r="O1143" i="14"/>
  <c r="O1131" i="14"/>
  <c r="O1119" i="14"/>
  <c r="S1119" i="14" s="1"/>
  <c r="O1107" i="14"/>
  <c r="O1091" i="14"/>
  <c r="O1079" i="14"/>
  <c r="O1067" i="14"/>
  <c r="O1051" i="14"/>
  <c r="O1039" i="14"/>
  <c r="S1039" i="14" s="1"/>
  <c r="O1027" i="14"/>
  <c r="O1015" i="14"/>
  <c r="O999" i="14"/>
  <c r="O987" i="14"/>
  <c r="O975" i="14"/>
  <c r="O963" i="14"/>
  <c r="O947" i="14"/>
  <c r="S947" i="14" s="1"/>
  <c r="O935" i="14"/>
  <c r="O919" i="14"/>
  <c r="O907" i="14"/>
  <c r="O891" i="14"/>
  <c r="O879" i="14"/>
  <c r="O867" i="14"/>
  <c r="O855" i="14"/>
  <c r="S855" i="14" s="1"/>
  <c r="O839" i="14"/>
  <c r="O827" i="14"/>
  <c r="O815" i="14"/>
  <c r="O803" i="14"/>
  <c r="O787" i="14"/>
  <c r="O775" i="14"/>
  <c r="O763" i="14"/>
  <c r="S763" i="14" s="1"/>
  <c r="O751" i="14"/>
  <c r="O735" i="14"/>
  <c r="O723" i="14"/>
  <c r="O711" i="14"/>
  <c r="O695" i="14"/>
  <c r="O683" i="14"/>
  <c r="O671" i="14"/>
  <c r="S671" i="14" s="1"/>
  <c r="O659" i="14"/>
  <c r="O643" i="14"/>
  <c r="O631" i="14"/>
  <c r="O619" i="14"/>
  <c r="O607" i="14"/>
  <c r="O591" i="14"/>
  <c r="O579" i="14"/>
  <c r="S579" i="14" s="1"/>
  <c r="O567" i="14"/>
  <c r="O555" i="14"/>
  <c r="O539" i="14"/>
  <c r="O527" i="14"/>
  <c r="O515" i="14"/>
  <c r="O503" i="14"/>
  <c r="O487" i="14"/>
  <c r="S487" i="14" s="1"/>
  <c r="O475" i="14"/>
  <c r="O463" i="14"/>
  <c r="O447" i="14"/>
  <c r="O431" i="14"/>
  <c r="O419" i="14"/>
  <c r="O407" i="14"/>
  <c r="O391" i="14"/>
  <c r="O379" i="14"/>
  <c r="O363" i="14"/>
  <c r="O351" i="14"/>
  <c r="O335" i="14"/>
  <c r="O323" i="14"/>
  <c r="O311" i="14"/>
  <c r="O295" i="14"/>
  <c r="O283" i="14"/>
  <c r="O271" i="14"/>
  <c r="O255" i="14"/>
  <c r="O243" i="14"/>
  <c r="O231" i="14"/>
  <c r="O215" i="14"/>
  <c r="S215" i="14" s="1"/>
  <c r="O187" i="14"/>
  <c r="O29" i="14"/>
  <c r="S29" i="14" s="1"/>
  <c r="O28" i="14"/>
  <c r="O20" i="14"/>
  <c r="S20" i="14" s="1"/>
  <c r="O12" i="14"/>
  <c r="S12" i="14" s="1"/>
  <c r="O4" i="14"/>
  <c r="R3" i="7"/>
  <c r="R4" i="7"/>
  <c r="S4" i="14" l="1"/>
  <c r="S1144" i="14"/>
  <c r="S390" i="14"/>
  <c r="S422" i="14"/>
  <c r="S6" i="14"/>
  <c r="S54" i="14"/>
  <c r="S394" i="14"/>
  <c r="S426" i="14"/>
  <c r="S458" i="14"/>
  <c r="S490" i="14"/>
  <c r="S522" i="14"/>
  <c r="S554" i="14"/>
  <c r="S586" i="14"/>
  <c r="S618" i="14"/>
  <c r="S650" i="14"/>
  <c r="S682" i="14"/>
  <c r="S714" i="14"/>
  <c r="S746" i="14"/>
  <c r="S778" i="14"/>
  <c r="S810" i="14"/>
  <c r="S842" i="14"/>
  <c r="S874" i="14"/>
  <c r="S906" i="14"/>
  <c r="S938" i="14"/>
  <c r="S970" i="14"/>
  <c r="S138" i="14"/>
  <c r="S170" i="14"/>
  <c r="S202" i="14"/>
  <c r="S234" i="14"/>
  <c r="S266" i="14"/>
  <c r="S298" i="14"/>
  <c r="S330" i="14"/>
  <c r="S362" i="14"/>
  <c r="S1102" i="14"/>
  <c r="S1134" i="14"/>
  <c r="S1029" i="14"/>
  <c r="S1093" i="14"/>
  <c r="S58" i="14"/>
  <c r="S539" i="14"/>
  <c r="S732" i="14"/>
  <c r="S507" i="14"/>
  <c r="S923" i="14"/>
  <c r="S1052" i="14"/>
  <c r="S869" i="14"/>
  <c r="S259" i="14"/>
  <c r="S1149" i="14"/>
  <c r="S965" i="14"/>
  <c r="S1184" i="14"/>
  <c r="S1030" i="14"/>
  <c r="S1190" i="14"/>
  <c r="S227" i="14"/>
  <c r="S548" i="14"/>
  <c r="S39" i="14"/>
  <c r="S1025" i="14"/>
  <c r="S998" i="14"/>
  <c r="S81" i="14"/>
  <c r="S71" i="14"/>
  <c r="S1089" i="14"/>
  <c r="S604" i="14"/>
  <c r="S933" i="14"/>
  <c r="S812" i="14"/>
  <c r="S1191" i="14"/>
  <c r="S82" i="14"/>
  <c r="S351" i="14"/>
  <c r="S937" i="14"/>
  <c r="S32" i="14"/>
  <c r="S1065" i="14"/>
  <c r="S86" i="14"/>
  <c r="S398" i="14"/>
  <c r="S430" i="14"/>
  <c r="S462" i="14"/>
  <c r="S494" i="14"/>
  <c r="S526" i="14"/>
  <c r="S558" i="14"/>
  <c r="S590" i="14"/>
  <c r="S622" i="14"/>
  <c r="S654" i="14"/>
  <c r="S686" i="14"/>
  <c r="S718" i="14"/>
  <c r="S750" i="14"/>
  <c r="S782" i="14"/>
  <c r="S814" i="14"/>
  <c r="S846" i="14"/>
  <c r="S878" i="14"/>
  <c r="S910" i="14"/>
  <c r="S942" i="14"/>
  <c r="S974" i="14"/>
  <c r="S1033" i="14"/>
  <c r="S28" i="14"/>
  <c r="S1131" i="14"/>
  <c r="S1106" i="14"/>
  <c r="S883" i="14"/>
  <c r="S893" i="14"/>
  <c r="S1173" i="14"/>
  <c r="S861" i="14"/>
  <c r="S1188" i="14"/>
  <c r="S8" i="14"/>
  <c r="S1150" i="14"/>
  <c r="S1163" i="14"/>
  <c r="S7" i="14"/>
  <c r="S1156" i="14"/>
  <c r="S1124" i="14"/>
  <c r="S1165" i="14"/>
  <c r="S103" i="14"/>
  <c r="S467" i="14"/>
  <c r="S1159" i="14"/>
  <c r="S1082" i="14"/>
  <c r="S52" i="14"/>
  <c r="S37" i="14"/>
  <c r="S1141" i="14"/>
  <c r="S56" i="14"/>
  <c r="S1127" i="14"/>
  <c r="S499" i="14"/>
  <c r="S915" i="14"/>
  <c r="S916" i="14"/>
  <c r="S88" i="14"/>
  <c r="S120" i="14"/>
  <c r="S93" i="14"/>
  <c r="S125" i="14"/>
  <c r="S157" i="14"/>
  <c r="S189" i="14"/>
  <c r="S221" i="14"/>
  <c r="S253" i="14"/>
  <c r="S285" i="14"/>
  <c r="S317" i="14"/>
  <c r="S349" i="14"/>
  <c r="S381" i="14"/>
  <c r="S413" i="14"/>
  <c r="S445" i="14"/>
  <c r="S477" i="14"/>
  <c r="S509" i="14"/>
  <c r="S541" i="14"/>
  <c r="S573" i="14"/>
  <c r="S605" i="14"/>
  <c r="S637" i="14"/>
  <c r="S669" i="14"/>
  <c r="S701" i="14"/>
  <c r="S733" i="14"/>
  <c r="S765" i="14"/>
  <c r="S797" i="14"/>
  <c r="S829" i="14"/>
  <c r="S97" i="14"/>
  <c r="S1161" i="14"/>
  <c r="S994" i="14"/>
  <c r="S1058" i="14"/>
  <c r="S969" i="14"/>
  <c r="S78" i="14"/>
  <c r="S31" i="14"/>
  <c r="S1086" i="14"/>
  <c r="S1118" i="14"/>
  <c r="S19" i="14"/>
  <c r="S961" i="14"/>
  <c r="S1187" i="14"/>
  <c r="S30" i="14"/>
  <c r="S1137" i="14"/>
  <c r="S171" i="14"/>
  <c r="S1133" i="14"/>
  <c r="S72" i="14"/>
  <c r="S985" i="14"/>
  <c r="S26" i="14"/>
  <c r="S1038" i="14"/>
  <c r="S1179" i="14"/>
  <c r="S1117" i="14"/>
  <c r="S909" i="14"/>
  <c r="S845" i="14"/>
  <c r="S5" i="14"/>
  <c r="S70" i="14"/>
  <c r="S1092" i="14"/>
  <c r="S1114" i="14"/>
  <c r="S1115" i="14"/>
  <c r="S1147" i="14"/>
  <c r="S48" i="14"/>
  <c r="S1172" i="14"/>
  <c r="S94" i="14"/>
  <c r="S126" i="14"/>
  <c r="S158" i="14"/>
  <c r="S190" i="14"/>
  <c r="S222" i="14"/>
  <c r="S254" i="14"/>
  <c r="S286" i="14"/>
  <c r="S318" i="14"/>
  <c r="S350" i="14"/>
  <c r="S382" i="14"/>
  <c r="S414" i="14"/>
  <c r="S446" i="14"/>
  <c r="S478" i="14"/>
  <c r="S510" i="14"/>
  <c r="S542" i="14"/>
  <c r="S574" i="14"/>
  <c r="S606" i="14"/>
  <c r="S638" i="14"/>
  <c r="S670" i="14"/>
  <c r="S702" i="14"/>
  <c r="S734" i="14"/>
  <c r="S766" i="14"/>
  <c r="S798" i="14"/>
  <c r="S830" i="14"/>
  <c r="S862" i="14"/>
  <c r="S894" i="14"/>
  <c r="S926" i="14"/>
  <c r="S958" i="14"/>
  <c r="S953" i="14"/>
  <c r="S1049" i="14"/>
  <c r="S65" i="14"/>
  <c r="S1026" i="14"/>
  <c r="S1186" i="14"/>
  <c r="S53" i="14"/>
  <c r="S47" i="14"/>
  <c r="S1108" i="14"/>
  <c r="S46" i="14"/>
  <c r="S378" i="14"/>
  <c r="S410" i="14"/>
  <c r="S442" i="14"/>
  <c r="S474" i="14"/>
  <c r="S506" i="14"/>
  <c r="S538" i="14"/>
  <c r="S570" i="14"/>
  <c r="S602" i="14"/>
  <c r="S634" i="14"/>
  <c r="S666" i="14"/>
  <c r="S698" i="14"/>
  <c r="S730" i="14"/>
  <c r="S762" i="14"/>
  <c r="S794" i="14"/>
  <c r="S826" i="14"/>
  <c r="S858" i="14"/>
  <c r="S890" i="14"/>
  <c r="S922" i="14"/>
  <c r="S954" i="14"/>
  <c r="S69" i="14"/>
  <c r="S74" i="14"/>
  <c r="S60" i="14"/>
  <c r="S1034" i="14"/>
  <c r="S1066" i="14"/>
  <c r="S25" i="14"/>
  <c r="S1200" i="14"/>
  <c r="S76" i="14"/>
  <c r="S723" i="14"/>
  <c r="S935" i="14"/>
  <c r="S1143" i="14"/>
  <c r="S700" i="14"/>
  <c r="S1014" i="14"/>
  <c r="S1046" i="14"/>
  <c r="S1174" i="14"/>
  <c r="S776" i="14"/>
  <c r="S1148" i="14"/>
  <c r="S853" i="14"/>
  <c r="S1013" i="14"/>
  <c r="S1177" i="14"/>
  <c r="S307" i="14"/>
  <c r="S584" i="14"/>
  <c r="S1077" i="14"/>
  <c r="S51" i="14"/>
  <c r="S1151" i="14"/>
  <c r="S43" i="14"/>
  <c r="S980" i="14"/>
  <c r="S1045" i="14"/>
  <c r="S981" i="14"/>
  <c r="S1145" i="14"/>
  <c r="S55" i="14"/>
  <c r="S1010" i="14"/>
  <c r="S1136" i="14"/>
  <c r="S1125" i="14"/>
  <c r="S881" i="14"/>
  <c r="S67" i="14"/>
  <c r="S989" i="14"/>
  <c r="S49" i="14"/>
  <c r="S1085" i="14"/>
  <c r="S1042" i="14"/>
  <c r="S1170" i="14"/>
  <c r="S61" i="14"/>
  <c r="S44" i="14"/>
  <c r="S1176" i="14"/>
  <c r="S1053" i="14"/>
  <c r="S1121" i="14"/>
  <c r="S57" i="14"/>
  <c r="S1021" i="14"/>
  <c r="S98" i="14"/>
  <c r="S130" i="14"/>
  <c r="S162" i="14"/>
  <c r="S194" i="14"/>
  <c r="S226" i="14"/>
  <c r="S258" i="14"/>
  <c r="S290" i="14"/>
  <c r="S322" i="14"/>
  <c r="S354" i="14"/>
  <c r="S386" i="14"/>
  <c r="S418" i="14"/>
  <c r="S450" i="14"/>
  <c r="S482" i="14"/>
  <c r="S514" i="14"/>
  <c r="S546" i="14"/>
  <c r="S578" i="14"/>
  <c r="S610" i="14"/>
  <c r="S642" i="14"/>
  <c r="S674" i="14"/>
  <c r="S706" i="14"/>
  <c r="S738" i="14"/>
  <c r="S770" i="14"/>
  <c r="S802" i="14"/>
  <c r="S834" i="14"/>
  <c r="S866" i="14"/>
  <c r="S898" i="14"/>
  <c r="S930" i="14"/>
  <c r="S962" i="14"/>
  <c r="S1090" i="14"/>
  <c r="S913" i="14"/>
  <c r="S1112" i="14"/>
  <c r="S92" i="14"/>
  <c r="S101" i="14"/>
  <c r="S1099" i="14"/>
  <c r="S851" i="14"/>
  <c r="S659" i="14"/>
  <c r="S727" i="14"/>
  <c r="S596" i="14"/>
  <c r="S984" i="14"/>
  <c r="S760" i="14"/>
  <c r="S1008" i="14"/>
  <c r="S134" i="14"/>
  <c r="S230" i="14"/>
  <c r="S326" i="14"/>
  <c r="S358" i="14"/>
  <c r="S1094" i="14"/>
  <c r="S1047" i="14"/>
  <c r="S1155" i="14"/>
  <c r="S33" i="14"/>
  <c r="S997" i="14"/>
  <c r="S1153" i="14"/>
  <c r="S1152" i="14"/>
  <c r="S1157" i="14"/>
  <c r="S11" i="14"/>
  <c r="S972" i="14"/>
  <c r="S819" i="14"/>
  <c r="S1079" i="14"/>
  <c r="S532" i="14"/>
  <c r="S567" i="14"/>
  <c r="S166" i="14"/>
  <c r="S262" i="14"/>
  <c r="S787" i="14"/>
  <c r="S891" i="14"/>
  <c r="S1107" i="14"/>
  <c r="S660" i="14"/>
  <c r="S885" i="14"/>
  <c r="S106" i="14"/>
  <c r="S1098" i="14"/>
  <c r="S85" i="14"/>
  <c r="S38" i="14"/>
  <c r="S859" i="14"/>
  <c r="S856" i="14"/>
  <c r="S1195" i="14"/>
  <c r="S1061" i="14"/>
  <c r="S865" i="14"/>
  <c r="S556" i="14"/>
  <c r="S852" i="14"/>
  <c r="S403" i="14"/>
  <c r="S692" i="14"/>
  <c r="S211" i="14"/>
  <c r="S820" i="14"/>
  <c r="S759" i="14"/>
  <c r="S628" i="14"/>
  <c r="S536" i="14"/>
  <c r="S857" i="14"/>
  <c r="S102" i="14"/>
  <c r="S198" i="14"/>
  <c r="S294" i="14"/>
  <c r="S271" i="14"/>
  <c r="S591" i="14"/>
  <c r="S564" i="14"/>
  <c r="S792" i="14"/>
  <c r="S1040" i="14"/>
  <c r="S901" i="14"/>
  <c r="S110" i="14"/>
  <c r="S142" i="14"/>
  <c r="S174" i="14"/>
  <c r="S206" i="14"/>
  <c r="S238" i="14"/>
  <c r="S270" i="14"/>
  <c r="S302" i="14"/>
  <c r="S334" i="14"/>
  <c r="S366" i="14"/>
  <c r="S1070" i="14"/>
  <c r="S40" i="14"/>
  <c r="S1075" i="14"/>
  <c r="S1120" i="14"/>
  <c r="S275" i="14"/>
  <c r="S691" i="14"/>
  <c r="S3" i="14"/>
  <c r="S116" i="14"/>
  <c r="S148" i="14"/>
  <c r="S180" i="14"/>
  <c r="S212" i="14"/>
  <c r="S244" i="14"/>
  <c r="S276" i="14"/>
  <c r="S308" i="14"/>
  <c r="S340" i="14"/>
  <c r="S372" i="14"/>
  <c r="S404" i="14"/>
  <c r="S436" i="14"/>
  <c r="S468" i="14"/>
  <c r="S500" i="14"/>
  <c r="S925" i="14"/>
  <c r="S945" i="14"/>
  <c r="S1105" i="14"/>
  <c r="S620" i="14"/>
  <c r="S435" i="14"/>
  <c r="S544" i="14"/>
  <c r="S907" i="14"/>
  <c r="S676" i="14"/>
  <c r="S1166" i="14"/>
  <c r="S559" i="14"/>
  <c r="S971" i="14"/>
  <c r="S528" i="14"/>
  <c r="S748" i="14"/>
  <c r="S587" i="14"/>
  <c r="S1003" i="14"/>
  <c r="S1111" i="14"/>
  <c r="S560" i="14"/>
  <c r="S784" i="14"/>
  <c r="S873" i="14"/>
  <c r="S267" i="14"/>
  <c r="S976" i="14"/>
  <c r="S18" i="14"/>
  <c r="S89" i="14"/>
  <c r="S121" i="14"/>
  <c r="S153" i="14"/>
  <c r="S185" i="14"/>
  <c r="S217" i="14"/>
  <c r="S249" i="14"/>
  <c r="S281" i="14"/>
  <c r="S313" i="14"/>
  <c r="S345" i="14"/>
  <c r="S377" i="14"/>
  <c r="S409" i="14"/>
  <c r="S441" i="14"/>
  <c r="S473" i="14"/>
  <c r="S505" i="14"/>
  <c r="S537" i="14"/>
  <c r="S569" i="14"/>
  <c r="S601" i="14"/>
  <c r="S633" i="14"/>
  <c r="S665" i="14"/>
  <c r="S697" i="14"/>
  <c r="S729" i="14"/>
  <c r="S761" i="14"/>
  <c r="S793" i="14"/>
  <c r="S825" i="14"/>
  <c r="S959" i="14"/>
  <c r="S42" i="14"/>
  <c r="S90" i="14"/>
  <c r="S122" i="14"/>
  <c r="S154" i="14"/>
  <c r="S186" i="14"/>
  <c r="S218" i="14"/>
  <c r="S250" i="14"/>
  <c r="S282" i="14"/>
  <c r="S314" i="14"/>
  <c r="S346" i="14"/>
  <c r="S1168" i="14"/>
  <c r="S576" i="14"/>
  <c r="S1104" i="14"/>
  <c r="S1022" i="14"/>
  <c r="S1054" i="14"/>
  <c r="S1182" i="14"/>
  <c r="S73" i="14"/>
  <c r="S68" i="14"/>
  <c r="S877" i="14"/>
  <c r="S736" i="14"/>
  <c r="S1056" i="14"/>
  <c r="S66" i="14"/>
  <c r="S868" i="14"/>
  <c r="S992" i="14"/>
  <c r="S17" i="14"/>
  <c r="S1175" i="14"/>
  <c r="S949" i="14"/>
  <c r="S832" i="14"/>
  <c r="S960" i="14"/>
  <c r="S1116" i="14"/>
  <c r="S1109" i="14"/>
  <c r="S849" i="14"/>
  <c r="S343" i="14"/>
  <c r="S63" i="14"/>
  <c r="S80" i="14"/>
  <c r="S1031" i="14"/>
  <c r="S716" i="14"/>
  <c r="S1068" i="14"/>
  <c r="S243" i="14"/>
  <c r="S987" i="14"/>
  <c r="S648" i="14"/>
  <c r="S764" i="14"/>
  <c r="S880" i="14"/>
  <c r="S531" i="14"/>
  <c r="S724" i="14"/>
  <c r="S956" i="14"/>
  <c r="S1084" i="14"/>
  <c r="S563" i="14"/>
  <c r="S667" i="14"/>
  <c r="S979" i="14"/>
  <c r="S1083" i="14"/>
  <c r="S1183" i="14"/>
  <c r="S955" i="14"/>
  <c r="S888" i="14"/>
  <c r="S363" i="14"/>
  <c r="S683" i="14"/>
  <c r="S999" i="14"/>
  <c r="S780" i="14"/>
  <c r="S239" i="14"/>
  <c r="S339" i="14"/>
  <c r="S651" i="14"/>
  <c r="S755" i="14"/>
  <c r="S1063" i="14"/>
  <c r="S624" i="14"/>
  <c r="S968" i="14"/>
  <c r="S1100" i="14"/>
  <c r="S957" i="14"/>
  <c r="S1113" i="14"/>
  <c r="S371" i="14"/>
  <c r="S679" i="14"/>
  <c r="S783" i="14"/>
  <c r="S1095" i="14"/>
  <c r="S656" i="14"/>
  <c r="S884" i="14"/>
  <c r="S1012" i="14"/>
  <c r="S595" i="14"/>
  <c r="S1007" i="14"/>
  <c r="S1044" i="14"/>
  <c r="S848" i="14"/>
  <c r="S112" i="14"/>
  <c r="S144" i="14"/>
  <c r="S176" i="14"/>
  <c r="S208" i="14"/>
  <c r="S240" i="14"/>
  <c r="S272" i="14"/>
  <c r="S304" i="14"/>
  <c r="S336" i="14"/>
  <c r="S368" i="14"/>
  <c r="S400" i="14"/>
  <c r="S432" i="14"/>
  <c r="S464" i="14"/>
  <c r="S496" i="14"/>
  <c r="S588" i="14"/>
  <c r="S921" i="14"/>
  <c r="S59" i="14"/>
  <c r="S117" i="14"/>
  <c r="S149" i="14"/>
  <c r="S181" i="14"/>
  <c r="S213" i="14"/>
  <c r="S245" i="14"/>
  <c r="S277" i="14"/>
  <c r="S309" i="14"/>
  <c r="S341" i="14"/>
  <c r="S373" i="14"/>
  <c r="S405" i="14"/>
  <c r="S437" i="14"/>
  <c r="S469" i="14"/>
  <c r="S501" i="14"/>
  <c r="S533" i="14"/>
  <c r="S565" i="14"/>
  <c r="S597" i="14"/>
  <c r="S629" i="14"/>
  <c r="S661" i="14"/>
  <c r="S693" i="14"/>
  <c r="S725" i="14"/>
  <c r="S757" i="14"/>
  <c r="S789" i="14"/>
  <c r="S821" i="14"/>
  <c r="S912" i="14"/>
  <c r="S635" i="14"/>
  <c r="S219" i="14"/>
  <c r="S391" i="14"/>
  <c r="S711" i="14"/>
  <c r="S815" i="14"/>
  <c r="S688" i="14"/>
  <c r="S367" i="14"/>
  <c r="S936" i="14"/>
  <c r="S720" i="14"/>
  <c r="S447" i="14"/>
  <c r="S520" i="14"/>
  <c r="S744" i="14"/>
  <c r="S319" i="14"/>
  <c r="S415" i="14"/>
  <c r="S831" i="14"/>
  <c r="S704" i="14"/>
  <c r="S863" i="14"/>
  <c r="S889" i="14"/>
  <c r="S991" i="14"/>
  <c r="S928" i="14"/>
  <c r="S96" i="14"/>
  <c r="S1023" i="14"/>
  <c r="S639" i="14"/>
  <c r="S443" i="14"/>
  <c r="S105" i="14"/>
  <c r="S137" i="14"/>
  <c r="S169" i="14"/>
  <c r="S201" i="14"/>
  <c r="S233" i="14"/>
  <c r="S265" i="14"/>
  <c r="S297" i="14"/>
  <c r="S329" i="14"/>
  <c r="S361" i="14"/>
  <c r="S393" i="14"/>
  <c r="S425" i="14"/>
  <c r="S457" i="14"/>
  <c r="S489" i="14"/>
  <c r="S521" i="14"/>
  <c r="S553" i="14"/>
  <c r="S585" i="14"/>
  <c r="S617" i="14"/>
  <c r="S649" i="14"/>
  <c r="S681" i="14"/>
  <c r="S713" i="14"/>
  <c r="S745" i="14"/>
  <c r="S777" i="14"/>
  <c r="S809" i="14"/>
  <c r="S841" i="14"/>
  <c r="S295" i="14"/>
  <c r="S527" i="14"/>
  <c r="S463" i="14"/>
  <c r="S775" i="14"/>
  <c r="S879" i="14"/>
  <c r="S1091" i="14"/>
  <c r="S331" i="14"/>
  <c r="S427" i="14"/>
  <c r="S739" i="14"/>
  <c r="S843" i="14"/>
  <c r="S943" i="14"/>
  <c r="S836" i="14"/>
  <c r="S359" i="14"/>
  <c r="S459" i="14"/>
  <c r="S771" i="14"/>
  <c r="S875" i="14"/>
  <c r="S524" i="14"/>
  <c r="S644" i="14"/>
  <c r="S752" i="14"/>
  <c r="S872" i="14"/>
  <c r="S996" i="14"/>
  <c r="S203" i="14"/>
  <c r="S1000" i="14"/>
  <c r="S108" i="14"/>
  <c r="S140" i="14"/>
  <c r="S172" i="14"/>
  <c r="S204" i="14"/>
  <c r="S236" i="14"/>
  <c r="S268" i="14"/>
  <c r="S300" i="14"/>
  <c r="S332" i="14"/>
  <c r="S364" i="14"/>
  <c r="S396" i="14"/>
  <c r="S428" i="14"/>
  <c r="S460" i="14"/>
  <c r="S492" i="14"/>
  <c r="S552" i="14"/>
  <c r="S113" i="14"/>
  <c r="S145" i="14"/>
  <c r="S177" i="14"/>
  <c r="S209" i="14"/>
  <c r="S241" i="14"/>
  <c r="S273" i="14"/>
  <c r="S305" i="14"/>
  <c r="S337" i="14"/>
  <c r="S369" i="14"/>
  <c r="S401" i="14"/>
  <c r="S433" i="14"/>
  <c r="S465" i="14"/>
  <c r="S497" i="14"/>
  <c r="S529" i="14"/>
  <c r="S561" i="14"/>
  <c r="S593" i="14"/>
  <c r="S625" i="14"/>
  <c r="S657" i="14"/>
  <c r="S689" i="14"/>
  <c r="S721" i="14"/>
  <c r="S753" i="14"/>
  <c r="S785" i="14"/>
  <c r="S817" i="14"/>
  <c r="S263" i="14"/>
  <c r="S615" i="14"/>
  <c r="S495" i="14"/>
  <c r="S807" i="14"/>
  <c r="S911" i="14"/>
  <c r="S680" i="14"/>
  <c r="S908" i="14"/>
  <c r="S1036" i="14"/>
  <c r="S423" i="14"/>
  <c r="S523" i="14"/>
  <c r="S939" i="14"/>
  <c r="S395" i="14"/>
  <c r="S616" i="14"/>
  <c r="S839" i="14"/>
  <c r="S323" i="14"/>
  <c r="S431" i="14"/>
  <c r="S643" i="14"/>
  <c r="S751" i="14"/>
  <c r="S963" i="14"/>
  <c r="S1067" i="14"/>
  <c r="S303" i="14"/>
  <c r="S611" i="14"/>
  <c r="S715" i="14"/>
  <c r="S580" i="14"/>
  <c r="S808" i="14"/>
  <c r="S327" i="14"/>
  <c r="S743" i="14"/>
  <c r="S847" i="14"/>
  <c r="S1059" i="14"/>
  <c r="S612" i="14"/>
  <c r="S840" i="14"/>
  <c r="S964" i="14"/>
  <c r="S1096" i="14"/>
  <c r="S712" i="14"/>
  <c r="S1064" i="14"/>
  <c r="S100" i="14"/>
  <c r="S132" i="14"/>
  <c r="S164" i="14"/>
  <c r="S196" i="14"/>
  <c r="S228" i="14"/>
  <c r="S260" i="14"/>
  <c r="S292" i="14"/>
  <c r="S324" i="14"/>
  <c r="S356" i="14"/>
  <c r="S388" i="14"/>
  <c r="S420" i="14"/>
  <c r="S452" i="14"/>
  <c r="S484" i="14"/>
  <c r="S516" i="14"/>
  <c r="S804" i="14"/>
  <c r="S619" i="14"/>
  <c r="S583" i="14"/>
  <c r="S747" i="14"/>
  <c r="S231" i="14"/>
  <c r="S335" i="14"/>
  <c r="S555" i="14"/>
  <c r="S867" i="14"/>
  <c r="S975" i="14"/>
  <c r="S519" i="14"/>
  <c r="S623" i="14"/>
  <c r="S931" i="14"/>
  <c r="S1035" i="14"/>
  <c r="S944" i="14"/>
  <c r="S1072" i="14"/>
  <c r="S235" i="14"/>
  <c r="S451" i="14"/>
  <c r="S551" i="14"/>
  <c r="S967" i="14"/>
  <c r="S1071" i="14"/>
  <c r="S740" i="14"/>
  <c r="S491" i="14"/>
  <c r="S903" i="14"/>
  <c r="S940" i="14"/>
  <c r="S104" i="14"/>
  <c r="S136" i="14"/>
  <c r="S168" i="14"/>
  <c r="S200" i="14"/>
  <c r="S232" i="14"/>
  <c r="S264" i="14"/>
  <c r="S296" i="14"/>
  <c r="S328" i="14"/>
  <c r="S360" i="14"/>
  <c r="S392" i="14"/>
  <c r="S424" i="14"/>
  <c r="S456" i="14"/>
  <c r="S488" i="14"/>
  <c r="S844" i="14"/>
  <c r="S109" i="14"/>
  <c r="S141" i="14"/>
  <c r="S173" i="14"/>
  <c r="S205" i="14"/>
  <c r="S237" i="14"/>
  <c r="S269" i="14"/>
  <c r="S301" i="14"/>
  <c r="S333" i="14"/>
  <c r="S365" i="14"/>
  <c r="S397" i="14"/>
  <c r="S429" i="14"/>
  <c r="S461" i="14"/>
  <c r="S493" i="14"/>
  <c r="S525" i="14"/>
  <c r="S557" i="14"/>
  <c r="S589" i="14"/>
  <c r="S621" i="14"/>
  <c r="S653" i="14"/>
  <c r="S685" i="14"/>
  <c r="S717" i="14"/>
  <c r="S749" i="14"/>
  <c r="S781" i="14"/>
  <c r="S813" i="14"/>
  <c r="S399" i="14"/>
  <c r="S1103" i="14"/>
  <c r="S207" i="14"/>
  <c r="S191" i="14"/>
  <c r="S655" i="14"/>
  <c r="S199" i="14"/>
  <c r="S439" i="14"/>
  <c r="S575" i="14"/>
  <c r="S187" i="14"/>
  <c r="S311" i="14"/>
  <c r="S419" i="14"/>
  <c r="S631" i="14"/>
  <c r="S735" i="14"/>
  <c r="S1051" i="14"/>
  <c r="S183" i="14"/>
  <c r="S291" i="14"/>
  <c r="S387" i="14"/>
  <c r="S599" i="14"/>
  <c r="S703" i="14"/>
  <c r="S568" i="14"/>
  <c r="S195" i="14"/>
  <c r="S315" i="14"/>
  <c r="S731" i="14"/>
  <c r="S835" i="14"/>
  <c r="S600" i="14"/>
  <c r="S708" i="14"/>
  <c r="S828" i="14"/>
  <c r="S952" i="14"/>
  <c r="S1080" i="14"/>
  <c r="S799" i="14"/>
  <c r="S1024" i="14"/>
  <c r="S128" i="14"/>
  <c r="S160" i="14"/>
  <c r="S192" i="14"/>
  <c r="S224" i="14"/>
  <c r="S256" i="14"/>
  <c r="S288" i="14"/>
  <c r="S320" i="14"/>
  <c r="S352" i="14"/>
  <c r="S384" i="14"/>
  <c r="S416" i="14"/>
  <c r="S448" i="14"/>
  <c r="S480" i="14"/>
  <c r="S512" i="14"/>
  <c r="S133" i="14"/>
  <c r="S165" i="14"/>
  <c r="S197" i="14"/>
  <c r="S229" i="14"/>
  <c r="S261" i="14"/>
  <c r="S293" i="14"/>
  <c r="S325" i="14"/>
  <c r="S357" i="14"/>
  <c r="S389" i="14"/>
  <c r="S421" i="14"/>
  <c r="S453" i="14"/>
  <c r="S485" i="14"/>
  <c r="S517" i="14"/>
  <c r="S549" i="14"/>
  <c r="S581" i="14"/>
  <c r="S613" i="14"/>
  <c r="S645" i="14"/>
  <c r="S677" i="14"/>
  <c r="S709" i="14"/>
  <c r="S741" i="14"/>
  <c r="S773" i="14"/>
  <c r="S805" i="14"/>
  <c r="S837" i="14"/>
  <c r="S247" i="14"/>
  <c r="S475" i="14"/>
  <c r="S695" i="14"/>
  <c r="S803" i="14"/>
  <c r="S1015" i="14"/>
  <c r="S251" i="14"/>
  <c r="S355" i="14"/>
  <c r="S663" i="14"/>
  <c r="S767" i="14"/>
  <c r="S640" i="14"/>
  <c r="S864" i="14"/>
  <c r="S988" i="14"/>
  <c r="S383" i="14"/>
  <c r="S483" i="14"/>
  <c r="S795" i="14"/>
  <c r="S899" i="14"/>
  <c r="S668" i="14"/>
  <c r="S1055" i="14"/>
  <c r="S1088" i="14"/>
  <c r="S892" i="14"/>
  <c r="S632" i="14"/>
  <c r="S379" i="14"/>
  <c r="S283" i="14"/>
  <c r="S503" i="14"/>
  <c r="S607" i="14"/>
  <c r="S919" i="14"/>
  <c r="S1027" i="14"/>
  <c r="S571" i="14"/>
  <c r="S675" i="14"/>
  <c r="S983" i="14"/>
  <c r="S1087" i="14"/>
  <c r="S540" i="14"/>
  <c r="S768" i="14"/>
  <c r="S287" i="14"/>
  <c r="S603" i="14"/>
  <c r="S707" i="14"/>
  <c r="S1019" i="14"/>
  <c r="S572" i="14"/>
  <c r="S796" i="14"/>
  <c r="S1048" i="14"/>
  <c r="S699" i="14"/>
  <c r="S152" i="14"/>
  <c r="S184" i="14"/>
  <c r="S216" i="14"/>
  <c r="S248" i="14"/>
  <c r="S280" i="14"/>
  <c r="S312" i="14"/>
  <c r="S344" i="14"/>
  <c r="S376" i="14"/>
  <c r="S408" i="14"/>
  <c r="S440" i="14"/>
  <c r="S472" i="14"/>
  <c r="S504" i="14"/>
  <c r="S672" i="14"/>
  <c r="S1020" i="14"/>
  <c r="S255" i="14"/>
  <c r="S471" i="14"/>
  <c r="S887" i="14"/>
  <c r="S407" i="14"/>
  <c r="S515" i="14"/>
  <c r="S827" i="14"/>
  <c r="S279" i="14"/>
  <c r="S375" i="14"/>
  <c r="S479" i="14"/>
  <c r="S791" i="14"/>
  <c r="S895" i="14"/>
  <c r="S995" i="14"/>
  <c r="S664" i="14"/>
  <c r="S896" i="14"/>
  <c r="S1016" i="14"/>
  <c r="S411" i="14"/>
  <c r="S511" i="14"/>
  <c r="S823" i="14"/>
  <c r="S927" i="14"/>
  <c r="S696" i="14"/>
  <c r="S932" i="14"/>
  <c r="S1060" i="14"/>
  <c r="S347" i="14"/>
  <c r="S124" i="14"/>
  <c r="S156" i="14"/>
  <c r="S188" i="14"/>
  <c r="S220" i="14"/>
  <c r="S252" i="14"/>
  <c r="S284" i="14"/>
  <c r="S316" i="14"/>
  <c r="S348" i="14"/>
  <c r="S380" i="14"/>
  <c r="S412" i="14"/>
  <c r="S444" i="14"/>
  <c r="S476" i="14"/>
  <c r="S508" i="14"/>
  <c r="S129" i="14"/>
  <c r="S161" i="14"/>
  <c r="S193" i="14"/>
  <c r="S225" i="14"/>
  <c r="S257" i="14"/>
  <c r="S289" i="14"/>
  <c r="S321" i="14"/>
  <c r="S353" i="14"/>
  <c r="S385" i="14"/>
  <c r="S417" i="14"/>
  <c r="S449" i="14"/>
  <c r="S481" i="14"/>
  <c r="S513" i="14"/>
  <c r="S545" i="14"/>
  <c r="S577" i="14"/>
  <c r="S609" i="14"/>
  <c r="S641" i="14"/>
  <c r="S673" i="14"/>
  <c r="S705" i="14"/>
  <c r="S737" i="14"/>
  <c r="S769" i="14"/>
  <c r="S801" i="14"/>
  <c r="S833" i="14"/>
  <c r="S3" i="7" l="1"/>
  <c r="L2" i="7" l="1"/>
  <c r="T3" i="7"/>
  <c r="S4" i="7" s="1"/>
  <c r="G2" i="7" l="1"/>
  <c r="T4" i="7"/>
  <c r="S5" i="7" s="1"/>
  <c r="L3" i="7"/>
  <c r="G3" i="7" s="1"/>
  <c r="D123" i="27" l="1"/>
  <c r="D131" i="27"/>
  <c r="D139" i="27"/>
  <c r="D147" i="27"/>
  <c r="D155" i="27"/>
  <c r="D163" i="27"/>
  <c r="D171" i="27"/>
  <c r="D179" i="27"/>
  <c r="D187" i="27"/>
  <c r="D195" i="27"/>
  <c r="D203" i="27"/>
  <c r="D124" i="27"/>
  <c r="D132" i="27"/>
  <c r="D140" i="27"/>
  <c r="D148" i="27"/>
  <c r="D156" i="27"/>
  <c r="D164" i="27"/>
  <c r="D172" i="27"/>
  <c r="D180" i="27"/>
  <c r="D188" i="27"/>
  <c r="D196" i="27"/>
  <c r="D204" i="27"/>
  <c r="D125" i="27"/>
  <c r="D133" i="27"/>
  <c r="D141" i="27"/>
  <c r="D149" i="27"/>
  <c r="D157" i="27"/>
  <c r="D165" i="27"/>
  <c r="D173" i="27"/>
  <c r="D181" i="27"/>
  <c r="D189" i="27"/>
  <c r="D197" i="27"/>
  <c r="D126" i="27"/>
  <c r="D134" i="27"/>
  <c r="D142" i="27"/>
  <c r="D150" i="27"/>
  <c r="D158" i="27"/>
  <c r="D166" i="27"/>
  <c r="D174" i="27"/>
  <c r="D182" i="27"/>
  <c r="D190" i="27"/>
  <c r="D198" i="27"/>
  <c r="D127" i="27"/>
  <c r="D135" i="27"/>
  <c r="D143" i="27"/>
  <c r="D151" i="27"/>
  <c r="D159" i="27"/>
  <c r="D167" i="27"/>
  <c r="D175" i="27"/>
  <c r="D183" i="27"/>
  <c r="D191" i="27"/>
  <c r="D199" i="27"/>
  <c r="D128" i="27"/>
  <c r="D136" i="27"/>
  <c r="D144" i="27"/>
  <c r="D152" i="27"/>
  <c r="D160" i="27"/>
  <c r="D168" i="27"/>
  <c r="D176" i="27"/>
  <c r="D184" i="27"/>
  <c r="D192" i="27"/>
  <c r="D200" i="27"/>
  <c r="D121" i="27"/>
  <c r="D129" i="27"/>
  <c r="D137" i="27"/>
  <c r="D145" i="27"/>
  <c r="D153" i="27"/>
  <c r="D161" i="27"/>
  <c r="D169" i="27"/>
  <c r="D177" i="27"/>
  <c r="D185" i="27"/>
  <c r="D193" i="27"/>
  <c r="D201" i="27"/>
  <c r="D122" i="27"/>
  <c r="D130" i="27"/>
  <c r="D138" i="27"/>
  <c r="D146" i="27"/>
  <c r="D154" i="27"/>
  <c r="D162" i="27"/>
  <c r="D170" i="27"/>
  <c r="D178" i="27"/>
  <c r="D186" i="27"/>
  <c r="D194" i="27"/>
  <c r="D202" i="27"/>
  <c r="I2" i="7"/>
  <c r="T5" i="7"/>
  <c r="S6" i="7" s="1"/>
  <c r="L5" i="7"/>
  <c r="G5" i="7" s="1"/>
  <c r="D115" i="27" s="1"/>
  <c r="H2" i="7"/>
  <c r="L4" i="7"/>
  <c r="G4" i="7" s="1"/>
  <c r="I3" i="7"/>
  <c r="C16" i="30" l="1"/>
  <c r="O14" i="30" s="1"/>
  <c r="G2" i="27"/>
  <c r="T6" i="7"/>
  <c r="S7" i="7" s="1"/>
  <c r="L7" i="7" s="1"/>
  <c r="D2" i="27"/>
  <c r="D58" i="27"/>
  <c r="D97" i="27"/>
  <c r="D64" i="27"/>
  <c r="D95" i="27"/>
  <c r="D62" i="27"/>
  <c r="D93" i="27"/>
  <c r="D68" i="27"/>
  <c r="D107" i="27"/>
  <c r="D43" i="27"/>
  <c r="D17" i="27"/>
  <c r="D31" i="27"/>
  <c r="D6" i="27"/>
  <c r="D20" i="27"/>
  <c r="D114" i="27"/>
  <c r="D50" i="27"/>
  <c r="D89" i="27"/>
  <c r="D120" i="27"/>
  <c r="D56" i="27"/>
  <c r="D87" i="27"/>
  <c r="D118" i="27"/>
  <c r="D54" i="27"/>
  <c r="D85" i="27"/>
  <c r="D60" i="27"/>
  <c r="D99" i="27"/>
  <c r="D34" i="27"/>
  <c r="D9" i="27"/>
  <c r="D23" i="27"/>
  <c r="D37" i="27"/>
  <c r="D12" i="27"/>
  <c r="D106" i="27"/>
  <c r="D42" i="27"/>
  <c r="D81" i="27"/>
  <c r="D112" i="27"/>
  <c r="D48" i="27"/>
  <c r="D79" i="27"/>
  <c r="D110" i="27"/>
  <c r="D46" i="27"/>
  <c r="D77" i="27"/>
  <c r="D116" i="27"/>
  <c r="D52" i="27"/>
  <c r="D91" i="27"/>
  <c r="D26" i="27"/>
  <c r="D40" i="27"/>
  <c r="D15" i="27"/>
  <c r="D29" i="27"/>
  <c r="D4" i="27"/>
  <c r="D98" i="27"/>
  <c r="D73" i="27"/>
  <c r="D104" i="27"/>
  <c r="D71" i="27"/>
  <c r="D102" i="27"/>
  <c r="D69" i="27"/>
  <c r="D108" i="27"/>
  <c r="D44" i="27"/>
  <c r="D83" i="27"/>
  <c r="D18" i="27"/>
  <c r="D32" i="27"/>
  <c r="D7" i="27"/>
  <c r="D21" i="27"/>
  <c r="D35" i="27"/>
  <c r="D90" i="27"/>
  <c r="D65" i="27"/>
  <c r="D96" i="27"/>
  <c r="D63" i="27"/>
  <c r="D94" i="27"/>
  <c r="D61" i="27"/>
  <c r="D100" i="27"/>
  <c r="D75" i="27"/>
  <c r="D10" i="27"/>
  <c r="D24" i="27"/>
  <c r="D38" i="27"/>
  <c r="D13" i="27"/>
  <c r="D27" i="27"/>
  <c r="D82" i="27"/>
  <c r="D57" i="27"/>
  <c r="D88" i="27"/>
  <c r="D119" i="27"/>
  <c r="D55" i="27"/>
  <c r="D86" i="27"/>
  <c r="D117" i="27"/>
  <c r="D53" i="27"/>
  <c r="D92" i="27"/>
  <c r="D67" i="27"/>
  <c r="D41" i="27"/>
  <c r="D16" i="27"/>
  <c r="D30" i="27"/>
  <c r="D5" i="27"/>
  <c r="D19" i="27"/>
  <c r="D74" i="27"/>
  <c r="D113" i="27"/>
  <c r="D49" i="27"/>
  <c r="D80" i="27"/>
  <c r="D111" i="27"/>
  <c r="D47" i="27"/>
  <c r="D78" i="27"/>
  <c r="D109" i="27"/>
  <c r="D45" i="27"/>
  <c r="D84" i="27"/>
  <c r="D59" i="27"/>
  <c r="D33" i="27"/>
  <c r="D8" i="27"/>
  <c r="D22" i="27"/>
  <c r="D36" i="27"/>
  <c r="D11" i="27"/>
  <c r="D66" i="27"/>
  <c r="D105" i="27"/>
  <c r="D72" i="27"/>
  <c r="D103" i="27"/>
  <c r="D70" i="27"/>
  <c r="D101" i="27"/>
  <c r="D76" i="27"/>
  <c r="D51" i="27"/>
  <c r="D25" i="27"/>
  <c r="D39" i="27"/>
  <c r="D14" i="27"/>
  <c r="D28" i="27"/>
  <c r="D3" i="27"/>
  <c r="L6" i="7"/>
  <c r="G6" i="7" s="1"/>
  <c r="I4" i="7"/>
  <c r="I5" i="7"/>
  <c r="H3" i="7"/>
  <c r="H4" i="7"/>
  <c r="H5" i="7"/>
  <c r="O13" i="30" l="1"/>
  <c r="O12" i="30"/>
  <c r="T7" i="7"/>
  <c r="S8" i="7" s="1"/>
  <c r="L8" i="7" s="1"/>
  <c r="G8" i="7" s="1"/>
  <c r="I8" i="7" s="1"/>
  <c r="I2" i="27"/>
  <c r="J3" i="27"/>
  <c r="J11" i="27"/>
  <c r="J19" i="27"/>
  <c r="J27" i="27"/>
  <c r="J35" i="27"/>
  <c r="J43" i="27"/>
  <c r="J51" i="27"/>
  <c r="J59" i="27"/>
  <c r="J67" i="27"/>
  <c r="J75" i="27"/>
  <c r="J83" i="27"/>
  <c r="J91" i="27"/>
  <c r="J99" i="27"/>
  <c r="J107" i="27"/>
  <c r="J115" i="27"/>
  <c r="J123" i="27"/>
  <c r="J131" i="27"/>
  <c r="J139" i="27"/>
  <c r="J147" i="27"/>
  <c r="J155" i="27"/>
  <c r="J163" i="27"/>
  <c r="J171" i="27"/>
  <c r="J179" i="27"/>
  <c r="J187" i="27"/>
  <c r="J195" i="27"/>
  <c r="J203" i="27"/>
  <c r="J4" i="27"/>
  <c r="J12" i="27"/>
  <c r="J20" i="27"/>
  <c r="J28" i="27"/>
  <c r="J36" i="27"/>
  <c r="J44" i="27"/>
  <c r="J52" i="27"/>
  <c r="J60" i="27"/>
  <c r="J68" i="27"/>
  <c r="J76" i="27"/>
  <c r="J84" i="27"/>
  <c r="J92" i="27"/>
  <c r="J100" i="27"/>
  <c r="J108" i="27"/>
  <c r="J116" i="27"/>
  <c r="J124" i="27"/>
  <c r="J132" i="27"/>
  <c r="J140" i="27"/>
  <c r="J148" i="27"/>
  <c r="J156" i="27"/>
  <c r="J164" i="27"/>
  <c r="J172" i="27"/>
  <c r="J180" i="27"/>
  <c r="J188" i="27"/>
  <c r="J196" i="27"/>
  <c r="J204" i="27"/>
  <c r="J5" i="27"/>
  <c r="J13" i="27"/>
  <c r="J21" i="27"/>
  <c r="J29" i="27"/>
  <c r="J37" i="27"/>
  <c r="J45" i="27"/>
  <c r="J53" i="27"/>
  <c r="J61" i="27"/>
  <c r="J69" i="27"/>
  <c r="J77" i="27"/>
  <c r="J85" i="27"/>
  <c r="J93" i="27"/>
  <c r="J101" i="27"/>
  <c r="J109" i="27"/>
  <c r="J117" i="27"/>
  <c r="J125" i="27"/>
  <c r="J133" i="27"/>
  <c r="J141" i="27"/>
  <c r="J149" i="27"/>
  <c r="J157" i="27"/>
  <c r="J165" i="27"/>
  <c r="J173" i="27"/>
  <c r="J181" i="27"/>
  <c r="J189" i="27"/>
  <c r="J197" i="27"/>
  <c r="J6" i="27"/>
  <c r="J14" i="27"/>
  <c r="J22" i="27"/>
  <c r="J30" i="27"/>
  <c r="J38" i="27"/>
  <c r="J46" i="27"/>
  <c r="J54" i="27"/>
  <c r="J62" i="27"/>
  <c r="J70" i="27"/>
  <c r="J78" i="27"/>
  <c r="J86" i="27"/>
  <c r="J94" i="27"/>
  <c r="J102" i="27"/>
  <c r="J110" i="27"/>
  <c r="J118" i="27"/>
  <c r="J126" i="27"/>
  <c r="J134" i="27"/>
  <c r="J142" i="27"/>
  <c r="J150" i="27"/>
  <c r="J158" i="27"/>
  <c r="J166" i="27"/>
  <c r="J174" i="27"/>
  <c r="J182" i="27"/>
  <c r="J190" i="27"/>
  <c r="J198" i="27"/>
  <c r="J7" i="27"/>
  <c r="J15" i="27"/>
  <c r="J23" i="27"/>
  <c r="J31" i="27"/>
  <c r="J39" i="27"/>
  <c r="J47" i="27"/>
  <c r="J55" i="27"/>
  <c r="J63" i="27"/>
  <c r="J71" i="27"/>
  <c r="J79" i="27"/>
  <c r="J87" i="27"/>
  <c r="J95" i="27"/>
  <c r="J103" i="27"/>
  <c r="J111" i="27"/>
  <c r="J119" i="27"/>
  <c r="J127" i="27"/>
  <c r="J135" i="27"/>
  <c r="J143" i="27"/>
  <c r="J151" i="27"/>
  <c r="J159" i="27"/>
  <c r="J167" i="27"/>
  <c r="J175" i="27"/>
  <c r="J183" i="27"/>
  <c r="J191" i="27"/>
  <c r="J199" i="27"/>
  <c r="J8" i="27"/>
  <c r="J16" i="27"/>
  <c r="J24" i="27"/>
  <c r="J32" i="27"/>
  <c r="J40" i="27"/>
  <c r="J48" i="27"/>
  <c r="J56" i="27"/>
  <c r="J64" i="27"/>
  <c r="J72" i="27"/>
  <c r="J80" i="27"/>
  <c r="J88" i="27"/>
  <c r="J96" i="27"/>
  <c r="J104" i="27"/>
  <c r="J112" i="27"/>
  <c r="J120" i="27"/>
  <c r="J128" i="27"/>
  <c r="J136" i="27"/>
  <c r="J144" i="27"/>
  <c r="J152" i="27"/>
  <c r="J160" i="27"/>
  <c r="J168" i="27"/>
  <c r="J176" i="27"/>
  <c r="J184" i="27"/>
  <c r="J192" i="27"/>
  <c r="J200" i="27"/>
  <c r="J9" i="27"/>
  <c r="J17" i="27"/>
  <c r="J25" i="27"/>
  <c r="J33" i="27"/>
  <c r="J41" i="27"/>
  <c r="J49" i="27"/>
  <c r="J57" i="27"/>
  <c r="J65" i="27"/>
  <c r="J73" i="27"/>
  <c r="J81" i="27"/>
  <c r="J89" i="27"/>
  <c r="J97" i="27"/>
  <c r="J105" i="27"/>
  <c r="J113" i="27"/>
  <c r="J121" i="27"/>
  <c r="J129" i="27"/>
  <c r="J137" i="27"/>
  <c r="J145" i="27"/>
  <c r="J153" i="27"/>
  <c r="J161" i="27"/>
  <c r="J169" i="27"/>
  <c r="J177" i="27"/>
  <c r="J185" i="27"/>
  <c r="J193" i="27"/>
  <c r="J201" i="27"/>
  <c r="J10" i="27"/>
  <c r="J18" i="27"/>
  <c r="J26" i="27"/>
  <c r="J34" i="27"/>
  <c r="J42" i="27"/>
  <c r="J50" i="27"/>
  <c r="J58" i="27"/>
  <c r="J66" i="27"/>
  <c r="J74" i="27"/>
  <c r="J82" i="27"/>
  <c r="J90" i="27"/>
  <c r="J98" i="27"/>
  <c r="J106" i="27"/>
  <c r="J114" i="27"/>
  <c r="J122" i="27"/>
  <c r="J130" i="27"/>
  <c r="J138" i="27"/>
  <c r="J146" i="27"/>
  <c r="J154" i="27"/>
  <c r="J162" i="27"/>
  <c r="J170" i="27"/>
  <c r="J178" i="27"/>
  <c r="J186" i="27"/>
  <c r="J194" i="27"/>
  <c r="J202" i="27"/>
  <c r="J2" i="27"/>
  <c r="H6" i="7"/>
  <c r="I6" i="7"/>
  <c r="G7" i="7"/>
  <c r="I7" i="7" s="1"/>
  <c r="T8" i="7" l="1"/>
  <c r="S9" i="7" s="1"/>
  <c r="L9" i="7" s="1"/>
  <c r="G9" i="7" s="1"/>
  <c r="I9" i="7" s="1"/>
  <c r="H7" i="7"/>
  <c r="H8" i="7"/>
  <c r="T9" i="7" l="1"/>
  <c r="S10" i="7" s="1"/>
  <c r="H9" i="7"/>
  <c r="T10" i="7" l="1"/>
  <c r="S11" i="7" s="1"/>
  <c r="C15" i="30" s="1"/>
  <c r="C17" i="30" s="1"/>
  <c r="L10" i="7"/>
  <c r="O9" i="30" l="1"/>
  <c r="O26" i="30"/>
  <c r="A2" i="27"/>
  <c r="L11" i="7"/>
  <c r="G10" i="7"/>
  <c r="I10" i="7" s="1"/>
  <c r="T11" i="7"/>
  <c r="O19" i="30" l="1"/>
  <c r="I5" i="30" s="1"/>
  <c r="O17" i="30"/>
  <c r="O23" i="30"/>
  <c r="I9" i="30" s="1"/>
  <c r="O25" i="30"/>
  <c r="I11" i="30" s="1"/>
  <c r="O22" i="30"/>
  <c r="I8" i="30" s="1"/>
  <c r="O20" i="30"/>
  <c r="I6" i="30" s="1"/>
  <c r="O24" i="30"/>
  <c r="I10" i="30" s="1"/>
  <c r="O18" i="30"/>
  <c r="O21" i="30"/>
  <c r="I7" i="30" s="1"/>
  <c r="O8" i="30"/>
  <c r="O7" i="30"/>
  <c r="G11" i="7"/>
  <c r="I11" i="7" s="1"/>
  <c r="H10" i="7"/>
  <c r="I3" i="30" l="1"/>
  <c r="H3" i="30" s="1"/>
  <c r="J6" i="30"/>
  <c r="H6" i="30"/>
  <c r="H9" i="30"/>
  <c r="J9" i="30"/>
  <c r="J8" i="30"/>
  <c r="H8" i="30"/>
  <c r="J11" i="30"/>
  <c r="H11" i="30"/>
  <c r="I4" i="30"/>
  <c r="J10" i="30"/>
  <c r="H10" i="30"/>
  <c r="H7" i="30"/>
  <c r="J7" i="30"/>
  <c r="J5" i="30"/>
  <c r="H5" i="30"/>
  <c r="H11" i="7"/>
  <c r="K6" i="30" l="1"/>
  <c r="K9" i="30"/>
  <c r="J3" i="30"/>
  <c r="K3" i="30" s="1"/>
  <c r="H4" i="30"/>
  <c r="H12" i="30" s="1"/>
  <c r="J4" i="30"/>
  <c r="K4" i="30" s="1"/>
  <c r="K7" i="30"/>
  <c r="K11" i="30"/>
  <c r="K10" i="30"/>
  <c r="K8" i="30"/>
  <c r="I12" i="30"/>
  <c r="K5" i="30"/>
  <c r="C2" i="27"/>
  <c r="E2" i="27" s="1"/>
  <c r="AA2" i="14" s="1"/>
  <c r="J12" i="30" l="1"/>
  <c r="A3" i="27"/>
  <c r="C3" i="27" s="1"/>
  <c r="E3" i="27" l="1"/>
  <c r="A4" i="27" l="1"/>
  <c r="C4" i="27" s="1"/>
  <c r="AA3" i="14"/>
  <c r="E4" i="27" l="1"/>
  <c r="A5" i="27" l="1"/>
  <c r="C5" i="27" s="1"/>
  <c r="AA4" i="14"/>
  <c r="E5" i="27" l="1"/>
  <c r="A6" i="27" l="1"/>
  <c r="C6" i="27" s="1"/>
  <c r="AA5" i="14"/>
  <c r="E6" i="27" l="1"/>
  <c r="A7" i="27" s="1"/>
  <c r="C7" i="27" s="1"/>
  <c r="AA6" i="14" l="1"/>
  <c r="E7" i="27"/>
  <c r="A8" i="27" l="1"/>
  <c r="C8" i="27" s="1"/>
  <c r="AA7" i="14"/>
  <c r="E8" i="27" l="1"/>
  <c r="A9" i="27" l="1"/>
  <c r="C9" i="27" s="1"/>
  <c r="AA8" i="14"/>
  <c r="E9" i="27" l="1"/>
  <c r="A10" i="27" l="1"/>
  <c r="C10" i="27" s="1"/>
  <c r="AA9" i="14"/>
  <c r="E10" i="27" l="1"/>
  <c r="A11" i="27" l="1"/>
  <c r="C11" i="27" s="1"/>
  <c r="AA10" i="14"/>
  <c r="E11" i="27" l="1"/>
  <c r="A12" i="27" l="1"/>
  <c r="AA11" i="14"/>
  <c r="C12" i="27" l="1"/>
  <c r="E12" i="27" l="1"/>
  <c r="A13" i="27" l="1"/>
  <c r="C13" i="27" s="1"/>
  <c r="AA12" i="14"/>
  <c r="E13" i="27" l="1"/>
  <c r="A14" i="27" l="1"/>
  <c r="C14" i="27" s="1"/>
  <c r="AA13" i="14"/>
  <c r="E14" i="27" l="1"/>
  <c r="A15" i="27" l="1"/>
  <c r="AA14" i="14"/>
  <c r="C15" i="27" l="1"/>
  <c r="E15" i="27" s="1"/>
  <c r="A16" i="27" l="1"/>
  <c r="C16" i="27" s="1"/>
  <c r="AA15" i="14"/>
  <c r="E16" i="27" l="1"/>
  <c r="A17" i="27" l="1"/>
  <c r="C17" i="27" s="1"/>
  <c r="AA16" i="14"/>
  <c r="E17" i="27" l="1"/>
  <c r="A18" i="27" l="1"/>
  <c r="C18" i="27" s="1"/>
  <c r="AA17" i="14"/>
  <c r="E18" i="27" l="1"/>
  <c r="A19" i="27" l="1"/>
  <c r="C19" i="27" s="1"/>
  <c r="AA18" i="14"/>
  <c r="E19" i="27" l="1"/>
  <c r="A20" i="27" l="1"/>
  <c r="C20" i="27" s="1"/>
  <c r="AA19" i="14"/>
  <c r="E20" i="27" l="1"/>
  <c r="A21" i="27" l="1"/>
  <c r="AA20" i="14"/>
  <c r="C21" i="27" l="1"/>
  <c r="E21" i="27" s="1"/>
  <c r="A22" i="27" l="1"/>
  <c r="C22" i="27" s="1"/>
  <c r="AA21" i="14"/>
  <c r="E22" i="27" l="1"/>
  <c r="A23" i="27" l="1"/>
  <c r="C23" i="27" s="1"/>
  <c r="AA22" i="14"/>
  <c r="E23" i="27" l="1"/>
  <c r="A24" i="27" l="1"/>
  <c r="C24" i="27" s="1"/>
  <c r="AA23" i="14"/>
  <c r="E24" i="27" l="1"/>
  <c r="A25" i="27" l="1"/>
  <c r="C25" i="27" s="1"/>
  <c r="AA24" i="14"/>
  <c r="E25" i="27" l="1"/>
  <c r="A26" i="27" l="1"/>
  <c r="C26" i="27" s="1"/>
  <c r="E26" i="27" s="1"/>
  <c r="AA25" i="14"/>
  <c r="A27" i="27" l="1"/>
  <c r="AA26" i="14"/>
  <c r="C27" i="27" l="1"/>
  <c r="E27" i="27" s="1"/>
  <c r="A28" i="27" l="1"/>
  <c r="C28" i="27" s="1"/>
  <c r="AA27" i="14"/>
  <c r="E28" i="27" l="1"/>
  <c r="A29" i="27" l="1"/>
  <c r="C29" i="27" s="1"/>
  <c r="AA28" i="14"/>
  <c r="E29" i="27" l="1"/>
  <c r="A30" i="27" l="1"/>
  <c r="C30" i="27" s="1"/>
  <c r="AA29" i="14"/>
  <c r="E30" i="27" l="1"/>
  <c r="A31" i="27" l="1"/>
  <c r="C31" i="27" s="1"/>
  <c r="AA30" i="14"/>
  <c r="E31" i="27" l="1"/>
  <c r="A32" i="27" l="1"/>
  <c r="C32" i="27" s="1"/>
  <c r="AA31" i="14"/>
  <c r="E32" i="27" l="1"/>
  <c r="A33" i="27" l="1"/>
  <c r="C33" i="27" s="1"/>
  <c r="AA32" i="14"/>
  <c r="E33" i="27" l="1"/>
  <c r="A34" i="27" l="1"/>
  <c r="C34" i="27" s="1"/>
  <c r="AA33" i="14"/>
  <c r="E34" i="27" l="1"/>
  <c r="A35" i="27" l="1"/>
  <c r="C35" i="27" s="1"/>
  <c r="AA34" i="14"/>
  <c r="E35" i="27" l="1"/>
  <c r="A36" i="27" l="1"/>
  <c r="C36" i="27" s="1"/>
  <c r="AA35" i="14"/>
  <c r="E36" i="27" l="1"/>
  <c r="A37" i="27" l="1"/>
  <c r="C37" i="27" s="1"/>
  <c r="AA36" i="14"/>
  <c r="E37" i="27" l="1"/>
  <c r="A38" i="27" l="1"/>
  <c r="C38" i="27" s="1"/>
  <c r="AA37" i="14"/>
  <c r="E38" i="27" l="1"/>
  <c r="A39" i="27" l="1"/>
  <c r="C39" i="27" s="1"/>
  <c r="AA38" i="14"/>
  <c r="E39" i="27" l="1"/>
  <c r="A40" i="27" l="1"/>
  <c r="C40" i="27" s="1"/>
  <c r="AA39" i="14"/>
  <c r="E40" i="27" l="1"/>
  <c r="A41" i="27" l="1"/>
  <c r="C41" i="27" s="1"/>
  <c r="AA40" i="14"/>
  <c r="E41" i="27" l="1"/>
  <c r="A42" i="27" l="1"/>
  <c r="C42" i="27" s="1"/>
  <c r="AA41" i="14"/>
  <c r="E42" i="27" l="1"/>
  <c r="A43" i="27" l="1"/>
  <c r="C43" i="27" s="1"/>
  <c r="AA42" i="14"/>
  <c r="E43" i="27" l="1"/>
  <c r="A44" i="27" l="1"/>
  <c r="C44" i="27" s="1"/>
  <c r="AA43" i="14"/>
  <c r="E44" i="27" l="1"/>
  <c r="A45" i="27" l="1"/>
  <c r="C45" i="27" s="1"/>
  <c r="AA44" i="14"/>
  <c r="E45" i="27" l="1"/>
  <c r="A46" i="27" l="1"/>
  <c r="C46" i="27" s="1"/>
  <c r="AA45" i="14"/>
  <c r="E46" i="27" l="1"/>
  <c r="A47" i="27" l="1"/>
  <c r="C47" i="27" s="1"/>
  <c r="AA46" i="14"/>
  <c r="E47" i="27" l="1"/>
  <c r="A48" i="27" l="1"/>
  <c r="AA47" i="14"/>
  <c r="C48" i="27" l="1"/>
  <c r="E48" i="27" s="1"/>
  <c r="A49" i="27" l="1"/>
  <c r="C49" i="27" s="1"/>
  <c r="AA48" i="14"/>
  <c r="E49" i="27" l="1"/>
  <c r="A50" i="27" l="1"/>
  <c r="C50" i="27" s="1"/>
  <c r="AA49" i="14"/>
  <c r="E50" i="27" l="1"/>
  <c r="A51" i="27" l="1"/>
  <c r="C51" i="27" s="1"/>
  <c r="AA50" i="14"/>
  <c r="E51" i="27" l="1"/>
  <c r="A52" i="27" l="1"/>
  <c r="C52" i="27" s="1"/>
  <c r="AA51" i="14"/>
  <c r="E52" i="27" l="1"/>
  <c r="A53" i="27" l="1"/>
  <c r="C53" i="27" s="1"/>
  <c r="E53" i="27" s="1"/>
  <c r="AA52" i="14"/>
  <c r="A54" i="27" l="1"/>
  <c r="C54" i="27" s="1"/>
  <c r="AA53" i="14"/>
  <c r="E54" i="27" l="1"/>
  <c r="A55" i="27" l="1"/>
  <c r="AA54" i="14"/>
  <c r="C55" i="27" l="1"/>
  <c r="E55" i="27" l="1"/>
  <c r="A56" i="27" l="1"/>
  <c r="C56" i="27" s="1"/>
  <c r="AA55" i="14"/>
  <c r="E56" i="27" l="1"/>
  <c r="A57" i="27" l="1"/>
  <c r="C57" i="27" s="1"/>
  <c r="AA56" i="14"/>
  <c r="E57" i="27" l="1"/>
  <c r="A58" i="27" l="1"/>
  <c r="C58" i="27" s="1"/>
  <c r="AA57" i="14"/>
  <c r="E58" i="27" l="1"/>
  <c r="A59" i="27" l="1"/>
  <c r="AA58" i="14"/>
  <c r="C59" i="27" l="1"/>
  <c r="E59" i="27" s="1"/>
  <c r="A60" i="27" l="1"/>
  <c r="C60" i="27" s="1"/>
  <c r="AA59" i="14"/>
  <c r="E60" i="27" l="1"/>
  <c r="A61" i="27" l="1"/>
  <c r="C61" i="27" s="1"/>
  <c r="AA60" i="14"/>
  <c r="E61" i="27" l="1"/>
  <c r="A62" i="27" l="1"/>
  <c r="C62" i="27" s="1"/>
  <c r="AA61" i="14"/>
  <c r="E62" i="27" l="1"/>
  <c r="A63" i="27" l="1"/>
  <c r="AA62" i="14"/>
  <c r="C63" i="27" l="1"/>
  <c r="E63" i="27" s="1"/>
  <c r="A64" i="27" l="1"/>
  <c r="C64" i="27" s="1"/>
  <c r="AA63" i="14"/>
  <c r="E64" i="27" l="1"/>
  <c r="A65" i="27" l="1"/>
  <c r="C65" i="27" s="1"/>
  <c r="AA64" i="14"/>
  <c r="E65" i="27" l="1"/>
  <c r="A66" i="27" l="1"/>
  <c r="C66" i="27" s="1"/>
  <c r="AA65" i="14"/>
  <c r="E66" i="27" l="1"/>
  <c r="A67" i="27" l="1"/>
  <c r="AA66" i="14"/>
  <c r="C67" i="27" l="1"/>
  <c r="E67" i="27" l="1"/>
  <c r="A68" i="27" l="1"/>
  <c r="C68" i="27" s="1"/>
  <c r="AA67" i="14"/>
  <c r="E68" i="27" l="1"/>
  <c r="A69" i="27" l="1"/>
  <c r="C69" i="27" s="1"/>
  <c r="AA68" i="14"/>
  <c r="E69" i="27" l="1"/>
  <c r="A70" i="27" l="1"/>
  <c r="C70" i="27" s="1"/>
  <c r="AA69" i="14"/>
  <c r="E70" i="27" l="1"/>
  <c r="A71" i="27" l="1"/>
  <c r="C71" i="27" s="1"/>
  <c r="AA70" i="14"/>
  <c r="E71" i="27" l="1"/>
  <c r="A72" i="27" l="1"/>
  <c r="AA71" i="14"/>
  <c r="C72" i="27" l="1"/>
  <c r="E72" i="27" s="1"/>
  <c r="A73" i="27" l="1"/>
  <c r="AA72" i="14"/>
  <c r="C73" i="27" l="1"/>
  <c r="E73" i="27" l="1"/>
  <c r="A74" i="27" l="1"/>
  <c r="C74" i="27" s="1"/>
  <c r="AA73" i="14"/>
  <c r="E74" i="27" l="1"/>
  <c r="A75" i="27" l="1"/>
  <c r="C75" i="27" s="1"/>
  <c r="AA74" i="14"/>
  <c r="E75" i="27" l="1"/>
  <c r="A76" i="27" l="1"/>
  <c r="C76" i="27" s="1"/>
  <c r="AA75" i="14"/>
  <c r="E76" i="27" l="1"/>
  <c r="A77" i="27" l="1"/>
  <c r="C77" i="27" s="1"/>
  <c r="AA76" i="14"/>
  <c r="E77" i="27" l="1"/>
  <c r="A78" i="27" l="1"/>
  <c r="C78" i="27" s="1"/>
  <c r="AA77" i="14"/>
  <c r="E78" i="27" l="1"/>
  <c r="A79" i="27" l="1"/>
  <c r="AA78" i="14"/>
  <c r="C79" i="27" l="1"/>
  <c r="E79" i="27" l="1"/>
  <c r="A80" i="27" l="1"/>
  <c r="C80" i="27" s="1"/>
  <c r="AA79" i="14"/>
  <c r="E80" i="27" l="1"/>
  <c r="A81" i="27" l="1"/>
  <c r="C81" i="27" s="1"/>
  <c r="AA80" i="14"/>
  <c r="E81" i="27" l="1"/>
  <c r="A82" i="27" l="1"/>
  <c r="AA81" i="14"/>
  <c r="C82" i="27" l="1"/>
  <c r="E82" i="27" l="1"/>
  <c r="A83" i="27" l="1"/>
  <c r="C83" i="27" s="1"/>
  <c r="AA82" i="14"/>
  <c r="E83" i="27" l="1"/>
  <c r="A84" i="27" l="1"/>
  <c r="C84" i="27" s="1"/>
  <c r="AA83" i="14"/>
  <c r="E84" i="27" l="1"/>
  <c r="A85" i="27" l="1"/>
  <c r="C85" i="27" s="1"/>
  <c r="AA84" i="14"/>
  <c r="E85" i="27" l="1"/>
  <c r="A86" i="27" l="1"/>
  <c r="AA85" i="14"/>
  <c r="C86" i="27" l="1"/>
  <c r="E86" i="27" l="1"/>
  <c r="A87" i="27" l="1"/>
  <c r="C87" i="27" s="1"/>
  <c r="AA86" i="14"/>
  <c r="E87" i="27" l="1"/>
  <c r="A88" i="27" l="1"/>
  <c r="C88" i="27" s="1"/>
  <c r="AA87" i="14"/>
  <c r="E88" i="27" l="1"/>
  <c r="A89" i="27" l="1"/>
  <c r="C89" i="27" s="1"/>
  <c r="AA88" i="14"/>
  <c r="E89" i="27" l="1"/>
  <c r="A90" i="27" l="1"/>
  <c r="C90" i="27" s="1"/>
  <c r="AA89" i="14"/>
  <c r="E90" i="27" l="1"/>
  <c r="A91" i="27" l="1"/>
  <c r="C91" i="27" s="1"/>
  <c r="AA90" i="14"/>
  <c r="E91" i="27" l="1"/>
  <c r="A92" i="27" l="1"/>
  <c r="C92" i="27" s="1"/>
  <c r="AA91" i="14"/>
  <c r="E92" i="27" l="1"/>
  <c r="A93" i="27" l="1"/>
  <c r="C93" i="27" s="1"/>
  <c r="AA92" i="14"/>
  <c r="E93" i="27" l="1"/>
  <c r="A94" i="27" l="1"/>
  <c r="C94" i="27" s="1"/>
  <c r="AA93" i="14"/>
  <c r="E94" i="27" l="1"/>
  <c r="A95" i="27" l="1"/>
  <c r="C95" i="27" s="1"/>
  <c r="AA94" i="14"/>
  <c r="E95" i="27" l="1"/>
  <c r="A96" i="27" l="1"/>
  <c r="C96" i="27" s="1"/>
  <c r="AA95" i="14"/>
  <c r="E96" i="27" l="1"/>
  <c r="A97" i="27" l="1"/>
  <c r="C97" i="27" s="1"/>
  <c r="AA96" i="14"/>
  <c r="E97" i="27" l="1"/>
  <c r="A98" i="27" l="1"/>
  <c r="C98" i="27" s="1"/>
  <c r="AA97" i="14"/>
  <c r="E98" i="27" l="1"/>
  <c r="A99" i="27" l="1"/>
  <c r="C99" i="27" s="1"/>
  <c r="AA98" i="14"/>
  <c r="E99" i="27" l="1"/>
  <c r="A100" i="27" l="1"/>
  <c r="C100" i="27" s="1"/>
  <c r="AA99" i="14"/>
  <c r="E100" i="27" l="1"/>
  <c r="A101" i="27" l="1"/>
  <c r="C101" i="27" s="1"/>
  <c r="AA100" i="14"/>
  <c r="E101" i="27" l="1"/>
  <c r="A102" i="27" l="1"/>
  <c r="C102" i="27" s="1"/>
  <c r="AA101" i="14"/>
  <c r="E102" i="27" l="1"/>
  <c r="A103" i="27" l="1"/>
  <c r="C103" i="27" s="1"/>
  <c r="AA102" i="14"/>
  <c r="E103" i="27" l="1"/>
  <c r="A104" i="27" l="1"/>
  <c r="C104" i="27" s="1"/>
  <c r="AA103" i="14"/>
  <c r="E104" i="27" l="1"/>
  <c r="A105" i="27" l="1"/>
  <c r="AA104" i="14"/>
  <c r="C105" i="27" l="1"/>
  <c r="E105" i="27" l="1"/>
  <c r="A106" i="27" l="1"/>
  <c r="C106" i="27" s="1"/>
  <c r="AA105" i="14"/>
  <c r="E106" i="27" l="1"/>
  <c r="A107" i="27" l="1"/>
  <c r="C107" i="27" s="1"/>
  <c r="AA106" i="14"/>
  <c r="E107" i="27" l="1"/>
  <c r="A108" i="27" l="1"/>
  <c r="C108" i="27" s="1"/>
  <c r="AA107" i="14"/>
  <c r="E108" i="27" l="1"/>
  <c r="A109" i="27" l="1"/>
  <c r="C109" i="27" s="1"/>
  <c r="AA108" i="14"/>
  <c r="E109" i="27" l="1"/>
  <c r="A110" i="27" l="1"/>
  <c r="C110" i="27" s="1"/>
  <c r="AA109" i="14"/>
  <c r="E110" i="27" l="1"/>
  <c r="A111" i="27" l="1"/>
  <c r="C111" i="27" s="1"/>
  <c r="AA110" i="14"/>
  <c r="E111" i="27" l="1"/>
  <c r="A112" i="27" l="1"/>
  <c r="C112" i="27" s="1"/>
  <c r="AA111" i="14"/>
  <c r="E112" i="27" l="1"/>
  <c r="A113" i="27" l="1"/>
  <c r="C113" i="27" s="1"/>
  <c r="AA112" i="14"/>
  <c r="E113" i="27" l="1"/>
  <c r="A114" i="27" l="1"/>
  <c r="C114" i="27" s="1"/>
  <c r="E114" i="27" s="1"/>
  <c r="AA113" i="14"/>
  <c r="A115" i="27" l="1"/>
  <c r="C115" i="27" s="1"/>
  <c r="AA114" i="14"/>
  <c r="E115" i="27" l="1"/>
  <c r="A116" i="27" l="1"/>
  <c r="C116" i="27" s="1"/>
  <c r="AA115" i="14"/>
  <c r="E116" i="27" l="1"/>
  <c r="A117" i="27" l="1"/>
  <c r="C117" i="27" s="1"/>
  <c r="AA116" i="14"/>
  <c r="E117" i="27" l="1"/>
  <c r="A118" i="27" l="1"/>
  <c r="C118" i="27" s="1"/>
  <c r="AA117" i="14"/>
  <c r="E118" i="27" l="1"/>
  <c r="A119" i="27" l="1"/>
  <c r="C119" i="27" s="1"/>
  <c r="AA118" i="14"/>
  <c r="E119" i="27" l="1"/>
  <c r="A120" i="27" l="1"/>
  <c r="C120" i="27" s="1"/>
  <c r="AA119" i="14"/>
  <c r="E120" i="27" l="1"/>
  <c r="A121" i="27" l="1"/>
  <c r="C121" i="27" s="1"/>
  <c r="AA120" i="14"/>
  <c r="E121" i="27" l="1"/>
  <c r="A122" i="27" l="1"/>
  <c r="AA121" i="14"/>
  <c r="C122" i="27" l="1"/>
  <c r="E122" i="27" l="1"/>
  <c r="A123" i="27" l="1"/>
  <c r="AA122" i="14"/>
  <c r="C123" i="27" l="1"/>
  <c r="E123" i="27" l="1"/>
  <c r="A124" i="27" l="1"/>
  <c r="C124" i="27" s="1"/>
  <c r="AA123" i="14"/>
  <c r="E124" i="27" l="1"/>
  <c r="A125" i="27" l="1"/>
  <c r="C125" i="27" s="1"/>
  <c r="AA124" i="14"/>
  <c r="E125" i="27" l="1"/>
  <c r="A126" i="27" l="1"/>
  <c r="C126" i="27" s="1"/>
  <c r="AA125" i="14"/>
  <c r="E126" i="27" l="1"/>
  <c r="A127" i="27" l="1"/>
  <c r="C127" i="27" s="1"/>
  <c r="AA126" i="14"/>
  <c r="E127" i="27" l="1"/>
  <c r="A128" i="27" l="1"/>
  <c r="C128" i="27" s="1"/>
  <c r="AA127" i="14"/>
  <c r="E128" i="27" l="1"/>
  <c r="A129" i="27" l="1"/>
  <c r="AA128" i="14"/>
  <c r="C129" i="27" l="1"/>
  <c r="E129" i="27" l="1"/>
  <c r="A130" i="27" l="1"/>
  <c r="C130" i="27" s="1"/>
  <c r="AA129" i="14"/>
  <c r="E130" i="27" l="1"/>
  <c r="A131" i="27" l="1"/>
  <c r="C131" i="27" s="1"/>
  <c r="AA130" i="14"/>
  <c r="E131" i="27" l="1"/>
  <c r="A132" i="27" l="1"/>
  <c r="C132" i="27" s="1"/>
  <c r="AA131" i="14"/>
  <c r="E132" i="27" l="1"/>
  <c r="A133" i="27" l="1"/>
  <c r="C133" i="27" s="1"/>
  <c r="AA132" i="14"/>
  <c r="E133" i="27" l="1"/>
  <c r="A134" i="27" l="1"/>
  <c r="C134" i="27" s="1"/>
  <c r="AA133" i="14"/>
  <c r="E134" i="27" l="1"/>
  <c r="A135" i="27" l="1"/>
  <c r="AA134" i="14"/>
  <c r="C135" i="27" l="1"/>
  <c r="E135" i="27" l="1"/>
  <c r="A136" i="27" l="1"/>
  <c r="C136" i="27" s="1"/>
  <c r="AA135" i="14"/>
  <c r="E136" i="27" l="1"/>
  <c r="A137" i="27" l="1"/>
  <c r="C137" i="27" s="1"/>
  <c r="AA136" i="14"/>
  <c r="E137" i="27" l="1"/>
  <c r="A138" i="27" l="1"/>
  <c r="AA137" i="14"/>
  <c r="C138" i="27" l="1"/>
  <c r="E138" i="27" l="1"/>
  <c r="A139" i="27" l="1"/>
  <c r="AA138" i="14"/>
  <c r="C139" i="27" l="1"/>
  <c r="E139" i="27" s="1"/>
  <c r="A140" i="27" l="1"/>
  <c r="C140" i="27" s="1"/>
  <c r="AA139" i="14"/>
  <c r="E140" i="27" l="1"/>
  <c r="A141" i="27" l="1"/>
  <c r="C141" i="27" s="1"/>
  <c r="AA140" i="14"/>
  <c r="E141" i="27" l="1"/>
  <c r="A142" i="27" l="1"/>
  <c r="C142" i="27" s="1"/>
  <c r="AA141" i="14"/>
  <c r="E142" i="27" l="1"/>
  <c r="A143" i="27" l="1"/>
  <c r="C143" i="27" s="1"/>
  <c r="AA142" i="14"/>
  <c r="E143" i="27" l="1"/>
  <c r="A144" i="27" l="1"/>
  <c r="C144" i="27" s="1"/>
  <c r="AA143" i="14"/>
  <c r="E144" i="27" l="1"/>
  <c r="A145" i="27" l="1"/>
  <c r="C145" i="27" s="1"/>
  <c r="AA144" i="14"/>
  <c r="E145" i="27" l="1"/>
  <c r="A146" i="27" l="1"/>
  <c r="AA145" i="14"/>
  <c r="C146" i="27" l="1"/>
  <c r="E146" i="27" l="1"/>
  <c r="A147" i="27" l="1"/>
  <c r="C147" i="27" s="1"/>
  <c r="AA146" i="14"/>
  <c r="E147" i="27" l="1"/>
  <c r="A148" i="27" l="1"/>
  <c r="C148" i="27" s="1"/>
  <c r="AA147" i="14"/>
  <c r="E148" i="27" l="1"/>
  <c r="A149" i="27" l="1"/>
  <c r="C149" i="27" s="1"/>
  <c r="AA148" i="14"/>
  <c r="E149" i="27" l="1"/>
  <c r="A150" i="27" l="1"/>
  <c r="C150" i="27" s="1"/>
  <c r="AA149" i="14"/>
  <c r="E150" i="27" l="1"/>
  <c r="A151" i="27" l="1"/>
  <c r="C151" i="27" s="1"/>
  <c r="AA150" i="14"/>
  <c r="E151" i="27" l="1"/>
  <c r="A152" i="27" l="1"/>
  <c r="C152" i="27" s="1"/>
  <c r="AA151" i="14"/>
  <c r="E152" i="27" l="1"/>
  <c r="A153" i="27" l="1"/>
  <c r="C153" i="27" s="1"/>
  <c r="AA152" i="14"/>
  <c r="E153" i="27" l="1"/>
  <c r="A154" i="27" l="1"/>
  <c r="C154" i="27" s="1"/>
  <c r="AA153" i="14"/>
  <c r="E154" i="27" l="1"/>
  <c r="A155" i="27" l="1"/>
  <c r="C155" i="27" s="1"/>
  <c r="AA154" i="14"/>
  <c r="E155" i="27" l="1"/>
  <c r="A156" i="27" l="1"/>
  <c r="C156" i="27" s="1"/>
  <c r="AA155" i="14"/>
  <c r="E156" i="27" l="1"/>
  <c r="A157" i="27" l="1"/>
  <c r="AA156" i="14"/>
  <c r="C157" i="27" l="1"/>
  <c r="E157" i="27" l="1"/>
  <c r="A158" i="27" l="1"/>
  <c r="AA157" i="14"/>
  <c r="C158" i="27" l="1"/>
  <c r="E158" i="27" l="1"/>
  <c r="A159" i="27" l="1"/>
  <c r="C159" i="27" s="1"/>
  <c r="AA158" i="14"/>
  <c r="E159" i="27" l="1"/>
  <c r="A160" i="27" l="1"/>
  <c r="C160" i="27" s="1"/>
  <c r="AA159" i="14"/>
  <c r="E160" i="27" l="1"/>
  <c r="A161" i="27" l="1"/>
  <c r="C161" i="27" s="1"/>
  <c r="AA160" i="14"/>
  <c r="E161" i="27" l="1"/>
  <c r="A162" i="27" l="1"/>
  <c r="C162" i="27" s="1"/>
  <c r="AA161" i="14"/>
  <c r="E162" i="27" l="1"/>
  <c r="A163" i="27" l="1"/>
  <c r="C163" i="27" s="1"/>
  <c r="AA162" i="14"/>
  <c r="E163" i="27" l="1"/>
  <c r="A164" i="27" l="1"/>
  <c r="C164" i="27" s="1"/>
  <c r="AA163" i="14"/>
  <c r="E164" i="27" l="1"/>
  <c r="A165" i="27" l="1"/>
  <c r="C165" i="27" s="1"/>
  <c r="AA164" i="14"/>
  <c r="E165" i="27" l="1"/>
  <c r="A166" i="27" l="1"/>
  <c r="AA165" i="14"/>
  <c r="C166" i="27" l="1"/>
  <c r="E166" i="27" l="1"/>
  <c r="A167" i="27" l="1"/>
  <c r="C167" i="27" s="1"/>
  <c r="AA166" i="14"/>
  <c r="E167" i="27" l="1"/>
  <c r="A168" i="27" l="1"/>
  <c r="C168" i="27" s="1"/>
  <c r="AA167" i="14"/>
  <c r="E168" i="27" l="1"/>
  <c r="A169" i="27" l="1"/>
  <c r="C169" i="27" s="1"/>
  <c r="AA168" i="14"/>
  <c r="E169" i="27" l="1"/>
  <c r="A170" i="27" l="1"/>
  <c r="C170" i="27" s="1"/>
  <c r="AA169" i="14"/>
  <c r="E170" i="27" l="1"/>
  <c r="A171" i="27" l="1"/>
  <c r="C171" i="27" s="1"/>
  <c r="AA170" i="14"/>
  <c r="E171" i="27" l="1"/>
  <c r="A172" i="27" l="1"/>
  <c r="C172" i="27" s="1"/>
  <c r="AA171" i="14"/>
  <c r="E172" i="27" l="1"/>
  <c r="A173" i="27" l="1"/>
  <c r="AA172" i="14"/>
  <c r="C173" i="27" l="1"/>
  <c r="E173" i="27" l="1"/>
  <c r="A174" i="27" l="1"/>
  <c r="C174" i="27" s="1"/>
  <c r="AA173" i="14"/>
  <c r="E174" i="27" l="1"/>
  <c r="A175" i="27" l="1"/>
  <c r="C175" i="27" s="1"/>
  <c r="AA174" i="14"/>
  <c r="E175" i="27" l="1"/>
  <c r="A176" i="27" l="1"/>
  <c r="AA175" i="14"/>
  <c r="C176" i="27" l="1"/>
  <c r="E176" i="27" l="1"/>
  <c r="A177" i="27" l="1"/>
  <c r="C177" i="27" s="1"/>
  <c r="AA176" i="14"/>
  <c r="E177" i="27" l="1"/>
  <c r="A178" i="27" l="1"/>
  <c r="C178" i="27" s="1"/>
  <c r="AA177" i="14"/>
  <c r="E178" i="27" l="1"/>
  <c r="A179" i="27" l="1"/>
  <c r="AA178" i="14"/>
  <c r="C179" i="27" l="1"/>
  <c r="E179" i="27" l="1"/>
  <c r="A180" i="27" l="1"/>
  <c r="C180" i="27" s="1"/>
  <c r="AA179" i="14"/>
  <c r="E180" i="27" l="1"/>
  <c r="A181" i="27" l="1"/>
  <c r="C181" i="27" s="1"/>
  <c r="AA180" i="14"/>
  <c r="E181" i="27" l="1"/>
  <c r="A182" i="27" l="1"/>
  <c r="C182" i="27" s="1"/>
  <c r="AA181" i="14"/>
  <c r="E182" i="27" l="1"/>
  <c r="A183" i="27" l="1"/>
  <c r="C183" i="27" s="1"/>
  <c r="AA182" i="14"/>
  <c r="E183" i="27" l="1"/>
  <c r="A184" i="27" l="1"/>
  <c r="C184" i="27" s="1"/>
  <c r="AA183" i="14"/>
  <c r="E184" i="27" l="1"/>
  <c r="A185" i="27" l="1"/>
  <c r="C185" i="27" s="1"/>
  <c r="AA184" i="14"/>
  <c r="E185" i="27" l="1"/>
  <c r="A186" i="27" l="1"/>
  <c r="C186" i="27" s="1"/>
  <c r="AA185" i="14"/>
  <c r="E186" i="27" l="1"/>
  <c r="A187" i="27" l="1"/>
  <c r="C187" i="27" s="1"/>
  <c r="AA186" i="14"/>
  <c r="E187" i="27" l="1"/>
  <c r="A188" i="27" l="1"/>
  <c r="C188" i="27" s="1"/>
  <c r="AA187" i="14"/>
  <c r="E188" i="27" l="1"/>
  <c r="A189" i="27" l="1"/>
  <c r="C189" i="27" s="1"/>
  <c r="AA188" i="14"/>
  <c r="E189" i="27" l="1"/>
  <c r="A190" i="27" l="1"/>
  <c r="C190" i="27" s="1"/>
  <c r="AA189" i="14"/>
  <c r="E190" i="27" l="1"/>
  <c r="A191" i="27" l="1"/>
  <c r="AA190" i="14"/>
  <c r="C191" i="27" l="1"/>
  <c r="E191" i="27" l="1"/>
  <c r="A192" i="27" l="1"/>
  <c r="C192" i="27" s="1"/>
  <c r="AA191" i="14"/>
  <c r="E192" i="27" l="1"/>
  <c r="A193" i="27" l="1"/>
  <c r="C193" i="27" s="1"/>
  <c r="AA192" i="14"/>
  <c r="E193" i="27" l="1"/>
  <c r="A194" i="27" l="1"/>
  <c r="C194" i="27" s="1"/>
  <c r="AA193" i="14"/>
  <c r="E194" i="27" l="1"/>
  <c r="A195" i="27" l="1"/>
  <c r="AA194" i="14"/>
  <c r="C195" i="27" l="1"/>
  <c r="E195" i="27" l="1"/>
  <c r="A196" i="27" l="1"/>
  <c r="C196" i="27" s="1"/>
  <c r="AA195" i="14"/>
  <c r="E196" i="27" l="1"/>
  <c r="A197" i="27" l="1"/>
  <c r="C197" i="27" s="1"/>
  <c r="AA196" i="14"/>
  <c r="E197" i="27" l="1"/>
  <c r="A198" i="27" l="1"/>
  <c r="C198" i="27" s="1"/>
  <c r="AA197" i="14"/>
  <c r="E198" i="27" l="1"/>
  <c r="A199" i="27" l="1"/>
  <c r="C199" i="27" s="1"/>
  <c r="AA198" i="14"/>
  <c r="E199" i="27" l="1"/>
  <c r="A200" i="27" l="1"/>
  <c r="C200" i="27" s="1"/>
  <c r="AA199" i="14"/>
  <c r="E200" i="27" l="1"/>
  <c r="A201" i="27" l="1"/>
  <c r="C201" i="27" s="1"/>
  <c r="AA200" i="14"/>
  <c r="E201" i="27" l="1"/>
  <c r="A202" i="27" l="1"/>
  <c r="C202" i="27" s="1"/>
  <c r="E202" i="27" s="1"/>
  <c r="AA201" i="14"/>
  <c r="A203" i="27" l="1"/>
  <c r="C203" i="27" s="1"/>
  <c r="AA202" i="14"/>
  <c r="E203" i="27" l="1"/>
  <c r="A204" i="27" l="1"/>
  <c r="C204" i="27" s="1"/>
  <c r="AA203" i="14"/>
  <c r="E204" i="27" l="1"/>
  <c r="A205" i="27" l="1"/>
  <c r="C205" i="27" s="1"/>
  <c r="AA204" i="14"/>
  <c r="E205" i="27" l="1"/>
  <c r="A206" i="27" l="1"/>
  <c r="C206" i="27" s="1"/>
  <c r="AA205" i="14"/>
  <c r="E206" i="27" l="1"/>
  <c r="A207" i="27" l="1"/>
  <c r="C207" i="27" s="1"/>
  <c r="AA206" i="14"/>
  <c r="E207" i="27" l="1"/>
  <c r="A208" i="27" l="1"/>
  <c r="C208" i="27" s="1"/>
  <c r="AA207" i="14"/>
  <c r="E208" i="27" l="1"/>
  <c r="A209" i="27" l="1"/>
  <c r="C209" i="27" s="1"/>
  <c r="AA208" i="14"/>
  <c r="E209" i="27" l="1"/>
  <c r="A210" i="27" l="1"/>
  <c r="C210" i="27" s="1"/>
  <c r="AA209" i="14"/>
  <c r="E210" i="27" l="1"/>
  <c r="A211" i="27" l="1"/>
  <c r="C211" i="27" s="1"/>
  <c r="AA210" i="14"/>
  <c r="E211" i="27" l="1"/>
  <c r="A212" i="27" l="1"/>
  <c r="C212" i="27" s="1"/>
  <c r="AA211" i="14"/>
  <c r="E212" i="27" l="1"/>
  <c r="A213" i="27" l="1"/>
  <c r="C213" i="27" s="1"/>
  <c r="AA212" i="14"/>
  <c r="E213" i="27" l="1"/>
  <c r="A214" i="27" l="1"/>
  <c r="C214" i="27" s="1"/>
  <c r="AA213" i="14"/>
  <c r="E214" i="27" l="1"/>
  <c r="A215" i="27" l="1"/>
  <c r="C215" i="27" s="1"/>
  <c r="AA214" i="14"/>
  <c r="E215" i="27" l="1"/>
  <c r="A216" i="27" l="1"/>
  <c r="C216" i="27" s="1"/>
  <c r="AA215" i="14"/>
  <c r="E216" i="27" l="1"/>
  <c r="A217" i="27" l="1"/>
  <c r="C217" i="27" s="1"/>
  <c r="AA216" i="14"/>
  <c r="E217" i="27" l="1"/>
  <c r="A218" i="27" l="1"/>
  <c r="AA217" i="14"/>
  <c r="C218" i="27" l="1"/>
  <c r="E218" i="27" l="1"/>
  <c r="A219" i="27" l="1"/>
  <c r="AA218" i="14"/>
  <c r="C219" i="27" l="1"/>
  <c r="E219" i="27" l="1"/>
  <c r="A220" i="27" l="1"/>
  <c r="C220" i="27" s="1"/>
  <c r="AA219" i="14"/>
  <c r="E220" i="27" l="1"/>
  <c r="A221" i="27" l="1"/>
  <c r="AA220" i="14"/>
  <c r="C221" i="27" l="1"/>
  <c r="E221" i="27" s="1"/>
  <c r="A222" i="27" l="1"/>
  <c r="AA221" i="14"/>
  <c r="C222" i="27" l="1"/>
  <c r="E222" i="27" s="1"/>
  <c r="A223" i="27" l="1"/>
  <c r="C223" i="27" s="1"/>
  <c r="AA222" i="14"/>
  <c r="E223" i="27" l="1"/>
  <c r="A224" i="27" l="1"/>
  <c r="C224" i="27" s="1"/>
  <c r="AA223" i="14"/>
  <c r="E224" i="27" l="1"/>
  <c r="A225" i="27" l="1"/>
  <c r="C225" i="27" s="1"/>
  <c r="AA224" i="14"/>
  <c r="E225" i="27" l="1"/>
  <c r="A226" i="27" l="1"/>
  <c r="C226" i="27" s="1"/>
  <c r="AA225" i="14"/>
  <c r="E226" i="27" l="1"/>
  <c r="A227" i="27" l="1"/>
  <c r="C227" i="27" s="1"/>
  <c r="AA226" i="14"/>
  <c r="E227" i="27" l="1"/>
  <c r="A228" i="27" l="1"/>
  <c r="AA227" i="14"/>
  <c r="C228" i="27" l="1"/>
  <c r="E228" i="27" l="1"/>
  <c r="A229" i="27" l="1"/>
  <c r="C229" i="27" s="1"/>
  <c r="AA228" i="14"/>
  <c r="E229" i="27" l="1"/>
  <c r="A230" i="27" l="1"/>
  <c r="C230" i="27" s="1"/>
  <c r="AA229" i="14"/>
  <c r="E230" i="27" l="1"/>
  <c r="A231" i="27" l="1"/>
  <c r="AA230" i="14"/>
  <c r="C231" i="27" l="1"/>
  <c r="E231" i="27" l="1"/>
  <c r="A232" i="27" l="1"/>
  <c r="C232" i="27" s="1"/>
  <c r="AA231" i="14"/>
  <c r="E232" i="27" l="1"/>
  <c r="A233" i="27" l="1"/>
  <c r="C233" i="27" s="1"/>
  <c r="AA232" i="14"/>
  <c r="E233" i="27" l="1"/>
  <c r="A234" i="27" l="1"/>
  <c r="C234" i="27" s="1"/>
  <c r="AA233" i="14"/>
  <c r="E234" i="27" l="1"/>
  <c r="A235" i="27" l="1"/>
  <c r="C235" i="27" s="1"/>
  <c r="AA234" i="14"/>
  <c r="E235" i="27" l="1"/>
  <c r="A236" i="27" l="1"/>
  <c r="AA235" i="14"/>
  <c r="C236" i="27" l="1"/>
  <c r="E236" i="27" l="1"/>
  <c r="A237" i="27" l="1"/>
  <c r="C237" i="27" s="1"/>
  <c r="AA236" i="14"/>
  <c r="E237" i="27" l="1"/>
  <c r="A238" i="27" l="1"/>
  <c r="AA237" i="14"/>
  <c r="C238" i="27" l="1"/>
  <c r="E238" i="27" l="1"/>
  <c r="A239" i="27" l="1"/>
  <c r="C239" i="27" s="1"/>
  <c r="AA238" i="14"/>
  <c r="E239" i="27" l="1"/>
  <c r="A240" i="27" l="1"/>
  <c r="C240" i="27" s="1"/>
  <c r="AA239" i="14"/>
  <c r="E240" i="27" l="1"/>
  <c r="A241" i="27" l="1"/>
  <c r="C241" i="27" s="1"/>
  <c r="AA240" i="14"/>
  <c r="E241" i="27" l="1"/>
  <c r="A242" i="27" l="1"/>
  <c r="C242" i="27" s="1"/>
  <c r="AA241" i="14"/>
  <c r="E242" i="27" l="1"/>
  <c r="A243" i="27" l="1"/>
  <c r="AA242" i="14"/>
  <c r="C243" i="27" l="1"/>
  <c r="E243" i="27" l="1"/>
  <c r="A244" i="27" l="1"/>
  <c r="C244" i="27" s="1"/>
  <c r="AA243" i="14"/>
  <c r="E244" i="27" l="1"/>
  <c r="A245" i="27" l="1"/>
  <c r="AA244" i="14"/>
  <c r="C245" i="27" l="1"/>
  <c r="E245" i="27" s="1"/>
  <c r="A246" i="27" l="1"/>
  <c r="C246" i="27" s="1"/>
  <c r="AA245" i="14"/>
  <c r="E246" i="27" l="1"/>
  <c r="A247" i="27" l="1"/>
  <c r="C247" i="27" s="1"/>
  <c r="AA246" i="14"/>
  <c r="E247" i="27" l="1"/>
  <c r="A248" i="27" l="1"/>
  <c r="C248" i="27" s="1"/>
  <c r="AA247" i="14"/>
  <c r="E248" i="27" l="1"/>
  <c r="A249" i="27" l="1"/>
  <c r="C249" i="27" s="1"/>
  <c r="AA248" i="14"/>
  <c r="E249" i="27" l="1"/>
  <c r="A250" i="27" l="1"/>
  <c r="C250" i="27" s="1"/>
  <c r="AA249" i="14"/>
  <c r="E250" i="27" l="1"/>
  <c r="A251" i="27" l="1"/>
  <c r="C251" i="27" s="1"/>
  <c r="AA250" i="14"/>
  <c r="E251" i="27" l="1"/>
  <c r="A252" i="27" l="1"/>
  <c r="AA251" i="14"/>
  <c r="C252" i="27" l="1"/>
  <c r="E252" i="27" l="1"/>
  <c r="A253" i="27" l="1"/>
  <c r="AA252" i="14"/>
  <c r="C253" i="27" l="1"/>
  <c r="E253" i="27" l="1"/>
  <c r="A254" i="27" l="1"/>
  <c r="C254" i="27" s="1"/>
  <c r="AA253" i="14"/>
  <c r="E254" i="27" l="1"/>
  <c r="A255" i="27" l="1"/>
  <c r="C255" i="27" s="1"/>
  <c r="AA254" i="14"/>
  <c r="E255" i="27" l="1"/>
  <c r="A256" i="27" l="1"/>
  <c r="C256" i="27" s="1"/>
  <c r="AA255" i="14"/>
  <c r="E256" i="27" l="1"/>
  <c r="A257" i="27" l="1"/>
  <c r="C257" i="27" s="1"/>
  <c r="AA256" i="14"/>
  <c r="E257" i="27" l="1"/>
  <c r="A258" i="27" l="1"/>
  <c r="C258" i="27" s="1"/>
  <c r="AA257" i="14"/>
  <c r="E258" i="27" l="1"/>
  <c r="A259" i="27" l="1"/>
  <c r="C259" i="27" s="1"/>
  <c r="AA258" i="14"/>
  <c r="E259" i="27" l="1"/>
  <c r="A260" i="27" l="1"/>
  <c r="C260" i="27" s="1"/>
  <c r="AA259" i="14"/>
  <c r="E260" i="27" l="1"/>
  <c r="A261" i="27" l="1"/>
  <c r="C261" i="27" s="1"/>
  <c r="AA260" i="14"/>
  <c r="E261" i="27" l="1"/>
  <c r="A262" i="27" l="1"/>
  <c r="C262" i="27" s="1"/>
  <c r="AA261" i="14"/>
  <c r="E262" i="27" l="1"/>
  <c r="A263" i="27" l="1"/>
  <c r="C263" i="27" s="1"/>
  <c r="AA262" i="14"/>
  <c r="E263" i="27" l="1"/>
  <c r="A264" i="27" l="1"/>
  <c r="C264" i="27" s="1"/>
  <c r="AA263" i="14"/>
  <c r="E264" i="27" l="1"/>
  <c r="A265" i="27" l="1"/>
  <c r="C265" i="27" s="1"/>
  <c r="AA264" i="14"/>
  <c r="E265" i="27" l="1"/>
  <c r="A266" i="27" l="1"/>
  <c r="C266" i="27" s="1"/>
  <c r="AA265" i="14"/>
  <c r="E266" i="27" l="1"/>
  <c r="A267" i="27" l="1"/>
  <c r="C267" i="27" s="1"/>
  <c r="AA266" i="14"/>
  <c r="E267" i="27" l="1"/>
  <c r="A268" i="27" l="1"/>
  <c r="AA267" i="14"/>
  <c r="C268" i="27" l="1"/>
  <c r="E268" i="27" l="1"/>
  <c r="A269" i="27" l="1"/>
  <c r="C269" i="27" s="1"/>
  <c r="AA268" i="14"/>
  <c r="E269" i="27" l="1"/>
  <c r="A270" i="27" l="1"/>
  <c r="C270" i="27" s="1"/>
  <c r="AA269" i="14"/>
  <c r="E270" i="27" l="1"/>
  <c r="A271" i="27" l="1"/>
  <c r="AA270" i="14"/>
  <c r="C271" i="27" l="1"/>
  <c r="E271" i="27" l="1"/>
  <c r="A272" i="27" l="1"/>
  <c r="C272" i="27" s="1"/>
  <c r="AA271" i="14"/>
  <c r="E272" i="27" l="1"/>
  <c r="A273" i="27" l="1"/>
  <c r="C273" i="27" s="1"/>
  <c r="AA272" i="14"/>
  <c r="E273" i="27" l="1"/>
  <c r="A274" i="27" l="1"/>
  <c r="C274" i="27" s="1"/>
  <c r="AA273" i="14"/>
  <c r="E274" i="27" l="1"/>
  <c r="A275" i="27" l="1"/>
  <c r="C275" i="27" s="1"/>
  <c r="AA274" i="14"/>
  <c r="E275" i="27" l="1"/>
  <c r="A276" i="27" l="1"/>
  <c r="C276" i="27" s="1"/>
  <c r="AA275" i="14"/>
  <c r="E276" i="27" l="1"/>
  <c r="A277" i="27" l="1"/>
  <c r="C277" i="27" s="1"/>
  <c r="AA276" i="14"/>
  <c r="E277" i="27" l="1"/>
  <c r="A278" i="27" l="1"/>
  <c r="C278" i="27" s="1"/>
  <c r="AA277" i="14"/>
  <c r="E278" i="27" l="1"/>
  <c r="A279" i="27" l="1"/>
  <c r="C279" i="27" s="1"/>
  <c r="AA278" i="14"/>
  <c r="E279" i="27" l="1"/>
  <c r="A280" i="27" l="1"/>
  <c r="C280" i="27" s="1"/>
  <c r="AA279" i="14"/>
  <c r="E280" i="27" l="1"/>
  <c r="A281" i="27" l="1"/>
  <c r="C281" i="27" s="1"/>
  <c r="AA280" i="14"/>
  <c r="E281" i="27" l="1"/>
  <c r="A282" i="27" l="1"/>
  <c r="C282" i="27" s="1"/>
  <c r="AA281" i="14"/>
  <c r="E282" i="27" l="1"/>
  <c r="A283" i="27" l="1"/>
  <c r="C283" i="27" s="1"/>
  <c r="AA282" i="14"/>
  <c r="E283" i="27" l="1"/>
  <c r="A284" i="27" l="1"/>
  <c r="C284" i="27" s="1"/>
  <c r="AA283" i="14"/>
  <c r="E284" i="27" l="1"/>
  <c r="A285" i="27" l="1"/>
  <c r="C285" i="27" s="1"/>
  <c r="AA284" i="14"/>
  <c r="E285" i="27" l="1"/>
  <c r="A286" i="27" l="1"/>
  <c r="C286" i="27" s="1"/>
  <c r="AA285" i="14"/>
  <c r="E286" i="27" l="1"/>
  <c r="A287" i="27" l="1"/>
  <c r="C287" i="27" s="1"/>
  <c r="AA286" i="14"/>
  <c r="E287" i="27" l="1"/>
  <c r="A288" i="27" l="1"/>
  <c r="C288" i="27" s="1"/>
  <c r="AA287" i="14"/>
  <c r="E288" i="27" l="1"/>
  <c r="A289" i="27" l="1"/>
  <c r="C289" i="27" s="1"/>
  <c r="AA288" i="14"/>
  <c r="E289" i="27" l="1"/>
  <c r="A290" i="27" l="1"/>
  <c r="C290" i="27" s="1"/>
  <c r="AA289" i="14"/>
  <c r="E290" i="27" l="1"/>
  <c r="A291" i="27" l="1"/>
  <c r="AA290" i="14"/>
  <c r="C291" i="27" l="1"/>
  <c r="E291" i="27" l="1"/>
  <c r="A292" i="27" l="1"/>
  <c r="C292" i="27" s="1"/>
  <c r="AA291" i="14"/>
  <c r="E292" i="27" l="1"/>
  <c r="A293" i="27" l="1"/>
  <c r="C293" i="27" s="1"/>
  <c r="AA292" i="14"/>
  <c r="E293" i="27" l="1"/>
  <c r="A294" i="27" l="1"/>
  <c r="C294" i="27" s="1"/>
  <c r="AA293" i="14"/>
  <c r="E294" i="27" l="1"/>
  <c r="A295" i="27" l="1"/>
  <c r="C295" i="27" s="1"/>
  <c r="AA294" i="14"/>
  <c r="E295" i="27" l="1"/>
  <c r="A296" i="27" l="1"/>
  <c r="AA295" i="14"/>
  <c r="C296" i="27" l="1"/>
  <c r="E296" i="27" s="1"/>
  <c r="AA296" i="14" s="1"/>
  <c r="A297" i="27" l="1"/>
  <c r="C297" i="27" l="1"/>
  <c r="E297" i="27" l="1"/>
  <c r="A298" i="27" l="1"/>
  <c r="C298" i="27" s="1"/>
  <c r="AA297" i="14"/>
  <c r="E298" i="27" l="1"/>
  <c r="A299" i="27" l="1"/>
  <c r="C299" i="27" s="1"/>
  <c r="AA298" i="14"/>
  <c r="E299" i="27" l="1"/>
  <c r="A300" i="27" l="1"/>
  <c r="AA299" i="14"/>
  <c r="C300" i="27" l="1"/>
  <c r="E300" i="27" l="1"/>
  <c r="A301" i="27" l="1"/>
  <c r="C301" i="27" s="1"/>
  <c r="AA300" i="14"/>
  <c r="E301" i="27" l="1"/>
  <c r="A302" i="27" l="1"/>
  <c r="C302" i="27" s="1"/>
  <c r="AA301" i="14"/>
  <c r="E302" i="27" l="1"/>
  <c r="A303" i="27" l="1"/>
  <c r="AA302" i="14"/>
  <c r="C303" i="27" l="1"/>
  <c r="E303" i="27" l="1"/>
  <c r="A304" i="27" l="1"/>
  <c r="AA303" i="14"/>
  <c r="C304" i="27" l="1"/>
  <c r="E304" i="27" l="1"/>
  <c r="A305" i="27" l="1"/>
  <c r="AA304" i="14"/>
  <c r="C305" i="27" l="1"/>
  <c r="E305" i="27" l="1"/>
  <c r="A306" i="27" l="1"/>
  <c r="C306" i="27" s="1"/>
  <c r="AA305" i="14"/>
  <c r="E306" i="27" l="1"/>
  <c r="A307" i="27" l="1"/>
  <c r="C307" i="27" s="1"/>
  <c r="AA306" i="14"/>
  <c r="E307" i="27" l="1"/>
  <c r="A308" i="27" l="1"/>
  <c r="AA307" i="14"/>
  <c r="C308" i="27" l="1"/>
  <c r="E308" i="27" l="1"/>
  <c r="A309" i="27" l="1"/>
  <c r="C309" i="27" s="1"/>
  <c r="AA308" i="14"/>
  <c r="E309" i="27" l="1"/>
  <c r="A310" i="27" l="1"/>
  <c r="C310" i="27" s="1"/>
  <c r="AA309" i="14"/>
  <c r="E310" i="27" l="1"/>
  <c r="A311" i="27" l="1"/>
  <c r="C311" i="27" s="1"/>
  <c r="AA310" i="14"/>
  <c r="E311" i="27" l="1"/>
  <c r="A312" i="27" l="1"/>
  <c r="C312" i="27" s="1"/>
  <c r="AA311" i="14"/>
  <c r="E312" i="27" l="1"/>
  <c r="A313" i="27" l="1"/>
  <c r="C313" i="27" s="1"/>
  <c r="AA312" i="14"/>
  <c r="E313" i="27" l="1"/>
  <c r="A314" i="27" l="1"/>
  <c r="C314" i="27" s="1"/>
  <c r="AA313" i="14"/>
  <c r="E314" i="27" l="1"/>
  <c r="A315" i="27" l="1"/>
  <c r="AA314" i="14"/>
  <c r="C315" i="27" l="1"/>
  <c r="E315" i="27" l="1"/>
  <c r="A316" i="27" l="1"/>
  <c r="C316" i="27" s="1"/>
  <c r="AA315" i="14"/>
  <c r="E316" i="27" l="1"/>
  <c r="A317" i="27" l="1"/>
  <c r="C317" i="27" s="1"/>
  <c r="AA316" i="14"/>
  <c r="E317" i="27" l="1"/>
  <c r="A318" i="27" l="1"/>
  <c r="C318" i="27" s="1"/>
  <c r="AA317" i="14"/>
  <c r="E318" i="27" l="1"/>
  <c r="A319" i="27" l="1"/>
  <c r="C319" i="27" s="1"/>
  <c r="AA318" i="14"/>
  <c r="E319" i="27" l="1"/>
  <c r="A320" i="27" l="1"/>
  <c r="C320" i="27" s="1"/>
  <c r="AA319" i="14"/>
  <c r="E320" i="27" l="1"/>
  <c r="A321" i="27" l="1"/>
  <c r="C321" i="27" s="1"/>
  <c r="AA320" i="14"/>
  <c r="E321" i="27" l="1"/>
  <c r="A322" i="27" l="1"/>
  <c r="AA321" i="14"/>
  <c r="C322" i="27" l="1"/>
  <c r="E322" i="27" s="1"/>
  <c r="A323" i="27" l="1"/>
  <c r="C323" i="27" s="1"/>
  <c r="AA322" i="14"/>
  <c r="E323" i="27" l="1"/>
  <c r="A324" i="27" l="1"/>
  <c r="C324" i="27" s="1"/>
  <c r="AA323" i="14"/>
  <c r="E324" i="27" l="1"/>
  <c r="A325" i="27" l="1"/>
  <c r="AA324" i="14"/>
  <c r="C325" i="27" l="1"/>
  <c r="E325" i="27" l="1"/>
  <c r="A326" i="27" l="1"/>
  <c r="AA325" i="14"/>
  <c r="C326" i="27" l="1"/>
  <c r="E326" i="27" s="1"/>
  <c r="A327" i="27" l="1"/>
  <c r="AA326" i="14"/>
  <c r="C327" i="27" l="1"/>
  <c r="E327" i="27" l="1"/>
  <c r="A328" i="27" l="1"/>
  <c r="AA327" i="14"/>
  <c r="C328" i="27" l="1"/>
  <c r="E328" i="27" s="1"/>
  <c r="A329" i="27" l="1"/>
  <c r="C329" i="27" s="1"/>
  <c r="AA328" i="14"/>
  <c r="E329" i="27" l="1"/>
  <c r="A330" i="27" l="1"/>
  <c r="C330" i="27" s="1"/>
  <c r="AA329" i="14"/>
  <c r="E330" i="27" l="1"/>
  <c r="A331" i="27" l="1"/>
  <c r="C331" i="27" s="1"/>
  <c r="AA330" i="14"/>
  <c r="E331" i="27" l="1"/>
  <c r="A332" i="27" l="1"/>
  <c r="AA331" i="14"/>
  <c r="C332" i="27" l="1"/>
  <c r="E332" i="27" l="1"/>
  <c r="A333" i="27" l="1"/>
  <c r="C333" i="27" s="1"/>
  <c r="AA332" i="14"/>
  <c r="E333" i="27" l="1"/>
  <c r="A334" i="27" l="1"/>
  <c r="C334" i="27" s="1"/>
  <c r="AA333" i="14"/>
  <c r="E334" i="27" l="1"/>
  <c r="A335" i="27" l="1"/>
  <c r="C335" i="27" s="1"/>
  <c r="AA334" i="14"/>
  <c r="E335" i="27" l="1"/>
  <c r="A336" i="27" l="1"/>
  <c r="C336" i="27" s="1"/>
  <c r="AA335" i="14"/>
  <c r="E336" i="27" l="1"/>
  <c r="A337" i="27" l="1"/>
  <c r="C337" i="27" s="1"/>
  <c r="AA336" i="14"/>
  <c r="E337" i="27" l="1"/>
  <c r="A338" i="27" l="1"/>
  <c r="C338" i="27" s="1"/>
  <c r="AA337" i="14"/>
  <c r="E338" i="27" l="1"/>
  <c r="A339" i="27" l="1"/>
  <c r="C339" i="27" s="1"/>
  <c r="AA338" i="14"/>
  <c r="E339" i="27" l="1"/>
  <c r="A340" i="27" l="1"/>
  <c r="C340" i="27" s="1"/>
  <c r="AA339" i="14"/>
  <c r="E340" i="27" l="1"/>
  <c r="A341" i="27" l="1"/>
  <c r="AA340" i="14"/>
  <c r="C341" i="27" l="1"/>
  <c r="E341" i="27" s="1"/>
  <c r="A342" i="27" l="1"/>
  <c r="C342" i="27" s="1"/>
  <c r="AA341" i="14"/>
  <c r="E342" i="27" l="1"/>
  <c r="A343" i="27" l="1"/>
  <c r="C343" i="27" s="1"/>
  <c r="AA342" i="14"/>
  <c r="E343" i="27" l="1"/>
  <c r="A344" i="27" l="1"/>
  <c r="C344" i="27" s="1"/>
  <c r="AA343" i="14"/>
  <c r="E344" i="27" l="1"/>
  <c r="A345" i="27" l="1"/>
  <c r="C345" i="27" s="1"/>
  <c r="AA344" i="14"/>
  <c r="E345" i="27" l="1"/>
  <c r="A346" i="27" l="1"/>
  <c r="C346" i="27" s="1"/>
  <c r="AA345" i="14"/>
  <c r="E346" i="27" l="1"/>
  <c r="A347" i="27" l="1"/>
  <c r="C347" i="27" s="1"/>
  <c r="AA346" i="14"/>
  <c r="E347" i="27" l="1"/>
  <c r="A348" i="27" l="1"/>
  <c r="AA347" i="14"/>
  <c r="C348" i="27" l="1"/>
  <c r="E348" i="27" l="1"/>
  <c r="A349" i="27" l="1"/>
  <c r="C349" i="27" s="1"/>
  <c r="AA348" i="14"/>
  <c r="E349" i="27" l="1"/>
  <c r="A350" i="27" l="1"/>
  <c r="C350" i="27" s="1"/>
  <c r="AA349" i="14"/>
  <c r="E350" i="27" l="1"/>
  <c r="A351" i="27" l="1"/>
  <c r="C351" i="27" s="1"/>
  <c r="AA350" i="14"/>
  <c r="E351" i="27" l="1"/>
  <c r="A352" i="27" l="1"/>
  <c r="C352" i="27" s="1"/>
  <c r="AA351" i="14"/>
  <c r="E352" i="27" l="1"/>
  <c r="A353" i="27" l="1"/>
  <c r="C353" i="27" s="1"/>
  <c r="AA352" i="14"/>
  <c r="E353" i="27" l="1"/>
  <c r="A354" i="27" l="1"/>
  <c r="C354" i="27" s="1"/>
  <c r="AA353" i="14"/>
  <c r="E354" i="27" l="1"/>
  <c r="A355" i="27" l="1"/>
  <c r="AA354" i="14"/>
  <c r="C355" i="27" l="1"/>
  <c r="E355" i="27" l="1"/>
  <c r="A356" i="27" l="1"/>
  <c r="C356" i="27" s="1"/>
  <c r="AA355" i="14"/>
  <c r="E356" i="27" l="1"/>
  <c r="A357" i="27" l="1"/>
  <c r="C357" i="27" s="1"/>
  <c r="AA356" i="14"/>
  <c r="E357" i="27" l="1"/>
  <c r="A358" i="27" l="1"/>
  <c r="AA357" i="14"/>
  <c r="C358" i="27" l="1"/>
  <c r="E358" i="27" l="1"/>
  <c r="A359" i="27" l="1"/>
  <c r="C359" i="27" s="1"/>
  <c r="AA358" i="14"/>
  <c r="E359" i="27" l="1"/>
  <c r="A360" i="27" l="1"/>
  <c r="AA359" i="14"/>
  <c r="C360" i="27" l="1"/>
  <c r="E360" i="27" l="1"/>
  <c r="A361" i="27" l="1"/>
  <c r="C361" i="27" s="1"/>
  <c r="AA360" i="14"/>
  <c r="E361" i="27" l="1"/>
  <c r="A362" i="27" l="1"/>
  <c r="C362" i="27" s="1"/>
  <c r="AA361" i="14"/>
  <c r="E362" i="27" l="1"/>
  <c r="A363" i="27" l="1"/>
  <c r="C363" i="27" s="1"/>
  <c r="AA362" i="14"/>
  <c r="E363" i="27" l="1"/>
  <c r="A364" i="27" l="1"/>
  <c r="C364" i="27" s="1"/>
  <c r="AA363" i="14"/>
  <c r="E364" i="27" l="1"/>
  <c r="A365" i="27" l="1"/>
  <c r="AA364" i="14"/>
  <c r="C365" i="27" l="1"/>
  <c r="E365" i="27" l="1"/>
  <c r="A366" i="27" l="1"/>
  <c r="C366" i="27" s="1"/>
  <c r="AA365" i="14"/>
  <c r="E366" i="27" l="1"/>
  <c r="A367" i="27" l="1"/>
  <c r="AA366" i="14"/>
  <c r="C367" i="27" l="1"/>
  <c r="E367" i="27" l="1"/>
  <c r="A368" i="27" l="1"/>
  <c r="C368" i="27" s="1"/>
  <c r="AA367" i="14"/>
  <c r="E368" i="27" l="1"/>
  <c r="A369" i="27" l="1"/>
  <c r="C369" i="27" s="1"/>
  <c r="AA368" i="14"/>
  <c r="E369" i="27" l="1"/>
  <c r="A370" i="27" l="1"/>
  <c r="C370" i="27" s="1"/>
  <c r="AA369" i="14"/>
  <c r="E370" i="27" l="1"/>
  <c r="A371" i="27" l="1"/>
  <c r="C371" i="27" s="1"/>
  <c r="AA370" i="14"/>
  <c r="E371" i="27" l="1"/>
  <c r="A372" i="27" l="1"/>
  <c r="C372" i="27" s="1"/>
  <c r="AA371" i="14"/>
  <c r="E372" i="27" l="1"/>
  <c r="A373" i="27" l="1"/>
  <c r="C373" i="27" s="1"/>
  <c r="AA372" i="14"/>
  <c r="E373" i="27" l="1"/>
  <c r="A374" i="27" l="1"/>
  <c r="C374" i="27" s="1"/>
  <c r="AA373" i="14"/>
  <c r="E374" i="27" l="1"/>
  <c r="A375" i="27" l="1"/>
  <c r="C375" i="27" s="1"/>
  <c r="AA374" i="14"/>
  <c r="E375" i="27" l="1"/>
  <c r="A376" i="27" l="1"/>
  <c r="AA375" i="14"/>
  <c r="C376" i="27" l="1"/>
  <c r="E376" i="27" s="1"/>
  <c r="A377" i="27" l="1"/>
  <c r="C377" i="27" s="1"/>
  <c r="AA376" i="14"/>
  <c r="E377" i="27" l="1"/>
  <c r="A378" i="27" l="1"/>
  <c r="AA377" i="14"/>
  <c r="C378" i="27" l="1"/>
  <c r="E378" i="27" s="1"/>
  <c r="AA378" i="14" s="1"/>
  <c r="A379" i="27" l="1"/>
  <c r="C379" i="27" l="1"/>
  <c r="E379" i="27" l="1"/>
  <c r="A380" i="27" l="1"/>
  <c r="AA379" i="14"/>
  <c r="C380" i="27" l="1"/>
  <c r="E380" i="27" l="1"/>
  <c r="A381" i="27" l="1"/>
  <c r="C381" i="27" s="1"/>
  <c r="AA380" i="14"/>
  <c r="E381" i="27" l="1"/>
  <c r="A382" i="27" l="1"/>
  <c r="C382" i="27" s="1"/>
  <c r="AA381" i="14"/>
  <c r="E382" i="27" l="1"/>
  <c r="A383" i="27" l="1"/>
  <c r="C383" i="27" s="1"/>
  <c r="AA382" i="14"/>
  <c r="E383" i="27" l="1"/>
  <c r="A384" i="27" l="1"/>
  <c r="C384" i="27" s="1"/>
  <c r="AA383" i="14"/>
  <c r="E384" i="27" l="1"/>
  <c r="A385" i="27" l="1"/>
  <c r="C385" i="27" s="1"/>
  <c r="AA384" i="14"/>
  <c r="E385" i="27" l="1"/>
  <c r="A386" i="27" l="1"/>
  <c r="C386" i="27" s="1"/>
  <c r="AA385" i="14"/>
  <c r="E386" i="27" l="1"/>
  <c r="A387" i="27" l="1"/>
  <c r="AA386" i="14"/>
  <c r="C387" i="27" l="1"/>
  <c r="E387" i="27" l="1"/>
  <c r="A388" i="27" l="1"/>
  <c r="C388" i="27" s="1"/>
  <c r="AA387" i="14"/>
  <c r="E388" i="27" l="1"/>
  <c r="A389" i="27" l="1"/>
  <c r="C389" i="27" s="1"/>
  <c r="AA388" i="14"/>
  <c r="E389" i="27" l="1"/>
  <c r="A390" i="27" l="1"/>
  <c r="C390" i="27" s="1"/>
  <c r="AA389" i="14"/>
  <c r="E390" i="27" l="1"/>
  <c r="A391" i="27" l="1"/>
  <c r="C391" i="27" s="1"/>
  <c r="AA390" i="14"/>
  <c r="E391" i="27" l="1"/>
  <c r="A392" i="27" l="1"/>
  <c r="C392" i="27" s="1"/>
  <c r="AA391" i="14"/>
  <c r="E392" i="27" l="1"/>
  <c r="A393" i="27" l="1"/>
  <c r="C393" i="27" s="1"/>
  <c r="AA392" i="14"/>
  <c r="E393" i="27" l="1"/>
  <c r="A394" i="27" l="1"/>
  <c r="C394" i="27" s="1"/>
  <c r="AA393" i="14"/>
  <c r="E394" i="27" l="1"/>
  <c r="A395" i="27" l="1"/>
  <c r="AA394" i="14"/>
  <c r="C395" i="27" l="1"/>
  <c r="E395" i="27" l="1"/>
  <c r="A396" i="27" l="1"/>
  <c r="C396" i="27" s="1"/>
  <c r="AA395" i="14"/>
  <c r="E396" i="27" l="1"/>
  <c r="A397" i="27" l="1"/>
  <c r="AA396" i="14"/>
  <c r="C397" i="27" l="1"/>
  <c r="E397" i="27" s="1"/>
  <c r="A398" i="27" l="1"/>
  <c r="AA397" i="14"/>
  <c r="C398" i="27" l="1"/>
  <c r="E398" i="27" l="1"/>
  <c r="A399" i="27" l="1"/>
  <c r="C399" i="27" s="1"/>
  <c r="AA398" i="14"/>
  <c r="E399" i="27" l="1"/>
  <c r="A400" i="27" l="1"/>
  <c r="C400" i="27" s="1"/>
  <c r="AA399" i="14"/>
  <c r="E400" i="27" l="1"/>
  <c r="A401" i="27" l="1"/>
  <c r="AA400" i="14"/>
  <c r="C401" i="27" l="1"/>
  <c r="E401" i="27" l="1"/>
  <c r="A402" i="27" l="1"/>
  <c r="C402" i="27" s="1"/>
  <c r="AA401" i="14"/>
  <c r="E402" i="27" l="1"/>
  <c r="A403" i="27" l="1"/>
  <c r="C403" i="27" s="1"/>
  <c r="AA402" i="14"/>
  <c r="E403" i="27" l="1"/>
  <c r="A404" i="27" l="1"/>
  <c r="C404" i="27" s="1"/>
  <c r="AA403" i="14"/>
  <c r="E404" i="27" l="1"/>
  <c r="A405" i="27" l="1"/>
  <c r="AA404" i="14"/>
  <c r="C405" i="27" l="1"/>
  <c r="E405" i="27" l="1"/>
  <c r="A406" i="27" l="1"/>
  <c r="C406" i="27" s="1"/>
  <c r="AA405" i="14"/>
  <c r="E406" i="27" l="1"/>
  <c r="A407" i="27" l="1"/>
  <c r="C407" i="27" s="1"/>
  <c r="AA406" i="14"/>
  <c r="E407" i="27" l="1"/>
  <c r="A408" i="27" l="1"/>
  <c r="C408" i="27" s="1"/>
  <c r="AA407" i="14"/>
  <c r="E408" i="27" l="1"/>
  <c r="A409" i="27" l="1"/>
  <c r="AA408" i="14"/>
  <c r="C409" i="27" l="1"/>
  <c r="E409" i="27" l="1"/>
  <c r="A410" i="27" l="1"/>
  <c r="C410" i="27" s="1"/>
  <c r="AA409" i="14"/>
  <c r="E410" i="27" l="1"/>
  <c r="A411" i="27" l="1"/>
  <c r="C411" i="27" s="1"/>
  <c r="AA410" i="14"/>
  <c r="E411" i="27" l="1"/>
  <c r="A412" i="27" l="1"/>
  <c r="C412" i="27" s="1"/>
  <c r="AA411" i="14"/>
  <c r="E412" i="27" l="1"/>
  <c r="A413" i="27" l="1"/>
  <c r="C413" i="27" s="1"/>
  <c r="AA412" i="14"/>
  <c r="E413" i="27" l="1"/>
  <c r="A414" i="27" l="1"/>
  <c r="C414" i="27" s="1"/>
  <c r="AA413" i="14"/>
  <c r="E414" i="27" l="1"/>
  <c r="A415" i="27" l="1"/>
  <c r="AA414" i="14"/>
  <c r="C415" i="27" l="1"/>
  <c r="E415" i="27" l="1"/>
  <c r="A416" i="27" l="1"/>
  <c r="C416" i="27" s="1"/>
  <c r="AA415" i="14"/>
  <c r="E416" i="27" l="1"/>
  <c r="A417" i="27" l="1"/>
  <c r="AA416" i="14"/>
  <c r="C417" i="27" l="1"/>
  <c r="E417" i="27" l="1"/>
  <c r="A418" i="27" l="1"/>
  <c r="C418" i="27" s="1"/>
  <c r="AA417" i="14"/>
  <c r="E418" i="27" l="1"/>
  <c r="A419" i="27" l="1"/>
  <c r="C419" i="27" s="1"/>
  <c r="AA418" i="14"/>
  <c r="E419" i="27" l="1"/>
  <c r="A420" i="27" l="1"/>
  <c r="C420" i="27" s="1"/>
  <c r="AA419" i="14"/>
  <c r="E420" i="27" l="1"/>
  <c r="A421" i="27" l="1"/>
  <c r="AA420" i="14"/>
  <c r="C421" i="27" l="1"/>
  <c r="E421" i="27" l="1"/>
  <c r="A422" i="27" l="1"/>
  <c r="AA421" i="14"/>
  <c r="C422" i="27" l="1"/>
  <c r="E422" i="27" l="1"/>
  <c r="A423" i="27" l="1"/>
  <c r="C423" i="27" s="1"/>
  <c r="AA422" i="14"/>
  <c r="E423" i="27" l="1"/>
  <c r="A424" i="27" l="1"/>
  <c r="C424" i="27" s="1"/>
  <c r="AA423" i="14"/>
  <c r="E424" i="27" l="1"/>
  <c r="A425" i="27" l="1"/>
  <c r="C425" i="27" s="1"/>
  <c r="AA424" i="14"/>
  <c r="E425" i="27" l="1"/>
  <c r="A426" i="27" l="1"/>
  <c r="C426" i="27" s="1"/>
  <c r="AA425" i="14"/>
  <c r="E426" i="27" l="1"/>
  <c r="A427" i="27" l="1"/>
  <c r="C427" i="27" s="1"/>
  <c r="AA426" i="14"/>
  <c r="E427" i="27" l="1"/>
  <c r="A428" i="27" l="1"/>
  <c r="C428" i="27" s="1"/>
  <c r="AA427" i="14"/>
  <c r="E428" i="27" l="1"/>
  <c r="A429" i="27" l="1"/>
  <c r="C429" i="27" s="1"/>
  <c r="AA428" i="14"/>
  <c r="E429" i="27" l="1"/>
  <c r="A430" i="27" l="1"/>
  <c r="AA429" i="14"/>
  <c r="C430" i="27" l="1"/>
  <c r="E430" i="27" s="1"/>
  <c r="A431" i="27" l="1"/>
  <c r="C431" i="27" s="1"/>
  <c r="AA430" i="14"/>
  <c r="E431" i="27" l="1"/>
  <c r="A432" i="27" l="1"/>
  <c r="AA431" i="14"/>
  <c r="C432" i="27" l="1"/>
  <c r="E432" i="27" l="1"/>
  <c r="A433" i="27" l="1"/>
  <c r="C433" i="27" s="1"/>
  <c r="AA432" i="14"/>
  <c r="E433" i="27" l="1"/>
  <c r="A434" i="27" l="1"/>
  <c r="C434" i="27" s="1"/>
  <c r="AA433" i="14"/>
  <c r="E434" i="27" l="1"/>
  <c r="A435" i="27" l="1"/>
  <c r="AA434" i="14"/>
  <c r="C435" i="27" l="1"/>
  <c r="E435" i="27" l="1"/>
  <c r="A436" i="27" l="1"/>
  <c r="C436" i="27" s="1"/>
  <c r="AA435" i="14"/>
  <c r="E436" i="27" l="1"/>
  <c r="A437" i="27" l="1"/>
  <c r="C437" i="27" s="1"/>
  <c r="AA436" i="14"/>
  <c r="E437" i="27" l="1"/>
  <c r="A438" i="27" l="1"/>
  <c r="C438" i="27" s="1"/>
  <c r="AA437" i="14"/>
  <c r="E438" i="27" l="1"/>
  <c r="A439" i="27" l="1"/>
  <c r="AA438" i="14"/>
  <c r="C439" i="27" l="1"/>
  <c r="E439" i="27" s="1"/>
  <c r="A440" i="27" l="1"/>
  <c r="C440" i="27" s="1"/>
  <c r="AA439" i="14"/>
  <c r="E440" i="27" l="1"/>
  <c r="A441" i="27" l="1"/>
  <c r="AA440" i="14"/>
  <c r="C441" i="27" l="1"/>
  <c r="E441" i="27" l="1"/>
  <c r="A442" i="27" l="1"/>
  <c r="C442" i="27" s="1"/>
  <c r="AA441" i="14"/>
  <c r="E442" i="27" l="1"/>
  <c r="A443" i="27" l="1"/>
  <c r="C443" i="27" s="1"/>
  <c r="AA442" i="14"/>
  <c r="E443" i="27" l="1"/>
  <c r="A444" i="27" l="1"/>
  <c r="C444" i="27" s="1"/>
  <c r="AA443" i="14"/>
  <c r="E444" i="27" l="1"/>
  <c r="A445" i="27" l="1"/>
  <c r="C445" i="27" s="1"/>
  <c r="AA444" i="14"/>
  <c r="E445" i="27" l="1"/>
  <c r="A446" i="27" l="1"/>
  <c r="AA445" i="14"/>
  <c r="C446" i="27" l="1"/>
  <c r="E446" i="27" l="1"/>
  <c r="A447" i="27" l="1"/>
  <c r="C447" i="27" s="1"/>
  <c r="AA446" i="14"/>
  <c r="E447" i="27" l="1"/>
  <c r="A448" i="27" l="1"/>
  <c r="C448" i="27" s="1"/>
  <c r="AA447" i="14"/>
  <c r="E448" i="27" l="1"/>
  <c r="A449" i="27" l="1"/>
  <c r="C449" i="27" s="1"/>
  <c r="AA448" i="14"/>
  <c r="E449" i="27" l="1"/>
  <c r="A450" i="27" l="1"/>
  <c r="AA449" i="14"/>
  <c r="C450" i="27" l="1"/>
  <c r="E450" i="27" l="1"/>
  <c r="A451" i="27" l="1"/>
  <c r="C451" i="27" s="1"/>
  <c r="AA450" i="14"/>
  <c r="E451" i="27" l="1"/>
  <c r="A452" i="27" l="1"/>
  <c r="AA451" i="14"/>
  <c r="C452" i="27" l="1"/>
  <c r="E452" i="27" l="1"/>
  <c r="A453" i="27" l="1"/>
  <c r="C453" i="27" s="1"/>
  <c r="AA452" i="14"/>
  <c r="E453" i="27" l="1"/>
  <c r="A454" i="27" l="1"/>
  <c r="C454" i="27" s="1"/>
  <c r="AA453" i="14"/>
  <c r="E454" i="27" l="1"/>
  <c r="A455" i="27" l="1"/>
  <c r="AA454" i="14"/>
  <c r="C455" i="27" l="1"/>
  <c r="E455" i="27" l="1"/>
  <c r="A456" i="27" l="1"/>
  <c r="C456" i="27" s="1"/>
  <c r="AA455" i="14"/>
  <c r="E456" i="27" l="1"/>
  <c r="A457" i="27" l="1"/>
  <c r="C457" i="27" s="1"/>
  <c r="AA456" i="14"/>
  <c r="E457" i="27" l="1"/>
  <c r="A458" i="27" l="1"/>
  <c r="AA457" i="14"/>
  <c r="C458" i="27" l="1"/>
  <c r="E458" i="27" s="1"/>
  <c r="A459" i="27" l="1"/>
  <c r="C459" i="27" s="1"/>
  <c r="AA458" i="14"/>
  <c r="E459" i="27" l="1"/>
  <c r="A460" i="27" l="1"/>
  <c r="C460" i="27" s="1"/>
  <c r="AA459" i="14"/>
  <c r="E460" i="27" l="1"/>
  <c r="A461" i="27" l="1"/>
  <c r="AA460" i="14"/>
  <c r="C461" i="27" l="1"/>
  <c r="E461" i="27" s="1"/>
  <c r="A462" i="27" l="1"/>
  <c r="C462" i="27" s="1"/>
  <c r="AA461" i="14"/>
  <c r="E462" i="27" l="1"/>
  <c r="A463" i="27" l="1"/>
  <c r="AA462" i="14"/>
  <c r="C463" i="27" l="1"/>
  <c r="E463" i="27" s="1"/>
  <c r="A464" i="27" l="1"/>
  <c r="AA463" i="14"/>
  <c r="C464" i="27" l="1"/>
  <c r="E464" i="27" l="1"/>
  <c r="A465" i="27" l="1"/>
  <c r="C465" i="27" s="1"/>
  <c r="AA464" i="14"/>
  <c r="E465" i="27" l="1"/>
  <c r="A466" i="27" l="1"/>
  <c r="C466" i="27" s="1"/>
  <c r="AA465" i="14"/>
  <c r="E466" i="27" l="1"/>
  <c r="A467" i="27" l="1"/>
  <c r="AA466" i="14"/>
  <c r="C467" i="27" l="1"/>
  <c r="E467" i="27" l="1"/>
  <c r="A468" i="27" l="1"/>
  <c r="C468" i="27" s="1"/>
  <c r="AA467" i="14"/>
  <c r="E468" i="27" l="1"/>
  <c r="A469" i="27" l="1"/>
  <c r="C469" i="27" s="1"/>
  <c r="AA468" i="14"/>
  <c r="E469" i="27" l="1"/>
  <c r="A470" i="27" l="1"/>
  <c r="C470" i="27" s="1"/>
  <c r="AA469" i="14"/>
  <c r="E470" i="27" l="1"/>
  <c r="A471" i="27" l="1"/>
  <c r="C471" i="27" s="1"/>
  <c r="AA470" i="14"/>
  <c r="E471" i="27" l="1"/>
  <c r="A472" i="27" l="1"/>
  <c r="AA471" i="14"/>
  <c r="C472" i="27" l="1"/>
  <c r="E472" i="27" l="1"/>
  <c r="A473" i="27" l="1"/>
  <c r="C473" i="27" s="1"/>
  <c r="AA472" i="14"/>
  <c r="E473" i="27" l="1"/>
  <c r="A474" i="27" l="1"/>
  <c r="C474" i="27" s="1"/>
  <c r="AA473" i="14"/>
  <c r="E474" i="27" l="1"/>
  <c r="A475" i="27" l="1"/>
  <c r="C475" i="27" s="1"/>
  <c r="AA474" i="14"/>
  <c r="E475" i="27" l="1"/>
  <c r="A476" i="27" l="1"/>
  <c r="C476" i="27" s="1"/>
  <c r="AA475" i="14"/>
  <c r="E476" i="27" l="1"/>
  <c r="A477" i="27" l="1"/>
  <c r="C477" i="27" s="1"/>
  <c r="AA476" i="14"/>
  <c r="E477" i="27" l="1"/>
  <c r="A478" i="27" l="1"/>
  <c r="C478" i="27" s="1"/>
  <c r="AA477" i="14"/>
  <c r="E478" i="27" l="1"/>
  <c r="A479" i="27" l="1"/>
  <c r="C479" i="27" s="1"/>
  <c r="AA478" i="14"/>
  <c r="E479" i="27" l="1"/>
  <c r="A480" i="27" l="1"/>
  <c r="C480" i="27" s="1"/>
  <c r="AA479" i="14"/>
  <c r="E480" i="27" l="1"/>
  <c r="A481" i="27" l="1"/>
  <c r="C481" i="27" s="1"/>
  <c r="AA480" i="14"/>
  <c r="E481" i="27" l="1"/>
  <c r="A482" i="27" l="1"/>
  <c r="C482" i="27" s="1"/>
  <c r="AA481" i="14"/>
  <c r="E482" i="27" l="1"/>
  <c r="A483" i="27" l="1"/>
  <c r="AA482" i="14"/>
  <c r="C483" i="27" l="1"/>
  <c r="E483" i="27" l="1"/>
  <c r="A484" i="27" l="1"/>
  <c r="AA483" i="14"/>
  <c r="C484" i="27" l="1"/>
  <c r="E484" i="27" l="1"/>
  <c r="A485" i="27" l="1"/>
  <c r="C485" i="27" s="1"/>
  <c r="AA484" i="14"/>
  <c r="E485" i="27" l="1"/>
  <c r="A486" i="27" l="1"/>
  <c r="C486" i="27" s="1"/>
  <c r="AA485" i="14"/>
  <c r="E486" i="27" l="1"/>
  <c r="A487" i="27" l="1"/>
  <c r="AA486" i="14"/>
  <c r="C487" i="27" l="1"/>
  <c r="E487" i="27" s="1"/>
  <c r="A488" i="27" l="1"/>
  <c r="C488" i="27" s="1"/>
  <c r="AA487" i="14"/>
  <c r="E488" i="27" l="1"/>
  <c r="A489" i="27" l="1"/>
  <c r="C489" i="27" s="1"/>
  <c r="AA488" i="14"/>
  <c r="E489" i="27" l="1"/>
  <c r="A490" i="27" l="1"/>
  <c r="C490" i="27" s="1"/>
  <c r="AA489" i="14"/>
  <c r="E490" i="27" l="1"/>
  <c r="A491" i="27" l="1"/>
  <c r="C491" i="27" s="1"/>
  <c r="AA490" i="14"/>
  <c r="E491" i="27" l="1"/>
  <c r="A492" i="27" l="1"/>
  <c r="C492" i="27" s="1"/>
  <c r="AA491" i="14"/>
  <c r="E492" i="27" l="1"/>
  <c r="A493" i="27" l="1"/>
  <c r="C493" i="27" s="1"/>
  <c r="AA492" i="14"/>
  <c r="E493" i="27" l="1"/>
  <c r="A494" i="27" l="1"/>
  <c r="C494" i="27" s="1"/>
  <c r="AA493" i="14"/>
  <c r="E494" i="27" l="1"/>
  <c r="A495" i="27" l="1"/>
  <c r="C495" i="27" s="1"/>
  <c r="AA494" i="14"/>
  <c r="E495" i="27" l="1"/>
  <c r="A496" i="27" l="1"/>
  <c r="C496" i="27" s="1"/>
  <c r="AA495" i="14"/>
  <c r="E496" i="27" l="1"/>
  <c r="A497" i="27" l="1"/>
  <c r="C497" i="27" s="1"/>
  <c r="AA496" i="14"/>
  <c r="E497" i="27" l="1"/>
  <c r="A498" i="27" l="1"/>
  <c r="C498" i="27" s="1"/>
  <c r="AA497" i="14"/>
  <c r="E498" i="27" l="1"/>
  <c r="A499" i="27" l="1"/>
  <c r="C499" i="27" s="1"/>
  <c r="AA498" i="14"/>
  <c r="E499" i="27" l="1"/>
  <c r="A500" i="27" l="1"/>
  <c r="C500" i="27" s="1"/>
  <c r="AA499" i="14"/>
  <c r="E500" i="27" l="1"/>
  <c r="A501" i="27" l="1"/>
  <c r="C501" i="27" s="1"/>
  <c r="AA500" i="14"/>
  <c r="E501" i="27" l="1"/>
  <c r="A502" i="27" l="1"/>
  <c r="C502" i="27" s="1"/>
  <c r="AA501" i="14"/>
  <c r="E502" i="27" l="1"/>
  <c r="A503" i="27" l="1"/>
  <c r="C503" i="27" s="1"/>
  <c r="AA502" i="14"/>
  <c r="E503" i="27" l="1"/>
  <c r="A504" i="27" l="1"/>
  <c r="C504" i="27" s="1"/>
  <c r="AA503" i="14"/>
  <c r="E504" i="27" l="1"/>
  <c r="A505" i="27" l="1"/>
  <c r="C505" i="27" s="1"/>
  <c r="AA504" i="14"/>
  <c r="E505" i="27" l="1"/>
  <c r="A506" i="27" l="1"/>
  <c r="C506" i="27" s="1"/>
  <c r="AA505" i="14"/>
  <c r="E506" i="27" l="1"/>
  <c r="A507" i="27" l="1"/>
  <c r="AA506" i="14"/>
  <c r="C507" i="27" l="1"/>
  <c r="E507" i="27" l="1"/>
  <c r="A508" i="27" l="1"/>
  <c r="C508" i="27" s="1"/>
  <c r="AA507" i="14"/>
  <c r="E508" i="27" l="1"/>
  <c r="A509" i="27" l="1"/>
  <c r="AA508" i="14"/>
  <c r="C509" i="27" l="1"/>
  <c r="E509" i="27" s="1"/>
  <c r="A510" i="27" l="1"/>
  <c r="C510" i="27" s="1"/>
  <c r="AA509" i="14"/>
  <c r="E510" i="27" l="1"/>
  <c r="A511" i="27" l="1"/>
  <c r="C511" i="27" s="1"/>
  <c r="AA510" i="14"/>
  <c r="E511" i="27" l="1"/>
  <c r="A512" i="27" l="1"/>
  <c r="C512" i="27" s="1"/>
  <c r="AA511" i="14"/>
  <c r="E512" i="27" l="1"/>
  <c r="A513" i="27" l="1"/>
  <c r="AA512" i="14"/>
  <c r="C513" i="27" l="1"/>
  <c r="E513" i="27" s="1"/>
  <c r="A514" i="27" l="1"/>
  <c r="AA513" i="14"/>
  <c r="C514" i="27" l="1"/>
  <c r="E514" i="27" s="1"/>
  <c r="A515" i="27" l="1"/>
  <c r="C515" i="27" s="1"/>
  <c r="AA514" i="14"/>
  <c r="E515" i="27" l="1"/>
  <c r="A516" i="27" l="1"/>
  <c r="C516" i="27" s="1"/>
  <c r="AA515" i="14"/>
  <c r="E516" i="27" l="1"/>
  <c r="A517" i="27" l="1"/>
  <c r="C517" i="27" s="1"/>
  <c r="AA516" i="14"/>
  <c r="E517" i="27" l="1"/>
  <c r="A518" i="27" l="1"/>
  <c r="C518" i="27" s="1"/>
  <c r="AA517" i="14"/>
  <c r="E518" i="27" l="1"/>
  <c r="A519" i="27" l="1"/>
  <c r="AA518" i="14"/>
  <c r="C519" i="27" l="1"/>
  <c r="E519" i="27" s="1"/>
  <c r="A520" i="27" l="1"/>
  <c r="C520" i="27" s="1"/>
  <c r="AA519" i="14"/>
  <c r="E520" i="27" l="1"/>
  <c r="A521" i="27" l="1"/>
  <c r="C521" i="27" s="1"/>
  <c r="AA520" i="14"/>
  <c r="E521" i="27" l="1"/>
  <c r="A522" i="27" l="1"/>
  <c r="AA521" i="14"/>
  <c r="C522" i="27" l="1"/>
  <c r="E522" i="27" s="1"/>
  <c r="A523" i="27" l="1"/>
  <c r="C523" i="27" s="1"/>
  <c r="AA522" i="14"/>
  <c r="E523" i="27" l="1"/>
  <c r="A524" i="27" l="1"/>
  <c r="AA523" i="14"/>
  <c r="C524" i="27" l="1"/>
  <c r="E524" i="27" l="1"/>
  <c r="A525" i="27" l="1"/>
  <c r="C525" i="27" s="1"/>
  <c r="AA524" i="14"/>
  <c r="E525" i="27" l="1"/>
  <c r="A526" i="27" l="1"/>
  <c r="AA525" i="14"/>
  <c r="C526" i="27" l="1"/>
  <c r="E526" i="27" s="1"/>
  <c r="A527" i="27" l="1"/>
  <c r="C527" i="27" s="1"/>
  <c r="AA526" i="14"/>
  <c r="E527" i="27" l="1"/>
  <c r="A528" i="27" l="1"/>
  <c r="C528" i="27" s="1"/>
  <c r="AA527" i="14"/>
  <c r="E528" i="27" l="1"/>
  <c r="A529" i="27" l="1"/>
  <c r="C529" i="27" s="1"/>
  <c r="AA528" i="14"/>
  <c r="E529" i="27" l="1"/>
  <c r="A530" i="27" l="1"/>
  <c r="C530" i="27" s="1"/>
  <c r="AA529" i="14"/>
  <c r="E530" i="27" l="1"/>
  <c r="A531" i="27" l="1"/>
  <c r="C531" i="27" s="1"/>
  <c r="AA530" i="14"/>
  <c r="E531" i="27" l="1"/>
  <c r="A532" i="27" l="1"/>
  <c r="C532" i="27" s="1"/>
  <c r="AA531" i="14"/>
  <c r="E532" i="27" l="1"/>
  <c r="A533" i="27" l="1"/>
  <c r="C533" i="27" s="1"/>
  <c r="AA532" i="14"/>
  <c r="E533" i="27" l="1"/>
  <c r="A534" i="27" l="1"/>
  <c r="C534" i="27" s="1"/>
  <c r="AA533" i="14"/>
  <c r="E534" i="27" l="1"/>
  <c r="A535" i="27" l="1"/>
  <c r="C535" i="27" s="1"/>
  <c r="AA534" i="14"/>
  <c r="E535" i="27" l="1"/>
  <c r="A536" i="27" l="1"/>
  <c r="C536" i="27" s="1"/>
  <c r="AA535" i="14"/>
  <c r="E536" i="27" l="1"/>
  <c r="A537" i="27" l="1"/>
  <c r="C537" i="27" s="1"/>
  <c r="AA536" i="14"/>
  <c r="E537" i="27" l="1"/>
  <c r="A538" i="27" l="1"/>
  <c r="C538" i="27" s="1"/>
  <c r="AA537" i="14"/>
  <c r="E538" i="27" l="1"/>
  <c r="A539" i="27" l="1"/>
  <c r="C539" i="27" s="1"/>
  <c r="AA538" i="14"/>
  <c r="E539" i="27" l="1"/>
  <c r="A540" i="27" l="1"/>
  <c r="C540" i="27" s="1"/>
  <c r="AA539" i="14"/>
  <c r="E540" i="27" l="1"/>
  <c r="A541" i="27" l="1"/>
  <c r="C541" i="27" s="1"/>
  <c r="AA540" i="14"/>
  <c r="E541" i="27" l="1"/>
  <c r="A542" i="27" l="1"/>
  <c r="C542" i="27" s="1"/>
  <c r="AA541" i="14"/>
  <c r="E542" i="27" l="1"/>
  <c r="A543" i="27" l="1"/>
  <c r="C543" i="27" s="1"/>
  <c r="AA542" i="14"/>
  <c r="E543" i="27" l="1"/>
  <c r="A544" i="27" l="1"/>
  <c r="C544" i="27" s="1"/>
  <c r="AA543" i="14"/>
  <c r="E544" i="27" l="1"/>
  <c r="A545" i="27" l="1"/>
  <c r="C545" i="27" s="1"/>
  <c r="AA544" i="14"/>
  <c r="E545" i="27" l="1"/>
  <c r="A546" i="27" l="1"/>
  <c r="C546" i="27" s="1"/>
  <c r="E546" i="27" s="1"/>
  <c r="AA545" i="14"/>
  <c r="A547" i="27" l="1"/>
  <c r="C547" i="27" s="1"/>
  <c r="AA546" i="14"/>
  <c r="E547" i="27" l="1"/>
  <c r="A548" i="27" l="1"/>
  <c r="C548" i="27" s="1"/>
  <c r="AA547" i="14"/>
  <c r="E548" i="27" l="1"/>
  <c r="A549" i="27" l="1"/>
  <c r="C549" i="27" s="1"/>
  <c r="AA548" i="14"/>
  <c r="E549" i="27" l="1"/>
  <c r="A550" i="27" l="1"/>
  <c r="C550" i="27" s="1"/>
  <c r="AA549" i="14"/>
  <c r="E550" i="27" l="1"/>
  <c r="A551" i="27" l="1"/>
  <c r="C551" i="27" s="1"/>
  <c r="AA550" i="14"/>
  <c r="E551" i="27" l="1"/>
  <c r="A552" i="27" l="1"/>
  <c r="C552" i="27" s="1"/>
  <c r="AA551" i="14"/>
  <c r="E552" i="27" l="1"/>
  <c r="A553" i="27" l="1"/>
  <c r="C553" i="27" s="1"/>
  <c r="AA552" i="14"/>
  <c r="E553" i="27" l="1"/>
  <c r="A554" i="27" l="1"/>
  <c r="C554" i="27" s="1"/>
  <c r="AA553" i="14"/>
  <c r="E554" i="27" l="1"/>
  <c r="A555" i="27" l="1"/>
  <c r="C555" i="27" s="1"/>
  <c r="AA554" i="14"/>
  <c r="E555" i="27" l="1"/>
  <c r="A556" i="27" l="1"/>
  <c r="C556" i="27" s="1"/>
  <c r="AA555" i="14"/>
  <c r="E556" i="27" l="1"/>
  <c r="A557" i="27" l="1"/>
  <c r="C557" i="27" s="1"/>
  <c r="AA556" i="14"/>
  <c r="Z1204" i="14" l="1"/>
  <c r="E557" i="27"/>
  <c r="A558" i="27" l="1"/>
  <c r="C558" i="27" s="1"/>
  <c r="AA557" i="14"/>
  <c r="E558" i="27" l="1"/>
  <c r="A559" i="27" l="1"/>
  <c r="C559" i="27" s="1"/>
  <c r="AA558" i="14"/>
  <c r="E559" i="27" l="1"/>
  <c r="A560" i="27" l="1"/>
  <c r="C560" i="27" s="1"/>
  <c r="AA559" i="14"/>
  <c r="E560" i="27" l="1"/>
  <c r="A561" i="27" l="1"/>
  <c r="C561" i="27" s="1"/>
  <c r="AA560" i="14"/>
  <c r="E561" i="27" l="1"/>
  <c r="A562" i="27" l="1"/>
  <c r="C562" i="27" s="1"/>
  <c r="AA561" i="14"/>
  <c r="E562" i="27" l="1"/>
  <c r="A563" i="27" l="1"/>
  <c r="C563" i="27" s="1"/>
  <c r="AA562" i="14"/>
  <c r="E563" i="27" l="1"/>
  <c r="A564" i="27" l="1"/>
  <c r="C564" i="27" s="1"/>
  <c r="AA563" i="14"/>
  <c r="E564" i="27" l="1"/>
  <c r="A565" i="27" l="1"/>
  <c r="C565" i="27" s="1"/>
  <c r="AA564" i="14"/>
  <c r="E565" i="27" l="1"/>
  <c r="A566" i="27" l="1"/>
  <c r="C566" i="27" s="1"/>
  <c r="AA565" i="14"/>
  <c r="E566" i="27" l="1"/>
  <c r="A567" i="27" l="1"/>
  <c r="C567" i="27" s="1"/>
  <c r="AA566" i="14"/>
  <c r="E567" i="27" l="1"/>
  <c r="A568" i="27" l="1"/>
  <c r="C568" i="27" s="1"/>
  <c r="AA567" i="14"/>
  <c r="E568" i="27" l="1"/>
  <c r="A569" i="27" l="1"/>
  <c r="C569" i="27" s="1"/>
  <c r="AA568" i="14"/>
  <c r="E569" i="27" l="1"/>
  <c r="A570" i="27" l="1"/>
  <c r="C570" i="27" s="1"/>
  <c r="AA569" i="14"/>
  <c r="E570" i="27" l="1"/>
  <c r="A571" i="27" l="1"/>
  <c r="C571" i="27" s="1"/>
  <c r="AA570" i="14"/>
  <c r="E571" i="27" l="1"/>
  <c r="A572" i="27" l="1"/>
  <c r="C572" i="27" s="1"/>
  <c r="AA571" i="14"/>
  <c r="E572" i="27" l="1"/>
  <c r="A573" i="27" l="1"/>
  <c r="C573" i="27" s="1"/>
  <c r="AA572" i="14"/>
  <c r="E573" i="27" l="1"/>
  <c r="A574" i="27" l="1"/>
  <c r="C574" i="27" s="1"/>
  <c r="AA573" i="14"/>
  <c r="E574" i="27" l="1"/>
  <c r="A575" i="27" l="1"/>
  <c r="C575" i="27" s="1"/>
  <c r="AA574" i="14"/>
  <c r="E575" i="27" l="1"/>
  <c r="A576" i="27" l="1"/>
  <c r="C576" i="27" s="1"/>
  <c r="AA575" i="14"/>
  <c r="E576" i="27" l="1"/>
  <c r="A577" i="27" l="1"/>
  <c r="C577" i="27" s="1"/>
  <c r="AA576" i="14"/>
  <c r="E577" i="27" l="1"/>
  <c r="A578" i="27" l="1"/>
  <c r="C578" i="27" s="1"/>
  <c r="AA577" i="14"/>
  <c r="E578" i="27" l="1"/>
  <c r="A579" i="27" l="1"/>
  <c r="C579" i="27" s="1"/>
  <c r="AA578" i="14"/>
  <c r="E579" i="27" l="1"/>
  <c r="A580" i="27" l="1"/>
  <c r="C580" i="27" s="1"/>
  <c r="AA579" i="14"/>
  <c r="E580" i="27" l="1"/>
  <c r="A581" i="27" l="1"/>
  <c r="C581" i="27" s="1"/>
  <c r="AA580" i="14"/>
  <c r="E581" i="27" l="1"/>
  <c r="A582" i="27" l="1"/>
  <c r="C582" i="27" s="1"/>
  <c r="AA581" i="14"/>
  <c r="E582" i="27" l="1"/>
  <c r="A583" i="27" l="1"/>
  <c r="C583" i="27" s="1"/>
  <c r="AA582" i="14"/>
  <c r="E583" i="27" l="1"/>
  <c r="A584" i="27" l="1"/>
  <c r="C584" i="27" s="1"/>
  <c r="AA583" i="14"/>
  <c r="E584" i="27" l="1"/>
  <c r="A585" i="27" l="1"/>
  <c r="C585" i="27" s="1"/>
  <c r="AA584" i="14"/>
  <c r="E585" i="27" l="1"/>
  <c r="A586" i="27" l="1"/>
  <c r="C586" i="27" s="1"/>
  <c r="AA585" i="14"/>
  <c r="E586" i="27" l="1"/>
  <c r="A587" i="27" l="1"/>
  <c r="C587" i="27" s="1"/>
  <c r="AA586" i="14"/>
  <c r="E587" i="27" l="1"/>
  <c r="A588" i="27" l="1"/>
  <c r="C588" i="27" s="1"/>
  <c r="AA587" i="14"/>
  <c r="E588" i="27" l="1"/>
  <c r="A589" i="27" l="1"/>
  <c r="C589" i="27" s="1"/>
  <c r="AA588" i="14"/>
  <c r="E589" i="27" l="1"/>
  <c r="A590" i="27" l="1"/>
  <c r="C590" i="27" s="1"/>
  <c r="AA589" i="14"/>
  <c r="E590" i="27" l="1"/>
  <c r="A591" i="27" l="1"/>
  <c r="C591" i="27" s="1"/>
  <c r="AA590" i="14"/>
  <c r="E591" i="27" l="1"/>
  <c r="A592" i="27" l="1"/>
  <c r="C592" i="27" s="1"/>
  <c r="AA591" i="14"/>
  <c r="E592" i="27" l="1"/>
  <c r="A593" i="27" l="1"/>
  <c r="C593" i="27" s="1"/>
  <c r="AA592" i="14"/>
  <c r="E593" i="27" l="1"/>
  <c r="A594" i="27" l="1"/>
  <c r="C594" i="27" s="1"/>
  <c r="AA593" i="14"/>
  <c r="E594" i="27" l="1"/>
  <c r="A595" i="27" l="1"/>
  <c r="C595" i="27" s="1"/>
  <c r="AA594" i="14"/>
  <c r="E595" i="27" l="1"/>
  <c r="A596" i="27" l="1"/>
  <c r="C596" i="27" s="1"/>
  <c r="AA595" i="14"/>
  <c r="E596" i="27" l="1"/>
  <c r="A597" i="27" l="1"/>
  <c r="C597" i="27" s="1"/>
  <c r="AA596" i="14"/>
  <c r="E597" i="27" l="1"/>
  <c r="A598" i="27" l="1"/>
  <c r="C598" i="27" s="1"/>
  <c r="AA597" i="14"/>
  <c r="E598" i="27" l="1"/>
  <c r="A599" i="27" l="1"/>
  <c r="C599" i="27" s="1"/>
  <c r="AA598" i="14"/>
  <c r="E599" i="27" l="1"/>
  <c r="A600" i="27" l="1"/>
  <c r="C600" i="27" s="1"/>
  <c r="AA599" i="14"/>
  <c r="E600" i="27" l="1"/>
  <c r="A601" i="27" l="1"/>
  <c r="C601" i="27" s="1"/>
  <c r="AA600" i="14"/>
  <c r="E601" i="27" l="1"/>
  <c r="A602" i="27" l="1"/>
  <c r="C602" i="27" s="1"/>
  <c r="AA601" i="14"/>
  <c r="E602" i="27" l="1"/>
  <c r="A603" i="27" l="1"/>
  <c r="C603" i="27" s="1"/>
  <c r="AA602" i="14"/>
  <c r="E603" i="27" l="1"/>
  <c r="A604" i="27" l="1"/>
  <c r="C604" i="27" s="1"/>
  <c r="AA603" i="14"/>
  <c r="E604" i="27" l="1"/>
  <c r="A605" i="27" l="1"/>
  <c r="C605" i="27" s="1"/>
  <c r="AA604" i="14"/>
  <c r="E605" i="27" l="1"/>
  <c r="A606" i="27" l="1"/>
  <c r="C606" i="27" s="1"/>
  <c r="AA605" i="14"/>
  <c r="E606" i="27" l="1"/>
  <c r="A607" i="27" l="1"/>
  <c r="C607" i="27" s="1"/>
  <c r="E607" i="27" s="1"/>
  <c r="AA607" i="14" s="1"/>
  <c r="AA606" i="14"/>
  <c r="A608" i="27" l="1"/>
  <c r="C608" i="27" l="1"/>
  <c r="E608" i="27" l="1"/>
  <c r="A609" i="27" l="1"/>
  <c r="C609" i="27" s="1"/>
  <c r="AA608" i="14"/>
  <c r="E609" i="27" l="1"/>
  <c r="A610" i="27" l="1"/>
  <c r="C610" i="27" s="1"/>
  <c r="AA609" i="14"/>
  <c r="E610" i="27" l="1"/>
  <c r="A611" i="27" l="1"/>
  <c r="C611" i="27" s="1"/>
  <c r="AA610" i="14"/>
  <c r="E611" i="27" l="1"/>
  <c r="A612" i="27" l="1"/>
  <c r="C612" i="27" s="1"/>
  <c r="AA611" i="14"/>
  <c r="E612" i="27" l="1"/>
  <c r="A613" i="27" l="1"/>
  <c r="C613" i="27" s="1"/>
  <c r="AA612" i="14"/>
  <c r="E613" i="27" l="1"/>
  <c r="A614" i="27" l="1"/>
  <c r="C614" i="27" s="1"/>
  <c r="AA613" i="14"/>
  <c r="E614" i="27" l="1"/>
  <c r="A615" i="27" l="1"/>
  <c r="C615" i="27" s="1"/>
  <c r="AA614" i="14"/>
  <c r="E615" i="27" l="1"/>
  <c r="A616" i="27" l="1"/>
  <c r="C616" i="27" s="1"/>
  <c r="AA615" i="14"/>
  <c r="E616" i="27" l="1"/>
  <c r="A617" i="27" l="1"/>
  <c r="C617" i="27" s="1"/>
  <c r="AA616" i="14"/>
  <c r="E617" i="27" l="1"/>
  <c r="A618" i="27" l="1"/>
  <c r="C618" i="27" s="1"/>
  <c r="AA617" i="14"/>
  <c r="E618" i="27" l="1"/>
  <c r="A619" i="27" l="1"/>
  <c r="C619" i="27" s="1"/>
  <c r="AA618" i="14"/>
  <c r="E619" i="27" l="1"/>
  <c r="A620" i="27" l="1"/>
  <c r="C620" i="27" s="1"/>
  <c r="AA619" i="14"/>
  <c r="E620" i="27" l="1"/>
  <c r="A621" i="27" l="1"/>
  <c r="C621" i="27" s="1"/>
  <c r="AA620" i="14"/>
  <c r="E621" i="27" l="1"/>
  <c r="A622" i="27" l="1"/>
  <c r="C622" i="27" s="1"/>
  <c r="AA621" i="14"/>
  <c r="E622" i="27" l="1"/>
  <c r="A623" i="27" l="1"/>
  <c r="C623" i="27" s="1"/>
  <c r="AA622" i="14"/>
  <c r="E623" i="27" l="1"/>
  <c r="A624" i="27" l="1"/>
  <c r="C624" i="27" s="1"/>
  <c r="AA623" i="14"/>
  <c r="E624" i="27" l="1"/>
  <c r="A625" i="27" l="1"/>
  <c r="C625" i="27" s="1"/>
  <c r="AA624" i="14"/>
  <c r="E625" i="27" l="1"/>
  <c r="A626" i="27" l="1"/>
  <c r="C626" i="27" s="1"/>
  <c r="AA625" i="14"/>
  <c r="E626" i="27" l="1"/>
  <c r="A627" i="27" l="1"/>
  <c r="C627" i="27" s="1"/>
  <c r="AA626" i="14"/>
  <c r="E627" i="27" l="1"/>
  <c r="A628" i="27" l="1"/>
  <c r="C628" i="27" s="1"/>
  <c r="AA627" i="14"/>
  <c r="E628" i="27" l="1"/>
  <c r="A629" i="27" l="1"/>
  <c r="C629" i="27" s="1"/>
  <c r="AA628" i="14"/>
  <c r="E629" i="27" l="1"/>
  <c r="A630" i="27" l="1"/>
  <c r="C630" i="27" s="1"/>
  <c r="AA629" i="14"/>
  <c r="E630" i="27" l="1"/>
  <c r="A631" i="27" l="1"/>
  <c r="C631" i="27" s="1"/>
  <c r="AA630" i="14"/>
  <c r="E631" i="27" l="1"/>
  <c r="A632" i="27" l="1"/>
  <c r="C632" i="27" s="1"/>
  <c r="AA631" i="14"/>
  <c r="E632" i="27" l="1"/>
  <c r="A633" i="27" l="1"/>
  <c r="C633" i="27" s="1"/>
  <c r="AA632" i="14"/>
  <c r="E633" i="27" l="1"/>
  <c r="A634" i="27" l="1"/>
  <c r="C634" i="27" s="1"/>
  <c r="AA633" i="14"/>
  <c r="E634" i="27" l="1"/>
  <c r="A635" i="27" l="1"/>
  <c r="C635" i="27" s="1"/>
  <c r="AA634" i="14"/>
  <c r="E635" i="27" l="1"/>
  <c r="A636" i="27" l="1"/>
  <c r="C636" i="27" s="1"/>
  <c r="AA635" i="14"/>
  <c r="E636" i="27" l="1"/>
  <c r="A637" i="27" l="1"/>
  <c r="C637" i="27" s="1"/>
  <c r="AA636" i="14"/>
  <c r="E637" i="27" l="1"/>
  <c r="A638" i="27" l="1"/>
  <c r="C638" i="27" s="1"/>
  <c r="AA637" i="14"/>
  <c r="E638" i="27" l="1"/>
  <c r="A639" i="27" l="1"/>
  <c r="C639" i="27" s="1"/>
  <c r="AA638" i="14"/>
  <c r="E639" i="27" l="1"/>
  <c r="A640" i="27" l="1"/>
  <c r="C640" i="27" s="1"/>
  <c r="AA639" i="14"/>
  <c r="E640" i="27" l="1"/>
  <c r="A641" i="27" l="1"/>
  <c r="C641" i="27" s="1"/>
  <c r="AA640" i="14"/>
  <c r="E641" i="27" l="1"/>
  <c r="A642" i="27" l="1"/>
  <c r="C642" i="27" s="1"/>
  <c r="AA641" i="14"/>
  <c r="E642" i="27" l="1"/>
  <c r="A643" i="27" l="1"/>
  <c r="C643" i="27" s="1"/>
  <c r="AA642" i="14"/>
  <c r="E643" i="27" l="1"/>
  <c r="A644" i="27" l="1"/>
  <c r="C644" i="27" s="1"/>
  <c r="AA643" i="14"/>
  <c r="E644" i="27" l="1"/>
  <c r="A645" i="27" l="1"/>
  <c r="C645" i="27" s="1"/>
  <c r="AA644" i="14"/>
  <c r="E645" i="27" l="1"/>
  <c r="A646" i="27" l="1"/>
  <c r="C646" i="27" s="1"/>
  <c r="AA645" i="14"/>
  <c r="E646" i="27" l="1"/>
  <c r="A647" i="27" l="1"/>
  <c r="C647" i="27" s="1"/>
  <c r="AA646" i="14"/>
  <c r="E647" i="27" l="1"/>
  <c r="A648" i="27" l="1"/>
  <c r="C648" i="27" s="1"/>
  <c r="AA647" i="14"/>
  <c r="E648" i="27" l="1"/>
  <c r="A649" i="27" l="1"/>
  <c r="C649" i="27" s="1"/>
  <c r="AA648" i="14"/>
  <c r="E649" i="27" l="1"/>
  <c r="A650" i="27" l="1"/>
  <c r="C650" i="27" s="1"/>
  <c r="AA649" i="14"/>
  <c r="E650" i="27" l="1"/>
  <c r="A651" i="27" l="1"/>
  <c r="C651" i="27" s="1"/>
  <c r="AA650" i="14"/>
  <c r="E651" i="27" l="1"/>
  <c r="A652" i="27" l="1"/>
  <c r="C652" i="27" s="1"/>
  <c r="AA651" i="14"/>
  <c r="E652" i="27" l="1"/>
  <c r="A653" i="27" l="1"/>
  <c r="C653" i="27" s="1"/>
  <c r="AA652" i="14"/>
  <c r="E653" i="27" l="1"/>
  <c r="A654" i="27" l="1"/>
  <c r="C654" i="27" s="1"/>
  <c r="AA653" i="14"/>
  <c r="E654" i="27" l="1"/>
  <c r="A655" i="27" l="1"/>
  <c r="C655" i="27" s="1"/>
  <c r="AA654" i="14"/>
  <c r="E655" i="27" l="1"/>
  <c r="A656" i="27" l="1"/>
  <c r="C656" i="27" s="1"/>
  <c r="AA655" i="14"/>
  <c r="E656" i="27" l="1"/>
  <c r="A657" i="27" l="1"/>
  <c r="C657" i="27" s="1"/>
  <c r="AA656" i="14"/>
  <c r="E657" i="27" l="1"/>
  <c r="A658" i="27" l="1"/>
  <c r="C658" i="27" s="1"/>
  <c r="AA657" i="14"/>
  <c r="E658" i="27" l="1"/>
  <c r="A659" i="27" l="1"/>
  <c r="C659" i="27" s="1"/>
  <c r="AA658" i="14"/>
  <c r="E659" i="27" l="1"/>
  <c r="A660" i="27" l="1"/>
  <c r="C660" i="27" s="1"/>
  <c r="AA659" i="14"/>
  <c r="E660" i="27" l="1"/>
  <c r="A661" i="27" l="1"/>
  <c r="C661" i="27" s="1"/>
  <c r="AA660" i="14"/>
  <c r="E661" i="27" l="1"/>
  <c r="A662" i="27" l="1"/>
  <c r="C662" i="27" s="1"/>
  <c r="AA661" i="14"/>
  <c r="E662" i="27" l="1"/>
  <c r="A663" i="27" l="1"/>
  <c r="C663" i="27" s="1"/>
  <c r="AA662" i="14"/>
  <c r="E663" i="27" l="1"/>
  <c r="A664" i="27" l="1"/>
  <c r="C664" i="27" s="1"/>
  <c r="AA663" i="14"/>
  <c r="E664" i="27" l="1"/>
  <c r="A665" i="27" l="1"/>
  <c r="C665" i="27" s="1"/>
  <c r="AA664" i="14"/>
  <c r="E665" i="27" l="1"/>
  <c r="A666" i="27" l="1"/>
  <c r="C666" i="27" s="1"/>
  <c r="AA665" i="14"/>
  <c r="E666" i="27" l="1"/>
  <c r="A667" i="27" l="1"/>
  <c r="C667" i="27" s="1"/>
  <c r="AA666" i="14"/>
  <c r="E667" i="27" l="1"/>
  <c r="A668" i="27" l="1"/>
  <c r="C668" i="27" s="1"/>
  <c r="AA667" i="14"/>
  <c r="E668" i="27" l="1"/>
  <c r="A669" i="27" l="1"/>
  <c r="C669" i="27" s="1"/>
  <c r="AA668" i="14"/>
  <c r="E669" i="27" l="1"/>
  <c r="A670" i="27" l="1"/>
  <c r="C670" i="27" s="1"/>
  <c r="AA669" i="14"/>
  <c r="E670" i="27" l="1"/>
  <c r="A671" i="27" l="1"/>
  <c r="C671" i="27" s="1"/>
  <c r="AA670" i="14"/>
  <c r="E671" i="27" l="1"/>
  <c r="A672" i="27" l="1"/>
  <c r="C672" i="27" s="1"/>
  <c r="AA671" i="14"/>
  <c r="E672" i="27" l="1"/>
  <c r="A673" i="27" l="1"/>
  <c r="C673" i="27" s="1"/>
  <c r="AA672" i="14"/>
  <c r="E673" i="27" l="1"/>
  <c r="A674" i="27" l="1"/>
  <c r="C674" i="27" s="1"/>
  <c r="AA673" i="14"/>
  <c r="E674" i="27" l="1"/>
  <c r="A675" i="27" l="1"/>
  <c r="C675" i="27" s="1"/>
  <c r="AA674" i="14"/>
  <c r="E675" i="27" l="1"/>
  <c r="A676" i="27" l="1"/>
  <c r="C676" i="27" s="1"/>
  <c r="AA675" i="14"/>
  <c r="E676" i="27" l="1"/>
  <c r="A677" i="27" l="1"/>
  <c r="C677" i="27" s="1"/>
  <c r="AA676" i="14"/>
  <c r="E677" i="27" l="1"/>
  <c r="A678" i="27" l="1"/>
  <c r="C678" i="27" s="1"/>
  <c r="AA677" i="14"/>
  <c r="E678" i="27" l="1"/>
  <c r="A679" i="27" l="1"/>
  <c r="C679" i="27" s="1"/>
  <c r="AA678" i="14"/>
  <c r="E679" i="27" l="1"/>
  <c r="A680" i="27" l="1"/>
  <c r="C680" i="27" s="1"/>
  <c r="AA679" i="14"/>
  <c r="E680" i="27" l="1"/>
  <c r="A681" i="27" l="1"/>
  <c r="C681" i="27" s="1"/>
  <c r="AA680" i="14"/>
  <c r="E681" i="27" l="1"/>
  <c r="A682" i="27" l="1"/>
  <c r="C682" i="27" s="1"/>
  <c r="AA681" i="14"/>
  <c r="E682" i="27" l="1"/>
  <c r="A683" i="27" l="1"/>
  <c r="C683" i="27" s="1"/>
  <c r="AA682" i="14"/>
  <c r="E683" i="27" l="1"/>
  <c r="A684" i="27" l="1"/>
  <c r="C684" i="27" s="1"/>
  <c r="AA683" i="14"/>
  <c r="E684" i="27" l="1"/>
  <c r="A685" i="27" l="1"/>
  <c r="C685" i="27" s="1"/>
  <c r="AA684" i="14"/>
  <c r="E685" i="27" l="1"/>
  <c r="A686" i="27" l="1"/>
  <c r="C686" i="27" s="1"/>
  <c r="AA685" i="14"/>
  <c r="E686" i="27" l="1"/>
  <c r="A687" i="27" l="1"/>
  <c r="C687" i="27" s="1"/>
  <c r="AA686" i="14"/>
  <c r="E687" i="27" l="1"/>
  <c r="A688" i="27" l="1"/>
  <c r="C688" i="27" s="1"/>
  <c r="E688" i="27" s="1"/>
  <c r="AA687" i="14"/>
  <c r="A689" i="27" l="1"/>
  <c r="C689" i="27" s="1"/>
  <c r="AA688" i="14"/>
  <c r="E689" i="27" l="1"/>
  <c r="A690" i="27" l="1"/>
  <c r="C690" i="27" s="1"/>
  <c r="AA689" i="14"/>
  <c r="E690" i="27" l="1"/>
  <c r="A691" i="27" l="1"/>
  <c r="C691" i="27" s="1"/>
  <c r="AA690" i="14"/>
  <c r="E691" i="27" l="1"/>
  <c r="A692" i="27" l="1"/>
  <c r="C692" i="27" s="1"/>
  <c r="AA691" i="14"/>
  <c r="E692" i="27" l="1"/>
  <c r="A693" i="27" l="1"/>
  <c r="C693" i="27" s="1"/>
  <c r="AA692" i="14"/>
  <c r="E693" i="27" l="1"/>
  <c r="A694" i="27" l="1"/>
  <c r="C694" i="27" s="1"/>
  <c r="AA693" i="14"/>
  <c r="E694" i="27" l="1"/>
  <c r="A695" i="27" l="1"/>
  <c r="C695" i="27" s="1"/>
  <c r="AA694" i="14"/>
  <c r="E695" i="27" l="1"/>
  <c r="A696" i="27" l="1"/>
  <c r="C696" i="27" s="1"/>
  <c r="AA695" i="14"/>
  <c r="E696" i="27" l="1"/>
  <c r="A697" i="27" l="1"/>
  <c r="C697" i="27" s="1"/>
  <c r="AA696" i="14"/>
  <c r="E697" i="27" l="1"/>
  <c r="A698" i="27" l="1"/>
  <c r="C698" i="27" s="1"/>
  <c r="E698" i="27" s="1"/>
  <c r="AA697" i="14"/>
  <c r="A699" i="27" l="1"/>
  <c r="C699" i="27" s="1"/>
  <c r="AA698" i="14"/>
  <c r="E699" i="27" l="1"/>
  <c r="A700" i="27" l="1"/>
  <c r="C700" i="27" s="1"/>
  <c r="AA699" i="14"/>
  <c r="E700" i="27" l="1"/>
  <c r="A701" i="27" l="1"/>
  <c r="C701" i="27" s="1"/>
  <c r="AA700" i="14"/>
  <c r="E701" i="27" l="1"/>
  <c r="A702" i="27" l="1"/>
  <c r="C702" i="27" s="1"/>
  <c r="AA701" i="14"/>
  <c r="E702" i="27" l="1"/>
  <c r="A703" i="27" l="1"/>
  <c r="C703" i="27" s="1"/>
  <c r="AA702" i="14"/>
  <c r="E703" i="27" l="1"/>
  <c r="A704" i="27" l="1"/>
  <c r="C704" i="27" s="1"/>
  <c r="AA703" i="14"/>
  <c r="E704" i="27" l="1"/>
  <c r="A705" i="27" l="1"/>
  <c r="C705" i="27" s="1"/>
  <c r="AA704" i="14"/>
  <c r="E705" i="27" l="1"/>
  <c r="A706" i="27" l="1"/>
  <c r="C706" i="27" s="1"/>
  <c r="AA705" i="14"/>
  <c r="E706" i="27" l="1"/>
  <c r="A707" i="27" l="1"/>
  <c r="C707" i="27" s="1"/>
  <c r="AA706" i="14"/>
  <c r="E707" i="27" l="1"/>
  <c r="A708" i="27" l="1"/>
  <c r="C708" i="27" s="1"/>
  <c r="AA707" i="14"/>
  <c r="E708" i="27" l="1"/>
  <c r="A709" i="27" l="1"/>
  <c r="C709" i="27" s="1"/>
  <c r="AA708" i="14"/>
  <c r="E709" i="27" l="1"/>
  <c r="A710" i="27" l="1"/>
  <c r="C710" i="27" s="1"/>
  <c r="AA709" i="14"/>
  <c r="E710" i="27" l="1"/>
  <c r="A711" i="27" l="1"/>
  <c r="C711" i="27" s="1"/>
  <c r="AA710" i="14"/>
  <c r="E711" i="27" l="1"/>
  <c r="A712" i="27" l="1"/>
  <c r="C712" i="27" s="1"/>
  <c r="AA711" i="14"/>
  <c r="E712" i="27" l="1"/>
  <c r="A713" i="27" l="1"/>
  <c r="C713" i="27" s="1"/>
  <c r="AA712" i="14"/>
  <c r="E713" i="27" l="1"/>
  <c r="A714" i="27" l="1"/>
  <c r="C714" i="27" s="1"/>
  <c r="AA713" i="14"/>
  <c r="E714" i="27" l="1"/>
  <c r="A715" i="27" l="1"/>
  <c r="C715" i="27" s="1"/>
  <c r="AA714" i="14"/>
  <c r="E715" i="27" l="1"/>
  <c r="A716" i="27" l="1"/>
  <c r="C716" i="27" s="1"/>
  <c r="AA715" i="14"/>
  <c r="E716" i="27" l="1"/>
  <c r="A717" i="27" l="1"/>
  <c r="C717" i="27" s="1"/>
  <c r="AA716" i="14"/>
  <c r="E717" i="27" l="1"/>
  <c r="A718" i="27" l="1"/>
  <c r="C718" i="27" s="1"/>
  <c r="AA717" i="14"/>
  <c r="E718" i="27" l="1"/>
  <c r="A719" i="27" l="1"/>
  <c r="C719" i="27" s="1"/>
  <c r="AA718" i="14"/>
  <c r="E719" i="27" l="1"/>
  <c r="A720" i="27" l="1"/>
  <c r="C720" i="27" s="1"/>
  <c r="AA719" i="14"/>
  <c r="E720" i="27" l="1"/>
  <c r="A721" i="27" l="1"/>
  <c r="C721" i="27" s="1"/>
  <c r="AA720" i="14"/>
  <c r="E721" i="27" l="1"/>
  <c r="A722" i="27" l="1"/>
  <c r="C722" i="27" s="1"/>
  <c r="AA721" i="14"/>
  <c r="E722" i="27" l="1"/>
  <c r="A723" i="27" l="1"/>
  <c r="C723" i="27" s="1"/>
  <c r="AA722" i="14"/>
  <c r="E723" i="27" l="1"/>
  <c r="A724" i="27" l="1"/>
  <c r="C724" i="27" s="1"/>
  <c r="AA723" i="14"/>
  <c r="E724" i="27" l="1"/>
  <c r="A725" i="27" l="1"/>
  <c r="C725" i="27" s="1"/>
  <c r="AA724" i="14"/>
  <c r="E725" i="27" l="1"/>
  <c r="A726" i="27" l="1"/>
  <c r="C726" i="27" s="1"/>
  <c r="AA725" i="14"/>
  <c r="E726" i="27" l="1"/>
  <c r="A727" i="27" l="1"/>
  <c r="C727" i="27" s="1"/>
  <c r="AA726" i="14"/>
  <c r="E727" i="27" l="1"/>
  <c r="A728" i="27" l="1"/>
  <c r="C728" i="27" s="1"/>
  <c r="AA727" i="14"/>
  <c r="E728" i="27" l="1"/>
  <c r="A729" i="27" l="1"/>
  <c r="C729" i="27" s="1"/>
  <c r="AA728" i="14"/>
  <c r="E729" i="27" l="1"/>
  <c r="A730" i="27" l="1"/>
  <c r="C730" i="27" s="1"/>
  <c r="AA729" i="14"/>
  <c r="E730" i="27" l="1"/>
  <c r="A731" i="27" l="1"/>
  <c r="C731" i="27" s="1"/>
  <c r="AA730" i="14"/>
  <c r="E731" i="27" l="1"/>
  <c r="A732" i="27" l="1"/>
  <c r="C732" i="27" s="1"/>
  <c r="AA731" i="14"/>
  <c r="E732" i="27" l="1"/>
  <c r="A733" i="27" l="1"/>
  <c r="C733" i="27" s="1"/>
  <c r="AA732" i="14"/>
  <c r="E733" i="27" l="1"/>
  <c r="A734" i="27" l="1"/>
  <c r="C734" i="27" s="1"/>
  <c r="AA733" i="14"/>
  <c r="E734" i="27" l="1"/>
  <c r="A735" i="27" l="1"/>
  <c r="C735" i="27" s="1"/>
  <c r="AA734" i="14"/>
  <c r="E735" i="27" l="1"/>
  <c r="A736" i="27" l="1"/>
  <c r="C736" i="27" s="1"/>
  <c r="AA735" i="14"/>
  <c r="E736" i="27" l="1"/>
  <c r="A737" i="27" l="1"/>
  <c r="C737" i="27" s="1"/>
  <c r="AA736" i="14"/>
  <c r="E737" i="27" l="1"/>
  <c r="A738" i="27" l="1"/>
  <c r="C738" i="27" s="1"/>
  <c r="AA737" i="14"/>
  <c r="E738" i="27" l="1"/>
  <c r="A739" i="27" l="1"/>
  <c r="C739" i="27" s="1"/>
  <c r="AA738" i="14"/>
  <c r="E739" i="27" l="1"/>
  <c r="A740" i="27" l="1"/>
  <c r="C740" i="27" s="1"/>
  <c r="AA739" i="14"/>
  <c r="E740" i="27" l="1"/>
  <c r="A741" i="27" l="1"/>
  <c r="C741" i="27" s="1"/>
  <c r="AA740" i="14"/>
  <c r="E741" i="27" l="1"/>
  <c r="A742" i="27" l="1"/>
  <c r="C742" i="27" s="1"/>
  <c r="AA741" i="14"/>
  <c r="E742" i="27" l="1"/>
  <c r="A743" i="27" l="1"/>
  <c r="C743" i="27" s="1"/>
  <c r="AA742" i="14"/>
  <c r="E743" i="27" l="1"/>
  <c r="A744" i="27" l="1"/>
  <c r="C744" i="27" s="1"/>
  <c r="AA743" i="14"/>
  <c r="E744" i="27" l="1"/>
  <c r="A745" i="27" l="1"/>
  <c r="C745" i="27" s="1"/>
  <c r="AA744" i="14"/>
  <c r="E745" i="27" l="1"/>
  <c r="A746" i="27" l="1"/>
  <c r="C746" i="27" s="1"/>
  <c r="AA745" i="14"/>
  <c r="E746" i="27" l="1"/>
  <c r="A747" i="27" l="1"/>
  <c r="C747" i="27" s="1"/>
  <c r="AA746" i="14"/>
  <c r="E747" i="27" l="1"/>
  <c r="A748" i="27" l="1"/>
  <c r="C748" i="27" s="1"/>
  <c r="AA747" i="14"/>
  <c r="E748" i="27" l="1"/>
  <c r="A749" i="27" l="1"/>
  <c r="C749" i="27" s="1"/>
  <c r="AA748" i="14"/>
  <c r="E749" i="27" l="1"/>
  <c r="A750" i="27" l="1"/>
  <c r="C750" i="27" s="1"/>
  <c r="AA749" i="14"/>
  <c r="E750" i="27" l="1"/>
  <c r="A751" i="27" l="1"/>
  <c r="C751" i="27" s="1"/>
  <c r="AA750" i="14"/>
  <c r="E751" i="27" l="1"/>
  <c r="A752" i="27" l="1"/>
  <c r="C752" i="27" s="1"/>
  <c r="AA751" i="14"/>
  <c r="E752" i="27" l="1"/>
  <c r="A753" i="27" l="1"/>
  <c r="C753" i="27" s="1"/>
  <c r="AA752" i="14"/>
  <c r="E753" i="27" l="1"/>
  <c r="A754" i="27" l="1"/>
  <c r="C754" i="27" s="1"/>
  <c r="E754" i="27" s="1"/>
  <c r="AA753" i="14"/>
  <c r="A755" i="27" l="1"/>
  <c r="C755" i="27" s="1"/>
  <c r="AA754" i="14"/>
  <c r="E755" i="27" l="1"/>
  <c r="A756" i="27" l="1"/>
  <c r="C756" i="27" s="1"/>
  <c r="AA755" i="14"/>
  <c r="E756" i="27" l="1"/>
  <c r="A757" i="27" l="1"/>
  <c r="C757" i="27" s="1"/>
  <c r="AA756" i="14"/>
  <c r="E757" i="27" l="1"/>
  <c r="A758" i="27" l="1"/>
  <c r="C758" i="27" s="1"/>
  <c r="AA757" i="14"/>
  <c r="E758" i="27" l="1"/>
  <c r="A759" i="27" l="1"/>
  <c r="C759" i="27" s="1"/>
  <c r="AA758" i="14"/>
  <c r="E759" i="27" l="1"/>
  <c r="A760" i="27" l="1"/>
  <c r="C760" i="27" s="1"/>
  <c r="AA759" i="14"/>
  <c r="E760" i="27" l="1"/>
  <c r="A761" i="27" l="1"/>
  <c r="C761" i="27" s="1"/>
  <c r="AA760" i="14"/>
  <c r="E761" i="27" l="1"/>
  <c r="A762" i="27" l="1"/>
  <c r="C762" i="27" s="1"/>
  <c r="AA761" i="14"/>
  <c r="E762" i="27" l="1"/>
  <c r="A763" i="27" l="1"/>
  <c r="C763" i="27" s="1"/>
  <c r="AA762" i="14"/>
  <c r="E763" i="27" l="1"/>
  <c r="A764" i="27" l="1"/>
  <c r="C764" i="27" s="1"/>
  <c r="AA763" i="14"/>
  <c r="E764" i="27" l="1"/>
  <c r="A765" i="27" l="1"/>
  <c r="C765" i="27" s="1"/>
  <c r="AA764" i="14"/>
  <c r="E765" i="27" l="1"/>
  <c r="A766" i="27" l="1"/>
  <c r="C766" i="27" s="1"/>
  <c r="AA765" i="14"/>
  <c r="E766" i="27" l="1"/>
  <c r="A767" i="27" l="1"/>
  <c r="C767" i="27" s="1"/>
  <c r="AA766" i="14"/>
  <c r="E767" i="27" l="1"/>
  <c r="A768" i="27" l="1"/>
  <c r="C768" i="27" s="1"/>
  <c r="AA767" i="14"/>
  <c r="E768" i="27" l="1"/>
  <c r="A769" i="27" l="1"/>
  <c r="C769" i="27" s="1"/>
  <c r="AA768" i="14"/>
  <c r="E769" i="27" l="1"/>
  <c r="A770" i="27" l="1"/>
  <c r="C770" i="27" s="1"/>
  <c r="AA769" i="14"/>
  <c r="E770" i="27" l="1"/>
  <c r="A771" i="27" l="1"/>
  <c r="C771" i="27" s="1"/>
  <c r="AA770" i="14"/>
  <c r="E771" i="27" l="1"/>
  <c r="A772" i="27" l="1"/>
  <c r="C772" i="27" s="1"/>
  <c r="AA771" i="14"/>
  <c r="E772" i="27" l="1"/>
  <c r="A773" i="27" l="1"/>
  <c r="C773" i="27" s="1"/>
  <c r="AA772" i="14"/>
  <c r="E773" i="27" l="1"/>
  <c r="A774" i="27" l="1"/>
  <c r="C774" i="27" s="1"/>
  <c r="AA773" i="14"/>
  <c r="E774" i="27" l="1"/>
  <c r="A775" i="27" l="1"/>
  <c r="C775" i="27" s="1"/>
  <c r="AA774" i="14"/>
  <c r="E775" i="27" l="1"/>
  <c r="A776" i="27" l="1"/>
  <c r="C776" i="27" s="1"/>
  <c r="AA775" i="14"/>
  <c r="E776" i="27" l="1"/>
  <c r="A777" i="27" l="1"/>
  <c r="C777" i="27" s="1"/>
  <c r="AA776" i="14"/>
  <c r="E777" i="27" l="1"/>
  <c r="A778" i="27" l="1"/>
  <c r="C778" i="27" s="1"/>
  <c r="AA777" i="14"/>
  <c r="E778" i="27" l="1"/>
  <c r="A779" i="27" l="1"/>
  <c r="C779" i="27" s="1"/>
  <c r="AA778" i="14"/>
  <c r="E779" i="27" l="1"/>
  <c r="A780" i="27" l="1"/>
  <c r="C780" i="27" s="1"/>
  <c r="AA779" i="14"/>
  <c r="E780" i="27" l="1"/>
  <c r="A781" i="27" l="1"/>
  <c r="C781" i="27" s="1"/>
  <c r="AA780" i="14"/>
  <c r="E781" i="27" l="1"/>
  <c r="A782" i="27" l="1"/>
  <c r="C782" i="27" s="1"/>
  <c r="AA781" i="14"/>
  <c r="E782" i="27" l="1"/>
  <c r="A783" i="27" l="1"/>
  <c r="C783" i="27" s="1"/>
  <c r="AA782" i="14"/>
  <c r="E783" i="27" l="1"/>
  <c r="A784" i="27" l="1"/>
  <c r="C784" i="27" s="1"/>
  <c r="AA783" i="14"/>
  <c r="E784" i="27" l="1"/>
  <c r="A785" i="27" l="1"/>
  <c r="C785" i="27" s="1"/>
  <c r="AA784" i="14"/>
  <c r="E785" i="27" l="1"/>
  <c r="A786" i="27" l="1"/>
  <c r="C786" i="27" s="1"/>
  <c r="AA785" i="14"/>
  <c r="E786" i="27" l="1"/>
  <c r="A787" i="27" l="1"/>
  <c r="C787" i="27" s="1"/>
  <c r="AA786" i="14"/>
  <c r="E787" i="27" l="1"/>
  <c r="A788" i="27" l="1"/>
  <c r="C788" i="27" s="1"/>
  <c r="AA787" i="14"/>
  <c r="E788" i="27" l="1"/>
  <c r="A789" i="27" l="1"/>
  <c r="C789" i="27" s="1"/>
  <c r="E789" i="27" s="1"/>
  <c r="AA788" i="14"/>
  <c r="A790" i="27" l="1"/>
  <c r="C790" i="27" s="1"/>
  <c r="AA789" i="14"/>
  <c r="E790" i="27" l="1"/>
  <c r="A791" i="27" l="1"/>
  <c r="C791" i="27" s="1"/>
  <c r="AA790" i="14"/>
  <c r="E791" i="27" l="1"/>
  <c r="A792" i="27" l="1"/>
  <c r="C792" i="27" s="1"/>
  <c r="AA791" i="14"/>
  <c r="E792" i="27" l="1"/>
  <c r="A793" i="27" l="1"/>
  <c r="C793" i="27" s="1"/>
  <c r="AA792" i="14"/>
  <c r="E793" i="27" l="1"/>
  <c r="A794" i="27" l="1"/>
  <c r="C794" i="27" s="1"/>
  <c r="AA793" i="14"/>
  <c r="E794" i="27" l="1"/>
  <c r="A795" i="27" l="1"/>
  <c r="C795" i="27" s="1"/>
  <c r="AA794" i="14"/>
  <c r="E795" i="27" l="1"/>
  <c r="A796" i="27" l="1"/>
  <c r="C796" i="27" s="1"/>
  <c r="AA795" i="14"/>
  <c r="E796" i="27" l="1"/>
  <c r="A797" i="27" l="1"/>
  <c r="C797" i="27" s="1"/>
  <c r="AA796" i="14"/>
  <c r="E797" i="27" l="1"/>
  <c r="A798" i="27" l="1"/>
  <c r="C798" i="27" s="1"/>
  <c r="AA797" i="14"/>
  <c r="E798" i="27" l="1"/>
  <c r="A799" i="27" l="1"/>
  <c r="C799" i="27" s="1"/>
  <c r="AA798" i="14"/>
  <c r="E799" i="27" l="1"/>
  <c r="A800" i="27" l="1"/>
  <c r="C800" i="27" s="1"/>
  <c r="AA799" i="14"/>
  <c r="E800" i="27" l="1"/>
  <c r="A801" i="27" l="1"/>
  <c r="C801" i="27" s="1"/>
  <c r="E801" i="27" s="1"/>
  <c r="AA800" i="14"/>
  <c r="A802" i="27" l="1"/>
  <c r="C802" i="27" s="1"/>
  <c r="AA801" i="14"/>
  <c r="E802" i="27" l="1"/>
  <c r="A803" i="27" l="1"/>
  <c r="C803" i="27" s="1"/>
  <c r="AA802" i="14"/>
  <c r="E803" i="27" l="1"/>
  <c r="A804" i="27" l="1"/>
  <c r="C804" i="27" s="1"/>
  <c r="AA803" i="14"/>
  <c r="E804" i="27" l="1"/>
  <c r="A805" i="27" l="1"/>
  <c r="C805" i="27" s="1"/>
  <c r="AA804" i="14"/>
  <c r="E805" i="27" l="1"/>
  <c r="A806" i="27" l="1"/>
  <c r="C806" i="27" s="1"/>
  <c r="AA805" i="14"/>
  <c r="E806" i="27" l="1"/>
  <c r="A807" i="27" l="1"/>
  <c r="C807" i="27" s="1"/>
  <c r="AA806" i="14"/>
  <c r="E807" i="27" l="1"/>
  <c r="A808" i="27" l="1"/>
  <c r="C808" i="27" s="1"/>
  <c r="AA807" i="14"/>
  <c r="E808" i="27" l="1"/>
  <c r="A809" i="27" l="1"/>
  <c r="C809" i="27" s="1"/>
  <c r="AA808" i="14"/>
  <c r="E809" i="27" l="1"/>
  <c r="A810" i="27" l="1"/>
  <c r="C810" i="27" s="1"/>
  <c r="E810" i="27" s="1"/>
  <c r="AA809" i="14"/>
  <c r="A811" i="27" l="1"/>
  <c r="C811" i="27" s="1"/>
  <c r="AA810" i="14"/>
  <c r="E811" i="27" l="1"/>
  <c r="A812" i="27" l="1"/>
  <c r="C812" i="27" s="1"/>
  <c r="AA811" i="14"/>
  <c r="E812" i="27" l="1"/>
  <c r="A813" i="27" l="1"/>
  <c r="C813" i="27" s="1"/>
  <c r="E813" i="27" s="1"/>
  <c r="AA812" i="14"/>
  <c r="A814" i="27" l="1"/>
  <c r="C814" i="27" s="1"/>
  <c r="AA813" i="14"/>
  <c r="E814" i="27" l="1"/>
  <c r="A815" i="27" l="1"/>
  <c r="C815" i="27" s="1"/>
  <c r="AA814" i="14"/>
  <c r="E815" i="27" l="1"/>
  <c r="A816" i="27" l="1"/>
  <c r="C816" i="27" s="1"/>
  <c r="AA815" i="14"/>
  <c r="E816" i="27" l="1"/>
  <c r="A817" i="27" l="1"/>
  <c r="C817" i="27" s="1"/>
  <c r="AA816" i="14"/>
  <c r="E817" i="27" l="1"/>
  <c r="A818" i="27" l="1"/>
  <c r="C818" i="27" s="1"/>
  <c r="AA817" i="14"/>
  <c r="E818" i="27" l="1"/>
  <c r="A819" i="27" l="1"/>
  <c r="C819" i="27" s="1"/>
  <c r="AA818" i="14"/>
  <c r="E819" i="27" l="1"/>
  <c r="A820" i="27" l="1"/>
  <c r="C820" i="27" s="1"/>
  <c r="AA819" i="14"/>
  <c r="E820" i="27" l="1"/>
  <c r="A821" i="27" l="1"/>
  <c r="C821" i="27" s="1"/>
  <c r="AA820" i="14"/>
  <c r="E821" i="27" l="1"/>
  <c r="A822" i="27" l="1"/>
  <c r="C822" i="27" s="1"/>
  <c r="AA821" i="14"/>
  <c r="E822" i="27" l="1"/>
  <c r="A823" i="27" l="1"/>
  <c r="C823" i="27" s="1"/>
  <c r="AA822" i="14"/>
  <c r="E823" i="27" l="1"/>
  <c r="A824" i="27" l="1"/>
  <c r="C824" i="27" s="1"/>
  <c r="AA823" i="14"/>
  <c r="E824" i="27" l="1"/>
  <c r="A825" i="27" l="1"/>
  <c r="C825" i="27" s="1"/>
  <c r="AA824" i="14"/>
  <c r="E825" i="27" l="1"/>
  <c r="A826" i="27" l="1"/>
  <c r="C826" i="27" s="1"/>
  <c r="AA825" i="14"/>
  <c r="E826" i="27" l="1"/>
  <c r="A827" i="27" l="1"/>
  <c r="C827" i="27" s="1"/>
  <c r="AA826" i="14"/>
  <c r="E827" i="27" l="1"/>
  <c r="A828" i="27" l="1"/>
  <c r="C828" i="27" s="1"/>
  <c r="AA827" i="14"/>
  <c r="E828" i="27" l="1"/>
  <c r="A829" i="27" l="1"/>
  <c r="C829" i="27" s="1"/>
  <c r="AA828" i="14"/>
  <c r="E829" i="27" l="1"/>
  <c r="A830" i="27" l="1"/>
  <c r="C830" i="27" s="1"/>
  <c r="AA829" i="14"/>
  <c r="E830" i="27" l="1"/>
  <c r="A831" i="27" l="1"/>
  <c r="C831" i="27" s="1"/>
  <c r="AA830" i="14"/>
  <c r="E831" i="27" l="1"/>
  <c r="A832" i="27" l="1"/>
  <c r="C832" i="27" s="1"/>
  <c r="AA831" i="14"/>
  <c r="E832" i="27" l="1"/>
  <c r="A833" i="27" l="1"/>
  <c r="C833" i="27" s="1"/>
  <c r="AA832" i="14"/>
  <c r="E833" i="27" l="1"/>
  <c r="A834" i="27" l="1"/>
  <c r="C834" i="27" s="1"/>
  <c r="AA833" i="14"/>
  <c r="E834" i="27" l="1"/>
  <c r="A835" i="27" l="1"/>
  <c r="C835" i="27" s="1"/>
  <c r="AA834" i="14"/>
  <c r="E835" i="27" l="1"/>
  <c r="A836" i="27" l="1"/>
  <c r="C836" i="27" s="1"/>
  <c r="AA835" i="14"/>
  <c r="E836" i="27" l="1"/>
  <c r="A837" i="27" l="1"/>
  <c r="C837" i="27" s="1"/>
  <c r="AA836" i="14"/>
  <c r="E837" i="27" l="1"/>
  <c r="A838" i="27" l="1"/>
  <c r="C838" i="27" s="1"/>
  <c r="AA837" i="14"/>
  <c r="E838" i="27" l="1"/>
  <c r="A839" i="27" l="1"/>
  <c r="C839" i="27" s="1"/>
  <c r="AA838" i="14"/>
  <c r="E839" i="27" l="1"/>
  <c r="A840" i="27" l="1"/>
  <c r="C840" i="27" s="1"/>
  <c r="AA839" i="14"/>
  <c r="E840" i="27" l="1"/>
  <c r="A841" i="27" l="1"/>
  <c r="C841" i="27" s="1"/>
  <c r="AA840" i="14"/>
  <c r="E841" i="27" l="1"/>
  <c r="A842" i="27" l="1"/>
  <c r="C842" i="27" s="1"/>
  <c r="AA841" i="14"/>
  <c r="E842" i="27" l="1"/>
  <c r="A843" i="27" l="1"/>
  <c r="C843" i="27" s="1"/>
  <c r="AA842" i="14"/>
  <c r="E843" i="27" l="1"/>
  <c r="A844" i="27" l="1"/>
  <c r="C844" i="27" s="1"/>
  <c r="E844" i="27" s="1"/>
  <c r="AA843" i="14"/>
  <c r="A845" i="27" l="1"/>
  <c r="C845" i="27" s="1"/>
  <c r="AA844" i="14"/>
  <c r="E845" i="27" l="1"/>
  <c r="A846" i="27" l="1"/>
  <c r="C846" i="27" s="1"/>
  <c r="AA845" i="14"/>
  <c r="E846" i="27" l="1"/>
  <c r="A847" i="27" l="1"/>
  <c r="C847" i="27" s="1"/>
  <c r="AA846" i="14"/>
  <c r="E847" i="27" l="1"/>
  <c r="A848" i="27" l="1"/>
  <c r="C848" i="27" s="1"/>
  <c r="AA847" i="14"/>
  <c r="E848" i="27" l="1"/>
  <c r="A849" i="27" l="1"/>
  <c r="C849" i="27" s="1"/>
  <c r="AA848" i="14"/>
  <c r="E849" i="27" l="1"/>
  <c r="A850" i="27" l="1"/>
  <c r="C850" i="27" s="1"/>
  <c r="AA849" i="14"/>
  <c r="E850" i="27" l="1"/>
  <c r="A851" i="27" l="1"/>
  <c r="C851" i="27" s="1"/>
  <c r="AA850" i="14"/>
  <c r="E851" i="27" l="1"/>
  <c r="A852" i="27" l="1"/>
  <c r="C852" i="27" s="1"/>
  <c r="AA851" i="14"/>
  <c r="E852" i="27" l="1"/>
  <c r="A853" i="27" l="1"/>
  <c r="C853" i="27" s="1"/>
  <c r="AA852" i="14"/>
  <c r="E853" i="27" l="1"/>
  <c r="A854" i="27" l="1"/>
  <c r="C854" i="27" s="1"/>
  <c r="AA853" i="14"/>
  <c r="E854" i="27" l="1"/>
  <c r="A855" i="27" l="1"/>
  <c r="C855" i="27" s="1"/>
  <c r="AA854" i="14"/>
  <c r="E855" i="27" l="1"/>
  <c r="A856" i="27" l="1"/>
  <c r="C856" i="27" s="1"/>
  <c r="AA855" i="14"/>
  <c r="E856" i="27" l="1"/>
  <c r="A857" i="27" l="1"/>
  <c r="C857" i="27" s="1"/>
  <c r="AA856" i="14"/>
  <c r="E857" i="27" l="1"/>
  <c r="A858" i="27" l="1"/>
  <c r="C858" i="27" s="1"/>
  <c r="E858" i="27" s="1"/>
  <c r="AA857" i="14"/>
  <c r="A859" i="27" l="1"/>
  <c r="C859" i="27" s="1"/>
  <c r="AA858" i="14"/>
  <c r="E859" i="27" l="1"/>
  <c r="A860" i="27" l="1"/>
  <c r="C860" i="27" s="1"/>
  <c r="AA859" i="14"/>
  <c r="E860" i="27" l="1"/>
  <c r="A861" i="27" l="1"/>
  <c r="C861" i="27" s="1"/>
  <c r="AA860" i="14"/>
  <c r="E861" i="27" l="1"/>
  <c r="A862" i="27" l="1"/>
  <c r="C862" i="27" s="1"/>
  <c r="AA861" i="14"/>
  <c r="E862" i="27" l="1"/>
  <c r="A863" i="27" l="1"/>
  <c r="C863" i="27" s="1"/>
  <c r="AA862" i="14"/>
  <c r="E863" i="27" l="1"/>
  <c r="A864" i="27" l="1"/>
  <c r="C864" i="27" s="1"/>
  <c r="AA863" i="14"/>
  <c r="E864" i="27" l="1"/>
  <c r="A865" i="27" l="1"/>
  <c r="C865" i="27" s="1"/>
  <c r="AA864" i="14"/>
  <c r="E865" i="27" l="1"/>
  <c r="A866" i="27" l="1"/>
  <c r="C866" i="27" s="1"/>
  <c r="AA865" i="14"/>
  <c r="E866" i="27" l="1"/>
  <c r="A867" i="27" l="1"/>
  <c r="C867" i="27" s="1"/>
  <c r="AA866" i="14"/>
  <c r="E867" i="27" l="1"/>
  <c r="A868" i="27" l="1"/>
  <c r="C868" i="27" s="1"/>
  <c r="AA867" i="14"/>
  <c r="E868" i="27" l="1"/>
  <c r="A869" i="27" l="1"/>
  <c r="C869" i="27" s="1"/>
  <c r="AA868" i="14"/>
  <c r="E869" i="27" l="1"/>
  <c r="A870" i="27" l="1"/>
  <c r="C870" i="27" s="1"/>
  <c r="AA869" i="14"/>
  <c r="E870" i="27" l="1"/>
  <c r="A871" i="27" l="1"/>
  <c r="C871" i="27" s="1"/>
  <c r="AA870" i="14"/>
  <c r="E871" i="27" l="1"/>
  <c r="A872" i="27" l="1"/>
  <c r="C872" i="27" s="1"/>
  <c r="AA871" i="14"/>
  <c r="E872" i="27" l="1"/>
  <c r="A873" i="27" l="1"/>
  <c r="C873" i="27" s="1"/>
  <c r="AA872" i="14"/>
  <c r="E873" i="27" l="1"/>
  <c r="A874" i="27" l="1"/>
  <c r="C874" i="27" s="1"/>
  <c r="AA873" i="14"/>
  <c r="E874" i="27" l="1"/>
  <c r="A875" i="27" l="1"/>
  <c r="C875" i="27" s="1"/>
  <c r="AA874" i="14"/>
  <c r="E875" i="27" l="1"/>
  <c r="A876" i="27" l="1"/>
  <c r="C876" i="27" s="1"/>
  <c r="AA875" i="14"/>
  <c r="E876" i="27" l="1"/>
  <c r="A877" i="27" l="1"/>
  <c r="C877" i="27" s="1"/>
  <c r="AA876" i="14"/>
  <c r="E877" i="27" l="1"/>
  <c r="A878" i="27" l="1"/>
  <c r="C878" i="27" s="1"/>
  <c r="AA877" i="14"/>
  <c r="E878" i="27" l="1"/>
  <c r="A879" i="27" l="1"/>
  <c r="C879" i="27" s="1"/>
  <c r="AA878" i="14"/>
  <c r="E879" i="27" l="1"/>
  <c r="A880" i="27" l="1"/>
  <c r="C880" i="27" s="1"/>
  <c r="AA879" i="14"/>
  <c r="E880" i="27" l="1"/>
  <c r="A881" i="27" l="1"/>
  <c r="C881" i="27" s="1"/>
  <c r="AA880" i="14"/>
  <c r="E881" i="27" l="1"/>
  <c r="A882" i="27" l="1"/>
  <c r="C882" i="27" s="1"/>
  <c r="AA881" i="14"/>
  <c r="E882" i="27" l="1"/>
  <c r="A883" i="27" l="1"/>
  <c r="C883" i="27" s="1"/>
  <c r="AA882" i="14"/>
  <c r="E883" i="27" l="1"/>
  <c r="A884" i="27" l="1"/>
  <c r="C884" i="27" s="1"/>
  <c r="AA883" i="14"/>
  <c r="E884" i="27" l="1"/>
  <c r="A885" i="27" l="1"/>
  <c r="C885" i="27" s="1"/>
  <c r="AA884" i="14"/>
  <c r="E885" i="27" l="1"/>
  <c r="A886" i="27" l="1"/>
  <c r="C886" i="27" s="1"/>
  <c r="AA885" i="14"/>
  <c r="E886" i="27" l="1"/>
  <c r="A887" i="27" l="1"/>
  <c r="C887" i="27" s="1"/>
  <c r="AA886" i="14"/>
  <c r="E887" i="27" l="1"/>
  <c r="A888" i="27" l="1"/>
  <c r="C888" i="27" s="1"/>
  <c r="AA887" i="14"/>
  <c r="E888" i="27" l="1"/>
  <c r="A889" i="27" l="1"/>
  <c r="C889" i="27" s="1"/>
  <c r="AA888" i="14"/>
  <c r="E889" i="27" l="1"/>
  <c r="A890" i="27" l="1"/>
  <c r="C890" i="27" s="1"/>
  <c r="AA889" i="14"/>
  <c r="E890" i="27" l="1"/>
  <c r="A891" i="27" l="1"/>
  <c r="C891" i="27" s="1"/>
  <c r="AA890" i="14"/>
  <c r="E891" i="27" l="1"/>
  <c r="A892" i="27" l="1"/>
  <c r="C892" i="27" s="1"/>
  <c r="E892" i="27" s="1"/>
  <c r="AA891" i="14"/>
  <c r="A893" i="27" l="1"/>
  <c r="C893" i="27" s="1"/>
  <c r="AA892" i="14"/>
  <c r="E893" i="27" l="1"/>
  <c r="A894" i="27" l="1"/>
  <c r="C894" i="27" s="1"/>
  <c r="AA893" i="14"/>
  <c r="E894" i="27" l="1"/>
  <c r="A895" i="27" l="1"/>
  <c r="C895" i="27" s="1"/>
  <c r="AA894" i="14"/>
  <c r="E895" i="27" l="1"/>
  <c r="A896" i="27" l="1"/>
  <c r="C896" i="27" s="1"/>
  <c r="AA895" i="14"/>
  <c r="E896" i="27" l="1"/>
  <c r="A897" i="27" l="1"/>
  <c r="C897" i="27" s="1"/>
  <c r="AA896" i="14"/>
  <c r="E897" i="27" l="1"/>
  <c r="A898" i="27" l="1"/>
  <c r="C898" i="27" s="1"/>
  <c r="AA897" i="14"/>
  <c r="E898" i="27" l="1"/>
  <c r="A899" i="27" l="1"/>
  <c r="C899" i="27" s="1"/>
  <c r="AA898" i="14"/>
  <c r="E899" i="27" l="1"/>
  <c r="A900" i="27" l="1"/>
  <c r="C900" i="27" s="1"/>
  <c r="AA899" i="14"/>
  <c r="E900" i="27" l="1"/>
  <c r="A901" i="27" l="1"/>
  <c r="C901" i="27" s="1"/>
  <c r="AA900" i="14"/>
  <c r="E901" i="27" l="1"/>
  <c r="A902" i="27" l="1"/>
  <c r="C902" i="27" s="1"/>
  <c r="AA901" i="14"/>
  <c r="E902" i="27" l="1"/>
  <c r="A903" i="27" l="1"/>
  <c r="C903" i="27" s="1"/>
  <c r="AA902" i="14"/>
  <c r="E903" i="27" l="1"/>
  <c r="A904" i="27" l="1"/>
  <c r="C904" i="27" s="1"/>
  <c r="AA903" i="14"/>
  <c r="E904" i="27" l="1"/>
  <c r="A905" i="27" l="1"/>
  <c r="C905" i="27" s="1"/>
  <c r="AA904" i="14"/>
  <c r="E905" i="27" l="1"/>
  <c r="A906" i="27" l="1"/>
  <c r="C906" i="27" s="1"/>
  <c r="AA905" i="14"/>
  <c r="E906" i="27" l="1"/>
  <c r="A907" i="27" l="1"/>
  <c r="C907" i="27" s="1"/>
  <c r="AA906" i="14"/>
  <c r="E907" i="27" l="1"/>
  <c r="A908" i="27" l="1"/>
  <c r="C908" i="27" s="1"/>
  <c r="AA907" i="14"/>
  <c r="E908" i="27" l="1"/>
  <c r="A909" i="27" l="1"/>
  <c r="C909" i="27" s="1"/>
  <c r="AA908" i="14"/>
  <c r="E909" i="27" l="1"/>
  <c r="A910" i="27" l="1"/>
  <c r="C910" i="27" s="1"/>
  <c r="AA909" i="14"/>
  <c r="E910" i="27" l="1"/>
  <c r="A911" i="27" l="1"/>
  <c r="C911" i="27" s="1"/>
  <c r="AA910" i="14"/>
  <c r="E911" i="27" l="1"/>
  <c r="A912" i="27" l="1"/>
  <c r="C912" i="27" s="1"/>
  <c r="AA911" i="14"/>
  <c r="E912" i="27" l="1"/>
  <c r="A913" i="27" l="1"/>
  <c r="C913" i="27" s="1"/>
  <c r="AA912" i="14"/>
  <c r="E913" i="27" l="1"/>
  <c r="A914" i="27" l="1"/>
  <c r="C914" i="27" s="1"/>
  <c r="AA913" i="14"/>
  <c r="E914" i="27" l="1"/>
  <c r="A915" i="27" l="1"/>
  <c r="C915" i="27" s="1"/>
  <c r="E915" i="27" s="1"/>
  <c r="AA915" i="14" s="1"/>
  <c r="AA914" i="14"/>
  <c r="A916" i="27" l="1"/>
  <c r="C916" i="27" l="1"/>
  <c r="E916" i="27" l="1"/>
  <c r="A917" i="27" l="1"/>
  <c r="C917" i="27" s="1"/>
  <c r="AA916" i="14"/>
  <c r="E917" i="27" l="1"/>
  <c r="A918" i="27" l="1"/>
  <c r="C918" i="27" s="1"/>
  <c r="AA917" i="14"/>
  <c r="E918" i="27" l="1"/>
  <c r="A919" i="27" l="1"/>
  <c r="C919" i="27" s="1"/>
  <c r="AA918" i="14"/>
  <c r="E919" i="27" l="1"/>
  <c r="A920" i="27" l="1"/>
  <c r="C920" i="27" s="1"/>
  <c r="AA919" i="14"/>
  <c r="E920" i="27" l="1"/>
  <c r="A921" i="27" l="1"/>
  <c r="C921" i="27" s="1"/>
  <c r="AA920" i="14"/>
  <c r="E921" i="27" l="1"/>
  <c r="A922" i="27" l="1"/>
  <c r="C922" i="27" s="1"/>
  <c r="AA921" i="14"/>
  <c r="E922" i="27" l="1"/>
  <c r="A923" i="27" l="1"/>
  <c r="C923" i="27" s="1"/>
  <c r="AA922" i="14"/>
  <c r="E923" i="27" l="1"/>
  <c r="A924" i="27" l="1"/>
  <c r="C924" i="27" s="1"/>
  <c r="AA923" i="14"/>
  <c r="E924" i="27" l="1"/>
  <c r="A925" i="27" l="1"/>
  <c r="C925" i="27" s="1"/>
  <c r="AA924" i="14"/>
  <c r="E925" i="27" l="1"/>
  <c r="A926" i="27" l="1"/>
  <c r="C926" i="27" s="1"/>
  <c r="AA925" i="14"/>
  <c r="E926" i="27" l="1"/>
  <c r="A927" i="27" l="1"/>
  <c r="C927" i="27" s="1"/>
  <c r="AA926" i="14"/>
  <c r="E927" i="27" l="1"/>
  <c r="A928" i="27" l="1"/>
  <c r="C928" i="27" s="1"/>
  <c r="E928" i="27" s="1"/>
  <c r="AA927" i="14"/>
  <c r="A929" i="27" l="1"/>
  <c r="C929" i="27" s="1"/>
  <c r="AA928" i="14"/>
  <c r="E929" i="27" l="1"/>
  <c r="A930" i="27" l="1"/>
  <c r="C930" i="27" s="1"/>
  <c r="AA929" i="14"/>
  <c r="E930" i="27" l="1"/>
  <c r="A931" i="27" l="1"/>
  <c r="C931" i="27" s="1"/>
  <c r="AA930" i="14"/>
  <c r="E931" i="27" l="1"/>
  <c r="A932" i="27" l="1"/>
  <c r="C932" i="27" s="1"/>
  <c r="AA931" i="14"/>
  <c r="E932" i="27" l="1"/>
  <c r="A933" i="27" l="1"/>
  <c r="C933" i="27" s="1"/>
  <c r="AA932" i="14"/>
  <c r="E933" i="27" l="1"/>
  <c r="A934" i="27" l="1"/>
  <c r="C934" i="27" s="1"/>
  <c r="AA933" i="14"/>
  <c r="E934" i="27" l="1"/>
  <c r="A935" i="27" l="1"/>
  <c r="C935" i="27" s="1"/>
  <c r="AA934" i="14"/>
  <c r="E935" i="27" l="1"/>
  <c r="A936" i="27" l="1"/>
  <c r="C936" i="27" s="1"/>
  <c r="AA935" i="14"/>
  <c r="E936" i="27" l="1"/>
  <c r="A937" i="27" l="1"/>
  <c r="C937" i="27" s="1"/>
  <c r="AA936" i="14"/>
  <c r="E937" i="27" l="1"/>
  <c r="A938" i="27" l="1"/>
  <c r="C938" i="27" s="1"/>
  <c r="AA937" i="14"/>
  <c r="E938" i="27" l="1"/>
  <c r="A939" i="27" l="1"/>
  <c r="C939" i="27" s="1"/>
  <c r="AA938" i="14"/>
  <c r="E939" i="27" l="1"/>
  <c r="A940" i="27" l="1"/>
  <c r="C940" i="27" s="1"/>
  <c r="AA939" i="14"/>
  <c r="E940" i="27" l="1"/>
  <c r="A941" i="27" l="1"/>
  <c r="C941" i="27" s="1"/>
  <c r="AA940" i="14"/>
  <c r="E941" i="27" l="1"/>
  <c r="A942" i="27" l="1"/>
  <c r="C942" i="27" s="1"/>
  <c r="AA941" i="14"/>
  <c r="E942" i="27" l="1"/>
  <c r="A943" i="27" l="1"/>
  <c r="C943" i="27" s="1"/>
  <c r="AA942" i="14"/>
  <c r="E943" i="27" l="1"/>
  <c r="A944" i="27" l="1"/>
  <c r="C944" i="27" s="1"/>
  <c r="AA943" i="14"/>
  <c r="E944" i="27" l="1"/>
  <c r="A945" i="27" l="1"/>
  <c r="C945" i="27" s="1"/>
  <c r="AA944" i="14"/>
  <c r="E945" i="27" l="1"/>
  <c r="A946" i="27" l="1"/>
  <c r="C946" i="27" s="1"/>
  <c r="AA945" i="14"/>
  <c r="E946" i="27" l="1"/>
  <c r="A947" i="27" l="1"/>
  <c r="C947" i="27" s="1"/>
  <c r="AA946" i="14"/>
  <c r="E947" i="27" l="1"/>
  <c r="A948" i="27" l="1"/>
  <c r="C948" i="27" s="1"/>
  <c r="AA947" i="14"/>
  <c r="E948" i="27" l="1"/>
  <c r="A949" i="27" l="1"/>
  <c r="C949" i="27" s="1"/>
  <c r="AA948" i="14"/>
  <c r="E949" i="27" l="1"/>
  <c r="A950" i="27" l="1"/>
  <c r="C950" i="27" s="1"/>
  <c r="AA949" i="14"/>
  <c r="E950" i="27" l="1"/>
  <c r="A951" i="27" l="1"/>
  <c r="C951" i="27" s="1"/>
  <c r="AA950" i="14"/>
  <c r="E951" i="27" l="1"/>
  <c r="A952" i="27" l="1"/>
  <c r="C952" i="27" s="1"/>
  <c r="AA951" i="14"/>
  <c r="E952" i="27" l="1"/>
  <c r="A953" i="27" l="1"/>
  <c r="C953" i="27" s="1"/>
  <c r="AA952" i="14"/>
  <c r="E953" i="27" l="1"/>
  <c r="A954" i="27" l="1"/>
  <c r="C954" i="27" s="1"/>
  <c r="AA953" i="14"/>
  <c r="E954" i="27" l="1"/>
  <c r="A955" i="27" l="1"/>
  <c r="C955" i="27" s="1"/>
  <c r="AA954" i="14"/>
  <c r="E955" i="27" l="1"/>
  <c r="A956" i="27" l="1"/>
  <c r="C956" i="27" s="1"/>
  <c r="AA955" i="14"/>
  <c r="E956" i="27" l="1"/>
  <c r="A957" i="27" l="1"/>
  <c r="C957" i="27" s="1"/>
  <c r="AA956" i="14"/>
  <c r="E957" i="27" l="1"/>
  <c r="A958" i="27" l="1"/>
  <c r="C958" i="27" s="1"/>
  <c r="AA957" i="14"/>
  <c r="E958" i="27" l="1"/>
  <c r="A959" i="27" l="1"/>
  <c r="C959" i="27" s="1"/>
  <c r="AA958" i="14"/>
  <c r="E959" i="27" l="1"/>
  <c r="A960" i="27" l="1"/>
  <c r="C960" i="27" s="1"/>
  <c r="AA959" i="14"/>
  <c r="E960" i="27" l="1"/>
  <c r="A961" i="27" l="1"/>
  <c r="C961" i="27" s="1"/>
  <c r="AA960" i="14"/>
  <c r="E961" i="27" l="1"/>
  <c r="A962" i="27" l="1"/>
  <c r="C962" i="27" s="1"/>
  <c r="AA961" i="14"/>
  <c r="E962" i="27" l="1"/>
  <c r="A963" i="27" l="1"/>
  <c r="C963" i="27" s="1"/>
  <c r="AA962" i="14"/>
  <c r="E963" i="27" l="1"/>
  <c r="A964" i="27" l="1"/>
  <c r="C964" i="27" s="1"/>
  <c r="AA963" i="14"/>
  <c r="E964" i="27" l="1"/>
  <c r="A965" i="27" l="1"/>
  <c r="C965" i="27" s="1"/>
  <c r="AA964" i="14"/>
  <c r="E965" i="27" l="1"/>
  <c r="A966" i="27" l="1"/>
  <c r="C966" i="27" s="1"/>
  <c r="AA965" i="14"/>
  <c r="E966" i="27" l="1"/>
  <c r="A967" i="27" l="1"/>
  <c r="C967" i="27" s="1"/>
  <c r="AA966" i="14"/>
  <c r="E967" i="27" l="1"/>
  <c r="A968" i="27" l="1"/>
  <c r="C968" i="27" s="1"/>
  <c r="AA967" i="14"/>
  <c r="E968" i="27" l="1"/>
  <c r="A969" i="27" l="1"/>
  <c r="C969" i="27" s="1"/>
  <c r="AA968" i="14"/>
  <c r="E969" i="27" l="1"/>
  <c r="A970" i="27" l="1"/>
  <c r="C970" i="27" s="1"/>
  <c r="AA969" i="14"/>
  <c r="E970" i="27" l="1"/>
  <c r="A971" i="27" l="1"/>
  <c r="C971" i="27" s="1"/>
  <c r="AA970" i="14"/>
  <c r="E971" i="27" l="1"/>
  <c r="A972" i="27" l="1"/>
  <c r="C972" i="27" s="1"/>
  <c r="AA971" i="14"/>
  <c r="E972" i="27" l="1"/>
  <c r="A973" i="27" l="1"/>
  <c r="C973" i="27" s="1"/>
  <c r="AA972" i="14"/>
  <c r="E973" i="27" l="1"/>
  <c r="A974" i="27" l="1"/>
  <c r="C974" i="27" s="1"/>
  <c r="AA973" i="14"/>
  <c r="E974" i="27" l="1"/>
  <c r="A975" i="27" l="1"/>
  <c r="C975" i="27" s="1"/>
  <c r="AA974" i="14"/>
  <c r="E975" i="27" l="1"/>
  <c r="A976" i="27" l="1"/>
  <c r="C976" i="27" s="1"/>
  <c r="AA975" i="14"/>
  <c r="E976" i="27" l="1"/>
  <c r="A977" i="27" l="1"/>
  <c r="C977" i="27" s="1"/>
  <c r="AA976" i="14"/>
  <c r="E977" i="27" l="1"/>
  <c r="A978" i="27" l="1"/>
  <c r="C978" i="27" s="1"/>
  <c r="AA977" i="14"/>
  <c r="E978" i="27" l="1"/>
  <c r="A979" i="27" l="1"/>
  <c r="C979" i="27" s="1"/>
  <c r="AA978" i="14"/>
  <c r="E979" i="27" l="1"/>
  <c r="A980" i="27" l="1"/>
  <c r="C980" i="27" s="1"/>
  <c r="AA979" i="14"/>
  <c r="E980" i="27" l="1"/>
  <c r="A981" i="27" l="1"/>
  <c r="C981" i="27" s="1"/>
  <c r="AA980" i="14"/>
  <c r="E981" i="27" l="1"/>
  <c r="A982" i="27" l="1"/>
  <c r="C982" i="27" s="1"/>
  <c r="AA981" i="14"/>
  <c r="E982" i="27" l="1"/>
  <c r="A983" i="27" l="1"/>
  <c r="C983" i="27" s="1"/>
  <c r="AA982" i="14"/>
  <c r="E983" i="27" l="1"/>
  <c r="A984" i="27" l="1"/>
  <c r="C984" i="27" s="1"/>
  <c r="AA983" i="14"/>
  <c r="E984" i="27" l="1"/>
  <c r="A985" i="27" l="1"/>
  <c r="C985" i="27" s="1"/>
  <c r="AA984" i="14"/>
  <c r="E985" i="27" l="1"/>
  <c r="A986" i="27" l="1"/>
  <c r="C986" i="27" s="1"/>
  <c r="AA985" i="14"/>
  <c r="E986" i="27" l="1"/>
  <c r="A987" i="27" l="1"/>
  <c r="C987" i="27" s="1"/>
  <c r="AA986" i="14"/>
  <c r="E987" i="27" l="1"/>
  <c r="A988" i="27" l="1"/>
  <c r="C988" i="27" s="1"/>
  <c r="AA987" i="14"/>
  <c r="E988" i="27" l="1"/>
  <c r="A989" i="27" l="1"/>
  <c r="C989" i="27" s="1"/>
  <c r="AA988" i="14"/>
  <c r="E989" i="27" l="1"/>
  <c r="A990" i="27" l="1"/>
  <c r="C990" i="27" s="1"/>
  <c r="AA989" i="14"/>
  <c r="E990" i="27" l="1"/>
  <c r="A991" i="27" l="1"/>
  <c r="C991" i="27" s="1"/>
  <c r="AA990" i="14"/>
  <c r="E991" i="27" l="1"/>
  <c r="A992" i="27" l="1"/>
  <c r="C992" i="27" s="1"/>
  <c r="AA991" i="14"/>
  <c r="E992" i="27" l="1"/>
  <c r="A993" i="27" l="1"/>
  <c r="C993" i="27" s="1"/>
  <c r="AA992" i="14"/>
  <c r="E993" i="27" l="1"/>
  <c r="A994" i="27" l="1"/>
  <c r="C994" i="27" s="1"/>
  <c r="AA993" i="14"/>
  <c r="E994" i="27" l="1"/>
  <c r="A995" i="27" l="1"/>
  <c r="C995" i="27" s="1"/>
  <c r="AA994" i="14"/>
  <c r="E995" i="27" l="1"/>
  <c r="A996" i="27" l="1"/>
  <c r="C996" i="27" s="1"/>
  <c r="AA995" i="14"/>
  <c r="E996" i="27" l="1"/>
  <c r="A997" i="27" l="1"/>
  <c r="C997" i="27" s="1"/>
  <c r="AA996" i="14"/>
  <c r="E997" i="27" l="1"/>
  <c r="A998" i="27" l="1"/>
  <c r="C998" i="27" s="1"/>
  <c r="AA997" i="14"/>
  <c r="E998" i="27" l="1"/>
  <c r="A999" i="27" l="1"/>
  <c r="C999" i="27" s="1"/>
  <c r="AA998" i="14"/>
  <c r="E999" i="27" l="1"/>
  <c r="A1000" i="27" l="1"/>
  <c r="C1000" i="27" s="1"/>
  <c r="AA999" i="14"/>
  <c r="E1000" i="27" l="1"/>
  <c r="A1001" i="27" l="1"/>
  <c r="C1001" i="27" s="1"/>
  <c r="AA1000" i="14"/>
  <c r="E1001" i="27" l="1"/>
  <c r="A1002" i="27" l="1"/>
  <c r="C1002" i="27" s="1"/>
  <c r="AA1001" i="14"/>
  <c r="E1002" i="27" l="1"/>
  <c r="A1003" i="27" l="1"/>
  <c r="C1003" i="27" s="1"/>
  <c r="AA1002" i="14"/>
  <c r="E1003" i="27" l="1"/>
  <c r="A1004" i="27" l="1"/>
  <c r="C1004" i="27" s="1"/>
  <c r="AA1003" i="14"/>
  <c r="E1004" i="27" l="1"/>
  <c r="A1005" i="27" l="1"/>
  <c r="C1005" i="27" s="1"/>
  <c r="AA1004" i="14"/>
  <c r="E1005" i="27" l="1"/>
  <c r="A1006" i="27" l="1"/>
  <c r="C1006" i="27" s="1"/>
  <c r="AA1005" i="14"/>
  <c r="E1006" i="27" l="1"/>
  <c r="A1007" i="27" l="1"/>
  <c r="C1007" i="27" s="1"/>
  <c r="AA1006" i="14"/>
  <c r="E1007" i="27" l="1"/>
  <c r="A1008" i="27" l="1"/>
  <c r="C1008" i="27" s="1"/>
  <c r="AA1007" i="14"/>
  <c r="E1008" i="27" l="1"/>
  <c r="A1009" i="27" l="1"/>
  <c r="C1009" i="27" s="1"/>
  <c r="AA1008" i="14"/>
  <c r="E1009" i="27" l="1"/>
  <c r="A1010" i="27" l="1"/>
  <c r="C1010" i="27" s="1"/>
  <c r="AA1009" i="14"/>
  <c r="E1010" i="27" l="1"/>
  <c r="A1011" i="27" l="1"/>
  <c r="C1011" i="27" s="1"/>
  <c r="AA1010" i="14"/>
  <c r="E1011" i="27" l="1"/>
  <c r="A1012" i="27" l="1"/>
  <c r="C1012" i="27" s="1"/>
  <c r="AA1011" i="14"/>
  <c r="E1012" i="27" l="1"/>
  <c r="A1013" i="27" l="1"/>
  <c r="C1013" i="27" s="1"/>
  <c r="AA1012" i="14"/>
  <c r="E1013" i="27" l="1"/>
  <c r="A1014" i="27" l="1"/>
  <c r="C1014" i="27" s="1"/>
  <c r="AA1013" i="14"/>
  <c r="E1014" i="27" l="1"/>
  <c r="A1015" i="27" l="1"/>
  <c r="C1015" i="27" s="1"/>
  <c r="AA1014" i="14"/>
  <c r="E1015" i="27" l="1"/>
  <c r="A1016" i="27" l="1"/>
  <c r="C1016" i="27" s="1"/>
  <c r="AA1015" i="14"/>
  <c r="E1016" i="27" l="1"/>
  <c r="A1017" i="27" l="1"/>
  <c r="C1017" i="27" s="1"/>
  <c r="AA1016" i="14"/>
  <c r="E1017" i="27" l="1"/>
  <c r="A1018" i="27" l="1"/>
  <c r="C1018" i="27" s="1"/>
  <c r="AA1017" i="14"/>
  <c r="E1018" i="27" l="1"/>
  <c r="A1019" i="27" l="1"/>
  <c r="C1019" i="27" s="1"/>
  <c r="AA1018" i="14"/>
  <c r="E1019" i="27" l="1"/>
  <c r="A1020" i="27" l="1"/>
  <c r="C1020" i="27" s="1"/>
  <c r="AA1019" i="14"/>
  <c r="E1020" i="27" l="1"/>
  <c r="A1021" i="27" l="1"/>
  <c r="C1021" i="27" s="1"/>
  <c r="AA1020" i="14"/>
  <c r="E1021" i="27" l="1"/>
  <c r="A1022" i="27" l="1"/>
  <c r="C1022" i="27" s="1"/>
  <c r="AA1021" i="14"/>
  <c r="E1022" i="27" l="1"/>
  <c r="A1023" i="27" l="1"/>
  <c r="C1023" i="27" s="1"/>
  <c r="AA1022" i="14"/>
  <c r="E1023" i="27" l="1"/>
  <c r="A1024" i="27" l="1"/>
  <c r="C1024" i="27" s="1"/>
  <c r="AA1023" i="14"/>
  <c r="E1024" i="27" l="1"/>
  <c r="A1025" i="27" l="1"/>
  <c r="C1025" i="27" s="1"/>
  <c r="AA1024" i="14"/>
  <c r="E1025" i="27" l="1"/>
  <c r="A1026" i="27" l="1"/>
  <c r="C1026" i="27" s="1"/>
  <c r="AA1025" i="14"/>
  <c r="E1026" i="27" l="1"/>
  <c r="A1027" i="27" l="1"/>
  <c r="C1027" i="27" s="1"/>
  <c r="AA1026" i="14"/>
  <c r="E1027" i="27" l="1"/>
  <c r="A1028" i="27" l="1"/>
  <c r="C1028" i="27" s="1"/>
  <c r="AA1027" i="14"/>
  <c r="E1028" i="27" l="1"/>
  <c r="A1029" i="27" l="1"/>
  <c r="C1029" i="27" s="1"/>
  <c r="AA1028" i="14"/>
  <c r="E1029" i="27" l="1"/>
  <c r="A1030" i="27" l="1"/>
  <c r="C1030" i="27" s="1"/>
  <c r="AA1029" i="14"/>
  <c r="E1030" i="27" l="1"/>
  <c r="A1031" i="27" l="1"/>
  <c r="C1031" i="27" s="1"/>
  <c r="AA1030" i="14"/>
  <c r="E1031" i="27" l="1"/>
  <c r="A1032" i="27" l="1"/>
  <c r="C1032" i="27" s="1"/>
  <c r="AA1031" i="14"/>
  <c r="E1032" i="27" l="1"/>
  <c r="A1033" i="27" l="1"/>
  <c r="C1033" i="27" s="1"/>
  <c r="AA1032" i="14"/>
  <c r="E1033" i="27" l="1"/>
  <c r="A1034" i="27" l="1"/>
  <c r="C1034" i="27" s="1"/>
  <c r="AA1033" i="14"/>
  <c r="E1034" i="27" l="1"/>
  <c r="A1035" i="27" l="1"/>
  <c r="C1035" i="27" s="1"/>
  <c r="E1035" i="27" s="1"/>
  <c r="AA1034" i="14"/>
  <c r="A1036" i="27" l="1"/>
  <c r="C1036" i="27" s="1"/>
  <c r="AA1035" i="14"/>
  <c r="E1036" i="27" l="1"/>
  <c r="A1037" i="27" l="1"/>
  <c r="C1037" i="27" s="1"/>
  <c r="AA1036" i="14"/>
  <c r="E1037" i="27" l="1"/>
  <c r="A1038" i="27" l="1"/>
  <c r="C1038" i="27" s="1"/>
  <c r="AA1037" i="14"/>
  <c r="E1038" i="27" l="1"/>
  <c r="A1039" i="27" l="1"/>
  <c r="C1039" i="27" s="1"/>
  <c r="AA1038" i="14"/>
  <c r="E1039" i="27" l="1"/>
  <c r="A1040" i="27" l="1"/>
  <c r="C1040" i="27" s="1"/>
  <c r="AA1039" i="14"/>
  <c r="E1040" i="27" l="1"/>
  <c r="A1041" i="27" l="1"/>
  <c r="C1041" i="27" s="1"/>
  <c r="AA1040" i="14"/>
  <c r="E1041" i="27" l="1"/>
  <c r="A1042" i="27" l="1"/>
  <c r="C1042" i="27" s="1"/>
  <c r="AA1041" i="14"/>
  <c r="E1042" i="27" l="1"/>
  <c r="A1043" i="27" l="1"/>
  <c r="C1043" i="27" s="1"/>
  <c r="AA1042" i="14"/>
  <c r="E1043" i="27" l="1"/>
  <c r="A1044" i="27" l="1"/>
  <c r="C1044" i="27" s="1"/>
  <c r="AA1043" i="14"/>
  <c r="E1044" i="27" l="1"/>
  <c r="A1045" i="27" l="1"/>
  <c r="C1045" i="27" s="1"/>
  <c r="E1045" i="27" s="1"/>
  <c r="AA1044" i="14"/>
  <c r="A1046" i="27" l="1"/>
  <c r="C1046" i="27" s="1"/>
  <c r="AA1045" i="14"/>
  <c r="E1046" i="27" l="1"/>
  <c r="A1047" i="27" l="1"/>
  <c r="C1047" i="27" s="1"/>
  <c r="AA1046" i="14"/>
  <c r="E1047" i="27" l="1"/>
  <c r="A1048" i="27" l="1"/>
  <c r="C1048" i="27" s="1"/>
  <c r="AA1047" i="14"/>
  <c r="E1048" i="27" l="1"/>
  <c r="A1049" i="27" l="1"/>
  <c r="C1049" i="27" s="1"/>
  <c r="AA1048" i="14"/>
  <c r="E1049" i="27" l="1"/>
  <c r="A1050" i="27" l="1"/>
  <c r="C1050" i="27" s="1"/>
  <c r="AA1049" i="14"/>
  <c r="E1050" i="27" l="1"/>
  <c r="A1051" i="27" l="1"/>
  <c r="C1051" i="27" s="1"/>
  <c r="AA1050" i="14"/>
  <c r="E1051" i="27" l="1"/>
  <c r="A1052" i="27" l="1"/>
  <c r="C1052" i="27" s="1"/>
  <c r="AA1051" i="14"/>
  <c r="E1052" i="27" l="1"/>
  <c r="A1053" i="27" l="1"/>
  <c r="C1053" i="27" s="1"/>
  <c r="AA1052" i="14"/>
  <c r="E1053" i="27" l="1"/>
  <c r="A1054" i="27" l="1"/>
  <c r="C1054" i="27" s="1"/>
  <c r="AA1053" i="14"/>
  <c r="E1054" i="27" l="1"/>
  <c r="A1055" i="27" l="1"/>
  <c r="C1055" i="27" s="1"/>
  <c r="AA1054" i="14"/>
  <c r="E1055" i="27" l="1"/>
  <c r="A1056" i="27" l="1"/>
  <c r="C1056" i="27" s="1"/>
  <c r="AA1055" i="14"/>
  <c r="E1056" i="27" l="1"/>
  <c r="A1057" i="27" l="1"/>
  <c r="C1057" i="27" s="1"/>
  <c r="AA1056" i="14"/>
  <c r="E1057" i="27" l="1"/>
  <c r="A1058" i="27" l="1"/>
  <c r="C1058" i="27" s="1"/>
  <c r="AA1057" i="14"/>
  <c r="E1058" i="27" l="1"/>
  <c r="A1059" i="27" l="1"/>
  <c r="C1059" i="27" s="1"/>
  <c r="AA1058" i="14"/>
  <c r="E1059" i="27" l="1"/>
  <c r="A1060" i="27" l="1"/>
  <c r="C1060" i="27" s="1"/>
  <c r="AA1059" i="14"/>
  <c r="E1060" i="27" l="1"/>
  <c r="A1061" i="27" l="1"/>
  <c r="C1061" i="27" s="1"/>
  <c r="AA1060" i="14"/>
  <c r="E1061" i="27" l="1"/>
  <c r="A1062" i="27" l="1"/>
  <c r="C1062" i="27" s="1"/>
  <c r="AA1061" i="14"/>
  <c r="E1062" i="27" l="1"/>
  <c r="A1063" i="27" l="1"/>
  <c r="C1063" i="27" s="1"/>
  <c r="AA1062" i="14"/>
  <c r="E1063" i="27" l="1"/>
  <c r="A1064" i="27" l="1"/>
  <c r="C1064" i="27" s="1"/>
  <c r="AA1063" i="14"/>
  <c r="E1064" i="27" l="1"/>
  <c r="A1065" i="27" l="1"/>
  <c r="C1065" i="27" s="1"/>
  <c r="AA1064" i="14"/>
  <c r="E1065" i="27" l="1"/>
  <c r="A1066" i="27" l="1"/>
  <c r="C1066" i="27" s="1"/>
  <c r="AA1065" i="14"/>
  <c r="E1066" i="27" l="1"/>
  <c r="A1067" i="27" l="1"/>
  <c r="C1067" i="27" s="1"/>
  <c r="AA1066" i="14"/>
  <c r="E1067" i="27" l="1"/>
  <c r="A1068" i="27" l="1"/>
  <c r="C1068" i="27" s="1"/>
  <c r="AA1067" i="14"/>
  <c r="E1068" i="27" l="1"/>
  <c r="A1069" i="27" l="1"/>
  <c r="C1069" i="27" s="1"/>
  <c r="AA1068" i="14"/>
  <c r="E1069" i="27" l="1"/>
  <c r="A1070" i="27" l="1"/>
  <c r="C1070" i="27" s="1"/>
  <c r="AA1069" i="14"/>
  <c r="E1070" i="27" l="1"/>
  <c r="A1071" i="27" l="1"/>
  <c r="C1071" i="27" s="1"/>
  <c r="AA1070" i="14"/>
  <c r="E1071" i="27" l="1"/>
  <c r="A1072" i="27" l="1"/>
  <c r="C1072" i="27" s="1"/>
  <c r="AA1071" i="14"/>
  <c r="E1072" i="27" l="1"/>
  <c r="A1073" i="27" l="1"/>
  <c r="C1073" i="27" s="1"/>
  <c r="AA1072" i="14"/>
  <c r="E1073" i="27" l="1"/>
  <c r="A1074" i="27" l="1"/>
  <c r="C1074" i="27" s="1"/>
  <c r="AA1073" i="14"/>
  <c r="E1074" i="27" l="1"/>
  <c r="A1075" i="27" l="1"/>
  <c r="C1075" i="27" s="1"/>
  <c r="AA1074" i="14"/>
  <c r="E1075" i="27" l="1"/>
  <c r="A1076" i="27" l="1"/>
  <c r="C1076" i="27" s="1"/>
  <c r="AA1075" i="14"/>
  <c r="E1076" i="27" l="1"/>
  <c r="A1077" i="27" l="1"/>
  <c r="C1077" i="27" s="1"/>
  <c r="AA1076" i="14"/>
  <c r="E1077" i="27" l="1"/>
  <c r="A1078" i="27" l="1"/>
  <c r="C1078" i="27" s="1"/>
  <c r="AA1077" i="14"/>
  <c r="E1078" i="27" l="1"/>
  <c r="A1079" i="27" l="1"/>
  <c r="C1079" i="27" s="1"/>
  <c r="AA1078" i="14"/>
  <c r="E1079" i="27" l="1"/>
  <c r="A1080" i="27" l="1"/>
  <c r="C1080" i="27" s="1"/>
  <c r="AA1079" i="14"/>
  <c r="E1080" i="27" l="1"/>
  <c r="A1081" i="27" l="1"/>
  <c r="C1081" i="27" s="1"/>
  <c r="AA1080" i="14"/>
  <c r="E1081" i="27" l="1"/>
  <c r="A1082" i="27" l="1"/>
  <c r="C1082" i="27" s="1"/>
  <c r="AA1081" i="14"/>
  <c r="E1082" i="27" l="1"/>
  <c r="A1083" i="27" l="1"/>
  <c r="C1083" i="27" s="1"/>
  <c r="AA1082" i="14"/>
  <c r="E1083" i="27" l="1"/>
  <c r="A1084" i="27" l="1"/>
  <c r="C1084" i="27" s="1"/>
  <c r="E1084" i="27" s="1"/>
  <c r="AA1083" i="14"/>
  <c r="A1085" i="27" l="1"/>
  <c r="C1085" i="27" s="1"/>
  <c r="AA1084" i="14"/>
  <c r="E1085" i="27" l="1"/>
  <c r="A1086" i="27" l="1"/>
  <c r="C1086" i="27" s="1"/>
  <c r="AA1085" i="14"/>
  <c r="E1086" i="27" l="1"/>
  <c r="A1087" i="27" l="1"/>
  <c r="C1087" i="27" s="1"/>
  <c r="AA1086" i="14"/>
  <c r="E1087" i="27" l="1"/>
  <c r="A1088" i="27" l="1"/>
  <c r="C1088" i="27" s="1"/>
  <c r="AA1087" i="14"/>
  <c r="E1088" i="27" l="1"/>
  <c r="A1089" i="27" l="1"/>
  <c r="C1089" i="27" s="1"/>
  <c r="AA1088" i="14"/>
  <c r="E1089" i="27" l="1"/>
  <c r="A1090" i="27" l="1"/>
  <c r="C1090" i="27" s="1"/>
  <c r="AA1089" i="14"/>
  <c r="E1090" i="27" l="1"/>
  <c r="A1091" i="27" l="1"/>
  <c r="C1091" i="27" s="1"/>
  <c r="AA1090" i="14"/>
  <c r="E1091" i="27" l="1"/>
  <c r="A1092" i="27" l="1"/>
  <c r="C1092" i="27" s="1"/>
  <c r="AA1091" i="14"/>
  <c r="E1092" i="27" l="1"/>
  <c r="A1093" i="27" l="1"/>
  <c r="C1093" i="27" s="1"/>
  <c r="AA1092" i="14"/>
  <c r="E1093" i="27" l="1"/>
  <c r="A1094" i="27" l="1"/>
  <c r="C1094" i="27" s="1"/>
  <c r="AA1093" i="14"/>
  <c r="E1094" i="27" l="1"/>
  <c r="A1095" i="27" l="1"/>
  <c r="C1095" i="27" s="1"/>
  <c r="AA1094" i="14"/>
  <c r="E1095" i="27" l="1"/>
  <c r="A1096" i="27" l="1"/>
  <c r="C1096" i="27" s="1"/>
  <c r="AA1095" i="14"/>
  <c r="E1096" i="27" l="1"/>
  <c r="A1097" i="27" l="1"/>
  <c r="C1097" i="27" s="1"/>
  <c r="AA1096" i="14"/>
  <c r="E1097" i="27" l="1"/>
  <c r="A1098" i="27" l="1"/>
  <c r="C1098" i="27" s="1"/>
  <c r="AA1097" i="14"/>
  <c r="E1098" i="27" l="1"/>
  <c r="A1099" i="27" l="1"/>
  <c r="C1099" i="27" s="1"/>
  <c r="AA1098" i="14"/>
  <c r="E1099" i="27" l="1"/>
  <c r="A1100" i="27" l="1"/>
  <c r="C1100" i="27" s="1"/>
  <c r="AA1099" i="14"/>
  <c r="E1100" i="27" l="1"/>
  <c r="A1101" i="27" l="1"/>
  <c r="C1101" i="27" s="1"/>
  <c r="E1101" i="27" s="1"/>
  <c r="AA1100" i="14"/>
  <c r="A1102" i="27" l="1"/>
  <c r="C1102" i="27" s="1"/>
  <c r="AA1101" i="14"/>
  <c r="E1102" i="27" l="1"/>
  <c r="A1103" i="27" l="1"/>
  <c r="C1103" i="27" s="1"/>
  <c r="AA1102" i="14"/>
  <c r="E1103" i="27" l="1"/>
  <c r="A1104" i="27" l="1"/>
  <c r="C1104" i="27" s="1"/>
  <c r="AA1103" i="14"/>
  <c r="E1104" i="27" l="1"/>
  <c r="A1105" i="27" l="1"/>
  <c r="C1105" i="27" s="1"/>
  <c r="AA1104" i="14"/>
  <c r="E1105" i="27" l="1"/>
  <c r="A1106" i="27" l="1"/>
  <c r="C1106" i="27" s="1"/>
  <c r="AA1105" i="14"/>
  <c r="E1106" i="27" l="1"/>
  <c r="A1107" i="27" l="1"/>
  <c r="C1107" i="27" s="1"/>
  <c r="AA1106" i="14"/>
  <c r="E1107" i="27" l="1"/>
  <c r="A1108" i="27" l="1"/>
  <c r="C1108" i="27" s="1"/>
  <c r="AA1107" i="14"/>
  <c r="E1108" i="27" l="1"/>
  <c r="A1109" i="27" l="1"/>
  <c r="C1109" i="27" s="1"/>
  <c r="AA1108" i="14"/>
  <c r="E1109" i="27" l="1"/>
  <c r="A1110" i="27" l="1"/>
  <c r="C1110" i="27" s="1"/>
  <c r="AA1109" i="14"/>
  <c r="E1110" i="27" l="1"/>
  <c r="A1111" i="27" l="1"/>
  <c r="C1111" i="27" s="1"/>
  <c r="AA1110" i="14"/>
  <c r="E1111" i="27" l="1"/>
  <c r="A1112" i="27" l="1"/>
  <c r="C1112" i="27" s="1"/>
  <c r="AA1111" i="14"/>
  <c r="E1112" i="27" l="1"/>
  <c r="A1113" i="27" l="1"/>
  <c r="C1113" i="27" s="1"/>
  <c r="AA1112" i="14"/>
  <c r="E1113" i="27" l="1"/>
  <c r="A1114" i="27" l="1"/>
  <c r="C1114" i="27" s="1"/>
  <c r="AA1113" i="14"/>
  <c r="E1114" i="27" l="1"/>
  <c r="A1115" i="27" l="1"/>
  <c r="C1115" i="27" s="1"/>
  <c r="AA1114" i="14"/>
  <c r="E1115" i="27" l="1"/>
  <c r="A1116" i="27" l="1"/>
  <c r="C1116" i="27" s="1"/>
  <c r="AA1115" i="14"/>
  <c r="E1116" i="27" l="1"/>
  <c r="A1117" i="27" l="1"/>
  <c r="C1117" i="27" s="1"/>
  <c r="AA1116" i="14"/>
  <c r="E1117" i="27" l="1"/>
  <c r="A1118" i="27" l="1"/>
  <c r="C1118" i="27" s="1"/>
  <c r="AA1117" i="14"/>
  <c r="E1118" i="27" l="1"/>
  <c r="A1119" i="27" l="1"/>
  <c r="C1119" i="27" s="1"/>
  <c r="AA1118" i="14"/>
  <c r="F342" i="14"/>
  <c r="H690" i="14"/>
  <c r="G360" i="14"/>
  <c r="E1119" i="27" l="1"/>
  <c r="E1033" i="14"/>
  <c r="G1019" i="14"/>
  <c r="F526" i="14"/>
  <c r="G458" i="14"/>
  <c r="G979" i="14"/>
  <c r="G799" i="14"/>
  <c r="G90" i="14"/>
  <c r="F333" i="14"/>
  <c r="G1133" i="14"/>
  <c r="G925" i="14"/>
  <c r="H164" i="14"/>
  <c r="E575" i="14"/>
  <c r="E409" i="14"/>
  <c r="G200" i="14"/>
  <c r="H210" i="14"/>
  <c r="H1087" i="14"/>
  <c r="E425" i="14"/>
  <c r="F314" i="14"/>
  <c r="H622" i="14"/>
  <c r="E362" i="14"/>
  <c r="F401" i="14"/>
  <c r="G740" i="14"/>
  <c r="F975" i="14"/>
  <c r="H395" i="14"/>
  <c r="H936" i="14"/>
  <c r="H264" i="14"/>
  <c r="H218" i="14"/>
  <c r="F1029" i="14"/>
  <c r="G897" i="14"/>
  <c r="H277" i="14"/>
  <c r="H159" i="14"/>
  <c r="E1030" i="14"/>
  <c r="F858" i="14"/>
  <c r="H369" i="14"/>
  <c r="H191" i="14"/>
  <c r="E698" i="14"/>
  <c r="F245" i="14"/>
  <c r="H474" i="14"/>
  <c r="H225" i="14"/>
  <c r="E644" i="14"/>
  <c r="E1041" i="14"/>
  <c r="H188" i="14"/>
  <c r="G885" i="14"/>
  <c r="H392" i="14"/>
  <c r="H325" i="14"/>
  <c r="H990" i="14"/>
  <c r="H483" i="14"/>
  <c r="F670" i="14"/>
  <c r="G418" i="14"/>
  <c r="G110" i="14"/>
  <c r="H304" i="14"/>
  <c r="G158" i="14"/>
  <c r="F293" i="14"/>
  <c r="F643" i="14"/>
  <c r="H852" i="14"/>
  <c r="G718" i="14"/>
  <c r="H768" i="14"/>
  <c r="G559" i="14"/>
  <c r="E57" i="14"/>
  <c r="E9" i="14"/>
  <c r="F976" i="14"/>
  <c r="H1042" i="14"/>
  <c r="G1002" i="14"/>
  <c r="H767" i="14"/>
  <c r="G253" i="14"/>
  <c r="H1027" i="14"/>
  <c r="H177" i="14"/>
  <c r="G949" i="14"/>
  <c r="G1159" i="14"/>
  <c r="G922" i="14"/>
  <c r="F154" i="14"/>
  <c r="E805" i="14"/>
  <c r="F909" i="14"/>
  <c r="H922" i="14"/>
  <c r="G363" i="14"/>
  <c r="E836" i="14"/>
  <c r="F1013" i="14"/>
  <c r="F744" i="14"/>
  <c r="G13" i="14"/>
  <c r="G630" i="14"/>
  <c r="H414" i="14"/>
  <c r="H848" i="14"/>
  <c r="F561" i="14"/>
  <c r="H239" i="14"/>
  <c r="E1028" i="14"/>
  <c r="F655" i="14"/>
  <c r="F754" i="14"/>
  <c r="G649" i="14"/>
  <c r="F282" i="14"/>
  <c r="H320" i="14"/>
  <c r="E804" i="14"/>
  <c r="F792" i="14"/>
  <c r="H985" i="14"/>
  <c r="G34" i="14"/>
  <c r="H352" i="14"/>
  <c r="F1069" i="14"/>
  <c r="H294" i="14"/>
  <c r="H891" i="14"/>
  <c r="H841" i="14"/>
  <c r="F397" i="14"/>
  <c r="G53" i="14"/>
  <c r="F101" i="14"/>
  <c r="F1151" i="14"/>
  <c r="E297" i="14"/>
  <c r="G237" i="14"/>
  <c r="H861" i="14"/>
  <c r="E637" i="14"/>
  <c r="F495" i="14"/>
  <c r="F1008" i="14"/>
  <c r="E657" i="14"/>
  <c r="H880" i="14"/>
  <c r="E169" i="14"/>
  <c r="E10" i="14"/>
  <c r="G202" i="14"/>
  <c r="H914" i="14"/>
  <c r="G578" i="14"/>
  <c r="G219" i="14"/>
  <c r="G798" i="14"/>
  <c r="H947" i="14"/>
  <c r="F1135" i="14"/>
  <c r="G1154" i="14"/>
  <c r="H1200" i="14"/>
  <c r="G301" i="14"/>
  <c r="G911" i="14"/>
  <c r="H883" i="14"/>
  <c r="H871" i="14"/>
  <c r="F22" i="14"/>
  <c r="H32" i="14"/>
  <c r="F997" i="14"/>
  <c r="G311" i="14"/>
  <c r="H587" i="14"/>
  <c r="H581" i="14"/>
  <c r="E489" i="14"/>
  <c r="G650" i="14"/>
  <c r="G789" i="14"/>
  <c r="F663" i="14"/>
  <c r="F1150" i="14"/>
  <c r="H1147" i="14"/>
  <c r="G635" i="14"/>
  <c r="E662" i="14"/>
  <c r="E1109" i="14"/>
  <c r="F407" i="14"/>
  <c r="G448" i="14"/>
  <c r="E1012" i="14"/>
  <c r="E440" i="14"/>
  <c r="F965" i="14"/>
  <c r="F108" i="14"/>
  <c r="G867" i="14"/>
  <c r="G290" i="14"/>
  <c r="F261" i="14"/>
  <c r="F266" i="14"/>
  <c r="H158" i="14"/>
  <c r="H337" i="14"/>
  <c r="E1172" i="14"/>
  <c r="E405" i="14"/>
  <c r="H497" i="14"/>
  <c r="G504" i="14"/>
  <c r="F42" i="14"/>
  <c r="G781" i="14"/>
  <c r="E880" i="14"/>
  <c r="G771" i="14"/>
  <c r="E69" i="14"/>
  <c r="F884" i="14"/>
  <c r="F700" i="14"/>
  <c r="G729" i="14"/>
  <c r="G611" i="14"/>
  <c r="E832" i="14"/>
  <c r="H1197" i="14"/>
  <c r="G378" i="14"/>
  <c r="E631" i="14"/>
  <c r="G1100" i="14"/>
  <c r="F78" i="14"/>
  <c r="H523" i="14"/>
  <c r="F783" i="14"/>
  <c r="E1070" i="14"/>
  <c r="E471" i="14"/>
  <c r="F57" i="14"/>
  <c r="H713" i="14"/>
  <c r="G215" i="14"/>
  <c r="H979" i="14"/>
  <c r="F861" i="14"/>
  <c r="F769" i="14"/>
  <c r="H545" i="14"/>
  <c r="F1187" i="14"/>
  <c r="G371" i="14"/>
  <c r="F316" i="14"/>
  <c r="E449" i="14"/>
  <c r="F82" i="14"/>
  <c r="F874" i="14"/>
  <c r="G673" i="14"/>
  <c r="F565" i="14"/>
  <c r="G1034" i="14"/>
  <c r="F743" i="14"/>
  <c r="G330" i="14"/>
  <c r="H632" i="14"/>
  <c r="E1110" i="14"/>
  <c r="G407" i="14"/>
  <c r="H686" i="14"/>
  <c r="E401" i="14"/>
  <c r="H199" i="14"/>
  <c r="H982" i="14"/>
  <c r="E130" i="14"/>
  <c r="F1182" i="14"/>
  <c r="E589" i="14"/>
  <c r="G606" i="14"/>
  <c r="G300" i="14"/>
  <c r="F567" i="14"/>
  <c r="E1084" i="14"/>
  <c r="F162" i="14"/>
  <c r="F46" i="14"/>
  <c r="H797" i="14"/>
  <c r="G36" i="14"/>
  <c r="E629" i="14"/>
  <c r="H678" i="14"/>
  <c r="E1171" i="14"/>
  <c r="F433" i="14"/>
  <c r="G886" i="14"/>
  <c r="E572" i="14"/>
  <c r="F1048" i="14"/>
  <c r="G905" i="14"/>
  <c r="F94" i="14"/>
  <c r="G863" i="14"/>
  <c r="G1114" i="14"/>
  <c r="E77" i="14"/>
  <c r="H974" i="14"/>
  <c r="F907" i="14"/>
  <c r="E1193" i="14"/>
  <c r="H449" i="14"/>
  <c r="E339" i="14"/>
  <c r="F765" i="14"/>
  <c r="F26" i="14"/>
  <c r="H1085" i="14"/>
  <c r="H1156" i="14"/>
  <c r="F1103" i="14"/>
  <c r="G509" i="14"/>
  <c r="F795" i="14"/>
  <c r="E1083" i="14"/>
  <c r="H643" i="14"/>
  <c r="E512" i="14"/>
  <c r="E49" i="14"/>
  <c r="G267" i="14"/>
  <c r="E442" i="14"/>
  <c r="G96" i="14"/>
  <c r="F1181" i="14"/>
  <c r="F272" i="14"/>
  <c r="H350" i="14"/>
  <c r="H769" i="14"/>
  <c r="E697" i="14"/>
  <c r="F135" i="14"/>
  <c r="G788" i="14"/>
  <c r="H996" i="14"/>
  <c r="F827" i="14"/>
  <c r="E83" i="14"/>
  <c r="E1001" i="14"/>
  <c r="E700" i="14"/>
  <c r="G369" i="14"/>
  <c r="E528" i="14"/>
  <c r="E453" i="14"/>
  <c r="F1114" i="14"/>
  <c r="E545" i="14"/>
  <c r="E559" i="14"/>
  <c r="H1059" i="14"/>
  <c r="G503" i="14"/>
  <c r="F530" i="14"/>
  <c r="H472" i="14"/>
  <c r="H55" i="14"/>
  <c r="G1046" i="14"/>
  <c r="F75" i="14"/>
  <c r="G1166" i="14"/>
  <c r="E712" i="14"/>
  <c r="G818" i="14"/>
  <c r="E360" i="14"/>
  <c r="E74" i="14"/>
  <c r="H150" i="14"/>
  <c r="E105" i="14"/>
  <c r="F855" i="14"/>
  <c r="G573" i="14"/>
  <c r="E791" i="14"/>
  <c r="H52" i="14"/>
  <c r="E12" i="14"/>
  <c r="F141" i="14"/>
  <c r="F386" i="14"/>
  <c r="H379" i="14"/>
  <c r="F966" i="14"/>
  <c r="F1040" i="14"/>
  <c r="H1047" i="14"/>
  <c r="F597" i="14"/>
  <c r="F278" i="14"/>
  <c r="G146" i="14"/>
  <c r="F180" i="14"/>
  <c r="G25" i="14"/>
  <c r="G598" i="14"/>
  <c r="F988" i="14"/>
  <c r="G288" i="14"/>
  <c r="G1001" i="14"/>
  <c r="G603" i="14"/>
  <c r="G114" i="14"/>
  <c r="F201" i="14"/>
  <c r="F921" i="14"/>
  <c r="G497" i="14"/>
  <c r="H1008" i="14"/>
  <c r="F846" i="14"/>
  <c r="H425" i="14"/>
  <c r="E196" i="14"/>
  <c r="H128" i="14"/>
  <c r="F1014" i="14"/>
  <c r="F388" i="14"/>
  <c r="H488" i="14"/>
  <c r="H976" i="14"/>
  <c r="E359" i="14"/>
  <c r="H705" i="14"/>
  <c r="H458" i="14"/>
  <c r="G1141" i="14"/>
  <c r="F531" i="14"/>
  <c r="H664" i="14"/>
  <c r="E891" i="14"/>
  <c r="H1009" i="14"/>
  <c r="F1193" i="14"/>
  <c r="E407" i="14"/>
  <c r="G759" i="14"/>
  <c r="F557" i="14"/>
  <c r="G1179" i="14"/>
  <c r="G691" i="14"/>
  <c r="H205" i="14"/>
  <c r="G752" i="14"/>
  <c r="F195" i="14"/>
  <c r="H353" i="14"/>
  <c r="G372" i="14"/>
  <c r="H1174" i="14"/>
  <c r="G724" i="14"/>
  <c r="G1071" i="14"/>
  <c r="F968" i="14"/>
  <c r="E432" i="14"/>
  <c r="E822" i="14"/>
  <c r="F76" i="14"/>
  <c r="F1099" i="14"/>
  <c r="E607" i="14"/>
  <c r="F1032" i="14"/>
  <c r="G672" i="14"/>
  <c r="H147" i="14"/>
  <c r="G266" i="14"/>
  <c r="E110" i="14"/>
  <c r="E1016" i="14"/>
  <c r="F756" i="14"/>
  <c r="E99" i="14"/>
  <c r="E959" i="14"/>
  <c r="G652" i="14"/>
  <c r="E947" i="14"/>
  <c r="G50" i="14"/>
  <c r="G1182" i="14"/>
  <c r="F951" i="14"/>
  <c r="F61" i="14"/>
  <c r="G895" i="14"/>
  <c r="G79" i="14"/>
  <c r="E287" i="14"/>
  <c r="E508" i="14"/>
  <c r="H717" i="14"/>
  <c r="G980" i="14"/>
  <c r="H146" i="14"/>
  <c r="F872" i="14"/>
  <c r="H492" i="14"/>
  <c r="H766" i="14"/>
  <c r="F612" i="14"/>
  <c r="H520" i="14"/>
  <c r="G164" i="14"/>
  <c r="F32" i="14"/>
  <c r="F1026" i="14"/>
  <c r="F620" i="14"/>
  <c r="F650" i="14"/>
  <c r="E1111" i="14"/>
  <c r="H736" i="14"/>
  <c r="H220" i="14"/>
  <c r="F568" i="14"/>
  <c r="F958" i="14"/>
  <c r="E328" i="14"/>
  <c r="G790" i="14"/>
  <c r="G233" i="14"/>
  <c r="E994" i="14"/>
  <c r="F746" i="14"/>
  <c r="F200" i="14"/>
  <c r="H286" i="14"/>
  <c r="F338" i="14"/>
  <c r="G651" i="14"/>
  <c r="F370" i="14"/>
  <c r="F208" i="14"/>
  <c r="E19" i="14"/>
  <c r="G406" i="14"/>
  <c r="H756" i="14"/>
  <c r="E284" i="14"/>
  <c r="E394" i="14"/>
  <c r="H993" i="14"/>
  <c r="H24" i="14"/>
  <c r="F212" i="14"/>
  <c r="F617" i="14"/>
  <c r="G490" i="14"/>
  <c r="E383" i="14"/>
  <c r="F938" i="14"/>
  <c r="H1001" i="14"/>
  <c r="E410" i="14"/>
  <c r="E938" i="14"/>
  <c r="G49" i="14"/>
  <c r="G1105" i="14"/>
  <c r="E524" i="14"/>
  <c r="H361" i="14"/>
  <c r="E737" i="14"/>
  <c r="H358" i="14"/>
  <c r="H662" i="14"/>
  <c r="G279" i="14"/>
  <c r="F945" i="14"/>
  <c r="F946" i="14"/>
  <c r="E1074" i="14"/>
  <c r="F1125" i="14"/>
  <c r="G627" i="14"/>
  <c r="F378" i="14"/>
  <c r="E841" i="14"/>
  <c r="E249" i="14"/>
  <c r="F1133" i="14"/>
  <c r="H180" i="14"/>
  <c r="F191" i="14"/>
  <c r="H175" i="14"/>
  <c r="H420" i="14"/>
  <c r="G274" i="14"/>
  <c r="G39" i="14"/>
  <c r="H650" i="14"/>
  <c r="H151" i="14"/>
  <c r="F600" i="14"/>
  <c r="F193" i="14"/>
  <c r="F38" i="14"/>
  <c r="E507" i="14"/>
  <c r="E971" i="14"/>
  <c r="F203" i="14"/>
  <c r="G510" i="14"/>
  <c r="E1116" i="14"/>
  <c r="G285" i="14"/>
  <c r="E636" i="14"/>
  <c r="F1018" i="14"/>
  <c r="H508" i="14"/>
  <c r="F699" i="14"/>
  <c r="G365" i="14"/>
  <c r="G474" i="14"/>
  <c r="G349" i="14"/>
  <c r="H1052" i="14"/>
  <c r="G865" i="14"/>
  <c r="E455" i="14"/>
  <c r="H742" i="14"/>
  <c r="E323" i="14"/>
  <c r="G46" i="14"/>
  <c r="F839" i="14"/>
  <c r="G106" i="14"/>
  <c r="H236" i="14"/>
  <c r="E1098" i="14"/>
  <c r="F537" i="14"/>
  <c r="H212" i="14"/>
  <c r="F1033" i="14"/>
  <c r="H843" i="14"/>
  <c r="H169" i="14"/>
  <c r="H606" i="14"/>
  <c r="H1007" i="14"/>
  <c r="F304" i="14"/>
  <c r="F589" i="14"/>
  <c r="G725" i="14"/>
  <c r="F242" i="14"/>
  <c r="H1154" i="14"/>
  <c r="H313" i="14"/>
  <c r="F902" i="14"/>
  <c r="E913" i="14"/>
  <c r="H859" i="14"/>
  <c r="E120" i="14"/>
  <c r="E475" i="14"/>
  <c r="G728" i="14"/>
  <c r="H267" i="14"/>
  <c r="E672" i="14"/>
  <c r="E311" i="14"/>
  <c r="F930" i="14"/>
  <c r="H288" i="14"/>
  <c r="G271" i="14"/>
  <c r="H279" i="14"/>
  <c r="G1157" i="14"/>
  <c r="E838" i="14"/>
  <c r="F944" i="14"/>
  <c r="G343" i="14"/>
  <c r="F1118" i="14"/>
  <c r="E1000" i="14"/>
  <c r="E1011" i="14"/>
  <c r="E970" i="14"/>
  <c r="F793" i="14"/>
  <c r="F603" i="14"/>
  <c r="F896" i="14"/>
  <c r="G780" i="14"/>
  <c r="G2" i="14"/>
  <c r="K2" i="27" s="1"/>
  <c r="AB2" i="14" s="1"/>
  <c r="F1198" i="14"/>
  <c r="F880" i="14"/>
  <c r="H569" i="14"/>
  <c r="F281" i="14"/>
  <c r="H396" i="14"/>
  <c r="E787" i="14"/>
  <c r="F238" i="14"/>
  <c r="E349" i="14"/>
  <c r="H1193" i="14"/>
  <c r="G638" i="14"/>
  <c r="G989" i="14"/>
  <c r="E588" i="14"/>
  <c r="F428" i="14"/>
  <c r="G668" i="14"/>
  <c r="E1147" i="14"/>
  <c r="E117" i="14"/>
  <c r="H984" i="14"/>
  <c r="H988" i="14"/>
  <c r="G470" i="14"/>
  <c r="G1099" i="14"/>
  <c r="H986" i="14"/>
  <c r="E888" i="14"/>
  <c r="G212" i="14"/>
  <c r="G469" i="14"/>
  <c r="H702" i="14"/>
  <c r="F196" i="14"/>
  <c r="F87" i="14"/>
  <c r="F626" i="14"/>
  <c r="G810" i="14"/>
  <c r="F1148" i="14"/>
  <c r="E464" i="14"/>
  <c r="F863" i="14"/>
  <c r="F165" i="14"/>
  <c r="H28" i="14"/>
  <c r="G916" i="14"/>
  <c r="E443" i="14"/>
  <c r="H1124" i="14"/>
  <c r="G669" i="14"/>
  <c r="F929" i="14"/>
  <c r="F124" i="14"/>
  <c r="H709" i="14"/>
  <c r="G821" i="14"/>
  <c r="E977" i="14"/>
  <c r="F97" i="14"/>
  <c r="E856" i="14"/>
  <c r="E564" i="14"/>
  <c r="E992" i="14"/>
  <c r="H184" i="14"/>
  <c r="H801" i="14"/>
  <c r="F1011" i="14"/>
  <c r="E819" i="14"/>
  <c r="G323" i="14"/>
  <c r="G712" i="14"/>
  <c r="E189" i="14"/>
  <c r="G692" i="14"/>
  <c r="E1145" i="14"/>
  <c r="E699" i="14"/>
  <c r="H515" i="14"/>
  <c r="H345" i="14"/>
  <c r="E624" i="14"/>
  <c r="E477" i="14"/>
  <c r="G397" i="14"/>
  <c r="E845" i="14"/>
  <c r="E1113" i="14"/>
  <c r="E396" i="14"/>
  <c r="H440" i="14"/>
  <c r="H398" i="14"/>
  <c r="H570" i="14"/>
  <c r="E211" i="14"/>
  <c r="G131" i="14"/>
  <c r="H48" i="14"/>
  <c r="G1170" i="14"/>
  <c r="E4" i="14"/>
  <c r="G99" i="14"/>
  <c r="H512" i="14"/>
  <c r="F478" i="14"/>
  <c r="H1022" i="14"/>
  <c r="G318" i="14"/>
  <c r="E622" i="14"/>
  <c r="E515" i="14"/>
  <c r="F403" i="14"/>
  <c r="F371" i="14"/>
  <c r="G571" i="14"/>
  <c r="E573" i="14"/>
  <c r="F1141" i="14"/>
  <c r="E468" i="14"/>
  <c r="F1163" i="14"/>
  <c r="H195" i="14"/>
  <c r="E34" i="14"/>
  <c r="H333" i="14"/>
  <c r="H1122" i="14"/>
  <c r="G457" i="14"/>
  <c r="G639" i="14"/>
  <c r="H204" i="14"/>
  <c r="H43" i="14"/>
  <c r="F536" i="14"/>
  <c r="G315" i="14"/>
  <c r="E242" i="14"/>
  <c r="F323" i="14"/>
  <c r="H167" i="14"/>
  <c r="E975" i="14"/>
  <c r="G967" i="14"/>
  <c r="H1182" i="14"/>
  <c r="G682" i="14"/>
  <c r="F48" i="14"/>
  <c r="E988" i="14"/>
  <c r="H121" i="14"/>
  <c r="G1168" i="14"/>
  <c r="H616" i="14"/>
  <c r="G923" i="14"/>
  <c r="H453" i="14"/>
  <c r="E948" i="14"/>
  <c r="G779" i="14"/>
  <c r="G72" i="14"/>
  <c r="G1142" i="14"/>
  <c r="H349" i="14"/>
  <c r="G773" i="14"/>
  <c r="E266" i="14"/>
  <c r="H285" i="14"/>
  <c r="G856" i="14"/>
  <c r="F829" i="14"/>
  <c r="H456" i="14"/>
  <c r="H882" i="14"/>
  <c r="E1092" i="14"/>
  <c r="E634" i="14"/>
  <c r="E1058" i="14"/>
  <c r="G128" i="14"/>
  <c r="E850" i="14"/>
  <c r="F1067" i="14"/>
  <c r="G373" i="14"/>
  <c r="G409" i="14"/>
  <c r="E188" i="14"/>
  <c r="F84" i="14"/>
  <c r="E1175" i="14"/>
  <c r="E725" i="14"/>
  <c r="F214" i="14"/>
  <c r="H596" i="14"/>
  <c r="H364" i="14"/>
  <c r="F1017" i="14"/>
  <c r="H1137" i="14"/>
  <c r="E924" i="14"/>
  <c r="E809" i="14"/>
  <c r="G478" i="14"/>
  <c r="H14" i="14"/>
  <c r="G419" i="14"/>
  <c r="E743" i="14"/>
  <c r="E422" i="14"/>
  <c r="G620" i="14"/>
  <c r="E1049" i="14"/>
  <c r="E448" i="14"/>
  <c r="H1129" i="14"/>
  <c r="H437" i="14"/>
  <c r="H562" i="14"/>
  <c r="F819" i="14"/>
  <c r="H235" i="14"/>
  <c r="F657" i="14"/>
  <c r="F911" i="14"/>
  <c r="H85" i="14"/>
  <c r="G1128" i="14"/>
  <c r="F247" i="14"/>
  <c r="H410" i="14"/>
  <c r="F410" i="14"/>
  <c r="G548" i="14"/>
  <c r="H500" i="14"/>
  <c r="H1067" i="14"/>
  <c r="E115" i="14"/>
  <c r="E978" i="14"/>
  <c r="G608" i="14"/>
  <c r="E1180" i="14"/>
  <c r="G111" i="14"/>
  <c r="G244" i="14"/>
  <c r="H280" i="14"/>
  <c r="G590" i="14"/>
  <c r="H539" i="14"/>
  <c r="G127" i="14"/>
  <c r="H887" i="14"/>
  <c r="F645" i="14"/>
  <c r="G903" i="14"/>
  <c r="G626" i="14"/>
  <c r="G194" i="14"/>
  <c r="E527" i="14"/>
  <c r="G333" i="14"/>
  <c r="G697" i="14"/>
  <c r="G94" i="14"/>
  <c r="G11" i="14"/>
  <c r="F226" i="14"/>
  <c r="G187" i="14"/>
  <c r="H88" i="14"/>
  <c r="H518" i="14"/>
  <c r="E816" i="14"/>
  <c r="G1131" i="14"/>
  <c r="E17" i="14"/>
  <c r="F353" i="14"/>
  <c r="F288" i="14"/>
  <c r="H747" i="14"/>
  <c r="F172" i="14"/>
  <c r="H847" i="14"/>
  <c r="E1022" i="14"/>
  <c r="E854" i="14"/>
  <c r="E1130" i="14"/>
  <c r="G1077" i="14"/>
  <c r="E933" i="14"/>
  <c r="G1178" i="14"/>
  <c r="E61" i="14"/>
  <c r="F906" i="14"/>
  <c r="F1051" i="14"/>
  <c r="H701" i="14"/>
  <c r="E214" i="14"/>
  <c r="H230" i="14"/>
  <c r="G613" i="14"/>
  <c r="H163" i="14"/>
  <c r="E557" i="14"/>
  <c r="F967" i="14"/>
  <c r="G993" i="14"/>
  <c r="G1057" i="14"/>
  <c r="E67" i="14"/>
  <c r="E62" i="14"/>
  <c r="E293" i="14"/>
  <c r="G286" i="14"/>
  <c r="H1078" i="14"/>
  <c r="F80" i="14"/>
  <c r="F616" i="14"/>
  <c r="G88" i="14"/>
  <c r="H228" i="14"/>
  <c r="H289" i="14"/>
  <c r="H122" i="14"/>
  <c r="E254" i="14"/>
  <c r="G1126" i="14"/>
  <c r="G113" i="14"/>
  <c r="F1159" i="14"/>
  <c r="F1108" i="14"/>
  <c r="H234" i="14"/>
  <c r="E417" i="14"/>
  <c r="G1115" i="14"/>
  <c r="H344" i="14"/>
  <c r="F985" i="14"/>
  <c r="H527" i="14"/>
  <c r="E267" i="14"/>
  <c r="E1139" i="14"/>
  <c r="E799" i="14"/>
  <c r="F543" i="14"/>
  <c r="H1132" i="14"/>
  <c r="G862" i="14"/>
  <c r="E353" i="14"/>
  <c r="F473" i="14"/>
  <c r="E535" i="14"/>
  <c r="H359" i="14"/>
  <c r="E247" i="14"/>
  <c r="G866" i="14"/>
  <c r="G264" i="14"/>
  <c r="E1146" i="14"/>
  <c r="H944" i="14"/>
  <c r="G530" i="14"/>
  <c r="H452" i="14"/>
  <c r="G178" i="14"/>
  <c r="E921" i="14"/>
  <c r="G727" i="14"/>
  <c r="H496" i="14"/>
  <c r="H424" i="14"/>
  <c r="G621" i="14"/>
  <c r="H1161" i="14"/>
  <c r="H281" i="14"/>
  <c r="E1024" i="14"/>
  <c r="F996" i="14"/>
  <c r="E1064" i="14"/>
  <c r="G550" i="14"/>
  <c r="G189" i="14"/>
  <c r="F104" i="14"/>
  <c r="F770" i="14"/>
  <c r="F149" i="14"/>
  <c r="H763" i="14"/>
  <c r="H1064" i="14"/>
  <c r="H677" i="14"/>
  <c r="H194" i="14"/>
  <c r="G329" i="14"/>
  <c r="G119" i="14"/>
  <c r="H8" i="14"/>
  <c r="E692" i="14"/>
  <c r="F19" i="14"/>
  <c r="E205" i="14"/>
  <c r="E1048" i="14"/>
  <c r="G934" i="14"/>
  <c r="E183" i="14"/>
  <c r="F1200" i="14"/>
  <c r="E97" i="14"/>
  <c r="G641" i="14"/>
  <c r="H753" i="14"/>
  <c r="E96" i="14"/>
  <c r="E26" i="14"/>
  <c r="H68" i="14"/>
  <c r="F1192" i="14"/>
  <c r="F336" i="14"/>
  <c r="G523" i="14"/>
  <c r="G358" i="14"/>
  <c r="H583" i="14"/>
  <c r="F513" i="14"/>
  <c r="H221" i="14"/>
  <c r="G913" i="14"/>
  <c r="E335" i="14"/>
  <c r="G694" i="14"/>
  <c r="E1195" i="14"/>
  <c r="E786" i="14"/>
  <c r="H182" i="14"/>
  <c r="E286" i="14"/>
  <c r="H62" i="14"/>
  <c r="G769" i="14"/>
  <c r="H800" i="14"/>
  <c r="E70" i="14"/>
  <c r="G1135" i="14"/>
  <c r="E671" i="14"/>
  <c r="H575" i="14"/>
  <c r="E861" i="14"/>
  <c r="H994" i="14"/>
  <c r="E859" i="14"/>
  <c r="E1065" i="14"/>
  <c r="E112" i="14"/>
  <c r="H108" i="14"/>
  <c r="E193" i="14"/>
  <c r="H941" i="14"/>
  <c r="H334" i="14"/>
  <c r="E761" i="14"/>
  <c r="F331" i="14"/>
  <c r="G174" i="14"/>
  <c r="G1137" i="14"/>
  <c r="F624" i="14"/>
  <c r="F487" i="14"/>
  <c r="F654" i="14"/>
  <c r="H925" i="14"/>
  <c r="H953" i="14"/>
  <c r="E665" i="14"/>
  <c r="F866" i="14"/>
  <c r="E532" i="14"/>
  <c r="G179" i="14"/>
  <c r="E885" i="14"/>
  <c r="H779" i="14"/>
  <c r="H168" i="14"/>
  <c r="G1161" i="14"/>
  <c r="H1076" i="14"/>
  <c r="H657" i="14"/>
  <c r="E686" i="14"/>
  <c r="F563" i="14"/>
  <c r="F1112" i="14"/>
  <c r="F1107" i="14"/>
  <c r="E635" i="14"/>
  <c r="F503" i="14"/>
  <c r="E143" i="14"/>
  <c r="E727" i="14"/>
  <c r="H340" i="14"/>
  <c r="F871" i="14"/>
  <c r="G258" i="14"/>
  <c r="H1074" i="14"/>
  <c r="G398" i="14"/>
  <c r="H1140" i="14"/>
  <c r="E1187" i="14"/>
  <c r="G1025" i="14"/>
  <c r="H1148" i="14"/>
  <c r="G6" i="14"/>
  <c r="E1066" i="14"/>
  <c r="G376" i="14"/>
  <c r="H694" i="14"/>
  <c r="E135" i="14"/>
  <c r="E1025" i="14"/>
  <c r="E847" i="14"/>
  <c r="E1123" i="14"/>
  <c r="F764" i="14"/>
  <c r="E849" i="14"/>
  <c r="G770" i="14"/>
  <c r="G918" i="14"/>
  <c r="G987" i="14"/>
  <c r="E344" i="14"/>
  <c r="G1181" i="14"/>
  <c r="H309" i="14"/>
  <c r="G74" i="14"/>
  <c r="G544" i="14"/>
  <c r="H53" i="14"/>
  <c r="F326" i="14"/>
  <c r="G935" i="14"/>
  <c r="F450" i="14"/>
  <c r="E548" i="14"/>
  <c r="E376" i="14"/>
  <c r="H1039" i="14"/>
  <c r="E960" i="14"/>
  <c r="E900" i="14"/>
  <c r="G317" i="14"/>
  <c r="E753" i="14"/>
  <c r="G62" i="14"/>
  <c r="H125" i="14"/>
  <c r="H311" i="14"/>
  <c r="E462" i="14"/>
  <c r="F456" i="14"/>
  <c r="H757" i="14"/>
  <c r="F679" i="14"/>
  <c r="G234" i="14"/>
  <c r="H812" i="14"/>
  <c r="F148" i="14"/>
  <c r="E496" i="14"/>
  <c r="H1139" i="14"/>
  <c r="H647" i="14"/>
  <c r="G296" i="14"/>
  <c r="G1108" i="14"/>
  <c r="G531" i="14"/>
  <c r="D807" i="14"/>
  <c r="E229" i="14"/>
  <c r="E8" i="14"/>
  <c r="H697" i="14"/>
  <c r="H659" i="14"/>
  <c r="E369" i="14"/>
  <c r="H839" i="14"/>
  <c r="G538" i="14"/>
  <c r="E201" i="14"/>
  <c r="F1100" i="14"/>
  <c r="G807" i="14"/>
  <c r="G772" i="14"/>
  <c r="F240" i="14"/>
  <c r="F870" i="14"/>
  <c r="G998" i="14"/>
  <c r="H1044" i="14"/>
  <c r="E720" i="14"/>
  <c r="G741" i="14"/>
  <c r="F254" i="14"/>
  <c r="G707" i="14"/>
  <c r="H439" i="14"/>
  <c r="G1160" i="14"/>
  <c r="E324" i="14"/>
  <c r="H635" i="14"/>
  <c r="D1141" i="14"/>
  <c r="E469" i="14"/>
  <c r="F905" i="14"/>
  <c r="H215" i="14"/>
  <c r="F294" i="14"/>
  <c r="G381" i="14"/>
  <c r="F79" i="14"/>
  <c r="H682" i="14"/>
  <c r="E104" i="14"/>
  <c r="H559" i="14"/>
  <c r="E255" i="14"/>
  <c r="H336" i="14"/>
  <c r="E162" i="14"/>
  <c r="G1088" i="14"/>
  <c r="G719" i="14"/>
  <c r="F682" i="14"/>
  <c r="H1024" i="14"/>
  <c r="G250" i="14"/>
  <c r="G185" i="14"/>
  <c r="F234" i="14"/>
  <c r="F923" i="14"/>
  <c r="G594" i="14"/>
  <c r="F435" i="14"/>
  <c r="G592" i="14"/>
  <c r="H295" i="14"/>
  <c r="E902" i="14"/>
  <c r="E32" i="14"/>
  <c r="E1056" i="14"/>
  <c r="E33" i="14"/>
  <c r="G1167" i="14"/>
  <c r="G958" i="14"/>
  <c r="H140" i="14"/>
  <c r="E862" i="14"/>
  <c r="G103" i="14"/>
  <c r="F980" i="14"/>
  <c r="F31" i="14"/>
  <c r="E667" i="14"/>
  <c r="H307" i="14"/>
  <c r="H1191" i="14"/>
  <c r="G855" i="14"/>
  <c r="F1101" i="14"/>
  <c r="G839" i="14"/>
  <c r="E762" i="14"/>
  <c r="H885" i="14"/>
  <c r="F517" i="14"/>
  <c r="G775" i="14"/>
  <c r="G1191" i="14"/>
  <c r="F222" i="14"/>
  <c r="E1181" i="14"/>
  <c r="G1139" i="14"/>
  <c r="G873" i="14"/>
  <c r="G683" i="14"/>
  <c r="E478" i="14"/>
  <c r="F521" i="14"/>
  <c r="E1085" i="14"/>
  <c r="E918" i="14"/>
  <c r="E1038" i="14"/>
  <c r="H538" i="14"/>
  <c r="E996" i="14"/>
  <c r="E1026" i="14"/>
  <c r="G1162" i="14"/>
  <c r="H599" i="14"/>
  <c r="E554" i="14"/>
  <c r="H109" i="14"/>
  <c r="H875" i="14"/>
  <c r="H555" i="14"/>
  <c r="F1088" i="14"/>
  <c r="H505" i="14"/>
  <c r="H999" i="14"/>
  <c r="E416" i="14"/>
  <c r="H1070" i="14"/>
  <c r="H46" i="14"/>
  <c r="H560" i="14"/>
  <c r="H484" i="14"/>
  <c r="E596" i="14"/>
  <c r="H1162" i="14"/>
  <c r="F291" i="14"/>
  <c r="E51" i="14"/>
  <c r="H15" i="14"/>
  <c r="H1201" i="14"/>
  <c r="H834" i="14"/>
  <c r="F510" i="14"/>
  <c r="F1021" i="14"/>
  <c r="H107" i="14"/>
  <c r="E171" i="14"/>
  <c r="F1105" i="14"/>
  <c r="E907" i="14"/>
  <c r="E834" i="14"/>
  <c r="H579" i="14"/>
  <c r="H138" i="14"/>
  <c r="H777" i="14"/>
  <c r="F633" i="14"/>
  <c r="F11" i="14"/>
  <c r="G170" i="14"/>
  <c r="H633" i="14"/>
  <c r="H7" i="14"/>
  <c r="G322" i="14"/>
  <c r="G447" i="14"/>
  <c r="H454" i="14"/>
  <c r="G1059" i="14"/>
  <c r="G84" i="14"/>
  <c r="F991" i="14"/>
  <c r="F711" i="14"/>
  <c r="G526" i="14"/>
  <c r="F556" i="14"/>
  <c r="H856" i="14"/>
  <c r="G1089" i="14"/>
  <c r="H1030" i="14"/>
  <c r="F113" i="14"/>
  <c r="F140" i="14"/>
  <c r="E502" i="14"/>
  <c r="H910" i="14"/>
  <c r="H793" i="14"/>
  <c r="H198" i="14"/>
  <c r="E227" i="14"/>
  <c r="F635" i="14"/>
  <c r="F1113" i="14"/>
  <c r="G112" i="14"/>
  <c r="G815" i="14"/>
  <c r="E747" i="14"/>
  <c r="H940" i="14"/>
  <c r="F490" i="14"/>
  <c r="H27" i="14"/>
  <c r="H354" i="14"/>
  <c r="G17" i="14"/>
  <c r="F970" i="14"/>
  <c r="E523" i="14"/>
  <c r="E910" i="14"/>
  <c r="E560" i="14"/>
  <c r="E843" i="14"/>
  <c r="F329" i="14"/>
  <c r="E674" i="14"/>
  <c r="F35" i="14"/>
  <c r="G737" i="14"/>
  <c r="H529" i="14"/>
  <c r="G41" i="14"/>
  <c r="H231" i="14"/>
  <c r="G1130" i="14"/>
  <c r="H154" i="14"/>
  <c r="E586" i="14"/>
  <c r="F505" i="14"/>
  <c r="H1025" i="14"/>
  <c r="H917" i="14"/>
  <c r="G684" i="14"/>
  <c r="G340" i="14"/>
  <c r="F862" i="14"/>
  <c r="H202" i="14"/>
  <c r="H1187" i="14"/>
  <c r="F491" i="14"/>
  <c r="G389" i="14"/>
  <c r="H642" i="14"/>
  <c r="H1175" i="14"/>
  <c r="H721" i="14"/>
  <c r="E684" i="14"/>
  <c r="F983" i="14"/>
  <c r="H546" i="14"/>
  <c r="E946" i="14"/>
  <c r="E202" i="14"/>
  <c r="H938" i="14"/>
  <c r="E694" i="14"/>
  <c r="E1137" i="14"/>
  <c r="G1020" i="14"/>
  <c r="E1099" i="14"/>
  <c r="F1075" i="14"/>
  <c r="E222" i="14"/>
  <c r="F999" i="14"/>
  <c r="H443" i="14"/>
  <c r="H19" i="14"/>
  <c r="E232" i="14"/>
  <c r="G731" i="14"/>
  <c r="E371" i="14"/>
  <c r="G461" i="14"/>
  <c r="H110" i="14"/>
  <c r="G1026" i="14"/>
  <c r="H360" i="14"/>
  <c r="D655" i="14"/>
  <c r="G388" i="14"/>
  <c r="E878" i="14"/>
  <c r="E1035" i="14"/>
  <c r="H809" i="14"/>
  <c r="H254" i="14"/>
  <c r="E746" i="14"/>
  <c r="F708" i="14"/>
  <c r="E688" i="14"/>
  <c r="H142" i="14"/>
  <c r="E1112" i="14"/>
  <c r="G506" i="14"/>
  <c r="F390" i="14"/>
  <c r="E613" i="14"/>
  <c r="E347" i="14"/>
  <c r="F6" i="14"/>
  <c r="E180" i="14"/>
  <c r="G653" i="14"/>
  <c r="E801" i="14"/>
  <c r="F553" i="14"/>
  <c r="H447" i="14"/>
  <c r="E1176" i="14"/>
  <c r="E650" i="14"/>
  <c r="F710" i="14"/>
  <c r="E645" i="14"/>
  <c r="F192" i="14"/>
  <c r="E546" i="14"/>
  <c r="H391" i="14"/>
  <c r="H782" i="14"/>
  <c r="F512" i="14"/>
  <c r="F1143" i="14"/>
  <c r="H792" i="14"/>
  <c r="E444" i="14"/>
  <c r="E456" i="14"/>
  <c r="E529" i="14"/>
  <c r="G108" i="14"/>
  <c r="G556" i="14"/>
  <c r="H1126" i="14"/>
  <c r="E435" i="14"/>
  <c r="H96" i="14"/>
  <c r="G714" i="14"/>
  <c r="E461" i="14"/>
  <c r="H141" i="14"/>
  <c r="E385" i="14"/>
  <c r="E702" i="14"/>
  <c r="F1031" i="14"/>
  <c r="F1068" i="14"/>
  <c r="F315" i="14"/>
  <c r="H384" i="14"/>
  <c r="F637" i="14"/>
  <c r="E1062" i="14"/>
  <c r="F634" i="14"/>
  <c r="H393" i="14"/>
  <c r="G804" i="14"/>
  <c r="G1074" i="14"/>
  <c r="E21" i="14"/>
  <c r="G51" i="14"/>
  <c r="E1108" i="14"/>
  <c r="G138" i="14"/>
  <c r="G1027" i="14"/>
  <c r="H1061" i="14"/>
  <c r="E1165" i="14"/>
  <c r="F799" i="14"/>
  <c r="E338" i="14"/>
  <c r="G195" i="14"/>
  <c r="G89" i="14"/>
  <c r="H321" i="14"/>
  <c r="E1077" i="14"/>
  <c r="E389" i="14"/>
  <c r="H490" i="14"/>
  <c r="G833" i="14"/>
  <c r="F1169" i="14"/>
  <c r="E330" i="14"/>
  <c r="H1131" i="14"/>
  <c r="H187" i="14"/>
  <c r="F1144" i="14"/>
  <c r="E331" i="14"/>
  <c r="H884" i="14"/>
  <c r="E372" i="14"/>
  <c r="H1150" i="14"/>
  <c r="F1123" i="14"/>
  <c r="F161" i="14"/>
  <c r="G1183" i="14"/>
  <c r="E669" i="14"/>
  <c r="E294" i="14"/>
  <c r="G1087" i="14"/>
  <c r="F305" i="14"/>
  <c r="H838" i="14"/>
  <c r="E118" i="14"/>
  <c r="F751" i="14"/>
  <c r="F324" i="14"/>
  <c r="H810" i="14"/>
  <c r="H75" i="14"/>
  <c r="E272" i="14"/>
  <c r="E553" i="14"/>
  <c r="E481" i="14"/>
  <c r="G699" i="14"/>
  <c r="H860" i="14"/>
  <c r="F466" i="14"/>
  <c r="H714" i="14"/>
  <c r="E778" i="14"/>
  <c r="E466" i="14"/>
  <c r="F158" i="14"/>
  <c r="E1037" i="14"/>
  <c r="H989" i="14"/>
  <c r="F211" i="14"/>
  <c r="F160" i="14"/>
  <c r="H844" i="14"/>
  <c r="E604" i="14"/>
  <c r="H964" i="14"/>
  <c r="E1076" i="14"/>
  <c r="G634" i="14"/>
  <c r="E806" i="14"/>
  <c r="F139" i="14"/>
  <c r="G997" i="14"/>
  <c r="F444" i="14"/>
  <c r="F417" i="14"/>
  <c r="G1065" i="14"/>
  <c r="H881" i="14"/>
  <c r="F748" i="14"/>
  <c r="G1118" i="14"/>
  <c r="E1168" i="14"/>
  <c r="F423" i="14"/>
  <c r="G575" i="14"/>
  <c r="H576" i="14"/>
  <c r="F523" i="14"/>
  <c r="H42" i="14"/>
  <c r="H1185" i="14"/>
  <c r="G320" i="14"/>
  <c r="F852" i="14"/>
  <c r="F258" i="14"/>
  <c r="H612" i="14"/>
  <c r="H468" i="14"/>
  <c r="G52" i="14"/>
  <c r="H37" i="14"/>
  <c r="G831" i="14"/>
  <c r="H1026" i="14"/>
  <c r="E128" i="14"/>
  <c r="E754" i="14"/>
  <c r="F349" i="14"/>
  <c r="H867" i="14"/>
  <c r="E1101" i="14"/>
  <c r="G169" i="14"/>
  <c r="G417" i="14"/>
  <c r="F560" i="14"/>
  <c r="F673" i="14"/>
  <c r="G1122" i="14"/>
  <c r="E580" i="14"/>
  <c r="G536" i="14"/>
  <c r="H76" i="14"/>
  <c r="F420" i="14"/>
  <c r="E1189" i="14"/>
  <c r="H306" i="14"/>
  <c r="E1042" i="14"/>
  <c r="E1158" i="14"/>
  <c r="F1080" i="14"/>
  <c r="E357" i="14"/>
  <c r="H835" i="14"/>
  <c r="E129" i="14"/>
  <c r="H1158" i="14"/>
  <c r="F341" i="14"/>
  <c r="F666" i="14"/>
  <c r="E555" i="14"/>
  <c r="E243" i="14"/>
  <c r="E438" i="14"/>
  <c r="G336" i="14"/>
  <c r="F1117" i="14"/>
  <c r="F1156" i="14"/>
  <c r="E68" i="14"/>
  <c r="E136" i="14"/>
  <c r="G579" i="14"/>
  <c r="F747" i="14"/>
  <c r="G648" i="14"/>
  <c r="E993" i="14"/>
  <c r="F572" i="14"/>
  <c r="G743" i="14"/>
  <c r="F639" i="14"/>
  <c r="H778" i="14"/>
  <c r="E729" i="14"/>
  <c r="G829" i="14"/>
  <c r="E452" i="14"/>
  <c r="G962" i="14"/>
  <c r="F373" i="14"/>
  <c r="H463" i="14"/>
  <c r="E981" i="14"/>
  <c r="H584" i="14"/>
  <c r="E1010" i="14"/>
  <c r="F825" i="14"/>
  <c r="F1098" i="14"/>
  <c r="G1036" i="14"/>
  <c r="F593" i="14"/>
  <c r="G399" i="14"/>
  <c r="H864" i="14"/>
  <c r="G487" i="14"/>
  <c r="E221" i="14"/>
  <c r="F146" i="14"/>
  <c r="G498" i="14"/>
  <c r="E605" i="14"/>
  <c r="G1023" i="14"/>
  <c r="E632" i="14"/>
  <c r="G966" i="14"/>
  <c r="E75" i="14"/>
  <c r="G1190" i="14"/>
  <c r="G252" i="14"/>
  <c r="F1024" i="14"/>
  <c r="E689" i="14"/>
  <c r="E116" i="14"/>
  <c r="F786" i="14"/>
  <c r="E149" i="14"/>
  <c r="H417" i="14"/>
  <c r="F801" i="14"/>
  <c r="G353" i="14"/>
  <c r="E181" i="14"/>
  <c r="H919" i="14"/>
  <c r="F367" i="14"/>
  <c r="H698" i="14"/>
  <c r="E965" i="14"/>
  <c r="F912" i="14"/>
  <c r="H865" i="14"/>
  <c r="H475" i="14"/>
  <c r="F768" i="14"/>
  <c r="H329" i="14"/>
  <c r="G619" i="14"/>
  <c r="F885" i="14"/>
  <c r="F570" i="14"/>
  <c r="G534" i="14"/>
  <c r="F709" i="14"/>
  <c r="G910" i="14"/>
  <c r="F540" i="14"/>
  <c r="E606" i="14"/>
  <c r="F719" i="14"/>
  <c r="F879" i="14"/>
  <c r="E420" i="14"/>
  <c r="E839" i="14"/>
  <c r="G546" i="14"/>
  <c r="H934" i="14"/>
  <c r="H1172" i="14"/>
  <c r="F1055" i="14"/>
  <c r="H755" i="14"/>
  <c r="G302" i="14"/>
  <c r="G319" i="14"/>
  <c r="F1104" i="14"/>
  <c r="G95" i="14"/>
  <c r="E490" i="14"/>
  <c r="H771" i="14"/>
  <c r="H1164" i="14"/>
  <c r="F935" i="14"/>
  <c r="F691" i="14"/>
  <c r="G480" i="14"/>
  <c r="G514" i="14"/>
  <c r="E384" i="14"/>
  <c r="H415" i="14"/>
  <c r="E497" i="14"/>
  <c r="G8" i="14"/>
  <c r="F339" i="14"/>
  <c r="E1100" i="14"/>
  <c r="F814" i="14"/>
  <c r="F850" i="14"/>
  <c r="E1157" i="14"/>
  <c r="H434" i="14"/>
  <c r="F379" i="14"/>
  <c r="F366" i="14"/>
  <c r="F485" i="14"/>
  <c r="H825" i="14"/>
  <c r="G325" i="14"/>
  <c r="G362" i="14"/>
  <c r="G1132" i="14"/>
  <c r="H775" i="14"/>
  <c r="H93" i="14"/>
  <c r="H300" i="14"/>
  <c r="H117" i="14"/>
  <c r="F867" i="14"/>
  <c r="G846" i="14"/>
  <c r="G294" i="14"/>
  <c r="E3" i="14"/>
  <c r="G674" i="14"/>
  <c r="F312" i="14"/>
  <c r="H681" i="14"/>
  <c r="E734" i="14"/>
  <c r="H192" i="14"/>
  <c r="G304" i="14"/>
  <c r="G1107" i="14"/>
  <c r="E93" i="14"/>
  <c r="E851" i="14"/>
  <c r="H928" i="14"/>
  <c r="H733" i="14"/>
  <c r="F759" i="14"/>
  <c r="H213" i="14"/>
  <c r="E956" i="14"/>
  <c r="E931" i="14"/>
  <c r="G386" i="14"/>
  <c r="G332" i="14"/>
  <c r="E503" i="14"/>
  <c r="H513" i="14"/>
  <c r="G199" i="14"/>
  <c r="E954" i="14"/>
  <c r="G805" i="14"/>
  <c r="F119" i="14"/>
  <c r="F758" i="14"/>
  <c r="E566" i="14"/>
  <c r="G785" i="14"/>
  <c r="H63" i="14"/>
  <c r="E308" i="14"/>
  <c r="G227" i="14"/>
  <c r="F585" i="14"/>
  <c r="H136" i="14"/>
  <c r="F257" i="14"/>
  <c r="G1033" i="14"/>
  <c r="G644" i="14"/>
  <c r="H969" i="14"/>
  <c r="E1134" i="14"/>
  <c r="G254" i="14"/>
  <c r="H1084" i="14"/>
  <c r="G261" i="14"/>
  <c r="H31" i="14"/>
  <c r="H905" i="14"/>
  <c r="H478" i="14"/>
  <c r="G572" i="14"/>
  <c r="E52" i="14"/>
  <c r="F1062" i="14"/>
  <c r="F893" i="14"/>
  <c r="F174" i="14"/>
  <c r="H1109" i="14"/>
  <c r="H977" i="14"/>
  <c r="H913" i="14"/>
  <c r="H895" i="14"/>
  <c r="E76" i="14"/>
  <c r="E837" i="14"/>
  <c r="F1016" i="14"/>
  <c r="H506" i="14"/>
  <c r="E1078" i="14"/>
  <c r="F81" i="14"/>
  <c r="G154" i="14"/>
  <c r="H892" i="14"/>
  <c r="G561" i="14"/>
  <c r="E124" i="14"/>
  <c r="G327" i="14"/>
  <c r="G278" i="14"/>
  <c r="E204" i="14"/>
  <c r="E226" i="14"/>
  <c r="G1040" i="14"/>
  <c r="F454" i="14"/>
  <c r="E616" i="14"/>
  <c r="G535" i="14"/>
  <c r="H807" i="14"/>
  <c r="F1155" i="14"/>
  <c r="F833" i="14"/>
  <c r="H1192" i="14"/>
  <c r="F1087" i="14"/>
  <c r="F824" i="14"/>
  <c r="F642" i="14"/>
  <c r="G708" i="14"/>
  <c r="H617" i="14"/>
  <c r="F470" i="14"/>
  <c r="H102" i="14"/>
  <c r="E957" i="14"/>
  <c r="H627" i="14"/>
  <c r="H749" i="14"/>
  <c r="H455" i="14"/>
  <c r="E85" i="14"/>
  <c r="F990" i="14"/>
  <c r="F15" i="14"/>
  <c r="F569" i="14"/>
  <c r="E679" i="14"/>
  <c r="E1069" i="14"/>
  <c r="H696" i="14"/>
  <c r="E81" i="14"/>
  <c r="G739" i="14"/>
  <c r="E1141" i="14"/>
  <c r="H943" i="14"/>
  <c r="E867" i="14"/>
  <c r="H370" i="14"/>
  <c r="E1169" i="14"/>
  <c r="E445" i="14"/>
  <c r="F692" i="14"/>
  <c r="G236" i="14"/>
  <c r="H1036" i="14"/>
  <c r="H823" i="14"/>
  <c r="G766" i="14"/>
  <c r="E835" i="14"/>
  <c r="H541" i="14"/>
  <c r="H877" i="14"/>
  <c r="G938" i="14"/>
  <c r="H765" i="14"/>
  <c r="H1086" i="14"/>
  <c r="H1034" i="14"/>
  <c r="H367" i="14"/>
  <c r="F837" i="14"/>
  <c r="E678" i="14"/>
  <c r="H684" i="14"/>
  <c r="G892" i="14"/>
  <c r="H710" i="14"/>
  <c r="G924" i="14"/>
  <c r="H1105" i="14"/>
  <c r="G887" i="14"/>
  <c r="G182" i="14"/>
  <c r="F614" i="14"/>
  <c r="G55" i="14"/>
  <c r="G894" i="14"/>
  <c r="D866" i="14"/>
  <c r="H683" i="14"/>
  <c r="G755" i="14"/>
  <c r="G385" i="14"/>
  <c r="G584" i="14"/>
  <c r="F1050" i="14"/>
  <c r="G1094" i="14"/>
  <c r="H216" i="14"/>
  <c r="F127" i="14"/>
  <c r="E208" i="14"/>
  <c r="E713" i="14"/>
  <c r="E79" i="14"/>
  <c r="F395" i="14"/>
  <c r="H400" i="14"/>
  <c r="H1165" i="14"/>
  <c r="F608" i="14"/>
  <c r="G1176" i="14"/>
  <c r="E915" i="14"/>
  <c r="F713" i="14"/>
  <c r="F145" i="14"/>
  <c r="G191" i="14"/>
  <c r="G150" i="14"/>
  <c r="F798" i="14"/>
  <c r="H774" i="14"/>
  <c r="E24" i="14"/>
  <c r="G680" i="14"/>
  <c r="G453" i="14"/>
  <c r="E278" i="14"/>
  <c r="H878" i="14"/>
  <c r="H1092" i="14"/>
  <c r="E1073" i="14"/>
  <c r="G116" i="14"/>
  <c r="E138" i="14"/>
  <c r="E486" i="14"/>
  <c r="E45" i="14"/>
  <c r="F926" i="14"/>
  <c r="G100" i="14"/>
  <c r="H123" i="14"/>
  <c r="F1066" i="14"/>
  <c r="H679" i="14"/>
  <c r="F1059" i="14"/>
  <c r="F128" i="14"/>
  <c r="E399" i="14"/>
  <c r="G901" i="14"/>
  <c r="F665" i="14"/>
  <c r="F717" i="14"/>
  <c r="H481" i="14"/>
  <c r="G186" i="14"/>
  <c r="H1151" i="14"/>
  <c r="F1090" i="14"/>
  <c r="E392" i="14"/>
  <c r="E176" i="14"/>
  <c r="G361" i="14"/>
  <c r="F296" i="14"/>
  <c r="G105" i="14"/>
  <c r="H567" i="14"/>
  <c r="E14" i="14"/>
  <c r="G455" i="14"/>
  <c r="E827" i="14"/>
  <c r="F1126" i="14"/>
  <c r="G661" i="14"/>
  <c r="G747" i="14"/>
  <c r="G666" i="14"/>
  <c r="F949" i="14"/>
  <c r="F712" i="14"/>
  <c r="H435" i="14"/>
  <c r="G891" i="14"/>
  <c r="E354" i="14"/>
  <c r="E1150" i="14"/>
  <c r="F500" i="14"/>
  <c r="H950" i="14"/>
  <c r="F286" i="14"/>
  <c r="E491" i="14"/>
  <c r="H580" i="14"/>
  <c r="E1143" i="14"/>
  <c r="H257" i="14"/>
  <c r="F362" i="14"/>
  <c r="H386" i="14"/>
  <c r="E235" i="14"/>
  <c r="H214" i="14"/>
  <c r="F892" i="14"/>
  <c r="E108" i="14"/>
  <c r="H405" i="14"/>
  <c r="F1082" i="14"/>
  <c r="F383" i="14"/>
  <c r="G928" i="14"/>
  <c r="G819" i="14"/>
  <c r="F591" i="14"/>
  <c r="G173" i="14"/>
  <c r="E194" i="14"/>
  <c r="E828" i="14"/>
  <c r="G15" i="14"/>
  <c r="H963" i="14"/>
  <c r="F613" i="14"/>
  <c r="D337" i="14"/>
  <c r="D838" i="14"/>
  <c r="D231" i="14"/>
  <c r="D973" i="14"/>
  <c r="D860" i="14"/>
  <c r="D185" i="14"/>
  <c r="D523" i="14"/>
  <c r="D1175" i="14"/>
  <c r="D472" i="14"/>
  <c r="D181" i="14"/>
  <c r="D870" i="14"/>
  <c r="D1163" i="14"/>
  <c r="D911" i="14"/>
  <c r="D804" i="14"/>
  <c r="D168" i="14"/>
  <c r="D298" i="14"/>
  <c r="D1187" i="14"/>
  <c r="D872" i="14"/>
  <c r="D790" i="14"/>
  <c r="D1123" i="14"/>
  <c r="D204" i="14"/>
  <c r="D743" i="14"/>
  <c r="D73" i="14"/>
  <c r="D581" i="14"/>
  <c r="D360" i="14"/>
  <c r="D965" i="14"/>
  <c r="D363" i="14"/>
  <c r="D285" i="14"/>
  <c r="D371" i="14"/>
  <c r="D53" i="14"/>
  <c r="D821" i="14"/>
  <c r="D184" i="14"/>
  <c r="D692" i="14"/>
  <c r="D222" i="14"/>
  <c r="D218" i="14"/>
  <c r="D891" i="14"/>
  <c r="D309" i="14"/>
  <c r="D175" i="14"/>
  <c r="D708" i="14"/>
  <c r="D362" i="14"/>
  <c r="D1085" i="14"/>
  <c r="D61" i="14"/>
  <c r="D533" i="14"/>
  <c r="D1108" i="14"/>
  <c r="D1144" i="14"/>
  <c r="D253" i="14"/>
  <c r="D442" i="14"/>
  <c r="D141" i="14"/>
  <c r="D463" i="14"/>
  <c r="D1150" i="14"/>
  <c r="D1100" i="14"/>
  <c r="D1118" i="14"/>
  <c r="D398" i="14"/>
  <c r="D1071" i="14"/>
  <c r="D1131" i="14"/>
  <c r="D493" i="14"/>
  <c r="D736" i="14"/>
  <c r="D415" i="14"/>
  <c r="D289" i="14"/>
  <c r="D1165" i="14"/>
  <c r="D382" i="14"/>
  <c r="D772" i="14"/>
  <c r="D906" i="14"/>
  <c r="D850" i="14"/>
  <c r="D347" i="14"/>
  <c r="D558" i="14"/>
  <c r="D538" i="14"/>
  <c r="D554" i="14"/>
  <c r="D322" i="14"/>
  <c r="D438" i="14"/>
  <c r="D1184" i="14"/>
  <c r="D97" i="14"/>
  <c r="D140" i="14"/>
  <c r="D571" i="14"/>
  <c r="D489" i="14"/>
  <c r="D1107" i="14"/>
  <c r="D113" i="14"/>
  <c r="D102" i="14"/>
  <c r="D941" i="14"/>
  <c r="D1097" i="14"/>
  <c r="D897" i="14"/>
  <c r="D1106" i="14"/>
  <c r="D1063" i="14"/>
  <c r="D465" i="14"/>
  <c r="D480" i="14"/>
  <c r="D1032" i="14"/>
  <c r="D913" i="14"/>
  <c r="D416" i="14"/>
  <c r="D550" i="14"/>
  <c r="D137" i="14"/>
  <c r="D528" i="14"/>
  <c r="D1178" i="14"/>
  <c r="D173" i="14"/>
  <c r="D14" i="14"/>
  <c r="D1041" i="14"/>
  <c r="D1038" i="14"/>
  <c r="D792" i="14"/>
  <c r="D1120" i="14"/>
  <c r="D825" i="14"/>
  <c r="D64" i="14"/>
  <c r="D805" i="14"/>
  <c r="D567" i="14"/>
  <c r="D748" i="14"/>
  <c r="D1119" i="14"/>
  <c r="D315" i="14"/>
  <c r="D659" i="14"/>
  <c r="D586" i="14"/>
  <c r="D297" i="14"/>
  <c r="D979" i="14"/>
  <c r="D747" i="14"/>
  <c r="D145" i="14"/>
  <c r="D154" i="14"/>
  <c r="D709" i="14"/>
  <c r="D978" i="14"/>
  <c r="D1181" i="14"/>
  <c r="D440" i="14"/>
  <c r="D122" i="14"/>
  <c r="D207" i="14"/>
  <c r="D991" i="14"/>
  <c r="D857" i="14"/>
  <c r="D239" i="14"/>
  <c r="D750" i="14"/>
  <c r="D844" i="14"/>
  <c r="D663" i="14"/>
  <c r="D459" i="14"/>
  <c r="D88" i="14"/>
  <c r="D182" i="14"/>
  <c r="D620" i="14"/>
  <c r="D107" i="14"/>
  <c r="D211" i="14"/>
  <c r="D921" i="14"/>
  <c r="D447" i="14"/>
  <c r="D931" i="14"/>
  <c r="D1110" i="14"/>
  <c r="D537" i="14"/>
  <c r="D1112" i="14"/>
  <c r="D640" i="14"/>
  <c r="D1022" i="14"/>
  <c r="D1025" i="14"/>
  <c r="D1035" i="14"/>
  <c r="D160" i="14"/>
  <c r="D992" i="14"/>
  <c r="D1185" i="14"/>
  <c r="D450" i="14"/>
  <c r="D345" i="14"/>
  <c r="D588" i="14"/>
  <c r="D294" i="14"/>
  <c r="D999" i="14"/>
  <c r="D82" i="14"/>
  <c r="D117" i="14"/>
  <c r="D1128" i="14"/>
  <c r="D341" i="14"/>
  <c r="D469" i="14"/>
  <c r="D2" i="14"/>
  <c r="D1130" i="14"/>
  <c r="D1040" i="14"/>
  <c r="D914" i="14"/>
  <c r="D841" i="14"/>
  <c r="D715" i="14"/>
  <c r="D988" i="14"/>
  <c r="D882" i="14"/>
  <c r="D661" i="14"/>
  <c r="D625" i="14"/>
  <c r="D848" i="14"/>
  <c r="D788" i="14"/>
  <c r="D1122" i="14"/>
  <c r="D603" i="14"/>
  <c r="D578" i="14"/>
  <c r="D1048" i="14"/>
  <c r="D83" i="14"/>
  <c r="D216" i="14"/>
  <c r="D637" i="14"/>
  <c r="D209" i="14"/>
  <c r="D1173" i="14"/>
  <c r="D859" i="14"/>
  <c r="D843" i="14"/>
  <c r="D38" i="14"/>
  <c r="D671" i="14"/>
  <c r="D318" i="14"/>
  <c r="D690" i="14"/>
  <c r="D212" i="14"/>
  <c r="D531" i="14"/>
  <c r="D408" i="14"/>
  <c r="D515" i="14"/>
  <c r="D475" i="14"/>
  <c r="D388" i="14"/>
  <c r="D1199" i="14"/>
  <c r="D361" i="14"/>
  <c r="D368" i="14"/>
  <c r="D564" i="14"/>
  <c r="D917" i="14"/>
  <c r="D47" i="14"/>
  <c r="D1156" i="14"/>
  <c r="D364" i="14"/>
  <c r="D971" i="14"/>
  <c r="D880" i="14"/>
  <c r="D757" i="14"/>
  <c r="D955" i="14"/>
  <c r="D504" i="14"/>
  <c r="D1028" i="14"/>
  <c r="D909" i="14"/>
  <c r="D1143" i="14"/>
  <c r="D39" i="14"/>
  <c r="D609" i="14"/>
  <c r="D444" i="14"/>
  <c r="D1121" i="14"/>
  <c r="D512" i="14"/>
  <c r="D9" i="14"/>
  <c r="D800" i="14"/>
  <c r="D385" i="14"/>
  <c r="D541" i="14"/>
  <c r="D283" i="14"/>
  <c r="D344" i="14"/>
  <c r="D963" i="14"/>
  <c r="D1136" i="14"/>
  <c r="D539" i="14"/>
  <c r="D902" i="14"/>
  <c r="D172" i="14"/>
  <c r="D547" i="14"/>
  <c r="D487" i="14"/>
  <c r="D936" i="14"/>
  <c r="D646" i="14"/>
  <c r="D694" i="14"/>
  <c r="D830" i="14"/>
  <c r="D962" i="14"/>
  <c r="D1102" i="14"/>
  <c r="D359" i="14"/>
  <c r="D115" i="14"/>
  <c r="D395" i="14"/>
  <c r="D187" i="14"/>
  <c r="D1056" i="14"/>
  <c r="D563" i="14"/>
  <c r="D688" i="14"/>
  <c r="D873" i="14"/>
  <c r="D511" i="14"/>
  <c r="D387" i="14"/>
  <c r="D343" i="14"/>
  <c r="D606" i="14"/>
  <c r="D632" i="14"/>
  <c r="D816" i="14"/>
  <c r="D1145" i="14"/>
  <c r="D1057" i="14"/>
  <c r="D325" i="14"/>
  <c r="D980" i="14"/>
  <c r="D714" i="14"/>
  <c r="D595" i="14"/>
  <c r="D1129" i="14"/>
  <c r="D1200" i="14"/>
  <c r="D35" i="14"/>
  <c r="D90" i="14"/>
  <c r="D58" i="14"/>
  <c r="D984" i="14"/>
  <c r="D700" i="14"/>
  <c r="D414" i="14"/>
  <c r="D919" i="14"/>
  <c r="D827" i="14"/>
  <c r="D263" i="14"/>
  <c r="D11" i="14"/>
  <c r="D482" i="14"/>
  <c r="D95" i="14"/>
  <c r="D643" i="14"/>
  <c r="D203" i="14"/>
  <c r="D252" i="14"/>
  <c r="D1064" i="14"/>
  <c r="D501" i="14"/>
  <c r="D1060" i="14"/>
  <c r="D768" i="14"/>
  <c r="D467" i="14"/>
  <c r="D1111" i="14"/>
  <c r="D969" i="14"/>
  <c r="D232" i="14"/>
  <c r="D452" i="14"/>
  <c r="D176" i="14"/>
  <c r="D1092" i="14"/>
  <c r="D468" i="14"/>
  <c r="D446" i="14"/>
  <c r="D831" i="14"/>
  <c r="D236" i="14"/>
  <c r="D336" i="14"/>
  <c r="D426" i="14"/>
  <c r="D584" i="14"/>
  <c r="D863" i="14"/>
  <c r="D374" i="14"/>
  <c r="D370" i="14"/>
  <c r="D977" i="14"/>
  <c r="D205" i="14"/>
  <c r="D674" i="14"/>
  <c r="D593" i="14"/>
  <c r="D1153" i="14"/>
  <c r="D812" i="14"/>
  <c r="D532" i="14"/>
  <c r="D471" i="14"/>
  <c r="D797" i="14"/>
  <c r="D1160" i="14"/>
  <c r="D813" i="14"/>
  <c r="D907" i="14"/>
  <c r="D1172" i="14"/>
  <c r="D585" i="14"/>
  <c r="D100" i="14"/>
  <c r="D959" i="14"/>
  <c r="D300" i="14"/>
  <c r="D85" i="14"/>
  <c r="D1002" i="14"/>
  <c r="D934" i="14"/>
  <c r="D651" i="14"/>
  <c r="D293" i="14"/>
  <c r="D1044" i="14"/>
  <c r="D678" i="14"/>
  <c r="D638" i="14"/>
  <c r="D946" i="14"/>
  <c r="D142" i="14"/>
  <c r="D134" i="14"/>
  <c r="D1070" i="14"/>
  <c r="D112" i="14"/>
  <c r="D202" i="14"/>
  <c r="D312" i="14"/>
  <c r="D1134" i="14"/>
  <c r="D121" i="14"/>
  <c r="D922" i="14"/>
  <c r="D751" i="14"/>
  <c r="D406" i="14"/>
  <c r="D562" i="14"/>
  <c r="D874" i="14"/>
  <c r="D490" i="14"/>
  <c r="D697" i="14"/>
  <c r="D339" i="14"/>
  <c r="D940" i="14"/>
  <c r="D947" i="14"/>
  <c r="D803" i="14"/>
  <c r="D983" i="14"/>
  <c r="D36" i="14"/>
  <c r="D910" i="14"/>
  <c r="D1140" i="14"/>
  <c r="D1009" i="14"/>
  <c r="D915" i="14"/>
  <c r="D633" i="14"/>
  <c r="D48" i="14"/>
  <c r="D1180" i="14"/>
  <c r="D796" i="14"/>
  <c r="D327" i="14"/>
  <c r="D413" i="14"/>
  <c r="D888" i="14"/>
  <c r="D876" i="14"/>
  <c r="D441" i="14"/>
  <c r="D44" i="14"/>
  <c r="D439" i="14"/>
  <c r="D1152" i="14"/>
  <c r="D766" i="14"/>
  <c r="D594" i="14"/>
  <c r="D1183" i="14"/>
  <c r="D573" i="14"/>
  <c r="D696" i="14"/>
  <c r="D944" i="14"/>
  <c r="D534" i="14"/>
  <c r="D133" i="14"/>
  <c r="D264" i="14"/>
  <c r="D279" i="14"/>
  <c r="D126" i="14"/>
  <c r="D616" i="14"/>
  <c r="D1058" i="14"/>
  <c r="D641" i="14"/>
  <c r="D56" i="14"/>
  <c r="D265" i="14"/>
  <c r="D376" i="14"/>
  <c r="D174" i="14"/>
  <c r="D759" i="14"/>
  <c r="D425" i="14"/>
  <c r="D94" i="14"/>
  <c r="D411" i="14"/>
  <c r="D128" i="14"/>
  <c r="D1054" i="14"/>
  <c r="D280" i="14"/>
  <c r="D1076" i="14"/>
  <c r="D354" i="14"/>
  <c r="D689" i="14"/>
  <c r="D966" i="14"/>
  <c r="D1149" i="14"/>
  <c r="D136" i="14"/>
  <c r="D1198" i="14"/>
  <c r="D1084" i="14"/>
  <c r="D795" i="14"/>
  <c r="D602" i="14"/>
  <c r="D1094" i="14"/>
  <c r="D177" i="14"/>
  <c r="D1013" i="14"/>
  <c r="D149" i="14"/>
  <c r="D1117" i="14"/>
  <c r="D642" i="14"/>
  <c r="D171" i="14"/>
  <c r="D728" i="14"/>
  <c r="D28" i="14"/>
  <c r="D644" i="14"/>
  <c r="D401" i="14"/>
  <c r="D1186" i="14"/>
  <c r="D960" i="14"/>
  <c r="D477" i="14"/>
  <c r="D331" i="14"/>
  <c r="D243" i="14"/>
  <c r="D1135" i="14"/>
  <c r="D305" i="14"/>
  <c r="D386" i="14"/>
  <c r="D1155" i="14"/>
  <c r="D65" i="14"/>
  <c r="D357" i="14"/>
  <c r="D434" i="14"/>
  <c r="D761" i="14"/>
  <c r="D46" i="14"/>
  <c r="D794" i="14"/>
  <c r="D1062" i="14"/>
  <c r="D366" i="14"/>
  <c r="D572" i="14"/>
  <c r="D451" i="14"/>
  <c r="D1164" i="14"/>
  <c r="D905" i="14"/>
  <c r="D536" i="14"/>
  <c r="D901" i="14"/>
  <c r="D473" i="14"/>
  <c r="D466" i="14"/>
  <c r="D233" i="14"/>
  <c r="D741" i="14"/>
  <c r="D684" i="14"/>
  <c r="D996" i="14"/>
  <c r="D982" i="14"/>
  <c r="D912" i="14"/>
  <c r="D383" i="14"/>
  <c r="D981" i="14"/>
  <c r="D27" i="14"/>
  <c r="D722" i="14"/>
  <c r="D1024" i="14"/>
  <c r="D760" i="14"/>
  <c r="D180" i="14"/>
  <c r="D77" i="14"/>
  <c r="D351" i="14"/>
  <c r="D592" i="14"/>
  <c r="D746" i="14"/>
  <c r="D1068" i="14"/>
  <c r="D1067" i="14"/>
  <c r="D706" i="14"/>
  <c r="D394" i="14"/>
  <c r="D935" i="14"/>
  <c r="D920" i="14"/>
  <c r="D1127" i="14"/>
  <c r="D1089" i="14"/>
  <c r="D227" i="14"/>
  <c r="D770" i="14"/>
  <c r="D78" i="14"/>
  <c r="D526" i="14"/>
  <c r="D106" i="14"/>
  <c r="D479" i="14"/>
  <c r="D600" i="14"/>
  <c r="D373" i="14"/>
  <c r="D783" i="14"/>
  <c r="D629" i="14"/>
  <c r="D1061" i="14"/>
  <c r="D893" i="14"/>
  <c r="D199" i="14"/>
  <c r="D845" i="14"/>
  <c r="D1074" i="14"/>
  <c r="D86" i="14"/>
  <c r="D330" i="14"/>
  <c r="D613" i="14"/>
  <c r="D975" i="14"/>
  <c r="D7" i="14"/>
  <c r="D158" i="14"/>
  <c r="D853" i="14"/>
  <c r="D123" i="14"/>
  <c r="D618" i="14"/>
  <c r="D987" i="14"/>
  <c r="D1078" i="14"/>
  <c r="D631" i="14"/>
  <c r="D927" i="14"/>
  <c r="D67" i="14"/>
  <c r="D765" i="14"/>
  <c r="D230" i="14"/>
  <c r="D15" i="14"/>
  <c r="D240" i="14"/>
  <c r="D875" i="14"/>
  <c r="D986" i="14"/>
  <c r="D257" i="14"/>
  <c r="D391" i="14"/>
  <c r="D157" i="14"/>
  <c r="D665" i="14"/>
  <c r="D591" i="14"/>
  <c r="D92" i="14"/>
  <c r="D381" i="14"/>
  <c r="D404" i="14"/>
  <c r="D954" i="14"/>
  <c r="D1034" i="14"/>
  <c r="D304" i="14"/>
  <c r="D928" i="14"/>
  <c r="D458" i="14"/>
  <c r="D787" i="14"/>
  <c r="D162" i="14"/>
  <c r="D599" i="14"/>
  <c r="D932" i="14"/>
  <c r="D862" i="14"/>
  <c r="D763" i="14"/>
  <c r="D745" i="14"/>
  <c r="D1197" i="14"/>
  <c r="D1037" i="14"/>
  <c r="D111" i="14"/>
  <c r="D923" i="14"/>
  <c r="D502" i="14"/>
  <c r="D235" i="14"/>
  <c r="D286" i="14"/>
  <c r="D675" i="14"/>
  <c r="D42" i="14"/>
  <c r="D1137" i="14"/>
  <c r="D1007" i="14"/>
  <c r="D543" i="14"/>
  <c r="D98" i="14"/>
  <c r="D201" i="14"/>
  <c r="D30" i="14"/>
  <c r="D707" i="14"/>
  <c r="D865" i="14"/>
  <c r="D605" i="14"/>
  <c r="D422" i="14"/>
  <c r="D266" i="14"/>
  <c r="D998" i="14"/>
  <c r="D284" i="14"/>
  <c r="D789" i="14"/>
  <c r="D1019" i="14"/>
  <c r="D658" i="14"/>
  <c r="D997" i="14"/>
  <c r="D75" i="14"/>
  <c r="D49" i="14"/>
  <c r="D1139" i="14"/>
  <c r="D771" i="14"/>
  <c r="D72" i="14"/>
  <c r="D1045" i="14"/>
  <c r="D299" i="14"/>
  <c r="D51" i="14"/>
  <c r="D278" i="14"/>
  <c r="D321" i="14"/>
  <c r="D530" i="14"/>
  <c r="D774" i="14"/>
  <c r="D667" i="14"/>
  <c r="D737" i="14"/>
  <c r="D1042" i="14"/>
  <c r="D103" i="14"/>
  <c r="D350" i="14"/>
  <c r="D245" i="14"/>
  <c r="D272" i="14"/>
  <c r="D268" i="14"/>
  <c r="D152" i="14"/>
  <c r="D995" i="14"/>
  <c r="D542" i="14"/>
  <c r="D933" i="14"/>
  <c r="D828" i="14"/>
  <c r="D407" i="14"/>
  <c r="D964" i="14"/>
  <c r="D1015" i="14"/>
  <c r="D710" i="14"/>
  <c r="D1148" i="14"/>
  <c r="D116" i="14"/>
  <c r="D101" i="14"/>
  <c r="D926" i="14"/>
  <c r="D1162" i="14"/>
  <c r="D260" i="14"/>
  <c r="D656" i="14"/>
  <c r="D226" i="14"/>
  <c r="D673" i="14"/>
  <c r="D898" i="14"/>
  <c r="D721" i="14"/>
  <c r="D506" i="14"/>
  <c r="D428" i="14"/>
  <c r="D871" i="14"/>
  <c r="D430" i="14"/>
  <c r="D566" i="14"/>
  <c r="D879" i="14"/>
  <c r="D281" i="14"/>
  <c r="D429" i="14"/>
  <c r="D612" i="14"/>
  <c r="D166" i="14"/>
  <c r="D275" i="14"/>
  <c r="D1195" i="14"/>
  <c r="D565" i="14"/>
  <c r="D87" i="14"/>
  <c r="D1201" i="14"/>
  <c r="D1049" i="14"/>
  <c r="D653" i="14"/>
  <c r="D520" i="14"/>
  <c r="D307" i="14"/>
  <c r="D699" i="14"/>
  <c r="D777" i="14"/>
  <c r="D377" i="14"/>
  <c r="D139" i="14"/>
  <c r="D269" i="14"/>
  <c r="D1005" i="14"/>
  <c r="D814" i="14"/>
  <c r="D320" i="14"/>
  <c r="D179" i="14"/>
  <c r="D734" i="14"/>
  <c r="D856" i="14"/>
  <c r="D91" i="14"/>
  <c r="D764" i="14"/>
  <c r="D26" i="14"/>
  <c r="D43" i="14"/>
  <c r="D524" i="14"/>
  <c r="D1196" i="14"/>
  <c r="D1157" i="14"/>
  <c r="D1047" i="14"/>
  <c r="D484" i="14"/>
  <c r="D575" i="14"/>
  <c r="D110" i="14"/>
  <c r="D510" i="14"/>
  <c r="D427" i="14"/>
  <c r="D590" i="14"/>
  <c r="D924" i="14"/>
  <c r="D758" i="14"/>
  <c r="D780" i="14"/>
  <c r="D169" i="14"/>
  <c r="D904" i="14"/>
  <c r="D945" i="14"/>
  <c r="D1151" i="14"/>
  <c r="D247" i="14"/>
  <c r="D486" i="14"/>
  <c r="D1000" i="14"/>
  <c r="D460" i="14"/>
  <c r="D54" i="14"/>
  <c r="D228" i="14"/>
  <c r="D197" i="14"/>
  <c r="D1083" i="14"/>
  <c r="D84" i="14"/>
  <c r="D1023" i="14"/>
  <c r="D186" i="14"/>
  <c r="D798" i="14"/>
  <c r="D1006" i="14"/>
  <c r="D314" i="14"/>
  <c r="D505" i="14"/>
  <c r="D885" i="14"/>
  <c r="D958" i="14"/>
  <c r="D189" i="14"/>
  <c r="D271" i="14"/>
  <c r="D221" i="14"/>
  <c r="D669" i="14"/>
  <c r="D96" i="14"/>
  <c r="D1188" i="14"/>
  <c r="D503" i="14"/>
  <c r="D1011" i="14"/>
  <c r="D1192" i="14"/>
  <c r="D241" i="14"/>
  <c r="D1016" i="14"/>
  <c r="D338" i="14"/>
  <c r="D496" i="14"/>
  <c r="D455" i="14"/>
  <c r="D195" i="14"/>
  <c r="D384" i="14"/>
  <c r="D342" i="14"/>
  <c r="D276" i="14"/>
  <c r="D1193" i="14"/>
  <c r="D494" i="14"/>
  <c r="D167" i="14"/>
  <c r="D249" i="14"/>
  <c r="D778" i="14"/>
  <c r="D481" i="14"/>
  <c r="D739" i="14"/>
  <c r="D1010" i="14"/>
  <c r="D704" i="14"/>
  <c r="D1176" i="14"/>
  <c r="D654" i="14"/>
  <c r="D1138" i="14"/>
  <c r="D570" i="14"/>
  <c r="D431" i="14"/>
  <c r="D41" i="14"/>
  <c r="D679" i="14"/>
  <c r="D529" i="14"/>
  <c r="D918" i="14"/>
  <c r="D601" i="14"/>
  <c r="D412" i="14"/>
  <c r="D405" i="14"/>
  <c r="D1080" i="14"/>
  <c r="D392" i="14"/>
  <c r="D840" i="14"/>
  <c r="D223" i="14"/>
  <c r="D267" i="14"/>
  <c r="D852" i="14"/>
  <c r="D943" i="14"/>
  <c r="D4" i="14"/>
  <c r="D513" i="14"/>
  <c r="D648" i="14"/>
  <c r="D420" i="14"/>
  <c r="D105" i="14"/>
  <c r="D822" i="14"/>
  <c r="D854" i="14"/>
  <c r="D556" i="14"/>
  <c r="D244" i="14"/>
  <c r="D24" i="14"/>
  <c r="D939" i="14"/>
  <c r="D507" i="14"/>
  <c r="D1043" i="14"/>
  <c r="D896" i="14"/>
  <c r="D478" i="14"/>
  <c r="D781" i="14"/>
  <c r="D583" i="14"/>
  <c r="D687" i="14"/>
  <c r="D353" i="14"/>
  <c r="D59" i="14"/>
  <c r="D785" i="14"/>
  <c r="D1190" i="14"/>
  <c r="D824" i="14"/>
  <c r="D884" i="14"/>
  <c r="D356" i="14"/>
  <c r="D417" i="14"/>
  <c r="D839" i="14"/>
  <c r="D470" i="14"/>
  <c r="D887" i="14"/>
  <c r="D1132" i="14"/>
  <c r="D165" i="14"/>
  <c r="D313" i="14"/>
  <c r="D712" i="14"/>
  <c r="D695" i="14"/>
  <c r="D649" i="14"/>
  <c r="D952" i="14"/>
  <c r="D323" i="14"/>
  <c r="D819" i="14"/>
  <c r="D930" i="14"/>
  <c r="D206" i="14"/>
  <c r="D681" i="14"/>
  <c r="D288" i="14"/>
  <c r="D153" i="14"/>
  <c r="G625" i="14"/>
  <c r="E72" i="14"/>
  <c r="H1177" i="14"/>
  <c r="F1110" i="14"/>
  <c r="G1004" i="14"/>
  <c r="E309" i="14"/>
  <c r="G308" i="14"/>
  <c r="F372" i="14"/>
  <c r="E533" i="14"/>
  <c r="H1188" i="14"/>
  <c r="E706" i="14"/>
  <c r="F888" i="14"/>
  <c r="E337" i="14"/>
  <c r="G364" i="14"/>
  <c r="E505" i="14"/>
  <c r="E748" i="14"/>
  <c r="E600" i="14"/>
  <c r="H1106" i="14"/>
  <c r="G764" i="14"/>
  <c r="F446" i="14"/>
  <c r="G576" i="14"/>
  <c r="G120" i="14"/>
  <c r="F252" i="14"/>
  <c r="E1122" i="14"/>
  <c r="F18" i="14"/>
  <c r="F948" i="14"/>
  <c r="F199" i="14"/>
  <c r="E212" i="14"/>
  <c r="H592" i="14"/>
  <c r="G560" i="14"/>
  <c r="E325" i="14"/>
  <c r="G574" i="14"/>
  <c r="H18" i="14"/>
  <c r="E626" i="14"/>
  <c r="E400" i="14"/>
  <c r="F1047" i="14"/>
  <c r="E767" i="14"/>
  <c r="E561" i="14"/>
  <c r="F649" i="14"/>
  <c r="H104" i="14"/>
  <c r="E939" i="14"/>
  <c r="E210" i="14"/>
  <c r="H460" i="14"/>
  <c r="H1118" i="14"/>
  <c r="G275" i="14"/>
  <c r="E820" i="14"/>
  <c r="E690" i="14"/>
  <c r="F361" i="14"/>
  <c r="E1188" i="14"/>
  <c r="F462" i="14"/>
  <c r="E103" i="14"/>
  <c r="F604" i="14"/>
  <c r="E322" i="14"/>
  <c r="F455" i="14"/>
  <c r="H266" i="14"/>
  <c r="G816" i="14"/>
  <c r="E875" i="14"/>
  <c r="G1003" i="14"/>
  <c r="F1010" i="14"/>
  <c r="E940" i="14"/>
  <c r="F292" i="14"/>
  <c r="E1190" i="14"/>
  <c r="G730" i="14"/>
  <c r="F233" i="14"/>
  <c r="G337" i="14"/>
  <c r="G951" i="14"/>
  <c r="G517" i="14"/>
  <c r="F274" i="14"/>
  <c r="E460" i="14"/>
  <c r="E291" i="14"/>
  <c r="F1049" i="14"/>
  <c r="F416" i="14"/>
  <c r="E539" i="14"/>
  <c r="H666" i="14"/>
  <c r="E315" i="14"/>
  <c r="H58" i="14"/>
  <c r="E768" i="14"/>
  <c r="E666" i="14"/>
  <c r="H634" i="14"/>
  <c r="F34" i="14"/>
  <c r="G121" i="14"/>
  <c r="E1177" i="14"/>
  <c r="F961" i="14"/>
  <c r="G1119" i="14"/>
  <c r="H868" i="14"/>
  <c r="E2" i="14"/>
  <c r="G431" i="14"/>
  <c r="H588" i="14"/>
  <c r="F77" i="14"/>
  <c r="G944" i="14"/>
  <c r="E381" i="14"/>
  <c r="E733" i="14"/>
  <c r="G1007" i="14"/>
  <c r="E952" i="14"/>
  <c r="H1107" i="14"/>
  <c r="E519" i="14"/>
  <c r="F181" i="14"/>
  <c r="F571" i="14"/>
  <c r="H676" i="14"/>
  <c r="F1157" i="14"/>
  <c r="H9" i="14"/>
  <c r="E647" i="14"/>
  <c r="F385" i="14"/>
  <c r="G1187" i="14"/>
  <c r="F205" i="14"/>
  <c r="G218" i="14"/>
  <c r="G70" i="14"/>
  <c r="G1060" i="14"/>
  <c r="E870" i="14"/>
  <c r="E693" i="14"/>
  <c r="G844" i="14"/>
  <c r="E953" i="14"/>
  <c r="E1071" i="14"/>
  <c r="H619" i="14"/>
  <c r="H1159" i="14"/>
  <c r="D833" i="14"/>
  <c r="D13" i="14"/>
  <c r="D776" i="14"/>
  <c r="D628" i="14"/>
  <c r="D619" i="14"/>
  <c r="D292" i="14"/>
  <c r="D718" i="14"/>
  <c r="D369" i="14"/>
  <c r="D248" i="14"/>
  <c r="D716" i="14"/>
  <c r="D799" i="14"/>
  <c r="D21" i="14"/>
  <c r="D192" i="14"/>
  <c r="D970" i="14"/>
  <c r="D1046" i="14"/>
  <c r="D1073" i="14"/>
  <c r="D1069" i="14"/>
  <c r="D942" i="14"/>
  <c r="D886" i="14"/>
  <c r="D517" i="14"/>
  <c r="D436" i="14"/>
  <c r="D144" i="14"/>
  <c r="D639" i="14"/>
  <c r="D929" i="14"/>
  <c r="D76" i="14"/>
  <c r="D1053" i="14"/>
  <c r="D938" i="14"/>
  <c r="D125" i="14"/>
  <c r="D647" i="14"/>
  <c r="D521" i="14"/>
  <c r="D1082" i="14"/>
  <c r="D57" i="14"/>
  <c r="D3" i="14"/>
  <c r="D1018" i="14"/>
  <c r="D1099" i="14"/>
  <c r="D295" i="14"/>
  <c r="D390" i="14"/>
  <c r="D720" i="14"/>
  <c r="D340" i="14"/>
  <c r="D636" i="14"/>
  <c r="D18" i="14"/>
  <c r="D1098" i="14"/>
  <c r="D1116" i="14"/>
  <c r="D890" i="14"/>
  <c r="D355" i="14"/>
  <c r="D509" i="14"/>
  <c r="D732" i="14"/>
  <c r="D1103" i="14"/>
  <c r="D120" i="14"/>
  <c r="D397" i="14"/>
  <c r="D492" i="14"/>
  <c r="D713" i="14"/>
  <c r="D701" i="14"/>
  <c r="D146" i="14"/>
  <c r="D1113" i="14"/>
  <c r="D548" i="14"/>
  <c r="D1029" i="14"/>
  <c r="D1030" i="14"/>
  <c r="D1170" i="14"/>
  <c r="D835" i="14"/>
  <c r="D25" i="14"/>
  <c r="D877" i="14"/>
  <c r="D1182" i="14"/>
  <c r="D1081" i="14"/>
  <c r="D32" i="14"/>
  <c r="F584" i="14"/>
  <c r="H574" i="14"/>
  <c r="F794" i="14"/>
  <c r="F834" i="14"/>
  <c r="E301" i="14"/>
  <c r="H972" i="14"/>
  <c r="F648" i="14"/>
  <c r="F851" i="14"/>
  <c r="G139" i="14"/>
  <c r="E540" i="14"/>
  <c r="F904" i="14"/>
  <c r="F774" i="14"/>
  <c r="H1069" i="14"/>
  <c r="E597" i="14"/>
  <c r="E914" i="14"/>
  <c r="E53" i="14"/>
  <c r="H95" i="14"/>
  <c r="F1109" i="14"/>
  <c r="E752" i="14"/>
  <c r="F54" i="14"/>
  <c r="G1043" i="14"/>
  <c r="H1021" i="14"/>
  <c r="G396" i="14"/>
  <c r="E46" i="14"/>
  <c r="E148" i="14"/>
  <c r="G495" i="14"/>
  <c r="E326" i="14"/>
  <c r="F672" i="14"/>
  <c r="G214" i="14"/>
  <c r="F753" i="14"/>
  <c r="F427" i="14"/>
  <c r="G880" i="14"/>
  <c r="G1017" i="14"/>
  <c r="H299" i="14"/>
  <c r="F903" i="14"/>
  <c r="E814" i="14"/>
  <c r="G1011" i="14"/>
  <c r="H66" i="14"/>
  <c r="E857" i="14"/>
  <c r="H813" i="14"/>
  <c r="F496" i="14"/>
  <c r="E299" i="14"/>
  <c r="G4" i="14"/>
  <c r="E990" i="14"/>
  <c r="F660" i="14"/>
  <c r="G695" i="14"/>
  <c r="F629" i="14"/>
  <c r="H706" i="14"/>
  <c r="H33" i="14"/>
  <c r="F463" i="14"/>
  <c r="E798" i="14"/>
  <c r="F394" i="14"/>
  <c r="H427" i="14"/>
  <c r="E830" i="14"/>
  <c r="H739" i="14"/>
  <c r="E107" i="14"/>
  <c r="G437" i="14"/>
  <c r="F437" i="14"/>
  <c r="G197" i="14"/>
  <c r="G488" i="14"/>
  <c r="G767" i="14"/>
  <c r="G1144" i="14"/>
  <c r="E1194" i="14"/>
  <c r="H101" i="14"/>
  <c r="H821" i="14"/>
  <c r="G1195" i="14"/>
  <c r="E719" i="14"/>
  <c r="H1040" i="14"/>
  <c r="F684" i="14"/>
  <c r="F400" i="14"/>
  <c r="E139" i="14"/>
  <c r="F14" i="14"/>
  <c r="H509" i="14"/>
  <c r="G580" i="14"/>
  <c r="H269" i="14"/>
  <c r="G1194" i="14"/>
  <c r="F256" i="14"/>
  <c r="G92" i="14"/>
  <c r="F307" i="14"/>
  <c r="H920" i="14"/>
  <c r="H373" i="14"/>
  <c r="H438" i="14"/>
  <c r="E855" i="14"/>
  <c r="E1132" i="14"/>
  <c r="G992" i="14"/>
  <c r="G505" i="14"/>
  <c r="H89" i="14"/>
  <c r="F668" i="14"/>
  <c r="G605" i="14"/>
  <c r="F1037" i="14"/>
  <c r="F1138" i="14"/>
  <c r="E1184" i="14"/>
  <c r="F1115" i="14"/>
  <c r="G405" i="14"/>
  <c r="E749" i="14"/>
  <c r="H828" i="14"/>
  <c r="G456" i="14"/>
  <c r="G784" i="14"/>
  <c r="F187" i="14"/>
  <c r="G677" i="14"/>
  <c r="E615" i="14"/>
  <c r="E366" i="14"/>
  <c r="G757" i="14"/>
  <c r="F114" i="14"/>
  <c r="F889" i="14"/>
  <c r="H613" i="14"/>
  <c r="F197" i="14"/>
  <c r="H34" i="14"/>
  <c r="G520" i="14"/>
  <c r="G882" i="14"/>
  <c r="F235" i="14"/>
  <c r="E35" i="14"/>
  <c r="G198" i="14"/>
  <c r="H648" i="14"/>
  <c r="F869" i="14"/>
  <c r="D352" i="14"/>
  <c r="D324" i="14"/>
  <c r="D17" i="14"/>
  <c r="D514" i="14"/>
  <c r="D50" i="14"/>
  <c r="D273" i="14"/>
  <c r="D561" i="14"/>
  <c r="D666" i="14"/>
  <c r="D74" i="14"/>
  <c r="D769" i="14"/>
  <c r="D45" i="14"/>
  <c r="D961" i="14"/>
  <c r="D225" i="14"/>
  <c r="D68" i="14"/>
  <c r="D251" i="14"/>
  <c r="D378" i="14"/>
  <c r="D6" i="14"/>
  <c r="D878" i="14"/>
  <c r="D740" i="14"/>
  <c r="D895" i="14"/>
  <c r="D711" i="14"/>
  <c r="D621" i="14"/>
  <c r="D183" i="14"/>
  <c r="D258" i="14"/>
  <c r="D1171" i="14"/>
  <c r="D717" i="14"/>
  <c r="D311" i="14"/>
  <c r="D626" i="14"/>
  <c r="D948" i="14"/>
  <c r="D698" i="14"/>
  <c r="D1087" i="14"/>
  <c r="D500" i="14"/>
  <c r="D767" i="14"/>
  <c r="D282" i="14"/>
  <c r="D1001" i="14"/>
  <c r="D34" i="14"/>
  <c r="D657" i="14"/>
  <c r="D310" i="14"/>
  <c r="D1039" i="14"/>
  <c r="D55" i="14"/>
  <c r="D287" i="14"/>
  <c r="D662" i="14"/>
  <c r="D432" i="14"/>
  <c r="D730" i="14"/>
  <c r="D1124" i="14"/>
  <c r="D527" i="14"/>
  <c r="D190" i="14"/>
  <c r="D731" i="14"/>
  <c r="D449" i="14"/>
  <c r="D908" i="14"/>
  <c r="D652" i="14"/>
  <c r="D435" i="14"/>
  <c r="D375" i="14"/>
  <c r="D367" i="14"/>
  <c r="D951" i="14"/>
  <c r="D1194" i="14"/>
  <c r="D213" i="14"/>
  <c r="D650" i="14"/>
  <c r="D291" i="14"/>
  <c r="D1142" i="14"/>
  <c r="D135" i="14"/>
  <c r="D815" i="14"/>
  <c r="D950" i="14"/>
  <c r="D400" i="14"/>
  <c r="D150" i="14"/>
  <c r="D238" i="14"/>
  <c r="D683" i="14"/>
  <c r="E421" i="14"/>
  <c r="H211" i="14"/>
  <c r="H1066" i="14"/>
  <c r="H597" i="14"/>
  <c r="F508" i="14"/>
  <c r="E919" i="14"/>
  <c r="G1193" i="14"/>
  <c r="G678" i="14"/>
  <c r="G501" i="14"/>
  <c r="H45" i="14"/>
  <c r="H1134" i="14"/>
  <c r="F957" i="14"/>
  <c r="F375" i="14"/>
  <c r="G270" i="14"/>
  <c r="E730" i="14"/>
  <c r="F1044" i="14"/>
  <c r="G217" i="14"/>
  <c r="G133" i="14"/>
  <c r="H870" i="14"/>
  <c r="F822" i="14"/>
  <c r="G1111" i="14"/>
  <c r="H789" i="14"/>
  <c r="F259" i="14"/>
  <c r="H1181" i="14"/>
  <c r="E810" i="14"/>
  <c r="F755" i="14"/>
  <c r="G1012" i="14"/>
  <c r="E1072" i="14"/>
  <c r="H1123" i="14"/>
  <c r="F898" i="14"/>
  <c r="F251" i="14"/>
  <c r="E197" i="14"/>
  <c r="G1113" i="14"/>
  <c r="E56" i="14"/>
  <c r="F1184" i="14"/>
  <c r="F118" i="14"/>
  <c r="G809" i="14"/>
  <c r="F475" i="14"/>
  <c r="F406" i="14"/>
  <c r="E1036" i="14"/>
  <c r="F555" i="14"/>
  <c r="G107" i="14"/>
  <c r="E619" i="14"/>
  <c r="E393" i="14"/>
  <c r="G1155" i="14"/>
  <c r="E818" i="14"/>
  <c r="G667" i="14"/>
  <c r="E487" i="14"/>
  <c r="F29" i="14"/>
  <c r="E41" i="14"/>
  <c r="G299" i="14"/>
  <c r="F615" i="14"/>
  <c r="F1096" i="14"/>
  <c r="E327" i="14"/>
  <c r="H324" i="14"/>
  <c r="G1123" i="14"/>
  <c r="F318" i="14"/>
  <c r="H377" i="14"/>
  <c r="E1096" i="14"/>
  <c r="E275" i="14"/>
  <c r="H916" i="14"/>
  <c r="E1127" i="14"/>
  <c r="H98" i="14"/>
  <c r="H534" i="14"/>
  <c r="F1002" i="14"/>
  <c r="E1126" i="14"/>
  <c r="G972" i="14"/>
  <c r="F202" i="14"/>
  <c r="G357" i="14"/>
  <c r="F525" i="14"/>
  <c r="E1121" i="14"/>
  <c r="G1138" i="14"/>
  <c r="F460" i="14"/>
  <c r="F733" i="14"/>
  <c r="F170" i="14"/>
  <c r="H227" i="14"/>
  <c r="F9" i="14"/>
  <c r="F669" i="14"/>
  <c r="F1164" i="14"/>
  <c r="E695" i="14"/>
  <c r="F767" i="14"/>
  <c r="H933" i="14"/>
  <c r="H735" i="14"/>
  <c r="H827" i="14"/>
  <c r="E1159" i="14"/>
  <c r="H1081" i="14"/>
  <c r="F1022" i="14"/>
  <c r="G43" i="14"/>
  <c r="G1124" i="14"/>
  <c r="F106" i="14"/>
  <c r="H802" i="14"/>
  <c r="G557" i="14"/>
  <c r="H394" i="14"/>
  <c r="H670" i="14"/>
  <c r="H1113" i="14"/>
  <c r="F69" i="14"/>
  <c r="F99" i="14"/>
  <c r="E289" i="14"/>
  <c r="E73" i="14"/>
  <c r="H161" i="14"/>
  <c r="E538" i="14"/>
  <c r="G952" i="14"/>
  <c r="F143" i="14"/>
  <c r="E846" i="14"/>
  <c r="E569" i="14"/>
  <c r="F497" i="14"/>
  <c r="F588" i="14"/>
  <c r="E426" i="14"/>
  <c r="G693" i="14"/>
  <c r="G486" i="14"/>
  <c r="E821" i="14"/>
  <c r="E125" i="14"/>
  <c r="H203" i="14"/>
  <c r="D423" i="14"/>
  <c r="D71" i="14"/>
  <c r="D847" i="14"/>
  <c r="D889" i="14"/>
  <c r="D1055" i="14"/>
  <c r="D1109" i="14"/>
  <c r="D214" i="14"/>
  <c r="D261" i="14"/>
  <c r="D418" i="14"/>
  <c r="D1020" i="14"/>
  <c r="D69" i="14"/>
  <c r="D691" i="14"/>
  <c r="D138" i="14"/>
  <c r="D302" i="14"/>
  <c r="D693" i="14"/>
  <c r="D1159" i="14"/>
  <c r="D686" i="14"/>
  <c r="D864" i="14"/>
  <c r="D1177" i="14"/>
  <c r="D389" i="14"/>
  <c r="D607" i="14"/>
  <c r="D1114" i="14"/>
  <c r="D544" i="14"/>
  <c r="D672" i="14"/>
  <c r="D491" i="14"/>
  <c r="D680" i="14"/>
  <c r="D916" i="14"/>
  <c r="D900" i="14"/>
  <c r="D22" i="14"/>
  <c r="D242" i="14"/>
  <c r="D810" i="14"/>
  <c r="D801" i="14"/>
  <c r="D754" i="14"/>
  <c r="D124" i="14"/>
  <c r="D485" i="14"/>
  <c r="D454" i="14"/>
  <c r="D217" i="14"/>
  <c r="D424" i="14"/>
  <c r="D604" i="14"/>
  <c r="D365" i="14"/>
  <c r="D393" i="14"/>
  <c r="D1168" i="14"/>
  <c r="D372" i="14"/>
  <c r="D894" i="14"/>
  <c r="D967" i="14"/>
  <c r="D749" i="14"/>
  <c r="D837" i="14"/>
  <c r="D20" i="14"/>
  <c r="D668" i="14"/>
  <c r="D104" i="14"/>
  <c r="D725" i="14"/>
  <c r="D81" i="14"/>
  <c r="D456" i="14"/>
  <c r="D156" i="14"/>
  <c r="D733" i="14"/>
  <c r="D246" i="14"/>
  <c r="D220" i="14"/>
  <c r="D1166" i="14"/>
  <c r="D194" i="14"/>
  <c r="D409" i="14"/>
  <c r="D234" i="14"/>
  <c r="D972" i="14"/>
  <c r="D522" i="14"/>
  <c r="D114" i="14"/>
  <c r="D974" i="14"/>
  <c r="D615" i="14"/>
  <c r="D1077" i="14"/>
  <c r="D868" i="14"/>
  <c r="D462" i="14"/>
  <c r="D308" i="14"/>
  <c r="D670" i="14"/>
  <c r="D317" i="14"/>
  <c r="D23" i="14"/>
  <c r="D147" i="14"/>
  <c r="D379" i="14"/>
  <c r="D1174" i="14"/>
  <c r="D817" i="14"/>
  <c r="D188" i="14"/>
  <c r="D254" i="14"/>
  <c r="D762" i="14"/>
  <c r="D842" i="14"/>
  <c r="D559" i="14"/>
  <c r="D1191" i="14"/>
  <c r="D540" i="14"/>
  <c r="D210" i="14"/>
  <c r="D569" i="14"/>
  <c r="D37" i="14"/>
  <c r="D52" i="14"/>
  <c r="D676" i="14"/>
  <c r="D738" i="14"/>
  <c r="D270" i="14"/>
  <c r="D937" i="14"/>
  <c r="D753" i="14"/>
  <c r="D215" i="14"/>
  <c r="D703" i="14"/>
  <c r="D62" i="14"/>
  <c r="D855" i="14"/>
  <c r="D433" i="14"/>
  <c r="D1036" i="14"/>
  <c r="D262" i="14"/>
  <c r="D358" i="14"/>
  <c r="D296" i="14"/>
  <c r="D597" i="14"/>
  <c r="D849" i="14"/>
  <c r="D208" i="14"/>
  <c r="D1026" i="14"/>
  <c r="D1012" i="14"/>
  <c r="D89" i="14"/>
  <c r="D461" i="14"/>
  <c r="D773" i="14"/>
  <c r="D858" i="14"/>
  <c r="D399" i="14"/>
  <c r="D319" i="14"/>
  <c r="D70" i="14"/>
  <c r="D535" i="14"/>
  <c r="D5" i="14"/>
  <c r="D806" i="14"/>
  <c r="D744" i="14"/>
  <c r="D791" i="14"/>
  <c r="D306" i="14"/>
  <c r="D445" i="14"/>
  <c r="D823" i="14"/>
  <c r="D752" i="14"/>
  <c r="D1027" i="14"/>
  <c r="D329" i="14"/>
  <c r="D1104" i="14"/>
  <c r="D1146" i="14"/>
  <c r="D508" i="14"/>
  <c r="D159" i="14"/>
  <c r="D949" i="14"/>
  <c r="D421" i="14"/>
  <c r="D1161" i="14"/>
  <c r="D1079" i="14"/>
  <c r="D1189" i="14"/>
  <c r="D79" i="14"/>
  <c r="D990" i="14"/>
  <c r="D143" i="14"/>
  <c r="D568" i="14"/>
  <c r="D727" i="14"/>
  <c r="D756" i="14"/>
  <c r="D826" i="14"/>
  <c r="D498" i="14"/>
  <c r="D119" i="14"/>
  <c r="D163" i="14"/>
  <c r="D476" i="14"/>
  <c r="D161" i="14"/>
  <c r="D682" i="14"/>
  <c r="D130" i="14"/>
  <c r="D108" i="14"/>
  <c r="D448" i="14"/>
  <c r="D702" i="14"/>
  <c r="D19" i="14"/>
  <c r="D1169" i="14"/>
  <c r="D499" i="14"/>
  <c r="D1017" i="14"/>
  <c r="D164" i="14"/>
  <c r="D985" i="14"/>
  <c r="D93" i="14"/>
  <c r="D250" i="14"/>
  <c r="D610" i="14"/>
  <c r="D191" i="14"/>
  <c r="D1115" i="14"/>
  <c r="D219" i="14"/>
  <c r="D1167" i="14"/>
  <c r="D178" i="14"/>
  <c r="D808" i="14"/>
  <c r="D80" i="14"/>
  <c r="D148" i="14"/>
  <c r="D598" i="14"/>
  <c r="D443" i="14"/>
  <c r="D1014" i="14"/>
  <c r="D348" i="14"/>
  <c r="D495" i="14"/>
  <c r="D518" i="14"/>
  <c r="D155" i="14"/>
  <c r="D580" i="14"/>
  <c r="D735" i="14"/>
  <c r="D664" i="14"/>
  <c r="D993" i="14"/>
  <c r="D193" i="14"/>
  <c r="D729" i="14"/>
  <c r="D474" i="14"/>
  <c r="D811" i="14"/>
  <c r="D132" i="14"/>
  <c r="D557" i="14"/>
  <c r="D553" i="14"/>
  <c r="D622" i="14"/>
  <c r="D545" i="14"/>
  <c r="D29" i="14"/>
  <c r="D818" i="14"/>
  <c r="D577" i="14"/>
  <c r="D976" i="14"/>
  <c r="D576" i="14"/>
  <c r="D290" i="14"/>
  <c r="D1158" i="14"/>
  <c r="D685" i="14"/>
  <c r="D809" i="14"/>
  <c r="D775" i="14"/>
  <c r="D16" i="14"/>
  <c r="D66" i="14"/>
  <c r="D560" i="14"/>
  <c r="D582" i="14"/>
  <c r="D779" i="14"/>
  <c r="D829" i="14"/>
  <c r="D109" i="14"/>
  <c r="D869" i="14"/>
  <c r="D755" i="14"/>
  <c r="D237" i="14"/>
  <c r="D552" i="14"/>
  <c r="D198" i="14"/>
  <c r="D551" i="14"/>
  <c r="D1003" i="14"/>
  <c r="D151" i="14"/>
  <c r="D131" i="14"/>
  <c r="D200" i="14"/>
  <c r="D587" i="14"/>
  <c r="D1021" i="14"/>
  <c r="D549" i="14"/>
  <c r="D1096" i="14"/>
  <c r="D437" i="14"/>
  <c r="D579" i="14"/>
  <c r="D316" i="14"/>
  <c r="D1126" i="14"/>
  <c r="D784" i="14"/>
  <c r="D627" i="14"/>
  <c r="D497" i="14"/>
  <c r="D1133" i="14"/>
  <c r="D419" i="14"/>
  <c r="D1088" i="14"/>
  <c r="D574" i="14"/>
  <c r="D224" i="14"/>
  <c r="D1095" i="14"/>
  <c r="D1031" i="14"/>
  <c r="D1008" i="14"/>
  <c r="D1091" i="14"/>
  <c r="D334" i="14"/>
  <c r="D1065" i="14"/>
  <c r="D488" i="14"/>
  <c r="D623" i="14"/>
  <c r="D346" i="14"/>
  <c r="D723" i="14"/>
  <c r="D1072" i="14"/>
  <c r="D1050" i="14"/>
  <c r="D453" i="14"/>
  <c r="D335" i="14"/>
  <c r="D403" i="14"/>
  <c r="D1075" i="14"/>
  <c r="D326" i="14"/>
  <c r="D256" i="14"/>
  <c r="D1101" i="14"/>
  <c r="D519" i="14"/>
  <c r="D516" i="14"/>
  <c r="D719" i="14"/>
  <c r="D953" i="14"/>
  <c r="D957" i="14"/>
  <c r="D274" i="14"/>
  <c r="D118" i="14"/>
  <c r="D630" i="14"/>
  <c r="D259" i="14"/>
  <c r="D883" i="14"/>
  <c r="D892" i="14"/>
  <c r="D903" i="14"/>
  <c r="D1154" i="14"/>
  <c r="D1066" i="14"/>
  <c r="D33" i="14"/>
  <c r="D546" i="14"/>
  <c r="D1033" i="14"/>
  <c r="D832" i="14"/>
  <c r="D846" i="14"/>
  <c r="D1090" i="14"/>
  <c r="D60" i="14"/>
  <c r="D802" i="14"/>
  <c r="D301" i="14"/>
  <c r="D40" i="14"/>
  <c r="D660" i="14"/>
  <c r="D1147" i="14"/>
  <c r="D1004" i="14"/>
  <c r="D634" i="14"/>
  <c r="D483" i="14"/>
  <c r="D255" i="14"/>
  <c r="G1016" i="14"/>
  <c r="G489" i="14"/>
  <c r="F299" i="14"/>
  <c r="F448" i="14"/>
  <c r="G758" i="14"/>
  <c r="H54" i="14"/>
  <c r="G408" i="14"/>
  <c r="G433" i="14"/>
  <c r="F502" i="14"/>
  <c r="G826" i="14"/>
  <c r="F100" i="14"/>
  <c r="E1020" i="14"/>
  <c r="G528" i="14"/>
  <c r="E355" i="14"/>
  <c r="H276" i="14"/>
  <c r="E473" i="14"/>
  <c r="H939" i="14"/>
  <c r="G390" i="14"/>
  <c r="E609" i="14"/>
  <c r="G1005" i="14"/>
  <c r="G91" i="14"/>
  <c r="H1083" i="14"/>
  <c r="F239" i="14"/>
  <c r="H404" i="14"/>
  <c r="H1189" i="14"/>
  <c r="G171" i="14"/>
  <c r="F483" i="14"/>
  <c r="E465" i="14"/>
  <c r="F947" i="14"/>
  <c r="E280" i="14"/>
  <c r="G760" i="14"/>
  <c r="H2" i="14"/>
  <c r="H1082" i="14"/>
  <c r="E1182" i="14"/>
  <c r="F937" i="14"/>
  <c r="G637" i="14"/>
  <c r="H522" i="14"/>
  <c r="E223" i="14"/>
  <c r="E319" i="14"/>
  <c r="E470" i="14"/>
  <c r="F426" i="14"/>
  <c r="G722" i="14"/>
  <c r="G1198" i="14"/>
  <c r="F925" i="14"/>
  <c r="H815" i="14"/>
  <c r="F131" i="14"/>
  <c r="H162" i="14"/>
  <c r="F179" i="14"/>
  <c r="F1023" i="14"/>
  <c r="E1102" i="14"/>
  <c r="F943" i="14"/>
  <c r="G931" i="14"/>
  <c r="G235" i="14"/>
  <c r="E696" i="14"/>
  <c r="F696" i="14"/>
  <c r="H703" i="14"/>
  <c r="G558" i="14"/>
  <c r="F2" i="14"/>
  <c r="E612" i="14"/>
  <c r="E1103" i="14"/>
  <c r="H1090" i="14"/>
  <c r="G242" i="14"/>
  <c r="E306" i="14"/>
  <c r="E568" i="14"/>
  <c r="G3" i="14"/>
  <c r="G1158" i="14"/>
  <c r="E718" i="14"/>
  <c r="F111" i="14"/>
  <c r="E66" i="14"/>
  <c r="H240" i="14"/>
  <c r="H498" i="14"/>
  <c r="E717" i="14"/>
  <c r="E840" i="14"/>
  <c r="E184" i="14"/>
  <c r="G999" i="14"/>
  <c r="E745" i="14"/>
  <c r="H80" i="14"/>
  <c r="H81" i="14"/>
  <c r="F404" i="14"/>
  <c r="F605" i="14"/>
  <c r="G748" i="14"/>
  <c r="E881" i="14"/>
  <c r="H355" i="14"/>
  <c r="G476" i="14"/>
  <c r="G738" i="14"/>
  <c r="H60" i="14"/>
  <c r="G166" i="14"/>
  <c r="F343" i="14"/>
  <c r="G957" i="14"/>
  <c r="H1077" i="14"/>
  <c r="F334" i="14"/>
  <c r="F73" i="14"/>
  <c r="H436" i="14"/>
  <c r="G29" i="14"/>
  <c r="E5" i="14"/>
  <c r="G825" i="14"/>
  <c r="G238" i="14"/>
  <c r="H900" i="14"/>
  <c r="E141" i="14"/>
  <c r="G1104" i="14"/>
  <c r="G1064" i="14"/>
  <c r="E1201" i="14"/>
  <c r="E119" i="14"/>
  <c r="H1028" i="14"/>
  <c r="H946" i="14"/>
  <c r="F27" i="14"/>
  <c r="G1186" i="14"/>
  <c r="F1165" i="14"/>
  <c r="F207" i="14"/>
  <c r="H630" i="14"/>
  <c r="E732" i="14"/>
  <c r="E250" i="14"/>
  <c r="H84" i="14"/>
  <c r="E441" i="14"/>
  <c r="G473" i="14"/>
  <c r="D229" i="14"/>
  <c r="D596" i="14"/>
  <c r="D645" i="14"/>
  <c r="D851" i="14"/>
  <c r="D968" i="14"/>
  <c r="D614" i="14"/>
  <c r="D12" i="14"/>
  <c r="E1124" i="14"/>
  <c r="H909" i="14"/>
  <c r="G955" i="14"/>
  <c r="G888" i="14"/>
  <c r="F49" i="14"/>
  <c r="E430" i="14"/>
  <c r="H57" i="14"/>
  <c r="H1176" i="14"/>
  <c r="E1149" i="14"/>
  <c r="H249" i="14"/>
  <c r="E716" i="14"/>
  <c r="H563" i="14"/>
  <c r="F1191" i="14"/>
  <c r="F488" i="14"/>
  <c r="H259" i="14"/>
  <c r="H568" i="14"/>
  <c r="G715" i="14"/>
  <c r="H1099" i="14"/>
  <c r="G711" i="14"/>
  <c r="F156" i="14"/>
  <c r="E1138" i="14"/>
  <c r="F547" i="14"/>
  <c r="G950" i="14"/>
  <c r="F760" i="14"/>
  <c r="F132" i="14"/>
  <c r="G335" i="14"/>
  <c r="H1033" i="14"/>
  <c r="F295" i="14"/>
  <c r="F838" i="14"/>
  <c r="H590" i="14"/>
  <c r="G670" i="14"/>
  <c r="E82" i="14"/>
  <c r="E260" i="14"/>
  <c r="G439" i="14"/>
  <c r="E413" i="14"/>
  <c r="F265" i="14"/>
  <c r="G9" i="14"/>
  <c r="E775" i="14"/>
  <c r="E646" i="14"/>
  <c r="G284" i="14"/>
  <c r="G554" i="14"/>
  <c r="G929" i="14"/>
  <c r="G1078" i="14"/>
  <c r="G256" i="14"/>
  <c r="F546" i="14"/>
  <c r="F344" i="14"/>
  <c r="G869" i="14"/>
  <c r="F1170" i="14"/>
  <c r="H983" i="14"/>
  <c r="F1140" i="14"/>
  <c r="G1032" i="14"/>
  <c r="E955" i="14"/>
  <c r="H482" i="14"/>
  <c r="H1050" i="14"/>
  <c r="E961" i="14"/>
  <c r="H35" i="14"/>
  <c r="E151" i="14"/>
  <c r="G247" i="14"/>
  <c r="G1147" i="14"/>
  <c r="G870" i="14"/>
  <c r="E42" i="14"/>
  <c r="G665" i="14"/>
  <c r="E1051" i="14"/>
  <c r="H921" i="14"/>
  <c r="G136" i="14"/>
  <c r="H450" i="14"/>
  <c r="E590" i="14"/>
  <c r="H1143" i="14"/>
  <c r="E789" i="14"/>
  <c r="E701" i="14"/>
  <c r="H672" i="14"/>
  <c r="G283" i="14"/>
  <c r="F310" i="14"/>
  <c r="F1111" i="14"/>
  <c r="H794" i="14"/>
  <c r="E1004" i="14"/>
  <c r="F136" i="14"/>
  <c r="H105" i="14"/>
  <c r="F832" i="14"/>
  <c r="F551" i="14"/>
  <c r="E71" i="14"/>
  <c r="H1195" i="14"/>
  <c r="E433" i="14"/>
  <c r="F787" i="14"/>
  <c r="E890" i="14"/>
  <c r="F36" i="14"/>
  <c r="E13" i="14"/>
  <c r="H955" i="14"/>
  <c r="H894" i="14"/>
  <c r="E1063" i="14"/>
  <c r="E303" i="14"/>
  <c r="F319" i="14"/>
  <c r="E300" i="14"/>
  <c r="H849" i="14"/>
  <c r="E373" i="14"/>
  <c r="F1072" i="14"/>
  <c r="H314" i="14"/>
  <c r="H628" i="14"/>
  <c r="G529" i="14"/>
  <c r="G802" i="14"/>
  <c r="E467" i="14"/>
  <c r="F964" i="14"/>
  <c r="G569" i="14"/>
  <c r="E758" i="14"/>
  <c r="H431" i="14"/>
  <c r="G703" i="14"/>
  <c r="E1091" i="14"/>
  <c r="F472" i="14"/>
  <c r="H38" i="14"/>
  <c r="H326" i="14"/>
  <c r="F279" i="14"/>
  <c r="F640" i="14"/>
  <c r="H759" i="14"/>
  <c r="G1188" i="14"/>
  <c r="G67" i="14"/>
  <c r="H547" i="14"/>
  <c r="G442" i="14"/>
  <c r="F757" i="14"/>
  <c r="F1154" i="14"/>
  <c r="H968" i="14"/>
  <c r="F704" i="14"/>
  <c r="H1098" i="14"/>
  <c r="G193" i="14"/>
  <c r="H726" i="14"/>
  <c r="G1030" i="14"/>
  <c r="E898" i="14"/>
  <c r="G287" i="14"/>
  <c r="F263" i="14"/>
  <c r="G837" i="14"/>
  <c r="F978" i="14"/>
  <c r="F465" i="14"/>
  <c r="E680" i="14"/>
  <c r="F728" i="14"/>
  <c r="G736" i="14"/>
  <c r="F809" i="14"/>
  <c r="G297" i="14"/>
  <c r="H609" i="14"/>
  <c r="H222" i="14"/>
  <c r="E852" i="14"/>
  <c r="E1153" i="14"/>
  <c r="F1035" i="14"/>
  <c r="F66" i="14"/>
  <c r="F843" i="14"/>
  <c r="F392" i="14"/>
  <c r="E195" i="14"/>
  <c r="H139" i="14"/>
  <c r="G685" i="14"/>
  <c r="F320" i="14"/>
  <c r="E268" i="14"/>
  <c r="H549" i="14"/>
  <c r="H1006" i="14"/>
  <c r="F98" i="14"/>
  <c r="F244" i="14"/>
  <c r="F469" i="14"/>
  <c r="H401" i="14"/>
  <c r="G161" i="14"/>
  <c r="F90" i="14"/>
  <c r="E1059" i="14"/>
  <c r="H517" i="14"/>
  <c r="E305" i="14"/>
  <c r="G377" i="14"/>
  <c r="H118" i="14"/>
  <c r="G44" i="14"/>
  <c r="E1186" i="14"/>
  <c r="H1045" i="14"/>
  <c r="G5" i="14"/>
  <c r="H764" i="14"/>
  <c r="H493" i="14"/>
  <c r="G948" i="14"/>
  <c r="H23" i="14"/>
  <c r="G858" i="14"/>
  <c r="G854" i="14"/>
  <c r="F356" i="14"/>
  <c r="H787" i="14"/>
  <c r="E848" i="14"/>
  <c r="F599" i="14"/>
  <c r="E89" i="14"/>
  <c r="F285" i="14"/>
  <c r="F745" i="14"/>
  <c r="E220" i="14"/>
  <c r="G45" i="14"/>
  <c r="F33" i="14"/>
  <c r="H1168" i="14"/>
  <c r="E316" i="14"/>
  <c r="G350" i="14"/>
  <c r="E742" i="14"/>
  <c r="H893" i="14"/>
  <c r="E899" i="14"/>
  <c r="F1142" i="14"/>
  <c r="F509" i="14"/>
  <c r="F471" i="14"/>
  <c r="F1041" i="14"/>
  <c r="F317" i="14"/>
  <c r="E765" i="14"/>
  <c r="H533" i="14"/>
  <c r="G782" i="14"/>
  <c r="F137" i="14"/>
  <c r="F1020" i="14"/>
  <c r="E1054" i="14"/>
  <c r="G184" i="14"/>
  <c r="H1144" i="14"/>
  <c r="E1053" i="14"/>
  <c r="E437" i="14"/>
  <c r="E1148" i="14"/>
  <c r="H637" i="14"/>
  <c r="F901" i="14"/>
  <c r="G954" i="14"/>
  <c r="F878" i="14"/>
  <c r="H688" i="14"/>
  <c r="E520" i="14"/>
  <c r="F576" i="14"/>
  <c r="F541" i="14"/>
  <c r="E551" i="14"/>
  <c r="H422" i="14"/>
  <c r="E602" i="14"/>
  <c r="H511" i="14"/>
  <c r="F516" i="14"/>
  <c r="H962" i="14"/>
  <c r="E668" i="14"/>
  <c r="F335" i="14"/>
  <c r="H890" i="14"/>
  <c r="H740" i="14"/>
  <c r="G754" i="14"/>
  <c r="E1034" i="14"/>
  <c r="E912" i="14"/>
  <c r="F377" i="14"/>
  <c r="E101" i="14"/>
  <c r="E582" i="14"/>
  <c r="G1081" i="14"/>
  <c r="H558" i="14"/>
  <c r="G1014" i="14"/>
  <c r="F228" i="14"/>
  <c r="G383" i="14"/>
  <c r="E739" i="14"/>
  <c r="F977" i="14"/>
  <c r="F762" i="14"/>
  <c r="F805" i="14"/>
  <c r="E844" i="14"/>
  <c r="G444" i="14"/>
  <c r="E340" i="14"/>
  <c r="E781" i="14"/>
  <c r="F177" i="14"/>
  <c r="H788" i="14"/>
  <c r="G721" i="14"/>
  <c r="H654" i="14"/>
  <c r="E863" i="14"/>
  <c r="E121" i="14"/>
  <c r="E777" i="14"/>
  <c r="E140" i="14"/>
  <c r="E611" i="14"/>
  <c r="E273" i="14"/>
  <c r="F408" i="14"/>
  <c r="G593" i="14"/>
  <c r="G443" i="14"/>
  <c r="E585" i="14"/>
  <c r="G351" i="14"/>
  <c r="F659" i="14"/>
  <c r="G1092" i="14"/>
  <c r="E823" i="14"/>
  <c r="F163" i="14"/>
  <c r="F882" i="14"/>
  <c r="G1146" i="14"/>
  <c r="E794" i="14"/>
  <c r="F606" i="14"/>
  <c r="H820" i="14"/>
  <c r="E887" i="14"/>
  <c r="F164" i="14"/>
  <c r="F671" i="14"/>
  <c r="D1086" i="14"/>
  <c r="G249" i="14"/>
  <c r="H491" i="14"/>
  <c r="E480" i="14"/>
  <c r="H772" i="14"/>
  <c r="F720" i="14"/>
  <c r="H631" i="14"/>
  <c r="F206" i="14"/>
  <c r="G20" i="14"/>
  <c r="F4" i="14"/>
  <c r="E207" i="14"/>
  <c r="H638" i="14"/>
  <c r="G255" i="14"/>
  <c r="G761" i="14"/>
  <c r="G539" i="14"/>
  <c r="F155" i="14"/>
  <c r="E1174" i="14"/>
  <c r="G1052" i="14"/>
  <c r="G982" i="14"/>
  <c r="H987" i="14"/>
  <c r="F430" i="14"/>
  <c r="F1083" i="14"/>
  <c r="E1055" i="14"/>
  <c r="G1049" i="14"/>
  <c r="F868" i="14"/>
  <c r="F442" i="14"/>
  <c r="F693" i="14"/>
  <c r="E744" i="14"/>
  <c r="G190" i="14"/>
  <c r="H625" i="14"/>
  <c r="H433" i="14"/>
  <c r="H1079" i="14"/>
  <c r="F752" i="14"/>
  <c r="H897" i="14"/>
  <c r="G970" i="14"/>
  <c r="G145" i="14"/>
  <c r="E271" i="14"/>
  <c r="G564" i="14"/>
  <c r="F216" i="14"/>
  <c r="F85" i="14"/>
  <c r="G468" i="14"/>
  <c r="H819" i="14"/>
  <c r="E1154" i="14"/>
  <c r="G601" i="14"/>
  <c r="F598" i="14"/>
  <c r="H1005" i="14"/>
  <c r="E237" i="14"/>
  <c r="G155" i="14"/>
  <c r="H12" i="14"/>
  <c r="G1129" i="14"/>
  <c r="E973" i="14"/>
  <c r="H429" i="14"/>
  <c r="E556" i="14"/>
  <c r="G508" i="14"/>
  <c r="G808" i="14"/>
  <c r="G273" i="14"/>
  <c r="E1015" i="14"/>
  <c r="F313" i="14"/>
  <c r="H389" i="14"/>
  <c r="E1125" i="14"/>
  <c r="F1009" i="14"/>
  <c r="H170" i="14"/>
  <c r="F676" i="14"/>
  <c r="G835" i="14"/>
  <c r="H1012" i="14"/>
  <c r="H36" i="14"/>
  <c r="G640" i="14"/>
  <c r="E377" i="14"/>
  <c r="E654" i="14"/>
  <c r="H646" i="14"/>
  <c r="G956" i="14"/>
  <c r="E439" i="14"/>
  <c r="G1082" i="14"/>
  <c r="F653" i="14"/>
  <c r="H303" i="14"/>
  <c r="E342" i="14"/>
  <c r="E1057" i="14"/>
  <c r="D867" i="14"/>
  <c r="H929" i="14"/>
  <c r="D8" i="14"/>
  <c r="E318" i="14"/>
  <c r="E1115" i="14"/>
  <c r="E722" i="14"/>
  <c r="E677" i="14"/>
  <c r="E404" i="14"/>
  <c r="H83" i="14"/>
  <c r="D635" i="14"/>
  <c r="G527" i="14"/>
  <c r="F680" i="14"/>
  <c r="H112" i="14"/>
  <c r="H804" i="14"/>
  <c r="H363" i="14"/>
  <c r="G211" i="14"/>
  <c r="G1185" i="14"/>
  <c r="E203" i="14"/>
  <c r="F157" i="14"/>
  <c r="D861" i="14"/>
  <c r="G909" i="14"/>
  <c r="G149" i="14"/>
  <c r="F1093" i="14"/>
  <c r="G864" i="14"/>
  <c r="F103" i="14"/>
  <c r="H72" i="14"/>
  <c r="H263" i="14"/>
  <c r="F636" i="14"/>
  <c r="G655" i="14"/>
  <c r="F847" i="14"/>
  <c r="G1069" i="14"/>
  <c r="G521" i="14"/>
  <c r="F227" i="14"/>
  <c r="H594" i="14"/>
  <c r="G379" i="14"/>
  <c r="F1077" i="14"/>
  <c r="H1073" i="14"/>
  <c r="H372" i="14"/>
  <c r="H991" i="14"/>
  <c r="E614" i="14"/>
  <c r="E363" i="14"/>
  <c r="F289" i="14"/>
  <c r="G176" i="14"/>
  <c r="H1116" i="14"/>
  <c r="F1160" i="14"/>
  <c r="H430" i="14"/>
  <c r="H346" i="14"/>
  <c r="E984" i="14"/>
  <c r="E757" i="14"/>
  <c r="G629" i="14"/>
  <c r="H232" i="14"/>
  <c r="G415" i="14"/>
  <c r="G518" i="14"/>
  <c r="G241" i="14"/>
  <c r="E216" i="14"/>
  <c r="H479" i="14"/>
  <c r="G157" i="14"/>
  <c r="F129" i="14"/>
  <c r="F431" i="14"/>
  <c r="F1039" i="14"/>
  <c r="E1131" i="14"/>
  <c r="F186" i="14"/>
  <c r="G850" i="14"/>
  <c r="H1169" i="14"/>
  <c r="H135" i="14"/>
  <c r="H181" i="14"/>
  <c r="E726" i="14"/>
  <c r="F899" i="14"/>
  <c r="E152" i="14"/>
  <c r="E64" i="14"/>
  <c r="H551" i="14"/>
  <c r="F411" i="14"/>
  <c r="E986" i="14"/>
  <c r="G289" i="14"/>
  <c r="F778" i="14"/>
  <c r="F1057" i="14"/>
  <c r="F788" i="14"/>
  <c r="F577" i="14"/>
  <c r="E187" i="14"/>
  <c r="G965" i="14"/>
  <c r="F125" i="14"/>
  <c r="D1059" i="14"/>
  <c r="D726" i="14"/>
  <c r="D793" i="14"/>
  <c r="D349" i="14"/>
  <c r="D1105" i="14"/>
  <c r="G973" i="14"/>
  <c r="F1038" i="14"/>
  <c r="E868" i="14"/>
  <c r="G595" i="14"/>
  <c r="F67" i="14"/>
  <c r="E1197" i="14"/>
  <c r="F638" i="14"/>
  <c r="F167" i="14"/>
  <c r="H16" i="14"/>
  <c r="H830" i="14"/>
  <c r="F250" i="14"/>
  <c r="F1043" i="14"/>
  <c r="H3" i="14"/>
  <c r="G612" i="14"/>
  <c r="E1090" i="14"/>
  <c r="F1091" i="14"/>
  <c r="H502" i="14"/>
  <c r="H730" i="14"/>
  <c r="H106" i="14"/>
  <c r="G878" i="14"/>
  <c r="F270" i="14"/>
  <c r="G600" i="14"/>
  <c r="G465" i="14"/>
  <c r="F1185" i="14"/>
  <c r="E1142" i="14"/>
  <c r="G152" i="14"/>
  <c r="H832" i="14"/>
  <c r="H451" i="14"/>
  <c r="F549" i="14"/>
  <c r="E1095" i="14"/>
  <c r="H1038" i="14"/>
  <c r="E896" i="14"/>
  <c r="G628" i="14"/>
  <c r="E552" i="14"/>
  <c r="E864" i="14"/>
  <c r="E967" i="14"/>
  <c r="H719" i="14"/>
  <c r="G812" i="14"/>
  <c r="F740" i="14"/>
  <c r="G1152" i="14"/>
  <c r="G18" i="14"/>
  <c r="G1070" i="14"/>
  <c r="G783" i="14"/>
  <c r="G710" i="14"/>
  <c r="G545" i="14"/>
  <c r="H1096" i="14"/>
  <c r="E172" i="14"/>
  <c r="F524" i="14"/>
  <c r="F800" i="14"/>
  <c r="F74" i="14"/>
  <c r="E20" i="14"/>
  <c r="E934" i="14"/>
  <c r="H791" i="14"/>
  <c r="E974" i="14"/>
  <c r="H956" i="14"/>
  <c r="F308" i="14"/>
  <c r="F1177" i="14"/>
  <c r="E133" i="14"/>
  <c r="E285" i="14"/>
  <c r="G823" i="14"/>
  <c r="E182" i="14"/>
  <c r="H1125" i="14"/>
  <c r="H540" i="14"/>
  <c r="G85" i="14"/>
  <c r="H1119" i="14"/>
  <c r="E772" i="14"/>
  <c r="H908" i="14"/>
  <c r="H382" i="14"/>
  <c r="F579" i="14"/>
  <c r="G843" i="14"/>
  <c r="H1043" i="14"/>
  <c r="E513" i="14"/>
  <c r="G716" i="14"/>
  <c r="G209" i="14"/>
  <c r="G472" i="14"/>
  <c r="G932" i="14"/>
  <c r="E782" i="14"/>
  <c r="F52" i="14"/>
  <c r="E134" i="14"/>
  <c r="G877" i="14"/>
  <c r="F690" i="14"/>
  <c r="F564" i="14"/>
  <c r="H94" i="14"/>
  <c r="G1117" i="14"/>
  <c r="F729" i="14"/>
  <c r="G827" i="14"/>
  <c r="E459" i="14"/>
  <c r="H305" i="14"/>
  <c r="F897" i="14"/>
  <c r="H564" i="14"/>
  <c r="G151" i="14"/>
  <c r="E40" i="14"/>
  <c r="G1037" i="14"/>
  <c r="G334" i="14"/>
  <c r="G160" i="14"/>
  <c r="D589" i="14"/>
  <c r="G859" i="14"/>
  <c r="H957" i="14"/>
  <c r="G446" i="14"/>
  <c r="F28" i="14"/>
  <c r="E378" i="14"/>
  <c r="G657" i="14"/>
  <c r="F183" i="14"/>
  <c r="F95" i="14"/>
  <c r="G22" i="14"/>
  <c r="F1065" i="14"/>
  <c r="H923" i="14"/>
  <c r="H1103" i="14"/>
  <c r="E304" i="14"/>
  <c r="G813" i="14"/>
  <c r="G702" i="14"/>
  <c r="F860" i="14"/>
  <c r="H743" i="14"/>
  <c r="F1005" i="14"/>
  <c r="G1189" i="14"/>
  <c r="H441" i="14"/>
  <c r="F1007" i="14"/>
  <c r="G566" i="14"/>
  <c r="F243" i="14"/>
  <c r="E408" i="14"/>
  <c r="G978" i="14"/>
  <c r="E402" i="14"/>
  <c r="E415" i="14"/>
  <c r="E147" i="14"/>
  <c r="G384" i="14"/>
  <c r="H1179" i="14"/>
  <c r="H842" i="14"/>
  <c r="H748" i="14"/>
  <c r="F51" i="14"/>
  <c r="H1051" i="14"/>
  <c r="G167" i="14"/>
  <c r="F381" i="14"/>
  <c r="D277" i="14"/>
  <c r="F726" i="14"/>
  <c r="E894" i="14"/>
  <c r="F641" i="14"/>
  <c r="F739" i="14"/>
  <c r="F1197" i="14"/>
  <c r="H952" i="14"/>
  <c r="F790" i="14"/>
  <c r="G645" i="14"/>
  <c r="E932" i="14"/>
  <c r="H582" i="14"/>
  <c r="G1056" i="14"/>
  <c r="E488" i="14"/>
  <c r="G763" i="14"/>
  <c r="G796" i="14"/>
  <c r="E1107" i="14"/>
  <c r="G180" i="14"/>
  <c r="H77" i="14"/>
  <c r="H734" i="14"/>
  <c r="G117" i="14"/>
  <c r="H407" i="14"/>
  <c r="G583" i="14"/>
  <c r="E245" i="14"/>
  <c r="G134" i="14"/>
  <c r="G69" i="14"/>
  <c r="F674" i="14"/>
  <c r="E728" i="14"/>
  <c r="F92" i="14"/>
  <c r="F1166" i="14"/>
  <c r="H796" i="14"/>
  <c r="H970" i="14"/>
  <c r="F1003" i="14"/>
  <c r="E860" i="14"/>
  <c r="F715" i="14"/>
  <c r="E1200" i="14"/>
  <c r="F622" i="14"/>
  <c r="E177" i="14"/>
  <c r="F586" i="14"/>
  <c r="E1007" i="14"/>
  <c r="G1200" i="14"/>
  <c r="F900" i="14"/>
  <c r="G961" i="14"/>
  <c r="F716" i="14"/>
  <c r="E943" i="14"/>
  <c r="H485" i="14"/>
  <c r="H824" i="14"/>
  <c r="H741" i="14"/>
  <c r="E436" i="14"/>
  <c r="H11" i="14"/>
  <c r="H572" i="14"/>
  <c r="H251" i="14"/>
  <c r="F109" i="14"/>
  <c r="E1060" i="14"/>
  <c r="H725" i="14"/>
  <c r="F229" i="14"/>
  <c r="F942" i="14"/>
  <c r="G945" i="14"/>
  <c r="G599" i="14"/>
  <c r="F621" i="14"/>
  <c r="G208" i="14"/>
  <c r="H629" i="14"/>
  <c r="E228" i="14"/>
  <c r="H244" i="14"/>
  <c r="F1149" i="14"/>
  <c r="E780" i="14"/>
  <c r="H183" i="14"/>
  <c r="E876" i="14"/>
  <c r="E288" i="14"/>
  <c r="E137" i="14"/>
  <c r="F823" i="14"/>
  <c r="F928" i="14"/>
  <c r="F732" i="14"/>
  <c r="F169" i="14"/>
  <c r="F817" i="14"/>
  <c r="F873" i="14"/>
  <c r="H143" i="14"/>
  <c r="G896" i="14"/>
  <c r="E155" i="14"/>
  <c r="G868" i="14"/>
  <c r="H252" i="14"/>
  <c r="H751" i="14"/>
  <c r="E883" i="14"/>
  <c r="G346" i="14"/>
  <c r="F421" i="14"/>
  <c r="E348" i="14"/>
  <c r="G281" i="14"/>
  <c r="F21" i="14"/>
  <c r="F575" i="14"/>
  <c r="F734" i="14"/>
  <c r="E964" i="14"/>
  <c r="H833" i="14"/>
  <c r="G14" i="14"/>
  <c r="E256" i="14"/>
  <c r="H1015" i="14"/>
  <c r="H1196" i="14"/>
  <c r="H959" i="14"/>
  <c r="F53" i="14"/>
  <c r="E623" i="14"/>
  <c r="H317" i="14"/>
  <c r="H550" i="14"/>
  <c r="H241" i="14"/>
  <c r="F340" i="14"/>
  <c r="F527" i="14"/>
  <c r="E815" i="14"/>
  <c r="G889" i="14"/>
  <c r="E715" i="14"/>
  <c r="H548" i="14"/>
  <c r="H1145" i="14"/>
  <c r="F44" i="14"/>
  <c r="F853" i="14"/>
  <c r="H462" i="14"/>
  <c r="E170" i="14"/>
  <c r="E150" i="14"/>
  <c r="F461" i="14"/>
  <c r="G345" i="14"/>
  <c r="H948" i="14"/>
  <c r="E906" i="14"/>
  <c r="H658" i="14"/>
  <c r="G883" i="14"/>
  <c r="G1022" i="14"/>
  <c r="D608" i="14"/>
  <c r="E132" i="14"/>
  <c r="F1004" i="14"/>
  <c r="H357" i="14"/>
  <c r="F848" i="14"/>
  <c r="E670" i="14"/>
  <c r="G1120" i="14"/>
  <c r="G445" i="14"/>
  <c r="H600" i="14"/>
  <c r="E928" i="14"/>
  <c r="H20" i="14"/>
  <c r="G1067" i="14"/>
  <c r="G1073" i="14"/>
  <c r="G313" i="14"/>
  <c r="G675" i="14"/>
  <c r="E833" i="14"/>
  <c r="E241" i="14"/>
  <c r="E388" i="14"/>
  <c r="E1006" i="14"/>
  <c r="F275" i="14"/>
  <c r="F697" i="14"/>
  <c r="G183" i="14"/>
  <c r="G1177" i="14"/>
  <c r="F592" i="14"/>
  <c r="G875" i="14"/>
  <c r="F545" i="14"/>
  <c r="F115" i="14"/>
  <c r="H423" i="14"/>
  <c r="G1096" i="14"/>
  <c r="E1199" i="14"/>
  <c r="H356" i="14"/>
  <c r="H1163" i="14"/>
  <c r="G647" i="14"/>
  <c r="G872" i="14"/>
  <c r="G400" i="14"/>
  <c r="E714" i="14"/>
  <c r="H614" i="14"/>
  <c r="E979" i="14"/>
  <c r="E37" i="14"/>
  <c r="H1138" i="14"/>
  <c r="H156" i="14"/>
  <c r="G735" i="14"/>
  <c r="F552" i="14"/>
  <c r="H1146" i="14"/>
  <c r="F479" i="14"/>
  <c r="F56" i="14"/>
  <c r="G38" i="14"/>
  <c r="F70" i="14"/>
  <c r="G1127" i="14"/>
  <c r="G990" i="14"/>
  <c r="E484" i="14"/>
  <c r="F796" i="14"/>
  <c r="H640" i="14"/>
  <c r="E593" i="14"/>
  <c r="F1186" i="14"/>
  <c r="H737" i="14"/>
  <c r="H25" i="14"/>
  <c r="E11" i="14"/>
  <c r="H674" i="14"/>
  <c r="F468" i="14"/>
  <c r="H368" i="14"/>
  <c r="E1013" i="14"/>
  <c r="H91" i="14"/>
  <c r="G1169" i="14"/>
  <c r="H137" i="14"/>
  <c r="F918" i="14"/>
  <c r="G26" i="14"/>
  <c r="F995" i="14"/>
  <c r="G403" i="14"/>
  <c r="F112" i="14"/>
  <c r="F890" i="14"/>
  <c r="H292" i="14"/>
  <c r="G688" i="14"/>
  <c r="F236" i="14"/>
  <c r="F359" i="14"/>
  <c r="H863" i="14"/>
  <c r="H315" i="14"/>
  <c r="F1176" i="14"/>
  <c r="F514" i="14"/>
  <c r="D127" i="14"/>
  <c r="F1053" i="14"/>
  <c r="F974" i="14"/>
  <c r="E571" i="14"/>
  <c r="G326" i="14"/>
  <c r="F88" i="14"/>
  <c r="F840" i="14"/>
  <c r="H428" i="14"/>
  <c r="E282" i="14"/>
  <c r="E50" i="14"/>
  <c r="H687" i="14"/>
  <c r="G610" i="14"/>
  <c r="F1168" i="14"/>
  <c r="F594" i="14"/>
  <c r="H795" i="14"/>
  <c r="H44" i="14"/>
  <c r="G643" i="14"/>
  <c r="H201" i="14"/>
  <c r="E84" i="14"/>
  <c r="G1125" i="14"/>
  <c r="E703" i="14"/>
  <c r="H375" i="14"/>
  <c r="H247" i="14"/>
  <c r="F887" i="14"/>
  <c r="G64" i="14"/>
  <c r="G1028" i="14"/>
  <c r="H421" i="14"/>
  <c r="F698" i="14"/>
  <c r="E1018" i="14"/>
  <c r="H1014" i="14"/>
  <c r="G981" i="14"/>
  <c r="F40" i="14"/>
  <c r="G533" i="14"/>
  <c r="F102" i="14"/>
  <c r="H47" i="14"/>
  <c r="G881" i="14"/>
  <c r="F971" i="14"/>
  <c r="F632" i="14"/>
  <c r="G553" i="14"/>
  <c r="E660" i="14"/>
  <c r="H510" i="14"/>
  <c r="G664" i="14"/>
  <c r="E1044" i="14"/>
  <c r="G776" i="14"/>
  <c r="G404" i="14"/>
  <c r="E144" i="14"/>
  <c r="F37" i="14"/>
  <c r="E784" i="14"/>
  <c r="G411" i="14"/>
  <c r="F1092" i="14"/>
  <c r="H530" i="14"/>
  <c r="H1186" i="14"/>
  <c r="G1090" i="14"/>
  <c r="F301" i="14"/>
  <c r="G696" i="14"/>
  <c r="G341" i="14"/>
  <c r="H385" i="14"/>
  <c r="G35" i="14"/>
  <c r="E175" i="14"/>
  <c r="H124" i="14"/>
  <c r="G269" i="14"/>
  <c r="E1191" i="14"/>
  <c r="H543" i="14"/>
  <c r="H185" i="14"/>
  <c r="G1084" i="14"/>
  <c r="H1115" i="14"/>
  <c r="F176" i="14"/>
  <c r="E1029" i="14"/>
  <c r="H611" i="14"/>
  <c r="E925" i="14"/>
  <c r="F611" i="14"/>
  <c r="E643" i="14"/>
  <c r="H641" i="14"/>
  <c r="G10" i="14"/>
  <c r="G570" i="14"/>
  <c r="E494" i="14"/>
  <c r="G496" i="14"/>
  <c r="H1141" i="14"/>
  <c r="G462" i="14"/>
  <c r="H1088" i="14"/>
  <c r="H1170" i="14"/>
  <c r="G991" i="14"/>
  <c r="G996" i="14"/>
  <c r="F484" i="14"/>
  <c r="G1121" i="14"/>
  <c r="E346" i="14"/>
  <c r="F354" i="14"/>
  <c r="F1095" i="14"/>
  <c r="H1102" i="14"/>
  <c r="G143" i="14"/>
  <c r="F436" i="14"/>
  <c r="F656" i="14"/>
  <c r="D624" i="14"/>
  <c r="D332" i="14"/>
  <c r="D170" i="14"/>
  <c r="D303" i="14"/>
  <c r="D525" i="14"/>
  <c r="D63" i="14"/>
  <c r="D705" i="14"/>
  <c r="G75" i="14"/>
  <c r="F630" i="14"/>
  <c r="H915" i="14"/>
  <c r="H651" i="14"/>
  <c r="F581" i="14"/>
  <c r="H780" i="14"/>
  <c r="G1171" i="14"/>
  <c r="G541" i="14"/>
  <c r="F499" i="14"/>
  <c r="H907" i="14"/>
  <c r="H200" i="14"/>
  <c r="F573" i="14"/>
  <c r="F802" i="14"/>
  <c r="G66" i="14"/>
  <c r="G1047" i="14"/>
  <c r="H461" i="14"/>
  <c r="H1057" i="14"/>
  <c r="F1124" i="14"/>
  <c r="H853" i="14"/>
  <c r="G976" i="14"/>
  <c r="E370" i="14"/>
  <c r="F664" i="14"/>
  <c r="F933" i="14"/>
  <c r="F409" i="14"/>
  <c r="E423" i="14"/>
  <c r="F1153" i="14"/>
  <c r="H4" i="14"/>
  <c r="E587" i="14"/>
  <c r="G239" i="14"/>
  <c r="G16" i="14"/>
  <c r="F821" i="14"/>
  <c r="H92" i="14"/>
  <c r="F325" i="14"/>
  <c r="F856" i="14"/>
  <c r="H1100" i="14"/>
  <c r="H814" i="14"/>
  <c r="H745" i="14"/>
  <c r="F271" i="14"/>
  <c r="E160" i="14"/>
  <c r="H327" i="14"/>
  <c r="H157" i="14"/>
  <c r="G646" i="14"/>
  <c r="F1179" i="14"/>
  <c r="G811" i="14"/>
  <c r="H966" i="14"/>
  <c r="H620" i="14"/>
  <c r="F188" i="14"/>
  <c r="F1132" i="14"/>
  <c r="F1131" i="14"/>
  <c r="F1106" i="14"/>
  <c r="G77" i="14"/>
  <c r="H851" i="14"/>
  <c r="G920" i="14"/>
  <c r="F438" i="14"/>
  <c r="E653" i="14"/>
  <c r="G309" i="14"/>
  <c r="H197" i="14"/>
  <c r="H297" i="14"/>
  <c r="F828" i="14"/>
  <c r="E206" i="14"/>
  <c r="G1134" i="14"/>
  <c r="G1136" i="14"/>
  <c r="G427" i="14"/>
  <c r="G838" i="14"/>
  <c r="E167" i="14"/>
  <c r="G435" i="14"/>
  <c r="H785" i="14"/>
  <c r="G1058" i="14"/>
  <c r="G1062" i="14"/>
  <c r="F986" i="14"/>
  <c r="G434" i="14"/>
  <c r="E153" i="14"/>
  <c r="G745" i="14"/>
  <c r="E927" i="14"/>
  <c r="E796" i="14"/>
  <c r="E429" i="14"/>
  <c r="G47" i="14"/>
  <c r="G231" i="14"/>
  <c r="G1103" i="14"/>
  <c r="E1161" i="14"/>
  <c r="F429" i="14"/>
  <c r="F742" i="14"/>
  <c r="G401" i="14"/>
  <c r="F280" i="14"/>
  <c r="H1018" i="14"/>
  <c r="E292" i="14"/>
  <c r="F908" i="14"/>
  <c r="G984" i="14"/>
  <c r="E1081" i="14"/>
  <c r="E476" i="14"/>
  <c r="G1048" i="14"/>
  <c r="F1078" i="14"/>
  <c r="F1073" i="14"/>
  <c r="G366" i="14"/>
  <c r="F960" i="14"/>
  <c r="G129" i="14"/>
  <c r="G86" i="14"/>
  <c r="H176" i="14"/>
  <c r="H1157" i="14"/>
  <c r="F736" i="14"/>
  <c r="H250" i="14"/>
  <c r="G1076" i="14"/>
  <c r="E1046" i="14"/>
  <c r="H1190" i="14"/>
  <c r="E640" i="14"/>
  <c r="G787" i="14"/>
  <c r="E87" i="14"/>
  <c r="H69" i="14"/>
  <c r="H319" i="14"/>
  <c r="E43" i="14"/>
  <c r="H193" i="14"/>
  <c r="H270" i="14"/>
  <c r="F522" i="14"/>
  <c r="E190" i="14"/>
  <c r="E795" i="14"/>
  <c r="H715" i="14"/>
  <c r="G1153" i="14"/>
  <c r="H1003" i="14"/>
  <c r="H577" i="14"/>
  <c r="E312" i="14"/>
  <c r="E783" i="14"/>
  <c r="G968" i="14"/>
  <c r="H409" i="14"/>
  <c r="E1088" i="14"/>
  <c r="F210" i="14"/>
  <c r="F178" i="14"/>
  <c r="E454" i="14"/>
  <c r="G203" i="14"/>
  <c r="H223" i="14"/>
  <c r="G828" i="14"/>
  <c r="E27" i="14"/>
  <c r="G549" i="14"/>
  <c r="G963" i="14"/>
  <c r="H381" i="14"/>
  <c r="E158" i="14"/>
  <c r="H298" i="14"/>
  <c r="F761" i="14"/>
  <c r="E310" i="14"/>
  <c r="F914" i="14"/>
  <c r="E252" i="14"/>
  <c r="H174" i="14"/>
  <c r="G42" i="14"/>
  <c r="H134" i="14"/>
  <c r="E482" i="14"/>
  <c r="F24" i="14"/>
  <c r="E446" i="14"/>
  <c r="F646" i="14"/>
  <c r="F58" i="14"/>
  <c r="G60" i="14"/>
  <c r="H90" i="14"/>
  <c r="H413" i="14"/>
  <c r="H1020" i="14"/>
  <c r="F785" i="14"/>
  <c r="G500" i="14"/>
  <c r="E829" i="14"/>
  <c r="G964" i="14"/>
  <c r="H723" i="14"/>
  <c r="F1178" i="14"/>
  <c r="E691" i="14"/>
  <c r="E1014" i="14"/>
  <c r="F959" i="14"/>
  <c r="E334" i="14"/>
  <c r="H149" i="14"/>
  <c r="E185" i="14"/>
  <c r="E877" i="14"/>
  <c r="F963" i="14"/>
  <c r="E55" i="14"/>
  <c r="E253" i="14"/>
  <c r="E583" i="14"/>
  <c r="G1196" i="14"/>
  <c r="G624" i="14"/>
  <c r="F439" i="14"/>
  <c r="G33" i="14"/>
  <c r="H961" i="14"/>
  <c r="F1085" i="14"/>
  <c r="G148" i="14"/>
  <c r="H668" i="14"/>
  <c r="E60" i="14"/>
  <c r="E1080" i="14"/>
  <c r="E802" i="14"/>
  <c r="G658" i="14"/>
  <c r="H217" i="14"/>
  <c r="E905" i="14"/>
  <c r="G257" i="14"/>
  <c r="G394" i="14"/>
  <c r="G262" i="14"/>
  <c r="G562" i="14"/>
  <c r="E562" i="14"/>
  <c r="H1011" i="14"/>
  <c r="H49" i="14"/>
  <c r="F1190" i="14"/>
  <c r="E281" i="14"/>
  <c r="H30" i="14"/>
  <c r="G1148" i="14"/>
  <c r="H1035" i="14"/>
  <c r="H1048" i="14"/>
  <c r="H51" i="14"/>
  <c r="F954" i="14"/>
  <c r="F1136" i="14"/>
  <c r="G749" i="14"/>
  <c r="E874" i="14"/>
  <c r="E1097" i="14"/>
  <c r="G324" i="14"/>
  <c r="G884" i="14"/>
  <c r="F1079" i="14"/>
  <c r="F695" i="14"/>
  <c r="G132" i="14"/>
  <c r="E332" i="14"/>
  <c r="H1128" i="14"/>
  <c r="H593" i="14"/>
  <c r="E329" i="14"/>
  <c r="G937" i="14"/>
  <c r="G342" i="14"/>
  <c r="E1183" i="14"/>
  <c r="G687" i="14"/>
  <c r="G226" i="14"/>
  <c r="E813" i="14"/>
  <c r="F667" i="14"/>
  <c r="H318" i="14"/>
  <c r="H268" i="14"/>
  <c r="F548" i="14"/>
  <c r="G87" i="14"/>
  <c r="F1128" i="14"/>
  <c r="H784" i="14"/>
  <c r="G483" i="14"/>
  <c r="E926" i="14"/>
  <c r="F775" i="14"/>
  <c r="G1061" i="14"/>
  <c r="E321" i="14"/>
  <c r="F153" i="14"/>
  <c r="G276" i="14"/>
  <c r="E1052" i="14"/>
  <c r="F849" i="14"/>
  <c r="H26" i="14"/>
  <c r="F391" i="14"/>
  <c r="E145" i="14"/>
  <c r="E594" i="14"/>
  <c r="H131" i="14"/>
  <c r="F116" i="14"/>
  <c r="E1045" i="14"/>
  <c r="H536" i="14"/>
  <c r="H272" i="14"/>
  <c r="G123" i="14"/>
  <c r="H595" i="14"/>
  <c r="E1008" i="14"/>
  <c r="E15" i="14"/>
  <c r="G429" i="14"/>
  <c r="H556" i="14"/>
  <c r="H542" i="14"/>
  <c r="F987" i="14"/>
  <c r="H931" i="14"/>
  <c r="H376" i="14"/>
  <c r="G1072" i="14"/>
  <c r="H1117" i="14"/>
  <c r="E707" i="14"/>
  <c r="G797" i="14"/>
  <c r="H40" i="14"/>
  <c r="H13" i="14"/>
  <c r="G355" i="14"/>
  <c r="H1135" i="14"/>
  <c r="H552" i="14"/>
  <c r="G165" i="14"/>
  <c r="E550" i="14"/>
  <c r="H604" i="14"/>
  <c r="H116" i="14"/>
  <c r="E336" i="14"/>
  <c r="E514" i="14"/>
  <c r="F773" i="14"/>
  <c r="H253" i="14"/>
  <c r="G339" i="14"/>
  <c r="H685" i="14"/>
  <c r="G552" i="14"/>
  <c r="F936" i="14"/>
  <c r="H418" i="14"/>
  <c r="E759" i="14"/>
  <c r="G732" i="14"/>
  <c r="H480" i="14"/>
  <c r="F993" i="14"/>
  <c r="H1049" i="14"/>
  <c r="G604" i="14"/>
  <c r="F1019" i="14"/>
  <c r="G375" i="14"/>
  <c r="H716" i="14"/>
  <c r="G542" i="14"/>
  <c r="F1097" i="14"/>
  <c r="H328" i="14"/>
  <c r="F415" i="14"/>
  <c r="G223" i="14"/>
  <c r="H489" i="14"/>
  <c r="F1089" i="14"/>
  <c r="F627" i="14"/>
  <c r="E1114" i="14"/>
  <c r="H692" i="14"/>
  <c r="F1152" i="14"/>
  <c r="E424" i="14"/>
  <c r="F1046" i="14"/>
  <c r="G953" i="14"/>
  <c r="E574" i="14"/>
  <c r="F449" i="14"/>
  <c r="F1076" i="14"/>
  <c r="H284" i="14"/>
  <c r="G568" i="14"/>
  <c r="E154" i="14"/>
  <c r="F62" i="14"/>
  <c r="G163" i="14"/>
  <c r="E872" i="14"/>
  <c r="H67" i="14"/>
  <c r="F566" i="14"/>
  <c r="G974" i="14"/>
  <c r="H850" i="14"/>
  <c r="E217" i="14"/>
  <c r="E923" i="14"/>
  <c r="H565" i="14"/>
  <c r="F1180" i="14"/>
  <c r="H1114" i="14"/>
  <c r="G943" i="14"/>
  <c r="F93" i="14"/>
  <c r="E541" i="14"/>
  <c r="G519" i="14"/>
  <c r="G597" i="14"/>
  <c r="H937" i="14"/>
  <c r="E598" i="14"/>
  <c r="H665" i="14"/>
  <c r="G1000" i="14"/>
  <c r="E270" i="14"/>
  <c r="H790" i="14"/>
  <c r="G589" i="14"/>
  <c r="G1042" i="14"/>
  <c r="E785" i="14"/>
  <c r="G515" i="14"/>
  <c r="F1034" i="14"/>
  <c r="G1149" i="14"/>
  <c r="E601" i="14"/>
  <c r="F402" i="14"/>
  <c r="H402" i="14"/>
  <c r="E414" i="14"/>
  <c r="F705" i="14"/>
  <c r="E142" i="14"/>
  <c r="E333" i="14"/>
  <c r="E7" i="14"/>
  <c r="E817" i="14"/>
  <c r="F1162" i="14"/>
  <c r="E279" i="14"/>
  <c r="G616" i="14"/>
  <c r="F493" i="14"/>
  <c r="H341" i="14"/>
  <c r="G229" i="14"/>
  <c r="G12" i="14"/>
  <c r="F735" i="14"/>
  <c r="F981" i="14"/>
  <c r="G1045" i="14"/>
  <c r="F818" i="14"/>
  <c r="F350" i="14"/>
  <c r="G19" i="14"/>
  <c r="H411" i="14"/>
  <c r="E869" i="14"/>
  <c r="G547" i="14"/>
  <c r="H499" i="14"/>
  <c r="E1019" i="14"/>
  <c r="E941" i="14"/>
  <c r="H949" i="14"/>
  <c r="H371" i="14"/>
  <c r="E675" i="14"/>
  <c r="F8" i="14"/>
  <c r="F253" i="14"/>
  <c r="G726" i="14"/>
  <c r="F1139" i="14"/>
  <c r="F678" i="14"/>
  <c r="H1093" i="14"/>
  <c r="H448" i="14"/>
  <c r="H56" i="14"/>
  <c r="F539" i="14"/>
  <c r="H1171" i="14"/>
  <c r="F23" i="14"/>
  <c r="H1091" i="14"/>
  <c r="E610" i="14"/>
  <c r="E995" i="14"/>
  <c r="G282" i="14"/>
  <c r="H531" i="14"/>
  <c r="H1075" i="14"/>
  <c r="G959" i="14"/>
  <c r="H829" i="14"/>
  <c r="G147" i="14"/>
  <c r="F1061" i="14"/>
  <c r="E756" i="14"/>
  <c r="G382" i="14"/>
  <c r="E164" i="14"/>
  <c r="F1116" i="14"/>
  <c r="E472" i="14"/>
  <c r="G272" i="14"/>
  <c r="G98" i="14"/>
  <c r="E1104" i="14"/>
  <c r="H1002" i="14"/>
  <c r="F215" i="14"/>
  <c r="G370" i="14"/>
  <c r="E90" i="14"/>
  <c r="G298" i="14"/>
  <c r="F1086" i="14"/>
  <c r="G845" i="14"/>
  <c r="E1106" i="14"/>
  <c r="G717" i="14"/>
  <c r="G706" i="14"/>
  <c r="G205" i="14"/>
  <c r="H5" i="14"/>
  <c r="G1197" i="14"/>
  <c r="D328" i="14"/>
  <c r="D989" i="14"/>
  <c r="D994" i="14"/>
  <c r="D677" i="14"/>
  <c r="D899" i="14"/>
  <c r="D402" i="14"/>
  <c r="H845" i="14"/>
  <c r="E1178" i="14"/>
  <c r="F1171" i="14"/>
  <c r="G141" i="14"/>
  <c r="G428" i="14"/>
  <c r="F1094" i="14"/>
  <c r="H399" i="14"/>
  <c r="G817" i="14"/>
  <c r="G532" i="14"/>
  <c r="E1021" i="14"/>
  <c r="F230" i="14"/>
  <c r="G1038" i="14"/>
  <c r="F915" i="14"/>
  <c r="F374" i="14"/>
  <c r="E949" i="14"/>
  <c r="F994" i="14"/>
  <c r="F182" i="14"/>
  <c r="F1174" i="14"/>
  <c r="E997" i="14"/>
  <c r="H1149" i="14"/>
  <c r="G307" i="14"/>
  <c r="G794" i="14"/>
  <c r="F225" i="14"/>
  <c r="E681" i="14"/>
  <c r="H655" i="14"/>
  <c r="H724" i="14"/>
  <c r="H242" i="14"/>
  <c r="G1151" i="14"/>
  <c r="G525" i="14"/>
  <c r="F355" i="14"/>
  <c r="F91" i="14"/>
  <c r="F724" i="14"/>
  <c r="G159" i="14"/>
  <c r="F50" i="14"/>
  <c r="E102" i="14"/>
  <c r="H73" i="14"/>
  <c r="H103" i="14"/>
  <c r="H806" i="14"/>
  <c r="H171" i="14"/>
  <c r="H1160" i="14"/>
  <c r="F1006" i="14"/>
  <c r="E708" i="14"/>
  <c r="H229" i="14"/>
  <c r="F601" i="14"/>
  <c r="G822" i="14"/>
  <c r="H64" i="14"/>
  <c r="H712" i="14"/>
  <c r="E428" i="14"/>
  <c r="F134" i="14"/>
  <c r="H610" i="14"/>
  <c r="E917" i="14"/>
  <c r="H1032" i="14"/>
  <c r="G940" i="14"/>
  <c r="G893" i="14"/>
  <c r="H663" i="14"/>
  <c r="E1003" i="14"/>
  <c r="H459" i="14"/>
  <c r="G1009" i="14"/>
  <c r="E219" i="14"/>
  <c r="E1117" i="14"/>
  <c r="H945" i="14"/>
  <c r="F506" i="14"/>
  <c r="E536" i="14"/>
  <c r="H669" i="14"/>
  <c r="H874" i="14"/>
  <c r="F237" i="14"/>
  <c r="H312" i="14"/>
  <c r="H172" i="14"/>
  <c r="F721" i="14"/>
  <c r="E114" i="14"/>
  <c r="H524" i="14"/>
  <c r="H1023" i="14"/>
  <c r="E1167" i="14"/>
  <c r="F738" i="14"/>
  <c r="G368" i="14"/>
  <c r="H262" i="14"/>
  <c r="G413" i="14"/>
  <c r="E345" i="14"/>
  <c r="G860" i="14"/>
  <c r="G387" i="14"/>
  <c r="F321" i="14"/>
  <c r="F550" i="14"/>
  <c r="F138" i="14"/>
  <c r="H656" i="14"/>
  <c r="H406" i="14"/>
  <c r="G1143" i="14"/>
  <c r="G565" i="14"/>
  <c r="G359" i="14"/>
  <c r="F701" i="14"/>
  <c r="E641" i="14"/>
  <c r="F518" i="14"/>
  <c r="F1201" i="14"/>
  <c r="G585" i="14"/>
  <c r="G347" i="14"/>
  <c r="E307" i="14"/>
  <c r="H476" i="14"/>
  <c r="F347" i="14"/>
  <c r="G686" i="14"/>
  <c r="H732" i="14"/>
  <c r="F725" i="14"/>
  <c r="E263" i="14"/>
  <c r="H465" i="14"/>
  <c r="G1053" i="14"/>
  <c r="E411" i="14"/>
  <c r="F532" i="14"/>
  <c r="G97" i="14"/>
  <c r="G791" i="14"/>
  <c r="G7" i="14"/>
  <c r="G778" i="14"/>
  <c r="E296" i="14"/>
  <c r="H78" i="14"/>
  <c r="F772" i="14"/>
  <c r="H374" i="14"/>
  <c r="D1179" i="14"/>
  <c r="D742" i="14"/>
  <c r="D1125" i="14"/>
  <c r="D782" i="14"/>
  <c r="D1052" i="14"/>
  <c r="G879" i="14"/>
  <c r="F425" i="14"/>
  <c r="E225" i="14"/>
  <c r="E663" i="14"/>
  <c r="F159" i="14"/>
  <c r="G830" i="14"/>
  <c r="G596" i="14"/>
  <c r="E1087" i="14"/>
  <c r="H727" i="14"/>
  <c r="G1106" i="14"/>
  <c r="H1029" i="14"/>
  <c r="H528" i="14"/>
  <c r="G516" i="14"/>
  <c r="E92" i="14"/>
  <c r="H178" i="14"/>
  <c r="G900" i="14"/>
  <c r="E458" i="14"/>
  <c r="H704" i="14"/>
  <c r="E302" i="14"/>
  <c r="H10" i="14"/>
  <c r="F723" i="14"/>
  <c r="G367" i="14"/>
  <c r="H1072" i="14"/>
  <c r="G328" i="14"/>
  <c r="E530" i="14"/>
  <c r="G122" i="14"/>
  <c r="E106" i="14"/>
  <c r="H817" i="14"/>
  <c r="H196" i="14"/>
  <c r="E831" i="14"/>
  <c r="E897" i="14"/>
  <c r="F451" i="14"/>
  <c r="E937" i="14"/>
  <c r="H144" i="14"/>
  <c r="E1031" i="14"/>
  <c r="G305" i="14"/>
  <c r="E295" i="14"/>
  <c r="H960" i="14"/>
  <c r="G623" i="14"/>
  <c r="E764" i="14"/>
  <c r="G1031" i="14"/>
  <c r="E808" i="14"/>
  <c r="H1054" i="14"/>
  <c r="F63" i="14"/>
  <c r="E751" i="14"/>
  <c r="F412" i="14"/>
  <c r="E395" i="14"/>
  <c r="H1062" i="14"/>
  <c r="G975" i="14"/>
  <c r="F297" i="14"/>
  <c r="F844" i="14"/>
  <c r="H471" i="14"/>
  <c r="E298" i="14"/>
  <c r="F820" i="14"/>
  <c r="E812" i="14"/>
  <c r="H130" i="14"/>
  <c r="G820" i="14"/>
  <c r="F857" i="14"/>
  <c r="G803" i="14"/>
  <c r="G933" i="14"/>
  <c r="H432" i="14"/>
  <c r="G118" i="14"/>
  <c r="H412" i="14"/>
  <c r="E161" i="14"/>
  <c r="F422" i="14"/>
  <c r="E131" i="14"/>
  <c r="F1027" i="14"/>
  <c r="F865" i="14"/>
  <c r="H265" i="14"/>
  <c r="G1075" i="14"/>
  <c r="E567" i="14"/>
  <c r="E495" i="14"/>
  <c r="H126" i="14"/>
  <c r="F486" i="14"/>
  <c r="G926" i="14"/>
  <c r="F816" i="14"/>
  <c r="H525" i="14"/>
  <c r="G204" i="14"/>
  <c r="F953" i="14"/>
  <c r="E771" i="14"/>
  <c r="G135" i="14"/>
  <c r="H645" i="14"/>
  <c r="E659" i="14"/>
  <c r="F396" i="14"/>
  <c r="E257" i="14"/>
  <c r="H535" i="14"/>
  <c r="G177" i="14"/>
  <c r="H1136" i="14"/>
  <c r="E518" i="14"/>
  <c r="G1192" i="14"/>
  <c r="G430" i="14"/>
  <c r="F476" i="14"/>
  <c r="H1183" i="14"/>
  <c r="E522" i="14"/>
  <c r="G137" i="14"/>
  <c r="G57" i="14"/>
  <c r="G1172" i="14"/>
  <c r="G438" i="14"/>
  <c r="G705" i="14"/>
  <c r="E165" i="14"/>
  <c r="E94" i="14"/>
  <c r="D333" i="14"/>
  <c r="H601" i="14"/>
  <c r="F939" i="14"/>
  <c r="H526" i="14"/>
  <c r="G543" i="14"/>
  <c r="E1105" i="14"/>
  <c r="E313" i="14"/>
  <c r="E704" i="14"/>
  <c r="G452" i="14"/>
  <c r="G941" i="14"/>
  <c r="E258" i="14"/>
  <c r="E16" i="14"/>
  <c r="F248" i="14"/>
  <c r="H818" i="14"/>
  <c r="E531" i="14"/>
  <c r="E238" i="14"/>
  <c r="G720" i="14"/>
  <c r="F631" i="14"/>
  <c r="G27" i="14"/>
  <c r="H473" i="14"/>
  <c r="H302" i="14"/>
  <c r="H889" i="14"/>
  <c r="H636" i="14"/>
  <c r="F110" i="14"/>
  <c r="F220" i="14"/>
  <c r="E1061" i="14"/>
  <c r="F931" i="14"/>
  <c r="G192" i="14"/>
  <c r="F934" i="14"/>
  <c r="H1180" i="14"/>
  <c r="E1196" i="14"/>
  <c r="E1043" i="14"/>
  <c r="F662" i="14"/>
  <c r="F1015" i="14"/>
  <c r="F842" i="14"/>
  <c r="G222" i="14"/>
  <c r="H114" i="14"/>
  <c r="G853" i="14"/>
  <c r="E763" i="14"/>
  <c r="F357" i="14"/>
  <c r="G291" i="14"/>
  <c r="G225" i="14"/>
  <c r="H1194" i="14"/>
  <c r="G48" i="14"/>
  <c r="F194" i="14"/>
  <c r="F618" i="14"/>
  <c r="E23" i="14"/>
  <c r="F810" i="14"/>
  <c r="H338" i="14"/>
  <c r="E779" i="14"/>
  <c r="E233" i="14"/>
  <c r="D457" i="14"/>
  <c r="D724" i="14"/>
  <c r="D410" i="14"/>
  <c r="D196" i="14"/>
  <c r="D129" i="14"/>
  <c r="D396" i="14"/>
  <c r="D820" i="14"/>
  <c r="H282" i="14"/>
  <c r="G512" i="14"/>
  <c r="G58" i="14"/>
  <c r="H74" i="14"/>
  <c r="H330" i="14"/>
  <c r="E889" i="14"/>
  <c r="H699" i="14"/>
  <c r="E391" i="14"/>
  <c r="F681" i="14"/>
  <c r="G292" i="14"/>
  <c r="F47" i="14"/>
  <c r="F727" i="14"/>
  <c r="G801" i="14"/>
  <c r="F559" i="14"/>
  <c r="E633" i="14"/>
  <c r="G1091" i="14"/>
  <c r="G654" i="14"/>
  <c r="G310" i="14"/>
  <c r="E1156" i="14"/>
  <c r="E59" i="14"/>
  <c r="H207" i="14"/>
  <c r="F741" i="14"/>
  <c r="G1055" i="14"/>
  <c r="F59" i="14"/>
  <c r="G942" i="14"/>
  <c r="G700" i="14"/>
  <c r="F352" i="14"/>
  <c r="F973" i="14"/>
  <c r="G591" i="14"/>
  <c r="H469" i="14"/>
  <c r="E944" i="14"/>
  <c r="F927" i="14"/>
  <c r="H256" i="14"/>
  <c r="H1017" i="14"/>
  <c r="F276" i="14"/>
  <c r="F595" i="14"/>
  <c r="G124" i="14"/>
  <c r="E642" i="14"/>
  <c r="F924" i="14"/>
  <c r="H761" i="14"/>
  <c r="G1085" i="14"/>
  <c r="H65" i="14"/>
  <c r="H1095" i="14"/>
  <c r="G109" i="14"/>
  <c r="E246" i="14"/>
  <c r="F311" i="14"/>
  <c r="E109" i="14"/>
  <c r="E91" i="14"/>
  <c r="E179" i="14"/>
  <c r="G750" i="14"/>
  <c r="F1119" i="14"/>
  <c r="G485" i="14"/>
  <c r="E774" i="14"/>
  <c r="F1063" i="14"/>
  <c r="H362" i="14"/>
  <c r="G1093" i="14"/>
  <c r="F815" i="14"/>
  <c r="G101" i="14"/>
  <c r="E498" i="14"/>
  <c r="G636" i="14"/>
  <c r="F535" i="14"/>
  <c r="H927" i="14"/>
  <c r="E1163" i="14"/>
  <c r="G587" i="14"/>
  <c r="G1163" i="14"/>
  <c r="F1012" i="14"/>
  <c r="E581" i="14"/>
  <c r="G744" i="14"/>
  <c r="H86" i="14"/>
  <c r="E1135" i="14"/>
  <c r="G466" i="14"/>
  <c r="G917" i="14"/>
  <c r="H760" i="14"/>
  <c r="H660" i="14"/>
  <c r="E649" i="14"/>
  <c r="F1054" i="14"/>
  <c r="F384" i="14"/>
  <c r="H1060" i="14"/>
  <c r="H70" i="14"/>
  <c r="G1008" i="14"/>
  <c r="F781" i="14"/>
  <c r="E199" i="14"/>
  <c r="E842" i="14"/>
  <c r="E382" i="14"/>
  <c r="G986" i="14"/>
  <c r="H61" i="14"/>
  <c r="F328" i="14"/>
  <c r="G540" i="14"/>
  <c r="H1046" i="14"/>
  <c r="E47" i="14"/>
  <c r="F718" i="14"/>
  <c r="F185" i="14"/>
  <c r="G609" i="14"/>
  <c r="H532" i="14"/>
  <c r="H728" i="14"/>
  <c r="E463" i="14"/>
  <c r="F675" i="14"/>
  <c r="F587" i="14"/>
  <c r="G902" i="14"/>
  <c r="G618" i="14"/>
  <c r="H995" i="14"/>
  <c r="G511" i="14"/>
  <c r="E1136" i="14"/>
  <c r="F940" i="14"/>
  <c r="F322" i="14"/>
  <c r="F298" i="14"/>
  <c r="F677" i="14"/>
  <c r="E390" i="14"/>
  <c r="G676" i="14"/>
  <c r="E620" i="14"/>
  <c r="F782" i="14"/>
  <c r="G213" i="14"/>
  <c r="E558" i="14"/>
  <c r="H1056" i="14"/>
  <c r="F41" i="14"/>
  <c r="G919" i="14"/>
  <c r="H783" i="14"/>
  <c r="G162" i="14"/>
  <c r="E537" i="14"/>
  <c r="E113" i="14"/>
  <c r="F845" i="14"/>
  <c r="F30" i="14"/>
  <c r="E356" i="14"/>
  <c r="H805" i="14"/>
  <c r="H776" i="14"/>
  <c r="E474" i="14"/>
  <c r="F538" i="14"/>
  <c r="H624" i="14"/>
  <c r="F694" i="14"/>
  <c r="H869" i="14"/>
  <c r="E968" i="14"/>
  <c r="E1094" i="14"/>
  <c r="F142" i="14"/>
  <c r="G746" i="14"/>
  <c r="F609" i="14"/>
  <c r="F16" i="14"/>
  <c r="E1082" i="14"/>
  <c r="G582" i="14"/>
  <c r="H566" i="14"/>
  <c r="E920" i="14"/>
  <c r="E269" i="14"/>
  <c r="F330" i="14"/>
  <c r="G481" i="14"/>
  <c r="E159" i="14"/>
  <c r="E361" i="14"/>
  <c r="F219" i="14"/>
  <c r="F737" i="14"/>
  <c r="F365" i="14"/>
  <c r="E904" i="14"/>
  <c r="H879" i="14"/>
  <c r="E930" i="14"/>
  <c r="D834" i="14"/>
  <c r="D1093" i="14"/>
  <c r="D464" i="14"/>
  <c r="D956" i="14"/>
  <c r="D1051" i="14"/>
  <c r="E549" i="14"/>
  <c r="H951" i="14"/>
  <c r="H17" i="14"/>
  <c r="H1142" i="14"/>
  <c r="H115" i="14"/>
  <c r="G416" i="14"/>
  <c r="G765" i="14"/>
  <c r="F644" i="14"/>
  <c r="F686" i="14"/>
  <c r="E1151" i="14"/>
  <c r="H470" i="14"/>
  <c r="G482" i="14"/>
  <c r="H649" i="14"/>
  <c r="F71" i="14"/>
  <c r="H322" i="14"/>
  <c r="G762" i="14"/>
  <c r="E65" i="14"/>
  <c r="G115" i="14"/>
  <c r="E28" i="14"/>
  <c r="H287" i="14"/>
  <c r="H886" i="14"/>
  <c r="E985" i="14"/>
  <c r="G709" i="14"/>
  <c r="H675" i="14"/>
  <c r="H858" i="14"/>
  <c r="F803" i="14"/>
  <c r="G908" i="14"/>
  <c r="F979" i="14"/>
  <c r="F542" i="14"/>
  <c r="F1172" i="14"/>
  <c r="G24" i="14"/>
  <c r="G464" i="14"/>
  <c r="E903" i="14"/>
  <c r="G240" i="14"/>
  <c r="H1167" i="14"/>
  <c r="E231" i="14"/>
  <c r="G393" i="14"/>
  <c r="F96" i="14"/>
  <c r="F20" i="14"/>
  <c r="E1129" i="14"/>
  <c r="H160" i="14"/>
  <c r="F1058" i="14"/>
  <c r="F363" i="14"/>
  <c r="E547" i="14"/>
  <c r="E1093" i="14"/>
  <c r="E577" i="14"/>
  <c r="F1146" i="14"/>
  <c r="G947" i="14"/>
  <c r="H862" i="14"/>
  <c r="F877" i="14"/>
  <c r="G914" i="14"/>
  <c r="H618" i="14"/>
  <c r="E656" i="14"/>
  <c r="G567" i="14"/>
  <c r="E792" i="14"/>
  <c r="G1051" i="14"/>
  <c r="H746" i="14"/>
  <c r="G1180" i="14"/>
  <c r="F498" i="14"/>
  <c r="F198" i="14"/>
  <c r="F7" i="14"/>
  <c r="G232" i="14"/>
  <c r="E544" i="14"/>
  <c r="H1068" i="14"/>
  <c r="G314" i="14"/>
  <c r="F217" i="14"/>
  <c r="F789" i="14"/>
  <c r="E386" i="14"/>
  <c r="G32" i="14"/>
  <c r="H935" i="14"/>
  <c r="E1032" i="14"/>
  <c r="E721" i="14"/>
  <c r="G414" i="14"/>
  <c r="G295" i="14"/>
  <c r="H626" i="14"/>
  <c r="E521" i="14"/>
  <c r="H738" i="14"/>
  <c r="F1120" i="14"/>
  <c r="E86" i="14"/>
  <c r="H347" i="14"/>
  <c r="H521" i="14"/>
  <c r="E1133" i="14"/>
  <c r="G507" i="14"/>
  <c r="G642" i="14"/>
  <c r="F348" i="14"/>
  <c r="H166" i="14"/>
  <c r="F302" i="14"/>
  <c r="G224" i="14"/>
  <c r="E457" i="14"/>
  <c r="H912" i="14"/>
  <c r="H680" i="14"/>
  <c r="H855" i="14"/>
  <c r="F126" i="14"/>
  <c r="E621" i="14"/>
  <c r="G586" i="14"/>
  <c r="F706" i="14"/>
  <c r="H1094" i="14"/>
  <c r="E534" i="14"/>
  <c r="H1019" i="14"/>
  <c r="E865" i="14"/>
  <c r="H591" i="14"/>
  <c r="F290" i="14"/>
  <c r="G1083" i="14"/>
  <c r="H544" i="14"/>
  <c r="H301" i="14"/>
  <c r="F1167" i="14"/>
  <c r="E711" i="14"/>
  <c r="G153" i="14"/>
  <c r="G37" i="14"/>
  <c r="H39" i="14"/>
  <c r="E1079" i="14"/>
  <c r="E1119" i="14"/>
  <c r="F105" i="14"/>
  <c r="F168" i="14"/>
  <c r="E1179" i="14"/>
  <c r="E591" i="14"/>
  <c r="F883" i="14"/>
  <c r="H100" i="14"/>
  <c r="G475" i="14"/>
  <c r="H918" i="14"/>
  <c r="E367" i="14"/>
  <c r="E724" i="14"/>
  <c r="F578" i="14"/>
  <c r="G936" i="14"/>
  <c r="H111" i="14"/>
  <c r="E723" i="14"/>
  <c r="H689" i="14"/>
  <c r="E397" i="14"/>
  <c r="G588" i="14"/>
  <c r="H898" i="14"/>
  <c r="E962" i="14"/>
  <c r="E627" i="14"/>
  <c r="H486" i="14"/>
  <c r="F1137" i="14"/>
  <c r="H1031" i="14"/>
  <c r="G906" i="14"/>
  <c r="F956" i="14"/>
  <c r="H226" i="14"/>
  <c r="F797" i="14"/>
  <c r="H1058" i="14"/>
  <c r="H603" i="14"/>
  <c r="H1089" i="14"/>
  <c r="H278" i="14"/>
  <c r="E350" i="14"/>
  <c r="F891" i="14"/>
  <c r="F661" i="14"/>
  <c r="F1042" i="14"/>
  <c r="F327" i="14"/>
  <c r="F264" i="14"/>
  <c r="E54" i="14"/>
  <c r="D881" i="14"/>
  <c r="D555" i="14"/>
  <c r="D10" i="14"/>
  <c r="D99" i="14"/>
  <c r="D786" i="14"/>
  <c r="D925" i="14"/>
  <c r="D380" i="14"/>
  <c r="G563" i="14"/>
  <c r="E685" i="14"/>
  <c r="F1030" i="14"/>
  <c r="G402" i="14"/>
  <c r="G210" i="14"/>
  <c r="F60" i="14"/>
  <c r="G502" i="14"/>
  <c r="F209" i="14"/>
  <c r="F784" i="14"/>
  <c r="E969" i="14"/>
  <c r="G441" i="14"/>
  <c r="H1101" i="14"/>
  <c r="H1173" i="14"/>
  <c r="G660" i="14"/>
  <c r="G142" i="14"/>
  <c r="H906" i="14"/>
  <c r="E341" i="14"/>
  <c r="E431" i="14"/>
  <c r="F151" i="14"/>
  <c r="G459" i="14"/>
  <c r="H209" i="14"/>
  <c r="F1045" i="14"/>
  <c r="E25" i="14"/>
  <c r="H99" i="14"/>
  <c r="G423" i="14"/>
  <c r="F766" i="14"/>
  <c r="G847" i="14"/>
  <c r="F389" i="14"/>
  <c r="G756" i="14"/>
  <c r="E398" i="14"/>
  <c r="H408" i="14"/>
  <c r="H153" i="14"/>
  <c r="H419" i="14"/>
  <c r="G842" i="14"/>
  <c r="H729" i="14"/>
  <c r="F43" i="14"/>
  <c r="E516" i="14"/>
  <c r="G471" i="14"/>
  <c r="G513" i="14"/>
  <c r="E963" i="14"/>
  <c r="G491" i="14"/>
  <c r="G54" i="14"/>
  <c r="E638" i="14"/>
  <c r="E198" i="14"/>
  <c r="F398" i="14"/>
  <c r="H691" i="14"/>
  <c r="G698" i="14"/>
  <c r="D611" i="14"/>
  <c r="F175" i="14"/>
  <c r="E22" i="14"/>
  <c r="E88" i="14"/>
  <c r="H911" i="14"/>
  <c r="G701" i="14"/>
  <c r="H754" i="14"/>
  <c r="E122" i="14"/>
  <c r="H1016" i="14"/>
  <c r="H707" i="14"/>
  <c r="G824" i="14"/>
  <c r="G1174" i="14"/>
  <c r="G734" i="14"/>
  <c r="G484" i="14"/>
  <c r="E36" i="14"/>
  <c r="E1198" i="14"/>
  <c r="G927" i="14"/>
  <c r="H573" i="14"/>
  <c r="G479" i="14"/>
  <c r="G1018" i="14"/>
  <c r="H494" i="14"/>
  <c r="E343" i="14"/>
  <c r="F10" i="14"/>
  <c r="F955" i="14"/>
  <c r="E648" i="14"/>
  <c r="E38" i="14"/>
  <c r="G1201" i="14"/>
  <c r="H1155" i="14"/>
  <c r="F895" i="14"/>
  <c r="G871" i="14"/>
  <c r="E1068" i="14"/>
  <c r="F812" i="14"/>
  <c r="G874" i="14"/>
  <c r="G890" i="14"/>
  <c r="H246" i="14"/>
  <c r="G1041" i="14"/>
  <c r="F952" i="14"/>
  <c r="F459" i="14"/>
  <c r="E276" i="14"/>
  <c r="H1000" i="14"/>
  <c r="E687" i="14"/>
  <c r="F1175" i="14"/>
  <c r="H260" i="14"/>
  <c r="E1144" i="14"/>
  <c r="G65" i="14"/>
  <c r="E156" i="14"/>
  <c r="G280" i="14"/>
  <c r="H773" i="14"/>
  <c r="E511" i="14"/>
  <c r="G614" i="14"/>
  <c r="H189" i="14"/>
  <c r="G995" i="14"/>
  <c r="G751" i="14"/>
  <c r="F419" i="14"/>
  <c r="G1097" i="14"/>
  <c r="H967" i="14"/>
  <c r="F791" i="14"/>
  <c r="H537" i="14"/>
  <c r="G806" i="14"/>
  <c r="H504" i="14"/>
  <c r="E1089" i="14"/>
  <c r="H1037" i="14"/>
  <c r="G78" i="14"/>
  <c r="G840" i="14"/>
  <c r="G985" i="14"/>
  <c r="H464" i="14"/>
  <c r="E543" i="14"/>
  <c r="E579" i="14"/>
  <c r="E111" i="14"/>
  <c r="E639" i="14"/>
  <c r="F83" i="14"/>
  <c r="G577" i="14"/>
  <c r="H186" i="14"/>
  <c r="E499" i="14"/>
  <c r="E803" i="14"/>
  <c r="G477" i="14"/>
  <c r="E1120" i="14"/>
  <c r="H366" i="14"/>
  <c r="H87" i="14"/>
  <c r="F1071" i="14"/>
  <c r="F515" i="14"/>
  <c r="G125" i="14"/>
  <c r="H673" i="14"/>
  <c r="F482" i="14"/>
  <c r="E29" i="14"/>
  <c r="H152" i="14"/>
  <c r="G1175" i="14"/>
  <c r="G704" i="14"/>
  <c r="H873" i="14"/>
  <c r="E387" i="14"/>
  <c r="H59" i="14"/>
  <c r="F387" i="14"/>
  <c r="G277" i="14"/>
  <c r="G774" i="14"/>
  <c r="G971" i="14"/>
  <c r="G196" i="14"/>
  <c r="E447" i="14"/>
  <c r="G63" i="14"/>
  <c r="E884" i="14"/>
  <c r="H639" i="14"/>
  <c r="H585" i="14"/>
  <c r="F224" i="14"/>
  <c r="F1074" i="14"/>
  <c r="H388" i="14"/>
  <c r="H145" i="14"/>
  <c r="H403" i="14"/>
  <c r="E750" i="14"/>
  <c r="G1010" i="14"/>
  <c r="G1035" i="14"/>
  <c r="G374" i="14"/>
  <c r="F107" i="14"/>
  <c r="H29" i="14"/>
  <c r="G1184" i="14"/>
  <c r="F223" i="14"/>
  <c r="F12" i="14"/>
  <c r="H173" i="14"/>
  <c r="H310" i="14"/>
  <c r="F1189" i="14"/>
  <c r="E741" i="14"/>
  <c r="H1010" i="14"/>
  <c r="F831" i="14"/>
  <c r="E773" i="14"/>
  <c r="E492" i="14"/>
  <c r="E236" i="14"/>
  <c r="G522" i="14"/>
  <c r="F68" i="14"/>
  <c r="F610" i="14"/>
  <c r="H731" i="14"/>
  <c r="E958" i="14"/>
  <c r="H1152" i="14"/>
  <c r="E1067" i="14"/>
  <c r="G1079" i="14"/>
  <c r="H652" i="14"/>
  <c r="E929" i="14"/>
  <c r="H79" i="14"/>
  <c r="H219" i="14"/>
  <c r="F13" i="14"/>
  <c r="G1013" i="14"/>
  <c r="G786" i="14"/>
  <c r="E320" i="14"/>
  <c r="E740" i="14"/>
  <c r="H750" i="14"/>
  <c r="F528" i="14"/>
  <c r="F221" i="14"/>
  <c r="G1044" i="14"/>
  <c r="E936" i="14"/>
  <c r="E755" i="14"/>
  <c r="E379" i="14"/>
  <c r="H992" i="14"/>
  <c r="H872" i="14"/>
  <c r="G421" i="14"/>
  <c r="G602" i="14"/>
  <c r="G207" i="14"/>
  <c r="E191" i="14"/>
  <c r="H621" i="14"/>
  <c r="F969" i="14"/>
  <c r="H854" i="14"/>
  <c r="G251" i="14"/>
  <c r="G659" i="14"/>
  <c r="F519" i="14"/>
  <c r="G1050" i="14"/>
  <c r="H557" i="14"/>
  <c r="G1164" i="14"/>
  <c r="F17" i="14"/>
  <c r="G1109" i="14"/>
  <c r="G1068" i="14"/>
  <c r="F445" i="14"/>
  <c r="E80" i="14"/>
  <c r="H1104" i="14"/>
  <c r="G848" i="14"/>
  <c r="F913" i="14"/>
  <c r="G988" i="14"/>
  <c r="E1166" i="14"/>
  <c r="G424" i="14"/>
  <c r="H275" i="14"/>
  <c r="G733" i="14"/>
  <c r="G622" i="14"/>
  <c r="F72" i="14"/>
  <c r="E1152" i="14"/>
  <c r="H442" i="14"/>
  <c r="F859" i="14"/>
  <c r="G412" i="14"/>
  <c r="E966" i="14"/>
  <c r="E365" i="14"/>
  <c r="E419" i="14"/>
  <c r="E570" i="14"/>
  <c r="E290" i="14"/>
  <c r="G243" i="14"/>
  <c r="E406" i="14"/>
  <c r="E1047" i="14"/>
  <c r="F807" i="14"/>
  <c r="F364" i="14"/>
  <c r="F287" i="14"/>
  <c r="H516" i="14"/>
  <c r="G181" i="14"/>
  <c r="E709" i="14"/>
  <c r="H237" i="14"/>
  <c r="E991" i="14"/>
  <c r="G904" i="14"/>
  <c r="E224" i="14"/>
  <c r="E146" i="14"/>
  <c r="F625" i="14"/>
  <c r="F998" i="14"/>
  <c r="H1071" i="14"/>
  <c r="E274" i="14"/>
  <c r="E240" i="14"/>
  <c r="F962" i="14"/>
  <c r="H998" i="14"/>
  <c r="E592" i="14"/>
  <c r="H50" i="14"/>
  <c r="G742" i="14"/>
  <c r="H718" i="14"/>
  <c r="F120" i="14"/>
  <c r="G140" i="14"/>
  <c r="E976" i="14"/>
  <c r="F780" i="14"/>
  <c r="E922" i="14"/>
  <c r="E186" i="14"/>
  <c r="G306" i="14"/>
  <c r="E251" i="14"/>
  <c r="F464" i="14"/>
  <c r="E526" i="14"/>
  <c r="D31" i="14"/>
  <c r="H997" i="14"/>
  <c r="F777" i="14"/>
  <c r="E942" i="14"/>
  <c r="F1173" i="14"/>
  <c r="G248" i="14"/>
  <c r="G425" i="14"/>
  <c r="G312" i="14"/>
  <c r="H495" i="14"/>
  <c r="H762" i="14"/>
  <c r="G259" i="14"/>
  <c r="F707" i="14"/>
  <c r="G68" i="14"/>
  <c r="G1110" i="14"/>
  <c r="F511" i="14"/>
  <c r="G1199" i="14"/>
  <c r="F376" i="14"/>
  <c r="F835" i="14"/>
  <c r="G1102" i="14"/>
  <c r="F1129" i="14"/>
  <c r="E509" i="14"/>
  <c r="F1070" i="14"/>
  <c r="G156" i="14"/>
  <c r="G555" i="14"/>
  <c r="H1127" i="14"/>
  <c r="G81" i="14"/>
  <c r="G689" i="14"/>
  <c r="F1084" i="14"/>
  <c r="F283" i="14"/>
  <c r="H786" i="14"/>
  <c r="G168" i="14"/>
  <c r="F1188" i="14"/>
  <c r="H840" i="14"/>
  <c r="H722" i="14"/>
  <c r="E770" i="14"/>
  <c r="G76" i="14"/>
  <c r="G293" i="14"/>
  <c r="G463" i="14"/>
  <c r="E769" i="14"/>
  <c r="F619" i="14"/>
  <c r="H671" i="14"/>
  <c r="F703" i="14"/>
  <c r="E239" i="14"/>
  <c r="G71" i="14"/>
  <c r="F457" i="14"/>
  <c r="E1050" i="14"/>
  <c r="H1108" i="14"/>
  <c r="F881" i="14"/>
  <c r="H578" i="14"/>
  <c r="G104" i="14"/>
  <c r="E908" i="14"/>
  <c r="H1133" i="14"/>
  <c r="F1127" i="14"/>
  <c r="E1192" i="14"/>
  <c r="E479" i="14"/>
  <c r="H770" i="14"/>
  <c r="F582" i="14"/>
  <c r="F574" i="14"/>
  <c r="H571" i="14"/>
  <c r="E658" i="14"/>
  <c r="E157" i="14"/>
  <c r="H1055" i="14"/>
  <c r="E793" i="14"/>
  <c r="G861" i="14"/>
  <c r="E1164" i="14"/>
  <c r="E412" i="14"/>
  <c r="D836" i="14"/>
  <c r="F854" i="14"/>
  <c r="G994" i="14"/>
  <c r="G841" i="14"/>
  <c r="E39" i="14"/>
  <c r="E78" i="14"/>
  <c r="F150" i="14"/>
  <c r="E517" i="14"/>
  <c r="F1158" i="14"/>
  <c r="F750" i="14"/>
  <c r="G876" i="14"/>
  <c r="F520" i="14"/>
  <c r="E825" i="14"/>
  <c r="E262" i="14"/>
  <c r="H623" i="14"/>
  <c r="H383" i="14"/>
  <c r="F337" i="14"/>
  <c r="G206" i="14"/>
  <c r="G662" i="14"/>
  <c r="F647" i="14"/>
  <c r="G82" i="14"/>
  <c r="E427" i="14"/>
  <c r="H206" i="14"/>
  <c r="E873" i="14"/>
  <c r="F763" i="14"/>
  <c r="G930" i="14"/>
  <c r="F262" i="14"/>
  <c r="E999" i="14"/>
  <c r="E790" i="14"/>
  <c r="G230" i="14"/>
  <c r="H1198" i="14"/>
  <c r="G753" i="14"/>
  <c r="G356" i="14"/>
  <c r="E599" i="14"/>
  <c r="E664" i="14"/>
  <c r="E800" i="14"/>
  <c r="E174" i="14"/>
  <c r="F434" i="14"/>
  <c r="G460" i="14"/>
  <c r="H1053" i="14"/>
  <c r="H744" i="14"/>
  <c r="E166" i="14"/>
  <c r="H233" i="14"/>
  <c r="F919" i="14"/>
  <c r="H348" i="14"/>
  <c r="F992" i="14"/>
  <c r="F533" i="14"/>
  <c r="H390" i="14"/>
  <c r="E886" i="14"/>
  <c r="F121" i="14"/>
  <c r="H308" i="14"/>
  <c r="H866" i="14"/>
  <c r="H1130" i="14"/>
  <c r="E945" i="14"/>
  <c r="G537" i="14"/>
  <c r="H903" i="14"/>
  <c r="G615" i="14"/>
  <c r="E578" i="14"/>
  <c r="G633" i="14"/>
  <c r="E368" i="14"/>
  <c r="F501" i="14"/>
  <c r="F1161" i="14"/>
  <c r="G834" i="14"/>
  <c r="E1170" i="14"/>
  <c r="G1080" i="14"/>
  <c r="H661" i="14"/>
  <c r="F382" i="14"/>
  <c r="F830" i="14"/>
  <c r="H980" i="14"/>
  <c r="G420" i="14"/>
  <c r="F130" i="14"/>
  <c r="F494" i="14"/>
  <c r="E797" i="14"/>
  <c r="H837" i="14"/>
  <c r="G220" i="14"/>
  <c r="F64" i="14"/>
  <c r="H507" i="14"/>
  <c r="H700" i="14"/>
  <c r="H1112" i="14"/>
  <c r="E375" i="14"/>
  <c r="E826" i="14"/>
  <c r="F1081" i="14"/>
  <c r="E126" i="14"/>
  <c r="G671" i="14"/>
  <c r="G832" i="14"/>
  <c r="G915" i="14"/>
  <c r="E213" i="14"/>
  <c r="F1060" i="14"/>
  <c r="F864" i="14"/>
  <c r="F1121" i="14"/>
  <c r="H1120" i="14"/>
  <c r="F554" i="14"/>
  <c r="E652" i="14"/>
  <c r="G221" i="14"/>
  <c r="E895" i="14"/>
  <c r="H653" i="14"/>
  <c r="H248" i="14"/>
  <c r="H82" i="14"/>
  <c r="F184" i="14"/>
  <c r="G260" i="14"/>
  <c r="G795" i="14"/>
  <c r="G130" i="14"/>
  <c r="H942" i="14"/>
  <c r="H132" i="14"/>
  <c r="F89" i="14"/>
  <c r="F941" i="14"/>
  <c r="E625" i="14"/>
  <c r="F246" i="14"/>
  <c r="F1028" i="14"/>
  <c r="H255" i="14"/>
  <c r="F1036" i="14"/>
  <c r="G581" i="14"/>
  <c r="H965" i="14"/>
  <c r="F1102" i="14"/>
  <c r="G1145" i="14"/>
  <c r="E731" i="14"/>
  <c r="G422" i="14"/>
  <c r="G1150" i="14"/>
  <c r="H926" i="14"/>
  <c r="E127" i="14"/>
  <c r="F1194" i="14"/>
  <c r="G380" i="14"/>
  <c r="H608" i="14"/>
  <c r="G1165" i="14"/>
  <c r="F917" i="14"/>
  <c r="E811" i="14"/>
  <c r="G607" i="14"/>
  <c r="G679" i="14"/>
  <c r="F689" i="14"/>
  <c r="E1185" i="14"/>
  <c r="H283" i="14"/>
  <c r="G907" i="14"/>
  <c r="H836" i="14"/>
  <c r="G851" i="14"/>
  <c r="G246" i="14"/>
  <c r="E95" i="14"/>
  <c r="F424" i="14"/>
  <c r="G449" i="14"/>
  <c r="E44" i="14"/>
  <c r="E987" i="14"/>
  <c r="E1017" i="14"/>
  <c r="E123" i="14"/>
  <c r="F171" i="14"/>
  <c r="E710" i="14"/>
  <c r="E542" i="14"/>
  <c r="G524" i="14"/>
  <c r="H822" i="14"/>
  <c r="E173" i="14"/>
  <c r="F260" i="14"/>
  <c r="H1121" i="14"/>
  <c r="H975" i="14"/>
  <c r="F972" i="14"/>
  <c r="F231" i="14"/>
  <c r="F122" i="14"/>
  <c r="E1009" i="14"/>
  <c r="H290" i="14"/>
  <c r="E866" i="14"/>
  <c r="H316" i="14"/>
  <c r="H586" i="14"/>
  <c r="E98" i="14"/>
  <c r="E192" i="14"/>
  <c r="E950" i="14"/>
  <c r="H826" i="14"/>
  <c r="F841" i="14"/>
  <c r="E364" i="14"/>
  <c r="F950" i="14"/>
  <c r="E418" i="14"/>
  <c r="G354" i="14"/>
  <c r="H1166" i="14"/>
  <c r="F826" i="14"/>
  <c r="F418" i="14"/>
  <c r="F152" i="14"/>
  <c r="G1054" i="14"/>
  <c r="H261" i="14"/>
  <c r="F232" i="14"/>
  <c r="G800" i="14"/>
  <c r="E661" i="14"/>
  <c r="H896" i="14"/>
  <c r="F204" i="14"/>
  <c r="G1029" i="14"/>
  <c r="E283" i="14"/>
  <c r="H519" i="14"/>
  <c r="F920" i="14"/>
  <c r="E1160" i="14"/>
  <c r="G21" i="14"/>
  <c r="H387" i="14"/>
  <c r="G175" i="14"/>
  <c r="E576" i="14"/>
  <c r="E871" i="14"/>
  <c r="H1063" i="14"/>
  <c r="F123" i="14"/>
  <c r="E618" i="14"/>
  <c r="F405" i="14"/>
  <c r="E682" i="14"/>
  <c r="H466" i="14"/>
  <c r="E563" i="14"/>
  <c r="H831" i="14"/>
  <c r="G28" i="14"/>
  <c r="H758" i="14"/>
  <c r="F731" i="14"/>
  <c r="E234" i="14"/>
  <c r="H693" i="14"/>
  <c r="F749" i="14"/>
  <c r="E1128" i="14"/>
  <c r="E501" i="14"/>
  <c r="H1097" i="14"/>
  <c r="F730" i="14"/>
  <c r="G921" i="14"/>
  <c r="G80" i="14"/>
  <c r="G1173" i="14"/>
  <c r="G713" i="14"/>
  <c r="F481" i="14"/>
  <c r="E493" i="14"/>
  <c r="H857" i="14"/>
  <c r="E628" i="14"/>
  <c r="E983" i="14"/>
  <c r="G31" i="14"/>
  <c r="E824" i="14"/>
  <c r="F25" i="14"/>
  <c r="G268" i="14"/>
  <c r="G912" i="14"/>
  <c r="F886" i="14"/>
  <c r="G331" i="14"/>
  <c r="F1056" i="14"/>
  <c r="E31" i="14"/>
  <c r="E403" i="14"/>
  <c r="G849" i="14"/>
  <c r="H958" i="14"/>
  <c r="H803" i="14"/>
  <c r="F249" i="14"/>
  <c r="H781" i="14"/>
  <c r="G492" i="14"/>
  <c r="E951" i="14"/>
  <c r="H708" i="14"/>
  <c r="F1000" i="14"/>
  <c r="H274" i="14"/>
  <c r="E766" i="14"/>
  <c r="F989" i="14"/>
  <c r="F5" i="14"/>
  <c r="E776" i="14"/>
  <c r="F982" i="14"/>
  <c r="H487" i="14"/>
  <c r="E738" i="14"/>
  <c r="G436" i="14"/>
  <c r="G723" i="14"/>
  <c r="F190" i="14"/>
  <c r="G663" i="14"/>
  <c r="H331" i="14"/>
  <c r="F1025" i="14"/>
  <c r="F458" i="14"/>
  <c r="H113" i="14"/>
  <c r="E1118" i="14"/>
  <c r="E352" i="14"/>
  <c r="F284" i="14"/>
  <c r="E248" i="14"/>
  <c r="H876" i="14"/>
  <c r="H598" i="14"/>
  <c r="G83" i="14"/>
  <c r="H446" i="14"/>
  <c r="H342" i="14"/>
  <c r="F628" i="14"/>
  <c r="F452" i="14"/>
  <c r="E265" i="14"/>
  <c r="F267" i="14"/>
  <c r="H258" i="14"/>
  <c r="E584" i="14"/>
  <c r="G1156" i="14"/>
  <c r="F213" i="14"/>
  <c r="H514" i="14"/>
  <c r="H901" i="14"/>
  <c r="E6" i="14"/>
  <c r="H711" i="14"/>
  <c r="G440" i="14"/>
  <c r="E603" i="14"/>
  <c r="G977" i="14"/>
  <c r="H271" i="14"/>
  <c r="H902" i="14"/>
  <c r="E882" i="14"/>
  <c r="E450" i="14"/>
  <c r="H416" i="14"/>
  <c r="E264" i="14"/>
  <c r="E595" i="14"/>
  <c r="G1116" i="14"/>
  <c r="H1199" i="14"/>
  <c r="G494" i="14"/>
  <c r="G1098" i="14"/>
  <c r="E259" i="14"/>
  <c r="F306" i="14"/>
  <c r="G1015" i="14"/>
  <c r="E911" i="14"/>
  <c r="H605" i="14"/>
  <c r="E676" i="14"/>
  <c r="F875" i="14"/>
  <c r="E735" i="14"/>
  <c r="E1027" i="14"/>
  <c r="G617" i="14"/>
  <c r="F144" i="14"/>
  <c r="F393" i="14"/>
  <c r="F534" i="14"/>
  <c r="G23" i="14"/>
  <c r="F360" i="14"/>
  <c r="F453" i="14"/>
  <c r="G1112" i="14"/>
  <c r="F1195" i="14"/>
  <c r="E218" i="14"/>
  <c r="F241" i="14"/>
  <c r="F269" i="14"/>
  <c r="G61" i="14"/>
  <c r="E736" i="14"/>
  <c r="F1183" i="14"/>
  <c r="E651" i="14"/>
  <c r="F590" i="14"/>
  <c r="G316" i="14"/>
  <c r="E374" i="14"/>
  <c r="H243" i="14"/>
  <c r="F922" i="14"/>
  <c r="H799" i="14"/>
  <c r="H120" i="14"/>
  <c r="G1066" i="14"/>
  <c r="F3" i="14"/>
  <c r="F683" i="14"/>
  <c r="H335" i="14"/>
  <c r="H954" i="14"/>
  <c r="F687" i="14"/>
  <c r="H899" i="14"/>
  <c r="E935" i="14"/>
  <c r="F480" i="14"/>
  <c r="E63" i="14"/>
  <c r="G451" i="14"/>
  <c r="D617" i="14"/>
  <c r="G216" i="14"/>
  <c r="F916" i="14"/>
  <c r="E1005" i="14"/>
  <c r="G792" i="14"/>
  <c r="G493" i="14"/>
  <c r="F932" i="14"/>
  <c r="E30" i="14"/>
  <c r="E483" i="14"/>
  <c r="F413" i="14"/>
  <c r="H22" i="14"/>
  <c r="H1184" i="14"/>
  <c r="E351" i="14"/>
  <c r="F722" i="14"/>
  <c r="E163" i="14"/>
  <c r="E1162" i="14"/>
  <c r="F779" i="14"/>
  <c r="F351" i="14"/>
  <c r="E18" i="14"/>
  <c r="H165" i="14"/>
  <c r="G201" i="14"/>
  <c r="H426" i="14"/>
  <c r="E565" i="14"/>
  <c r="H811" i="14"/>
  <c r="E209" i="14"/>
  <c r="G1021" i="14"/>
  <c r="G836" i="14"/>
  <c r="G857" i="14"/>
  <c r="F651" i="14"/>
  <c r="F489" i="14"/>
  <c r="F447" i="14"/>
  <c r="H589" i="14"/>
  <c r="F189" i="14"/>
  <c r="E982" i="14"/>
  <c r="E989" i="14"/>
  <c r="E380" i="14"/>
  <c r="E500" i="14"/>
  <c r="G899" i="14"/>
  <c r="H816" i="14"/>
  <c r="E277" i="14"/>
  <c r="E858" i="14"/>
  <c r="G768" i="14"/>
  <c r="E451" i="14"/>
  <c r="F467" i="14"/>
  <c r="H1013" i="14"/>
  <c r="G188" i="14"/>
  <c r="E980" i="14"/>
  <c r="E893" i="14"/>
  <c r="E314" i="14"/>
  <c r="F346" i="14"/>
  <c r="H351" i="14"/>
  <c r="H21" i="14"/>
  <c r="G983" i="14"/>
  <c r="H71" i="14"/>
  <c r="H553" i="14"/>
  <c r="F776" i="14"/>
  <c r="F368" i="14"/>
  <c r="F358" i="14"/>
  <c r="F277" i="14"/>
  <c r="F529" i="14"/>
  <c r="H97" i="14"/>
  <c r="F268" i="14"/>
  <c r="F86" i="14"/>
  <c r="G263" i="14"/>
  <c r="F414" i="14"/>
  <c r="H179" i="14"/>
  <c r="H720" i="14"/>
  <c r="H467" i="14"/>
  <c r="E58" i="14"/>
  <c r="E434" i="14"/>
  <c r="G631" i="14"/>
  <c r="E673" i="14"/>
  <c r="F55" i="14"/>
  <c r="G395" i="14"/>
  <c r="E504" i="14"/>
  <c r="E608" i="14"/>
  <c r="H695" i="14"/>
  <c r="E683" i="14"/>
  <c r="F309" i="14"/>
  <c r="E230" i="14"/>
  <c r="H127" i="14"/>
  <c r="G228" i="14"/>
  <c r="H1004" i="14"/>
  <c r="H1153" i="14"/>
  <c r="H932" i="14"/>
  <c r="E506" i="14"/>
  <c r="G656" i="14"/>
  <c r="G1101" i="14"/>
  <c r="F808" i="14"/>
  <c r="F273" i="14"/>
  <c r="F652" i="14"/>
  <c r="G814" i="14"/>
  <c r="E1002" i="14"/>
  <c r="E1023" i="14"/>
  <c r="F332" i="14"/>
  <c r="F65" i="14"/>
  <c r="E853" i="14"/>
  <c r="F558" i="14"/>
  <c r="E485" i="14"/>
  <c r="E525" i="14"/>
  <c r="G30" i="14"/>
  <c r="F811" i="14"/>
  <c r="H365" i="14"/>
  <c r="H296" i="14"/>
  <c r="G467" i="14"/>
  <c r="G499" i="14"/>
  <c r="F804" i="14"/>
  <c r="H561" i="14"/>
  <c r="E892" i="14"/>
  <c r="G338" i="14"/>
  <c r="E244" i="14"/>
  <c r="F836" i="14"/>
  <c r="E200" i="14"/>
  <c r="H846" i="14"/>
  <c r="F166" i="14"/>
  <c r="H332" i="14"/>
  <c r="F813" i="14"/>
  <c r="H1178" i="14"/>
  <c r="G391" i="14"/>
  <c r="G348" i="14"/>
  <c r="F255" i="14"/>
  <c r="H1110" i="14"/>
  <c r="G303" i="14"/>
  <c r="G245" i="14"/>
  <c r="E510" i="14"/>
  <c r="E760" i="14"/>
  <c r="H133" i="14"/>
  <c r="H752" i="14"/>
  <c r="F117" i="14"/>
  <c r="F432" i="14"/>
  <c r="F685" i="14"/>
  <c r="E1140" i="14"/>
  <c r="F876" i="14"/>
  <c r="F702" i="14"/>
  <c r="E972" i="14"/>
  <c r="G1095" i="14"/>
  <c r="H798" i="14"/>
  <c r="H644" i="14"/>
  <c r="H273" i="14"/>
  <c r="E909" i="14"/>
  <c r="F623" i="14"/>
  <c r="H224" i="14"/>
  <c r="H291" i="14"/>
  <c r="H503" i="14"/>
  <c r="G426" i="14"/>
  <c r="H380" i="14"/>
  <c r="H245" i="14"/>
  <c r="H41" i="14"/>
  <c r="F380" i="14"/>
  <c r="F147" i="14"/>
  <c r="F1064" i="14"/>
  <c r="G793" i="14"/>
  <c r="G265" i="14"/>
  <c r="G898" i="14"/>
  <c r="G681" i="14"/>
  <c r="G1063" i="14"/>
  <c r="G352" i="14"/>
  <c r="H973" i="14"/>
  <c r="E655" i="14"/>
  <c r="H444" i="14"/>
  <c r="G1006" i="14"/>
  <c r="F345" i="14"/>
  <c r="E879" i="14"/>
  <c r="E788" i="14"/>
  <c r="E807" i="14"/>
  <c r="H397" i="14"/>
  <c r="H904" i="14"/>
  <c r="F562" i="14"/>
  <c r="H607" i="14"/>
  <c r="G144" i="14"/>
  <c r="F369" i="14"/>
  <c r="E630" i="14"/>
  <c r="H888" i="14"/>
  <c r="G632" i="14"/>
  <c r="E916" i="14"/>
  <c r="G450" i="14"/>
  <c r="E100" i="14"/>
  <c r="H978" i="14"/>
  <c r="H602" i="14"/>
  <c r="G551" i="14"/>
  <c r="F303" i="14"/>
  <c r="H238" i="14"/>
  <c r="H615" i="14"/>
  <c r="F443" i="14"/>
  <c r="G946" i="14"/>
  <c r="E317" i="14"/>
  <c r="E1086" i="14"/>
  <c r="F441" i="14"/>
  <c r="F658" i="14"/>
  <c r="G777" i="14"/>
  <c r="F714" i="14"/>
  <c r="E1075" i="14"/>
  <c r="H343" i="14"/>
  <c r="G172" i="14"/>
  <c r="H119" i="14"/>
  <c r="H445" i="14"/>
  <c r="G1140" i="14"/>
  <c r="H924" i="14"/>
  <c r="F45" i="14"/>
  <c r="E705" i="14"/>
  <c r="G126" i="14"/>
  <c r="E178" i="14"/>
  <c r="G40" i="14"/>
  <c r="F440" i="14"/>
  <c r="F607" i="14"/>
  <c r="F474" i="14"/>
  <c r="H129" i="14"/>
  <c r="E1155" i="14"/>
  <c r="F580" i="14"/>
  <c r="H190" i="14"/>
  <c r="F806" i="14"/>
  <c r="F173" i="14"/>
  <c r="G1039" i="14"/>
  <c r="G1024" i="14"/>
  <c r="G969" i="14"/>
  <c r="H981" i="14"/>
  <c r="H808" i="14"/>
  <c r="F688" i="14"/>
  <c r="F1130" i="14"/>
  <c r="F1147" i="14"/>
  <c r="H339" i="14"/>
  <c r="F133" i="14"/>
  <c r="F583" i="14"/>
  <c r="F984" i="14"/>
  <c r="F504" i="14"/>
  <c r="F300" i="14"/>
  <c r="F1001" i="14"/>
  <c r="E48" i="14"/>
  <c r="G1086" i="14"/>
  <c r="F1134" i="14"/>
  <c r="E1040" i="14"/>
  <c r="H477" i="14"/>
  <c r="H667" i="14"/>
  <c r="H1065" i="14"/>
  <c r="G960" i="14"/>
  <c r="E168" i="14"/>
  <c r="H148" i="14"/>
  <c r="E617" i="14"/>
  <c r="H155" i="14"/>
  <c r="F1199" i="14"/>
  <c r="F477" i="14"/>
  <c r="F218" i="14"/>
  <c r="F1052" i="14"/>
  <c r="G852" i="14"/>
  <c r="F507" i="14"/>
  <c r="H554" i="14"/>
  <c r="G73" i="14"/>
  <c r="H6" i="14"/>
  <c r="H378" i="14"/>
  <c r="G93" i="14"/>
  <c r="E215" i="14"/>
  <c r="G102" i="14"/>
  <c r="H930" i="14"/>
  <c r="H323" i="14"/>
  <c r="F596" i="14"/>
  <c r="H293" i="14"/>
  <c r="H1111" i="14"/>
  <c r="G321" i="14"/>
  <c r="H1041" i="14"/>
  <c r="F1122" i="14"/>
  <c r="F544" i="14"/>
  <c r="G59" i="14"/>
  <c r="F39" i="14"/>
  <c r="F910" i="14"/>
  <c r="F771" i="14"/>
  <c r="E901" i="14"/>
  <c r="E998" i="14"/>
  <c r="G432" i="14"/>
  <c r="F399" i="14"/>
  <c r="E358" i="14"/>
  <c r="F1196" i="14"/>
  <c r="H501" i="14"/>
  <c r="F602" i="14"/>
  <c r="G392" i="14"/>
  <c r="G939" i="14"/>
  <c r="H457" i="14"/>
  <c r="G344" i="14"/>
  <c r="E1173" i="14"/>
  <c r="G56" i="14"/>
  <c r="E261" i="14"/>
  <c r="G690" i="14"/>
  <c r="H1080" i="14"/>
  <c r="E1039" i="14"/>
  <c r="F492" i="14"/>
  <c r="H208" i="14"/>
  <c r="H971" i="14"/>
  <c r="G454" i="14"/>
  <c r="G410" i="14"/>
  <c r="F894" i="14"/>
  <c r="F1145" i="14"/>
  <c r="G3" i="27" l="1"/>
  <c r="I3" i="27" s="1"/>
  <c r="K3" i="27" s="1"/>
  <c r="A1120" i="27"/>
  <c r="C1120" i="27" s="1"/>
  <c r="AA1119" i="14"/>
  <c r="N349" i="14"/>
  <c r="X349" i="14" s="1"/>
  <c r="N286" i="14"/>
  <c r="X286" i="14" s="1"/>
  <c r="N650" i="14"/>
  <c r="X650" i="14" s="1"/>
  <c r="N867" i="14"/>
  <c r="X867" i="14" s="1"/>
  <c r="N417" i="14"/>
  <c r="X417" i="14" s="1"/>
  <c r="N254" i="14"/>
  <c r="X254" i="14" s="1"/>
  <c r="N635" i="14"/>
  <c r="X635" i="14" s="1"/>
  <c r="N353" i="14"/>
  <c r="X353" i="14" s="1"/>
  <c r="N611" i="14"/>
  <c r="X611" i="14" s="1"/>
  <c r="N1052" i="14"/>
  <c r="X1052" i="14" s="1"/>
  <c r="N1159" i="14"/>
  <c r="X1159" i="14" s="1"/>
  <c r="N490" i="14"/>
  <c r="X490" i="14" s="1"/>
  <c r="N1126" i="14"/>
  <c r="X1126" i="14" s="1"/>
  <c r="N634" i="14"/>
  <c r="X634" i="14" s="1"/>
  <c r="N802" i="14"/>
  <c r="X802" i="14" s="1"/>
  <c r="N1066" i="14"/>
  <c r="X1066" i="14" s="1"/>
  <c r="N274" i="14"/>
  <c r="X274" i="14" s="1"/>
  <c r="N237" i="14"/>
  <c r="X237" i="14" s="1"/>
  <c r="N976" i="14"/>
  <c r="X976" i="14" s="1"/>
  <c r="N508" i="14"/>
  <c r="X508" i="14" s="1"/>
  <c r="N801" i="14"/>
  <c r="X801" i="14" s="1"/>
  <c r="N730" i="14"/>
  <c r="X730" i="14" s="1"/>
  <c r="N34" i="14"/>
  <c r="X34" i="14" s="1"/>
  <c r="N626" i="14"/>
  <c r="X626" i="14" s="1"/>
  <c r="N895" i="14"/>
  <c r="X895" i="14" s="1"/>
  <c r="N1103" i="14"/>
  <c r="X1103" i="14" s="1"/>
  <c r="N929" i="14"/>
  <c r="X929" i="14" s="1"/>
  <c r="N169" i="14"/>
  <c r="X169" i="14" s="1"/>
  <c r="N575" i="14"/>
  <c r="X575" i="14" s="1"/>
  <c r="N1049" i="14"/>
  <c r="X1049" i="14" s="1"/>
  <c r="N227" i="14"/>
  <c r="X227" i="14" s="1"/>
  <c r="N834" i="14"/>
  <c r="X834" i="14" s="1"/>
  <c r="N782" i="14"/>
  <c r="X782" i="14" s="1"/>
  <c r="N861" i="14"/>
  <c r="X861" i="14" s="1"/>
  <c r="N1086" i="14"/>
  <c r="X1086" i="14" s="1"/>
  <c r="N851" i="14"/>
  <c r="X851" i="14" s="1"/>
  <c r="N957" i="14"/>
  <c r="X957" i="14" s="1"/>
  <c r="N79" i="14"/>
  <c r="X79" i="14" s="1"/>
  <c r="N214" i="14"/>
  <c r="X214" i="14" s="1"/>
  <c r="N311" i="14"/>
  <c r="X311" i="14" s="1"/>
  <c r="N17" i="14"/>
  <c r="X17" i="14" s="1"/>
  <c r="N887" i="14"/>
  <c r="X887" i="14" s="1"/>
  <c r="N1193" i="14"/>
  <c r="X1193" i="14" s="1"/>
  <c r="N202" i="14"/>
  <c r="X202" i="14" s="1"/>
  <c r="N294" i="14"/>
  <c r="X294" i="14" s="1"/>
  <c r="N938" i="14"/>
  <c r="X938" i="14" s="1"/>
  <c r="N885" i="14"/>
  <c r="X885" i="14" s="1"/>
  <c r="N523" i="14"/>
  <c r="X523" i="14" s="1"/>
  <c r="N881" i="14"/>
  <c r="X881" i="14" s="1"/>
  <c r="N956" i="14"/>
  <c r="X956" i="14" s="1"/>
  <c r="N724" i="14"/>
  <c r="X724" i="14" s="1"/>
  <c r="N402" i="14"/>
  <c r="X402" i="14" s="1"/>
  <c r="N332" i="14"/>
  <c r="X332" i="14" s="1"/>
  <c r="N546" i="14"/>
  <c r="X546" i="14" s="1"/>
  <c r="N497" i="14"/>
  <c r="X497" i="14" s="1"/>
  <c r="N823" i="14"/>
  <c r="X823" i="14" s="1"/>
  <c r="N70" i="14"/>
  <c r="X70" i="14" s="1"/>
  <c r="N1026" i="14"/>
  <c r="X1026" i="14" s="1"/>
  <c r="N559" i="14"/>
  <c r="X559" i="14" s="1"/>
  <c r="N367" i="14"/>
  <c r="X367" i="14" s="1"/>
  <c r="N527" i="14"/>
  <c r="X527" i="14" s="1"/>
  <c r="N455" i="14"/>
  <c r="X455" i="14" s="1"/>
  <c r="N266" i="14"/>
  <c r="X266" i="14" s="1"/>
  <c r="N905" i="14"/>
  <c r="X905" i="14" s="1"/>
  <c r="N747" i="14"/>
  <c r="X747" i="14" s="1"/>
  <c r="N617" i="14"/>
  <c r="X617" i="14" s="1"/>
  <c r="N899" i="14"/>
  <c r="X899" i="14" s="1"/>
  <c r="N1105" i="14"/>
  <c r="X1105" i="14" s="1"/>
  <c r="N118" i="14"/>
  <c r="X118" i="14" s="1"/>
  <c r="N560" i="14"/>
  <c r="X560" i="14" s="1"/>
  <c r="N576" i="14"/>
  <c r="X576" i="14" s="1"/>
  <c r="N1169" i="14"/>
  <c r="X1169" i="14" s="1"/>
  <c r="N445" i="14"/>
  <c r="X445" i="14" s="1"/>
  <c r="N676" i="14"/>
  <c r="X676" i="14" s="1"/>
  <c r="N23" i="14"/>
  <c r="X23" i="14" s="1"/>
  <c r="N686" i="14"/>
  <c r="X686" i="14" s="1"/>
  <c r="N478" i="14"/>
  <c r="X478" i="14" s="1"/>
  <c r="N1078" i="14"/>
  <c r="X1078" i="14" s="1"/>
  <c r="N613" i="14"/>
  <c r="X613" i="14" s="1"/>
  <c r="N684" i="14"/>
  <c r="X684" i="14" s="1"/>
  <c r="N836" i="14"/>
  <c r="X836" i="14" s="1"/>
  <c r="N380" i="14"/>
  <c r="X380" i="14" s="1"/>
  <c r="N994" i="14"/>
  <c r="X994" i="14" s="1"/>
  <c r="N1154" i="14"/>
  <c r="X1154" i="14" s="1"/>
  <c r="N555" i="14"/>
  <c r="X555" i="14" s="1"/>
  <c r="N1051" i="14"/>
  <c r="X1051" i="14" s="1"/>
  <c r="N410" i="14"/>
  <c r="X410" i="14" s="1"/>
  <c r="N170" i="14"/>
  <c r="X170" i="14" s="1"/>
  <c r="N660" i="14"/>
  <c r="X660" i="14" s="1"/>
  <c r="N1033" i="14"/>
  <c r="X1033" i="14" s="1"/>
  <c r="N259" i="14"/>
  <c r="X259" i="14" s="1"/>
  <c r="N519" i="14"/>
  <c r="X519" i="14" s="1"/>
  <c r="N1050" i="14"/>
  <c r="X1050" i="14" s="1"/>
  <c r="N1091" i="14"/>
  <c r="X1091" i="14" s="1"/>
  <c r="N1133" i="14"/>
  <c r="X1133" i="14" s="1"/>
  <c r="N1096" i="14"/>
  <c r="X1096" i="14" s="1"/>
  <c r="N551" i="14"/>
  <c r="X551" i="14" s="1"/>
  <c r="N779" i="14"/>
  <c r="X779" i="14" s="1"/>
  <c r="N1158" i="14"/>
  <c r="X1158" i="14" s="1"/>
  <c r="N622" i="14"/>
  <c r="X622" i="14" s="1"/>
  <c r="N993" i="14"/>
  <c r="X993" i="14" s="1"/>
  <c r="N1014" i="14"/>
  <c r="X1014" i="14" s="1"/>
  <c r="N219" i="14"/>
  <c r="X219" i="14" s="1"/>
  <c r="N1017" i="14"/>
  <c r="X1017" i="14" s="1"/>
  <c r="N682" i="14"/>
  <c r="X682" i="14" s="1"/>
  <c r="N727" i="14"/>
  <c r="X727" i="14" s="1"/>
  <c r="N421" i="14"/>
  <c r="X421" i="14" s="1"/>
  <c r="N752" i="14"/>
  <c r="X752" i="14" s="1"/>
  <c r="N535" i="14"/>
  <c r="X535" i="14" s="1"/>
  <c r="N1012" i="14"/>
  <c r="X1012" i="14" s="1"/>
  <c r="N1036" i="14"/>
  <c r="X1036" i="14" s="1"/>
  <c r="N270" i="14"/>
  <c r="X270" i="14" s="1"/>
  <c r="N1191" i="14"/>
  <c r="X1191" i="14" s="1"/>
  <c r="N379" i="14"/>
  <c r="X379" i="14" s="1"/>
  <c r="N1077" i="14"/>
  <c r="X1077" i="14" s="1"/>
  <c r="N194" i="14"/>
  <c r="X194" i="14" s="1"/>
  <c r="N725" i="14"/>
  <c r="X725" i="14" s="1"/>
  <c r="N372" i="14"/>
  <c r="X372" i="14" s="1"/>
  <c r="N485" i="14"/>
  <c r="X485" i="14" s="1"/>
  <c r="N916" i="14"/>
  <c r="X916" i="14" s="1"/>
  <c r="N1177" i="14"/>
  <c r="X1177" i="14" s="1"/>
  <c r="N69" i="14"/>
  <c r="X69" i="14" s="1"/>
  <c r="N847" i="14"/>
  <c r="X847" i="14" s="1"/>
  <c r="N950" i="14"/>
  <c r="X950" i="14" s="1"/>
  <c r="N951" i="14"/>
  <c r="X951" i="14" s="1"/>
  <c r="N190" i="14"/>
  <c r="X190" i="14" s="1"/>
  <c r="N1039" i="14"/>
  <c r="X1039" i="14" s="1"/>
  <c r="N1087" i="14"/>
  <c r="X1087" i="14" s="1"/>
  <c r="N183" i="14"/>
  <c r="X183" i="14" s="1"/>
  <c r="N251" i="14"/>
  <c r="X251" i="14" s="1"/>
  <c r="N561" i="14"/>
  <c r="X561" i="14" s="1"/>
  <c r="N1170" i="14"/>
  <c r="X1170" i="14" s="1"/>
  <c r="N492" i="14"/>
  <c r="X492" i="14" s="1"/>
  <c r="N1116" i="14"/>
  <c r="X1116" i="14" s="1"/>
  <c r="N1099" i="14"/>
  <c r="X1099" i="14" s="1"/>
  <c r="N886" i="14"/>
  <c r="X886" i="14" s="1"/>
  <c r="N799" i="14"/>
  <c r="X799" i="14" s="1"/>
  <c r="N776" i="14"/>
  <c r="X776" i="14" s="1"/>
  <c r="N681" i="14"/>
  <c r="X681" i="14" s="1"/>
  <c r="N712" i="14"/>
  <c r="X712" i="14" s="1"/>
  <c r="N356" i="14"/>
  <c r="X356" i="14" s="1"/>
  <c r="N583" i="14"/>
  <c r="X583" i="14" s="1"/>
  <c r="N244" i="14"/>
  <c r="X244" i="14" s="1"/>
  <c r="N4" i="14"/>
  <c r="X4" i="14" s="1"/>
  <c r="N405" i="14"/>
  <c r="X405" i="14" s="1"/>
  <c r="N570" i="14"/>
  <c r="X570" i="14" s="1"/>
  <c r="N778" i="14"/>
  <c r="X778" i="14" s="1"/>
  <c r="N195" i="14"/>
  <c r="X195" i="14" s="1"/>
  <c r="N503" i="14"/>
  <c r="X503" i="14" s="1"/>
  <c r="N1083" i="14"/>
  <c r="X1083" i="14" s="1"/>
  <c r="N1151" i="14"/>
  <c r="X1151" i="14" s="1"/>
  <c r="N427" i="14"/>
  <c r="X427" i="14" s="1"/>
  <c r="N524" i="14"/>
  <c r="X524" i="14" s="1"/>
  <c r="N320" i="14"/>
  <c r="X320" i="14" s="1"/>
  <c r="N307" i="14"/>
  <c r="X307" i="14" s="1"/>
  <c r="N275" i="14"/>
  <c r="X275" i="14" s="1"/>
  <c r="N871" i="14"/>
  <c r="X871" i="14" s="1"/>
  <c r="N260" i="14"/>
  <c r="X260" i="14" s="1"/>
  <c r="N964" i="14"/>
  <c r="X964" i="14" s="1"/>
  <c r="N272" i="14"/>
  <c r="X272" i="14" s="1"/>
  <c r="N530" i="14"/>
  <c r="X530" i="14" s="1"/>
  <c r="N1139" i="14"/>
  <c r="X1139" i="14" s="1"/>
  <c r="N998" i="14"/>
  <c r="X998" i="14" s="1"/>
  <c r="N98" i="14"/>
  <c r="X98" i="14" s="1"/>
  <c r="N502" i="14"/>
  <c r="X502" i="14" s="1"/>
  <c r="N932" i="14"/>
  <c r="X932" i="14" s="1"/>
  <c r="N954" i="14"/>
  <c r="X954" i="14" s="1"/>
  <c r="N257" i="14"/>
  <c r="X257" i="14" s="1"/>
  <c r="N927" i="14"/>
  <c r="X927" i="14" s="1"/>
  <c r="N7" i="14"/>
  <c r="X7" i="14" s="1"/>
  <c r="N893" i="14"/>
  <c r="X893" i="14" s="1"/>
  <c r="N526" i="14"/>
  <c r="X526" i="14" s="1"/>
  <c r="N394" i="14"/>
  <c r="X394" i="14" s="1"/>
  <c r="N180" i="14"/>
  <c r="X180" i="14" s="1"/>
  <c r="N982" i="14"/>
  <c r="X982" i="14" s="1"/>
  <c r="N536" i="14"/>
  <c r="X536" i="14" s="1"/>
  <c r="N46" i="14"/>
  <c r="X46" i="14" s="1"/>
  <c r="N1135" i="14"/>
  <c r="X1135" i="14" s="1"/>
  <c r="N28" i="14"/>
  <c r="X28" i="14" s="1"/>
  <c r="N1094" i="14"/>
  <c r="X1094" i="14" s="1"/>
  <c r="N689" i="14"/>
  <c r="X689" i="14" s="1"/>
  <c r="N425" i="14"/>
  <c r="X425" i="14" s="1"/>
  <c r="N616" i="14"/>
  <c r="X616" i="14" s="1"/>
  <c r="N573" i="14"/>
  <c r="X573" i="14" s="1"/>
  <c r="N876" i="14"/>
  <c r="X876" i="14" s="1"/>
  <c r="N915" i="14"/>
  <c r="X915" i="14" s="1"/>
  <c r="N940" i="14"/>
  <c r="X940" i="14" s="1"/>
  <c r="N922" i="14"/>
  <c r="X922" i="14" s="1"/>
  <c r="N142" i="14"/>
  <c r="X142" i="14" s="1"/>
  <c r="N1002" i="14"/>
  <c r="X1002" i="14" s="1"/>
  <c r="N813" i="14"/>
  <c r="X813" i="14" s="1"/>
  <c r="N674" i="14"/>
  <c r="X674" i="14" s="1"/>
  <c r="N336" i="14"/>
  <c r="X336" i="14" s="1"/>
  <c r="N232" i="14"/>
  <c r="X232" i="14" s="1"/>
  <c r="N252" i="14"/>
  <c r="X252" i="14" s="1"/>
  <c r="N919" i="14"/>
  <c r="X919" i="14" s="1"/>
  <c r="N1129" i="14"/>
  <c r="X1129" i="14" s="1"/>
  <c r="N632" i="14"/>
  <c r="X632" i="14" s="1"/>
  <c r="N1056" i="14"/>
  <c r="X1056" i="14" s="1"/>
  <c r="N694" i="14"/>
  <c r="X694" i="14" s="1"/>
  <c r="N1136" i="14"/>
  <c r="X1136" i="14" s="1"/>
  <c r="N512" i="14"/>
  <c r="X512" i="14" s="1"/>
  <c r="N504" i="14"/>
  <c r="X504" i="14" s="1"/>
  <c r="N917" i="14"/>
  <c r="X917" i="14" s="1"/>
  <c r="N408" i="14"/>
  <c r="X408" i="14" s="1"/>
  <c r="N859" i="14"/>
  <c r="X859" i="14" s="1"/>
  <c r="N603" i="14"/>
  <c r="X603" i="14" s="1"/>
  <c r="N715" i="14"/>
  <c r="X715" i="14" s="1"/>
  <c r="N1128" i="14"/>
  <c r="X1128" i="14" s="1"/>
  <c r="N1185" i="14"/>
  <c r="X1185" i="14" s="1"/>
  <c r="N537" i="14"/>
  <c r="X537" i="14" s="1"/>
  <c r="N182" i="14"/>
  <c r="X182" i="14" s="1"/>
  <c r="N991" i="14"/>
  <c r="X991" i="14" s="1"/>
  <c r="N145" i="14"/>
  <c r="X145" i="14" s="1"/>
  <c r="N748" i="14"/>
  <c r="X748" i="14" s="1"/>
  <c r="N1041" i="14"/>
  <c r="X1041" i="14" s="1"/>
  <c r="N913" i="14"/>
  <c r="X913" i="14" s="1"/>
  <c r="N941" i="14"/>
  <c r="X941" i="14" s="1"/>
  <c r="N1184" i="14"/>
  <c r="X1184" i="14" s="1"/>
  <c r="N906" i="14"/>
  <c r="X906" i="14" s="1"/>
  <c r="N1131" i="14"/>
  <c r="X1131" i="14" s="1"/>
  <c r="N442" i="14"/>
  <c r="X442" i="14" s="1"/>
  <c r="N708" i="14"/>
  <c r="X708" i="14" s="1"/>
  <c r="N821" i="14"/>
  <c r="X821" i="14" s="1"/>
  <c r="N73" i="14"/>
  <c r="X73" i="14" s="1"/>
  <c r="N168" i="14"/>
  <c r="X168" i="14" s="1"/>
  <c r="N12" i="14"/>
  <c r="X12" i="14" s="1"/>
  <c r="N40" i="14"/>
  <c r="X40" i="14" s="1"/>
  <c r="N630" i="14"/>
  <c r="X630" i="14" s="1"/>
  <c r="N1101" i="14"/>
  <c r="X1101" i="14" s="1"/>
  <c r="N1072" i="14"/>
  <c r="X1072" i="14" s="1"/>
  <c r="N1008" i="14"/>
  <c r="X1008" i="14" s="1"/>
  <c r="N549" i="14"/>
  <c r="X549" i="14" s="1"/>
  <c r="N198" i="14"/>
  <c r="X198" i="14" s="1"/>
  <c r="N582" i="14"/>
  <c r="X582" i="14" s="1"/>
  <c r="N290" i="14"/>
  <c r="X290" i="14" s="1"/>
  <c r="N553" i="14"/>
  <c r="X553" i="14" s="1"/>
  <c r="N664" i="14"/>
  <c r="X664" i="14" s="1"/>
  <c r="N443" i="14"/>
  <c r="X443" i="14" s="1"/>
  <c r="N1115" i="14"/>
  <c r="X1115" i="14" s="1"/>
  <c r="N499" i="14"/>
  <c r="X499" i="14" s="1"/>
  <c r="N161" i="14"/>
  <c r="X161" i="14" s="1"/>
  <c r="N568" i="14"/>
  <c r="X568" i="14" s="1"/>
  <c r="N949" i="14"/>
  <c r="X949" i="14" s="1"/>
  <c r="N433" i="14"/>
  <c r="X433" i="14" s="1"/>
  <c r="N738" i="14"/>
  <c r="X738" i="14" s="1"/>
  <c r="N147" i="14"/>
  <c r="X147" i="14" s="1"/>
  <c r="N615" i="14"/>
  <c r="X615" i="14" s="1"/>
  <c r="N1166" i="14"/>
  <c r="X1166" i="14" s="1"/>
  <c r="N104" i="14"/>
  <c r="X104" i="14" s="1"/>
  <c r="N1168" i="14"/>
  <c r="X1168" i="14" s="1"/>
  <c r="N124" i="14"/>
  <c r="X124" i="14" s="1"/>
  <c r="N680" i="14"/>
  <c r="X680" i="14" s="1"/>
  <c r="N864" i="14"/>
  <c r="X864" i="14" s="1"/>
  <c r="N1020" i="14"/>
  <c r="X1020" i="14" s="1"/>
  <c r="N71" i="14"/>
  <c r="X71" i="14" s="1"/>
  <c r="N815" i="14"/>
  <c r="X815" i="14" s="1"/>
  <c r="N310" i="14"/>
  <c r="X310" i="14" s="1"/>
  <c r="N698" i="14"/>
  <c r="X698" i="14" s="1"/>
  <c r="N621" i="14"/>
  <c r="X621" i="14" s="1"/>
  <c r="N68" i="14"/>
  <c r="X68" i="14" s="1"/>
  <c r="N273" i="14"/>
  <c r="X273" i="14" s="1"/>
  <c r="N1030" i="14"/>
  <c r="X1030" i="14" s="1"/>
  <c r="N397" i="14"/>
  <c r="X397" i="14" s="1"/>
  <c r="N1098" i="14"/>
  <c r="X1098" i="14" s="1"/>
  <c r="N1018" i="14"/>
  <c r="X1018" i="14" s="1"/>
  <c r="N1053" i="14"/>
  <c r="X1053" i="14" s="1"/>
  <c r="N942" i="14"/>
  <c r="X942" i="14" s="1"/>
  <c r="N716" i="14"/>
  <c r="X716" i="14" s="1"/>
  <c r="N13" i="14"/>
  <c r="X13" i="14" s="1"/>
  <c r="N206" i="14"/>
  <c r="X206" i="14" s="1"/>
  <c r="N313" i="14"/>
  <c r="X313" i="14" s="1"/>
  <c r="N884" i="14"/>
  <c r="X884" i="14" s="1"/>
  <c r="N781" i="14"/>
  <c r="X781" i="14" s="1"/>
  <c r="N556" i="14"/>
  <c r="X556" i="14" s="1"/>
  <c r="N943" i="14"/>
  <c r="X943" i="14" s="1"/>
  <c r="N412" i="14"/>
  <c r="X412" i="14" s="1"/>
  <c r="N1138" i="14"/>
  <c r="X1138" i="14" s="1"/>
  <c r="N249" i="14"/>
  <c r="X249" i="14" s="1"/>
  <c r="N1188" i="14"/>
  <c r="X1188" i="14" s="1"/>
  <c r="N505" i="14"/>
  <c r="X505" i="14" s="1"/>
  <c r="N197" i="14"/>
  <c r="X197" i="14" s="1"/>
  <c r="N945" i="14"/>
  <c r="X945" i="14" s="1"/>
  <c r="N510" i="14"/>
  <c r="X510" i="14" s="1"/>
  <c r="N43" i="14"/>
  <c r="X43" i="14" s="1"/>
  <c r="N814" i="14"/>
  <c r="X814" i="14" s="1"/>
  <c r="N520" i="14"/>
  <c r="X520" i="14" s="1"/>
  <c r="N166" i="14"/>
  <c r="X166" i="14" s="1"/>
  <c r="N428" i="14"/>
  <c r="X428" i="14" s="1"/>
  <c r="N1162" i="14"/>
  <c r="X1162" i="14" s="1"/>
  <c r="N407" i="14"/>
  <c r="X407" i="14" s="1"/>
  <c r="N245" i="14"/>
  <c r="X245" i="14" s="1"/>
  <c r="N321" i="14"/>
  <c r="X321" i="14" s="1"/>
  <c r="N49" i="14"/>
  <c r="X49" i="14" s="1"/>
  <c r="N543" i="14"/>
  <c r="X543" i="14" s="1"/>
  <c r="N923" i="14"/>
  <c r="X923" i="14" s="1"/>
  <c r="N599" i="14"/>
  <c r="X599" i="14" s="1"/>
  <c r="N404" i="14"/>
  <c r="X404" i="14" s="1"/>
  <c r="N986" i="14"/>
  <c r="X986" i="14" s="1"/>
  <c r="N631" i="14"/>
  <c r="X631" i="14" s="1"/>
  <c r="N975" i="14"/>
  <c r="X975" i="14" s="1"/>
  <c r="N1061" i="14"/>
  <c r="X1061" i="14" s="1"/>
  <c r="N78" i="14"/>
  <c r="X78" i="14" s="1"/>
  <c r="N706" i="14"/>
  <c r="X706" i="14" s="1"/>
  <c r="N760" i="14"/>
  <c r="X760" i="14" s="1"/>
  <c r="N996" i="14"/>
  <c r="X996" i="14" s="1"/>
  <c r="N761" i="14"/>
  <c r="X761" i="14" s="1"/>
  <c r="N243" i="14"/>
  <c r="X243" i="14" s="1"/>
  <c r="N728" i="14"/>
  <c r="X728" i="14" s="1"/>
  <c r="N602" i="14"/>
  <c r="X602" i="14" s="1"/>
  <c r="N354" i="14"/>
  <c r="X354" i="14" s="1"/>
  <c r="N759" i="14"/>
  <c r="X759" i="14" s="1"/>
  <c r="N126" i="14"/>
  <c r="X126" i="14" s="1"/>
  <c r="N1183" i="14"/>
  <c r="X1183" i="14" s="1"/>
  <c r="N888" i="14"/>
  <c r="X888" i="14" s="1"/>
  <c r="N1009" i="14"/>
  <c r="X1009" i="14" s="1"/>
  <c r="N339" i="14"/>
  <c r="X339" i="14" s="1"/>
  <c r="N121" i="14"/>
  <c r="X121" i="14" s="1"/>
  <c r="N946" i="14"/>
  <c r="X946" i="14" s="1"/>
  <c r="N85" i="14"/>
  <c r="X85" i="14" s="1"/>
  <c r="N1160" i="14"/>
  <c r="X1160" i="14" s="1"/>
  <c r="N205" i="14"/>
  <c r="X205" i="14" s="1"/>
  <c r="N236" i="14"/>
  <c r="X236" i="14" s="1"/>
  <c r="N969" i="14"/>
  <c r="X969" i="14" s="1"/>
  <c r="N203" i="14"/>
  <c r="X203" i="14" s="1"/>
  <c r="N414" i="14"/>
  <c r="X414" i="14" s="1"/>
  <c r="N595" i="14"/>
  <c r="X595" i="14" s="1"/>
  <c r="N606" i="14"/>
  <c r="X606" i="14" s="1"/>
  <c r="N187" i="14"/>
  <c r="X187" i="14" s="1"/>
  <c r="N646" i="14"/>
  <c r="X646" i="14" s="1"/>
  <c r="N963" i="14"/>
  <c r="X963" i="14" s="1"/>
  <c r="N1121" i="14"/>
  <c r="X1121" i="14" s="1"/>
  <c r="N955" i="14"/>
  <c r="X955" i="14" s="1"/>
  <c r="N564" i="14"/>
  <c r="X564" i="14" s="1"/>
  <c r="N531" i="14"/>
  <c r="X531" i="14" s="1"/>
  <c r="N1173" i="14"/>
  <c r="X1173" i="14" s="1"/>
  <c r="N1122" i="14"/>
  <c r="X1122" i="14" s="1"/>
  <c r="N841" i="14"/>
  <c r="X841" i="14" s="1"/>
  <c r="N117" i="14"/>
  <c r="X117" i="14" s="1"/>
  <c r="N992" i="14"/>
  <c r="X992" i="14" s="1"/>
  <c r="N1110" i="14"/>
  <c r="X1110" i="14" s="1"/>
  <c r="N88" i="14"/>
  <c r="X88" i="14" s="1"/>
  <c r="N207" i="14"/>
  <c r="X207" i="14" s="1"/>
  <c r="N567" i="14"/>
  <c r="X567" i="14" s="1"/>
  <c r="N14" i="14"/>
  <c r="X14" i="14" s="1"/>
  <c r="N1032" i="14"/>
  <c r="X1032" i="14" s="1"/>
  <c r="N102" i="14"/>
  <c r="X102" i="14" s="1"/>
  <c r="N438" i="14"/>
  <c r="X438" i="14" s="1"/>
  <c r="N772" i="14"/>
  <c r="X772" i="14" s="1"/>
  <c r="N1071" i="14"/>
  <c r="X1071" i="14" s="1"/>
  <c r="N253" i="14"/>
  <c r="X253" i="14" s="1"/>
  <c r="N175" i="14"/>
  <c r="X175" i="14" s="1"/>
  <c r="N53" i="14"/>
  <c r="X53" i="14" s="1"/>
  <c r="N743" i="14"/>
  <c r="X743" i="14" s="1"/>
  <c r="N804" i="14"/>
  <c r="X804" i="14" s="1"/>
  <c r="N185" i="14"/>
  <c r="X185" i="14" s="1"/>
  <c r="N464" i="14"/>
  <c r="X464" i="14" s="1"/>
  <c r="N457" i="14"/>
  <c r="X457" i="14" s="1"/>
  <c r="N624" i="14"/>
  <c r="X624" i="14" s="1"/>
  <c r="N589" i="14"/>
  <c r="X589" i="14" s="1"/>
  <c r="N614" i="14"/>
  <c r="X614" i="14" s="1"/>
  <c r="N301" i="14"/>
  <c r="X301" i="14" s="1"/>
  <c r="N33" i="14"/>
  <c r="X33" i="14" s="1"/>
  <c r="N256" i="14"/>
  <c r="X256" i="14" s="1"/>
  <c r="N723" i="14"/>
  <c r="X723" i="14" s="1"/>
  <c r="N1031" i="14"/>
  <c r="X1031" i="14" s="1"/>
  <c r="N627" i="14"/>
  <c r="X627" i="14" s="1"/>
  <c r="N1021" i="14"/>
  <c r="X1021" i="14" s="1"/>
  <c r="N552" i="14"/>
  <c r="X552" i="14" s="1"/>
  <c r="N557" i="14"/>
  <c r="X557" i="14" s="1"/>
  <c r="N735" i="14"/>
  <c r="X735" i="14" s="1"/>
  <c r="N598" i="14"/>
  <c r="X598" i="14" s="1"/>
  <c r="N191" i="14"/>
  <c r="X191" i="14" s="1"/>
  <c r="N476" i="14"/>
  <c r="X476" i="14" s="1"/>
  <c r="N143" i="14"/>
  <c r="X143" i="14" s="1"/>
  <c r="N159" i="14"/>
  <c r="X159" i="14" s="1"/>
  <c r="N319" i="14"/>
  <c r="X319" i="14" s="1"/>
  <c r="N208" i="14"/>
  <c r="X208" i="14" s="1"/>
  <c r="N855" i="14"/>
  <c r="X855" i="14" s="1"/>
  <c r="N842" i="14"/>
  <c r="X842" i="14" s="1"/>
  <c r="N974" i="14"/>
  <c r="X974" i="14" s="1"/>
  <c r="N220" i="14"/>
  <c r="X220" i="14" s="1"/>
  <c r="N668" i="14"/>
  <c r="X668" i="14" s="1"/>
  <c r="N393" i="14"/>
  <c r="X393" i="14" s="1"/>
  <c r="N754" i="14"/>
  <c r="X754" i="14" s="1"/>
  <c r="N491" i="14"/>
  <c r="X491" i="14" s="1"/>
  <c r="N418" i="14"/>
  <c r="X418" i="14" s="1"/>
  <c r="N423" i="14"/>
  <c r="X423" i="14" s="1"/>
  <c r="N135" i="14"/>
  <c r="X135" i="14" s="1"/>
  <c r="N375" i="14"/>
  <c r="X375" i="14" s="1"/>
  <c r="N1124" i="14"/>
  <c r="X1124" i="14" s="1"/>
  <c r="N657" i="14"/>
  <c r="X657" i="14" s="1"/>
  <c r="N948" i="14"/>
  <c r="X948" i="14" s="1"/>
  <c r="N711" i="14"/>
  <c r="X711" i="14" s="1"/>
  <c r="N225" i="14"/>
  <c r="X225" i="14" s="1"/>
  <c r="N50" i="14"/>
  <c r="X50" i="14" s="1"/>
  <c r="N32" i="14"/>
  <c r="X32" i="14" s="1"/>
  <c r="N1029" i="14"/>
  <c r="X1029" i="14" s="1"/>
  <c r="N120" i="14"/>
  <c r="X120" i="14" s="1"/>
  <c r="N18" i="14"/>
  <c r="X18" i="14" s="1"/>
  <c r="N3" i="14"/>
  <c r="X3" i="14" s="1"/>
  <c r="N76" i="14"/>
  <c r="X76" i="14" s="1"/>
  <c r="N1069" i="14"/>
  <c r="X1069" i="14" s="1"/>
  <c r="N248" i="14"/>
  <c r="X248" i="14" s="1"/>
  <c r="N833" i="14"/>
  <c r="X833" i="14" s="1"/>
  <c r="N930" i="14"/>
  <c r="X930" i="14" s="1"/>
  <c r="N165" i="14"/>
  <c r="X165" i="14" s="1"/>
  <c r="N824" i="14"/>
  <c r="X824" i="14" s="1"/>
  <c r="N854" i="14"/>
  <c r="X854" i="14" s="1"/>
  <c r="N852" i="14"/>
  <c r="X852" i="14" s="1"/>
  <c r="N601" i="14"/>
  <c r="X601" i="14" s="1"/>
  <c r="N654" i="14"/>
  <c r="X654" i="14" s="1"/>
  <c r="N167" i="14"/>
  <c r="X167" i="14" s="1"/>
  <c r="N496" i="14"/>
  <c r="X496" i="14" s="1"/>
  <c r="N96" i="14"/>
  <c r="X96" i="14" s="1"/>
  <c r="N314" i="14"/>
  <c r="X314" i="14" s="1"/>
  <c r="N228" i="14"/>
  <c r="X228" i="14" s="1"/>
  <c r="N904" i="14"/>
  <c r="X904" i="14" s="1"/>
  <c r="N110" i="14"/>
  <c r="X110" i="14" s="1"/>
  <c r="N26" i="14"/>
  <c r="X26" i="14" s="1"/>
  <c r="N1005" i="14"/>
  <c r="X1005" i="14" s="1"/>
  <c r="N653" i="14"/>
  <c r="X653" i="14" s="1"/>
  <c r="N612" i="14"/>
  <c r="X612" i="14" s="1"/>
  <c r="N506" i="14"/>
  <c r="X506" i="14" s="1"/>
  <c r="N926" i="14"/>
  <c r="X926" i="14" s="1"/>
  <c r="N828" i="14"/>
  <c r="X828" i="14" s="1"/>
  <c r="N350" i="14"/>
  <c r="X350" i="14" s="1"/>
  <c r="N278" i="14"/>
  <c r="X278" i="14" s="1"/>
  <c r="N75" i="14"/>
  <c r="X75" i="14" s="1"/>
  <c r="N422" i="14"/>
  <c r="X422" i="14" s="1"/>
  <c r="N1007" i="14"/>
  <c r="X1007" i="14" s="1"/>
  <c r="N111" i="14"/>
  <c r="X111" i="14" s="1"/>
  <c r="N162" i="14"/>
  <c r="X162" i="14" s="1"/>
  <c r="N381" i="14"/>
  <c r="X381" i="14" s="1"/>
  <c r="N875" i="14"/>
  <c r="X875" i="14" s="1"/>
  <c r="N629" i="14"/>
  <c r="X629" i="14" s="1"/>
  <c r="N770" i="14"/>
  <c r="X770" i="14" s="1"/>
  <c r="N1067" i="14"/>
  <c r="X1067" i="14" s="1"/>
  <c r="N1024" i="14"/>
  <c r="X1024" i="14" s="1"/>
  <c r="N1164" i="14"/>
  <c r="X1164" i="14" s="1"/>
  <c r="N434" i="14"/>
  <c r="X434" i="14" s="1"/>
  <c r="N331" i="14"/>
  <c r="X331" i="14" s="1"/>
  <c r="N171" i="14"/>
  <c r="X171" i="14" s="1"/>
  <c r="N795" i="14"/>
  <c r="X795" i="14" s="1"/>
  <c r="N1076" i="14"/>
  <c r="X1076" i="14" s="1"/>
  <c r="N174" i="14"/>
  <c r="X174" i="14" s="1"/>
  <c r="N279" i="14"/>
  <c r="X279" i="14" s="1"/>
  <c r="N594" i="14"/>
  <c r="X594" i="14" s="1"/>
  <c r="N413" i="14"/>
  <c r="X413" i="14" s="1"/>
  <c r="N1140" i="14"/>
  <c r="X1140" i="14" s="1"/>
  <c r="N697" i="14"/>
  <c r="X697" i="14" s="1"/>
  <c r="N1134" i="14"/>
  <c r="X1134" i="14" s="1"/>
  <c r="N638" i="14"/>
  <c r="X638" i="14" s="1"/>
  <c r="N300" i="14"/>
  <c r="X300" i="14" s="1"/>
  <c r="N797" i="14"/>
  <c r="X797" i="14" s="1"/>
  <c r="N977" i="14"/>
  <c r="X977" i="14" s="1"/>
  <c r="N831" i="14"/>
  <c r="X831" i="14" s="1"/>
  <c r="N1111" i="14"/>
  <c r="X1111" i="14" s="1"/>
  <c r="N643" i="14"/>
  <c r="X643" i="14" s="1"/>
  <c r="N700" i="14"/>
  <c r="X700" i="14" s="1"/>
  <c r="N714" i="14"/>
  <c r="X714" i="14" s="1"/>
  <c r="N343" i="14"/>
  <c r="X343" i="14" s="1"/>
  <c r="N395" i="14"/>
  <c r="X395" i="14" s="1"/>
  <c r="N936" i="14"/>
  <c r="X936" i="14" s="1"/>
  <c r="N344" i="14"/>
  <c r="X344" i="14" s="1"/>
  <c r="N444" i="14"/>
  <c r="X444" i="14" s="1"/>
  <c r="N757" i="14"/>
  <c r="X757" i="14" s="1"/>
  <c r="N368" i="14"/>
  <c r="X368" i="14" s="1"/>
  <c r="N212" i="14"/>
  <c r="X212" i="14" s="1"/>
  <c r="N209" i="14"/>
  <c r="X209" i="14" s="1"/>
  <c r="N788" i="14"/>
  <c r="X788" i="14" s="1"/>
  <c r="N914" i="14"/>
  <c r="X914" i="14" s="1"/>
  <c r="N82" i="14"/>
  <c r="X82" i="14" s="1"/>
  <c r="N160" i="14"/>
  <c r="X160" i="14" s="1"/>
  <c r="N931" i="14"/>
  <c r="X931" i="14" s="1"/>
  <c r="N459" i="14"/>
  <c r="X459" i="14" s="1"/>
  <c r="N122" i="14"/>
  <c r="X122" i="14" s="1"/>
  <c r="N979" i="14"/>
  <c r="X979" i="14" s="1"/>
  <c r="N805" i="14"/>
  <c r="X805" i="14" s="1"/>
  <c r="N173" i="14"/>
  <c r="X173" i="14" s="1"/>
  <c r="N480" i="14"/>
  <c r="X480" i="14" s="1"/>
  <c r="N113" i="14"/>
  <c r="X113" i="14" s="1"/>
  <c r="N322" i="14"/>
  <c r="X322" i="14" s="1"/>
  <c r="N382" i="14"/>
  <c r="X382" i="14" s="1"/>
  <c r="N398" i="14"/>
  <c r="X398" i="14" s="1"/>
  <c r="N1144" i="14"/>
  <c r="X1144" i="14" s="1"/>
  <c r="N309" i="14"/>
  <c r="X309" i="14" s="1"/>
  <c r="N371" i="14"/>
  <c r="X371" i="14" s="1"/>
  <c r="N204" i="14"/>
  <c r="X204" i="14" s="1"/>
  <c r="N911" i="14"/>
  <c r="X911" i="14" s="1"/>
  <c r="N860" i="14"/>
  <c r="X860" i="14" s="1"/>
  <c r="N1141" i="14"/>
  <c r="X1141" i="14" s="1"/>
  <c r="N807" i="14"/>
  <c r="X807" i="14" s="1"/>
  <c r="N1093" i="14"/>
  <c r="X1093" i="14" s="1"/>
  <c r="N968" i="14"/>
  <c r="X968" i="14" s="1"/>
  <c r="N255" i="14"/>
  <c r="X255" i="14" s="1"/>
  <c r="N326" i="14"/>
  <c r="X326" i="14" s="1"/>
  <c r="N346" i="14"/>
  <c r="X346" i="14" s="1"/>
  <c r="N1095" i="14"/>
  <c r="X1095" i="14" s="1"/>
  <c r="N784" i="14"/>
  <c r="X784" i="14" s="1"/>
  <c r="N587" i="14"/>
  <c r="X587" i="14" s="1"/>
  <c r="N66" i="14"/>
  <c r="X66" i="14" s="1"/>
  <c r="N132" i="14"/>
  <c r="X132" i="14" s="1"/>
  <c r="N580" i="14"/>
  <c r="X580" i="14" s="1"/>
  <c r="N148" i="14"/>
  <c r="X148" i="14" s="1"/>
  <c r="N610" i="14"/>
  <c r="X610" i="14" s="1"/>
  <c r="N19" i="14"/>
  <c r="X19" i="14" s="1"/>
  <c r="N163" i="14"/>
  <c r="X163" i="14" s="1"/>
  <c r="N990" i="14"/>
  <c r="X990" i="14" s="1"/>
  <c r="N306" i="14"/>
  <c r="X306" i="14" s="1"/>
  <c r="N399" i="14"/>
  <c r="X399" i="14" s="1"/>
  <c r="N849" i="14"/>
  <c r="X849" i="14" s="1"/>
  <c r="N62" i="14"/>
  <c r="X62" i="14" s="1"/>
  <c r="N52" i="14"/>
  <c r="X52" i="14" s="1"/>
  <c r="N762" i="14"/>
  <c r="X762" i="14" s="1"/>
  <c r="N317" i="14"/>
  <c r="X317" i="14" s="1"/>
  <c r="N114" i="14"/>
  <c r="X114" i="14" s="1"/>
  <c r="N246" i="14"/>
  <c r="X246" i="14" s="1"/>
  <c r="N20" i="14"/>
  <c r="X20" i="14" s="1"/>
  <c r="N365" i="14"/>
  <c r="X365" i="14" s="1"/>
  <c r="N672" i="14"/>
  <c r="X672" i="14" s="1"/>
  <c r="N261" i="14"/>
  <c r="X261" i="14" s="1"/>
  <c r="N1142" i="14"/>
  <c r="X1142" i="14" s="1"/>
  <c r="N435" i="14"/>
  <c r="X435" i="14" s="1"/>
  <c r="N961" i="14"/>
  <c r="X961" i="14" s="1"/>
  <c r="N514" i="14"/>
  <c r="X514" i="14" s="1"/>
  <c r="N1081" i="14"/>
  <c r="X1081" i="14" s="1"/>
  <c r="N548" i="14"/>
  <c r="X548" i="14" s="1"/>
  <c r="N636" i="14"/>
  <c r="X636" i="14" s="1"/>
  <c r="N57" i="14"/>
  <c r="X57" i="14" s="1"/>
  <c r="N1073" i="14"/>
  <c r="X1073" i="14" s="1"/>
  <c r="N369" i="14"/>
  <c r="X369" i="14" s="1"/>
  <c r="N819" i="14"/>
  <c r="X819" i="14" s="1"/>
  <c r="N1132" i="14"/>
  <c r="X1132" i="14" s="1"/>
  <c r="N1190" i="14"/>
  <c r="X1190" i="14" s="1"/>
  <c r="N896" i="14"/>
  <c r="X896" i="14" s="1"/>
  <c r="N822" i="14"/>
  <c r="X822" i="14" s="1"/>
  <c r="N267" i="14"/>
  <c r="X267" i="14" s="1"/>
  <c r="N918" i="14"/>
  <c r="X918" i="14" s="1"/>
  <c r="N1176" i="14"/>
  <c r="X1176" i="14" s="1"/>
  <c r="N494" i="14"/>
  <c r="X494" i="14" s="1"/>
  <c r="N338" i="14"/>
  <c r="X338" i="14" s="1"/>
  <c r="N669" i="14"/>
  <c r="X669" i="14" s="1"/>
  <c r="N1006" i="14"/>
  <c r="X1006" i="14" s="1"/>
  <c r="N54" i="14"/>
  <c r="X54" i="14" s="1"/>
  <c r="N764" i="14"/>
  <c r="X764" i="14" s="1"/>
  <c r="N269" i="14"/>
  <c r="X269" i="14" s="1"/>
  <c r="N429" i="14"/>
  <c r="X429" i="14" s="1"/>
  <c r="N721" i="14"/>
  <c r="X721" i="14" s="1"/>
  <c r="N101" i="14"/>
  <c r="X101" i="14" s="1"/>
  <c r="N933" i="14"/>
  <c r="X933" i="14" s="1"/>
  <c r="N103" i="14"/>
  <c r="X103" i="14" s="1"/>
  <c r="N51" i="14"/>
  <c r="X51" i="14" s="1"/>
  <c r="N997" i="14"/>
  <c r="X997" i="14" s="1"/>
  <c r="N605" i="14"/>
  <c r="X605" i="14" s="1"/>
  <c r="N1137" i="14"/>
  <c r="X1137" i="14" s="1"/>
  <c r="N1037" i="14"/>
  <c r="X1037" i="14" s="1"/>
  <c r="N787" i="14"/>
  <c r="X787" i="14" s="1"/>
  <c r="N92" i="14"/>
  <c r="X92" i="14" s="1"/>
  <c r="N240" i="14"/>
  <c r="X240" i="14" s="1"/>
  <c r="N987" i="14"/>
  <c r="X987" i="14" s="1"/>
  <c r="N330" i="14"/>
  <c r="X330" i="14" s="1"/>
  <c r="N783" i="14"/>
  <c r="X783" i="14" s="1"/>
  <c r="N1068" i="14"/>
  <c r="X1068" i="14" s="1"/>
  <c r="N722" i="14"/>
  <c r="X722" i="14" s="1"/>
  <c r="N741" i="14"/>
  <c r="X741" i="14" s="1"/>
  <c r="N451" i="14"/>
  <c r="X451" i="14" s="1"/>
  <c r="N357" i="14"/>
  <c r="X357" i="14" s="1"/>
  <c r="N477" i="14"/>
  <c r="X477" i="14" s="1"/>
  <c r="N642" i="14"/>
  <c r="X642" i="14" s="1"/>
  <c r="N1084" i="14"/>
  <c r="X1084" i="14" s="1"/>
  <c r="N280" i="14"/>
  <c r="X280" i="14" s="1"/>
  <c r="N376" i="14"/>
  <c r="X376" i="14" s="1"/>
  <c r="N264" i="14"/>
  <c r="X264" i="14" s="1"/>
  <c r="N766" i="14"/>
  <c r="X766" i="14" s="1"/>
  <c r="N327" i="14"/>
  <c r="X327" i="14" s="1"/>
  <c r="N910" i="14"/>
  <c r="X910" i="14" s="1"/>
  <c r="N312" i="14"/>
  <c r="X312" i="14" s="1"/>
  <c r="N678" i="14"/>
  <c r="X678" i="14" s="1"/>
  <c r="N959" i="14"/>
  <c r="X959" i="14" s="1"/>
  <c r="N471" i="14"/>
  <c r="X471" i="14" s="1"/>
  <c r="N370" i="14"/>
  <c r="X370" i="14" s="1"/>
  <c r="N446" i="14"/>
  <c r="X446" i="14" s="1"/>
  <c r="N467" i="14"/>
  <c r="X467" i="14" s="1"/>
  <c r="N95" i="14"/>
  <c r="X95" i="14" s="1"/>
  <c r="N984" i="14"/>
  <c r="X984" i="14" s="1"/>
  <c r="N980" i="14"/>
  <c r="X980" i="14" s="1"/>
  <c r="N387" i="14"/>
  <c r="X387" i="14" s="1"/>
  <c r="N115" i="14"/>
  <c r="X115" i="14" s="1"/>
  <c r="N487" i="14"/>
  <c r="X487" i="14" s="1"/>
  <c r="N283" i="14"/>
  <c r="X283" i="14" s="1"/>
  <c r="N609" i="14"/>
  <c r="X609" i="14" s="1"/>
  <c r="N880" i="14"/>
  <c r="X880" i="14" s="1"/>
  <c r="N361" i="14"/>
  <c r="X361" i="14" s="1"/>
  <c r="N690" i="14"/>
  <c r="X690" i="14" s="1"/>
  <c r="N637" i="14"/>
  <c r="X637" i="14" s="1"/>
  <c r="N848" i="14"/>
  <c r="X848" i="14" s="1"/>
  <c r="N1040" i="14"/>
  <c r="X1040" i="14" s="1"/>
  <c r="N999" i="14"/>
  <c r="X999" i="14" s="1"/>
  <c r="N1035" i="14"/>
  <c r="X1035" i="14" s="1"/>
  <c r="N447" i="14"/>
  <c r="X447" i="14" s="1"/>
  <c r="N663" i="14"/>
  <c r="X663" i="14" s="1"/>
  <c r="N440" i="14"/>
  <c r="X440" i="14" s="1"/>
  <c r="N297" i="14"/>
  <c r="X297" i="14" s="1"/>
  <c r="N64" i="14"/>
  <c r="X64" i="14" s="1"/>
  <c r="N1178" i="14"/>
  <c r="X1178" i="14" s="1"/>
  <c r="N465" i="14"/>
  <c r="X465" i="14" s="1"/>
  <c r="N1107" i="14"/>
  <c r="X1107" i="14" s="1"/>
  <c r="N554" i="14"/>
  <c r="X554" i="14" s="1"/>
  <c r="N1165" i="14"/>
  <c r="X1165" i="14" s="1"/>
  <c r="N1118" i="14"/>
  <c r="X1118" i="14" s="1"/>
  <c r="N1108" i="14"/>
  <c r="X1108" i="14" s="1"/>
  <c r="N891" i="14"/>
  <c r="X891" i="14" s="1"/>
  <c r="N285" i="14"/>
  <c r="X285" i="14" s="1"/>
  <c r="N1123" i="14"/>
  <c r="X1123" i="14" s="1"/>
  <c r="N1163" i="14"/>
  <c r="X1163" i="14" s="1"/>
  <c r="N973" i="14"/>
  <c r="X973" i="14" s="1"/>
  <c r="N655" i="14"/>
  <c r="X655" i="14" s="1"/>
  <c r="N820" i="14"/>
  <c r="X820" i="14" s="1"/>
  <c r="N483" i="14"/>
  <c r="X483" i="14" s="1"/>
  <c r="N1075" i="14"/>
  <c r="X1075" i="14" s="1"/>
  <c r="N623" i="14"/>
  <c r="X623" i="14" s="1"/>
  <c r="N224" i="14"/>
  <c r="X224" i="14" s="1"/>
  <c r="N200" i="14"/>
  <c r="X200" i="14" s="1"/>
  <c r="N755" i="14"/>
  <c r="X755" i="14" s="1"/>
  <c r="N16" i="14"/>
  <c r="X16" i="14" s="1"/>
  <c r="N577" i="14"/>
  <c r="X577" i="14" s="1"/>
  <c r="N811" i="14"/>
  <c r="X811" i="14" s="1"/>
  <c r="N155" i="14"/>
  <c r="X155" i="14" s="1"/>
  <c r="N80" i="14"/>
  <c r="X80" i="14" s="1"/>
  <c r="N250" i="14"/>
  <c r="X250" i="14" s="1"/>
  <c r="N702" i="14"/>
  <c r="X702" i="14" s="1"/>
  <c r="N119" i="14"/>
  <c r="X119" i="14" s="1"/>
  <c r="N1146" i="14"/>
  <c r="X1146" i="14" s="1"/>
  <c r="N791" i="14"/>
  <c r="X791" i="14" s="1"/>
  <c r="N858" i="14"/>
  <c r="X858" i="14" s="1"/>
  <c r="N597" i="14"/>
  <c r="X597" i="14" s="1"/>
  <c r="N703" i="14"/>
  <c r="X703" i="14" s="1"/>
  <c r="N37" i="14"/>
  <c r="X37" i="14" s="1"/>
  <c r="N670" i="14"/>
  <c r="X670" i="14" s="1"/>
  <c r="N522" i="14"/>
  <c r="X522" i="14" s="1"/>
  <c r="N733" i="14"/>
  <c r="X733" i="14" s="1"/>
  <c r="N837" i="14"/>
  <c r="X837" i="14" s="1"/>
  <c r="N604" i="14"/>
  <c r="X604" i="14" s="1"/>
  <c r="N810" i="14"/>
  <c r="X810" i="14" s="1"/>
  <c r="N544" i="14"/>
  <c r="X544" i="14" s="1"/>
  <c r="N693" i="14"/>
  <c r="X693" i="14" s="1"/>
  <c r="N683" i="14"/>
  <c r="X683" i="14" s="1"/>
  <c r="N291" i="14"/>
  <c r="X291" i="14" s="1"/>
  <c r="N652" i="14"/>
  <c r="X652" i="14" s="1"/>
  <c r="N432" i="14"/>
  <c r="X432" i="14" s="1"/>
  <c r="N1001" i="14"/>
  <c r="X1001" i="14" s="1"/>
  <c r="N740" i="14"/>
  <c r="X740" i="14" s="1"/>
  <c r="N45" i="14"/>
  <c r="X45" i="14" s="1"/>
  <c r="N1182" i="14"/>
  <c r="X1182" i="14" s="1"/>
  <c r="N1113" i="14"/>
  <c r="X1113" i="14" s="1"/>
  <c r="N732" i="14"/>
  <c r="X732" i="14" s="1"/>
  <c r="N340" i="14"/>
  <c r="X340" i="14" s="1"/>
  <c r="N1082" i="14"/>
  <c r="X1082" i="14" s="1"/>
  <c r="N639" i="14"/>
  <c r="X639" i="14" s="1"/>
  <c r="N1046" i="14"/>
  <c r="X1046" i="14" s="1"/>
  <c r="N718" i="14"/>
  <c r="X718" i="14" s="1"/>
  <c r="N323" i="14"/>
  <c r="X323" i="14" s="1"/>
  <c r="N785" i="14"/>
  <c r="X785" i="14" s="1"/>
  <c r="N1043" i="14"/>
  <c r="X1043" i="14" s="1"/>
  <c r="N105" i="14"/>
  <c r="X105" i="14" s="1"/>
  <c r="N223" i="14"/>
  <c r="X223" i="14" s="1"/>
  <c r="N529" i="14"/>
  <c r="X529" i="14" s="1"/>
  <c r="N704" i="14"/>
  <c r="X704" i="14" s="1"/>
  <c r="N1016" i="14"/>
  <c r="X1016" i="14" s="1"/>
  <c r="N221" i="14"/>
  <c r="X221" i="14" s="1"/>
  <c r="N798" i="14"/>
  <c r="X798" i="14" s="1"/>
  <c r="N460" i="14"/>
  <c r="X460" i="14" s="1"/>
  <c r="N780" i="14"/>
  <c r="X780" i="14" s="1"/>
  <c r="N484" i="14"/>
  <c r="X484" i="14" s="1"/>
  <c r="N91" i="14"/>
  <c r="X91" i="14" s="1"/>
  <c r="N139" i="14"/>
  <c r="X139" i="14" s="1"/>
  <c r="N1201" i="14"/>
  <c r="X1201" i="14" s="1"/>
  <c r="N281" i="14"/>
  <c r="X281" i="14" s="1"/>
  <c r="N898" i="14"/>
  <c r="X898" i="14" s="1"/>
  <c r="N116" i="14"/>
  <c r="X116" i="14" s="1"/>
  <c r="N542" i="14"/>
  <c r="X542" i="14" s="1"/>
  <c r="N1042" i="14"/>
  <c r="X1042" i="14" s="1"/>
  <c r="N299" i="14"/>
  <c r="X299" i="14" s="1"/>
  <c r="N658" i="14"/>
  <c r="X658" i="14" s="1"/>
  <c r="N865" i="14"/>
  <c r="X865" i="14" s="1"/>
  <c r="N42" i="14"/>
  <c r="X42" i="14" s="1"/>
  <c r="N1197" i="14"/>
  <c r="X1197" i="14" s="1"/>
  <c r="N458" i="14"/>
  <c r="X458" i="14" s="1"/>
  <c r="N591" i="14"/>
  <c r="X591" i="14" s="1"/>
  <c r="N15" i="14"/>
  <c r="X15" i="14" s="1"/>
  <c r="N618" i="14"/>
  <c r="X618" i="14" s="1"/>
  <c r="N86" i="14"/>
  <c r="X86" i="14" s="1"/>
  <c r="N373" i="14"/>
  <c r="X373" i="14" s="1"/>
  <c r="N1089" i="14"/>
  <c r="X1089" i="14" s="1"/>
  <c r="N746" i="14"/>
  <c r="X746" i="14" s="1"/>
  <c r="N27" i="14"/>
  <c r="X27" i="14" s="1"/>
  <c r="N233" i="14"/>
  <c r="X233" i="14" s="1"/>
  <c r="N572" i="14"/>
  <c r="X572" i="14" s="1"/>
  <c r="N65" i="14"/>
  <c r="X65" i="14" s="1"/>
  <c r="N960" i="14"/>
  <c r="X960" i="14" s="1"/>
  <c r="N1117" i="14"/>
  <c r="X1117" i="14" s="1"/>
  <c r="N1198" i="14"/>
  <c r="X1198" i="14" s="1"/>
  <c r="N1054" i="14"/>
  <c r="X1054" i="14" s="1"/>
  <c r="N265" i="14"/>
  <c r="X265" i="14" s="1"/>
  <c r="N133" i="14"/>
  <c r="X133" i="14" s="1"/>
  <c r="N1152" i="14"/>
  <c r="X1152" i="14" s="1"/>
  <c r="N796" i="14"/>
  <c r="X796" i="14" s="1"/>
  <c r="N36" i="14"/>
  <c r="X36" i="14" s="1"/>
  <c r="N874" i="14"/>
  <c r="X874" i="14" s="1"/>
  <c r="N1044" i="14"/>
  <c r="X1044" i="14" s="1"/>
  <c r="N100" i="14"/>
  <c r="X100" i="14" s="1"/>
  <c r="N532" i="14"/>
  <c r="X532" i="14" s="1"/>
  <c r="N374" i="14"/>
  <c r="X374" i="14" s="1"/>
  <c r="N468" i="14"/>
  <c r="X468" i="14" s="1"/>
  <c r="N768" i="14"/>
  <c r="X768" i="14" s="1"/>
  <c r="N482" i="14"/>
  <c r="X482" i="14" s="1"/>
  <c r="N58" i="14"/>
  <c r="X58" i="14" s="1"/>
  <c r="N325" i="14"/>
  <c r="X325" i="14" s="1"/>
  <c r="N511" i="14"/>
  <c r="X511" i="14" s="1"/>
  <c r="N359" i="14"/>
  <c r="X359" i="14" s="1"/>
  <c r="N547" i="14"/>
  <c r="X547" i="14" s="1"/>
  <c r="N541" i="14"/>
  <c r="X541" i="14" s="1"/>
  <c r="N39" i="14"/>
  <c r="X39" i="14" s="1"/>
  <c r="N971" i="14"/>
  <c r="X971" i="14" s="1"/>
  <c r="N1199" i="14"/>
  <c r="X1199" i="14" s="1"/>
  <c r="N318" i="14"/>
  <c r="X318" i="14" s="1"/>
  <c r="N216" i="14"/>
  <c r="X216" i="14" s="1"/>
  <c r="N625" i="14"/>
  <c r="X625" i="14" s="1"/>
  <c r="N1130" i="14"/>
  <c r="X1130" i="14" s="1"/>
  <c r="N1025" i="14"/>
  <c r="X1025" i="14" s="1"/>
  <c r="N921" i="14"/>
  <c r="X921" i="14" s="1"/>
  <c r="N844" i="14"/>
  <c r="X844" i="14" s="1"/>
  <c r="N1181" i="14"/>
  <c r="X1181" i="14" s="1"/>
  <c r="N586" i="14"/>
  <c r="X586" i="14" s="1"/>
  <c r="N825" i="14"/>
  <c r="X825" i="14" s="1"/>
  <c r="N528" i="14"/>
  <c r="X528" i="14" s="1"/>
  <c r="N1063" i="14"/>
  <c r="X1063" i="14" s="1"/>
  <c r="N489" i="14"/>
  <c r="X489" i="14" s="1"/>
  <c r="N538" i="14"/>
  <c r="X538" i="14" s="1"/>
  <c r="N289" i="14"/>
  <c r="X289" i="14" s="1"/>
  <c r="N1100" i="14"/>
  <c r="X1100" i="14" s="1"/>
  <c r="N533" i="14"/>
  <c r="X533" i="14" s="1"/>
  <c r="N218" i="14"/>
  <c r="X218" i="14" s="1"/>
  <c r="N363" i="14"/>
  <c r="X363" i="14" s="1"/>
  <c r="N790" i="14"/>
  <c r="X790" i="14" s="1"/>
  <c r="N870" i="14"/>
  <c r="X870" i="14" s="1"/>
  <c r="N231" i="14"/>
  <c r="X231" i="14" s="1"/>
  <c r="N866" i="14"/>
  <c r="X866" i="14" s="1"/>
  <c r="N31" i="14"/>
  <c r="X31" i="14" s="1"/>
  <c r="N786" i="14"/>
  <c r="X786" i="14" s="1"/>
  <c r="N396" i="14"/>
  <c r="X396" i="14" s="1"/>
  <c r="N333" i="14"/>
  <c r="X333" i="14" s="1"/>
  <c r="N1125" i="14"/>
  <c r="X1125" i="14" s="1"/>
  <c r="N989" i="14"/>
  <c r="X989" i="14" s="1"/>
  <c r="N63" i="14"/>
  <c r="X63" i="14" s="1"/>
  <c r="N608" i="14"/>
  <c r="X608" i="14" s="1"/>
  <c r="N277" i="14"/>
  <c r="X277" i="14" s="1"/>
  <c r="N726" i="14"/>
  <c r="X726" i="14" s="1"/>
  <c r="N8" i="14"/>
  <c r="X8" i="14" s="1"/>
  <c r="N645" i="14"/>
  <c r="X645" i="14" s="1"/>
  <c r="N1090" i="14"/>
  <c r="X1090" i="14" s="1"/>
  <c r="N903" i="14"/>
  <c r="X903" i="14" s="1"/>
  <c r="N953" i="14"/>
  <c r="X953" i="14" s="1"/>
  <c r="N403" i="14"/>
  <c r="X403" i="14" s="1"/>
  <c r="N488" i="14"/>
  <c r="X488" i="14" s="1"/>
  <c r="N574" i="14"/>
  <c r="X574" i="14" s="1"/>
  <c r="N316" i="14"/>
  <c r="X316" i="14" s="1"/>
  <c r="N131" i="14"/>
  <c r="X131" i="14" s="1"/>
  <c r="N869" i="14"/>
  <c r="X869" i="14" s="1"/>
  <c r="N775" i="14"/>
  <c r="X775" i="14" s="1"/>
  <c r="N818" i="14"/>
  <c r="X818" i="14" s="1"/>
  <c r="N474" i="14"/>
  <c r="X474" i="14" s="1"/>
  <c r="N518" i="14"/>
  <c r="X518" i="14" s="1"/>
  <c r="N808" i="14"/>
  <c r="X808" i="14" s="1"/>
  <c r="N93" i="14"/>
  <c r="X93" i="14" s="1"/>
  <c r="N448" i="14"/>
  <c r="X448" i="14" s="1"/>
  <c r="N498" i="14"/>
  <c r="X498" i="14" s="1"/>
  <c r="N1189" i="14"/>
  <c r="X1189" i="14" s="1"/>
  <c r="N1104" i="14"/>
  <c r="X1104" i="14" s="1"/>
  <c r="N744" i="14"/>
  <c r="X744" i="14" s="1"/>
  <c r="N773" i="14"/>
  <c r="X773" i="14" s="1"/>
  <c r="N296" i="14"/>
  <c r="X296" i="14" s="1"/>
  <c r="N215" i="14"/>
  <c r="X215" i="14" s="1"/>
  <c r="N569" i="14"/>
  <c r="X569" i="14" s="1"/>
  <c r="N188" i="14"/>
  <c r="X188" i="14" s="1"/>
  <c r="N308" i="14"/>
  <c r="X308" i="14" s="1"/>
  <c r="N972" i="14"/>
  <c r="X972" i="14" s="1"/>
  <c r="N156" i="14"/>
  <c r="X156" i="14" s="1"/>
  <c r="N749" i="14"/>
  <c r="X749" i="14" s="1"/>
  <c r="N424" i="14"/>
  <c r="X424" i="14" s="1"/>
  <c r="N242" i="14"/>
  <c r="X242" i="14" s="1"/>
  <c r="N1114" i="14"/>
  <c r="X1114" i="14" s="1"/>
  <c r="N302" i="14"/>
  <c r="X302" i="14" s="1"/>
  <c r="N1109" i="14"/>
  <c r="X1109" i="14" s="1"/>
  <c r="N238" i="14"/>
  <c r="X238" i="14" s="1"/>
  <c r="N908" i="14"/>
  <c r="X908" i="14" s="1"/>
  <c r="N662" i="14"/>
  <c r="X662" i="14" s="1"/>
  <c r="N282" i="14"/>
  <c r="X282" i="14" s="1"/>
  <c r="N717" i="14"/>
  <c r="X717" i="14" s="1"/>
  <c r="N878" i="14"/>
  <c r="X878" i="14" s="1"/>
  <c r="N769" i="14"/>
  <c r="X769" i="14" s="1"/>
  <c r="N324" i="14"/>
  <c r="X324" i="14" s="1"/>
  <c r="N877" i="14"/>
  <c r="X877" i="14" s="1"/>
  <c r="N146" i="14"/>
  <c r="X146" i="14" s="1"/>
  <c r="N509" i="14"/>
  <c r="X509" i="14" s="1"/>
  <c r="N720" i="14"/>
  <c r="X720" i="14" s="1"/>
  <c r="N521" i="14"/>
  <c r="X521" i="14" s="1"/>
  <c r="N144" i="14"/>
  <c r="X144" i="14" s="1"/>
  <c r="N970" i="14"/>
  <c r="X970" i="14" s="1"/>
  <c r="N292" i="14"/>
  <c r="X292" i="14" s="1"/>
  <c r="N952" i="14"/>
  <c r="X952" i="14" s="1"/>
  <c r="N470" i="14"/>
  <c r="X470" i="14" s="1"/>
  <c r="N59" i="14"/>
  <c r="X59" i="14" s="1"/>
  <c r="N507" i="14"/>
  <c r="X507" i="14" s="1"/>
  <c r="N420" i="14"/>
  <c r="X420" i="14" s="1"/>
  <c r="N840" i="14"/>
  <c r="X840" i="14" s="1"/>
  <c r="N679" i="14"/>
  <c r="X679" i="14" s="1"/>
  <c r="N1010" i="14"/>
  <c r="X1010" i="14" s="1"/>
  <c r="N276" i="14"/>
  <c r="X276" i="14" s="1"/>
  <c r="N241" i="14"/>
  <c r="X241" i="14" s="1"/>
  <c r="N271" i="14"/>
  <c r="X271" i="14" s="1"/>
  <c r="N186" i="14"/>
  <c r="X186" i="14" s="1"/>
  <c r="N1000" i="14"/>
  <c r="X1000" i="14" s="1"/>
  <c r="N758" i="14"/>
  <c r="X758" i="14" s="1"/>
  <c r="N1047" i="14"/>
  <c r="X1047" i="14" s="1"/>
  <c r="N856" i="14"/>
  <c r="X856" i="14" s="1"/>
  <c r="N377" i="14"/>
  <c r="X377" i="14" s="1"/>
  <c r="N87" i="14"/>
  <c r="X87" i="14" s="1"/>
  <c r="N879" i="14"/>
  <c r="X879" i="14" s="1"/>
  <c r="N673" i="14"/>
  <c r="X673" i="14" s="1"/>
  <c r="N1148" i="14"/>
  <c r="X1148" i="14" s="1"/>
  <c r="N995" i="14"/>
  <c r="X995" i="14" s="1"/>
  <c r="N737" i="14"/>
  <c r="X737" i="14" s="1"/>
  <c r="N1045" i="14"/>
  <c r="X1045" i="14" s="1"/>
  <c r="N1019" i="14"/>
  <c r="X1019" i="14" s="1"/>
  <c r="N707" i="14"/>
  <c r="X707" i="14" s="1"/>
  <c r="N675" i="14"/>
  <c r="X675" i="14" s="1"/>
  <c r="N745" i="14"/>
  <c r="X745" i="14" s="1"/>
  <c r="N928" i="14"/>
  <c r="X928" i="14" s="1"/>
  <c r="N665" i="14"/>
  <c r="X665" i="14" s="1"/>
  <c r="N230" i="14"/>
  <c r="X230" i="14" s="1"/>
  <c r="N123" i="14"/>
  <c r="X123" i="14" s="1"/>
  <c r="N1074" i="14"/>
  <c r="X1074" i="14" s="1"/>
  <c r="N600" i="14"/>
  <c r="X600" i="14" s="1"/>
  <c r="N1127" i="14"/>
  <c r="X1127" i="14" s="1"/>
  <c r="N592" i="14"/>
  <c r="X592" i="14" s="1"/>
  <c r="N981" i="14"/>
  <c r="X981" i="14" s="1"/>
  <c r="N466" i="14"/>
  <c r="X466" i="14" s="1"/>
  <c r="N366" i="14"/>
  <c r="X366" i="14" s="1"/>
  <c r="N1155" i="14"/>
  <c r="X1155" i="14" s="1"/>
  <c r="N1186" i="14"/>
  <c r="X1186" i="14" s="1"/>
  <c r="N149" i="14"/>
  <c r="X149" i="14" s="1"/>
  <c r="N136" i="14"/>
  <c r="X136" i="14" s="1"/>
  <c r="N128" i="14"/>
  <c r="X128" i="14" s="1"/>
  <c r="N56" i="14"/>
  <c r="X56" i="14" s="1"/>
  <c r="N534" i="14"/>
  <c r="X534" i="14" s="1"/>
  <c r="N439" i="14"/>
  <c r="X439" i="14" s="1"/>
  <c r="N1180" i="14"/>
  <c r="X1180" i="14" s="1"/>
  <c r="N983" i="14"/>
  <c r="X983" i="14" s="1"/>
  <c r="N562" i="14"/>
  <c r="X562" i="14" s="1"/>
  <c r="N112" i="14"/>
  <c r="X112" i="14" s="1"/>
  <c r="N293" i="14"/>
  <c r="X293" i="14" s="1"/>
  <c r="N585" i="14"/>
  <c r="X585" i="14" s="1"/>
  <c r="N812" i="14"/>
  <c r="X812" i="14" s="1"/>
  <c r="N863" i="14"/>
  <c r="X863" i="14" s="1"/>
  <c r="N1092" i="14"/>
  <c r="X1092" i="14" s="1"/>
  <c r="N1060" i="14"/>
  <c r="X1060" i="14" s="1"/>
  <c r="N11" i="14"/>
  <c r="X11" i="14" s="1"/>
  <c r="N90" i="14"/>
  <c r="X90" i="14" s="1"/>
  <c r="N1057" i="14"/>
  <c r="X1057" i="14" s="1"/>
  <c r="N873" i="14"/>
  <c r="X873" i="14" s="1"/>
  <c r="N1102" i="14"/>
  <c r="X1102" i="14" s="1"/>
  <c r="N172" i="14"/>
  <c r="X172" i="14" s="1"/>
  <c r="N385" i="14"/>
  <c r="X385" i="14" s="1"/>
  <c r="N1143" i="14"/>
  <c r="X1143" i="14" s="1"/>
  <c r="N364" i="14"/>
  <c r="X364" i="14" s="1"/>
  <c r="N388" i="14"/>
  <c r="X388" i="14" s="1"/>
  <c r="N671" i="14"/>
  <c r="X671" i="14" s="1"/>
  <c r="N83" i="14"/>
  <c r="X83" i="14" s="1"/>
  <c r="N661" i="14"/>
  <c r="X661" i="14" s="1"/>
  <c r="N2" i="14"/>
  <c r="X2" i="14" s="1"/>
  <c r="N588" i="14"/>
  <c r="X588" i="14" s="1"/>
  <c r="N1022" i="14"/>
  <c r="X1022" i="14" s="1"/>
  <c r="N211" i="14"/>
  <c r="X211" i="14" s="1"/>
  <c r="N750" i="14"/>
  <c r="X750" i="14" s="1"/>
  <c r="N978" i="14"/>
  <c r="X978" i="14" s="1"/>
  <c r="N659" i="14"/>
  <c r="X659" i="14" s="1"/>
  <c r="N1120" i="14"/>
  <c r="X1120" i="14" s="1"/>
  <c r="N137" i="14"/>
  <c r="X137" i="14" s="1"/>
  <c r="N1106" i="14"/>
  <c r="X1106" i="14" s="1"/>
  <c r="N571" i="14"/>
  <c r="X571" i="14" s="1"/>
  <c r="N558" i="14"/>
  <c r="X558" i="14" s="1"/>
  <c r="N415" i="14"/>
  <c r="X415" i="14" s="1"/>
  <c r="N1150" i="14"/>
  <c r="X1150" i="14" s="1"/>
  <c r="N61" i="14"/>
  <c r="X61" i="14" s="1"/>
  <c r="N222" i="14"/>
  <c r="X222" i="14" s="1"/>
  <c r="N965" i="14"/>
  <c r="X965" i="14" s="1"/>
  <c r="N872" i="14"/>
  <c r="X872" i="14" s="1"/>
  <c r="N181" i="14"/>
  <c r="X181" i="14" s="1"/>
  <c r="N838" i="14"/>
  <c r="X838" i="14" s="1"/>
  <c r="N793" i="14"/>
  <c r="X793" i="14" s="1"/>
  <c r="N60" i="14"/>
  <c r="X60" i="14" s="1"/>
  <c r="N99" i="14"/>
  <c r="X99" i="14" s="1"/>
  <c r="N129" i="14"/>
  <c r="X129" i="14" s="1"/>
  <c r="N742" i="14"/>
  <c r="X742" i="14" s="1"/>
  <c r="N328" i="14"/>
  <c r="X328" i="14" s="1"/>
  <c r="N525" i="14"/>
  <c r="X525" i="14" s="1"/>
  <c r="N127" i="14"/>
  <c r="X127" i="14" s="1"/>
  <c r="N1059" i="14"/>
  <c r="X1059" i="14" s="1"/>
  <c r="N596" i="14"/>
  <c r="X596" i="14" s="1"/>
  <c r="N1004" i="14"/>
  <c r="X1004" i="14" s="1"/>
  <c r="N846" i="14"/>
  <c r="X846" i="14" s="1"/>
  <c r="N892" i="14"/>
  <c r="X892" i="14" s="1"/>
  <c r="N719" i="14"/>
  <c r="X719" i="14" s="1"/>
  <c r="N335" i="14"/>
  <c r="X335" i="14" s="1"/>
  <c r="N1065" i="14"/>
  <c r="X1065" i="14" s="1"/>
  <c r="N1088" i="14"/>
  <c r="X1088" i="14" s="1"/>
  <c r="N579" i="14"/>
  <c r="X579" i="14" s="1"/>
  <c r="N151" i="14"/>
  <c r="X151" i="14" s="1"/>
  <c r="N109" i="14"/>
  <c r="X109" i="14" s="1"/>
  <c r="N809" i="14"/>
  <c r="X809" i="14" s="1"/>
  <c r="N29" i="14"/>
  <c r="X29" i="14" s="1"/>
  <c r="N729" i="14"/>
  <c r="X729" i="14" s="1"/>
  <c r="N495" i="14"/>
  <c r="X495" i="14" s="1"/>
  <c r="N178" i="14"/>
  <c r="X178" i="14" s="1"/>
  <c r="N985" i="14"/>
  <c r="X985" i="14" s="1"/>
  <c r="N108" i="14"/>
  <c r="X108" i="14" s="1"/>
  <c r="N826" i="14"/>
  <c r="X826" i="14" s="1"/>
  <c r="N1079" i="14"/>
  <c r="X1079" i="14" s="1"/>
  <c r="N329" i="14"/>
  <c r="X329" i="14" s="1"/>
  <c r="N806" i="14"/>
  <c r="X806" i="14" s="1"/>
  <c r="N461" i="14"/>
  <c r="X461" i="14" s="1"/>
  <c r="N358" i="14"/>
  <c r="X358" i="14" s="1"/>
  <c r="N753" i="14"/>
  <c r="X753" i="14" s="1"/>
  <c r="N210" i="14"/>
  <c r="X210" i="14" s="1"/>
  <c r="N817" i="14"/>
  <c r="X817" i="14" s="1"/>
  <c r="N462" i="14"/>
  <c r="X462" i="14" s="1"/>
  <c r="N234" i="14"/>
  <c r="X234" i="14" s="1"/>
  <c r="N456" i="14"/>
  <c r="X456" i="14" s="1"/>
  <c r="N967" i="14"/>
  <c r="X967" i="14" s="1"/>
  <c r="N217" i="14"/>
  <c r="X217" i="14" s="1"/>
  <c r="N22" i="14"/>
  <c r="X22" i="14" s="1"/>
  <c r="N607" i="14"/>
  <c r="X607" i="14" s="1"/>
  <c r="N138" i="14"/>
  <c r="X138" i="14" s="1"/>
  <c r="N1055" i="14"/>
  <c r="X1055" i="14" s="1"/>
  <c r="N150" i="14"/>
  <c r="X150" i="14" s="1"/>
  <c r="N213" i="14"/>
  <c r="X213" i="14" s="1"/>
  <c r="N449" i="14"/>
  <c r="X449" i="14" s="1"/>
  <c r="N287" i="14"/>
  <c r="X287" i="14" s="1"/>
  <c r="N767" i="14"/>
  <c r="X767" i="14" s="1"/>
  <c r="N1171" i="14"/>
  <c r="X1171" i="14" s="1"/>
  <c r="N6" i="14"/>
  <c r="X6" i="14" s="1"/>
  <c r="N74" i="14"/>
  <c r="X74" i="14" s="1"/>
  <c r="N352" i="14"/>
  <c r="X352" i="14" s="1"/>
  <c r="N25" i="14"/>
  <c r="X25" i="14" s="1"/>
  <c r="N701" i="14"/>
  <c r="X701" i="14" s="1"/>
  <c r="N355" i="14"/>
  <c r="X355" i="14" s="1"/>
  <c r="N390" i="14"/>
  <c r="X390" i="14" s="1"/>
  <c r="N647" i="14"/>
  <c r="X647" i="14" s="1"/>
  <c r="N436" i="14"/>
  <c r="X436" i="14" s="1"/>
  <c r="N192" i="14"/>
  <c r="X192" i="14" s="1"/>
  <c r="N619" i="14"/>
  <c r="X619" i="14" s="1"/>
  <c r="N153" i="14"/>
  <c r="X153" i="14" s="1"/>
  <c r="N649" i="14"/>
  <c r="X649" i="14" s="1"/>
  <c r="N839" i="14"/>
  <c r="X839" i="14" s="1"/>
  <c r="N939" i="14"/>
  <c r="X939" i="14" s="1"/>
  <c r="N648" i="14"/>
  <c r="X648" i="14" s="1"/>
  <c r="N392" i="14"/>
  <c r="X392" i="14" s="1"/>
  <c r="N41" i="14"/>
  <c r="X41" i="14" s="1"/>
  <c r="N739" i="14"/>
  <c r="X739" i="14" s="1"/>
  <c r="N342" i="14"/>
  <c r="X342" i="14" s="1"/>
  <c r="N1192" i="14"/>
  <c r="X1192" i="14" s="1"/>
  <c r="N189" i="14"/>
  <c r="X189" i="14" s="1"/>
  <c r="N1023" i="14"/>
  <c r="X1023" i="14" s="1"/>
  <c r="N486" i="14"/>
  <c r="X486" i="14" s="1"/>
  <c r="N924" i="14"/>
  <c r="X924" i="14" s="1"/>
  <c r="N1157" i="14"/>
  <c r="X1157" i="14" s="1"/>
  <c r="N734" i="14"/>
  <c r="X734" i="14" s="1"/>
  <c r="N777" i="14"/>
  <c r="X777" i="14" s="1"/>
  <c r="N565" i="14"/>
  <c r="X565" i="14" s="1"/>
  <c r="N566" i="14"/>
  <c r="X566" i="14" s="1"/>
  <c r="N226" i="14"/>
  <c r="X226" i="14" s="1"/>
  <c r="N710" i="14"/>
  <c r="X710" i="14" s="1"/>
  <c r="N152" i="14"/>
  <c r="X152" i="14" s="1"/>
  <c r="N667" i="14"/>
  <c r="X667" i="14" s="1"/>
  <c r="N72" i="14"/>
  <c r="X72" i="14" s="1"/>
  <c r="N789" i="14"/>
  <c r="X789" i="14" s="1"/>
  <c r="N30" i="14"/>
  <c r="X30" i="14" s="1"/>
  <c r="N763" i="14"/>
  <c r="X763" i="14" s="1"/>
  <c r="N304" i="14"/>
  <c r="X304" i="14" s="1"/>
  <c r="N157" i="14"/>
  <c r="X157" i="14" s="1"/>
  <c r="N765" i="14"/>
  <c r="X765" i="14" s="1"/>
  <c r="N853" i="14"/>
  <c r="X853" i="14" s="1"/>
  <c r="N845" i="14"/>
  <c r="X845" i="14" s="1"/>
  <c r="N479" i="14"/>
  <c r="X479" i="14" s="1"/>
  <c r="N920" i="14"/>
  <c r="X920" i="14" s="1"/>
  <c r="N351" i="14"/>
  <c r="X351" i="14" s="1"/>
  <c r="N383" i="14"/>
  <c r="X383" i="14" s="1"/>
  <c r="N473" i="14"/>
  <c r="X473" i="14" s="1"/>
  <c r="N1062" i="14"/>
  <c r="X1062" i="14" s="1"/>
  <c r="N386" i="14"/>
  <c r="X386" i="14" s="1"/>
  <c r="N401" i="14"/>
  <c r="X401" i="14" s="1"/>
  <c r="N1013" i="14"/>
  <c r="X1013" i="14" s="1"/>
  <c r="N1149" i="14"/>
  <c r="X1149" i="14" s="1"/>
  <c r="N411" i="14"/>
  <c r="X411" i="14" s="1"/>
  <c r="N641" i="14"/>
  <c r="X641" i="14" s="1"/>
  <c r="N944" i="14"/>
  <c r="X944" i="14" s="1"/>
  <c r="N44" i="14"/>
  <c r="X44" i="14" s="1"/>
  <c r="N48" i="14"/>
  <c r="X48" i="14" s="1"/>
  <c r="N803" i="14"/>
  <c r="X803" i="14" s="1"/>
  <c r="N406" i="14"/>
  <c r="X406" i="14" s="1"/>
  <c r="N1070" i="14"/>
  <c r="X1070" i="14" s="1"/>
  <c r="N651" i="14"/>
  <c r="X651" i="14" s="1"/>
  <c r="N1172" i="14"/>
  <c r="X1172" i="14" s="1"/>
  <c r="N1153" i="14"/>
  <c r="X1153" i="14" s="1"/>
  <c r="N584" i="14"/>
  <c r="X584" i="14" s="1"/>
  <c r="N176" i="14"/>
  <c r="X176" i="14" s="1"/>
  <c r="N501" i="14"/>
  <c r="X501" i="14" s="1"/>
  <c r="N263" i="14"/>
  <c r="X263" i="14" s="1"/>
  <c r="N35" i="14"/>
  <c r="X35" i="14" s="1"/>
  <c r="N1145" i="14"/>
  <c r="X1145" i="14" s="1"/>
  <c r="N688" i="14"/>
  <c r="X688" i="14" s="1"/>
  <c r="N962" i="14"/>
  <c r="X962" i="14" s="1"/>
  <c r="N902" i="14"/>
  <c r="X902" i="14" s="1"/>
  <c r="N800" i="14"/>
  <c r="X800" i="14" s="1"/>
  <c r="N909" i="14"/>
  <c r="X909" i="14" s="1"/>
  <c r="N1156" i="14"/>
  <c r="X1156" i="14" s="1"/>
  <c r="N475" i="14"/>
  <c r="X475" i="14" s="1"/>
  <c r="N38" i="14"/>
  <c r="X38" i="14" s="1"/>
  <c r="N1048" i="14"/>
  <c r="X1048" i="14" s="1"/>
  <c r="N882" i="14"/>
  <c r="X882" i="14" s="1"/>
  <c r="N469" i="14"/>
  <c r="X469" i="14" s="1"/>
  <c r="N345" i="14"/>
  <c r="X345" i="14" s="1"/>
  <c r="N640" i="14"/>
  <c r="X640" i="14" s="1"/>
  <c r="N107" i="14"/>
  <c r="X107" i="14" s="1"/>
  <c r="N239" i="14"/>
  <c r="X239" i="14" s="1"/>
  <c r="N709" i="14"/>
  <c r="X709" i="14" s="1"/>
  <c r="N315" i="14"/>
  <c r="X315" i="14" s="1"/>
  <c r="N792" i="14"/>
  <c r="X792" i="14" s="1"/>
  <c r="N550" i="14"/>
  <c r="X550" i="14" s="1"/>
  <c r="N897" i="14"/>
  <c r="X897" i="14" s="1"/>
  <c r="N140" i="14"/>
  <c r="X140" i="14" s="1"/>
  <c r="N347" i="14"/>
  <c r="X347" i="14" s="1"/>
  <c r="N736" i="14"/>
  <c r="X736" i="14" s="1"/>
  <c r="N463" i="14"/>
  <c r="X463" i="14" s="1"/>
  <c r="N1085" i="14"/>
  <c r="X1085" i="14" s="1"/>
  <c r="N692" i="14"/>
  <c r="X692" i="14" s="1"/>
  <c r="N360" i="14"/>
  <c r="X360" i="14" s="1"/>
  <c r="N1187" i="14"/>
  <c r="X1187" i="14" s="1"/>
  <c r="N472" i="14"/>
  <c r="X472" i="14" s="1"/>
  <c r="N337" i="14"/>
  <c r="X337" i="14" s="1"/>
  <c r="N677" i="14"/>
  <c r="X677" i="14" s="1"/>
  <c r="N925" i="14"/>
  <c r="X925" i="14" s="1"/>
  <c r="N705" i="14"/>
  <c r="X705" i="14" s="1"/>
  <c r="N10" i="14"/>
  <c r="X10" i="14" s="1"/>
  <c r="N196" i="14"/>
  <c r="X196" i="14" s="1"/>
  <c r="N1179" i="14"/>
  <c r="X1179" i="14" s="1"/>
  <c r="N303" i="14"/>
  <c r="X303" i="14" s="1"/>
  <c r="N229" i="14"/>
  <c r="X229" i="14" s="1"/>
  <c r="N1147" i="14"/>
  <c r="X1147" i="14" s="1"/>
  <c r="N832" i="14"/>
  <c r="X832" i="14" s="1"/>
  <c r="N883" i="14"/>
  <c r="X883" i="14" s="1"/>
  <c r="N516" i="14"/>
  <c r="X516" i="14" s="1"/>
  <c r="N453" i="14"/>
  <c r="X453" i="14" s="1"/>
  <c r="N334" i="14"/>
  <c r="X334" i="14" s="1"/>
  <c r="N419" i="14"/>
  <c r="X419" i="14" s="1"/>
  <c r="N437" i="14"/>
  <c r="X437" i="14" s="1"/>
  <c r="N1003" i="14"/>
  <c r="X1003" i="14" s="1"/>
  <c r="N829" i="14"/>
  <c r="X829" i="14" s="1"/>
  <c r="N685" i="14"/>
  <c r="X685" i="14" s="1"/>
  <c r="N545" i="14"/>
  <c r="X545" i="14" s="1"/>
  <c r="N193" i="14"/>
  <c r="X193" i="14" s="1"/>
  <c r="N348" i="14"/>
  <c r="X348" i="14" s="1"/>
  <c r="N1167" i="14"/>
  <c r="X1167" i="14" s="1"/>
  <c r="N164" i="14"/>
  <c r="X164" i="14" s="1"/>
  <c r="N130" i="14"/>
  <c r="X130" i="14" s="1"/>
  <c r="N756" i="14"/>
  <c r="X756" i="14" s="1"/>
  <c r="N1161" i="14"/>
  <c r="X1161" i="14" s="1"/>
  <c r="N1027" i="14"/>
  <c r="X1027" i="14" s="1"/>
  <c r="N5" i="14"/>
  <c r="X5" i="14" s="1"/>
  <c r="N89" i="14"/>
  <c r="X89" i="14" s="1"/>
  <c r="N262" i="14"/>
  <c r="X262" i="14" s="1"/>
  <c r="N937" i="14"/>
  <c r="X937" i="14" s="1"/>
  <c r="N540" i="14"/>
  <c r="X540" i="14" s="1"/>
  <c r="N1174" i="14"/>
  <c r="X1174" i="14" s="1"/>
  <c r="N868" i="14"/>
  <c r="X868" i="14" s="1"/>
  <c r="N409" i="14"/>
  <c r="X409" i="14" s="1"/>
  <c r="N81" i="14"/>
  <c r="X81" i="14" s="1"/>
  <c r="N894" i="14"/>
  <c r="X894" i="14" s="1"/>
  <c r="N454" i="14"/>
  <c r="X454" i="14" s="1"/>
  <c r="N900" i="14"/>
  <c r="X900" i="14" s="1"/>
  <c r="N389" i="14"/>
  <c r="X389" i="14" s="1"/>
  <c r="N691" i="14"/>
  <c r="X691" i="14" s="1"/>
  <c r="N889" i="14"/>
  <c r="X889" i="14" s="1"/>
  <c r="N400" i="14"/>
  <c r="X400" i="14" s="1"/>
  <c r="N1194" i="14"/>
  <c r="X1194" i="14" s="1"/>
  <c r="N731" i="14"/>
  <c r="X731" i="14" s="1"/>
  <c r="N55" i="14"/>
  <c r="X55" i="14" s="1"/>
  <c r="N500" i="14"/>
  <c r="X500" i="14" s="1"/>
  <c r="N258" i="14"/>
  <c r="X258" i="14" s="1"/>
  <c r="N378" i="14"/>
  <c r="X378" i="14" s="1"/>
  <c r="N666" i="14"/>
  <c r="X666" i="14" s="1"/>
  <c r="N835" i="14"/>
  <c r="X835" i="14" s="1"/>
  <c r="N713" i="14"/>
  <c r="X713" i="14" s="1"/>
  <c r="N890" i="14"/>
  <c r="X890" i="14" s="1"/>
  <c r="N295" i="14"/>
  <c r="X295" i="14" s="1"/>
  <c r="N125" i="14"/>
  <c r="X125" i="14" s="1"/>
  <c r="N517" i="14"/>
  <c r="X517" i="14" s="1"/>
  <c r="N21" i="14"/>
  <c r="X21" i="14" s="1"/>
  <c r="N628" i="14"/>
  <c r="X628" i="14" s="1"/>
  <c r="N288" i="14"/>
  <c r="X288" i="14" s="1"/>
  <c r="N695" i="14"/>
  <c r="X695" i="14" s="1"/>
  <c r="N687" i="14"/>
  <c r="X687" i="14" s="1"/>
  <c r="N24" i="14"/>
  <c r="X24" i="14" s="1"/>
  <c r="N513" i="14"/>
  <c r="X513" i="14" s="1"/>
  <c r="N1080" i="14"/>
  <c r="X1080" i="14" s="1"/>
  <c r="N431" i="14"/>
  <c r="X431" i="14" s="1"/>
  <c r="N481" i="14"/>
  <c r="X481" i="14" s="1"/>
  <c r="N384" i="14"/>
  <c r="X384" i="14" s="1"/>
  <c r="N1011" i="14"/>
  <c r="X1011" i="14" s="1"/>
  <c r="N958" i="14"/>
  <c r="X958" i="14" s="1"/>
  <c r="N84" i="14"/>
  <c r="X84" i="14" s="1"/>
  <c r="N247" i="14"/>
  <c r="X247" i="14" s="1"/>
  <c r="N590" i="14"/>
  <c r="X590" i="14" s="1"/>
  <c r="N1196" i="14"/>
  <c r="X1196" i="14" s="1"/>
  <c r="N179" i="14"/>
  <c r="X179" i="14" s="1"/>
  <c r="N699" i="14"/>
  <c r="X699" i="14" s="1"/>
  <c r="N1195" i="14"/>
  <c r="X1195" i="14" s="1"/>
  <c r="N430" i="14"/>
  <c r="X430" i="14" s="1"/>
  <c r="N656" i="14"/>
  <c r="X656" i="14" s="1"/>
  <c r="N1015" i="14"/>
  <c r="X1015" i="14" s="1"/>
  <c r="N268" i="14"/>
  <c r="X268" i="14" s="1"/>
  <c r="N774" i="14"/>
  <c r="X774" i="14" s="1"/>
  <c r="N771" i="14"/>
  <c r="X771" i="14" s="1"/>
  <c r="N284" i="14"/>
  <c r="X284" i="14" s="1"/>
  <c r="N201" i="14"/>
  <c r="X201" i="14" s="1"/>
  <c r="N235" i="14"/>
  <c r="X235" i="14" s="1"/>
  <c r="N862" i="14"/>
  <c r="X862" i="14" s="1"/>
  <c r="N1034" i="14"/>
  <c r="X1034" i="14" s="1"/>
  <c r="N391" i="14"/>
  <c r="X391" i="14" s="1"/>
  <c r="N67" i="14"/>
  <c r="X67" i="14" s="1"/>
  <c r="N158" i="14"/>
  <c r="X158" i="14" s="1"/>
  <c r="N199" i="14"/>
  <c r="X199" i="14" s="1"/>
  <c r="N106" i="14"/>
  <c r="X106" i="14" s="1"/>
  <c r="N935" i="14"/>
  <c r="X935" i="14" s="1"/>
  <c r="N77" i="14"/>
  <c r="X77" i="14" s="1"/>
  <c r="N912" i="14"/>
  <c r="X912" i="14" s="1"/>
  <c r="N901" i="14"/>
  <c r="X901" i="14" s="1"/>
  <c r="N794" i="14"/>
  <c r="X794" i="14" s="1"/>
  <c r="N305" i="14"/>
  <c r="X305" i="14" s="1"/>
  <c r="N644" i="14"/>
  <c r="X644" i="14" s="1"/>
  <c r="N177" i="14"/>
  <c r="X177" i="14" s="1"/>
  <c r="N966" i="14"/>
  <c r="X966" i="14" s="1"/>
  <c r="N94" i="14"/>
  <c r="X94" i="14" s="1"/>
  <c r="N1058" i="14"/>
  <c r="X1058" i="14" s="1"/>
  <c r="N696" i="14"/>
  <c r="X696" i="14" s="1"/>
  <c r="N441" i="14"/>
  <c r="X441" i="14" s="1"/>
  <c r="N633" i="14"/>
  <c r="X633" i="14" s="1"/>
  <c r="N947" i="14"/>
  <c r="X947" i="14" s="1"/>
  <c r="N751" i="14"/>
  <c r="X751" i="14" s="1"/>
  <c r="N134" i="14"/>
  <c r="X134" i="14" s="1"/>
  <c r="N934" i="14"/>
  <c r="X934" i="14" s="1"/>
  <c r="N907" i="14"/>
  <c r="X907" i="14" s="1"/>
  <c r="N593" i="14"/>
  <c r="X593" i="14" s="1"/>
  <c r="N426" i="14"/>
  <c r="X426" i="14" s="1"/>
  <c r="N452" i="14"/>
  <c r="X452" i="14" s="1"/>
  <c r="N1064" i="14"/>
  <c r="X1064" i="14" s="1"/>
  <c r="N827" i="14"/>
  <c r="X827" i="14" s="1"/>
  <c r="N1200" i="14"/>
  <c r="X1200" i="14" s="1"/>
  <c r="N816" i="14"/>
  <c r="X816" i="14" s="1"/>
  <c r="N563" i="14"/>
  <c r="X563" i="14" s="1"/>
  <c r="N830" i="14"/>
  <c r="X830" i="14" s="1"/>
  <c r="N539" i="14"/>
  <c r="X539" i="14" s="1"/>
  <c r="N9" i="14"/>
  <c r="X9" i="14" s="1"/>
  <c r="N1028" i="14"/>
  <c r="X1028" i="14" s="1"/>
  <c r="N47" i="14"/>
  <c r="X47" i="14" s="1"/>
  <c r="N515" i="14"/>
  <c r="X515" i="14" s="1"/>
  <c r="N843" i="14"/>
  <c r="X843" i="14" s="1"/>
  <c r="N578" i="14"/>
  <c r="X578" i="14" s="1"/>
  <c r="N988" i="14"/>
  <c r="X988" i="14" s="1"/>
  <c r="N341" i="14"/>
  <c r="X341" i="14" s="1"/>
  <c r="N450" i="14"/>
  <c r="X450" i="14" s="1"/>
  <c r="N1112" i="14"/>
  <c r="X1112" i="14" s="1"/>
  <c r="N620" i="14"/>
  <c r="X620" i="14" s="1"/>
  <c r="N857" i="14"/>
  <c r="X857" i="14" s="1"/>
  <c r="N154" i="14"/>
  <c r="X154" i="14" s="1"/>
  <c r="N1119" i="14"/>
  <c r="X1119" i="14" s="1"/>
  <c r="N1038" i="14"/>
  <c r="X1038" i="14" s="1"/>
  <c r="N416" i="14"/>
  <c r="X416" i="14" s="1"/>
  <c r="N1097" i="14"/>
  <c r="X1097" i="14" s="1"/>
  <c r="N97" i="14"/>
  <c r="X97" i="14" s="1"/>
  <c r="N850" i="14"/>
  <c r="X850" i="14" s="1"/>
  <c r="N493" i="14"/>
  <c r="X493" i="14" s="1"/>
  <c r="N141" i="14"/>
  <c r="X141" i="14" s="1"/>
  <c r="N362" i="14"/>
  <c r="X362" i="14" s="1"/>
  <c r="N184" i="14"/>
  <c r="X184" i="14" s="1"/>
  <c r="N581" i="14"/>
  <c r="X581" i="14" s="1"/>
  <c r="N298" i="14"/>
  <c r="X298" i="14" s="1"/>
  <c r="N1175" i="14"/>
  <c r="X1175" i="14" s="1"/>
  <c r="G4" i="27" l="1"/>
  <c r="I4" i="27" s="1"/>
  <c r="K4" i="27" s="1"/>
  <c r="AB3" i="14"/>
  <c r="E1120" i="27"/>
  <c r="G3" i="1"/>
  <c r="G2" i="1"/>
  <c r="T2" i="14" l="1"/>
  <c r="U2" i="14" s="1"/>
  <c r="G5" i="27"/>
  <c r="I5" i="27" s="1"/>
  <c r="K5" i="27" s="1"/>
  <c r="AB4" i="14"/>
  <c r="A1121" i="27"/>
  <c r="C1121" i="27" s="1"/>
  <c r="AA1120" i="14"/>
  <c r="Y2" i="14" l="1"/>
  <c r="Z2" i="14" s="1"/>
  <c r="AC2" i="14" s="1"/>
  <c r="G6" i="27"/>
  <c r="I6" i="27" s="1"/>
  <c r="K6" i="27" s="1"/>
  <c r="AB5" i="14"/>
  <c r="E1121" i="27"/>
  <c r="AD2" i="14" l="1"/>
  <c r="G7" i="27"/>
  <c r="I7" i="27" s="1"/>
  <c r="K7" i="27" s="1"/>
  <c r="AB6" i="14"/>
  <c r="A1122" i="27"/>
  <c r="C1122" i="27" s="1"/>
  <c r="AA1121" i="14"/>
  <c r="U3" i="14"/>
  <c r="G8" i="27" l="1"/>
  <c r="I8" i="27" s="1"/>
  <c r="K8" i="27" s="1"/>
  <c r="AB7" i="14"/>
  <c r="Y3" i="14"/>
  <c r="E1122" i="27"/>
  <c r="Z3" i="14" l="1"/>
  <c r="G9" i="27"/>
  <c r="I9" i="27" s="1"/>
  <c r="K9" i="27" s="1"/>
  <c r="AB8" i="14"/>
  <c r="A1123" i="27"/>
  <c r="C1123" i="27" s="1"/>
  <c r="AA1122" i="14"/>
  <c r="AC3" i="14" l="1"/>
  <c r="AD3" i="14" s="1"/>
  <c r="U4" i="14"/>
  <c r="Y4" i="14" s="1"/>
  <c r="Z4" i="14" s="1"/>
  <c r="G10" i="27"/>
  <c r="I10" i="27" s="1"/>
  <c r="K10" i="27" s="1"/>
  <c r="AB9" i="14"/>
  <c r="E1123" i="27"/>
  <c r="U5" i="14" l="1"/>
  <c r="Y5" i="14" s="1"/>
  <c r="AC4" i="14"/>
  <c r="AD4" i="14" s="1"/>
  <c r="G11" i="27"/>
  <c r="I11" i="27" s="1"/>
  <c r="K11" i="27" s="1"/>
  <c r="AB10" i="14"/>
  <c r="A1124" i="27"/>
  <c r="C1124" i="27" s="1"/>
  <c r="AA1123" i="14"/>
  <c r="Z5" i="14" l="1"/>
  <c r="G12" i="27"/>
  <c r="I12" i="27" s="1"/>
  <c r="K12" i="27" s="1"/>
  <c r="AB11" i="14"/>
  <c r="E1124" i="27"/>
  <c r="AC5" i="14" l="1"/>
  <c r="AD5" i="14" s="1"/>
  <c r="U6" i="14"/>
  <c r="Y6" i="14" s="1"/>
  <c r="G13" i="27"/>
  <c r="I13" i="27" s="1"/>
  <c r="K13" i="27" s="1"/>
  <c r="AB12" i="14"/>
  <c r="A1125" i="27"/>
  <c r="C1125" i="27" s="1"/>
  <c r="AA1124" i="14"/>
  <c r="Z6" i="14" l="1"/>
  <c r="G14" i="27"/>
  <c r="I14" i="27" s="1"/>
  <c r="K14" i="27" s="1"/>
  <c r="AB13" i="14"/>
  <c r="E1125" i="27"/>
  <c r="AC6" i="14" l="1"/>
  <c r="AD6" i="14" s="1"/>
  <c r="U7" i="14"/>
  <c r="Y7" i="14" s="1"/>
  <c r="G15" i="27"/>
  <c r="I15" i="27" s="1"/>
  <c r="K15" i="27" s="1"/>
  <c r="AB14" i="14"/>
  <c r="A1126" i="27"/>
  <c r="C1126" i="27" s="1"/>
  <c r="AA1125" i="14"/>
  <c r="Z7" i="14" l="1"/>
  <c r="G16" i="27"/>
  <c r="I16" i="27" s="1"/>
  <c r="K16" i="27" s="1"/>
  <c r="AB15" i="14"/>
  <c r="E1126" i="27"/>
  <c r="U8" i="14" l="1"/>
  <c r="Y8" i="14" s="1"/>
  <c r="AC7" i="14"/>
  <c r="AD7" i="14" s="1"/>
  <c r="G17" i="27"/>
  <c r="I17" i="27" s="1"/>
  <c r="K17" i="27" s="1"/>
  <c r="AB16" i="14"/>
  <c r="A1127" i="27"/>
  <c r="C1127" i="27" s="1"/>
  <c r="AA1126" i="14"/>
  <c r="Z8" i="14" l="1"/>
  <c r="G18" i="27"/>
  <c r="I18" i="27" s="1"/>
  <c r="K18" i="27" s="1"/>
  <c r="AB17" i="14"/>
  <c r="E1127" i="27"/>
  <c r="AC8" i="14" l="1"/>
  <c r="AD8" i="14" s="1"/>
  <c r="U9" i="14"/>
  <c r="Y9" i="14" s="1"/>
  <c r="G19" i="27"/>
  <c r="I19" i="27" s="1"/>
  <c r="K19" i="27" s="1"/>
  <c r="AB18" i="14"/>
  <c r="A1128" i="27"/>
  <c r="C1128" i="27" s="1"/>
  <c r="AA1127" i="14"/>
  <c r="Z9" i="14" l="1"/>
  <c r="G20" i="27"/>
  <c r="I20" i="27" s="1"/>
  <c r="AB19" i="14"/>
  <c r="E1128" i="27"/>
  <c r="AC9" i="14" l="1"/>
  <c r="AD9" i="14" s="1"/>
  <c r="U10" i="14"/>
  <c r="Y10" i="14" s="1"/>
  <c r="A1129" i="27"/>
  <c r="C1129" i="27" s="1"/>
  <c r="AA1128" i="14"/>
  <c r="K20" i="27"/>
  <c r="Z10" i="14" l="1"/>
  <c r="G21" i="27"/>
  <c r="I21" i="27" s="1"/>
  <c r="AB20" i="14"/>
  <c r="E1129" i="27"/>
  <c r="U11" i="14" l="1"/>
  <c r="Y11" i="14" s="1"/>
  <c r="AC10" i="14"/>
  <c r="AD10" i="14" s="1"/>
  <c r="A1130" i="27"/>
  <c r="C1130" i="27" s="1"/>
  <c r="AA1129" i="14"/>
  <c r="K21" i="27"/>
  <c r="Z11" i="14" l="1"/>
  <c r="G22" i="27"/>
  <c r="I22" i="27" s="1"/>
  <c r="K22" i="27" s="1"/>
  <c r="AB21" i="14"/>
  <c r="E1130" i="27"/>
  <c r="U12" i="14" l="1"/>
  <c r="Y12" i="14" s="1"/>
  <c r="AC11" i="14"/>
  <c r="AD11" i="14" s="1"/>
  <c r="G23" i="27"/>
  <c r="I23" i="27" s="1"/>
  <c r="AB22" i="14"/>
  <c r="A1131" i="27"/>
  <c r="C1131" i="27" s="1"/>
  <c r="AA1130" i="14"/>
  <c r="Z12" i="14" l="1"/>
  <c r="K23" i="27"/>
  <c r="E1131" i="27"/>
  <c r="AC12" i="14" l="1"/>
  <c r="AD12" i="14" s="1"/>
  <c r="U13" i="14"/>
  <c r="Y13" i="14" s="1"/>
  <c r="G24" i="27"/>
  <c r="I24" i="27" s="1"/>
  <c r="K24" i="27" s="1"/>
  <c r="AB23" i="14"/>
  <c r="A1132" i="27"/>
  <c r="AA1131" i="14"/>
  <c r="Z13" i="14" l="1"/>
  <c r="AC13" i="14" s="1"/>
  <c r="G25" i="27"/>
  <c r="I25" i="27" s="1"/>
  <c r="AB24" i="14"/>
  <c r="C1132" i="27"/>
  <c r="AD13" i="14" l="1"/>
  <c r="U14" i="14"/>
  <c r="Y14" i="14" s="1"/>
  <c r="K25" i="27"/>
  <c r="E1132" i="27"/>
  <c r="Z14" i="14" l="1"/>
  <c r="G26" i="27"/>
  <c r="I26" i="27" s="1"/>
  <c r="K26" i="27" s="1"/>
  <c r="AB25" i="14"/>
  <c r="A1133" i="27"/>
  <c r="C1133" i="27" s="1"/>
  <c r="AA1132" i="14"/>
  <c r="AC14" i="14" l="1"/>
  <c r="AD14" i="14" s="1"/>
  <c r="U15" i="14"/>
  <c r="Y15" i="14" s="1"/>
  <c r="G27" i="27"/>
  <c r="I27" i="27" s="1"/>
  <c r="AB26" i="14"/>
  <c r="E1133" i="27"/>
  <c r="Z15" i="14" l="1"/>
  <c r="A1134" i="27"/>
  <c r="C1134" i="27" s="1"/>
  <c r="AA1133" i="14"/>
  <c r="K27" i="27"/>
  <c r="U16" i="14" l="1"/>
  <c r="Y16" i="14" s="1"/>
  <c r="AC15" i="14"/>
  <c r="AD15" i="14" s="1"/>
  <c r="G28" i="27"/>
  <c r="I28" i="27" s="1"/>
  <c r="AB27" i="14"/>
  <c r="E1134" i="27"/>
  <c r="Z16" i="14" l="1"/>
  <c r="A1135" i="27"/>
  <c r="C1135" i="27" s="1"/>
  <c r="AA1134" i="14"/>
  <c r="K28" i="27"/>
  <c r="AC16" i="14" l="1"/>
  <c r="AD16" i="14" s="1"/>
  <c r="U17" i="14"/>
  <c r="Y17" i="14" s="1"/>
  <c r="G29" i="27"/>
  <c r="I29" i="27" s="1"/>
  <c r="AB28" i="14"/>
  <c r="E1135" i="27"/>
  <c r="Z17" i="14" l="1"/>
  <c r="A1136" i="27"/>
  <c r="AA1135" i="14"/>
  <c r="K29" i="27"/>
  <c r="AC17" i="14" l="1"/>
  <c r="AD17" i="14" s="1"/>
  <c r="U18" i="14"/>
  <c r="Y18" i="14" s="1"/>
  <c r="G30" i="27"/>
  <c r="I30" i="27" s="1"/>
  <c r="K30" i="27" s="1"/>
  <c r="AB29" i="14"/>
  <c r="C1136" i="27"/>
  <c r="Z18" i="14" l="1"/>
  <c r="G31" i="27"/>
  <c r="I31" i="27" s="1"/>
  <c r="AB30" i="14"/>
  <c r="E1136" i="27"/>
  <c r="U19" i="14" l="1"/>
  <c r="Y19" i="14" s="1"/>
  <c r="AC18" i="14"/>
  <c r="AD18" i="14" s="1"/>
  <c r="A1137" i="27"/>
  <c r="C1137" i="27" s="1"/>
  <c r="AA1136" i="14"/>
  <c r="K31" i="27"/>
  <c r="Z19" i="14" l="1"/>
  <c r="G32" i="27"/>
  <c r="I32" i="27" s="1"/>
  <c r="K32" i="27" s="1"/>
  <c r="AB31" i="14"/>
  <c r="E1137" i="27"/>
  <c r="AC19" i="14" l="1"/>
  <c r="AD19" i="14" s="1"/>
  <c r="U20" i="14"/>
  <c r="Y20" i="14" s="1"/>
  <c r="G33" i="27"/>
  <c r="I33" i="27" s="1"/>
  <c r="AB32" i="14"/>
  <c r="A1138" i="27"/>
  <c r="C1138" i="27" s="1"/>
  <c r="AA1137" i="14"/>
  <c r="Z20" i="14" l="1"/>
  <c r="K33" i="27"/>
  <c r="E1138" i="27"/>
  <c r="AC20" i="14" l="1"/>
  <c r="AD20" i="14" s="1"/>
  <c r="U21" i="14"/>
  <c r="Y21" i="14" s="1"/>
  <c r="G34" i="27"/>
  <c r="I34" i="27" s="1"/>
  <c r="K34" i="27" s="1"/>
  <c r="AB33" i="14"/>
  <c r="A1139" i="27"/>
  <c r="C1139" i="27" s="1"/>
  <c r="AA1138" i="14"/>
  <c r="Z21" i="14" l="1"/>
  <c r="AC21" i="14" s="1"/>
  <c r="G35" i="27"/>
  <c r="I35" i="27" s="1"/>
  <c r="K35" i="27" s="1"/>
  <c r="AB34" i="14"/>
  <c r="E1139" i="27"/>
  <c r="AD21" i="14" l="1"/>
  <c r="U22" i="14"/>
  <c r="G36" i="27"/>
  <c r="I36" i="27" s="1"/>
  <c r="AB35" i="14"/>
  <c r="A1140" i="27"/>
  <c r="C1140" i="27" s="1"/>
  <c r="AA1139" i="14"/>
  <c r="Y22" i="14" l="1"/>
  <c r="K36" i="27"/>
  <c r="E1140" i="27"/>
  <c r="Z22" i="14" l="1"/>
  <c r="AC22" i="14" s="1"/>
  <c r="G37" i="27"/>
  <c r="I37" i="27" s="1"/>
  <c r="AB36" i="14"/>
  <c r="A1141" i="27"/>
  <c r="C1141" i="27" s="1"/>
  <c r="AA1140" i="14"/>
  <c r="U23" i="14" l="1"/>
  <c r="AD22" i="14"/>
  <c r="K37" i="27"/>
  <c r="E1141" i="27"/>
  <c r="Y23" i="14" l="1"/>
  <c r="G38" i="27"/>
  <c r="I38" i="27" s="1"/>
  <c r="K38" i="27" s="1"/>
  <c r="AB37" i="14"/>
  <c r="A1142" i="27"/>
  <c r="C1142" i="27" s="1"/>
  <c r="AA1141" i="14"/>
  <c r="Z23" i="14" l="1"/>
  <c r="AC23" i="14" s="1"/>
  <c r="G39" i="27"/>
  <c r="I39" i="27" s="1"/>
  <c r="AB38" i="14"/>
  <c r="E1142" i="27"/>
  <c r="U24" i="14" l="1"/>
  <c r="AD23" i="14"/>
  <c r="A1143" i="27"/>
  <c r="C1143" i="27" s="1"/>
  <c r="AA1142" i="14"/>
  <c r="K39" i="27"/>
  <c r="Y24" i="14" l="1"/>
  <c r="G40" i="27"/>
  <c r="I40" i="27" s="1"/>
  <c r="AB39" i="14"/>
  <c r="E1143" i="27"/>
  <c r="Z24" i="14" l="1"/>
  <c r="AC24" i="14" s="1"/>
  <c r="A1144" i="27"/>
  <c r="C1144" i="27" s="1"/>
  <c r="AA1143" i="14"/>
  <c r="K40" i="27"/>
  <c r="U25" i="14" l="1"/>
  <c r="AD24" i="14"/>
  <c r="G41" i="27"/>
  <c r="I41" i="27" s="1"/>
  <c r="AB40" i="14"/>
  <c r="E1144" i="27"/>
  <c r="Y25" i="14" l="1"/>
  <c r="A1145" i="27"/>
  <c r="AA1144" i="14"/>
  <c r="K41" i="27"/>
  <c r="Z25" i="14" l="1"/>
  <c r="AC25" i="14" s="1"/>
  <c r="G42" i="27"/>
  <c r="I42" i="27" s="1"/>
  <c r="K42" i="27" s="1"/>
  <c r="AB41" i="14"/>
  <c r="C1145" i="27"/>
  <c r="E1145" i="27" s="1"/>
  <c r="U26" i="14" l="1"/>
  <c r="AD25" i="14"/>
  <c r="G43" i="27"/>
  <c r="I43" i="27" s="1"/>
  <c r="K43" i="27" s="1"/>
  <c r="AB42" i="14"/>
  <c r="A1146" i="27"/>
  <c r="C1146" i="27" s="1"/>
  <c r="AA1145" i="14"/>
  <c r="Y26" i="14" l="1"/>
  <c r="G44" i="27"/>
  <c r="I44" i="27" s="1"/>
  <c r="AB43" i="14"/>
  <c r="E1146" i="27"/>
  <c r="Z26" i="14" l="1"/>
  <c r="AC26" i="14" s="1"/>
  <c r="A1147" i="27"/>
  <c r="C1147" i="27" s="1"/>
  <c r="AA1146" i="14"/>
  <c r="K44" i="27"/>
  <c r="U27" i="14" l="1"/>
  <c r="AD26" i="14"/>
  <c r="G45" i="27"/>
  <c r="I45" i="27" s="1"/>
  <c r="AB44" i="14"/>
  <c r="E1147" i="27"/>
  <c r="Y27" i="14" l="1"/>
  <c r="A1148" i="27"/>
  <c r="C1148" i="27" s="1"/>
  <c r="AA1147" i="14"/>
  <c r="K45" i="27"/>
  <c r="Z27" i="14" l="1"/>
  <c r="AC27" i="14" s="1"/>
  <c r="G46" i="27"/>
  <c r="I46" i="27" s="1"/>
  <c r="AB45" i="14"/>
  <c r="E1148" i="27"/>
  <c r="U28" i="14" l="1"/>
  <c r="AD27" i="14"/>
  <c r="A1149" i="27"/>
  <c r="C1149" i="27" s="1"/>
  <c r="AA1148" i="14"/>
  <c r="K46" i="27"/>
  <c r="Y28" i="14" l="1"/>
  <c r="G47" i="27"/>
  <c r="I47" i="27" s="1"/>
  <c r="AB46" i="14"/>
  <c r="E1149" i="27"/>
  <c r="Z28" i="14" l="1"/>
  <c r="AC28" i="14" s="1"/>
  <c r="A1150" i="27"/>
  <c r="C1150" i="27" s="1"/>
  <c r="AA1149" i="14"/>
  <c r="K47" i="27"/>
  <c r="U29" i="14" l="1"/>
  <c r="AD28" i="14"/>
  <c r="G48" i="27"/>
  <c r="I48" i="27" s="1"/>
  <c r="K48" i="27" s="1"/>
  <c r="AB47" i="14"/>
  <c r="E1150" i="27"/>
  <c r="Y29" i="14" l="1"/>
  <c r="G49" i="27"/>
  <c r="I49" i="27" s="1"/>
  <c r="AB48" i="14"/>
  <c r="A1151" i="27"/>
  <c r="C1151" i="27" s="1"/>
  <c r="AA1150" i="14"/>
  <c r="Z29" i="14" l="1"/>
  <c r="AC29" i="14" s="1"/>
  <c r="K49" i="27"/>
  <c r="E1151" i="27"/>
  <c r="U30" i="14" l="1"/>
  <c r="AD29" i="14"/>
  <c r="G50" i="27"/>
  <c r="I50" i="27" s="1"/>
  <c r="AB49" i="14"/>
  <c r="A1152" i="27"/>
  <c r="AA1151" i="14"/>
  <c r="Y30" i="14" l="1"/>
  <c r="K50" i="27"/>
  <c r="C1152" i="27"/>
  <c r="Z30" i="14" l="1"/>
  <c r="AC30" i="14" s="1"/>
  <c r="G51" i="27"/>
  <c r="I51" i="27" s="1"/>
  <c r="K51" i="27" s="1"/>
  <c r="AB50" i="14"/>
  <c r="E1152" i="27"/>
  <c r="U31" i="14" l="1"/>
  <c r="AD30" i="14"/>
  <c r="G52" i="27"/>
  <c r="I52" i="27" s="1"/>
  <c r="AB51" i="14"/>
  <c r="A1153" i="27"/>
  <c r="C1153" i="27" s="1"/>
  <c r="AA1152" i="14"/>
  <c r="Y31" i="14" l="1"/>
  <c r="K52" i="27"/>
  <c r="E1153" i="27"/>
  <c r="Z31" i="14" l="1"/>
  <c r="AC31" i="14" s="1"/>
  <c r="G53" i="27"/>
  <c r="I53" i="27" s="1"/>
  <c r="AB52" i="14"/>
  <c r="A1154" i="27"/>
  <c r="C1154" i="27" s="1"/>
  <c r="AA1153" i="14"/>
  <c r="U32" i="14" l="1"/>
  <c r="AD31" i="14"/>
  <c r="K53" i="27"/>
  <c r="E1154" i="27"/>
  <c r="Y32" i="14" l="1"/>
  <c r="G54" i="27"/>
  <c r="I54" i="27" s="1"/>
  <c r="K54" i="27" s="1"/>
  <c r="AB53" i="14"/>
  <c r="A1155" i="27"/>
  <c r="AA1154" i="14"/>
  <c r="Z32" i="14" l="1"/>
  <c r="AC32" i="14" s="1"/>
  <c r="G55" i="27"/>
  <c r="I55" i="27" s="1"/>
  <c r="AB54" i="14"/>
  <c r="C1155" i="27"/>
  <c r="U33" i="14" l="1"/>
  <c r="AD32" i="14"/>
  <c r="K55" i="27"/>
  <c r="E1155" i="27"/>
  <c r="Y33" i="14" l="1"/>
  <c r="G56" i="27"/>
  <c r="I56" i="27" s="1"/>
  <c r="K56" i="27" s="1"/>
  <c r="AB55" i="14"/>
  <c r="A1156" i="27"/>
  <c r="AA1155" i="14"/>
  <c r="Z33" i="14" l="1"/>
  <c r="AC33" i="14" s="1"/>
  <c r="G57" i="27"/>
  <c r="I57" i="27" s="1"/>
  <c r="AB56" i="14"/>
  <c r="C1156" i="27"/>
  <c r="U34" i="14" l="1"/>
  <c r="AD33" i="14"/>
  <c r="K57" i="27"/>
  <c r="E1156" i="27"/>
  <c r="Y34" i="14" l="1"/>
  <c r="G58" i="27"/>
  <c r="I58" i="27" s="1"/>
  <c r="AB57" i="14"/>
  <c r="A1157" i="27"/>
  <c r="C1157" i="27" s="1"/>
  <c r="AA1156" i="14"/>
  <c r="Z34" i="14" l="1"/>
  <c r="AC34" i="14" s="1"/>
  <c r="K58" i="27"/>
  <c r="E1157" i="27"/>
  <c r="U35" i="14" l="1"/>
  <c r="AD34" i="14"/>
  <c r="G59" i="27"/>
  <c r="I59" i="27" s="1"/>
  <c r="K59" i="27" s="1"/>
  <c r="AB58" i="14"/>
  <c r="A1158" i="27"/>
  <c r="C1158" i="27" s="1"/>
  <c r="AA1157" i="14"/>
  <c r="Y35" i="14" l="1"/>
  <c r="G60" i="27"/>
  <c r="I60" i="27" s="1"/>
  <c r="K60" i="27" s="1"/>
  <c r="AB59" i="14"/>
  <c r="E1158" i="27"/>
  <c r="Z35" i="14" l="1"/>
  <c r="AC35" i="14" s="1"/>
  <c r="G61" i="27"/>
  <c r="I61" i="27" s="1"/>
  <c r="AB60" i="14"/>
  <c r="A1159" i="27"/>
  <c r="C1159" i="27" s="1"/>
  <c r="AA1158" i="14"/>
  <c r="U36" i="14" l="1"/>
  <c r="AD35" i="14"/>
  <c r="K61" i="27"/>
  <c r="E1159" i="27"/>
  <c r="Y36" i="14" l="1"/>
  <c r="G62" i="27"/>
  <c r="I62" i="27" s="1"/>
  <c r="K62" i="27" s="1"/>
  <c r="AB61" i="14"/>
  <c r="A1160" i="27"/>
  <c r="AA1159" i="14"/>
  <c r="Z36" i="14" l="1"/>
  <c r="AC36" i="14" s="1"/>
  <c r="G63" i="27"/>
  <c r="I63" i="27" s="1"/>
  <c r="AB62" i="14"/>
  <c r="C1160" i="27"/>
  <c r="U37" i="14" l="1"/>
  <c r="AD36" i="14"/>
  <c r="K63" i="27"/>
  <c r="E1160" i="27"/>
  <c r="Y37" i="14" l="1"/>
  <c r="G64" i="27"/>
  <c r="I64" i="27" s="1"/>
  <c r="K64" i="27" s="1"/>
  <c r="AB63" i="14"/>
  <c r="A1161" i="27"/>
  <c r="AA1160" i="14"/>
  <c r="Z37" i="14" l="1"/>
  <c r="AC37" i="14" s="1"/>
  <c r="G65" i="27"/>
  <c r="I65" i="27" s="1"/>
  <c r="K65" i="27" s="1"/>
  <c r="AB64" i="14"/>
  <c r="C1161" i="27"/>
  <c r="E1161" i="27" s="1"/>
  <c r="U38" i="14" l="1"/>
  <c r="AD37" i="14"/>
  <c r="G66" i="27"/>
  <c r="I66" i="27" s="1"/>
  <c r="AB65" i="14"/>
  <c r="A1162" i="27"/>
  <c r="C1162" i="27" s="1"/>
  <c r="AA1161" i="14"/>
  <c r="Y38" i="14" l="1"/>
  <c r="K66" i="27"/>
  <c r="E1162" i="27"/>
  <c r="Z38" i="14" l="1"/>
  <c r="AC38" i="14" s="1"/>
  <c r="G67" i="27"/>
  <c r="I67" i="27" s="1"/>
  <c r="K67" i="27" s="1"/>
  <c r="AB66" i="14"/>
  <c r="A1163" i="27"/>
  <c r="C1163" i="27" s="1"/>
  <c r="AA1162" i="14"/>
  <c r="U39" i="14" l="1"/>
  <c r="AD38" i="14"/>
  <c r="G68" i="27"/>
  <c r="I68" i="27" s="1"/>
  <c r="AB67" i="14"/>
  <c r="E1163" i="27"/>
  <c r="Y39" i="14" l="1"/>
  <c r="A1164" i="27"/>
  <c r="C1164" i="27" s="1"/>
  <c r="AA1163" i="14"/>
  <c r="K68" i="27"/>
  <c r="Z39" i="14" l="1"/>
  <c r="AC39" i="14" s="1"/>
  <c r="G69" i="27"/>
  <c r="I69" i="27" s="1"/>
  <c r="AB68" i="14"/>
  <c r="E1164" i="27"/>
  <c r="U40" i="14" l="1"/>
  <c r="AD39" i="14"/>
  <c r="K69" i="27"/>
  <c r="G70" i="27" s="1"/>
  <c r="I70" i="27" s="1"/>
  <c r="A1165" i="27"/>
  <c r="AA1164" i="14"/>
  <c r="Y40" i="14" l="1"/>
  <c r="AB69" i="14"/>
  <c r="K70" i="27"/>
  <c r="C1165" i="27"/>
  <c r="Z40" i="14" l="1"/>
  <c r="AC40" i="14" s="1"/>
  <c r="G71" i="27"/>
  <c r="I71" i="27" s="1"/>
  <c r="AB70" i="14"/>
  <c r="E1165" i="27"/>
  <c r="U41" i="14" l="1"/>
  <c r="AD40" i="14"/>
  <c r="A1166" i="27"/>
  <c r="C1166" i="27" s="1"/>
  <c r="AA1165" i="14"/>
  <c r="K71" i="27"/>
  <c r="Y41" i="14" l="1"/>
  <c r="G72" i="27"/>
  <c r="I72" i="27" s="1"/>
  <c r="K72" i="27" s="1"/>
  <c r="AB71" i="14"/>
  <c r="E1166" i="27"/>
  <c r="Z41" i="14" l="1"/>
  <c r="AC41" i="14" s="1"/>
  <c r="G73" i="27"/>
  <c r="I73" i="27" s="1"/>
  <c r="K73" i="27" s="1"/>
  <c r="AB72" i="14"/>
  <c r="A1167" i="27"/>
  <c r="C1167" i="27" s="1"/>
  <c r="AA1166" i="14"/>
  <c r="U42" i="14" l="1"/>
  <c r="AD41" i="14"/>
  <c r="G74" i="27"/>
  <c r="I74" i="27" s="1"/>
  <c r="AB73" i="14"/>
  <c r="E1167" i="27"/>
  <c r="Y42" i="14" l="1"/>
  <c r="A1168" i="27"/>
  <c r="C1168" i="27" s="1"/>
  <c r="AA1167" i="14"/>
  <c r="K74" i="27"/>
  <c r="Z42" i="14" l="1"/>
  <c r="AC42" i="14" s="1"/>
  <c r="G75" i="27"/>
  <c r="I75" i="27" s="1"/>
  <c r="AB74" i="14"/>
  <c r="E1168" i="27"/>
  <c r="U43" i="14" l="1"/>
  <c r="AD42" i="14"/>
  <c r="A1169" i="27"/>
  <c r="C1169" i="27" s="1"/>
  <c r="AA1168" i="14"/>
  <c r="K75" i="27"/>
  <c r="Y43" i="14" l="1"/>
  <c r="G76" i="27"/>
  <c r="I76" i="27" s="1"/>
  <c r="AB75" i="14"/>
  <c r="E1169" i="27"/>
  <c r="Z43" i="14" l="1"/>
  <c r="AC43" i="14" s="1"/>
  <c r="A1170" i="27"/>
  <c r="C1170" i="27" s="1"/>
  <c r="AA1169" i="14"/>
  <c r="K76" i="27"/>
  <c r="U44" i="14" l="1"/>
  <c r="AD43" i="14"/>
  <c r="G77" i="27"/>
  <c r="I77" i="27" s="1"/>
  <c r="K77" i="27" s="1"/>
  <c r="AB76" i="14"/>
  <c r="E1170" i="27"/>
  <c r="Y44" i="14" l="1"/>
  <c r="G78" i="27"/>
  <c r="I78" i="27" s="1"/>
  <c r="AB77" i="14"/>
  <c r="A1171" i="27"/>
  <c r="C1171" i="27" s="1"/>
  <c r="AA1170" i="14"/>
  <c r="Z44" i="14" l="1"/>
  <c r="AC44" i="14" s="1"/>
  <c r="K78" i="27"/>
  <c r="E1171" i="27"/>
  <c r="U45" i="14" l="1"/>
  <c r="AD44" i="14"/>
  <c r="G79" i="27"/>
  <c r="I79" i="27" s="1"/>
  <c r="AB78" i="14"/>
  <c r="A1172" i="27"/>
  <c r="AA1171" i="14"/>
  <c r="Y45" i="14" l="1"/>
  <c r="K79" i="27"/>
  <c r="C1172" i="27"/>
  <c r="E1172" i="27" s="1"/>
  <c r="Z45" i="14" l="1"/>
  <c r="AC45" i="14" s="1"/>
  <c r="G80" i="27"/>
  <c r="I80" i="27" s="1"/>
  <c r="K80" i="27" s="1"/>
  <c r="AB79" i="14"/>
  <c r="A1173" i="27"/>
  <c r="C1173" i="27" s="1"/>
  <c r="AA1172" i="14"/>
  <c r="U46" i="14" l="1"/>
  <c r="AD45" i="14"/>
  <c r="G81" i="27"/>
  <c r="I81" i="27" s="1"/>
  <c r="AB80" i="14"/>
  <c r="E1173" i="27"/>
  <c r="Y46" i="14" l="1"/>
  <c r="A1174" i="27"/>
  <c r="AA1173" i="14"/>
  <c r="K81" i="27"/>
  <c r="Z46" i="14" l="1"/>
  <c r="AC46" i="14" s="1"/>
  <c r="G82" i="27"/>
  <c r="I82" i="27" s="1"/>
  <c r="AB81" i="14"/>
  <c r="C1174" i="27"/>
  <c r="U47" i="14" l="1"/>
  <c r="AD46" i="14"/>
  <c r="K82" i="27"/>
  <c r="E1174" i="27"/>
  <c r="Y47" i="14" l="1"/>
  <c r="G83" i="27"/>
  <c r="I83" i="27" s="1"/>
  <c r="AB82" i="14"/>
  <c r="A1175" i="27"/>
  <c r="AA1174" i="14"/>
  <c r="Z47" i="14" l="1"/>
  <c r="AC47" i="14" s="1"/>
  <c r="K83" i="27"/>
  <c r="C1175" i="27"/>
  <c r="U48" i="14" l="1"/>
  <c r="AD47" i="14"/>
  <c r="G84" i="27"/>
  <c r="I84" i="27" s="1"/>
  <c r="AB83" i="14"/>
  <c r="E1175" i="27"/>
  <c r="Y48" i="14" l="1"/>
  <c r="A1176" i="27"/>
  <c r="C1176" i="27" s="1"/>
  <c r="AA1175" i="14"/>
  <c r="K84" i="27"/>
  <c r="Z48" i="14" l="1"/>
  <c r="AC48" i="14" s="1"/>
  <c r="G85" i="27"/>
  <c r="I85" i="27" s="1"/>
  <c r="AB84" i="14"/>
  <c r="E1176" i="27"/>
  <c r="U49" i="14" l="1"/>
  <c r="AD48" i="14"/>
  <c r="A1177" i="27"/>
  <c r="C1177" i="27" s="1"/>
  <c r="AA1176" i="14"/>
  <c r="K85" i="27"/>
  <c r="Y49" i="14" l="1"/>
  <c r="G86" i="27"/>
  <c r="I86" i="27" s="1"/>
  <c r="AB85" i="14"/>
  <c r="E1177" i="27"/>
  <c r="Z49" i="14" l="1"/>
  <c r="AC49" i="14" s="1"/>
  <c r="A1178" i="27"/>
  <c r="C1178" i="27" s="1"/>
  <c r="AA1177" i="14"/>
  <c r="K86" i="27"/>
  <c r="U50" i="14" l="1"/>
  <c r="AD49" i="14"/>
  <c r="G87" i="27"/>
  <c r="I87" i="27" s="1"/>
  <c r="AB86" i="14"/>
  <c r="E1178" i="27"/>
  <c r="Y50" i="14" l="1"/>
  <c r="A1179" i="27"/>
  <c r="C1179" i="27" s="1"/>
  <c r="AA1178" i="14"/>
  <c r="K87" i="27"/>
  <c r="Z50" i="14" l="1"/>
  <c r="AC50" i="14" s="1"/>
  <c r="G88" i="27"/>
  <c r="I88" i="27" s="1"/>
  <c r="K88" i="27" s="1"/>
  <c r="AB87" i="14"/>
  <c r="E1179" i="27"/>
  <c r="U51" i="14" l="1"/>
  <c r="AD50" i="14"/>
  <c r="G89" i="27"/>
  <c r="I89" i="27" s="1"/>
  <c r="K89" i="27" s="1"/>
  <c r="AB88" i="14"/>
  <c r="A1180" i="27"/>
  <c r="C1180" i="27" s="1"/>
  <c r="AA1179" i="14"/>
  <c r="Y51" i="14" l="1"/>
  <c r="G90" i="27"/>
  <c r="I90" i="27" s="1"/>
  <c r="AB89" i="14"/>
  <c r="E1180" i="27"/>
  <c r="Z51" i="14" l="1"/>
  <c r="AC51" i="14" s="1"/>
  <c r="A1181" i="27"/>
  <c r="C1181" i="27" s="1"/>
  <c r="AA1180" i="14"/>
  <c r="K90" i="27"/>
  <c r="U52" i="14" l="1"/>
  <c r="AD51" i="14"/>
  <c r="G91" i="27"/>
  <c r="I91" i="27" s="1"/>
  <c r="K91" i="27" s="1"/>
  <c r="AB90" i="14"/>
  <c r="E1181" i="27"/>
  <c r="Y52" i="14" l="1"/>
  <c r="G92" i="27"/>
  <c r="I92" i="27" s="1"/>
  <c r="AB91" i="14"/>
  <c r="A1182" i="27"/>
  <c r="C1182" i="27" s="1"/>
  <c r="AA1181" i="14"/>
  <c r="Z52" i="14" l="1"/>
  <c r="AC52" i="14" s="1"/>
  <c r="K92" i="27"/>
  <c r="E1182" i="27"/>
  <c r="U53" i="14" l="1"/>
  <c r="AD52" i="14"/>
  <c r="G93" i="27"/>
  <c r="I93" i="27" s="1"/>
  <c r="K93" i="27" s="1"/>
  <c r="AB92" i="14"/>
  <c r="A1183" i="27"/>
  <c r="AA1182" i="14"/>
  <c r="Y53" i="14" l="1"/>
  <c r="G94" i="27"/>
  <c r="I94" i="27" s="1"/>
  <c r="AB93" i="14"/>
  <c r="C1183" i="27"/>
  <c r="Z53" i="14" l="1"/>
  <c r="AC53" i="14" s="1"/>
  <c r="K94" i="27"/>
  <c r="E1183" i="27"/>
  <c r="U54" i="14" l="1"/>
  <c r="AD53" i="14"/>
  <c r="G95" i="27"/>
  <c r="I95" i="27" s="1"/>
  <c r="AB94" i="14"/>
  <c r="A1184" i="27"/>
  <c r="C1184" i="27" s="1"/>
  <c r="AA1183" i="14"/>
  <c r="Y54" i="14" l="1"/>
  <c r="K95" i="27"/>
  <c r="E1184" i="27"/>
  <c r="Z54" i="14" l="1"/>
  <c r="AC54" i="14" s="1"/>
  <c r="G96" i="27"/>
  <c r="I96" i="27" s="1"/>
  <c r="K96" i="27" s="1"/>
  <c r="AB95" i="14"/>
  <c r="A1185" i="27"/>
  <c r="AA1184" i="14"/>
  <c r="U55" i="14" l="1"/>
  <c r="AD54" i="14"/>
  <c r="G97" i="27"/>
  <c r="I97" i="27" s="1"/>
  <c r="K97" i="27" s="1"/>
  <c r="AB96" i="14"/>
  <c r="C1185" i="27"/>
  <c r="Y55" i="14" l="1"/>
  <c r="G98" i="27"/>
  <c r="I98" i="27" s="1"/>
  <c r="AB97" i="14"/>
  <c r="E1185" i="27"/>
  <c r="Z55" i="14" l="1"/>
  <c r="AC55" i="14" s="1"/>
  <c r="A1186" i="27"/>
  <c r="C1186" i="27" s="1"/>
  <c r="AA1185" i="14"/>
  <c r="K98" i="27"/>
  <c r="U56" i="14" l="1"/>
  <c r="AD55" i="14"/>
  <c r="G99" i="27"/>
  <c r="I99" i="27" s="1"/>
  <c r="AB98" i="14"/>
  <c r="E1186" i="27"/>
  <c r="Y56" i="14" l="1"/>
  <c r="A1187" i="27"/>
  <c r="C1187" i="27" s="1"/>
  <c r="AA1186" i="14"/>
  <c r="K99" i="27"/>
  <c r="Z56" i="14" l="1"/>
  <c r="AC56" i="14" s="1"/>
  <c r="G100" i="27"/>
  <c r="I100" i="27" s="1"/>
  <c r="AB99" i="14"/>
  <c r="E1187" i="27"/>
  <c r="U57" i="14" l="1"/>
  <c r="AD56" i="14"/>
  <c r="A1188" i="27"/>
  <c r="C1188" i="27" s="1"/>
  <c r="AA1187" i="14"/>
  <c r="K100" i="27"/>
  <c r="Y57" i="14" l="1"/>
  <c r="G101" i="27"/>
  <c r="I101" i="27" s="1"/>
  <c r="AB100" i="14"/>
  <c r="E1188" i="27"/>
  <c r="Z57" i="14" l="1"/>
  <c r="AC57" i="14" s="1"/>
  <c r="K101" i="27"/>
  <c r="G102" i="27" s="1"/>
  <c r="I102" i="27" s="1"/>
  <c r="K102" i="27" s="1"/>
  <c r="A1189" i="27"/>
  <c r="C1189" i="27" s="1"/>
  <c r="AA1188" i="14"/>
  <c r="U58" i="14" l="1"/>
  <c r="AD57" i="14"/>
  <c r="AB101" i="14"/>
  <c r="G103" i="27"/>
  <c r="I103" i="27" s="1"/>
  <c r="K103" i="27" s="1"/>
  <c r="AB102" i="14"/>
  <c r="E1189" i="27"/>
  <c r="Y58" i="14" l="1"/>
  <c r="G104" i="27"/>
  <c r="I104" i="27" s="1"/>
  <c r="AB103" i="14"/>
  <c r="A1190" i="27"/>
  <c r="C1190" i="27" s="1"/>
  <c r="AA1189" i="14"/>
  <c r="Z58" i="14" l="1"/>
  <c r="AC58" i="14" s="1"/>
  <c r="K104" i="27"/>
  <c r="E1190" i="27"/>
  <c r="U59" i="14" l="1"/>
  <c r="AD58" i="14"/>
  <c r="G105" i="27"/>
  <c r="I105" i="27" s="1"/>
  <c r="AB104" i="14"/>
  <c r="A1191" i="27"/>
  <c r="C1191" i="27" s="1"/>
  <c r="AA1190" i="14"/>
  <c r="Y59" i="14" l="1"/>
  <c r="K105" i="27"/>
  <c r="E1191" i="27"/>
  <c r="Z59" i="14" l="1"/>
  <c r="AC59" i="14" s="1"/>
  <c r="G106" i="27"/>
  <c r="I106" i="27" s="1"/>
  <c r="K106" i="27" s="1"/>
  <c r="AB105" i="14"/>
  <c r="A1192" i="27"/>
  <c r="C1192" i="27" s="1"/>
  <c r="AA1191" i="14"/>
  <c r="U60" i="14" l="1"/>
  <c r="AD59" i="14"/>
  <c r="G107" i="27"/>
  <c r="I107" i="27" s="1"/>
  <c r="AB106" i="14"/>
  <c r="E1192" i="27"/>
  <c r="Y60" i="14" l="1"/>
  <c r="A1193" i="27"/>
  <c r="C1193" i="27" s="1"/>
  <c r="AA1192" i="14"/>
  <c r="K107" i="27"/>
  <c r="Z60" i="14" l="1"/>
  <c r="AC60" i="14" s="1"/>
  <c r="G108" i="27"/>
  <c r="I108" i="27" s="1"/>
  <c r="AB107" i="14"/>
  <c r="E1193" i="27"/>
  <c r="U61" i="14" l="1"/>
  <c r="AD60" i="14"/>
  <c r="A1194" i="27"/>
  <c r="C1194" i="27" s="1"/>
  <c r="AA1193" i="14"/>
  <c r="K108" i="27"/>
  <c r="Y61" i="14" l="1"/>
  <c r="G109" i="27"/>
  <c r="I109" i="27" s="1"/>
  <c r="AB108" i="14"/>
  <c r="E1194" i="27"/>
  <c r="Z61" i="14" l="1"/>
  <c r="AC61" i="14" s="1"/>
  <c r="A1195" i="27"/>
  <c r="C1195" i="27" s="1"/>
  <c r="AA1194" i="14"/>
  <c r="K109" i="27"/>
  <c r="U62" i="14" l="1"/>
  <c r="AD61" i="14"/>
  <c r="G110" i="27"/>
  <c r="I110" i="27" s="1"/>
  <c r="K110" i="27" s="1"/>
  <c r="AB109" i="14"/>
  <c r="E1195" i="27"/>
  <c r="Y62" i="14" l="1"/>
  <c r="G111" i="27"/>
  <c r="I111" i="27" s="1"/>
  <c r="K111" i="27" s="1"/>
  <c r="AB110" i="14"/>
  <c r="A1196" i="27"/>
  <c r="C1196" i="27" s="1"/>
  <c r="AA1195" i="14"/>
  <c r="Z62" i="14" l="1"/>
  <c r="AC62" i="14" s="1"/>
  <c r="G112" i="27"/>
  <c r="I112" i="27" s="1"/>
  <c r="AB111" i="14"/>
  <c r="E1196" i="27"/>
  <c r="U63" i="14" l="1"/>
  <c r="AD62" i="14"/>
  <c r="A1197" i="27"/>
  <c r="C1197" i="27" s="1"/>
  <c r="AA1196" i="14"/>
  <c r="K112" i="27"/>
  <c r="Y63" i="14" l="1"/>
  <c r="G113" i="27"/>
  <c r="I113" i="27" s="1"/>
  <c r="AB112" i="14"/>
  <c r="E1197" i="27"/>
  <c r="Z63" i="14" l="1"/>
  <c r="AC63" i="14" s="1"/>
  <c r="A1198" i="27"/>
  <c r="C1198" i="27" s="1"/>
  <c r="AA1197" i="14"/>
  <c r="K113" i="27"/>
  <c r="U64" i="14" l="1"/>
  <c r="AD63" i="14"/>
  <c r="G114" i="27"/>
  <c r="I114" i="27" s="1"/>
  <c r="AB113" i="14"/>
  <c r="E1198" i="27"/>
  <c r="Y64" i="14" l="1"/>
  <c r="A1199" i="27"/>
  <c r="C1199" i="27" s="1"/>
  <c r="AA1198" i="14"/>
  <c r="K114" i="27"/>
  <c r="Z64" i="14" l="1"/>
  <c r="AC64" i="14" s="1"/>
  <c r="G115" i="27"/>
  <c r="I115" i="27" s="1"/>
  <c r="K115" i="27" s="1"/>
  <c r="AB114" i="14"/>
  <c r="E1199" i="27"/>
  <c r="U65" i="14" l="1"/>
  <c r="AD64" i="14"/>
  <c r="G116" i="27"/>
  <c r="I116" i="27" s="1"/>
  <c r="AB115" i="14"/>
  <c r="A1200" i="27"/>
  <c r="C1200" i="27" s="1"/>
  <c r="AA1199" i="14"/>
  <c r="Y65" i="14" l="1"/>
  <c r="K116" i="27"/>
  <c r="E1200" i="27"/>
  <c r="Z65" i="14" l="1"/>
  <c r="AC65" i="14" s="1"/>
  <c r="G117" i="27"/>
  <c r="I117" i="27" s="1"/>
  <c r="K117" i="27" s="1"/>
  <c r="AB116" i="14"/>
  <c r="A1201" i="27"/>
  <c r="C1201" i="27" s="1"/>
  <c r="AA1200" i="14"/>
  <c r="U66" i="14" l="1"/>
  <c r="AD65" i="14"/>
  <c r="G118" i="27"/>
  <c r="I118" i="27" s="1"/>
  <c r="AB117" i="14"/>
  <c r="E1201" i="27"/>
  <c r="AA1201" i="14" s="1"/>
  <c r="Y66" i="14" l="1"/>
  <c r="K118" i="27"/>
  <c r="Z66" i="14" l="1"/>
  <c r="AC66" i="14" s="1"/>
  <c r="G119" i="27"/>
  <c r="I119" i="27" s="1"/>
  <c r="K119" i="27" s="1"/>
  <c r="AB118" i="14"/>
  <c r="U67" i="14" l="1"/>
  <c r="AD66" i="14"/>
  <c r="G120" i="27"/>
  <c r="I120" i="27" s="1"/>
  <c r="AB119" i="14"/>
  <c r="Y67" i="14" l="1"/>
  <c r="K120" i="27"/>
  <c r="Z67" i="14" l="1"/>
  <c r="AC67" i="14" s="1"/>
  <c r="G121" i="27"/>
  <c r="I121" i="27" s="1"/>
  <c r="AB120" i="14"/>
  <c r="U68" i="14" l="1"/>
  <c r="AD67" i="14"/>
  <c r="K121" i="27"/>
  <c r="Y68" i="14" l="1"/>
  <c r="G122" i="27"/>
  <c r="I122" i="27" s="1"/>
  <c r="AB121" i="14"/>
  <c r="Z68" i="14" l="1"/>
  <c r="AC68" i="14" s="1"/>
  <c r="K122" i="27"/>
  <c r="U69" i="14" l="1"/>
  <c r="AD68" i="14"/>
  <c r="G123" i="27"/>
  <c r="I123" i="27" s="1"/>
  <c r="AB122" i="14"/>
  <c r="Y69" i="14" l="1"/>
  <c r="K123" i="27"/>
  <c r="Z69" i="14" l="1"/>
  <c r="AC69" i="14" s="1"/>
  <c r="G124" i="27"/>
  <c r="I124" i="27" s="1"/>
  <c r="AB123" i="14"/>
  <c r="U70" i="14" l="1"/>
  <c r="AD69" i="14"/>
  <c r="K124" i="27"/>
  <c r="Y70" i="14" l="1"/>
  <c r="G125" i="27"/>
  <c r="I125" i="27" s="1"/>
  <c r="AB124" i="14"/>
  <c r="Z70" i="14" l="1"/>
  <c r="AC70" i="14" s="1"/>
  <c r="K125" i="27"/>
  <c r="U71" i="14" l="1"/>
  <c r="AD70" i="14"/>
  <c r="G126" i="27"/>
  <c r="I126" i="27" s="1"/>
  <c r="K126" i="27" s="1"/>
  <c r="AB125" i="14"/>
  <c r="Y71" i="14" l="1"/>
  <c r="G127" i="27"/>
  <c r="I127" i="27" s="1"/>
  <c r="K127" i="27" s="1"/>
  <c r="AB126" i="14"/>
  <c r="Z71" i="14" l="1"/>
  <c r="AC71" i="14" s="1"/>
  <c r="G128" i="27"/>
  <c r="I128" i="27" s="1"/>
  <c r="AB127" i="14"/>
  <c r="U72" i="14" l="1"/>
  <c r="AD71" i="14"/>
  <c r="K128" i="27"/>
  <c r="Y72" i="14" l="1"/>
  <c r="G129" i="27"/>
  <c r="I129" i="27" s="1"/>
  <c r="AB128" i="14"/>
  <c r="Z72" i="14" l="1"/>
  <c r="AC72" i="14" s="1"/>
  <c r="K129" i="27"/>
  <c r="U73" i="14" l="1"/>
  <c r="AD72" i="14"/>
  <c r="G130" i="27"/>
  <c r="I130" i="27" s="1"/>
  <c r="AB129" i="14"/>
  <c r="Y73" i="14" l="1"/>
  <c r="K130" i="27"/>
  <c r="Z73" i="14" l="1"/>
  <c r="AC73" i="14" s="1"/>
  <c r="G131" i="27"/>
  <c r="I131" i="27" s="1"/>
  <c r="K131" i="27" s="1"/>
  <c r="AB130" i="14"/>
  <c r="U74" i="14" l="1"/>
  <c r="AD73" i="14"/>
  <c r="G132" i="27"/>
  <c r="I132" i="27" s="1"/>
  <c r="AB131" i="14"/>
  <c r="Y74" i="14" l="1"/>
  <c r="K132" i="27"/>
  <c r="Z74" i="14" l="1"/>
  <c r="AC74" i="14" s="1"/>
  <c r="G133" i="27"/>
  <c r="I133" i="27" s="1"/>
  <c r="K133" i="27" s="1"/>
  <c r="AB132" i="14"/>
  <c r="U75" i="14" l="1"/>
  <c r="AD74" i="14"/>
  <c r="G134" i="27"/>
  <c r="I134" i="27" s="1"/>
  <c r="AB133" i="14"/>
  <c r="Y75" i="14" l="1"/>
  <c r="K134" i="27"/>
  <c r="Z75" i="14" l="1"/>
  <c r="AC75" i="14" s="1"/>
  <c r="G135" i="27"/>
  <c r="I135" i="27" s="1"/>
  <c r="AB134" i="14"/>
  <c r="U76" i="14" l="1"/>
  <c r="AD75" i="14"/>
  <c r="K135" i="27"/>
  <c r="Y76" i="14" l="1"/>
  <c r="G136" i="27"/>
  <c r="I136" i="27" s="1"/>
  <c r="K136" i="27" s="1"/>
  <c r="AB135" i="14"/>
  <c r="Z76" i="14" l="1"/>
  <c r="AC76" i="14" s="1"/>
  <c r="G137" i="27"/>
  <c r="I137" i="27" s="1"/>
  <c r="K137" i="27" s="1"/>
  <c r="AB136" i="14"/>
  <c r="U77" i="14" l="1"/>
  <c r="AD76" i="14"/>
  <c r="G138" i="27"/>
  <c r="I138" i="27" s="1"/>
  <c r="AB137" i="14"/>
  <c r="Y77" i="14" l="1"/>
  <c r="K138" i="27"/>
  <c r="Z77" i="14" l="1"/>
  <c r="AC77" i="14" s="1"/>
  <c r="G139" i="27"/>
  <c r="I139" i="27" s="1"/>
  <c r="AB138" i="14"/>
  <c r="U78" i="14" l="1"/>
  <c r="AD77" i="14"/>
  <c r="K139" i="27"/>
  <c r="Y78" i="14" l="1"/>
  <c r="G140" i="27"/>
  <c r="I140" i="27" s="1"/>
  <c r="AB139" i="14"/>
  <c r="Z78" i="14" l="1"/>
  <c r="AC78" i="14" s="1"/>
  <c r="K140" i="27"/>
  <c r="U79" i="14" l="1"/>
  <c r="AD78" i="14"/>
  <c r="G141" i="27"/>
  <c r="I141" i="27" s="1"/>
  <c r="AB140" i="14"/>
  <c r="Y79" i="14" l="1"/>
  <c r="Z79" i="14" s="1"/>
  <c r="AC79" i="14" s="1"/>
  <c r="K141" i="27"/>
  <c r="U80" i="14" l="1"/>
  <c r="AD79" i="14"/>
  <c r="G142" i="27"/>
  <c r="I142" i="27" s="1"/>
  <c r="AB141" i="14"/>
  <c r="Y80" i="14" l="1"/>
  <c r="K142" i="27"/>
  <c r="Z80" i="14" l="1"/>
  <c r="AC80" i="14" s="1"/>
  <c r="G143" i="27"/>
  <c r="I143" i="27" s="1"/>
  <c r="K143" i="27" s="1"/>
  <c r="AB142" i="14"/>
  <c r="U81" i="14" l="1"/>
  <c r="AD80" i="14"/>
  <c r="G144" i="27"/>
  <c r="I144" i="27" s="1"/>
  <c r="AB143" i="14"/>
  <c r="Y81" i="14" l="1"/>
  <c r="K144" i="27"/>
  <c r="Z81" i="14" l="1"/>
  <c r="AC81" i="14" s="1"/>
  <c r="G145" i="27"/>
  <c r="I145" i="27" s="1"/>
  <c r="K145" i="27" s="1"/>
  <c r="AB144" i="14"/>
  <c r="U82" i="14" l="1"/>
  <c r="AD81" i="14"/>
  <c r="G146" i="27"/>
  <c r="I146" i="27" s="1"/>
  <c r="AB145" i="14"/>
  <c r="Y82" i="14" l="1"/>
  <c r="K146" i="27"/>
  <c r="Z82" i="14" l="1"/>
  <c r="AC82" i="14" s="1"/>
  <c r="G147" i="27"/>
  <c r="I147" i="27" s="1"/>
  <c r="AB146" i="14"/>
  <c r="U83" i="14" l="1"/>
  <c r="AD82" i="14"/>
  <c r="K147" i="27"/>
  <c r="Y83" i="14" l="1"/>
  <c r="G148" i="27"/>
  <c r="I148" i="27" s="1"/>
  <c r="AB147" i="14"/>
  <c r="Z83" i="14" l="1"/>
  <c r="AC83" i="14" s="1"/>
  <c r="K148" i="27"/>
  <c r="U84" i="14" l="1"/>
  <c r="AD83" i="14"/>
  <c r="G149" i="27"/>
  <c r="I149" i="27" s="1"/>
  <c r="K149" i="27" s="1"/>
  <c r="AB148" i="14"/>
  <c r="Y84" i="14" l="1"/>
  <c r="G150" i="27"/>
  <c r="I150" i="27" s="1"/>
  <c r="AB149" i="14"/>
  <c r="Z84" i="14" l="1"/>
  <c r="AC84" i="14" s="1"/>
  <c r="K150" i="27"/>
  <c r="U85" i="14" l="1"/>
  <c r="AD84" i="14"/>
  <c r="G151" i="27"/>
  <c r="I151" i="27" s="1"/>
  <c r="AB150" i="14"/>
  <c r="Y85" i="14" l="1"/>
  <c r="Z85" i="14" s="1"/>
  <c r="AC85" i="14" s="1"/>
  <c r="K151" i="27"/>
  <c r="U86" i="14" l="1"/>
  <c r="AD85" i="14"/>
  <c r="G152" i="27"/>
  <c r="I152" i="27" s="1"/>
  <c r="K152" i="27" s="1"/>
  <c r="AB151" i="14"/>
  <c r="Y86" i="14" l="1"/>
  <c r="G153" i="27"/>
  <c r="I153" i="27" s="1"/>
  <c r="K153" i="27" s="1"/>
  <c r="AB152" i="14"/>
  <c r="Z86" i="14" l="1"/>
  <c r="AC86" i="14" s="1"/>
  <c r="G154" i="27"/>
  <c r="I154" i="27" s="1"/>
  <c r="K154" i="27" s="1"/>
  <c r="AB153" i="14"/>
  <c r="U87" i="14" l="1"/>
  <c r="AD86" i="14"/>
  <c r="G155" i="27"/>
  <c r="I155" i="27" s="1"/>
  <c r="AB154" i="14"/>
  <c r="Y87" i="14" l="1"/>
  <c r="K155" i="27"/>
  <c r="Z87" i="14" l="1"/>
  <c r="AC87" i="14" s="1"/>
  <c r="G156" i="27"/>
  <c r="I156" i="27" s="1"/>
  <c r="AB155" i="14"/>
  <c r="U88" i="14" l="1"/>
  <c r="AD87" i="14"/>
  <c r="K156" i="27"/>
  <c r="Y88" i="14" l="1"/>
  <c r="G157" i="27"/>
  <c r="I157" i="27" s="1"/>
  <c r="AB156" i="14"/>
  <c r="Z88" i="14" l="1"/>
  <c r="AC88" i="14" s="1"/>
  <c r="K157" i="27"/>
  <c r="U89" i="14" l="1"/>
  <c r="AD88" i="14"/>
  <c r="G158" i="27"/>
  <c r="I158" i="27" s="1"/>
  <c r="AB157" i="14"/>
  <c r="Y89" i="14" l="1"/>
  <c r="K158" i="27"/>
  <c r="Z89" i="14" l="1"/>
  <c r="AC89" i="14" s="1"/>
  <c r="G159" i="27"/>
  <c r="I159" i="27" s="1"/>
  <c r="K159" i="27" s="1"/>
  <c r="AB158" i="14"/>
  <c r="U90" i="14" l="1"/>
  <c r="AD89" i="14"/>
  <c r="G160" i="27"/>
  <c r="I160" i="27" s="1"/>
  <c r="AB159" i="14"/>
  <c r="Y90" i="14" l="1"/>
  <c r="K160" i="27"/>
  <c r="Z90" i="14" l="1"/>
  <c r="AC90" i="14" s="1"/>
  <c r="G161" i="27"/>
  <c r="I161" i="27" s="1"/>
  <c r="AB160" i="14"/>
  <c r="U91" i="14" l="1"/>
  <c r="AD90" i="14"/>
  <c r="K161" i="27"/>
  <c r="Y91" i="14" l="1"/>
  <c r="G162" i="27"/>
  <c r="I162" i="27" s="1"/>
  <c r="K162" i="27" s="1"/>
  <c r="AB161" i="14"/>
  <c r="Z91" i="14" l="1"/>
  <c r="AC91" i="14" s="1"/>
  <c r="G163" i="27"/>
  <c r="I163" i="27" s="1"/>
  <c r="AB162" i="14"/>
  <c r="U92" i="14" l="1"/>
  <c r="AD91" i="14"/>
  <c r="K163" i="27"/>
  <c r="Y92" i="14" l="1"/>
  <c r="G164" i="27"/>
  <c r="I164" i="27" s="1"/>
  <c r="K164" i="27" s="1"/>
  <c r="AB163" i="14"/>
  <c r="Z92" i="14" l="1"/>
  <c r="AC92" i="14" s="1"/>
  <c r="G165" i="27"/>
  <c r="I165" i="27" s="1"/>
  <c r="K165" i="27" s="1"/>
  <c r="AB164" i="14"/>
  <c r="U93" i="14" l="1"/>
  <c r="AD92" i="14"/>
  <c r="G166" i="27"/>
  <c r="I166" i="27" s="1"/>
  <c r="AB165" i="14"/>
  <c r="Y93" i="14" l="1"/>
  <c r="K166" i="27"/>
  <c r="Z93" i="14" l="1"/>
  <c r="AC93" i="14" s="1"/>
  <c r="G167" i="27"/>
  <c r="I167" i="27" s="1"/>
  <c r="K167" i="27" s="1"/>
  <c r="AB166" i="14"/>
  <c r="U94" i="14" l="1"/>
  <c r="AD93" i="14"/>
  <c r="G168" i="27"/>
  <c r="I168" i="27" s="1"/>
  <c r="K168" i="27" s="1"/>
  <c r="AB167" i="14"/>
  <c r="Y94" i="14" l="1"/>
  <c r="G169" i="27"/>
  <c r="I169" i="27" s="1"/>
  <c r="AB168" i="14"/>
  <c r="Z94" i="14" l="1"/>
  <c r="AC94" i="14" s="1"/>
  <c r="K169" i="27"/>
  <c r="U95" i="14" l="1"/>
  <c r="AD94" i="14"/>
  <c r="G170" i="27"/>
  <c r="I170" i="27" s="1"/>
  <c r="K170" i="27" s="1"/>
  <c r="AB169" i="14"/>
  <c r="Y95" i="14" l="1"/>
  <c r="G171" i="27"/>
  <c r="I171" i="27" s="1"/>
  <c r="AB170" i="14"/>
  <c r="Z95" i="14" l="1"/>
  <c r="AC95" i="14" s="1"/>
  <c r="K171" i="27"/>
  <c r="U96" i="14" l="1"/>
  <c r="AD95" i="14"/>
  <c r="G172" i="27"/>
  <c r="I172" i="27" s="1"/>
  <c r="AB171" i="14"/>
  <c r="Y96" i="14" l="1"/>
  <c r="K172" i="27"/>
  <c r="Z96" i="14" l="1"/>
  <c r="AC96" i="14" s="1"/>
  <c r="G173" i="27"/>
  <c r="I173" i="27" s="1"/>
  <c r="K173" i="27" s="1"/>
  <c r="AB172" i="14"/>
  <c r="U97" i="14" l="1"/>
  <c r="AD96" i="14"/>
  <c r="G174" i="27"/>
  <c r="I174" i="27" s="1"/>
  <c r="AB173" i="14"/>
  <c r="Y97" i="14" l="1"/>
  <c r="K174" i="27"/>
  <c r="Z97" i="14" l="1"/>
  <c r="AC97" i="14" s="1"/>
  <c r="G175" i="27"/>
  <c r="I175" i="27" s="1"/>
  <c r="K175" i="27" s="1"/>
  <c r="AB174" i="14"/>
  <c r="U98" i="14" l="1"/>
  <c r="AD97" i="14"/>
  <c r="G176" i="27"/>
  <c r="I176" i="27" s="1"/>
  <c r="AB175" i="14"/>
  <c r="Y98" i="14" l="1"/>
  <c r="K176" i="27"/>
  <c r="Z98" i="14" l="1"/>
  <c r="AC98" i="14" s="1"/>
  <c r="G177" i="27"/>
  <c r="I177" i="27" s="1"/>
  <c r="AB176" i="14"/>
  <c r="U99" i="14" l="1"/>
  <c r="AD98" i="14"/>
  <c r="K177" i="27"/>
  <c r="Y99" i="14" l="1"/>
  <c r="G178" i="27"/>
  <c r="I178" i="27" s="1"/>
  <c r="AB177" i="14"/>
  <c r="Z99" i="14" l="1"/>
  <c r="AC99" i="14" s="1"/>
  <c r="K178" i="27"/>
  <c r="AD99" i="14" l="1"/>
  <c r="U100" i="14"/>
  <c r="G179" i="27"/>
  <c r="I179" i="27" s="1"/>
  <c r="AB178" i="14"/>
  <c r="Y100" i="14" l="1"/>
  <c r="Z100" i="14" s="1"/>
  <c r="AC100" i="14" s="1"/>
  <c r="K179" i="27"/>
  <c r="U101" i="14" l="1"/>
  <c r="AD100" i="14"/>
  <c r="G180" i="27"/>
  <c r="I180" i="27" s="1"/>
  <c r="AB179" i="14"/>
  <c r="Y101" i="14" l="1"/>
  <c r="K180" i="27"/>
  <c r="Z101" i="14" l="1"/>
  <c r="AC101" i="14" s="1"/>
  <c r="G181" i="27"/>
  <c r="I181" i="27" s="1"/>
  <c r="AB180" i="14"/>
  <c r="U102" i="14" l="1"/>
  <c r="AD101" i="14"/>
  <c r="K181" i="27"/>
  <c r="Y102" i="14" l="1"/>
  <c r="G182" i="27"/>
  <c r="I182" i="27" s="1"/>
  <c r="K182" i="27" s="1"/>
  <c r="AB181" i="14"/>
  <c r="Z102" i="14" l="1"/>
  <c r="AC102" i="14" s="1"/>
  <c r="G183" i="27"/>
  <c r="I183" i="27" s="1"/>
  <c r="K183" i="27" s="1"/>
  <c r="AB182" i="14"/>
  <c r="U103" i="14" l="1"/>
  <c r="AD102" i="14"/>
  <c r="G184" i="27"/>
  <c r="I184" i="27" s="1"/>
  <c r="K184" i="27" s="1"/>
  <c r="AB183" i="14"/>
  <c r="Y103" i="14" l="1"/>
  <c r="G185" i="27"/>
  <c r="I185" i="27" s="1"/>
  <c r="AB184" i="14"/>
  <c r="Z103" i="14" l="1"/>
  <c r="AC103" i="14" s="1"/>
  <c r="K185" i="27"/>
  <c r="U104" i="14" l="1"/>
  <c r="AD103" i="14"/>
  <c r="G186" i="27"/>
  <c r="I186" i="27" s="1"/>
  <c r="AB185" i="14"/>
  <c r="Y104" i="14" l="1"/>
  <c r="K186" i="27"/>
  <c r="Z104" i="14" l="1"/>
  <c r="AC104" i="14" s="1"/>
  <c r="G187" i="27"/>
  <c r="I187" i="27" s="1"/>
  <c r="K187" i="27" s="1"/>
  <c r="AB186" i="14"/>
  <c r="U105" i="14" l="1"/>
  <c r="AD104" i="14"/>
  <c r="G188" i="27"/>
  <c r="I188" i="27" s="1"/>
  <c r="K188" i="27" s="1"/>
  <c r="AB187" i="14"/>
  <c r="Y105" i="14" l="1"/>
  <c r="G189" i="27"/>
  <c r="I189" i="27" s="1"/>
  <c r="K189" i="27" s="1"/>
  <c r="AB188" i="14"/>
  <c r="Z105" i="14" l="1"/>
  <c r="AC105" i="14" s="1"/>
  <c r="G190" i="27"/>
  <c r="I190" i="27" s="1"/>
  <c r="AB189" i="14"/>
  <c r="U106" i="14" l="1"/>
  <c r="AD105" i="14"/>
  <c r="K190" i="27"/>
  <c r="Y106" i="14" l="1"/>
  <c r="G191" i="27"/>
  <c r="I191" i="27" s="1"/>
  <c r="AB190" i="14"/>
  <c r="Z106" i="14" l="1"/>
  <c r="AC106" i="14" s="1"/>
  <c r="K191" i="27"/>
  <c r="U107" i="14" l="1"/>
  <c r="AD106" i="14"/>
  <c r="G192" i="27"/>
  <c r="I192" i="27" s="1"/>
  <c r="K192" i="27" s="1"/>
  <c r="AB191" i="14"/>
  <c r="Y107" i="14" l="1"/>
  <c r="G193" i="27"/>
  <c r="I193" i="27" s="1"/>
  <c r="AB192" i="14"/>
  <c r="Z107" i="14" l="1"/>
  <c r="AC107" i="14" s="1"/>
  <c r="K193" i="27"/>
  <c r="U108" i="14" l="1"/>
  <c r="AD107" i="14"/>
  <c r="G194" i="27"/>
  <c r="I194" i="27" s="1"/>
  <c r="AB193" i="14"/>
  <c r="Y108" i="14" l="1"/>
  <c r="K194" i="27"/>
  <c r="Z108" i="14" l="1"/>
  <c r="AC108" i="14" s="1"/>
  <c r="G195" i="27"/>
  <c r="I195" i="27" s="1"/>
  <c r="AB194" i="14"/>
  <c r="U109" i="14" l="1"/>
  <c r="AD108" i="14"/>
  <c r="K195" i="27"/>
  <c r="Y109" i="14" l="1"/>
  <c r="G196" i="27"/>
  <c r="I196" i="27" s="1"/>
  <c r="K196" i="27" s="1"/>
  <c r="AB195" i="14"/>
  <c r="Z109" i="14" l="1"/>
  <c r="AC109" i="14" s="1"/>
  <c r="G197" i="27"/>
  <c r="I197" i="27" s="1"/>
  <c r="AB196" i="14"/>
  <c r="U110" i="14" l="1"/>
  <c r="AD109" i="14"/>
  <c r="K197" i="27"/>
  <c r="Y110" i="14" l="1"/>
  <c r="G198" i="27"/>
  <c r="I198" i="27" s="1"/>
  <c r="K198" i="27" s="1"/>
  <c r="AB197" i="14"/>
  <c r="Z110" i="14" l="1"/>
  <c r="AC110" i="14" s="1"/>
  <c r="G199" i="27"/>
  <c r="I199" i="27" s="1"/>
  <c r="K199" i="27" s="1"/>
  <c r="AB198" i="14"/>
  <c r="U111" i="14" l="1"/>
  <c r="AD110" i="14"/>
  <c r="G200" i="27"/>
  <c r="I200" i="27" s="1"/>
  <c r="AB199" i="14"/>
  <c r="Y111" i="14" l="1"/>
  <c r="K200" i="27"/>
  <c r="Z111" i="14" l="1"/>
  <c r="AC111" i="14" s="1"/>
  <c r="G201" i="27"/>
  <c r="I201" i="27" s="1"/>
  <c r="AB200" i="14"/>
  <c r="U112" i="14" l="1"/>
  <c r="AD111" i="14"/>
  <c r="K201" i="27"/>
  <c r="Y112" i="14" l="1"/>
  <c r="G202" i="27"/>
  <c r="I202" i="27" s="1"/>
  <c r="AB201" i="14"/>
  <c r="Z112" i="14" l="1"/>
  <c r="AC112" i="14" s="1"/>
  <c r="K202" i="27"/>
  <c r="U113" i="14" l="1"/>
  <c r="AD112" i="14"/>
  <c r="G203" i="27"/>
  <c r="I203" i="27" s="1"/>
  <c r="K203" i="27" s="1"/>
  <c r="AB202" i="14"/>
  <c r="Y113" i="14" l="1"/>
  <c r="G204" i="27"/>
  <c r="I204" i="27" s="1"/>
  <c r="AB203" i="14"/>
  <c r="Z113" i="14" l="1"/>
  <c r="AC113" i="14" s="1"/>
  <c r="K204" i="27"/>
  <c r="U114" i="14" l="1"/>
  <c r="AD113" i="14"/>
  <c r="G205" i="27"/>
  <c r="I205" i="27" s="1"/>
  <c r="AB204" i="14"/>
  <c r="Y114" i="14" l="1"/>
  <c r="K205" i="27"/>
  <c r="Z114" i="14" l="1"/>
  <c r="AC114" i="14" s="1"/>
  <c r="G206" i="27"/>
  <c r="I206" i="27" s="1"/>
  <c r="AB205" i="14"/>
  <c r="U115" i="14" l="1"/>
  <c r="AD114" i="14"/>
  <c r="K206" i="27"/>
  <c r="Y115" i="14" l="1"/>
  <c r="G207" i="27"/>
  <c r="I207" i="27" s="1"/>
  <c r="AB206" i="14"/>
  <c r="Z115" i="14" l="1"/>
  <c r="AC115" i="14" s="1"/>
  <c r="K207" i="27"/>
  <c r="U116" i="14" l="1"/>
  <c r="AD115" i="14"/>
  <c r="G208" i="27"/>
  <c r="I208" i="27" s="1"/>
  <c r="AB207" i="14"/>
  <c r="Y116" i="14" l="1"/>
  <c r="K208" i="27"/>
  <c r="Z116" i="14" l="1"/>
  <c r="AC116" i="14" s="1"/>
  <c r="G209" i="27"/>
  <c r="I209" i="27" s="1"/>
  <c r="K209" i="27" s="1"/>
  <c r="AB208" i="14"/>
  <c r="U117" i="14" l="1"/>
  <c r="AD116" i="14"/>
  <c r="G210" i="27"/>
  <c r="I210" i="27" s="1"/>
  <c r="K210" i="27" s="1"/>
  <c r="AB209" i="14"/>
  <c r="Y117" i="14" l="1"/>
  <c r="G211" i="27"/>
  <c r="I211" i="27" s="1"/>
  <c r="AB210" i="14"/>
  <c r="Z117" i="14" l="1"/>
  <c r="AC117" i="14" s="1"/>
  <c r="K211" i="27"/>
  <c r="U118" i="14" l="1"/>
  <c r="AD117" i="14"/>
  <c r="G212" i="27"/>
  <c r="I212" i="27" s="1"/>
  <c r="AB211" i="14"/>
  <c r="Y118" i="14" l="1"/>
  <c r="K212" i="27"/>
  <c r="Z118" i="14" l="1"/>
  <c r="AC118" i="14" s="1"/>
  <c r="G213" i="27"/>
  <c r="I213" i="27" s="1"/>
  <c r="AB212" i="14"/>
  <c r="U119" i="14" l="1"/>
  <c r="AD118" i="14"/>
  <c r="K213" i="27"/>
  <c r="Y119" i="14" l="1"/>
  <c r="G214" i="27"/>
  <c r="I214" i="27" s="1"/>
  <c r="K214" i="27" s="1"/>
  <c r="AB213" i="14"/>
  <c r="Z119" i="14" l="1"/>
  <c r="AC119" i="14" s="1"/>
  <c r="G215" i="27"/>
  <c r="I215" i="27" s="1"/>
  <c r="K215" i="27" s="1"/>
  <c r="AB214" i="14"/>
  <c r="U120" i="14" l="1"/>
  <c r="AD119" i="14"/>
  <c r="G216" i="27"/>
  <c r="I216" i="27" s="1"/>
  <c r="AB215" i="14"/>
  <c r="Y120" i="14" l="1"/>
  <c r="K216" i="27"/>
  <c r="Z120" i="14" l="1"/>
  <c r="AC120" i="14" s="1"/>
  <c r="G217" i="27"/>
  <c r="I217" i="27" s="1"/>
  <c r="K217" i="27" s="1"/>
  <c r="AB216" i="14"/>
  <c r="U121" i="14" l="1"/>
  <c r="AD120" i="14"/>
  <c r="G218" i="27"/>
  <c r="I218" i="27" s="1"/>
  <c r="AB217" i="14"/>
  <c r="Y121" i="14" l="1"/>
  <c r="K218" i="27"/>
  <c r="Z121" i="14" l="1"/>
  <c r="AC121" i="14" s="1"/>
  <c r="G219" i="27"/>
  <c r="I219" i="27" s="1"/>
  <c r="AB218" i="14"/>
  <c r="U122" i="14" l="1"/>
  <c r="AD121" i="14"/>
  <c r="K219" i="27"/>
  <c r="Y122" i="14" l="1"/>
  <c r="G220" i="27"/>
  <c r="I220" i="27" s="1"/>
  <c r="AB219" i="14"/>
  <c r="Z122" i="14" l="1"/>
  <c r="AC122" i="14" s="1"/>
  <c r="K220" i="27"/>
  <c r="U123" i="14" l="1"/>
  <c r="AD122" i="14"/>
  <c r="G221" i="27"/>
  <c r="I221" i="27" s="1"/>
  <c r="K221" i="27" s="1"/>
  <c r="AB220" i="14"/>
  <c r="Y123" i="14" l="1"/>
  <c r="G222" i="27"/>
  <c r="I222" i="27" s="1"/>
  <c r="AB221" i="14"/>
  <c r="Z123" i="14" l="1"/>
  <c r="AC123" i="14" s="1"/>
  <c r="K222" i="27"/>
  <c r="U124" i="14" l="1"/>
  <c r="AD123" i="14"/>
  <c r="G223" i="27"/>
  <c r="I223" i="27" s="1"/>
  <c r="AB222" i="14"/>
  <c r="Y124" i="14" l="1"/>
  <c r="K223" i="27"/>
  <c r="Z124" i="14" l="1"/>
  <c r="AC124" i="14" s="1"/>
  <c r="G224" i="27"/>
  <c r="I224" i="27" s="1"/>
  <c r="K224" i="27" s="1"/>
  <c r="AB223" i="14"/>
  <c r="U125" i="14" l="1"/>
  <c r="AD124" i="14"/>
  <c r="G225" i="27"/>
  <c r="I225" i="27" s="1"/>
  <c r="K225" i="27" s="1"/>
  <c r="AB224" i="14"/>
  <c r="Y125" i="14" l="1"/>
  <c r="G226" i="27"/>
  <c r="I226" i="27" s="1"/>
  <c r="K226" i="27" s="1"/>
  <c r="AB225" i="14"/>
  <c r="Z125" i="14" l="1"/>
  <c r="AC125" i="14" s="1"/>
  <c r="G227" i="27"/>
  <c r="I227" i="27" s="1"/>
  <c r="AB226" i="14"/>
  <c r="U126" i="14" l="1"/>
  <c r="AD125" i="14"/>
  <c r="K227" i="27"/>
  <c r="Y126" i="14" l="1"/>
  <c r="G228" i="27"/>
  <c r="I228" i="27" s="1"/>
  <c r="AB227" i="14"/>
  <c r="Z126" i="14" l="1"/>
  <c r="AC126" i="14" s="1"/>
  <c r="K228" i="27"/>
  <c r="U127" i="14" l="1"/>
  <c r="AD126" i="14"/>
  <c r="G229" i="27"/>
  <c r="I229" i="27" s="1"/>
  <c r="AB228" i="14"/>
  <c r="Y127" i="14" l="1"/>
  <c r="K229" i="27"/>
  <c r="Z127" i="14" l="1"/>
  <c r="AC127" i="14" s="1"/>
  <c r="G230" i="27"/>
  <c r="I230" i="27" s="1"/>
  <c r="AB229" i="14"/>
  <c r="U128" i="14" l="1"/>
  <c r="AD127" i="14"/>
  <c r="K230" i="27"/>
  <c r="Y128" i="14" l="1"/>
  <c r="G231" i="27"/>
  <c r="I231" i="27" s="1"/>
  <c r="K231" i="27" s="1"/>
  <c r="AB230" i="14"/>
  <c r="Z128" i="14" l="1"/>
  <c r="AC128" i="14" s="1"/>
  <c r="G232" i="27"/>
  <c r="I232" i="27" s="1"/>
  <c r="AB231" i="14"/>
  <c r="U129" i="14" l="1"/>
  <c r="AD128" i="14"/>
  <c r="K232" i="27"/>
  <c r="Y129" i="14" l="1"/>
  <c r="G233" i="27"/>
  <c r="I233" i="27" s="1"/>
  <c r="AB232" i="14"/>
  <c r="Z129" i="14" l="1"/>
  <c r="AC129" i="14" s="1"/>
  <c r="K233" i="27"/>
  <c r="U130" i="14" l="1"/>
  <c r="AD129" i="14"/>
  <c r="G234" i="27"/>
  <c r="I234" i="27" s="1"/>
  <c r="K234" i="27" s="1"/>
  <c r="AB233" i="14"/>
  <c r="Y130" i="14" l="1"/>
  <c r="G235" i="27"/>
  <c r="I235" i="27" s="1"/>
  <c r="AB234" i="14"/>
  <c r="Z130" i="14" l="1"/>
  <c r="AC130" i="14" s="1"/>
  <c r="K235" i="27"/>
  <c r="U131" i="14" l="1"/>
  <c r="AD130" i="14"/>
  <c r="G236" i="27"/>
  <c r="I236" i="27" s="1"/>
  <c r="K236" i="27" s="1"/>
  <c r="AB235" i="14"/>
  <c r="Y131" i="14" l="1"/>
  <c r="G237" i="27"/>
  <c r="I237" i="27" s="1"/>
  <c r="K237" i="27" s="1"/>
  <c r="AB236" i="14"/>
  <c r="Z131" i="14" l="1"/>
  <c r="AC131" i="14" s="1"/>
  <c r="G238" i="27"/>
  <c r="I238" i="27" s="1"/>
  <c r="AB237" i="14"/>
  <c r="U132" i="14" l="1"/>
  <c r="AD131" i="14"/>
  <c r="K238" i="27"/>
  <c r="Y132" i="14" l="1"/>
  <c r="G239" i="27"/>
  <c r="I239" i="27" s="1"/>
  <c r="K239" i="27" s="1"/>
  <c r="AB238" i="14"/>
  <c r="Z132" i="14" l="1"/>
  <c r="AC132" i="14" s="1"/>
  <c r="G240" i="27"/>
  <c r="I240" i="27" s="1"/>
  <c r="AB239" i="14"/>
  <c r="U133" i="14" l="1"/>
  <c r="AD132" i="14"/>
  <c r="K240" i="27"/>
  <c r="Y133" i="14" l="1"/>
  <c r="Z133" i="14" s="1"/>
  <c r="AC133" i="14" s="1"/>
  <c r="G241" i="27"/>
  <c r="I241" i="27" s="1"/>
  <c r="K241" i="27" s="1"/>
  <c r="AB240" i="14"/>
  <c r="U134" i="14" l="1"/>
  <c r="AD133" i="14"/>
  <c r="G242" i="27"/>
  <c r="I242" i="27" s="1"/>
  <c r="AB241" i="14"/>
  <c r="Y134" i="14" l="1"/>
  <c r="K242" i="27"/>
  <c r="Z134" i="14" l="1"/>
  <c r="AC134" i="14" s="1"/>
  <c r="G243" i="27"/>
  <c r="I243" i="27" s="1"/>
  <c r="K243" i="27" s="1"/>
  <c r="AB242" i="14"/>
  <c r="U135" i="14" l="1"/>
  <c r="AD134" i="14"/>
  <c r="G244" i="27"/>
  <c r="I244" i="27" s="1"/>
  <c r="AB243" i="14"/>
  <c r="Y135" i="14" l="1"/>
  <c r="K244" i="27"/>
  <c r="Z135" i="14" l="1"/>
  <c r="AC135" i="14" s="1"/>
  <c r="G245" i="27"/>
  <c r="I245" i="27" s="1"/>
  <c r="K245" i="27" s="1"/>
  <c r="AB244" i="14"/>
  <c r="U136" i="14" l="1"/>
  <c r="AD135" i="14"/>
  <c r="G246" i="27"/>
  <c r="I246" i="27" s="1"/>
  <c r="K246" i="27" s="1"/>
  <c r="AB245" i="14"/>
  <c r="Y136" i="14" l="1"/>
  <c r="G247" i="27"/>
  <c r="I247" i="27" s="1"/>
  <c r="K247" i="27" s="1"/>
  <c r="AB246" i="14"/>
  <c r="Z136" i="14" l="1"/>
  <c r="AC136" i="14" s="1"/>
  <c r="G248" i="27"/>
  <c r="I248" i="27" s="1"/>
  <c r="AB247" i="14"/>
  <c r="U137" i="14" l="1"/>
  <c r="AD136" i="14"/>
  <c r="K248" i="27"/>
  <c r="Y137" i="14" l="1"/>
  <c r="G249" i="27"/>
  <c r="I249" i="27" s="1"/>
  <c r="AB248" i="14"/>
  <c r="Z137" i="14" l="1"/>
  <c r="AC137" i="14" s="1"/>
  <c r="K249" i="27"/>
  <c r="U138" i="14" l="1"/>
  <c r="AD137" i="14"/>
  <c r="G250" i="27"/>
  <c r="I250" i="27" s="1"/>
  <c r="K250" i="27" s="1"/>
  <c r="AB249" i="14"/>
  <c r="Y138" i="14" l="1"/>
  <c r="G251" i="27"/>
  <c r="I251" i="27" s="1"/>
  <c r="AB250" i="14"/>
  <c r="Z138" i="14" l="1"/>
  <c r="AC138" i="14" s="1"/>
  <c r="K251" i="27"/>
  <c r="U139" i="14" l="1"/>
  <c r="AD138" i="14"/>
  <c r="G252" i="27"/>
  <c r="I252" i="27" s="1"/>
  <c r="K252" i="27" s="1"/>
  <c r="AB251" i="14"/>
  <c r="Y139" i="14" l="1"/>
  <c r="G253" i="27"/>
  <c r="I253" i="27" s="1"/>
  <c r="K253" i="27" s="1"/>
  <c r="AB252" i="14"/>
  <c r="Z139" i="14" l="1"/>
  <c r="AC139" i="14" s="1"/>
  <c r="G254" i="27"/>
  <c r="I254" i="27" s="1"/>
  <c r="AB253" i="14"/>
  <c r="U140" i="14" l="1"/>
  <c r="AD139" i="14"/>
  <c r="K254" i="27"/>
  <c r="Y140" i="14" l="1"/>
  <c r="G255" i="27"/>
  <c r="I255" i="27" s="1"/>
  <c r="K255" i="27" s="1"/>
  <c r="AB254" i="14"/>
  <c r="Z140" i="14" l="1"/>
  <c r="AC140" i="14" s="1"/>
  <c r="G256" i="27"/>
  <c r="I256" i="27" s="1"/>
  <c r="AB255" i="14"/>
  <c r="U141" i="14" l="1"/>
  <c r="AD140" i="14"/>
  <c r="K256" i="27"/>
  <c r="Y141" i="14" l="1"/>
  <c r="G257" i="27"/>
  <c r="I257" i="27" s="1"/>
  <c r="K257" i="27" s="1"/>
  <c r="AB256" i="14"/>
  <c r="Z141" i="14" l="1"/>
  <c r="AC141" i="14" s="1"/>
  <c r="G258" i="27"/>
  <c r="I258" i="27" s="1"/>
  <c r="AB257" i="14"/>
  <c r="U142" i="14" l="1"/>
  <c r="AD141" i="14"/>
  <c r="K258" i="27"/>
  <c r="Y142" i="14" l="1"/>
  <c r="G259" i="27"/>
  <c r="I259" i="27" s="1"/>
  <c r="K259" i="27" s="1"/>
  <c r="AB258" i="14"/>
  <c r="Z142" i="14" l="1"/>
  <c r="AC142" i="14" s="1"/>
  <c r="G260" i="27"/>
  <c r="I260" i="27" s="1"/>
  <c r="AB259" i="14"/>
  <c r="U143" i="14" l="1"/>
  <c r="AD142" i="14"/>
  <c r="K260" i="27"/>
  <c r="Y143" i="14" l="1"/>
  <c r="G261" i="27"/>
  <c r="I261" i="27" s="1"/>
  <c r="K261" i="27" s="1"/>
  <c r="AB260" i="14"/>
  <c r="Z143" i="14" l="1"/>
  <c r="AC143" i="14" s="1"/>
  <c r="G262" i="27"/>
  <c r="I262" i="27" s="1"/>
  <c r="AB261" i="14"/>
  <c r="U144" i="14" l="1"/>
  <c r="AD143" i="14"/>
  <c r="K262" i="27"/>
  <c r="Y144" i="14" l="1"/>
  <c r="G263" i="27"/>
  <c r="I263" i="27" s="1"/>
  <c r="K263" i="27" s="1"/>
  <c r="AB262" i="14"/>
  <c r="Z144" i="14" l="1"/>
  <c r="AC144" i="14" s="1"/>
  <c r="G264" i="27"/>
  <c r="I264" i="27" s="1"/>
  <c r="AB263" i="14"/>
  <c r="U145" i="14" l="1"/>
  <c r="AD144" i="14"/>
  <c r="K264" i="27"/>
  <c r="Y145" i="14" l="1"/>
  <c r="G265" i="27"/>
  <c r="I265" i="27" s="1"/>
  <c r="K265" i="27" s="1"/>
  <c r="AB264" i="14"/>
  <c r="Z145" i="14" l="1"/>
  <c r="AC145" i="14" s="1"/>
  <c r="G266" i="27"/>
  <c r="I266" i="27" s="1"/>
  <c r="K266" i="27" s="1"/>
  <c r="AB265" i="14"/>
  <c r="U146" i="14" l="1"/>
  <c r="AD145" i="14"/>
  <c r="G267" i="27"/>
  <c r="I267" i="27" s="1"/>
  <c r="AB266" i="14"/>
  <c r="Y146" i="14" l="1"/>
  <c r="K267" i="27"/>
  <c r="Z146" i="14" l="1"/>
  <c r="AC146" i="14" s="1"/>
  <c r="G268" i="27"/>
  <c r="I268" i="27" s="1"/>
  <c r="K268" i="27" s="1"/>
  <c r="AB267" i="14"/>
  <c r="U147" i="14" l="1"/>
  <c r="AD146" i="14"/>
  <c r="G269" i="27"/>
  <c r="I269" i="27" s="1"/>
  <c r="AB268" i="14"/>
  <c r="Y147" i="14" l="1"/>
  <c r="K269" i="27"/>
  <c r="Z147" i="14" l="1"/>
  <c r="AC147" i="14" s="1"/>
  <c r="G270" i="27"/>
  <c r="I270" i="27" s="1"/>
  <c r="K270" i="27" s="1"/>
  <c r="AB269" i="14"/>
  <c r="U148" i="14" l="1"/>
  <c r="AD147" i="14"/>
  <c r="G271" i="27"/>
  <c r="I271" i="27" s="1"/>
  <c r="AB270" i="14"/>
  <c r="Y148" i="14" l="1"/>
  <c r="K271" i="27"/>
  <c r="Z148" i="14" l="1"/>
  <c r="AC148" i="14" s="1"/>
  <c r="G272" i="27"/>
  <c r="I272" i="27" s="1"/>
  <c r="AB271" i="14"/>
  <c r="U149" i="14" l="1"/>
  <c r="AD148" i="14"/>
  <c r="K272" i="27"/>
  <c r="Y149" i="14" l="1"/>
  <c r="G273" i="27"/>
  <c r="I273" i="27" s="1"/>
  <c r="AB272" i="14"/>
  <c r="Z149" i="14" l="1"/>
  <c r="AC149" i="14" s="1"/>
  <c r="K273" i="27"/>
  <c r="U150" i="14" l="1"/>
  <c r="AD149" i="14"/>
  <c r="G274" i="27"/>
  <c r="I274" i="27" s="1"/>
  <c r="K274" i="27" s="1"/>
  <c r="AB273" i="14"/>
  <c r="Y150" i="14" l="1"/>
  <c r="G275" i="27"/>
  <c r="I275" i="27" s="1"/>
  <c r="AB274" i="14"/>
  <c r="Z150" i="14" l="1"/>
  <c r="AC150" i="14" s="1"/>
  <c r="K275" i="27"/>
  <c r="U151" i="14" l="1"/>
  <c r="AD150" i="14"/>
  <c r="G276" i="27"/>
  <c r="I276" i="27" s="1"/>
  <c r="K276" i="27" s="1"/>
  <c r="AB275" i="14"/>
  <c r="Y151" i="14" l="1"/>
  <c r="G277" i="27"/>
  <c r="I277" i="27" s="1"/>
  <c r="AB276" i="14"/>
  <c r="Z151" i="14" l="1"/>
  <c r="AC151" i="14" s="1"/>
  <c r="K277" i="27"/>
  <c r="U152" i="14" l="1"/>
  <c r="AD151" i="14"/>
  <c r="G278" i="27"/>
  <c r="I278" i="27" s="1"/>
  <c r="AB277" i="14"/>
  <c r="Y152" i="14" l="1"/>
  <c r="K278" i="27"/>
  <c r="Z152" i="14" l="1"/>
  <c r="AC152" i="14" s="1"/>
  <c r="G279" i="27"/>
  <c r="I279" i="27" s="1"/>
  <c r="AB278" i="14"/>
  <c r="U153" i="14" l="1"/>
  <c r="AD152" i="14"/>
  <c r="K279" i="27"/>
  <c r="Y153" i="14" l="1"/>
  <c r="Z153" i="14" s="1"/>
  <c r="AC153" i="14" s="1"/>
  <c r="G280" i="27"/>
  <c r="I280" i="27" s="1"/>
  <c r="AB279" i="14"/>
  <c r="U154" i="14" l="1"/>
  <c r="AD153" i="14"/>
  <c r="K280" i="27"/>
  <c r="Y154" i="14" l="1"/>
  <c r="G281" i="27"/>
  <c r="I281" i="27" s="1"/>
  <c r="K281" i="27" s="1"/>
  <c r="AB280" i="14"/>
  <c r="Z154" i="14" l="1"/>
  <c r="AC154" i="14" s="1"/>
  <c r="G282" i="27"/>
  <c r="I282" i="27" s="1"/>
  <c r="K282" i="27" s="1"/>
  <c r="AB281" i="14"/>
  <c r="U155" i="14" l="1"/>
  <c r="AD154" i="14"/>
  <c r="G283" i="27"/>
  <c r="I283" i="27" s="1"/>
  <c r="K283" i="27" s="1"/>
  <c r="AB282" i="14"/>
  <c r="Y155" i="14" l="1"/>
  <c r="G284" i="27"/>
  <c r="I284" i="27" s="1"/>
  <c r="AB283" i="14"/>
  <c r="Z155" i="14" l="1"/>
  <c r="AC155" i="14" s="1"/>
  <c r="K284" i="27"/>
  <c r="U156" i="14" l="1"/>
  <c r="AD155" i="14"/>
  <c r="G285" i="27"/>
  <c r="I285" i="27" s="1"/>
  <c r="K285" i="27" s="1"/>
  <c r="AB284" i="14"/>
  <c r="Y156" i="14" l="1"/>
  <c r="G286" i="27"/>
  <c r="I286" i="27" s="1"/>
  <c r="AB285" i="14"/>
  <c r="Z156" i="14" l="1"/>
  <c r="AC156" i="14" s="1"/>
  <c r="K286" i="27"/>
  <c r="U157" i="14" l="1"/>
  <c r="AD156" i="14"/>
  <c r="G287" i="27"/>
  <c r="I287" i="27" s="1"/>
  <c r="K287" i="27" s="1"/>
  <c r="AB286" i="14"/>
  <c r="Y157" i="14" l="1"/>
  <c r="G288" i="27"/>
  <c r="I288" i="27" s="1"/>
  <c r="AB287" i="14"/>
  <c r="Z157" i="14" l="1"/>
  <c r="AC157" i="14" s="1"/>
  <c r="K288" i="27"/>
  <c r="U158" i="14" l="1"/>
  <c r="AD157" i="14"/>
  <c r="G289" i="27"/>
  <c r="I289" i="27" s="1"/>
  <c r="K289" i="27" s="1"/>
  <c r="AB288" i="14"/>
  <c r="Y158" i="14" l="1"/>
  <c r="G290" i="27"/>
  <c r="I290" i="27" s="1"/>
  <c r="K290" i="27" s="1"/>
  <c r="AB289" i="14"/>
  <c r="Z158" i="14" l="1"/>
  <c r="AC158" i="14" s="1"/>
  <c r="G291" i="27"/>
  <c r="I291" i="27" s="1"/>
  <c r="K291" i="27" s="1"/>
  <c r="AB290" i="14"/>
  <c r="U159" i="14" l="1"/>
  <c r="AD158" i="14"/>
  <c r="G292" i="27"/>
  <c r="I292" i="27" s="1"/>
  <c r="AB291" i="14"/>
  <c r="Y159" i="14" l="1"/>
  <c r="K292" i="27"/>
  <c r="Z159" i="14" l="1"/>
  <c r="AC159" i="14" s="1"/>
  <c r="G293" i="27"/>
  <c r="I293" i="27" s="1"/>
  <c r="K293" i="27" s="1"/>
  <c r="AB292" i="14"/>
  <c r="U160" i="14" l="1"/>
  <c r="AD159" i="14"/>
  <c r="G294" i="27"/>
  <c r="I294" i="27" s="1"/>
  <c r="AB293" i="14"/>
  <c r="Y160" i="14" l="1"/>
  <c r="K294" i="27"/>
  <c r="Z160" i="14" l="1"/>
  <c r="AC160" i="14" s="1"/>
  <c r="G295" i="27"/>
  <c r="I295" i="27" s="1"/>
  <c r="K295" i="27" s="1"/>
  <c r="AB294" i="14"/>
  <c r="U161" i="14" l="1"/>
  <c r="AD160" i="14"/>
  <c r="G296" i="27"/>
  <c r="I296" i="27" s="1"/>
  <c r="AB295" i="14"/>
  <c r="Y161" i="14" l="1"/>
  <c r="K296" i="27"/>
  <c r="Z161" i="14" l="1"/>
  <c r="AC161" i="14" s="1"/>
  <c r="G297" i="27"/>
  <c r="I297" i="27" s="1"/>
  <c r="K297" i="27" s="1"/>
  <c r="AB296" i="14"/>
  <c r="U162" i="14" l="1"/>
  <c r="AD161" i="14"/>
  <c r="G298" i="27"/>
  <c r="I298" i="27" s="1"/>
  <c r="K298" i="27" s="1"/>
  <c r="AB297" i="14"/>
  <c r="Y162" i="14" l="1"/>
  <c r="G299" i="27"/>
  <c r="I299" i="27" s="1"/>
  <c r="AB298" i="14"/>
  <c r="Z162" i="14" l="1"/>
  <c r="AC162" i="14" s="1"/>
  <c r="K299" i="27"/>
  <c r="U163" i="14" l="1"/>
  <c r="AD162" i="14"/>
  <c r="G300" i="27"/>
  <c r="I300" i="27" s="1"/>
  <c r="K300" i="27" s="1"/>
  <c r="AB299" i="14"/>
  <c r="Y163" i="14" l="1"/>
  <c r="G301" i="27"/>
  <c r="I301" i="27" s="1"/>
  <c r="AB300" i="14"/>
  <c r="Z163" i="14" l="1"/>
  <c r="AC163" i="14" s="1"/>
  <c r="K301" i="27"/>
  <c r="U164" i="14" l="1"/>
  <c r="AD163" i="14"/>
  <c r="G302" i="27"/>
  <c r="I302" i="27" s="1"/>
  <c r="K302" i="27" s="1"/>
  <c r="AB301" i="14"/>
  <c r="Y164" i="14" l="1"/>
  <c r="G303" i="27"/>
  <c r="I303" i="27" s="1"/>
  <c r="AB302" i="14"/>
  <c r="Z164" i="14" l="1"/>
  <c r="AC164" i="14" s="1"/>
  <c r="K303" i="27"/>
  <c r="U165" i="14" l="1"/>
  <c r="AD164" i="14"/>
  <c r="G304" i="27"/>
  <c r="I304" i="27" s="1"/>
  <c r="AB303" i="14"/>
  <c r="Y165" i="14" l="1"/>
  <c r="K304" i="27"/>
  <c r="Z165" i="14" l="1"/>
  <c r="AC165" i="14" s="1"/>
  <c r="G305" i="27"/>
  <c r="I305" i="27" s="1"/>
  <c r="AB304" i="14"/>
  <c r="U166" i="14" l="1"/>
  <c r="AD165" i="14"/>
  <c r="K305" i="27"/>
  <c r="Y166" i="14" l="1"/>
  <c r="G306" i="27"/>
  <c r="I306" i="27" s="1"/>
  <c r="K306" i="27" s="1"/>
  <c r="AB305" i="14"/>
  <c r="Z166" i="14" l="1"/>
  <c r="AC166" i="14" s="1"/>
  <c r="G307" i="27"/>
  <c r="I307" i="27" s="1"/>
  <c r="AB306" i="14"/>
  <c r="U167" i="14" l="1"/>
  <c r="AD166" i="14"/>
  <c r="K307" i="27"/>
  <c r="Y167" i="14" l="1"/>
  <c r="G308" i="27"/>
  <c r="I308" i="27" s="1"/>
  <c r="AB307" i="14"/>
  <c r="Z167" i="14" l="1"/>
  <c r="AC167" i="14" s="1"/>
  <c r="K308" i="27"/>
  <c r="AD167" i="14" l="1"/>
  <c r="U168" i="14"/>
  <c r="G309" i="27"/>
  <c r="I309" i="27" s="1"/>
  <c r="K309" i="27" s="1"/>
  <c r="AB308" i="14"/>
  <c r="Y168" i="14" l="1"/>
  <c r="G310" i="27"/>
  <c r="I310" i="27" s="1"/>
  <c r="AB309" i="14"/>
  <c r="Z168" i="14" l="1"/>
  <c r="AC168" i="14" s="1"/>
  <c r="K310" i="27"/>
  <c r="G311" i="27" s="1"/>
  <c r="I311" i="27" s="1"/>
  <c r="K311" i="27" s="1"/>
  <c r="U169" i="14" l="1"/>
  <c r="AD168" i="14"/>
  <c r="AB310" i="14"/>
  <c r="G312" i="27"/>
  <c r="I312" i="27" s="1"/>
  <c r="AB311" i="14"/>
  <c r="Y169" i="14" l="1"/>
  <c r="K312" i="27"/>
  <c r="Z169" i="14" l="1"/>
  <c r="AC169" i="14" s="1"/>
  <c r="G313" i="27"/>
  <c r="I313" i="27" s="1"/>
  <c r="K313" i="27" s="1"/>
  <c r="AB312" i="14"/>
  <c r="U170" i="14" l="1"/>
  <c r="AD169" i="14"/>
  <c r="G314" i="27"/>
  <c r="I314" i="27" s="1"/>
  <c r="K314" i="27" s="1"/>
  <c r="AB313" i="14"/>
  <c r="Y170" i="14" l="1"/>
  <c r="G315" i="27"/>
  <c r="I315" i="27" s="1"/>
  <c r="AB314" i="14"/>
  <c r="Z170" i="14" l="1"/>
  <c r="AC170" i="14" s="1"/>
  <c r="K315" i="27"/>
  <c r="U171" i="14" l="1"/>
  <c r="AD170" i="14"/>
  <c r="G316" i="27"/>
  <c r="I316" i="27" s="1"/>
  <c r="AB315" i="14"/>
  <c r="Y171" i="14" l="1"/>
  <c r="K316" i="27"/>
  <c r="Z171" i="14" l="1"/>
  <c r="AC171" i="14" s="1"/>
  <c r="G317" i="27"/>
  <c r="I317" i="27" s="1"/>
  <c r="K317" i="27" s="1"/>
  <c r="AB316" i="14"/>
  <c r="U172" i="14" l="1"/>
  <c r="AD171" i="14"/>
  <c r="G318" i="27"/>
  <c r="I318" i="27" s="1"/>
  <c r="K318" i="27" s="1"/>
  <c r="AB317" i="14"/>
  <c r="Y172" i="14" l="1"/>
  <c r="G319" i="27"/>
  <c r="I319" i="27" s="1"/>
  <c r="AB318" i="14"/>
  <c r="Z172" i="14" l="1"/>
  <c r="AC172" i="14" s="1"/>
  <c r="K319" i="27"/>
  <c r="U173" i="14" l="1"/>
  <c r="AD172" i="14"/>
  <c r="G320" i="27"/>
  <c r="I320" i="27" s="1"/>
  <c r="AB319" i="14"/>
  <c r="Y173" i="14" l="1"/>
  <c r="K320" i="27"/>
  <c r="Z173" i="14" l="1"/>
  <c r="AC173" i="14" s="1"/>
  <c r="G321" i="27"/>
  <c r="I321" i="27" s="1"/>
  <c r="AB320" i="14"/>
  <c r="U174" i="14" l="1"/>
  <c r="AD173" i="14"/>
  <c r="K321" i="27"/>
  <c r="Y174" i="14" l="1"/>
  <c r="G322" i="27"/>
  <c r="I322" i="27" s="1"/>
  <c r="K322" i="27" s="1"/>
  <c r="AB321" i="14"/>
  <c r="Z174" i="14" l="1"/>
  <c r="AC174" i="14" s="1"/>
  <c r="G323" i="27"/>
  <c r="I323" i="27" s="1"/>
  <c r="K323" i="27" s="1"/>
  <c r="AB322" i="14"/>
  <c r="U175" i="14" l="1"/>
  <c r="AD174" i="14"/>
  <c r="G324" i="27"/>
  <c r="I324" i="27" s="1"/>
  <c r="AB323" i="14"/>
  <c r="Y175" i="14" l="1"/>
  <c r="K324" i="27"/>
  <c r="Z175" i="14" l="1"/>
  <c r="AC175" i="14" s="1"/>
  <c r="G325" i="27"/>
  <c r="I325" i="27" s="1"/>
  <c r="AB324" i="14"/>
  <c r="U176" i="14" l="1"/>
  <c r="AD175" i="14"/>
  <c r="K325" i="27"/>
  <c r="Y176" i="14" l="1"/>
  <c r="G326" i="27"/>
  <c r="I326" i="27" s="1"/>
  <c r="AB325" i="14"/>
  <c r="Z176" i="14" l="1"/>
  <c r="AC176" i="14" s="1"/>
  <c r="K326" i="27"/>
  <c r="U177" i="14" l="1"/>
  <c r="AD176" i="14"/>
  <c r="G327" i="27"/>
  <c r="I327" i="27" s="1"/>
  <c r="K327" i="27" s="1"/>
  <c r="AB326" i="14"/>
  <c r="Y177" i="14" l="1"/>
  <c r="G328" i="27"/>
  <c r="I328" i="27" s="1"/>
  <c r="AB327" i="14"/>
  <c r="Z177" i="14" l="1"/>
  <c r="AC177" i="14" s="1"/>
  <c r="K328" i="27"/>
  <c r="U178" i="14" l="1"/>
  <c r="AD177" i="14"/>
  <c r="G329" i="27"/>
  <c r="I329" i="27" s="1"/>
  <c r="K329" i="27" s="1"/>
  <c r="AB328" i="14"/>
  <c r="Y178" i="14" l="1"/>
  <c r="G330" i="27"/>
  <c r="I330" i="27" s="1"/>
  <c r="K330" i="27" s="1"/>
  <c r="AB329" i="14"/>
  <c r="Z178" i="14" l="1"/>
  <c r="AC178" i="14" s="1"/>
  <c r="G331" i="27"/>
  <c r="I331" i="27" s="1"/>
  <c r="AB330" i="14"/>
  <c r="U179" i="14" l="1"/>
  <c r="AD178" i="14"/>
  <c r="K331" i="27"/>
  <c r="Y179" i="14" l="1"/>
  <c r="G332" i="27"/>
  <c r="I332" i="27" s="1"/>
  <c r="AB331" i="14"/>
  <c r="Z179" i="14" l="1"/>
  <c r="AC179" i="14" s="1"/>
  <c r="K332" i="27"/>
  <c r="U180" i="14" l="1"/>
  <c r="AD179" i="14"/>
  <c r="G333" i="27"/>
  <c r="I333" i="27" s="1"/>
  <c r="AB332" i="14"/>
  <c r="Y180" i="14" l="1"/>
  <c r="K333" i="27"/>
  <c r="Z180" i="14" l="1"/>
  <c r="AC180" i="14" s="1"/>
  <c r="G334" i="27"/>
  <c r="I334" i="27" s="1"/>
  <c r="AB333" i="14"/>
  <c r="U181" i="14" l="1"/>
  <c r="AD180" i="14"/>
  <c r="K334" i="27"/>
  <c r="Y181" i="14" l="1"/>
  <c r="G335" i="27"/>
  <c r="I335" i="27" s="1"/>
  <c r="AB334" i="14"/>
  <c r="Z181" i="14" l="1"/>
  <c r="AC181" i="14" s="1"/>
  <c r="K335" i="27"/>
  <c r="U182" i="14" l="1"/>
  <c r="AD181" i="14"/>
  <c r="G336" i="27"/>
  <c r="I336" i="27" s="1"/>
  <c r="AB335" i="14"/>
  <c r="Y182" i="14" l="1"/>
  <c r="K336" i="27"/>
  <c r="Z182" i="14" l="1"/>
  <c r="AC182" i="14" s="1"/>
  <c r="G337" i="27"/>
  <c r="I337" i="27" s="1"/>
  <c r="AB336" i="14"/>
  <c r="U183" i="14" l="1"/>
  <c r="AD182" i="14"/>
  <c r="K337" i="27"/>
  <c r="Y183" i="14" l="1"/>
  <c r="G338" i="27"/>
  <c r="I338" i="27" s="1"/>
  <c r="K338" i="27" s="1"/>
  <c r="AB337" i="14"/>
  <c r="Z183" i="14" l="1"/>
  <c r="AC183" i="14" s="1"/>
  <c r="G339" i="27"/>
  <c r="I339" i="27" s="1"/>
  <c r="K339" i="27" s="1"/>
  <c r="AB338" i="14"/>
  <c r="U184" i="14" l="1"/>
  <c r="AD183" i="14"/>
  <c r="G340" i="27"/>
  <c r="I340" i="27" s="1"/>
  <c r="K340" i="27" s="1"/>
  <c r="AB339" i="14"/>
  <c r="Y184" i="14" l="1"/>
  <c r="G341" i="27"/>
  <c r="I341" i="27" s="1"/>
  <c r="AB340" i="14"/>
  <c r="Z184" i="14" l="1"/>
  <c r="AC184" i="14" s="1"/>
  <c r="K341" i="27"/>
  <c r="U185" i="14" l="1"/>
  <c r="AD184" i="14"/>
  <c r="G342" i="27"/>
  <c r="I342" i="27" s="1"/>
  <c r="AB341" i="14"/>
  <c r="Y185" i="14" l="1"/>
  <c r="K342" i="27"/>
  <c r="Z185" i="14" l="1"/>
  <c r="AC185" i="14" s="1"/>
  <c r="G343" i="27"/>
  <c r="I343" i="27" s="1"/>
  <c r="AB342" i="14"/>
  <c r="U186" i="14" l="1"/>
  <c r="AD185" i="14"/>
  <c r="K343" i="27"/>
  <c r="Y186" i="14" l="1"/>
  <c r="G344" i="27"/>
  <c r="I344" i="27" s="1"/>
  <c r="AB343" i="14"/>
  <c r="Z186" i="14" l="1"/>
  <c r="AC186" i="14" s="1"/>
  <c r="K344" i="27"/>
  <c r="U187" i="14" l="1"/>
  <c r="AD186" i="14"/>
  <c r="G345" i="27"/>
  <c r="I345" i="27" s="1"/>
  <c r="K345" i="27" s="1"/>
  <c r="AB344" i="14"/>
  <c r="Y187" i="14" l="1"/>
  <c r="G346" i="27"/>
  <c r="I346" i="27" s="1"/>
  <c r="K346" i="27" s="1"/>
  <c r="AB345" i="14"/>
  <c r="Z187" i="14" l="1"/>
  <c r="AC187" i="14" s="1"/>
  <c r="G347" i="27"/>
  <c r="I347" i="27" s="1"/>
  <c r="AB346" i="14"/>
  <c r="U188" i="14" l="1"/>
  <c r="AD187" i="14"/>
  <c r="K347" i="27"/>
  <c r="Y188" i="14" l="1"/>
  <c r="G348" i="27"/>
  <c r="I348" i="27" s="1"/>
  <c r="K348" i="27" s="1"/>
  <c r="AB347" i="14"/>
  <c r="Z188" i="14" l="1"/>
  <c r="AC188" i="14" s="1"/>
  <c r="G349" i="27"/>
  <c r="I349" i="27" s="1"/>
  <c r="AB348" i="14"/>
  <c r="U189" i="14" l="1"/>
  <c r="AD188" i="14"/>
  <c r="K349" i="27"/>
  <c r="Y189" i="14" l="1"/>
  <c r="G350" i="27"/>
  <c r="I350" i="27" s="1"/>
  <c r="AB349" i="14"/>
  <c r="Z189" i="14" l="1"/>
  <c r="AC189" i="14" s="1"/>
  <c r="K350" i="27"/>
  <c r="U190" i="14" l="1"/>
  <c r="AD189" i="14"/>
  <c r="G351" i="27"/>
  <c r="I351" i="27" s="1"/>
  <c r="K351" i="27" s="1"/>
  <c r="AB350" i="14"/>
  <c r="Y190" i="14" l="1"/>
  <c r="G352" i="27"/>
  <c r="I352" i="27" s="1"/>
  <c r="AB351" i="14"/>
  <c r="Z190" i="14" l="1"/>
  <c r="AC190" i="14" s="1"/>
  <c r="K352" i="27"/>
  <c r="U191" i="14" l="1"/>
  <c r="AD190" i="14"/>
  <c r="G353" i="27"/>
  <c r="I353" i="27" s="1"/>
  <c r="K353" i="27" s="1"/>
  <c r="AB352" i="14"/>
  <c r="Y191" i="14" l="1"/>
  <c r="G354" i="27"/>
  <c r="I354" i="27" s="1"/>
  <c r="K354" i="27" s="1"/>
  <c r="AB353" i="14"/>
  <c r="Z191" i="14" l="1"/>
  <c r="AC191" i="14" s="1"/>
  <c r="G355" i="27"/>
  <c r="I355" i="27" s="1"/>
  <c r="AB354" i="14"/>
  <c r="U192" i="14" l="1"/>
  <c r="AD191" i="14"/>
  <c r="K355" i="27"/>
  <c r="Y192" i="14" l="1"/>
  <c r="G356" i="27"/>
  <c r="I356" i="27" s="1"/>
  <c r="AB355" i="14"/>
  <c r="Z192" i="14" l="1"/>
  <c r="AC192" i="14" s="1"/>
  <c r="K356" i="27"/>
  <c r="U193" i="14" l="1"/>
  <c r="AD192" i="14"/>
  <c r="G357" i="27"/>
  <c r="I357" i="27" s="1"/>
  <c r="K357" i="27" s="1"/>
  <c r="AB356" i="14"/>
  <c r="Y193" i="14" l="1"/>
  <c r="G358" i="27"/>
  <c r="I358" i="27" s="1"/>
  <c r="AB357" i="14"/>
  <c r="Z193" i="14" l="1"/>
  <c r="AC193" i="14" s="1"/>
  <c r="K358" i="27"/>
  <c r="U194" i="14" l="1"/>
  <c r="AD193" i="14"/>
  <c r="G359" i="27"/>
  <c r="I359" i="27" s="1"/>
  <c r="K359" i="27" s="1"/>
  <c r="AB358" i="14"/>
  <c r="Y194" i="14" l="1"/>
  <c r="G360" i="27"/>
  <c r="I360" i="27" s="1"/>
  <c r="AB359" i="14"/>
  <c r="Z194" i="14" l="1"/>
  <c r="AC194" i="14" s="1"/>
  <c r="K360" i="27"/>
  <c r="U195" i="14" l="1"/>
  <c r="AD194" i="14"/>
  <c r="G361" i="27"/>
  <c r="I361" i="27" s="1"/>
  <c r="K361" i="27" s="1"/>
  <c r="AB360" i="14"/>
  <c r="Y195" i="14" l="1"/>
  <c r="G362" i="27"/>
  <c r="I362" i="27" s="1"/>
  <c r="AB361" i="14"/>
  <c r="Z195" i="14" l="1"/>
  <c r="AC195" i="14" s="1"/>
  <c r="K362" i="27"/>
  <c r="U196" i="14" l="1"/>
  <c r="AD195" i="14"/>
  <c r="G363" i="27"/>
  <c r="I363" i="27" s="1"/>
  <c r="AB362" i="14"/>
  <c r="Y196" i="14" l="1"/>
  <c r="K363" i="27"/>
  <c r="Z196" i="14" l="1"/>
  <c r="AC196" i="14" s="1"/>
  <c r="G364" i="27"/>
  <c r="I364" i="27" s="1"/>
  <c r="K364" i="27" s="1"/>
  <c r="AB363" i="14"/>
  <c r="U197" i="14" l="1"/>
  <c r="AD196" i="14"/>
  <c r="G365" i="27"/>
  <c r="I365" i="27" s="1"/>
  <c r="AB364" i="14"/>
  <c r="Y197" i="14" l="1"/>
  <c r="K365" i="27"/>
  <c r="Z197" i="14" l="1"/>
  <c r="AC197" i="14" s="1"/>
  <c r="G366" i="27"/>
  <c r="I366" i="27" s="1"/>
  <c r="AB365" i="14"/>
  <c r="U198" i="14" l="1"/>
  <c r="AD197" i="14"/>
  <c r="K366" i="27"/>
  <c r="Y198" i="14" l="1"/>
  <c r="G367" i="27"/>
  <c r="I367" i="27" s="1"/>
  <c r="AB366" i="14"/>
  <c r="Z198" i="14" l="1"/>
  <c r="AC198" i="14" s="1"/>
  <c r="K367" i="27"/>
  <c r="U199" i="14" l="1"/>
  <c r="AD198" i="14"/>
  <c r="G368" i="27"/>
  <c r="I368" i="27" s="1"/>
  <c r="AB367" i="14"/>
  <c r="Y199" i="14" l="1"/>
  <c r="K368" i="27"/>
  <c r="Z199" i="14" l="1"/>
  <c r="AC199" i="14" s="1"/>
  <c r="G369" i="27"/>
  <c r="I369" i="27" s="1"/>
  <c r="K369" i="27" s="1"/>
  <c r="AB368" i="14"/>
  <c r="U200" i="14" l="1"/>
  <c r="AD199" i="14"/>
  <c r="G370" i="27"/>
  <c r="I370" i="27" s="1"/>
  <c r="AB369" i="14"/>
  <c r="Y200" i="14" l="1"/>
  <c r="K370" i="27"/>
  <c r="Z200" i="14" l="1"/>
  <c r="AC200" i="14" s="1"/>
  <c r="G371" i="27"/>
  <c r="I371" i="27" s="1"/>
  <c r="AB370" i="14"/>
  <c r="U201" i="14" l="1"/>
  <c r="AD200" i="14"/>
  <c r="K371" i="27"/>
  <c r="Y201" i="14" l="1"/>
  <c r="G372" i="27"/>
  <c r="I372" i="27" s="1"/>
  <c r="K372" i="27" s="1"/>
  <c r="AB371" i="14"/>
  <c r="Z201" i="14" l="1"/>
  <c r="AC201" i="14" s="1"/>
  <c r="G373" i="27"/>
  <c r="I373" i="27" s="1"/>
  <c r="AB372" i="14"/>
  <c r="U202" i="14" l="1"/>
  <c r="AD201" i="14"/>
  <c r="K373" i="27"/>
  <c r="Y202" i="14" l="1"/>
  <c r="Z202" i="14" s="1"/>
  <c r="AC202" i="14" s="1"/>
  <c r="G374" i="27"/>
  <c r="I374" i="27" s="1"/>
  <c r="AB373" i="14"/>
  <c r="AD202" i="14" l="1"/>
  <c r="U203" i="14"/>
  <c r="K374" i="27"/>
  <c r="Y203" i="14" l="1"/>
  <c r="G375" i="27"/>
  <c r="I375" i="27" s="1"/>
  <c r="K375" i="27" s="1"/>
  <c r="AB374" i="14"/>
  <c r="Z203" i="14" l="1"/>
  <c r="AC203" i="14" s="1"/>
  <c r="G376" i="27"/>
  <c r="I376" i="27" s="1"/>
  <c r="AB375" i="14"/>
  <c r="U204" i="14" l="1"/>
  <c r="AD203" i="14"/>
  <c r="K376" i="27"/>
  <c r="Y204" i="14" l="1"/>
  <c r="G377" i="27"/>
  <c r="I377" i="27" s="1"/>
  <c r="K377" i="27" s="1"/>
  <c r="AB376" i="14"/>
  <c r="Z204" i="14" l="1"/>
  <c r="AC204" i="14" s="1"/>
  <c r="G378" i="27"/>
  <c r="I378" i="27" s="1"/>
  <c r="K378" i="27" s="1"/>
  <c r="AB377" i="14"/>
  <c r="U205" i="14" l="1"/>
  <c r="AD204" i="14"/>
  <c r="G379" i="27"/>
  <c r="I379" i="27" s="1"/>
  <c r="AB378" i="14"/>
  <c r="Y205" i="14" l="1"/>
  <c r="K379" i="27"/>
  <c r="Z205" i="14" l="1"/>
  <c r="AC205" i="14" s="1"/>
  <c r="G380" i="27"/>
  <c r="I380" i="27" s="1"/>
  <c r="AB379" i="14"/>
  <c r="U206" i="14" l="1"/>
  <c r="AD205" i="14"/>
  <c r="K380" i="27"/>
  <c r="Y206" i="14" l="1"/>
  <c r="G381" i="27"/>
  <c r="I381" i="27" s="1"/>
  <c r="AB380" i="14"/>
  <c r="Z206" i="14" l="1"/>
  <c r="AC206" i="14" s="1"/>
  <c r="K381" i="27"/>
  <c r="U207" i="14" l="1"/>
  <c r="AD206" i="14"/>
  <c r="G382" i="27"/>
  <c r="I382" i="27" s="1"/>
  <c r="AB381" i="14"/>
  <c r="Y207" i="14" l="1"/>
  <c r="K382" i="27"/>
  <c r="Z207" i="14" l="1"/>
  <c r="AC207" i="14" s="1"/>
  <c r="G383" i="27"/>
  <c r="I383" i="27" s="1"/>
  <c r="K383" i="27" s="1"/>
  <c r="AB382" i="14"/>
  <c r="U208" i="14" l="1"/>
  <c r="AD207" i="14"/>
  <c r="G384" i="27"/>
  <c r="I384" i="27" s="1"/>
  <c r="K384" i="27" s="1"/>
  <c r="AB383" i="14"/>
  <c r="Y208" i="14" l="1"/>
  <c r="G385" i="27"/>
  <c r="I385" i="27" s="1"/>
  <c r="K385" i="27" s="1"/>
  <c r="AB384" i="14"/>
  <c r="Z208" i="14" l="1"/>
  <c r="AC208" i="14" s="1"/>
  <c r="G386" i="27"/>
  <c r="I386" i="27" s="1"/>
  <c r="AB385" i="14"/>
  <c r="U209" i="14" l="1"/>
  <c r="AD208" i="14"/>
  <c r="K386" i="27"/>
  <c r="Y209" i="14" l="1"/>
  <c r="G387" i="27"/>
  <c r="I387" i="27" s="1"/>
  <c r="K387" i="27" s="1"/>
  <c r="AB386" i="14"/>
  <c r="Z209" i="14" l="1"/>
  <c r="AC209" i="14" s="1"/>
  <c r="G388" i="27"/>
  <c r="I388" i="27" s="1"/>
  <c r="AB387" i="14"/>
  <c r="U210" i="14" l="1"/>
  <c r="AD209" i="14"/>
  <c r="K388" i="27"/>
  <c r="Y210" i="14" l="1"/>
  <c r="G389" i="27"/>
  <c r="I389" i="27" s="1"/>
  <c r="AB388" i="14"/>
  <c r="Z210" i="14" l="1"/>
  <c r="AC210" i="14" s="1"/>
  <c r="K389" i="27"/>
  <c r="U211" i="14" l="1"/>
  <c r="AD210" i="14"/>
  <c r="G390" i="27"/>
  <c r="I390" i="27" s="1"/>
  <c r="AB389" i="14"/>
  <c r="Y211" i="14" l="1"/>
  <c r="K390" i="27"/>
  <c r="Z211" i="14" l="1"/>
  <c r="AC211" i="14" s="1"/>
  <c r="G391" i="27"/>
  <c r="I391" i="27" s="1"/>
  <c r="K391" i="27" s="1"/>
  <c r="AB390" i="14"/>
  <c r="U212" i="14" l="1"/>
  <c r="AD211" i="14"/>
  <c r="G392" i="27"/>
  <c r="I392" i="27" s="1"/>
  <c r="K392" i="27" s="1"/>
  <c r="AB391" i="14"/>
  <c r="Y212" i="14" l="1"/>
  <c r="G393" i="27"/>
  <c r="I393" i="27" s="1"/>
  <c r="AB392" i="14"/>
  <c r="Z212" i="14" l="1"/>
  <c r="AC212" i="14" s="1"/>
  <c r="K393" i="27"/>
  <c r="U213" i="14" l="1"/>
  <c r="AD212" i="14"/>
  <c r="G394" i="27"/>
  <c r="I394" i="27" s="1"/>
  <c r="AB393" i="14"/>
  <c r="Y213" i="14" l="1"/>
  <c r="K394" i="27"/>
  <c r="Z213" i="14" l="1"/>
  <c r="AC213" i="14" s="1"/>
  <c r="G395" i="27"/>
  <c r="I395" i="27" s="1"/>
  <c r="K395" i="27" s="1"/>
  <c r="AB394" i="14"/>
  <c r="U214" i="14" l="1"/>
  <c r="AD213" i="14"/>
  <c r="G396" i="27"/>
  <c r="I396" i="27" s="1"/>
  <c r="AB395" i="14"/>
  <c r="Y214" i="14" l="1"/>
  <c r="K396" i="27"/>
  <c r="Z214" i="14" l="1"/>
  <c r="AC214" i="14" s="1"/>
  <c r="G397" i="27"/>
  <c r="I397" i="27" s="1"/>
  <c r="K397" i="27" s="1"/>
  <c r="AB396" i="14"/>
  <c r="U215" i="14" l="1"/>
  <c r="AD214" i="14"/>
  <c r="G398" i="27"/>
  <c r="I398" i="27" s="1"/>
  <c r="AB397" i="14"/>
  <c r="Y215" i="14" l="1"/>
  <c r="K398" i="27"/>
  <c r="Z215" i="14" l="1"/>
  <c r="AC215" i="14" s="1"/>
  <c r="G399" i="27"/>
  <c r="I399" i="27" s="1"/>
  <c r="K399" i="27" s="1"/>
  <c r="AB398" i="14"/>
  <c r="U216" i="14" l="1"/>
  <c r="AD215" i="14"/>
  <c r="G400" i="27"/>
  <c r="I400" i="27" s="1"/>
  <c r="AB399" i="14"/>
  <c r="Y216" i="14" l="1"/>
  <c r="K400" i="27"/>
  <c r="Z216" i="14" l="1"/>
  <c r="AC216" i="14" s="1"/>
  <c r="G401" i="27"/>
  <c r="I401" i="27" s="1"/>
  <c r="K401" i="27" s="1"/>
  <c r="AB400" i="14"/>
  <c r="U217" i="14" l="1"/>
  <c r="AD216" i="14"/>
  <c r="G402" i="27"/>
  <c r="I402" i="27" s="1"/>
  <c r="AB401" i="14"/>
  <c r="Y217" i="14" l="1"/>
  <c r="K402" i="27"/>
  <c r="Z217" i="14" l="1"/>
  <c r="AC217" i="14" s="1"/>
  <c r="G403" i="27"/>
  <c r="I403" i="27" s="1"/>
  <c r="AB402" i="14"/>
  <c r="U218" i="14" l="1"/>
  <c r="AD217" i="14"/>
  <c r="K403" i="27"/>
  <c r="Y218" i="14" l="1"/>
  <c r="G404" i="27"/>
  <c r="I404" i="27" s="1"/>
  <c r="K404" i="27" s="1"/>
  <c r="AB403" i="14"/>
  <c r="Z218" i="14" l="1"/>
  <c r="AC218" i="14" s="1"/>
  <c r="G405" i="27"/>
  <c r="I405" i="27" s="1"/>
  <c r="K405" i="27" s="1"/>
  <c r="AB404" i="14"/>
  <c r="U219" i="14" l="1"/>
  <c r="AD218" i="14"/>
  <c r="G406" i="27"/>
  <c r="I406" i="27" s="1"/>
  <c r="K406" i="27" s="1"/>
  <c r="AB405" i="14"/>
  <c r="Y219" i="14" l="1"/>
  <c r="G407" i="27"/>
  <c r="I407" i="27" s="1"/>
  <c r="AB406" i="14"/>
  <c r="Z219" i="14" l="1"/>
  <c r="AC219" i="14" s="1"/>
  <c r="K407" i="27"/>
  <c r="U220" i="14" l="1"/>
  <c r="AD219" i="14"/>
  <c r="G408" i="27"/>
  <c r="I408" i="27" s="1"/>
  <c r="K408" i="27" s="1"/>
  <c r="AB407" i="14"/>
  <c r="Y220" i="14" l="1"/>
  <c r="G409" i="27"/>
  <c r="I409" i="27" s="1"/>
  <c r="AB408" i="14"/>
  <c r="Z220" i="14" l="1"/>
  <c r="AC220" i="14" s="1"/>
  <c r="K409" i="27"/>
  <c r="U221" i="14" l="1"/>
  <c r="AD220" i="14"/>
  <c r="G410" i="27"/>
  <c r="I410" i="27" s="1"/>
  <c r="K410" i="27" s="1"/>
  <c r="AB409" i="14"/>
  <c r="Y221" i="14" l="1"/>
  <c r="G411" i="27"/>
  <c r="I411" i="27" s="1"/>
  <c r="AB410" i="14"/>
  <c r="Z221" i="14" l="1"/>
  <c r="AC221" i="14" s="1"/>
  <c r="K411" i="27"/>
  <c r="U222" i="14" l="1"/>
  <c r="AD221" i="14"/>
  <c r="G412" i="27"/>
  <c r="I412" i="27" s="1"/>
  <c r="AB411" i="14"/>
  <c r="Y222" i="14" l="1"/>
  <c r="K412" i="27"/>
  <c r="Z222" i="14" l="1"/>
  <c r="AC222" i="14" s="1"/>
  <c r="G413" i="27"/>
  <c r="I413" i="27" s="1"/>
  <c r="K413" i="27" s="1"/>
  <c r="AB412" i="14"/>
  <c r="AD222" i="14" l="1"/>
  <c r="U223" i="14"/>
  <c r="G414" i="27"/>
  <c r="I414" i="27" s="1"/>
  <c r="AB413" i="14"/>
  <c r="Y223" i="14" l="1"/>
  <c r="K414" i="27"/>
  <c r="Z223" i="14" l="1"/>
  <c r="AC223" i="14" s="1"/>
  <c r="G415" i="27"/>
  <c r="I415" i="27" s="1"/>
  <c r="K415" i="27" s="1"/>
  <c r="AB414" i="14"/>
  <c r="U224" i="14" l="1"/>
  <c r="AD223" i="14"/>
  <c r="G416" i="27"/>
  <c r="I416" i="27" s="1"/>
  <c r="K416" i="27" s="1"/>
  <c r="AB415" i="14"/>
  <c r="Y224" i="14" l="1"/>
  <c r="G417" i="27"/>
  <c r="I417" i="27" s="1"/>
  <c r="K417" i="27" s="1"/>
  <c r="AB416" i="14"/>
  <c r="Z224" i="14" l="1"/>
  <c r="AC224" i="14" s="1"/>
  <c r="G418" i="27"/>
  <c r="I418" i="27" s="1"/>
  <c r="K418" i="27" s="1"/>
  <c r="AB417" i="14"/>
  <c r="U225" i="14" l="1"/>
  <c r="AD224" i="14"/>
  <c r="G419" i="27"/>
  <c r="I419" i="27" s="1"/>
  <c r="K419" i="27" s="1"/>
  <c r="AB418" i="14"/>
  <c r="Y225" i="14" l="1"/>
  <c r="G420" i="27"/>
  <c r="I420" i="27" s="1"/>
  <c r="K420" i="27" s="1"/>
  <c r="AB419" i="14"/>
  <c r="Z225" i="14" l="1"/>
  <c r="AC225" i="14" s="1"/>
  <c r="G421" i="27"/>
  <c r="I421" i="27" s="1"/>
  <c r="AB420" i="14"/>
  <c r="U226" i="14" l="1"/>
  <c r="AD225" i="14"/>
  <c r="K421" i="27"/>
  <c r="Y226" i="14" l="1"/>
  <c r="G422" i="27"/>
  <c r="I422" i="27" s="1"/>
  <c r="AB421" i="14"/>
  <c r="Z226" i="14" l="1"/>
  <c r="AC226" i="14" s="1"/>
  <c r="K422" i="27"/>
  <c r="U227" i="14" l="1"/>
  <c r="AD226" i="14"/>
  <c r="G423" i="27"/>
  <c r="I423" i="27" s="1"/>
  <c r="AB422" i="14"/>
  <c r="Y227" i="14" l="1"/>
  <c r="K423" i="27"/>
  <c r="G424" i="27" s="1"/>
  <c r="I424" i="27" s="1"/>
  <c r="Z227" i="14" l="1"/>
  <c r="AC227" i="14" s="1"/>
  <c r="AB423" i="14"/>
  <c r="K424" i="27"/>
  <c r="U228" i="14" l="1"/>
  <c r="AD227" i="14"/>
  <c r="G425" i="27"/>
  <c r="I425" i="27" s="1"/>
  <c r="AB424" i="14"/>
  <c r="Y228" i="14" l="1"/>
  <c r="K425" i="27"/>
  <c r="Z228" i="14" l="1"/>
  <c r="AC228" i="14" s="1"/>
  <c r="G426" i="27"/>
  <c r="I426" i="27" s="1"/>
  <c r="K426" i="27" s="1"/>
  <c r="AB425" i="14"/>
  <c r="U229" i="14" l="1"/>
  <c r="AD228" i="14"/>
  <c r="G427" i="27"/>
  <c r="I427" i="27" s="1"/>
  <c r="AB426" i="14"/>
  <c r="Y229" i="14" l="1"/>
  <c r="K427" i="27"/>
  <c r="Z229" i="14" l="1"/>
  <c r="AC229" i="14" s="1"/>
  <c r="G428" i="27"/>
  <c r="I428" i="27" s="1"/>
  <c r="AB427" i="14"/>
  <c r="U230" i="14" l="1"/>
  <c r="AD229" i="14"/>
  <c r="K428" i="27"/>
  <c r="Y230" i="14" l="1"/>
  <c r="G429" i="27"/>
  <c r="I429" i="27" s="1"/>
  <c r="K429" i="27" s="1"/>
  <c r="AB428" i="14"/>
  <c r="Z230" i="14" l="1"/>
  <c r="AC230" i="14" s="1"/>
  <c r="G430" i="27"/>
  <c r="I430" i="27" s="1"/>
  <c r="AB429" i="14"/>
  <c r="U231" i="14" l="1"/>
  <c r="AD230" i="14"/>
  <c r="K430" i="27"/>
  <c r="Y231" i="14" l="1"/>
  <c r="G431" i="27"/>
  <c r="I431" i="27" s="1"/>
  <c r="AB430" i="14"/>
  <c r="Z231" i="14" l="1"/>
  <c r="AC231" i="14" s="1"/>
  <c r="K431" i="27"/>
  <c r="G432" i="27" s="1"/>
  <c r="I432" i="27" s="1"/>
  <c r="K432" i="27" s="1"/>
  <c r="U232" i="14" l="1"/>
  <c r="AD231" i="14"/>
  <c r="AB431" i="14"/>
  <c r="G433" i="27"/>
  <c r="I433" i="27" s="1"/>
  <c r="AB432" i="14"/>
  <c r="Y232" i="14" l="1"/>
  <c r="K433" i="27"/>
  <c r="Z232" i="14" l="1"/>
  <c r="AC232" i="14" s="1"/>
  <c r="G434" i="27"/>
  <c r="I434" i="27" s="1"/>
  <c r="K434" i="27" s="1"/>
  <c r="AB433" i="14"/>
  <c r="U233" i="14" l="1"/>
  <c r="AD232" i="14"/>
  <c r="G435" i="27"/>
  <c r="I435" i="27" s="1"/>
  <c r="K435" i="27" s="1"/>
  <c r="AB434" i="14"/>
  <c r="Y233" i="14" l="1"/>
  <c r="G436" i="27"/>
  <c r="I436" i="27" s="1"/>
  <c r="AB435" i="14"/>
  <c r="Z233" i="14" l="1"/>
  <c r="AC233" i="14" s="1"/>
  <c r="K436" i="27"/>
  <c r="U234" i="14" l="1"/>
  <c r="AD233" i="14"/>
  <c r="G437" i="27"/>
  <c r="I437" i="27" s="1"/>
  <c r="K437" i="27" s="1"/>
  <c r="AB436" i="14"/>
  <c r="Y234" i="14" l="1"/>
  <c r="G438" i="27"/>
  <c r="I438" i="27" s="1"/>
  <c r="AB437" i="14"/>
  <c r="Z234" i="14" l="1"/>
  <c r="AC234" i="14" s="1"/>
  <c r="K438" i="27"/>
  <c r="U235" i="14" l="1"/>
  <c r="AD234" i="14"/>
  <c r="G439" i="27"/>
  <c r="I439" i="27" s="1"/>
  <c r="K439" i="27" s="1"/>
  <c r="AB438" i="14"/>
  <c r="Y235" i="14" l="1"/>
  <c r="G440" i="27"/>
  <c r="I440" i="27" s="1"/>
  <c r="K440" i="27" s="1"/>
  <c r="AB439" i="14"/>
  <c r="Z235" i="14" l="1"/>
  <c r="AC235" i="14" s="1"/>
  <c r="G441" i="27"/>
  <c r="I441" i="27" s="1"/>
  <c r="K441" i="27" s="1"/>
  <c r="AB440" i="14"/>
  <c r="U236" i="14" l="1"/>
  <c r="AD235" i="14"/>
  <c r="G442" i="27"/>
  <c r="I442" i="27" s="1"/>
  <c r="K442" i="27" s="1"/>
  <c r="AB441" i="14"/>
  <c r="Y236" i="14" l="1"/>
  <c r="G443" i="27"/>
  <c r="I443" i="27" s="1"/>
  <c r="AB442" i="14"/>
  <c r="Z236" i="14" l="1"/>
  <c r="AC236" i="14" s="1"/>
  <c r="K443" i="27"/>
  <c r="U237" i="14" l="1"/>
  <c r="AD236" i="14"/>
  <c r="G444" i="27"/>
  <c r="I444" i="27" s="1"/>
  <c r="K444" i="27" s="1"/>
  <c r="AB443" i="14"/>
  <c r="Y237" i="14" l="1"/>
  <c r="G445" i="27"/>
  <c r="I445" i="27" s="1"/>
  <c r="K445" i="27" s="1"/>
  <c r="AB444" i="14"/>
  <c r="Z237" i="14" l="1"/>
  <c r="AC237" i="14" s="1"/>
  <c r="G446" i="27"/>
  <c r="I446" i="27" s="1"/>
  <c r="AB445" i="14"/>
  <c r="U238" i="14" l="1"/>
  <c r="AD237" i="14"/>
  <c r="K446" i="27"/>
  <c r="Y238" i="14" l="1"/>
  <c r="G447" i="27"/>
  <c r="I447" i="27" s="1"/>
  <c r="K447" i="27" s="1"/>
  <c r="AB446" i="14"/>
  <c r="Z238" i="14" l="1"/>
  <c r="AC238" i="14" s="1"/>
  <c r="G448" i="27"/>
  <c r="I448" i="27" s="1"/>
  <c r="K448" i="27" s="1"/>
  <c r="AB447" i="14"/>
  <c r="U239" i="14" l="1"/>
  <c r="AD238" i="14"/>
  <c r="G449" i="27"/>
  <c r="I449" i="27" s="1"/>
  <c r="AB448" i="14"/>
  <c r="Y239" i="14" l="1"/>
  <c r="Z239" i="14" s="1"/>
  <c r="AC239" i="14" s="1"/>
  <c r="K449" i="27"/>
  <c r="AD239" i="14" l="1"/>
  <c r="U240" i="14"/>
  <c r="G450" i="27"/>
  <c r="I450" i="27" s="1"/>
  <c r="AB449" i="14"/>
  <c r="Y240" i="14" l="1"/>
  <c r="K450" i="27"/>
  <c r="Z240" i="14" l="1"/>
  <c r="AC240" i="14" s="1"/>
  <c r="G451" i="27"/>
  <c r="I451" i="27" s="1"/>
  <c r="K451" i="27" s="1"/>
  <c r="AB450" i="14"/>
  <c r="U241" i="14" l="1"/>
  <c r="AD240" i="14"/>
  <c r="G452" i="27"/>
  <c r="I452" i="27" s="1"/>
  <c r="K452" i="27" s="1"/>
  <c r="AB451" i="14"/>
  <c r="Y241" i="14" l="1"/>
  <c r="G453" i="27"/>
  <c r="I453" i="27" s="1"/>
  <c r="K453" i="27" s="1"/>
  <c r="AB452" i="14"/>
  <c r="Z241" i="14" l="1"/>
  <c r="AC241" i="14" s="1"/>
  <c r="G454" i="27"/>
  <c r="I454" i="27" s="1"/>
  <c r="AB453" i="14"/>
  <c r="U242" i="14" l="1"/>
  <c r="AD241" i="14"/>
  <c r="K454" i="27"/>
  <c r="Y242" i="14" l="1"/>
  <c r="G455" i="27"/>
  <c r="I455" i="27" s="1"/>
  <c r="K455" i="27" s="1"/>
  <c r="AB454" i="14"/>
  <c r="Z242" i="14" l="1"/>
  <c r="AC242" i="14" s="1"/>
  <c r="G456" i="27"/>
  <c r="I456" i="27" s="1"/>
  <c r="K456" i="27" s="1"/>
  <c r="AB455" i="14"/>
  <c r="U243" i="14" l="1"/>
  <c r="AD242" i="14"/>
  <c r="G457" i="27"/>
  <c r="I457" i="27" s="1"/>
  <c r="AB456" i="14"/>
  <c r="Y243" i="14" l="1"/>
  <c r="K457" i="27"/>
  <c r="Z243" i="14" l="1"/>
  <c r="AC243" i="14" s="1"/>
  <c r="G458" i="27"/>
  <c r="I458" i="27" s="1"/>
  <c r="K458" i="27" s="1"/>
  <c r="AB457" i="14"/>
  <c r="U244" i="14" l="1"/>
  <c r="AD243" i="14"/>
  <c r="G459" i="27"/>
  <c r="I459" i="27" s="1"/>
  <c r="AB458" i="14"/>
  <c r="Y244" i="14" l="1"/>
  <c r="K459" i="27"/>
  <c r="Z244" i="14" l="1"/>
  <c r="AC244" i="14" s="1"/>
  <c r="G460" i="27"/>
  <c r="I460" i="27" s="1"/>
  <c r="K460" i="27" s="1"/>
  <c r="AB459" i="14"/>
  <c r="U245" i="14" l="1"/>
  <c r="AD244" i="14"/>
  <c r="G461" i="27"/>
  <c r="I461" i="27" s="1"/>
  <c r="K461" i="27" s="1"/>
  <c r="AB460" i="14"/>
  <c r="Y245" i="14" l="1"/>
  <c r="G462" i="27"/>
  <c r="I462" i="27" s="1"/>
  <c r="AB461" i="14"/>
  <c r="Z245" i="14" l="1"/>
  <c r="AC245" i="14" s="1"/>
  <c r="K462" i="27"/>
  <c r="U246" i="14" l="1"/>
  <c r="AD245" i="14"/>
  <c r="G463" i="27"/>
  <c r="I463" i="27" s="1"/>
  <c r="K463" i="27" s="1"/>
  <c r="AB462" i="14"/>
  <c r="Y246" i="14" l="1"/>
  <c r="G464" i="27"/>
  <c r="I464" i="27" s="1"/>
  <c r="K464" i="27" s="1"/>
  <c r="AB463" i="14"/>
  <c r="Z246" i="14" l="1"/>
  <c r="AC246" i="14" s="1"/>
  <c r="G465" i="27"/>
  <c r="I465" i="27" s="1"/>
  <c r="AB464" i="14"/>
  <c r="U247" i="14" l="1"/>
  <c r="AD246" i="14"/>
  <c r="K465" i="27"/>
  <c r="Y247" i="14" l="1"/>
  <c r="G466" i="27"/>
  <c r="I466" i="27" s="1"/>
  <c r="AB465" i="14"/>
  <c r="Z247" i="14" l="1"/>
  <c r="AC247" i="14" s="1"/>
  <c r="K466" i="27"/>
  <c r="U248" i="14" l="1"/>
  <c r="AD247" i="14"/>
  <c r="G467" i="27"/>
  <c r="I467" i="27" s="1"/>
  <c r="K467" i="27" s="1"/>
  <c r="AB466" i="14"/>
  <c r="Y248" i="14" l="1"/>
  <c r="G468" i="27"/>
  <c r="I468" i="27" s="1"/>
  <c r="K468" i="27" s="1"/>
  <c r="AB467" i="14"/>
  <c r="Z248" i="14" l="1"/>
  <c r="AC248" i="14" s="1"/>
  <c r="G469" i="27"/>
  <c r="I469" i="27" s="1"/>
  <c r="AB468" i="14"/>
  <c r="U249" i="14" l="1"/>
  <c r="AD248" i="14"/>
  <c r="K469" i="27"/>
  <c r="Y249" i="14" l="1"/>
  <c r="G470" i="27"/>
  <c r="I470" i="27" s="1"/>
  <c r="K470" i="27" s="1"/>
  <c r="AB469" i="14"/>
  <c r="Z249" i="14" l="1"/>
  <c r="AC249" i="14" s="1"/>
  <c r="G471" i="27"/>
  <c r="I471" i="27" s="1"/>
  <c r="K471" i="27" s="1"/>
  <c r="AB470" i="14"/>
  <c r="U250" i="14" l="1"/>
  <c r="AD249" i="14"/>
  <c r="G472" i="27"/>
  <c r="I472" i="27" s="1"/>
  <c r="K472" i="27" s="1"/>
  <c r="AB471" i="14"/>
  <c r="Y250" i="14" l="1"/>
  <c r="G473" i="27"/>
  <c r="I473" i="27" s="1"/>
  <c r="AB472" i="14"/>
  <c r="Z250" i="14" l="1"/>
  <c r="AC250" i="14" s="1"/>
  <c r="K473" i="27"/>
  <c r="U251" i="14" l="1"/>
  <c r="AD250" i="14"/>
  <c r="G474" i="27"/>
  <c r="I474" i="27" s="1"/>
  <c r="AB473" i="14"/>
  <c r="Y251" i="14" l="1"/>
  <c r="Z251" i="14" s="1"/>
  <c r="AC251" i="14" s="1"/>
  <c r="K474" i="27"/>
  <c r="U252" i="14" l="1"/>
  <c r="AD251" i="14"/>
  <c r="G475" i="27"/>
  <c r="I475" i="27" s="1"/>
  <c r="AB474" i="14"/>
  <c r="Y252" i="14" l="1"/>
  <c r="K475" i="27"/>
  <c r="Z252" i="14" l="1"/>
  <c r="AC252" i="14" s="1"/>
  <c r="G476" i="27"/>
  <c r="I476" i="27" s="1"/>
  <c r="AB475" i="14"/>
  <c r="U253" i="14" l="1"/>
  <c r="AD252" i="14"/>
  <c r="K476" i="27"/>
  <c r="Y253" i="14" l="1"/>
  <c r="G477" i="27"/>
  <c r="I477" i="27" s="1"/>
  <c r="K477" i="27" s="1"/>
  <c r="AB476" i="14"/>
  <c r="Z253" i="14" l="1"/>
  <c r="AC253" i="14" s="1"/>
  <c r="G478" i="27"/>
  <c r="I478" i="27" s="1"/>
  <c r="AB477" i="14"/>
  <c r="U254" i="14" l="1"/>
  <c r="AD253" i="14"/>
  <c r="K478" i="27"/>
  <c r="Y254" i="14" l="1"/>
  <c r="G479" i="27"/>
  <c r="I479" i="27" s="1"/>
  <c r="K479" i="27" s="1"/>
  <c r="AB478" i="14"/>
  <c r="Z254" i="14" l="1"/>
  <c r="AC254" i="14" s="1"/>
  <c r="G480" i="27"/>
  <c r="I480" i="27" s="1"/>
  <c r="K480" i="27" s="1"/>
  <c r="AB479" i="14"/>
  <c r="U255" i="14" l="1"/>
  <c r="AD254" i="14"/>
  <c r="G481" i="27"/>
  <c r="I481" i="27" s="1"/>
  <c r="AB480" i="14"/>
  <c r="Y255" i="14" l="1"/>
  <c r="K481" i="27"/>
  <c r="Z255" i="14" l="1"/>
  <c r="AC255" i="14" s="1"/>
  <c r="G482" i="27"/>
  <c r="I482" i="27" s="1"/>
  <c r="AB481" i="14"/>
  <c r="U256" i="14" l="1"/>
  <c r="AD255" i="14"/>
  <c r="K482" i="27"/>
  <c r="Y256" i="14" l="1"/>
  <c r="G483" i="27"/>
  <c r="I483" i="27" s="1"/>
  <c r="K483" i="27" s="1"/>
  <c r="AB482" i="14"/>
  <c r="Z256" i="14" l="1"/>
  <c r="AC256" i="14" s="1"/>
  <c r="G484" i="27"/>
  <c r="I484" i="27" s="1"/>
  <c r="AB483" i="14"/>
  <c r="U257" i="14" l="1"/>
  <c r="AD256" i="14"/>
  <c r="K484" i="27"/>
  <c r="Y257" i="14" l="1"/>
  <c r="Z257" i="14" s="1"/>
  <c r="AC257" i="14" s="1"/>
  <c r="G485" i="27"/>
  <c r="I485" i="27" s="1"/>
  <c r="K485" i="27" s="1"/>
  <c r="AB484" i="14"/>
  <c r="AD257" i="14" l="1"/>
  <c r="U258" i="14"/>
  <c r="G486" i="27"/>
  <c r="I486" i="27" s="1"/>
  <c r="AB485" i="14"/>
  <c r="Y258" i="14" l="1"/>
  <c r="K486" i="27"/>
  <c r="Z258" i="14" l="1"/>
  <c r="AC258" i="14" s="1"/>
  <c r="G487" i="27"/>
  <c r="I487" i="27" s="1"/>
  <c r="AB486" i="14"/>
  <c r="U259" i="14" l="1"/>
  <c r="AD258" i="14"/>
  <c r="K487" i="27"/>
  <c r="Y259" i="14" l="1"/>
  <c r="G488" i="27"/>
  <c r="I488" i="27" s="1"/>
  <c r="K488" i="27" s="1"/>
  <c r="AB487" i="14"/>
  <c r="Z259" i="14" l="1"/>
  <c r="AC259" i="14" s="1"/>
  <c r="G489" i="27"/>
  <c r="I489" i="27" s="1"/>
  <c r="K489" i="27" s="1"/>
  <c r="AB488" i="14"/>
  <c r="U260" i="14" l="1"/>
  <c r="AD259" i="14"/>
  <c r="G490" i="27"/>
  <c r="I490" i="27" s="1"/>
  <c r="AB489" i="14"/>
  <c r="Y260" i="14" l="1"/>
  <c r="K490" i="27"/>
  <c r="Z260" i="14" l="1"/>
  <c r="AC260" i="14" s="1"/>
  <c r="G491" i="27"/>
  <c r="I491" i="27" s="1"/>
  <c r="K491" i="27" s="1"/>
  <c r="AB490" i="14"/>
  <c r="U261" i="14" l="1"/>
  <c r="AD260" i="14"/>
  <c r="G492" i="27"/>
  <c r="I492" i="27" s="1"/>
  <c r="AB491" i="14"/>
  <c r="Y261" i="14" l="1"/>
  <c r="K492" i="27"/>
  <c r="Z261" i="14" l="1"/>
  <c r="AC261" i="14" s="1"/>
  <c r="G493" i="27"/>
  <c r="I493" i="27" s="1"/>
  <c r="AB492" i="14"/>
  <c r="U262" i="14" l="1"/>
  <c r="AD261" i="14"/>
  <c r="K493" i="27"/>
  <c r="Y262" i="14" l="1"/>
  <c r="G494" i="27"/>
  <c r="I494" i="27" s="1"/>
  <c r="AB493" i="14"/>
  <c r="Z262" i="14" l="1"/>
  <c r="AC262" i="14" s="1"/>
  <c r="K494" i="27"/>
  <c r="U263" i="14" l="1"/>
  <c r="AD262" i="14"/>
  <c r="G495" i="27"/>
  <c r="I495" i="27" s="1"/>
  <c r="K495" i="27" s="1"/>
  <c r="AB494" i="14"/>
  <c r="Y263" i="14" l="1"/>
  <c r="G496" i="27"/>
  <c r="I496" i="27" s="1"/>
  <c r="K496" i="27" s="1"/>
  <c r="AB495" i="14"/>
  <c r="Z263" i="14" l="1"/>
  <c r="AC263" i="14" s="1"/>
  <c r="G497" i="27"/>
  <c r="I497" i="27" s="1"/>
  <c r="AB496" i="14"/>
  <c r="U264" i="14" l="1"/>
  <c r="AD263" i="14"/>
  <c r="K497" i="27"/>
  <c r="Y264" i="14" l="1"/>
  <c r="G498" i="27"/>
  <c r="I498" i="27" s="1"/>
  <c r="K498" i="27" s="1"/>
  <c r="AB497" i="14"/>
  <c r="Z264" i="14" l="1"/>
  <c r="AC264" i="14" s="1"/>
  <c r="G499" i="27"/>
  <c r="I499" i="27" s="1"/>
  <c r="AB498" i="14"/>
  <c r="U265" i="14" l="1"/>
  <c r="AD264" i="14"/>
  <c r="K499" i="27"/>
  <c r="Y265" i="14" l="1"/>
  <c r="G500" i="27"/>
  <c r="I500" i="27" s="1"/>
  <c r="AB499" i="14"/>
  <c r="Z265" i="14" l="1"/>
  <c r="AC265" i="14" s="1"/>
  <c r="K500" i="27"/>
  <c r="U266" i="14" l="1"/>
  <c r="AD265" i="14"/>
  <c r="G501" i="27"/>
  <c r="I501" i="27" s="1"/>
  <c r="K501" i="27" s="1"/>
  <c r="AB500" i="14"/>
  <c r="Y266" i="14" l="1"/>
  <c r="G502" i="27"/>
  <c r="I502" i="27" s="1"/>
  <c r="AB501" i="14"/>
  <c r="Z266" i="14" l="1"/>
  <c r="AC266" i="14" s="1"/>
  <c r="K502" i="27"/>
  <c r="U267" i="14" l="1"/>
  <c r="AD266" i="14"/>
  <c r="G503" i="27"/>
  <c r="I503" i="27" s="1"/>
  <c r="K503" i="27" s="1"/>
  <c r="AB502" i="14"/>
  <c r="Y267" i="14" l="1"/>
  <c r="G504" i="27"/>
  <c r="I504" i="27" s="1"/>
  <c r="AB503" i="14"/>
  <c r="Z267" i="14" l="1"/>
  <c r="AC267" i="14" s="1"/>
  <c r="K504" i="27"/>
  <c r="U268" i="14" l="1"/>
  <c r="AD267" i="14"/>
  <c r="G505" i="27"/>
  <c r="I505" i="27" s="1"/>
  <c r="AB504" i="14"/>
  <c r="Y268" i="14" l="1"/>
  <c r="K505" i="27"/>
  <c r="Z268" i="14" l="1"/>
  <c r="AC268" i="14" s="1"/>
  <c r="G506" i="27"/>
  <c r="I506" i="27" s="1"/>
  <c r="AB505" i="14"/>
  <c r="U269" i="14" l="1"/>
  <c r="AD268" i="14"/>
  <c r="K506" i="27"/>
  <c r="Y269" i="14" l="1"/>
  <c r="G507" i="27"/>
  <c r="I507" i="27" s="1"/>
  <c r="K507" i="27" s="1"/>
  <c r="AB506" i="14"/>
  <c r="Z269" i="14" l="1"/>
  <c r="AC269" i="14" s="1"/>
  <c r="G508" i="27"/>
  <c r="I508" i="27" s="1"/>
  <c r="K508" i="27" s="1"/>
  <c r="AB507" i="14"/>
  <c r="U270" i="14" l="1"/>
  <c r="AD269" i="14"/>
  <c r="G509" i="27"/>
  <c r="I509" i="27" s="1"/>
  <c r="K509" i="27" s="1"/>
  <c r="AB508" i="14"/>
  <c r="Y270" i="14" l="1"/>
  <c r="G510" i="27"/>
  <c r="I510" i="27" s="1"/>
  <c r="AB509" i="14"/>
  <c r="Z270" i="14" l="1"/>
  <c r="AC270" i="14" s="1"/>
  <c r="K510" i="27"/>
  <c r="U271" i="14" l="1"/>
  <c r="AD270" i="14"/>
  <c r="G511" i="27"/>
  <c r="I511" i="27" s="1"/>
  <c r="AB510" i="14"/>
  <c r="Y271" i="14" l="1"/>
  <c r="K511" i="27"/>
  <c r="Z271" i="14" l="1"/>
  <c r="AC271" i="14" s="1"/>
  <c r="G512" i="27"/>
  <c r="I512" i="27" s="1"/>
  <c r="AB511" i="14"/>
  <c r="U272" i="14" l="1"/>
  <c r="AD271" i="14"/>
  <c r="K512" i="27"/>
  <c r="Y272" i="14" l="1"/>
  <c r="Z272" i="14" s="1"/>
  <c r="AC272" i="14" s="1"/>
  <c r="G513" i="27"/>
  <c r="I513" i="27" s="1"/>
  <c r="AB512" i="14"/>
  <c r="U273" i="14" l="1"/>
  <c r="AD272" i="14"/>
  <c r="K513" i="27"/>
  <c r="Y273" i="14" l="1"/>
  <c r="G514" i="27"/>
  <c r="I514" i="27" s="1"/>
  <c r="AB513" i="14"/>
  <c r="Z273" i="14" l="1"/>
  <c r="AC273" i="14" s="1"/>
  <c r="K514" i="27"/>
  <c r="U274" i="14" l="1"/>
  <c r="AD273" i="14"/>
  <c r="G515" i="27"/>
  <c r="I515" i="27" s="1"/>
  <c r="AB514" i="14"/>
  <c r="Y274" i="14" l="1"/>
  <c r="K515" i="27"/>
  <c r="Z274" i="14" l="1"/>
  <c r="AC274" i="14" s="1"/>
  <c r="G516" i="27"/>
  <c r="I516" i="27" s="1"/>
  <c r="AB515" i="14"/>
  <c r="U275" i="14" l="1"/>
  <c r="AD274" i="14"/>
  <c r="K516" i="27"/>
  <c r="Y275" i="14" l="1"/>
  <c r="G517" i="27"/>
  <c r="I517" i="27" s="1"/>
  <c r="K517" i="27" s="1"/>
  <c r="AB516" i="14"/>
  <c r="Z275" i="14" l="1"/>
  <c r="AC275" i="14" s="1"/>
  <c r="G518" i="27"/>
  <c r="I518" i="27" s="1"/>
  <c r="AB517" i="14"/>
  <c r="U276" i="14" l="1"/>
  <c r="AD275" i="14"/>
  <c r="K518" i="27"/>
  <c r="Y276" i="14" l="1"/>
  <c r="G519" i="27"/>
  <c r="I519" i="27" s="1"/>
  <c r="K519" i="27" s="1"/>
  <c r="AB518" i="14"/>
  <c r="Z276" i="14" l="1"/>
  <c r="AC276" i="14" s="1"/>
  <c r="G520" i="27"/>
  <c r="I520" i="27" s="1"/>
  <c r="K520" i="27" s="1"/>
  <c r="AB519" i="14"/>
  <c r="U277" i="14" l="1"/>
  <c r="AD276" i="14"/>
  <c r="G521" i="27"/>
  <c r="I521" i="27" s="1"/>
  <c r="K521" i="27" s="1"/>
  <c r="AB520" i="14"/>
  <c r="Y277" i="14" l="1"/>
  <c r="G522" i="27"/>
  <c r="I522" i="27" s="1"/>
  <c r="AB521" i="14"/>
  <c r="Z277" i="14" l="1"/>
  <c r="AC277" i="14" s="1"/>
  <c r="K522" i="27"/>
  <c r="U278" i="14" l="1"/>
  <c r="AD277" i="14"/>
  <c r="G523" i="27"/>
  <c r="I523" i="27" s="1"/>
  <c r="K523" i="27" s="1"/>
  <c r="AB522" i="14"/>
  <c r="Y278" i="14" l="1"/>
  <c r="G524" i="27"/>
  <c r="I524" i="27" s="1"/>
  <c r="AB523" i="14"/>
  <c r="Z278" i="14" l="1"/>
  <c r="AC278" i="14" s="1"/>
  <c r="K524" i="27"/>
  <c r="U279" i="14" l="1"/>
  <c r="AD278" i="14"/>
  <c r="G525" i="27"/>
  <c r="I525" i="27" s="1"/>
  <c r="AB524" i="14"/>
  <c r="Y279" i="14" l="1"/>
  <c r="K525" i="27"/>
  <c r="Z279" i="14" l="1"/>
  <c r="AC279" i="14" s="1"/>
  <c r="G526" i="27"/>
  <c r="I526" i="27" s="1"/>
  <c r="AB525" i="14"/>
  <c r="U280" i="14" l="1"/>
  <c r="AD279" i="14"/>
  <c r="K526" i="27"/>
  <c r="Y280" i="14" l="1"/>
  <c r="G527" i="27"/>
  <c r="I527" i="27" s="1"/>
  <c r="K527" i="27" s="1"/>
  <c r="AB526" i="14"/>
  <c r="Z280" i="14" l="1"/>
  <c r="AC280" i="14" s="1"/>
  <c r="G528" i="27"/>
  <c r="I528" i="27" s="1"/>
  <c r="AB527" i="14"/>
  <c r="U281" i="14" l="1"/>
  <c r="AD280" i="14"/>
  <c r="K528" i="27"/>
  <c r="Y281" i="14" l="1"/>
  <c r="G529" i="27"/>
  <c r="I529" i="27" s="1"/>
  <c r="AB528" i="14"/>
  <c r="Z281" i="14" l="1"/>
  <c r="AC281" i="14" s="1"/>
  <c r="K529" i="27"/>
  <c r="U282" i="14" l="1"/>
  <c r="AD281" i="14"/>
  <c r="G530" i="27"/>
  <c r="I530" i="27" s="1"/>
  <c r="AB529" i="14"/>
  <c r="Y282" i="14" l="1"/>
  <c r="K530" i="27"/>
  <c r="Z282" i="14" l="1"/>
  <c r="AC282" i="14" s="1"/>
  <c r="G531" i="27"/>
  <c r="I531" i="27" s="1"/>
  <c r="K531" i="27" s="1"/>
  <c r="AB530" i="14"/>
  <c r="U283" i="14" l="1"/>
  <c r="AD282" i="14"/>
  <c r="G532" i="27"/>
  <c r="I532" i="27" s="1"/>
  <c r="AB531" i="14"/>
  <c r="Y283" i="14" l="1"/>
  <c r="K532" i="27"/>
  <c r="Z283" i="14" l="1"/>
  <c r="AC283" i="14" s="1"/>
  <c r="G533" i="27"/>
  <c r="I533" i="27" s="1"/>
  <c r="K533" i="27" s="1"/>
  <c r="AB532" i="14"/>
  <c r="U284" i="14" l="1"/>
  <c r="AD283" i="14"/>
  <c r="G534" i="27"/>
  <c r="I534" i="27" s="1"/>
  <c r="AB533" i="14"/>
  <c r="Y284" i="14" l="1"/>
  <c r="K534" i="27"/>
  <c r="Z284" i="14" l="1"/>
  <c r="AC284" i="14" s="1"/>
  <c r="G535" i="27"/>
  <c r="I535" i="27" s="1"/>
  <c r="K535" i="27" s="1"/>
  <c r="AB534" i="14"/>
  <c r="U285" i="14" l="1"/>
  <c r="AD284" i="14"/>
  <c r="G536" i="27"/>
  <c r="I536" i="27" s="1"/>
  <c r="K536" i="27" s="1"/>
  <c r="AB535" i="14"/>
  <c r="Y285" i="14" l="1"/>
  <c r="G537" i="27"/>
  <c r="I537" i="27" s="1"/>
  <c r="AB536" i="14"/>
  <c r="Z285" i="14" l="1"/>
  <c r="AC285" i="14" s="1"/>
  <c r="K537" i="27"/>
  <c r="U286" i="14" l="1"/>
  <c r="AD285" i="14"/>
  <c r="G538" i="27"/>
  <c r="I538" i="27" s="1"/>
  <c r="AB537" i="14"/>
  <c r="Y286" i="14" l="1"/>
  <c r="K538" i="27"/>
  <c r="Z286" i="14" l="1"/>
  <c r="AC286" i="14" s="1"/>
  <c r="G539" i="27"/>
  <c r="I539" i="27" s="1"/>
  <c r="K539" i="27" s="1"/>
  <c r="AB538" i="14"/>
  <c r="U287" i="14" l="1"/>
  <c r="AD286" i="14"/>
  <c r="G540" i="27"/>
  <c r="I540" i="27" s="1"/>
  <c r="K540" i="27" s="1"/>
  <c r="AB539" i="14"/>
  <c r="Y287" i="14" l="1"/>
  <c r="G541" i="27"/>
  <c r="I541" i="27" s="1"/>
  <c r="K541" i="27" s="1"/>
  <c r="AB540" i="14"/>
  <c r="Z287" i="14" l="1"/>
  <c r="AC287" i="14" s="1"/>
  <c r="G542" i="27"/>
  <c r="I542" i="27" s="1"/>
  <c r="K542" i="27" s="1"/>
  <c r="AB541" i="14"/>
  <c r="U288" i="14" l="1"/>
  <c r="AD287" i="14"/>
  <c r="G543" i="27"/>
  <c r="I543" i="27" s="1"/>
  <c r="K543" i="27" s="1"/>
  <c r="AB542" i="14"/>
  <c r="Y288" i="14" l="1"/>
  <c r="G544" i="27"/>
  <c r="I544" i="27" s="1"/>
  <c r="K544" i="27" s="1"/>
  <c r="AB543" i="14"/>
  <c r="Z288" i="14" l="1"/>
  <c r="AC288" i="14" s="1"/>
  <c r="G545" i="27"/>
  <c r="I545" i="27" s="1"/>
  <c r="AB544" i="14"/>
  <c r="U289" i="14" l="1"/>
  <c r="AD288" i="14"/>
  <c r="K545" i="27"/>
  <c r="Y289" i="14" l="1"/>
  <c r="G546" i="27"/>
  <c r="I546" i="27" s="1"/>
  <c r="AB545" i="14"/>
  <c r="Z289" i="14" l="1"/>
  <c r="AC289" i="14" s="1"/>
  <c r="K546" i="27"/>
  <c r="AD289" i="14" l="1"/>
  <c r="U290" i="14"/>
  <c r="G547" i="27"/>
  <c r="I547" i="27" s="1"/>
  <c r="AB546" i="14"/>
  <c r="Y290" i="14" l="1"/>
  <c r="K547" i="27"/>
  <c r="Z290" i="14" l="1"/>
  <c r="AC290" i="14" s="1"/>
  <c r="G548" i="27"/>
  <c r="I548" i="27" s="1"/>
  <c r="AB547" i="14"/>
  <c r="U291" i="14" l="1"/>
  <c r="AD290" i="14"/>
  <c r="K548" i="27"/>
  <c r="Y291" i="14" l="1"/>
  <c r="G549" i="27"/>
  <c r="I549" i="27" s="1"/>
  <c r="K549" i="27" s="1"/>
  <c r="AB548" i="14"/>
  <c r="Z291" i="14" l="1"/>
  <c r="AC291" i="14" s="1"/>
  <c r="G550" i="27"/>
  <c r="I550" i="27" s="1"/>
  <c r="AB549" i="14"/>
  <c r="U292" i="14" l="1"/>
  <c r="AD291" i="14"/>
  <c r="K550" i="27"/>
  <c r="Y292" i="14" l="1"/>
  <c r="G551" i="27"/>
  <c r="I551" i="27" s="1"/>
  <c r="K551" i="27" s="1"/>
  <c r="AB550" i="14"/>
  <c r="Z292" i="14" l="1"/>
  <c r="AC292" i="14" s="1"/>
  <c r="G552" i="27"/>
  <c r="I552" i="27" s="1"/>
  <c r="AB551" i="14"/>
  <c r="U293" i="14" l="1"/>
  <c r="AD292" i="14"/>
  <c r="K552" i="27"/>
  <c r="Y293" i="14" l="1"/>
  <c r="G553" i="27"/>
  <c r="I553" i="27" s="1"/>
  <c r="AB552" i="14"/>
  <c r="Z293" i="14" l="1"/>
  <c r="AC293" i="14" s="1"/>
  <c r="K553" i="27"/>
  <c r="U294" i="14" l="1"/>
  <c r="AD293" i="14"/>
  <c r="G554" i="27"/>
  <c r="I554" i="27" s="1"/>
  <c r="K554" i="27" s="1"/>
  <c r="AB553" i="14"/>
  <c r="Y294" i="14" l="1"/>
  <c r="G555" i="27"/>
  <c r="I555" i="27" s="1"/>
  <c r="AB554" i="14"/>
  <c r="Z294" i="14" l="1"/>
  <c r="AC294" i="14" s="1"/>
  <c r="K555" i="27"/>
  <c r="U295" i="14" l="1"/>
  <c r="AD294" i="14"/>
  <c r="G556" i="27"/>
  <c r="I556" i="27" s="1"/>
  <c r="AB555" i="14"/>
  <c r="Y295" i="14" l="1"/>
  <c r="K556" i="27"/>
  <c r="Z295" i="14" l="1"/>
  <c r="AC295" i="14" s="1"/>
  <c r="G557" i="27"/>
  <c r="I557" i="27" s="1"/>
  <c r="K557" i="27" s="1"/>
  <c r="AB556" i="14"/>
  <c r="U296" i="14" l="1"/>
  <c r="AD295" i="14"/>
  <c r="G558" i="27"/>
  <c r="I558" i="27" s="1"/>
  <c r="AB557" i="14"/>
  <c r="Y296" i="14" l="1"/>
  <c r="K558" i="27"/>
  <c r="Z296" i="14" l="1"/>
  <c r="AC296" i="14" s="1"/>
  <c r="G559" i="27"/>
  <c r="I559" i="27" s="1"/>
  <c r="K559" i="27" s="1"/>
  <c r="AB558" i="14"/>
  <c r="U297" i="14" l="1"/>
  <c r="AD296" i="14"/>
  <c r="G560" i="27"/>
  <c r="I560" i="27" s="1"/>
  <c r="AB559" i="14"/>
  <c r="Y297" i="14" l="1"/>
  <c r="K560" i="27"/>
  <c r="Z297" i="14" l="1"/>
  <c r="AC297" i="14" s="1"/>
  <c r="G561" i="27"/>
  <c r="I561" i="27" s="1"/>
  <c r="AB560" i="14"/>
  <c r="U298" i="14" l="1"/>
  <c r="AD297" i="14"/>
  <c r="K561" i="27"/>
  <c r="Y298" i="14" l="1"/>
  <c r="G562" i="27"/>
  <c r="I562" i="27" s="1"/>
  <c r="AB561" i="14"/>
  <c r="Z298" i="14" l="1"/>
  <c r="AC298" i="14" s="1"/>
  <c r="K562" i="27"/>
  <c r="U299" i="14" l="1"/>
  <c r="AD298" i="14"/>
  <c r="G563" i="27"/>
  <c r="I563" i="27" s="1"/>
  <c r="AB562" i="14"/>
  <c r="Y299" i="14" l="1"/>
  <c r="K563" i="27"/>
  <c r="Z299" i="14" l="1"/>
  <c r="AC299" i="14" s="1"/>
  <c r="G564" i="27"/>
  <c r="I564" i="27" s="1"/>
  <c r="AB563" i="14"/>
  <c r="U300" i="14" l="1"/>
  <c r="AD299" i="14"/>
  <c r="K564" i="27"/>
  <c r="Y300" i="14" l="1"/>
  <c r="G565" i="27"/>
  <c r="I565" i="27" s="1"/>
  <c r="AB564" i="14"/>
  <c r="Z300" i="14" l="1"/>
  <c r="AC300" i="14" s="1"/>
  <c r="K565" i="27"/>
  <c r="U301" i="14" l="1"/>
  <c r="AD300" i="14"/>
  <c r="G566" i="27"/>
  <c r="I566" i="27" s="1"/>
  <c r="AB565" i="14"/>
  <c r="Y301" i="14" l="1"/>
  <c r="K566" i="27"/>
  <c r="Z301" i="14" l="1"/>
  <c r="AC301" i="14" s="1"/>
  <c r="G567" i="27"/>
  <c r="I567" i="27" s="1"/>
  <c r="K567" i="27" s="1"/>
  <c r="AB566" i="14"/>
  <c r="U302" i="14" l="1"/>
  <c r="AD301" i="14"/>
  <c r="G568" i="27"/>
  <c r="I568" i="27" s="1"/>
  <c r="AB567" i="14"/>
  <c r="Y302" i="14" l="1"/>
  <c r="K568" i="27"/>
  <c r="Z302" i="14" l="1"/>
  <c r="AC302" i="14" s="1"/>
  <c r="G569" i="27"/>
  <c r="I569" i="27" s="1"/>
  <c r="AB568" i="14"/>
  <c r="U303" i="14" l="1"/>
  <c r="AD302" i="14"/>
  <c r="K569" i="27"/>
  <c r="Y303" i="14" l="1"/>
  <c r="G570" i="27"/>
  <c r="I570" i="27" s="1"/>
  <c r="K570" i="27" s="1"/>
  <c r="AB569" i="14"/>
  <c r="Z303" i="14" l="1"/>
  <c r="AC303" i="14" s="1"/>
  <c r="G571" i="27"/>
  <c r="I571" i="27" s="1"/>
  <c r="AB570" i="14"/>
  <c r="U304" i="14" l="1"/>
  <c r="AD303" i="14"/>
  <c r="K571" i="27"/>
  <c r="Y304" i="14" l="1"/>
  <c r="G572" i="27"/>
  <c r="I572" i="27" s="1"/>
  <c r="AB571" i="14"/>
  <c r="Z304" i="14" l="1"/>
  <c r="AC304" i="14" s="1"/>
  <c r="K572" i="27"/>
  <c r="U305" i="14" l="1"/>
  <c r="AD304" i="14"/>
  <c r="G573" i="27"/>
  <c r="I573" i="27" s="1"/>
  <c r="K573" i="27" s="1"/>
  <c r="AB572" i="14"/>
  <c r="Y305" i="14" l="1"/>
  <c r="G574" i="27"/>
  <c r="I574" i="27" s="1"/>
  <c r="AB573" i="14"/>
  <c r="Z305" i="14" l="1"/>
  <c r="AC305" i="14" s="1"/>
  <c r="K574" i="27"/>
  <c r="AD305" i="14" l="1"/>
  <c r="U306" i="14"/>
  <c r="G575" i="27"/>
  <c r="I575" i="27" s="1"/>
  <c r="AB574" i="14"/>
  <c r="Y306" i="14" l="1"/>
  <c r="K575" i="27"/>
  <c r="Z306" i="14" l="1"/>
  <c r="AC306" i="14" s="1"/>
  <c r="G576" i="27"/>
  <c r="I576" i="27" s="1"/>
  <c r="K576" i="27" s="1"/>
  <c r="AB575" i="14"/>
  <c r="U307" i="14" l="1"/>
  <c r="AD306" i="14"/>
  <c r="G577" i="27"/>
  <c r="I577" i="27" s="1"/>
  <c r="AB576" i="14"/>
  <c r="Y307" i="14" l="1"/>
  <c r="K577" i="27"/>
  <c r="Z307" i="14" l="1"/>
  <c r="AC307" i="14" s="1"/>
  <c r="G578" i="27"/>
  <c r="I578" i="27" s="1"/>
  <c r="K578" i="27" s="1"/>
  <c r="AB577" i="14"/>
  <c r="U308" i="14" l="1"/>
  <c r="AD307" i="14"/>
  <c r="G579" i="27"/>
  <c r="I579" i="27" s="1"/>
  <c r="AB578" i="14"/>
  <c r="Y308" i="14" l="1"/>
  <c r="K579" i="27"/>
  <c r="Z308" i="14" l="1"/>
  <c r="AC308" i="14" s="1"/>
  <c r="G580" i="27"/>
  <c r="I580" i="27" s="1"/>
  <c r="AB579" i="14"/>
  <c r="U309" i="14" l="1"/>
  <c r="AD308" i="14"/>
  <c r="K580" i="27"/>
  <c r="Y309" i="14" l="1"/>
  <c r="G581" i="27"/>
  <c r="I581" i="27" s="1"/>
  <c r="K581" i="27" s="1"/>
  <c r="AB580" i="14"/>
  <c r="Z309" i="14" l="1"/>
  <c r="AC309" i="14" s="1"/>
  <c r="G582" i="27"/>
  <c r="I582" i="27" s="1"/>
  <c r="AB581" i="14"/>
  <c r="U310" i="14" l="1"/>
  <c r="AD309" i="14"/>
  <c r="K582" i="27"/>
  <c r="Y310" i="14" l="1"/>
  <c r="G583" i="27"/>
  <c r="I583" i="27" s="1"/>
  <c r="AB582" i="14"/>
  <c r="Z310" i="14" l="1"/>
  <c r="AC310" i="14" s="1"/>
  <c r="K583" i="27"/>
  <c r="U311" i="14" l="1"/>
  <c r="AD310" i="14"/>
  <c r="G584" i="27"/>
  <c r="I584" i="27" s="1"/>
  <c r="K584" i="27" s="1"/>
  <c r="AB583" i="14"/>
  <c r="Y311" i="14" l="1"/>
  <c r="Z311" i="14" s="1"/>
  <c r="AC311" i="14" s="1"/>
  <c r="G585" i="27"/>
  <c r="I585" i="27" s="1"/>
  <c r="AB584" i="14"/>
  <c r="U312" i="14" l="1"/>
  <c r="AD311" i="14"/>
  <c r="K585" i="27"/>
  <c r="Y312" i="14" l="1"/>
  <c r="G586" i="27"/>
  <c r="I586" i="27" s="1"/>
  <c r="K586" i="27" s="1"/>
  <c r="AB585" i="14"/>
  <c r="Z312" i="14" l="1"/>
  <c r="AC312" i="14" s="1"/>
  <c r="G587" i="27"/>
  <c r="I587" i="27" s="1"/>
  <c r="K587" i="27" s="1"/>
  <c r="AB586" i="14"/>
  <c r="U313" i="14" l="1"/>
  <c r="AD312" i="14"/>
  <c r="G588" i="27"/>
  <c r="I588" i="27" s="1"/>
  <c r="AB587" i="14"/>
  <c r="Y313" i="14" l="1"/>
  <c r="K588" i="27"/>
  <c r="Z313" i="14" l="1"/>
  <c r="AC313" i="14" s="1"/>
  <c r="G589" i="27"/>
  <c r="I589" i="27" s="1"/>
  <c r="AB588" i="14"/>
  <c r="U314" i="14" l="1"/>
  <c r="AD313" i="14"/>
  <c r="K589" i="27"/>
  <c r="Y314" i="14" l="1"/>
  <c r="G590" i="27"/>
  <c r="I590" i="27" s="1"/>
  <c r="AB589" i="14"/>
  <c r="Z314" i="14" l="1"/>
  <c r="AC314" i="14" s="1"/>
  <c r="K590" i="27"/>
  <c r="U315" i="14" l="1"/>
  <c r="AD314" i="14"/>
  <c r="G591" i="27"/>
  <c r="I591" i="27" s="1"/>
  <c r="K591" i="27" s="1"/>
  <c r="AB590" i="14"/>
  <c r="Y315" i="14" l="1"/>
  <c r="G592" i="27"/>
  <c r="I592" i="27" s="1"/>
  <c r="AB591" i="14"/>
  <c r="Z315" i="14" l="1"/>
  <c r="AC315" i="14" s="1"/>
  <c r="K592" i="27"/>
  <c r="U316" i="14" l="1"/>
  <c r="AD315" i="14"/>
  <c r="G593" i="27"/>
  <c r="I593" i="27" s="1"/>
  <c r="AB592" i="14"/>
  <c r="Y316" i="14" l="1"/>
  <c r="K593" i="27"/>
  <c r="Z316" i="14" l="1"/>
  <c r="AC316" i="14" s="1"/>
  <c r="G594" i="27"/>
  <c r="I594" i="27" s="1"/>
  <c r="AB593" i="14"/>
  <c r="U317" i="14" l="1"/>
  <c r="AD316" i="14"/>
  <c r="K594" i="27"/>
  <c r="Y317" i="14" l="1"/>
  <c r="G595" i="27"/>
  <c r="I595" i="27" s="1"/>
  <c r="K595" i="27" s="1"/>
  <c r="AB594" i="14"/>
  <c r="Z317" i="14" l="1"/>
  <c r="AC317" i="14" s="1"/>
  <c r="G596" i="27"/>
  <c r="I596" i="27" s="1"/>
  <c r="AB595" i="14"/>
  <c r="U318" i="14" l="1"/>
  <c r="AD317" i="14"/>
  <c r="K596" i="27"/>
  <c r="Y318" i="14" l="1"/>
  <c r="G597" i="27"/>
  <c r="I597" i="27" s="1"/>
  <c r="AB596" i="14"/>
  <c r="Z318" i="14" l="1"/>
  <c r="AC318" i="14" s="1"/>
  <c r="K597" i="27"/>
  <c r="U319" i="14" l="1"/>
  <c r="AD318" i="14"/>
  <c r="G598" i="27"/>
  <c r="I598" i="27" s="1"/>
  <c r="AB597" i="14"/>
  <c r="Y319" i="14" l="1"/>
  <c r="K598" i="27"/>
  <c r="Z319" i="14" l="1"/>
  <c r="AC319" i="14" s="1"/>
  <c r="G599" i="27"/>
  <c r="I599" i="27" s="1"/>
  <c r="AB598" i="14"/>
  <c r="U320" i="14" l="1"/>
  <c r="AD319" i="14"/>
  <c r="K599" i="27"/>
  <c r="Y320" i="14" l="1"/>
  <c r="G600" i="27"/>
  <c r="I600" i="27" s="1"/>
  <c r="K600" i="27" s="1"/>
  <c r="AB599" i="14"/>
  <c r="Z320" i="14" l="1"/>
  <c r="AC320" i="14" s="1"/>
  <c r="G601" i="27"/>
  <c r="I601" i="27" s="1"/>
  <c r="AB600" i="14"/>
  <c r="U321" i="14" l="1"/>
  <c r="AD320" i="14"/>
  <c r="K601" i="27"/>
  <c r="Y321" i="14" l="1"/>
  <c r="G602" i="27"/>
  <c r="I602" i="27" s="1"/>
  <c r="K602" i="27" s="1"/>
  <c r="AB601" i="14"/>
  <c r="Z321" i="14" l="1"/>
  <c r="AC321" i="14" s="1"/>
  <c r="G603" i="27"/>
  <c r="I603" i="27" s="1"/>
  <c r="K603" i="27" s="1"/>
  <c r="AB602" i="14"/>
  <c r="U322" i="14" l="1"/>
  <c r="AD321" i="14"/>
  <c r="G604" i="27"/>
  <c r="I604" i="27" s="1"/>
  <c r="AB603" i="14"/>
  <c r="Y322" i="14" l="1"/>
  <c r="K604" i="27"/>
  <c r="Z322" i="14" l="1"/>
  <c r="AC322" i="14" s="1"/>
  <c r="G605" i="27"/>
  <c r="I605" i="27" s="1"/>
  <c r="K605" i="27" s="1"/>
  <c r="AB604" i="14"/>
  <c r="U323" i="14" l="1"/>
  <c r="AD322" i="14"/>
  <c r="G606" i="27"/>
  <c r="I606" i="27" s="1"/>
  <c r="AB605" i="14"/>
  <c r="Y323" i="14" l="1"/>
  <c r="K606" i="27"/>
  <c r="Z323" i="14" l="1"/>
  <c r="AC323" i="14" s="1"/>
  <c r="G607" i="27"/>
  <c r="I607" i="27" s="1"/>
  <c r="AB606" i="14"/>
  <c r="U324" i="14" l="1"/>
  <c r="AD323" i="14"/>
  <c r="K607" i="27"/>
  <c r="Y324" i="14" l="1"/>
  <c r="G608" i="27"/>
  <c r="I608" i="27" s="1"/>
  <c r="AB607" i="14"/>
  <c r="Z324" i="14" l="1"/>
  <c r="AC324" i="14" s="1"/>
  <c r="K608" i="27"/>
  <c r="U325" i="14" l="1"/>
  <c r="AD324" i="14"/>
  <c r="G609" i="27"/>
  <c r="I609" i="27" s="1"/>
  <c r="K609" i="27" s="1"/>
  <c r="AB608" i="14"/>
  <c r="Y325" i="14" l="1"/>
  <c r="G610" i="27"/>
  <c r="I610" i="27" s="1"/>
  <c r="AB609" i="14"/>
  <c r="Z325" i="14" l="1"/>
  <c r="AC325" i="14" s="1"/>
  <c r="K610" i="27"/>
  <c r="U326" i="14" l="1"/>
  <c r="AD325" i="14"/>
  <c r="G611" i="27"/>
  <c r="I611" i="27" s="1"/>
  <c r="K611" i="27" s="1"/>
  <c r="AB610" i="14"/>
  <c r="Y326" i="14" l="1"/>
  <c r="G612" i="27"/>
  <c r="I612" i="27" s="1"/>
  <c r="AB611" i="14"/>
  <c r="Z326" i="14" l="1"/>
  <c r="AC326" i="14" s="1"/>
  <c r="K612" i="27"/>
  <c r="U327" i="14" l="1"/>
  <c r="AD326" i="14"/>
  <c r="G613" i="27"/>
  <c r="I613" i="27" s="1"/>
  <c r="K613" i="27" s="1"/>
  <c r="AB612" i="14"/>
  <c r="Y327" i="14" l="1"/>
  <c r="G614" i="27"/>
  <c r="I614" i="27" s="1"/>
  <c r="K614" i="27" s="1"/>
  <c r="AB613" i="14"/>
  <c r="Z327" i="14" l="1"/>
  <c r="AC327" i="14" s="1"/>
  <c r="G615" i="27"/>
  <c r="I615" i="27" s="1"/>
  <c r="AB614" i="14"/>
  <c r="U328" i="14" l="1"/>
  <c r="AD327" i="14"/>
  <c r="K615" i="27"/>
  <c r="Y328" i="14" l="1"/>
  <c r="G616" i="27"/>
  <c r="I616" i="27" s="1"/>
  <c r="K616" i="27" s="1"/>
  <c r="AB615" i="14"/>
  <c r="Z328" i="14" l="1"/>
  <c r="AC328" i="14" s="1"/>
  <c r="G617" i="27"/>
  <c r="I617" i="27" s="1"/>
  <c r="AB616" i="14"/>
  <c r="U329" i="14" l="1"/>
  <c r="AD328" i="14"/>
  <c r="K617" i="27"/>
  <c r="G618" i="27" s="1"/>
  <c r="I618" i="27" s="1"/>
  <c r="Y329" i="14" l="1"/>
  <c r="AB617" i="14"/>
  <c r="K618" i="27"/>
  <c r="Z329" i="14" l="1"/>
  <c r="AC329" i="14" s="1"/>
  <c r="G619" i="27"/>
  <c r="I619" i="27" s="1"/>
  <c r="AB618" i="14"/>
  <c r="U330" i="14" l="1"/>
  <c r="AD329" i="14"/>
  <c r="K619" i="27"/>
  <c r="Y330" i="14" l="1"/>
  <c r="G620" i="27"/>
  <c r="I620" i="27" s="1"/>
  <c r="AB619" i="14"/>
  <c r="Z330" i="14" l="1"/>
  <c r="AC330" i="14" s="1"/>
  <c r="K620" i="27"/>
  <c r="U331" i="14" l="1"/>
  <c r="AD330" i="14"/>
  <c r="G621" i="27"/>
  <c r="I621" i="27" s="1"/>
  <c r="AB620" i="14"/>
  <c r="Y331" i="14" l="1"/>
  <c r="K621" i="27"/>
  <c r="Z331" i="14" l="1"/>
  <c r="AC331" i="14" s="1"/>
  <c r="G622" i="27"/>
  <c r="I622" i="27" s="1"/>
  <c r="K622" i="27" s="1"/>
  <c r="AB621" i="14"/>
  <c r="U332" i="14" l="1"/>
  <c r="AD331" i="14"/>
  <c r="G623" i="27"/>
  <c r="I623" i="27" s="1"/>
  <c r="AB622" i="14"/>
  <c r="Y332" i="14" l="1"/>
  <c r="K623" i="27"/>
  <c r="Z332" i="14" l="1"/>
  <c r="AC332" i="14" s="1"/>
  <c r="G624" i="27"/>
  <c r="I624" i="27" s="1"/>
  <c r="K624" i="27" s="1"/>
  <c r="AB623" i="14"/>
  <c r="U333" i="14" l="1"/>
  <c r="AD332" i="14"/>
  <c r="G625" i="27"/>
  <c r="I625" i="27" s="1"/>
  <c r="AB624" i="14"/>
  <c r="Y333" i="14" l="1"/>
  <c r="K625" i="27"/>
  <c r="Z333" i="14" l="1"/>
  <c r="AC333" i="14" s="1"/>
  <c r="G626" i="27"/>
  <c r="I626" i="27" s="1"/>
  <c r="AB625" i="14"/>
  <c r="U334" i="14" l="1"/>
  <c r="AD333" i="14"/>
  <c r="K626" i="27"/>
  <c r="Y334" i="14" l="1"/>
  <c r="G627" i="27"/>
  <c r="I627" i="27" s="1"/>
  <c r="K627" i="27" s="1"/>
  <c r="AB626" i="14"/>
  <c r="Z334" i="14" l="1"/>
  <c r="AC334" i="14" s="1"/>
  <c r="G628" i="27"/>
  <c r="I628" i="27" s="1"/>
  <c r="AB627" i="14"/>
  <c r="U335" i="14" l="1"/>
  <c r="AD334" i="14"/>
  <c r="K628" i="27"/>
  <c r="Y335" i="14" l="1"/>
  <c r="G629" i="27"/>
  <c r="I629" i="27" s="1"/>
  <c r="K629" i="27" s="1"/>
  <c r="AB628" i="14"/>
  <c r="Z335" i="14" l="1"/>
  <c r="AC335" i="14" s="1"/>
  <c r="G630" i="27"/>
  <c r="I630" i="27" s="1"/>
  <c r="K630" i="27" s="1"/>
  <c r="AB629" i="14"/>
  <c r="U336" i="14" l="1"/>
  <c r="AD335" i="14"/>
  <c r="G631" i="27"/>
  <c r="I631" i="27" s="1"/>
  <c r="AB630" i="14"/>
  <c r="Y336" i="14" l="1"/>
  <c r="Z336" i="14" s="1"/>
  <c r="AC336" i="14" s="1"/>
  <c r="K631" i="27"/>
  <c r="U337" i="14" l="1"/>
  <c r="AD336" i="14"/>
  <c r="G632" i="27"/>
  <c r="I632" i="27" s="1"/>
  <c r="K632" i="27" s="1"/>
  <c r="AB631" i="14"/>
  <c r="Y337" i="14" l="1"/>
  <c r="G633" i="27"/>
  <c r="I633" i="27" s="1"/>
  <c r="AB632" i="14"/>
  <c r="Z337" i="14" l="1"/>
  <c r="AC337" i="14" s="1"/>
  <c r="K633" i="27"/>
  <c r="U338" i="14" l="1"/>
  <c r="AD337" i="14"/>
  <c r="G634" i="27"/>
  <c r="I634" i="27" s="1"/>
  <c r="K634" i="27" s="1"/>
  <c r="AB633" i="14"/>
  <c r="Y338" i="14" l="1"/>
  <c r="G635" i="27"/>
  <c r="I635" i="27" s="1"/>
  <c r="K635" i="27" s="1"/>
  <c r="AB634" i="14"/>
  <c r="Z338" i="14" l="1"/>
  <c r="AC338" i="14" s="1"/>
  <c r="G636" i="27"/>
  <c r="I636" i="27" s="1"/>
  <c r="AB635" i="14"/>
  <c r="U339" i="14" l="1"/>
  <c r="AD338" i="14"/>
  <c r="K636" i="27"/>
  <c r="Y339" i="14" l="1"/>
  <c r="G637" i="27"/>
  <c r="I637" i="27" s="1"/>
  <c r="AB636" i="14"/>
  <c r="Z339" i="14" l="1"/>
  <c r="AC339" i="14" s="1"/>
  <c r="K637" i="27"/>
  <c r="U340" i="14" l="1"/>
  <c r="AD339" i="14"/>
  <c r="G638" i="27"/>
  <c r="I638" i="27" s="1"/>
  <c r="K638" i="27" s="1"/>
  <c r="AB637" i="14"/>
  <c r="Y340" i="14" l="1"/>
  <c r="G639" i="27"/>
  <c r="I639" i="27" s="1"/>
  <c r="K639" i="27" s="1"/>
  <c r="AB638" i="14"/>
  <c r="Z340" i="14" l="1"/>
  <c r="AC340" i="14" s="1"/>
  <c r="G640" i="27"/>
  <c r="I640" i="27" s="1"/>
  <c r="K640" i="27" s="1"/>
  <c r="AB639" i="14"/>
  <c r="U341" i="14" l="1"/>
  <c r="AD340" i="14"/>
  <c r="G641" i="27"/>
  <c r="I641" i="27" s="1"/>
  <c r="AB640" i="14"/>
  <c r="Y341" i="14" l="1"/>
  <c r="K641" i="27"/>
  <c r="Z341" i="14" l="1"/>
  <c r="AC341" i="14" s="1"/>
  <c r="G642" i="27"/>
  <c r="I642" i="27" s="1"/>
  <c r="AB641" i="14"/>
  <c r="U342" i="14" l="1"/>
  <c r="AD341" i="14"/>
  <c r="K642" i="27"/>
  <c r="Y342" i="14" l="1"/>
  <c r="G643" i="27"/>
  <c r="I643" i="27" s="1"/>
  <c r="AB642" i="14"/>
  <c r="Z342" i="14" l="1"/>
  <c r="AC342" i="14" s="1"/>
  <c r="K643" i="27"/>
  <c r="U343" i="14" l="1"/>
  <c r="AD342" i="14"/>
  <c r="G644" i="27"/>
  <c r="I644" i="27" s="1"/>
  <c r="AB643" i="14"/>
  <c r="Y343" i="14" l="1"/>
  <c r="K644" i="27"/>
  <c r="Z343" i="14" l="1"/>
  <c r="AC343" i="14" s="1"/>
  <c r="G645" i="27"/>
  <c r="I645" i="27" s="1"/>
  <c r="AB644" i="14"/>
  <c r="AD343" i="14" l="1"/>
  <c r="U344" i="14"/>
  <c r="K645" i="27"/>
  <c r="Y344" i="14" l="1"/>
  <c r="G646" i="27"/>
  <c r="I646" i="27" s="1"/>
  <c r="K646" i="27" s="1"/>
  <c r="AB645" i="14"/>
  <c r="Z344" i="14" l="1"/>
  <c r="AC344" i="14" s="1"/>
  <c r="G647" i="27"/>
  <c r="I647" i="27" s="1"/>
  <c r="AB646" i="14"/>
  <c r="U345" i="14" l="1"/>
  <c r="AD344" i="14"/>
  <c r="K647" i="27"/>
  <c r="Y345" i="14" l="1"/>
  <c r="G648" i="27"/>
  <c r="I648" i="27" s="1"/>
  <c r="AB647" i="14"/>
  <c r="Z345" i="14" l="1"/>
  <c r="AC345" i="14" s="1"/>
  <c r="K648" i="27"/>
  <c r="U346" i="14" l="1"/>
  <c r="AD345" i="14"/>
  <c r="G649" i="27"/>
  <c r="I649" i="27" s="1"/>
  <c r="K649" i="27" s="1"/>
  <c r="AB648" i="14"/>
  <c r="Y346" i="14" l="1"/>
  <c r="G650" i="27"/>
  <c r="I650" i="27" s="1"/>
  <c r="K650" i="27" s="1"/>
  <c r="AB649" i="14"/>
  <c r="Z346" i="14" l="1"/>
  <c r="AC346" i="14" s="1"/>
  <c r="G651" i="27"/>
  <c r="I651" i="27" s="1"/>
  <c r="AB650" i="14"/>
  <c r="U347" i="14" l="1"/>
  <c r="AD346" i="14"/>
  <c r="K651" i="27"/>
  <c r="Y347" i="14" l="1"/>
  <c r="G652" i="27"/>
  <c r="I652" i="27" s="1"/>
  <c r="AB651" i="14"/>
  <c r="Z347" i="14" l="1"/>
  <c r="AC347" i="14" s="1"/>
  <c r="K652" i="27"/>
  <c r="U348" i="14" l="1"/>
  <c r="AD347" i="14"/>
  <c r="G653" i="27"/>
  <c r="I653" i="27" s="1"/>
  <c r="K653" i="27" s="1"/>
  <c r="AB652" i="14"/>
  <c r="Y348" i="14" l="1"/>
  <c r="G654" i="27"/>
  <c r="I654" i="27" s="1"/>
  <c r="AB653" i="14"/>
  <c r="Z348" i="14" l="1"/>
  <c r="AC348" i="14" s="1"/>
  <c r="K654" i="27"/>
  <c r="U349" i="14" l="1"/>
  <c r="AD348" i="14"/>
  <c r="G655" i="27"/>
  <c r="I655" i="27" s="1"/>
  <c r="AB654" i="14"/>
  <c r="Y349" i="14" l="1"/>
  <c r="K655" i="27"/>
  <c r="Z349" i="14" l="1"/>
  <c r="AC349" i="14" s="1"/>
  <c r="G656" i="27"/>
  <c r="I656" i="27" s="1"/>
  <c r="K656" i="27" s="1"/>
  <c r="AB655" i="14"/>
  <c r="U350" i="14" l="1"/>
  <c r="AD349" i="14"/>
  <c r="G657" i="27"/>
  <c r="I657" i="27" s="1"/>
  <c r="AB656" i="14"/>
  <c r="Y350" i="14" l="1"/>
  <c r="K657" i="27"/>
  <c r="Z350" i="14" l="1"/>
  <c r="AC350" i="14" s="1"/>
  <c r="G658" i="27"/>
  <c r="I658" i="27" s="1"/>
  <c r="AB657" i="14"/>
  <c r="U351" i="14" l="1"/>
  <c r="AD350" i="14"/>
  <c r="K658" i="27"/>
  <c r="Y351" i="14" l="1"/>
  <c r="Z351" i="14" s="1"/>
  <c r="AC351" i="14" s="1"/>
  <c r="G659" i="27"/>
  <c r="I659" i="27" s="1"/>
  <c r="K659" i="27" s="1"/>
  <c r="AB658" i="14"/>
  <c r="U352" i="14" l="1"/>
  <c r="AD351" i="14"/>
  <c r="G660" i="27"/>
  <c r="I660" i="27" s="1"/>
  <c r="AB659" i="14"/>
  <c r="Y352" i="14" l="1"/>
  <c r="K660" i="27"/>
  <c r="Z352" i="14" l="1"/>
  <c r="AC352" i="14" s="1"/>
  <c r="G661" i="27"/>
  <c r="I661" i="27" s="1"/>
  <c r="K661" i="27" s="1"/>
  <c r="AB660" i="14"/>
  <c r="U353" i="14" l="1"/>
  <c r="AD352" i="14"/>
  <c r="G662" i="27"/>
  <c r="I662" i="27" s="1"/>
  <c r="AB661" i="14"/>
  <c r="Y353" i="14" l="1"/>
  <c r="K662" i="27"/>
  <c r="Z353" i="14" l="1"/>
  <c r="AC353" i="14" s="1"/>
  <c r="G663" i="27"/>
  <c r="I663" i="27" s="1"/>
  <c r="AB662" i="14"/>
  <c r="U354" i="14" l="1"/>
  <c r="AD353" i="14"/>
  <c r="K663" i="27"/>
  <c r="Y354" i="14" l="1"/>
  <c r="G664" i="27"/>
  <c r="I664" i="27" s="1"/>
  <c r="AB663" i="14"/>
  <c r="Z354" i="14" l="1"/>
  <c r="AC354" i="14" s="1"/>
  <c r="K664" i="27"/>
  <c r="U355" i="14" l="1"/>
  <c r="AD354" i="14"/>
  <c r="G665" i="27"/>
  <c r="I665" i="27" s="1"/>
  <c r="K665" i="27" s="1"/>
  <c r="AB664" i="14"/>
  <c r="Y355" i="14" l="1"/>
  <c r="G666" i="27"/>
  <c r="I666" i="27" s="1"/>
  <c r="AB665" i="14"/>
  <c r="Z355" i="14" l="1"/>
  <c r="AC355" i="14" s="1"/>
  <c r="K666" i="27"/>
  <c r="U356" i="14" l="1"/>
  <c r="AD355" i="14"/>
  <c r="G667" i="27"/>
  <c r="I667" i="27" s="1"/>
  <c r="K667" i="27" s="1"/>
  <c r="AB666" i="14"/>
  <c r="Y356" i="14" l="1"/>
  <c r="G668" i="27"/>
  <c r="I668" i="27" s="1"/>
  <c r="AB667" i="14"/>
  <c r="Z356" i="14" l="1"/>
  <c r="AC356" i="14" s="1"/>
  <c r="K668" i="27"/>
  <c r="U357" i="14" l="1"/>
  <c r="AD356" i="14"/>
  <c r="G669" i="27"/>
  <c r="I669" i="27" s="1"/>
  <c r="K669" i="27" s="1"/>
  <c r="AB668" i="14"/>
  <c r="Y357" i="14" l="1"/>
  <c r="G670" i="27"/>
  <c r="I670" i="27" s="1"/>
  <c r="K670" i="27" s="1"/>
  <c r="AB669" i="14"/>
  <c r="Z357" i="14" l="1"/>
  <c r="AC357" i="14" s="1"/>
  <c r="G671" i="27"/>
  <c r="I671" i="27" s="1"/>
  <c r="K671" i="27" s="1"/>
  <c r="AB670" i="14"/>
  <c r="U358" i="14" l="1"/>
  <c r="AD357" i="14"/>
  <c r="G672" i="27"/>
  <c r="I672" i="27" s="1"/>
  <c r="AB671" i="14"/>
  <c r="Y358" i="14" l="1"/>
  <c r="K672" i="27"/>
  <c r="Z358" i="14" l="1"/>
  <c r="AC358" i="14" s="1"/>
  <c r="G673" i="27"/>
  <c r="I673" i="27" s="1"/>
  <c r="AB672" i="14"/>
  <c r="U359" i="14" l="1"/>
  <c r="AD358" i="14"/>
  <c r="K673" i="27"/>
  <c r="Y359" i="14" l="1"/>
  <c r="G674" i="27"/>
  <c r="I674" i="27" s="1"/>
  <c r="AB673" i="14"/>
  <c r="Z359" i="14" l="1"/>
  <c r="AC359" i="14" s="1"/>
  <c r="K674" i="27"/>
  <c r="U360" i="14" l="1"/>
  <c r="AD359" i="14"/>
  <c r="G675" i="27"/>
  <c r="I675" i="27" s="1"/>
  <c r="AB674" i="14"/>
  <c r="Y360" i="14" l="1"/>
  <c r="K675" i="27"/>
  <c r="Z360" i="14" l="1"/>
  <c r="AC360" i="14" s="1"/>
  <c r="G676" i="27"/>
  <c r="I676" i="27" s="1"/>
  <c r="AB675" i="14"/>
  <c r="U361" i="14" l="1"/>
  <c r="AD360" i="14"/>
  <c r="K676" i="27"/>
  <c r="Y361" i="14" l="1"/>
  <c r="G677" i="27"/>
  <c r="I677" i="27" s="1"/>
  <c r="AB676" i="14"/>
  <c r="Z361" i="14" l="1"/>
  <c r="AC361" i="14" s="1"/>
  <c r="K677" i="27"/>
  <c r="U362" i="14" l="1"/>
  <c r="AD361" i="14"/>
  <c r="G678" i="27"/>
  <c r="I678" i="27" s="1"/>
  <c r="K678" i="27" s="1"/>
  <c r="AB677" i="14"/>
  <c r="Y362" i="14" l="1"/>
  <c r="G679" i="27"/>
  <c r="I679" i="27" s="1"/>
  <c r="AB678" i="14"/>
  <c r="Z362" i="14" l="1"/>
  <c r="AC362" i="14" s="1"/>
  <c r="K679" i="27"/>
  <c r="U363" i="14" l="1"/>
  <c r="AD362" i="14"/>
  <c r="G680" i="27"/>
  <c r="I680" i="27" s="1"/>
  <c r="K680" i="27" s="1"/>
  <c r="AB679" i="14"/>
  <c r="Y363" i="14" l="1"/>
  <c r="G681" i="27"/>
  <c r="I681" i="27" s="1"/>
  <c r="AB680" i="14"/>
  <c r="Z363" i="14" l="1"/>
  <c r="AC363" i="14" s="1"/>
  <c r="K681" i="27"/>
  <c r="U364" i="14" l="1"/>
  <c r="AD363" i="14"/>
  <c r="G682" i="27"/>
  <c r="I682" i="27" s="1"/>
  <c r="K682" i="27" s="1"/>
  <c r="AB681" i="14"/>
  <c r="Y364" i="14" l="1"/>
  <c r="G683" i="27"/>
  <c r="I683" i="27" s="1"/>
  <c r="AB682" i="14"/>
  <c r="Z364" i="14" l="1"/>
  <c r="AC364" i="14" s="1"/>
  <c r="K683" i="27"/>
  <c r="U365" i="14" l="1"/>
  <c r="AD364" i="14"/>
  <c r="G684" i="27"/>
  <c r="I684" i="27" s="1"/>
  <c r="AB683" i="14"/>
  <c r="Y365" i="14" l="1"/>
  <c r="K684" i="27"/>
  <c r="Z365" i="14" l="1"/>
  <c r="AC365" i="14" s="1"/>
  <c r="G685" i="27"/>
  <c r="I685" i="27" s="1"/>
  <c r="AB684" i="14"/>
  <c r="U366" i="14" l="1"/>
  <c r="AD365" i="14"/>
  <c r="K685" i="27"/>
  <c r="Y366" i="14" l="1"/>
  <c r="G686" i="27"/>
  <c r="I686" i="27" s="1"/>
  <c r="K686" i="27" s="1"/>
  <c r="AB685" i="14"/>
  <c r="Z366" i="14" l="1"/>
  <c r="AC366" i="14" s="1"/>
  <c r="G687" i="27"/>
  <c r="I687" i="27" s="1"/>
  <c r="AB686" i="14"/>
  <c r="U367" i="14" l="1"/>
  <c r="AD366" i="14"/>
  <c r="K687" i="27"/>
  <c r="Y367" i="14" l="1"/>
  <c r="G688" i="27"/>
  <c r="I688" i="27" s="1"/>
  <c r="K688" i="27" s="1"/>
  <c r="AB687" i="14"/>
  <c r="Z367" i="14" l="1"/>
  <c r="AC367" i="14" s="1"/>
  <c r="G689" i="27"/>
  <c r="I689" i="27" s="1"/>
  <c r="AB688" i="14"/>
  <c r="U368" i="14" l="1"/>
  <c r="AD367" i="14"/>
  <c r="K689" i="27"/>
  <c r="Y368" i="14" l="1"/>
  <c r="G690" i="27"/>
  <c r="I690" i="27" s="1"/>
  <c r="AB689" i="14"/>
  <c r="Z368" i="14" l="1"/>
  <c r="AC368" i="14" s="1"/>
  <c r="K690" i="27"/>
  <c r="U369" i="14" l="1"/>
  <c r="AD368" i="14"/>
  <c r="G691" i="27"/>
  <c r="I691" i="27" s="1"/>
  <c r="K691" i="27" s="1"/>
  <c r="AB690" i="14"/>
  <c r="Y369" i="14" l="1"/>
  <c r="G692" i="27"/>
  <c r="I692" i="27" s="1"/>
  <c r="AB691" i="14"/>
  <c r="Z369" i="14" l="1"/>
  <c r="AC369" i="14" s="1"/>
  <c r="K692" i="27"/>
  <c r="U370" i="14" l="1"/>
  <c r="AD369" i="14"/>
  <c r="G693" i="27"/>
  <c r="I693" i="27" s="1"/>
  <c r="AB692" i="14"/>
  <c r="Y370" i="14" l="1"/>
  <c r="K693" i="27"/>
  <c r="Z370" i="14" l="1"/>
  <c r="AC370" i="14" s="1"/>
  <c r="G694" i="27"/>
  <c r="I694" i="27" s="1"/>
  <c r="K694" i="27" s="1"/>
  <c r="AB693" i="14"/>
  <c r="U371" i="14" l="1"/>
  <c r="AD370" i="14"/>
  <c r="G695" i="27"/>
  <c r="I695" i="27" s="1"/>
  <c r="K695" i="27" s="1"/>
  <c r="AB694" i="14"/>
  <c r="Y371" i="14" l="1"/>
  <c r="G696" i="27"/>
  <c r="I696" i="27" s="1"/>
  <c r="AB695" i="14"/>
  <c r="Z371" i="14" l="1"/>
  <c r="AC371" i="14" s="1"/>
  <c r="K696" i="27"/>
  <c r="U372" i="14" l="1"/>
  <c r="AD371" i="14"/>
  <c r="G697" i="27"/>
  <c r="I697" i="27" s="1"/>
  <c r="AB696" i="14"/>
  <c r="Y372" i="14" l="1"/>
  <c r="K697" i="27"/>
  <c r="Z372" i="14" l="1"/>
  <c r="AC372" i="14" s="1"/>
  <c r="G698" i="27"/>
  <c r="I698" i="27" s="1"/>
  <c r="AB697" i="14"/>
  <c r="U373" i="14" l="1"/>
  <c r="AD372" i="14"/>
  <c r="K698" i="27"/>
  <c r="Y373" i="14" l="1"/>
  <c r="Z373" i="14" s="1"/>
  <c r="AC373" i="14" s="1"/>
  <c r="G699" i="27"/>
  <c r="I699" i="27" s="1"/>
  <c r="AB698" i="14"/>
  <c r="U374" i="14" l="1"/>
  <c r="AD373" i="14"/>
  <c r="K699" i="27"/>
  <c r="Y374" i="14" l="1"/>
  <c r="G700" i="27"/>
  <c r="I700" i="27" s="1"/>
  <c r="AB699" i="14"/>
  <c r="Z374" i="14" l="1"/>
  <c r="AC374" i="14" s="1"/>
  <c r="K700" i="27"/>
  <c r="U375" i="14" l="1"/>
  <c r="AD374" i="14"/>
  <c r="G701" i="27"/>
  <c r="I701" i="27" s="1"/>
  <c r="K701" i="27" s="1"/>
  <c r="AB700" i="14"/>
  <c r="Y375" i="14" l="1"/>
  <c r="Z375" i="14" s="1"/>
  <c r="AC375" i="14" s="1"/>
  <c r="G702" i="27"/>
  <c r="I702" i="27" s="1"/>
  <c r="K702" i="27" s="1"/>
  <c r="AB701" i="14"/>
  <c r="U376" i="14" l="1"/>
  <c r="AD375" i="14"/>
  <c r="G703" i="27"/>
  <c r="I703" i="27" s="1"/>
  <c r="AB702" i="14"/>
  <c r="Y376" i="14" l="1"/>
  <c r="Z376" i="14" s="1"/>
  <c r="AC376" i="14" s="1"/>
  <c r="K703" i="27"/>
  <c r="U377" i="14" l="1"/>
  <c r="AD376" i="14"/>
  <c r="G704" i="27"/>
  <c r="I704" i="27" s="1"/>
  <c r="K704" i="27" s="1"/>
  <c r="AB703" i="14"/>
  <c r="Y377" i="14" l="1"/>
  <c r="G705" i="27"/>
  <c r="I705" i="27" s="1"/>
  <c r="AB704" i="14"/>
  <c r="Z377" i="14" l="1"/>
  <c r="AC377" i="14" s="1"/>
  <c r="K705" i="27"/>
  <c r="U378" i="14" l="1"/>
  <c r="AD377" i="14"/>
  <c r="G706" i="27"/>
  <c r="I706" i="27" s="1"/>
  <c r="K706" i="27" s="1"/>
  <c r="AB705" i="14"/>
  <c r="Y378" i="14" l="1"/>
  <c r="G707" i="27"/>
  <c r="I707" i="27" s="1"/>
  <c r="AB706" i="14"/>
  <c r="Z378" i="14" l="1"/>
  <c r="AC378" i="14" s="1"/>
  <c r="K707" i="27"/>
  <c r="AD378" i="14" l="1"/>
  <c r="U379" i="14"/>
  <c r="G708" i="27"/>
  <c r="I708" i="27" s="1"/>
  <c r="AB707" i="14"/>
  <c r="Y379" i="14" l="1"/>
  <c r="K708" i="27"/>
  <c r="Z379" i="14" l="1"/>
  <c r="AC379" i="14" s="1"/>
  <c r="G709" i="27"/>
  <c r="I709" i="27" s="1"/>
  <c r="K709" i="27" s="1"/>
  <c r="AB708" i="14"/>
  <c r="U380" i="14" l="1"/>
  <c r="AD379" i="14"/>
  <c r="G710" i="27"/>
  <c r="I710" i="27" s="1"/>
  <c r="AB709" i="14"/>
  <c r="Y380" i="14" l="1"/>
  <c r="K710" i="27"/>
  <c r="Z380" i="14" l="1"/>
  <c r="AC380" i="14" s="1"/>
  <c r="G711" i="27"/>
  <c r="I711" i="27" s="1"/>
  <c r="K711" i="27" s="1"/>
  <c r="AB710" i="14"/>
  <c r="U381" i="14" l="1"/>
  <c r="AD380" i="14"/>
  <c r="G712" i="27"/>
  <c r="I712" i="27" s="1"/>
  <c r="AB711" i="14"/>
  <c r="Y381" i="14" l="1"/>
  <c r="K712" i="27"/>
  <c r="Z381" i="14" l="1"/>
  <c r="AC381" i="14" s="1"/>
  <c r="G713" i="27"/>
  <c r="I713" i="27" s="1"/>
  <c r="AB712" i="14"/>
  <c r="U382" i="14" l="1"/>
  <c r="AD381" i="14"/>
  <c r="K713" i="27"/>
  <c r="Y382" i="14" l="1"/>
  <c r="G714" i="27"/>
  <c r="I714" i="27" s="1"/>
  <c r="K714" i="27" s="1"/>
  <c r="AB713" i="14"/>
  <c r="Z382" i="14" l="1"/>
  <c r="AC382" i="14" s="1"/>
  <c r="G715" i="27"/>
  <c r="I715" i="27" s="1"/>
  <c r="K715" i="27" s="1"/>
  <c r="AB714" i="14"/>
  <c r="U383" i="14" l="1"/>
  <c r="AD382" i="14"/>
  <c r="G716" i="27"/>
  <c r="I716" i="27" s="1"/>
  <c r="K716" i="27" s="1"/>
  <c r="AB715" i="14"/>
  <c r="Y383" i="14" l="1"/>
  <c r="G717" i="27"/>
  <c r="I717" i="27" s="1"/>
  <c r="AB716" i="14"/>
  <c r="Z383" i="14" l="1"/>
  <c r="AC383" i="14" s="1"/>
  <c r="K717" i="27"/>
  <c r="U384" i="14" l="1"/>
  <c r="AD383" i="14"/>
  <c r="G718" i="27"/>
  <c r="I718" i="27" s="1"/>
  <c r="AB717" i="14"/>
  <c r="Y384" i="14" l="1"/>
  <c r="K718" i="27"/>
  <c r="Z384" i="14" l="1"/>
  <c r="AC384" i="14" s="1"/>
  <c r="G719" i="27"/>
  <c r="I719" i="27" s="1"/>
  <c r="AB718" i="14"/>
  <c r="U385" i="14" l="1"/>
  <c r="AD384" i="14"/>
  <c r="K719" i="27"/>
  <c r="Y385" i="14" l="1"/>
  <c r="G720" i="27"/>
  <c r="I720" i="27" s="1"/>
  <c r="AB719" i="14"/>
  <c r="Z385" i="14" l="1"/>
  <c r="AC385" i="14" s="1"/>
  <c r="K720" i="27"/>
  <c r="U386" i="14" l="1"/>
  <c r="AD385" i="14"/>
  <c r="G721" i="27"/>
  <c r="I721" i="27" s="1"/>
  <c r="K721" i="27" s="1"/>
  <c r="AB720" i="14"/>
  <c r="Y386" i="14" l="1"/>
  <c r="G722" i="27"/>
  <c r="I722" i="27" s="1"/>
  <c r="K722" i="27" s="1"/>
  <c r="AB721" i="14"/>
  <c r="Z386" i="14" l="1"/>
  <c r="AC386" i="14" s="1"/>
  <c r="G723" i="27"/>
  <c r="I723" i="27" s="1"/>
  <c r="AB722" i="14"/>
  <c r="U387" i="14" l="1"/>
  <c r="AD386" i="14"/>
  <c r="K723" i="27"/>
  <c r="Y387" i="14" l="1"/>
  <c r="G724" i="27"/>
  <c r="I724" i="27" s="1"/>
  <c r="AB723" i="14"/>
  <c r="Z387" i="14" l="1"/>
  <c r="AC387" i="14" s="1"/>
  <c r="K724" i="27"/>
  <c r="U388" i="14" l="1"/>
  <c r="AD387" i="14"/>
  <c r="G725" i="27"/>
  <c r="I725" i="27" s="1"/>
  <c r="K725" i="27" s="1"/>
  <c r="AB724" i="14"/>
  <c r="Y388" i="14" l="1"/>
  <c r="G726" i="27"/>
  <c r="I726" i="27" s="1"/>
  <c r="AB725" i="14"/>
  <c r="Z388" i="14" l="1"/>
  <c r="AC388" i="14" s="1"/>
  <c r="K726" i="27"/>
  <c r="U389" i="14" l="1"/>
  <c r="AD388" i="14"/>
  <c r="G727" i="27"/>
  <c r="I727" i="27" s="1"/>
  <c r="K727" i="27" s="1"/>
  <c r="AB726" i="14"/>
  <c r="Y389" i="14" l="1"/>
  <c r="G728" i="27"/>
  <c r="I728" i="27" s="1"/>
  <c r="AB727" i="14"/>
  <c r="Z389" i="14" l="1"/>
  <c r="AC389" i="14" s="1"/>
  <c r="K728" i="27"/>
  <c r="U390" i="14" l="1"/>
  <c r="AD389" i="14"/>
  <c r="G729" i="27"/>
  <c r="I729" i="27" s="1"/>
  <c r="K729" i="27" s="1"/>
  <c r="AB728" i="14"/>
  <c r="Y390" i="14" l="1"/>
  <c r="G730" i="27"/>
  <c r="I730" i="27" s="1"/>
  <c r="K730" i="27" s="1"/>
  <c r="AB729" i="14"/>
  <c r="Z390" i="14" l="1"/>
  <c r="AC390" i="14" s="1"/>
  <c r="G731" i="27"/>
  <c r="I731" i="27" s="1"/>
  <c r="AB730" i="14"/>
  <c r="AD390" i="14" l="1"/>
  <c r="U391" i="14"/>
  <c r="K731" i="27"/>
  <c r="Y391" i="14" l="1"/>
  <c r="G732" i="27"/>
  <c r="I732" i="27" s="1"/>
  <c r="K732" i="27" s="1"/>
  <c r="AB731" i="14"/>
  <c r="Z391" i="14" l="1"/>
  <c r="AC391" i="14" s="1"/>
  <c r="G733" i="27"/>
  <c r="I733" i="27" s="1"/>
  <c r="AB732" i="14"/>
  <c r="U392" i="14" l="1"/>
  <c r="AD391" i="14"/>
  <c r="K733" i="27"/>
  <c r="Y392" i="14" l="1"/>
  <c r="G734" i="27"/>
  <c r="I734" i="27" s="1"/>
  <c r="K734" i="27" s="1"/>
  <c r="AB733" i="14"/>
  <c r="Z392" i="14" l="1"/>
  <c r="AC392" i="14" s="1"/>
  <c r="G735" i="27"/>
  <c r="I735" i="27" s="1"/>
  <c r="AB734" i="14"/>
  <c r="U393" i="14" l="1"/>
  <c r="AD392" i="14"/>
  <c r="K735" i="27"/>
  <c r="Y393" i="14" l="1"/>
  <c r="G736" i="27"/>
  <c r="I736" i="27" s="1"/>
  <c r="K736" i="27" s="1"/>
  <c r="AB735" i="14"/>
  <c r="Z393" i="14" l="1"/>
  <c r="AC393" i="14" s="1"/>
  <c r="G737" i="27"/>
  <c r="I737" i="27" s="1"/>
  <c r="AB736" i="14"/>
  <c r="U394" i="14" l="1"/>
  <c r="AD393" i="14"/>
  <c r="K737" i="27"/>
  <c r="Y394" i="14" l="1"/>
  <c r="Z394" i="14" s="1"/>
  <c r="AC394" i="14" s="1"/>
  <c r="G738" i="27"/>
  <c r="I738" i="27" s="1"/>
  <c r="AB737" i="14"/>
  <c r="AD394" i="14" l="1"/>
  <c r="U395" i="14"/>
  <c r="K738" i="27"/>
  <c r="Y395" i="14" l="1"/>
  <c r="G739" i="27"/>
  <c r="I739" i="27" s="1"/>
  <c r="K739" i="27" s="1"/>
  <c r="AB738" i="14"/>
  <c r="Z395" i="14" l="1"/>
  <c r="AC395" i="14" s="1"/>
  <c r="G740" i="27"/>
  <c r="I740" i="27" s="1"/>
  <c r="AB739" i="14"/>
  <c r="U396" i="14" l="1"/>
  <c r="AD395" i="14"/>
  <c r="K740" i="27"/>
  <c r="Y396" i="14" l="1"/>
  <c r="G741" i="27"/>
  <c r="I741" i="27" s="1"/>
  <c r="K741" i="27" s="1"/>
  <c r="AB740" i="14"/>
  <c r="Z396" i="14" l="1"/>
  <c r="AC396" i="14" s="1"/>
  <c r="G742" i="27"/>
  <c r="I742" i="27" s="1"/>
  <c r="AB741" i="14"/>
  <c r="U397" i="14" l="1"/>
  <c r="AD396" i="14"/>
  <c r="K742" i="27"/>
  <c r="Y397" i="14" l="1"/>
  <c r="G743" i="27"/>
  <c r="I743" i="27" s="1"/>
  <c r="AB742" i="14"/>
  <c r="Z397" i="14" l="1"/>
  <c r="AC397" i="14" s="1"/>
  <c r="K743" i="27"/>
  <c r="U398" i="14" l="1"/>
  <c r="AD397" i="14"/>
  <c r="G744" i="27"/>
  <c r="I744" i="27" s="1"/>
  <c r="AB743" i="14"/>
  <c r="Y398" i="14" l="1"/>
  <c r="K744" i="27"/>
  <c r="Z398" i="14" l="1"/>
  <c r="AC398" i="14" s="1"/>
  <c r="G745" i="27"/>
  <c r="I745" i="27" s="1"/>
  <c r="AB744" i="14"/>
  <c r="U399" i="14" l="1"/>
  <c r="AD398" i="14"/>
  <c r="K745" i="27"/>
  <c r="Y399" i="14" l="1"/>
  <c r="G746" i="27"/>
  <c r="I746" i="27" s="1"/>
  <c r="K746" i="27" s="1"/>
  <c r="AB745" i="14"/>
  <c r="Z399" i="14" l="1"/>
  <c r="AC399" i="14" s="1"/>
  <c r="G747" i="27"/>
  <c r="I747" i="27" s="1"/>
  <c r="K747" i="27" s="1"/>
  <c r="AB746" i="14"/>
  <c r="U400" i="14" l="1"/>
  <c r="AD399" i="14"/>
  <c r="G748" i="27"/>
  <c r="I748" i="27" s="1"/>
  <c r="K748" i="27" s="1"/>
  <c r="AB747" i="14"/>
  <c r="Y400" i="14" l="1"/>
  <c r="G749" i="27"/>
  <c r="I749" i="27" s="1"/>
  <c r="AB748" i="14"/>
  <c r="Z400" i="14" l="1"/>
  <c r="AC400" i="14" s="1"/>
  <c r="K749" i="27"/>
  <c r="U401" i="14" l="1"/>
  <c r="AD400" i="14"/>
  <c r="G750" i="27"/>
  <c r="I750" i="27" s="1"/>
  <c r="K750" i="27" s="1"/>
  <c r="AB749" i="14"/>
  <c r="Y401" i="14" l="1"/>
  <c r="G751" i="27"/>
  <c r="I751" i="27" s="1"/>
  <c r="K751" i="27" s="1"/>
  <c r="AB750" i="14"/>
  <c r="Z401" i="14" l="1"/>
  <c r="AC401" i="14" s="1"/>
  <c r="G752" i="27"/>
  <c r="I752" i="27" s="1"/>
  <c r="K752" i="27" s="1"/>
  <c r="AB751" i="14"/>
  <c r="U402" i="14" l="1"/>
  <c r="AD401" i="14"/>
  <c r="G753" i="27"/>
  <c r="I753" i="27" s="1"/>
  <c r="AB752" i="14"/>
  <c r="Y402" i="14" l="1"/>
  <c r="K753" i="27"/>
  <c r="Z402" i="14" l="1"/>
  <c r="AC402" i="14" s="1"/>
  <c r="G754" i="27"/>
  <c r="I754" i="27" s="1"/>
  <c r="AB753" i="14"/>
  <c r="U403" i="14" l="1"/>
  <c r="AD402" i="14"/>
  <c r="K754" i="27"/>
  <c r="Y403" i="14" l="1"/>
  <c r="G755" i="27"/>
  <c r="I755" i="27" s="1"/>
  <c r="K755" i="27" s="1"/>
  <c r="AB754" i="14"/>
  <c r="Z403" i="14" l="1"/>
  <c r="AC403" i="14" s="1"/>
  <c r="G756" i="27"/>
  <c r="I756" i="27" s="1"/>
  <c r="AB755" i="14"/>
  <c r="U404" i="14" l="1"/>
  <c r="AD403" i="14"/>
  <c r="K756" i="27"/>
  <c r="Y404" i="14" l="1"/>
  <c r="G757" i="27"/>
  <c r="I757" i="27" s="1"/>
  <c r="AB756" i="14"/>
  <c r="Z404" i="14" l="1"/>
  <c r="AC404" i="14" s="1"/>
  <c r="K757" i="27"/>
  <c r="U405" i="14" l="1"/>
  <c r="AD404" i="14"/>
  <c r="G758" i="27"/>
  <c r="I758" i="27" s="1"/>
  <c r="AB757" i="14"/>
  <c r="Y405" i="14" l="1"/>
  <c r="K758" i="27"/>
  <c r="Z405" i="14" l="1"/>
  <c r="AC405" i="14" s="1"/>
  <c r="G759" i="27"/>
  <c r="I759" i="27" s="1"/>
  <c r="AB758" i="14"/>
  <c r="U406" i="14" l="1"/>
  <c r="AD405" i="14"/>
  <c r="K759" i="27"/>
  <c r="Y406" i="14" l="1"/>
  <c r="G760" i="27"/>
  <c r="I760" i="27" s="1"/>
  <c r="AB759" i="14"/>
  <c r="Z406" i="14" l="1"/>
  <c r="AC406" i="14" s="1"/>
  <c r="K760" i="27"/>
  <c r="U407" i="14" l="1"/>
  <c r="AD406" i="14"/>
  <c r="G761" i="27"/>
  <c r="I761" i="27" s="1"/>
  <c r="K761" i="27" s="1"/>
  <c r="AB760" i="14"/>
  <c r="Y407" i="14" l="1"/>
  <c r="G762" i="27"/>
  <c r="I762" i="27" s="1"/>
  <c r="K762" i="27" s="1"/>
  <c r="AB761" i="14"/>
  <c r="Z407" i="14" l="1"/>
  <c r="AC407" i="14" s="1"/>
  <c r="G763" i="27"/>
  <c r="I763" i="27" s="1"/>
  <c r="AB762" i="14"/>
  <c r="U408" i="14" l="1"/>
  <c r="AD407" i="14"/>
  <c r="K763" i="27"/>
  <c r="Y408" i="14" l="1"/>
  <c r="G764" i="27"/>
  <c r="I764" i="27" s="1"/>
  <c r="AB763" i="14"/>
  <c r="Z408" i="14" l="1"/>
  <c r="AC408" i="14" s="1"/>
  <c r="K764" i="27"/>
  <c r="U409" i="14" l="1"/>
  <c r="AD408" i="14"/>
  <c r="G765" i="27"/>
  <c r="I765" i="27" s="1"/>
  <c r="AB764" i="14"/>
  <c r="Y409" i="14" l="1"/>
  <c r="K765" i="27"/>
  <c r="Z409" i="14" l="1"/>
  <c r="AC409" i="14" s="1"/>
  <c r="G766" i="27"/>
  <c r="I766" i="27" s="1"/>
  <c r="AB765" i="14"/>
  <c r="U410" i="14" l="1"/>
  <c r="AD409" i="14"/>
  <c r="K766" i="27"/>
  <c r="Y410" i="14" l="1"/>
  <c r="G767" i="27"/>
  <c r="I767" i="27" s="1"/>
  <c r="AB766" i="14"/>
  <c r="Z410" i="14" l="1"/>
  <c r="AC410" i="14" s="1"/>
  <c r="K767" i="27"/>
  <c r="U411" i="14" l="1"/>
  <c r="AD410" i="14"/>
  <c r="G768" i="27"/>
  <c r="I768" i="27" s="1"/>
  <c r="K768" i="27" s="1"/>
  <c r="AB767" i="14"/>
  <c r="Y411" i="14" l="1"/>
  <c r="G769" i="27"/>
  <c r="I769" i="27" s="1"/>
  <c r="AB768" i="14"/>
  <c r="Z411" i="14" l="1"/>
  <c r="AC411" i="14" s="1"/>
  <c r="K769" i="27"/>
  <c r="U412" i="14" l="1"/>
  <c r="AD411" i="14"/>
  <c r="G770" i="27"/>
  <c r="I770" i="27" s="1"/>
  <c r="K770" i="27" s="1"/>
  <c r="AB769" i="14"/>
  <c r="Y412" i="14" l="1"/>
  <c r="G771" i="27"/>
  <c r="I771" i="27" s="1"/>
  <c r="AB770" i="14"/>
  <c r="Z412" i="14" l="1"/>
  <c r="AC412" i="14" s="1"/>
  <c r="K771" i="27"/>
  <c r="U413" i="14" l="1"/>
  <c r="AD412" i="14"/>
  <c r="G772" i="27"/>
  <c r="I772" i="27" s="1"/>
  <c r="AB771" i="14"/>
  <c r="Y413" i="14" l="1"/>
  <c r="K772" i="27"/>
  <c r="Z413" i="14" l="1"/>
  <c r="AC413" i="14" s="1"/>
  <c r="G773" i="27"/>
  <c r="I773" i="27" s="1"/>
  <c r="AB772" i="14"/>
  <c r="U414" i="14" l="1"/>
  <c r="AD413" i="14"/>
  <c r="K773" i="27"/>
  <c r="Y414" i="14" l="1"/>
  <c r="G774" i="27"/>
  <c r="I774" i="27" s="1"/>
  <c r="AB773" i="14"/>
  <c r="Z414" i="14" l="1"/>
  <c r="AC414" i="14" s="1"/>
  <c r="K774" i="27"/>
  <c r="U415" i="14" l="1"/>
  <c r="AD414" i="14"/>
  <c r="G775" i="27"/>
  <c r="I775" i="27" s="1"/>
  <c r="AB774" i="14"/>
  <c r="Y415" i="14" l="1"/>
  <c r="K775" i="27"/>
  <c r="Z415" i="14" l="1"/>
  <c r="AC415" i="14" s="1"/>
  <c r="G776" i="27"/>
  <c r="I776" i="27" s="1"/>
  <c r="AB775" i="14"/>
  <c r="U416" i="14" l="1"/>
  <c r="AD415" i="14"/>
  <c r="K776" i="27"/>
  <c r="Y416" i="14" l="1"/>
  <c r="G777" i="27"/>
  <c r="I777" i="27" s="1"/>
  <c r="AB776" i="14"/>
  <c r="Z416" i="14" l="1"/>
  <c r="AC416" i="14" s="1"/>
  <c r="K777" i="27"/>
  <c r="U417" i="14" l="1"/>
  <c r="AD416" i="14"/>
  <c r="G778" i="27"/>
  <c r="I778" i="27" s="1"/>
  <c r="AB777" i="14"/>
  <c r="Y417" i="14" l="1"/>
  <c r="K778" i="27"/>
  <c r="Z417" i="14" l="1"/>
  <c r="AC417" i="14" s="1"/>
  <c r="G779" i="27"/>
  <c r="I779" i="27" s="1"/>
  <c r="AB778" i="14"/>
  <c r="U418" i="14" l="1"/>
  <c r="AD417" i="14"/>
  <c r="K779" i="27"/>
  <c r="Y418" i="14" l="1"/>
  <c r="G780" i="27"/>
  <c r="I780" i="27" s="1"/>
  <c r="K780" i="27" s="1"/>
  <c r="AB779" i="14"/>
  <c r="Z418" i="14" l="1"/>
  <c r="AC418" i="14" s="1"/>
  <c r="G781" i="27"/>
  <c r="I781" i="27" s="1"/>
  <c r="AB780" i="14"/>
  <c r="U419" i="14" l="1"/>
  <c r="AD418" i="14"/>
  <c r="K781" i="27"/>
  <c r="Y419" i="14" l="1"/>
  <c r="G782" i="27"/>
  <c r="I782" i="27" s="1"/>
  <c r="K782" i="27" s="1"/>
  <c r="AB781" i="14"/>
  <c r="Z419" i="14" l="1"/>
  <c r="AC419" i="14" s="1"/>
  <c r="G783" i="27"/>
  <c r="I783" i="27" s="1"/>
  <c r="AB782" i="14"/>
  <c r="U420" i="14" l="1"/>
  <c r="AD419" i="14"/>
  <c r="K783" i="27"/>
  <c r="Y420" i="14" l="1"/>
  <c r="G784" i="27"/>
  <c r="I784" i="27" s="1"/>
  <c r="K784" i="27" s="1"/>
  <c r="AB783" i="14"/>
  <c r="Z420" i="14" l="1"/>
  <c r="AC420" i="14" s="1"/>
  <c r="G785" i="27"/>
  <c r="I785" i="27" s="1"/>
  <c r="AB784" i="14"/>
  <c r="U421" i="14" l="1"/>
  <c r="AD420" i="14"/>
  <c r="K785" i="27"/>
  <c r="Y421" i="14" l="1"/>
  <c r="G786" i="27"/>
  <c r="I786" i="27" s="1"/>
  <c r="AB785" i="14"/>
  <c r="Z421" i="14" l="1"/>
  <c r="AC421" i="14" s="1"/>
  <c r="K786" i="27"/>
  <c r="U422" i="14" l="1"/>
  <c r="AD421" i="14"/>
  <c r="G787" i="27"/>
  <c r="I787" i="27" s="1"/>
  <c r="AB786" i="14"/>
  <c r="Y422" i="14" l="1"/>
  <c r="K787" i="27"/>
  <c r="Z422" i="14" l="1"/>
  <c r="AC422" i="14" s="1"/>
  <c r="G788" i="27"/>
  <c r="I788" i="27" s="1"/>
  <c r="AB787" i="14"/>
  <c r="U423" i="14" l="1"/>
  <c r="AD422" i="14"/>
  <c r="K788" i="27"/>
  <c r="Y423" i="14" l="1"/>
  <c r="G789" i="27"/>
  <c r="I789" i="27" s="1"/>
  <c r="K789" i="27" s="1"/>
  <c r="AB788" i="14"/>
  <c r="Z423" i="14" l="1"/>
  <c r="AC423" i="14" s="1"/>
  <c r="G790" i="27"/>
  <c r="I790" i="27" s="1"/>
  <c r="AB789" i="14"/>
  <c r="U424" i="14" l="1"/>
  <c r="AD423" i="14"/>
  <c r="K790" i="27"/>
  <c r="Y424" i="14" l="1"/>
  <c r="G791" i="27"/>
  <c r="I791" i="27" s="1"/>
  <c r="AB790" i="14"/>
  <c r="Z424" i="14" l="1"/>
  <c r="AC424" i="14" s="1"/>
  <c r="K791" i="27"/>
  <c r="U425" i="14" l="1"/>
  <c r="AD424" i="14"/>
  <c r="G792" i="27"/>
  <c r="I792" i="27" s="1"/>
  <c r="K792" i="27" s="1"/>
  <c r="AB791" i="14"/>
  <c r="Y425" i="14" l="1"/>
  <c r="G793" i="27"/>
  <c r="I793" i="27" s="1"/>
  <c r="AB792" i="14"/>
  <c r="Z425" i="14" l="1"/>
  <c r="AC425" i="14" s="1"/>
  <c r="K793" i="27"/>
  <c r="U426" i="14" l="1"/>
  <c r="AD425" i="14"/>
  <c r="G794" i="27"/>
  <c r="I794" i="27" s="1"/>
  <c r="K794" i="27" s="1"/>
  <c r="AB793" i="14"/>
  <c r="Y426" i="14" l="1"/>
  <c r="G795" i="27"/>
  <c r="I795" i="27" s="1"/>
  <c r="AB794" i="14"/>
  <c r="Z426" i="14" l="1"/>
  <c r="AC426" i="14" s="1"/>
  <c r="K795" i="27"/>
  <c r="U427" i="14" l="1"/>
  <c r="AD426" i="14"/>
  <c r="G796" i="27"/>
  <c r="I796" i="27" s="1"/>
  <c r="K796" i="27" s="1"/>
  <c r="AB795" i="14"/>
  <c r="Y427" i="14" l="1"/>
  <c r="G797" i="27"/>
  <c r="I797" i="27" s="1"/>
  <c r="AB796" i="14"/>
  <c r="Z427" i="14" l="1"/>
  <c r="AC427" i="14" s="1"/>
  <c r="K797" i="27"/>
  <c r="U428" i="14" l="1"/>
  <c r="AD427" i="14"/>
  <c r="G798" i="27"/>
  <c r="I798" i="27" s="1"/>
  <c r="AB797" i="14"/>
  <c r="Y428" i="14" l="1"/>
  <c r="K798" i="27"/>
  <c r="Z428" i="14" l="1"/>
  <c r="AC428" i="14" s="1"/>
  <c r="G799" i="27"/>
  <c r="I799" i="27" s="1"/>
  <c r="AB798" i="14"/>
  <c r="U429" i="14" l="1"/>
  <c r="AD428" i="14"/>
  <c r="K799" i="27"/>
  <c r="Y429" i="14" l="1"/>
  <c r="G800" i="27"/>
  <c r="I800" i="27" s="1"/>
  <c r="AB799" i="14"/>
  <c r="Z429" i="14" l="1"/>
  <c r="AC429" i="14" s="1"/>
  <c r="K800" i="27"/>
  <c r="U430" i="14" l="1"/>
  <c r="AD429" i="14"/>
  <c r="G801" i="27"/>
  <c r="I801" i="27" s="1"/>
  <c r="AB800" i="14"/>
  <c r="Y430" i="14" l="1"/>
  <c r="K801" i="27"/>
  <c r="Z430" i="14" l="1"/>
  <c r="AC430" i="14" s="1"/>
  <c r="G802" i="27"/>
  <c r="I802" i="27" s="1"/>
  <c r="K802" i="27" s="1"/>
  <c r="AB801" i="14"/>
  <c r="U431" i="14" l="1"/>
  <c r="AD430" i="14"/>
  <c r="G803" i="27"/>
  <c r="I803" i="27" s="1"/>
  <c r="AB802" i="14"/>
  <c r="Y431" i="14" l="1"/>
  <c r="K803" i="27"/>
  <c r="Z431" i="14" l="1"/>
  <c r="AC431" i="14" s="1"/>
  <c r="G804" i="27"/>
  <c r="I804" i="27" s="1"/>
  <c r="AB803" i="14"/>
  <c r="U432" i="14" l="1"/>
  <c r="AD431" i="14"/>
  <c r="K804" i="27"/>
  <c r="Y432" i="14" l="1"/>
  <c r="G805" i="27"/>
  <c r="I805" i="27" s="1"/>
  <c r="K805" i="27" s="1"/>
  <c r="AB804" i="14"/>
  <c r="Z432" i="14" l="1"/>
  <c r="AC432" i="14" s="1"/>
  <c r="G806" i="27"/>
  <c r="I806" i="27" s="1"/>
  <c r="K806" i="27" s="1"/>
  <c r="AB805" i="14"/>
  <c r="U433" i="14" l="1"/>
  <c r="AD432" i="14"/>
  <c r="G807" i="27"/>
  <c r="I807" i="27" s="1"/>
  <c r="AB806" i="14"/>
  <c r="Y433" i="14" l="1"/>
  <c r="K807" i="27"/>
  <c r="Z433" i="14" l="1"/>
  <c r="AC433" i="14" s="1"/>
  <c r="G808" i="27"/>
  <c r="I808" i="27" s="1"/>
  <c r="K808" i="27" s="1"/>
  <c r="AB807" i="14"/>
  <c r="U434" i="14" l="1"/>
  <c r="AD433" i="14"/>
  <c r="G809" i="27"/>
  <c r="I809" i="27" s="1"/>
  <c r="AB808" i="14"/>
  <c r="Y434" i="14" l="1"/>
  <c r="K809" i="27"/>
  <c r="Z434" i="14" l="1"/>
  <c r="AC434" i="14" s="1"/>
  <c r="G810" i="27"/>
  <c r="I810" i="27" s="1"/>
  <c r="K810" i="27" s="1"/>
  <c r="AB809" i="14"/>
  <c r="U435" i="14" l="1"/>
  <c r="AD434" i="14"/>
  <c r="G811" i="27"/>
  <c r="I811" i="27" s="1"/>
  <c r="AB810" i="14"/>
  <c r="Y435" i="14" l="1"/>
  <c r="K811" i="27"/>
  <c r="Z435" i="14" l="1"/>
  <c r="AC435" i="14" s="1"/>
  <c r="G812" i="27"/>
  <c r="I812" i="27" s="1"/>
  <c r="K812" i="27" s="1"/>
  <c r="AB811" i="14"/>
  <c r="U436" i="14" l="1"/>
  <c r="AD435" i="14"/>
  <c r="G813" i="27"/>
  <c r="I813" i="27" s="1"/>
  <c r="AB812" i="14"/>
  <c r="Y436" i="14" l="1"/>
  <c r="K813" i="27"/>
  <c r="Z436" i="14" l="1"/>
  <c r="AC436" i="14" s="1"/>
  <c r="G814" i="27"/>
  <c r="I814" i="27" s="1"/>
  <c r="AB813" i="14"/>
  <c r="U437" i="14" l="1"/>
  <c r="AD436" i="14"/>
  <c r="K814" i="27"/>
  <c r="Y437" i="14" l="1"/>
  <c r="G815" i="27"/>
  <c r="I815" i="27" s="1"/>
  <c r="AB814" i="14"/>
  <c r="Z437" i="14" l="1"/>
  <c r="AC437" i="14" s="1"/>
  <c r="K815" i="27"/>
  <c r="U438" i="14" l="1"/>
  <c r="AD437" i="14"/>
  <c r="G816" i="27"/>
  <c r="I816" i="27" s="1"/>
  <c r="AB815" i="14"/>
  <c r="Y438" i="14" l="1"/>
  <c r="K816" i="27"/>
  <c r="Z438" i="14" l="1"/>
  <c r="AC438" i="14" s="1"/>
  <c r="G817" i="27"/>
  <c r="I817" i="27" s="1"/>
  <c r="AB816" i="14"/>
  <c r="U439" i="14" l="1"/>
  <c r="AD438" i="14"/>
  <c r="K817" i="27"/>
  <c r="Y439" i="14" l="1"/>
  <c r="G818" i="27"/>
  <c r="I818" i="27" s="1"/>
  <c r="AB817" i="14"/>
  <c r="Z439" i="14" l="1"/>
  <c r="AC439" i="14" s="1"/>
  <c r="K818" i="27"/>
  <c r="U440" i="14" l="1"/>
  <c r="AD439" i="14"/>
  <c r="G819" i="27"/>
  <c r="I819" i="27" s="1"/>
  <c r="K819" i="27" s="1"/>
  <c r="AB818" i="14"/>
  <c r="Y440" i="14" l="1"/>
  <c r="G820" i="27"/>
  <c r="I820" i="27" s="1"/>
  <c r="AB819" i="14"/>
  <c r="Z440" i="14" l="1"/>
  <c r="AC440" i="14" s="1"/>
  <c r="K820" i="27"/>
  <c r="U441" i="14" l="1"/>
  <c r="AD440" i="14"/>
  <c r="G821" i="27"/>
  <c r="I821" i="27" s="1"/>
  <c r="K821" i="27" s="1"/>
  <c r="AB820" i="14"/>
  <c r="Y441" i="14" l="1"/>
  <c r="G822" i="27"/>
  <c r="I822" i="27" s="1"/>
  <c r="AB821" i="14"/>
  <c r="Z441" i="14" l="1"/>
  <c r="AC441" i="14" s="1"/>
  <c r="K822" i="27"/>
  <c r="U442" i="14" l="1"/>
  <c r="AD441" i="14"/>
  <c r="G823" i="27"/>
  <c r="I823" i="27" s="1"/>
  <c r="AB822" i="14"/>
  <c r="Y442" i="14" l="1"/>
  <c r="K823" i="27"/>
  <c r="Z442" i="14" l="1"/>
  <c r="AC442" i="14" s="1"/>
  <c r="G824" i="27"/>
  <c r="I824" i="27" s="1"/>
  <c r="K824" i="27" s="1"/>
  <c r="AB823" i="14"/>
  <c r="U443" i="14" l="1"/>
  <c r="AD442" i="14"/>
  <c r="G825" i="27"/>
  <c r="I825" i="27" s="1"/>
  <c r="AB824" i="14"/>
  <c r="Y443" i="14" l="1"/>
  <c r="K825" i="27"/>
  <c r="Z443" i="14" l="1"/>
  <c r="AC443" i="14" s="1"/>
  <c r="G826" i="27"/>
  <c r="I826" i="27" s="1"/>
  <c r="K826" i="27" s="1"/>
  <c r="AB825" i="14"/>
  <c r="U444" i="14" l="1"/>
  <c r="AD443" i="14"/>
  <c r="G827" i="27"/>
  <c r="I827" i="27" s="1"/>
  <c r="AB826" i="14"/>
  <c r="Y444" i="14" l="1"/>
  <c r="K827" i="27"/>
  <c r="Z444" i="14" l="1"/>
  <c r="AC444" i="14" s="1"/>
  <c r="G828" i="27"/>
  <c r="I828" i="27" s="1"/>
  <c r="K828" i="27" s="1"/>
  <c r="AB827" i="14"/>
  <c r="U445" i="14" l="1"/>
  <c r="AD444" i="14"/>
  <c r="G829" i="27"/>
  <c r="I829" i="27" s="1"/>
  <c r="AB828" i="14"/>
  <c r="Y445" i="14" l="1"/>
  <c r="K829" i="27"/>
  <c r="Z445" i="14" l="1"/>
  <c r="AC445" i="14" s="1"/>
  <c r="G830" i="27"/>
  <c r="I830" i="27" s="1"/>
  <c r="AB829" i="14"/>
  <c r="U446" i="14" l="1"/>
  <c r="AD445" i="14"/>
  <c r="K830" i="27"/>
  <c r="Y446" i="14" l="1"/>
  <c r="G831" i="27"/>
  <c r="I831" i="27" s="1"/>
  <c r="K831" i="27" s="1"/>
  <c r="AB830" i="14"/>
  <c r="Z446" i="14" l="1"/>
  <c r="AC446" i="14" s="1"/>
  <c r="G832" i="27"/>
  <c r="I832" i="27" s="1"/>
  <c r="AB831" i="14"/>
  <c r="U447" i="14" l="1"/>
  <c r="AD446" i="14"/>
  <c r="K832" i="27"/>
  <c r="Y447" i="14" l="1"/>
  <c r="G833" i="27"/>
  <c r="I833" i="27" s="1"/>
  <c r="K833" i="27" s="1"/>
  <c r="AB832" i="14"/>
  <c r="Z447" i="14" l="1"/>
  <c r="AC447" i="14" s="1"/>
  <c r="G834" i="27"/>
  <c r="I834" i="27" s="1"/>
  <c r="AB833" i="14"/>
  <c r="U448" i="14" l="1"/>
  <c r="AD447" i="14"/>
  <c r="K834" i="27"/>
  <c r="Y448" i="14" l="1"/>
  <c r="G835" i="27"/>
  <c r="I835" i="27" s="1"/>
  <c r="AB834" i="14"/>
  <c r="Z448" i="14" l="1"/>
  <c r="AC448" i="14" s="1"/>
  <c r="K835" i="27"/>
  <c r="U449" i="14" l="1"/>
  <c r="AD448" i="14"/>
  <c r="G836" i="27"/>
  <c r="I836" i="27" s="1"/>
  <c r="K836" i="27" s="1"/>
  <c r="AB835" i="14"/>
  <c r="Y449" i="14" l="1"/>
  <c r="G837" i="27"/>
  <c r="I837" i="27" s="1"/>
  <c r="K837" i="27" s="1"/>
  <c r="AB836" i="14"/>
  <c r="Z449" i="14" l="1"/>
  <c r="AC449" i="14" s="1"/>
  <c r="G838" i="27"/>
  <c r="I838" i="27" s="1"/>
  <c r="AB837" i="14"/>
  <c r="U450" i="14" l="1"/>
  <c r="AD449" i="14"/>
  <c r="K838" i="27"/>
  <c r="Y450" i="14" l="1"/>
  <c r="G839" i="27"/>
  <c r="I839" i="27" s="1"/>
  <c r="K839" i="27" s="1"/>
  <c r="AB838" i="14"/>
  <c r="Z450" i="14" l="1"/>
  <c r="AC450" i="14" s="1"/>
  <c r="G840" i="27"/>
  <c r="I840" i="27" s="1"/>
  <c r="K840" i="27" s="1"/>
  <c r="AB839" i="14"/>
  <c r="U451" i="14" l="1"/>
  <c r="AD450" i="14"/>
  <c r="G841" i="27"/>
  <c r="I841" i="27" s="1"/>
  <c r="AB840" i="14"/>
  <c r="Y451" i="14" l="1"/>
  <c r="K841" i="27"/>
  <c r="Z451" i="14" l="1"/>
  <c r="AC451" i="14" s="1"/>
  <c r="G842" i="27"/>
  <c r="I842" i="27" s="1"/>
  <c r="AB841" i="14"/>
  <c r="U452" i="14" l="1"/>
  <c r="AD451" i="14"/>
  <c r="K842" i="27"/>
  <c r="Y452" i="14" l="1"/>
  <c r="G843" i="27"/>
  <c r="I843" i="27" s="1"/>
  <c r="K843" i="27" s="1"/>
  <c r="AB842" i="14"/>
  <c r="Z452" i="14" l="1"/>
  <c r="AC452" i="14" s="1"/>
  <c r="G844" i="27"/>
  <c r="I844" i="27" s="1"/>
  <c r="AB843" i="14"/>
  <c r="U453" i="14" l="1"/>
  <c r="AD452" i="14"/>
  <c r="K844" i="27"/>
  <c r="Y453" i="14" l="1"/>
  <c r="G845" i="27"/>
  <c r="I845" i="27" s="1"/>
  <c r="AB844" i="14"/>
  <c r="Z453" i="14" l="1"/>
  <c r="AC453" i="14" s="1"/>
  <c r="K845" i="27"/>
  <c r="U454" i="14" l="1"/>
  <c r="AD453" i="14"/>
  <c r="G846" i="27"/>
  <c r="I846" i="27" s="1"/>
  <c r="K846" i="27" s="1"/>
  <c r="AB845" i="14"/>
  <c r="Y454" i="14" l="1"/>
  <c r="G847" i="27"/>
  <c r="I847" i="27" s="1"/>
  <c r="AB846" i="14"/>
  <c r="Z454" i="14" l="1"/>
  <c r="AC454" i="14" s="1"/>
  <c r="K847" i="27"/>
  <c r="U455" i="14" l="1"/>
  <c r="AD454" i="14"/>
  <c r="G848" i="27"/>
  <c r="I848" i="27" s="1"/>
  <c r="K848" i="27" s="1"/>
  <c r="AB847" i="14"/>
  <c r="Y455" i="14" l="1"/>
  <c r="G849" i="27"/>
  <c r="I849" i="27" s="1"/>
  <c r="K849" i="27" s="1"/>
  <c r="AB848" i="14"/>
  <c r="Z455" i="14" l="1"/>
  <c r="AC455" i="14" s="1"/>
  <c r="G850" i="27"/>
  <c r="I850" i="27" s="1"/>
  <c r="K850" i="27" s="1"/>
  <c r="AB849" i="14"/>
  <c r="U456" i="14" l="1"/>
  <c r="AD455" i="14"/>
  <c r="G851" i="27"/>
  <c r="I851" i="27" s="1"/>
  <c r="AB850" i="14"/>
  <c r="Y456" i="14" l="1"/>
  <c r="K851" i="27"/>
  <c r="Z456" i="14" l="1"/>
  <c r="AC456" i="14" s="1"/>
  <c r="G852" i="27"/>
  <c r="I852" i="27" s="1"/>
  <c r="K852" i="27" s="1"/>
  <c r="AB851" i="14"/>
  <c r="U457" i="14" l="1"/>
  <c r="AD456" i="14"/>
  <c r="G853" i="27"/>
  <c r="I853" i="27" s="1"/>
  <c r="AB852" i="14"/>
  <c r="Y457" i="14" l="1"/>
  <c r="Z457" i="14" s="1"/>
  <c r="AC457" i="14" s="1"/>
  <c r="K853" i="27"/>
  <c r="U458" i="14" l="1"/>
  <c r="AD457" i="14"/>
  <c r="G854" i="27"/>
  <c r="I854" i="27" s="1"/>
  <c r="AB853" i="14"/>
  <c r="Y458" i="14" l="1"/>
  <c r="K854" i="27"/>
  <c r="Z458" i="14" l="1"/>
  <c r="AC458" i="14" s="1"/>
  <c r="G855" i="27"/>
  <c r="I855" i="27" s="1"/>
  <c r="AB854" i="14"/>
  <c r="U459" i="14" l="1"/>
  <c r="AD458" i="14"/>
  <c r="K855" i="27"/>
  <c r="Y459" i="14" l="1"/>
  <c r="G856" i="27"/>
  <c r="I856" i="27" s="1"/>
  <c r="AB855" i="14"/>
  <c r="Z459" i="14" l="1"/>
  <c r="AC459" i="14" s="1"/>
  <c r="K856" i="27"/>
  <c r="U460" i="14" l="1"/>
  <c r="AD459" i="14"/>
  <c r="G857" i="27"/>
  <c r="I857" i="27" s="1"/>
  <c r="K857" i="27" s="1"/>
  <c r="AB856" i="14"/>
  <c r="Y460" i="14" l="1"/>
  <c r="G858" i="27"/>
  <c r="I858" i="27" s="1"/>
  <c r="AB857" i="14"/>
  <c r="Z460" i="14" l="1"/>
  <c r="AC460" i="14" s="1"/>
  <c r="K858" i="27"/>
  <c r="U461" i="14" l="1"/>
  <c r="AD460" i="14"/>
  <c r="G859" i="27"/>
  <c r="I859" i="27" s="1"/>
  <c r="AB858" i="14"/>
  <c r="Y461" i="14" l="1"/>
  <c r="K859" i="27"/>
  <c r="Z461" i="14" l="1"/>
  <c r="AC461" i="14" s="1"/>
  <c r="G860" i="27"/>
  <c r="I860" i="27" s="1"/>
  <c r="AB859" i="14"/>
  <c r="U462" i="14" l="1"/>
  <c r="AD461" i="14"/>
  <c r="K860" i="27"/>
  <c r="Y462" i="14" l="1"/>
  <c r="G861" i="27"/>
  <c r="I861" i="27" s="1"/>
  <c r="AB860" i="14"/>
  <c r="Z462" i="14" l="1"/>
  <c r="AC462" i="14" s="1"/>
  <c r="K861" i="27"/>
  <c r="U463" i="14" l="1"/>
  <c r="AD462" i="14"/>
  <c r="G862" i="27"/>
  <c r="I862" i="27" s="1"/>
  <c r="K862" i="27" s="1"/>
  <c r="AB861" i="14"/>
  <c r="Y463" i="14" l="1"/>
  <c r="G863" i="27"/>
  <c r="I863" i="27" s="1"/>
  <c r="AB862" i="14"/>
  <c r="Z463" i="14" l="1"/>
  <c r="AC463" i="14" s="1"/>
  <c r="K863" i="27"/>
  <c r="U464" i="14" l="1"/>
  <c r="AD463" i="14"/>
  <c r="G864" i="27"/>
  <c r="I864" i="27" s="1"/>
  <c r="AB863" i="14"/>
  <c r="Y464" i="14" l="1"/>
  <c r="K864" i="27"/>
  <c r="Z464" i="14" l="1"/>
  <c r="AC464" i="14" s="1"/>
  <c r="G865" i="27"/>
  <c r="I865" i="27" s="1"/>
  <c r="AB864" i="14"/>
  <c r="U465" i="14" l="1"/>
  <c r="AD464" i="14"/>
  <c r="K865" i="27"/>
  <c r="Y465" i="14" l="1"/>
  <c r="G866" i="27"/>
  <c r="I866" i="27" s="1"/>
  <c r="AB865" i="14"/>
  <c r="Z465" i="14" l="1"/>
  <c r="AC465" i="14" s="1"/>
  <c r="K866" i="27"/>
  <c r="U466" i="14" l="1"/>
  <c r="AD465" i="14"/>
  <c r="G867" i="27"/>
  <c r="I867" i="27" s="1"/>
  <c r="AB866" i="14"/>
  <c r="Y466" i="14" l="1"/>
  <c r="K867" i="27"/>
  <c r="Z466" i="14" l="1"/>
  <c r="AC466" i="14" s="1"/>
  <c r="G868" i="27"/>
  <c r="I868" i="27" s="1"/>
  <c r="AB867" i="14"/>
  <c r="U467" i="14" l="1"/>
  <c r="AD466" i="14"/>
  <c r="K868" i="27"/>
  <c r="Y467" i="14" l="1"/>
  <c r="G869" i="27"/>
  <c r="I869" i="27" s="1"/>
  <c r="AB868" i="14"/>
  <c r="Z467" i="14" l="1"/>
  <c r="AC467" i="14" s="1"/>
  <c r="K869" i="27"/>
  <c r="U468" i="14" l="1"/>
  <c r="AD467" i="14"/>
  <c r="G870" i="27"/>
  <c r="I870" i="27" s="1"/>
  <c r="K870" i="27" s="1"/>
  <c r="AB869" i="14"/>
  <c r="Y468" i="14" l="1"/>
  <c r="G871" i="27"/>
  <c r="I871" i="27" s="1"/>
  <c r="AB870" i="14"/>
  <c r="Z468" i="14" l="1"/>
  <c r="AC468" i="14" s="1"/>
  <c r="K871" i="27"/>
  <c r="U469" i="14" l="1"/>
  <c r="AD468" i="14"/>
  <c r="G872" i="27"/>
  <c r="I872" i="27" s="1"/>
  <c r="K872" i="27" s="1"/>
  <c r="AB871" i="14"/>
  <c r="Y469" i="14" l="1"/>
  <c r="G873" i="27"/>
  <c r="I873" i="27" s="1"/>
  <c r="AB872" i="14"/>
  <c r="Z469" i="14" l="1"/>
  <c r="AC469" i="14" s="1"/>
  <c r="K873" i="27"/>
  <c r="U470" i="14" l="1"/>
  <c r="AD469" i="14"/>
  <c r="G874" i="27"/>
  <c r="I874" i="27" s="1"/>
  <c r="AB873" i="14"/>
  <c r="Y470" i="14" l="1"/>
  <c r="K874" i="27"/>
  <c r="Z470" i="14" l="1"/>
  <c r="AC470" i="14" s="1"/>
  <c r="G875" i="27"/>
  <c r="I875" i="27" s="1"/>
  <c r="AB874" i="14"/>
  <c r="U471" i="14" l="1"/>
  <c r="AD470" i="14"/>
  <c r="K875" i="27"/>
  <c r="Y471" i="14" l="1"/>
  <c r="G876" i="27"/>
  <c r="I876" i="27" s="1"/>
  <c r="AB875" i="14"/>
  <c r="Z471" i="14" l="1"/>
  <c r="AC471" i="14" s="1"/>
  <c r="K876" i="27"/>
  <c r="U472" i="14" l="1"/>
  <c r="AD471" i="14"/>
  <c r="G877" i="27"/>
  <c r="I877" i="27" s="1"/>
  <c r="AB876" i="14"/>
  <c r="Y472" i="14" l="1"/>
  <c r="K877" i="27"/>
  <c r="Z472" i="14" l="1"/>
  <c r="AC472" i="14" s="1"/>
  <c r="G878" i="27"/>
  <c r="I878" i="27" s="1"/>
  <c r="K878" i="27" s="1"/>
  <c r="AB877" i="14"/>
  <c r="U473" i="14" l="1"/>
  <c r="AD472" i="14"/>
  <c r="G879" i="27"/>
  <c r="I879" i="27" s="1"/>
  <c r="AB878" i="14"/>
  <c r="Y473" i="14" l="1"/>
  <c r="K879" i="27"/>
  <c r="Z473" i="14" l="1"/>
  <c r="AC473" i="14" s="1"/>
  <c r="G880" i="27"/>
  <c r="I880" i="27" s="1"/>
  <c r="K880" i="27" s="1"/>
  <c r="AB879" i="14"/>
  <c r="U474" i="14" l="1"/>
  <c r="AD473" i="14"/>
  <c r="G881" i="27"/>
  <c r="I881" i="27" s="1"/>
  <c r="AB880" i="14"/>
  <c r="Y474" i="14" l="1"/>
  <c r="K881" i="27"/>
  <c r="Z474" i="14" l="1"/>
  <c r="AC474" i="14" s="1"/>
  <c r="G882" i="27"/>
  <c r="I882" i="27" s="1"/>
  <c r="AB881" i="14"/>
  <c r="U475" i="14" l="1"/>
  <c r="AD474" i="14"/>
  <c r="K882" i="27"/>
  <c r="Y475" i="14" l="1"/>
  <c r="G883" i="27"/>
  <c r="I883" i="27" s="1"/>
  <c r="AB882" i="14"/>
  <c r="Z475" i="14" l="1"/>
  <c r="AC475" i="14" s="1"/>
  <c r="K883" i="27"/>
  <c r="U476" i="14" l="1"/>
  <c r="AD475" i="14"/>
  <c r="G884" i="27"/>
  <c r="I884" i="27" s="1"/>
  <c r="AB883" i="14"/>
  <c r="Y476" i="14" l="1"/>
  <c r="K884" i="27"/>
  <c r="Z476" i="14" l="1"/>
  <c r="AC476" i="14" s="1"/>
  <c r="G885" i="27"/>
  <c r="I885" i="27" s="1"/>
  <c r="AB884" i="14"/>
  <c r="AD476" i="14" l="1"/>
  <c r="U477" i="14"/>
  <c r="K885" i="27"/>
  <c r="Y477" i="14" l="1"/>
  <c r="G886" i="27"/>
  <c r="I886" i="27" s="1"/>
  <c r="K886" i="27" s="1"/>
  <c r="AB885" i="14"/>
  <c r="Z477" i="14" l="1"/>
  <c r="AC477" i="14" s="1"/>
  <c r="G887" i="27"/>
  <c r="I887" i="27" s="1"/>
  <c r="AB886" i="14"/>
  <c r="U478" i="14" l="1"/>
  <c r="AD477" i="14"/>
  <c r="K887" i="27"/>
  <c r="Y478" i="14" l="1"/>
  <c r="G888" i="27"/>
  <c r="I888" i="27" s="1"/>
  <c r="AB887" i="14"/>
  <c r="Z478" i="14" l="1"/>
  <c r="AC478" i="14" s="1"/>
  <c r="K888" i="27"/>
  <c r="U479" i="14" l="1"/>
  <c r="AD478" i="14"/>
  <c r="G889" i="27"/>
  <c r="I889" i="27" s="1"/>
  <c r="AB888" i="14"/>
  <c r="Y479" i="14" l="1"/>
  <c r="K889" i="27"/>
  <c r="Z479" i="14" l="1"/>
  <c r="AC479" i="14" s="1"/>
  <c r="G890" i="27"/>
  <c r="I890" i="27" s="1"/>
  <c r="AB889" i="14"/>
  <c r="U480" i="14" l="1"/>
  <c r="AD479" i="14"/>
  <c r="K890" i="27"/>
  <c r="Y480" i="14" l="1"/>
  <c r="G891" i="27"/>
  <c r="I891" i="27" s="1"/>
  <c r="K891" i="27" s="1"/>
  <c r="AB890" i="14"/>
  <c r="Z480" i="14" l="1"/>
  <c r="AC480" i="14" s="1"/>
  <c r="G892" i="27"/>
  <c r="I892" i="27" s="1"/>
  <c r="AB891" i="14"/>
  <c r="AD480" i="14" l="1"/>
  <c r="U481" i="14"/>
  <c r="K892" i="27"/>
  <c r="Y481" i="14" l="1"/>
  <c r="G893" i="27"/>
  <c r="I893" i="27" s="1"/>
  <c r="AB892" i="14"/>
  <c r="Z481" i="14" l="1"/>
  <c r="AC481" i="14" s="1"/>
  <c r="K893" i="27"/>
  <c r="AD481" i="14" l="1"/>
  <c r="U482" i="14"/>
  <c r="G894" i="27"/>
  <c r="I894" i="27" s="1"/>
  <c r="K894" i="27" s="1"/>
  <c r="AB893" i="14"/>
  <c r="Y482" i="14" l="1"/>
  <c r="G895" i="27"/>
  <c r="I895" i="27" s="1"/>
  <c r="AB894" i="14"/>
  <c r="Z482" i="14" l="1"/>
  <c r="AC482" i="14" s="1"/>
  <c r="K895" i="27"/>
  <c r="U483" i="14" l="1"/>
  <c r="AD482" i="14"/>
  <c r="G896" i="27"/>
  <c r="I896" i="27" s="1"/>
  <c r="K896" i="27" s="1"/>
  <c r="AB895" i="14"/>
  <c r="Y483" i="14" l="1"/>
  <c r="G897" i="27"/>
  <c r="I897" i="27" s="1"/>
  <c r="AB896" i="14"/>
  <c r="Z483" i="14" l="1"/>
  <c r="AC483" i="14" s="1"/>
  <c r="K897" i="27"/>
  <c r="U484" i="14" l="1"/>
  <c r="AD483" i="14"/>
  <c r="G898" i="27"/>
  <c r="I898" i="27" s="1"/>
  <c r="AB897" i="14"/>
  <c r="Y484" i="14" l="1"/>
  <c r="K898" i="27"/>
  <c r="Z484" i="14" l="1"/>
  <c r="AC484" i="14" s="1"/>
  <c r="G899" i="27"/>
  <c r="I899" i="27" s="1"/>
  <c r="K899" i="27" s="1"/>
  <c r="AB898" i="14"/>
  <c r="U485" i="14" l="1"/>
  <c r="AD484" i="14"/>
  <c r="G900" i="27"/>
  <c r="I900" i="27" s="1"/>
  <c r="AB899" i="14"/>
  <c r="Y485" i="14" l="1"/>
  <c r="K900" i="27"/>
  <c r="Z485" i="14" l="1"/>
  <c r="AC485" i="14" s="1"/>
  <c r="G901" i="27"/>
  <c r="I901" i="27" s="1"/>
  <c r="K901" i="27" s="1"/>
  <c r="AB900" i="14"/>
  <c r="U486" i="14" l="1"/>
  <c r="AD485" i="14"/>
  <c r="G902" i="27"/>
  <c r="I902" i="27" s="1"/>
  <c r="K902" i="27" s="1"/>
  <c r="AB901" i="14"/>
  <c r="Y486" i="14" l="1"/>
  <c r="G903" i="27"/>
  <c r="I903" i="27" s="1"/>
  <c r="AB902" i="14"/>
  <c r="Z486" i="14" l="1"/>
  <c r="AC486" i="14" s="1"/>
  <c r="K903" i="27"/>
  <c r="U487" i="14" l="1"/>
  <c r="AD486" i="14"/>
  <c r="G904" i="27"/>
  <c r="I904" i="27" s="1"/>
  <c r="AB903" i="14"/>
  <c r="Y487" i="14" l="1"/>
  <c r="K904" i="27"/>
  <c r="Z487" i="14" l="1"/>
  <c r="AC487" i="14" s="1"/>
  <c r="G905" i="27"/>
  <c r="I905" i="27" s="1"/>
  <c r="K905" i="27" s="1"/>
  <c r="AB904" i="14"/>
  <c r="U488" i="14" l="1"/>
  <c r="AD487" i="14"/>
  <c r="G906" i="27"/>
  <c r="I906" i="27" s="1"/>
  <c r="K906" i="27" s="1"/>
  <c r="AB905" i="14"/>
  <c r="Y488" i="14" l="1"/>
  <c r="G907" i="27"/>
  <c r="I907" i="27" s="1"/>
  <c r="K907" i="27" s="1"/>
  <c r="AB906" i="14"/>
  <c r="Z488" i="14" l="1"/>
  <c r="AC488" i="14" s="1"/>
  <c r="G908" i="27"/>
  <c r="I908" i="27" s="1"/>
  <c r="AB907" i="14"/>
  <c r="U489" i="14" l="1"/>
  <c r="AD488" i="14"/>
  <c r="K908" i="27"/>
  <c r="Y489" i="14" l="1"/>
  <c r="G909" i="27"/>
  <c r="I909" i="27" s="1"/>
  <c r="AB908" i="14"/>
  <c r="Z489" i="14" l="1"/>
  <c r="AC489" i="14" s="1"/>
  <c r="K909" i="27"/>
  <c r="U490" i="14" l="1"/>
  <c r="AD489" i="14"/>
  <c r="G910" i="27"/>
  <c r="I910" i="27" s="1"/>
  <c r="K910" i="27" s="1"/>
  <c r="AB909" i="14"/>
  <c r="Y490" i="14" l="1"/>
  <c r="G911" i="27"/>
  <c r="I911" i="27" s="1"/>
  <c r="AB910" i="14"/>
  <c r="Z490" i="14" l="1"/>
  <c r="AC490" i="14" s="1"/>
  <c r="K911" i="27"/>
  <c r="U491" i="14" l="1"/>
  <c r="AD490" i="14"/>
  <c r="G912" i="27"/>
  <c r="I912" i="27" s="1"/>
  <c r="AB911" i="14"/>
  <c r="Y491" i="14" l="1"/>
  <c r="K912" i="27"/>
  <c r="Z491" i="14" l="1"/>
  <c r="AC491" i="14" s="1"/>
  <c r="G913" i="27"/>
  <c r="I913" i="27" s="1"/>
  <c r="AB912" i="14"/>
  <c r="U492" i="14" l="1"/>
  <c r="AD491" i="14"/>
  <c r="K913" i="27"/>
  <c r="Y492" i="14" l="1"/>
  <c r="G914" i="27"/>
  <c r="I914" i="27" s="1"/>
  <c r="AB913" i="14"/>
  <c r="Z492" i="14" l="1"/>
  <c r="AC492" i="14" s="1"/>
  <c r="K914" i="27"/>
  <c r="U493" i="14" l="1"/>
  <c r="AD492" i="14"/>
  <c r="G915" i="27"/>
  <c r="I915" i="27" s="1"/>
  <c r="K915" i="27" s="1"/>
  <c r="AB914" i="14"/>
  <c r="Y493" i="14" l="1"/>
  <c r="G916" i="27"/>
  <c r="I916" i="27" s="1"/>
  <c r="AB915" i="14"/>
  <c r="Z493" i="14" l="1"/>
  <c r="AC493" i="14" s="1"/>
  <c r="K916" i="27"/>
  <c r="U494" i="14" l="1"/>
  <c r="AD493" i="14"/>
  <c r="G917" i="27"/>
  <c r="I917" i="27" s="1"/>
  <c r="AB916" i="14"/>
  <c r="Y494" i="14" l="1"/>
  <c r="K917" i="27"/>
  <c r="Z494" i="14" l="1"/>
  <c r="AC494" i="14" s="1"/>
  <c r="G918" i="27"/>
  <c r="I918" i="27" s="1"/>
  <c r="K918" i="27" s="1"/>
  <c r="AB917" i="14"/>
  <c r="AD494" i="14" l="1"/>
  <c r="U495" i="14"/>
  <c r="G919" i="27"/>
  <c r="I919" i="27" s="1"/>
  <c r="AB918" i="14"/>
  <c r="Y495" i="14" l="1"/>
  <c r="K919" i="27"/>
  <c r="Z495" i="14" l="1"/>
  <c r="AC495" i="14" s="1"/>
  <c r="G920" i="27"/>
  <c r="I920" i="27" s="1"/>
  <c r="K920" i="27" s="1"/>
  <c r="AB919" i="14"/>
  <c r="U496" i="14" l="1"/>
  <c r="AD495" i="14"/>
  <c r="G921" i="27"/>
  <c r="I921" i="27" s="1"/>
  <c r="AB920" i="14"/>
  <c r="Y496" i="14" l="1"/>
  <c r="K921" i="27"/>
  <c r="Z496" i="14" l="1"/>
  <c r="AC496" i="14" s="1"/>
  <c r="G922" i="27"/>
  <c r="I922" i="27" s="1"/>
  <c r="K922" i="27" s="1"/>
  <c r="AB921" i="14"/>
  <c r="U497" i="14" l="1"/>
  <c r="AD496" i="14"/>
  <c r="G923" i="27"/>
  <c r="I923" i="27" s="1"/>
  <c r="K923" i="27" s="1"/>
  <c r="AB922" i="14"/>
  <c r="Y497" i="14" l="1"/>
  <c r="G924" i="27"/>
  <c r="I924" i="27" s="1"/>
  <c r="AB923" i="14"/>
  <c r="Z497" i="14" l="1"/>
  <c r="AC497" i="14" s="1"/>
  <c r="K924" i="27"/>
  <c r="U498" i="14" l="1"/>
  <c r="AD497" i="14"/>
  <c r="G925" i="27"/>
  <c r="I925" i="27" s="1"/>
  <c r="AB924" i="14"/>
  <c r="Y498" i="14" l="1"/>
  <c r="K925" i="27"/>
  <c r="Z498" i="14" l="1"/>
  <c r="AC498" i="14" s="1"/>
  <c r="G926" i="27"/>
  <c r="I926" i="27" s="1"/>
  <c r="K926" i="27" s="1"/>
  <c r="AB925" i="14"/>
  <c r="U499" i="14" l="1"/>
  <c r="AD498" i="14"/>
  <c r="G927" i="27"/>
  <c r="I927" i="27" s="1"/>
  <c r="AB926" i="14"/>
  <c r="Y499" i="14" l="1"/>
  <c r="K927" i="27"/>
  <c r="Z499" i="14" l="1"/>
  <c r="AC499" i="14" s="1"/>
  <c r="G928" i="27"/>
  <c r="I928" i="27" s="1"/>
  <c r="AB927" i="14"/>
  <c r="U500" i="14" l="1"/>
  <c r="AD499" i="14"/>
  <c r="K928" i="27"/>
  <c r="Y500" i="14" l="1"/>
  <c r="G929" i="27"/>
  <c r="I929" i="27" s="1"/>
  <c r="AB928" i="14"/>
  <c r="Z500" i="14" l="1"/>
  <c r="AC500" i="14" s="1"/>
  <c r="K929" i="27"/>
  <c r="U501" i="14" l="1"/>
  <c r="AD500" i="14"/>
  <c r="G930" i="27"/>
  <c r="I930" i="27" s="1"/>
  <c r="AB929" i="14"/>
  <c r="Y501" i="14" l="1"/>
  <c r="K930" i="27"/>
  <c r="Z501" i="14" l="1"/>
  <c r="AC501" i="14" s="1"/>
  <c r="G931" i="27"/>
  <c r="I931" i="27" s="1"/>
  <c r="AB930" i="14"/>
  <c r="U502" i="14" l="1"/>
  <c r="AD501" i="14"/>
  <c r="K931" i="27"/>
  <c r="Y502" i="14" l="1"/>
  <c r="G932" i="27"/>
  <c r="I932" i="27" s="1"/>
  <c r="AB931" i="14"/>
  <c r="Z502" i="14" l="1"/>
  <c r="AC502" i="14" s="1"/>
  <c r="K932" i="27"/>
  <c r="AD502" i="14" l="1"/>
  <c r="U503" i="14"/>
  <c r="G933" i="27"/>
  <c r="I933" i="27" s="1"/>
  <c r="K933" i="27" s="1"/>
  <c r="AB932" i="14"/>
  <c r="Y503" i="14" l="1"/>
  <c r="G934" i="27"/>
  <c r="I934" i="27" s="1"/>
  <c r="K934" i="27" s="1"/>
  <c r="AB933" i="14"/>
  <c r="Z503" i="14" l="1"/>
  <c r="AC503" i="14" s="1"/>
  <c r="G935" i="27"/>
  <c r="I935" i="27" s="1"/>
  <c r="AB934" i="14"/>
  <c r="U504" i="14" l="1"/>
  <c r="AD503" i="14"/>
  <c r="K935" i="27"/>
  <c r="Y504" i="14" l="1"/>
  <c r="G936" i="27"/>
  <c r="I936" i="27" s="1"/>
  <c r="AB935" i="14"/>
  <c r="Z504" i="14" l="1"/>
  <c r="AC504" i="14" s="1"/>
  <c r="K936" i="27"/>
  <c r="U505" i="14" l="1"/>
  <c r="AD504" i="14"/>
  <c r="G937" i="27"/>
  <c r="I937" i="27" s="1"/>
  <c r="K937" i="27" s="1"/>
  <c r="AB936" i="14"/>
  <c r="Y505" i="14" l="1"/>
  <c r="G938" i="27"/>
  <c r="I938" i="27" s="1"/>
  <c r="K938" i="27" s="1"/>
  <c r="AB937" i="14"/>
  <c r="Z505" i="14" l="1"/>
  <c r="AC505" i="14" s="1"/>
  <c r="G939" i="27"/>
  <c r="I939" i="27" s="1"/>
  <c r="AB938" i="14"/>
  <c r="U506" i="14" l="1"/>
  <c r="AD505" i="14"/>
  <c r="K939" i="27"/>
  <c r="Y506" i="14" l="1"/>
  <c r="G940" i="27"/>
  <c r="I940" i="27" s="1"/>
  <c r="AB939" i="14"/>
  <c r="Z506" i="14" l="1"/>
  <c r="AC506" i="14" s="1"/>
  <c r="K940" i="27"/>
  <c r="U507" i="14" l="1"/>
  <c r="AD506" i="14"/>
  <c r="G941" i="27"/>
  <c r="I941" i="27" s="1"/>
  <c r="AB940" i="14"/>
  <c r="Y507" i="14" l="1"/>
  <c r="K941" i="27"/>
  <c r="Z507" i="14" l="1"/>
  <c r="AC507" i="14" s="1"/>
  <c r="G942" i="27"/>
  <c r="I942" i="27" s="1"/>
  <c r="K942" i="27" s="1"/>
  <c r="AB941" i="14"/>
  <c r="U508" i="14" l="1"/>
  <c r="AD507" i="14"/>
  <c r="G943" i="27"/>
  <c r="I943" i="27" s="1"/>
  <c r="AB942" i="14"/>
  <c r="Y508" i="14" l="1"/>
  <c r="K943" i="27"/>
  <c r="Z508" i="14" l="1"/>
  <c r="AC508" i="14" s="1"/>
  <c r="G944" i="27"/>
  <c r="I944" i="27" s="1"/>
  <c r="AB943" i="14"/>
  <c r="U509" i="14" l="1"/>
  <c r="AD508" i="14"/>
  <c r="K944" i="27"/>
  <c r="Y509" i="14" l="1"/>
  <c r="G945" i="27"/>
  <c r="I945" i="27" s="1"/>
  <c r="AB944" i="14"/>
  <c r="Z509" i="14" l="1"/>
  <c r="AC509" i="14" s="1"/>
  <c r="K945" i="27"/>
  <c r="U510" i="14" l="1"/>
  <c r="AD509" i="14"/>
  <c r="G946" i="27"/>
  <c r="I946" i="27" s="1"/>
  <c r="AB945" i="14"/>
  <c r="Y510" i="14" l="1"/>
  <c r="K946" i="27"/>
  <c r="Z510" i="14" l="1"/>
  <c r="AC510" i="14" s="1"/>
  <c r="G947" i="27"/>
  <c r="I947" i="27" s="1"/>
  <c r="K947" i="27" s="1"/>
  <c r="AB946" i="14"/>
  <c r="U511" i="14" l="1"/>
  <c r="AD510" i="14"/>
  <c r="G948" i="27"/>
  <c r="I948" i="27" s="1"/>
  <c r="AB947" i="14"/>
  <c r="Y511" i="14" l="1"/>
  <c r="K948" i="27"/>
  <c r="Z511" i="14" l="1"/>
  <c r="AC511" i="14" s="1"/>
  <c r="G949" i="27"/>
  <c r="I949" i="27" s="1"/>
  <c r="AB948" i="14"/>
  <c r="U512" i="14" l="1"/>
  <c r="AD511" i="14"/>
  <c r="K949" i="27"/>
  <c r="Y512" i="14" l="1"/>
  <c r="G950" i="27"/>
  <c r="I950" i="27" s="1"/>
  <c r="K950" i="27" s="1"/>
  <c r="AB949" i="14"/>
  <c r="Z512" i="14" l="1"/>
  <c r="AC512" i="14" s="1"/>
  <c r="G951" i="27"/>
  <c r="I951" i="27" s="1"/>
  <c r="AB950" i="14"/>
  <c r="U513" i="14" l="1"/>
  <c r="AD512" i="14"/>
  <c r="K951" i="27"/>
  <c r="Y513" i="14" l="1"/>
  <c r="G952" i="27"/>
  <c r="I952" i="27" s="1"/>
  <c r="AB951" i="14"/>
  <c r="Z513" i="14" l="1"/>
  <c r="AC513" i="14" s="1"/>
  <c r="K952" i="27"/>
  <c r="U514" i="14" l="1"/>
  <c r="AD513" i="14"/>
  <c r="G953" i="27"/>
  <c r="I953" i="27" s="1"/>
  <c r="AB952" i="14"/>
  <c r="Y514" i="14" l="1"/>
  <c r="K953" i="27"/>
  <c r="Z514" i="14" l="1"/>
  <c r="AC514" i="14" s="1"/>
  <c r="G954" i="27"/>
  <c r="I954" i="27" s="1"/>
  <c r="AB953" i="14"/>
  <c r="U515" i="14" l="1"/>
  <c r="AD514" i="14"/>
  <c r="K954" i="27"/>
  <c r="Y515" i="14" l="1"/>
  <c r="G955" i="27"/>
  <c r="I955" i="27" s="1"/>
  <c r="K955" i="27" s="1"/>
  <c r="AB954" i="14"/>
  <c r="Z515" i="14" l="1"/>
  <c r="AC515" i="14" s="1"/>
  <c r="G956" i="27"/>
  <c r="I956" i="27" s="1"/>
  <c r="AB955" i="14"/>
  <c r="U516" i="14" l="1"/>
  <c r="AD515" i="14"/>
  <c r="K956" i="27"/>
  <c r="Y516" i="14" l="1"/>
  <c r="G957" i="27"/>
  <c r="I957" i="27" s="1"/>
  <c r="AB956" i="14"/>
  <c r="Z516" i="14" l="1"/>
  <c r="AC516" i="14" s="1"/>
  <c r="K957" i="27"/>
  <c r="U517" i="14" l="1"/>
  <c r="AD516" i="14"/>
  <c r="G958" i="27"/>
  <c r="I958" i="27" s="1"/>
  <c r="AB957" i="14"/>
  <c r="Y517" i="14" l="1"/>
  <c r="K958" i="27"/>
  <c r="Z517" i="14" l="1"/>
  <c r="AC517" i="14" s="1"/>
  <c r="G959" i="27"/>
  <c r="I959" i="27" s="1"/>
  <c r="AB958" i="14"/>
  <c r="U518" i="14" l="1"/>
  <c r="AD517" i="14"/>
  <c r="K959" i="27"/>
  <c r="Y518" i="14" l="1"/>
  <c r="G960" i="27"/>
  <c r="I960" i="27" s="1"/>
  <c r="K960" i="27" s="1"/>
  <c r="AB959" i="14"/>
  <c r="Z518" i="14" l="1"/>
  <c r="AC518" i="14" s="1"/>
  <c r="G961" i="27"/>
  <c r="I961" i="27" s="1"/>
  <c r="AB960" i="14"/>
  <c r="U519" i="14" l="1"/>
  <c r="AD518" i="14"/>
  <c r="K961" i="27"/>
  <c r="Y519" i="14" l="1"/>
  <c r="G962" i="27"/>
  <c r="I962" i="27" s="1"/>
  <c r="AB961" i="14"/>
  <c r="Z519" i="14" l="1"/>
  <c r="AC519" i="14" s="1"/>
  <c r="K962" i="27"/>
  <c r="U520" i="14" l="1"/>
  <c r="AD519" i="14"/>
  <c r="G963" i="27"/>
  <c r="I963" i="27" s="1"/>
  <c r="K963" i="27" s="1"/>
  <c r="AB962" i="14"/>
  <c r="Y520" i="14" l="1"/>
  <c r="G964" i="27"/>
  <c r="I964" i="27" s="1"/>
  <c r="AB963" i="14"/>
  <c r="Z520" i="14" l="1"/>
  <c r="AC520" i="14" s="1"/>
  <c r="K964" i="27"/>
  <c r="U521" i="14" l="1"/>
  <c r="AD520" i="14"/>
  <c r="G965" i="27"/>
  <c r="I965" i="27" s="1"/>
  <c r="AB964" i="14"/>
  <c r="Y521" i="14" l="1"/>
  <c r="K965" i="27"/>
  <c r="Z521" i="14" l="1"/>
  <c r="AC521" i="14" s="1"/>
  <c r="G966" i="27"/>
  <c r="I966" i="27" s="1"/>
  <c r="K966" i="27" s="1"/>
  <c r="AB965" i="14"/>
  <c r="U522" i="14" l="1"/>
  <c r="AD521" i="14"/>
  <c r="G967" i="27"/>
  <c r="I967" i="27" s="1"/>
  <c r="AB966" i="14"/>
  <c r="Y522" i="14" l="1"/>
  <c r="K967" i="27"/>
  <c r="Z522" i="14" l="1"/>
  <c r="AC522" i="14" s="1"/>
  <c r="G968" i="27"/>
  <c r="I968" i="27" s="1"/>
  <c r="K968" i="27" s="1"/>
  <c r="AB967" i="14"/>
  <c r="U523" i="14" l="1"/>
  <c r="AD522" i="14"/>
  <c r="G969" i="27"/>
  <c r="I969" i="27" s="1"/>
  <c r="K969" i="27" s="1"/>
  <c r="AB968" i="14"/>
  <c r="Y523" i="14" l="1"/>
  <c r="G970" i="27"/>
  <c r="I970" i="27" s="1"/>
  <c r="K970" i="27" s="1"/>
  <c r="AB969" i="14"/>
  <c r="Z523" i="14" l="1"/>
  <c r="AC523" i="14" s="1"/>
  <c r="G971" i="27"/>
  <c r="I971" i="27" s="1"/>
  <c r="K971" i="27" s="1"/>
  <c r="AB970" i="14"/>
  <c r="U524" i="14" l="1"/>
  <c r="AD523" i="14"/>
  <c r="G972" i="27"/>
  <c r="I972" i="27" s="1"/>
  <c r="AB971" i="14"/>
  <c r="Y524" i="14" l="1"/>
  <c r="K972" i="27"/>
  <c r="Z524" i="14" l="1"/>
  <c r="AC524" i="14" s="1"/>
  <c r="G973" i="27"/>
  <c r="I973" i="27" s="1"/>
  <c r="K973" i="27" s="1"/>
  <c r="AB972" i="14"/>
  <c r="U525" i="14" l="1"/>
  <c r="AD524" i="14"/>
  <c r="G974" i="27"/>
  <c r="I974" i="27" s="1"/>
  <c r="K974" i="27" s="1"/>
  <c r="AB973" i="14"/>
  <c r="Y525" i="14" l="1"/>
  <c r="G975" i="27"/>
  <c r="I975" i="27" s="1"/>
  <c r="AB974" i="14"/>
  <c r="Z525" i="14" l="1"/>
  <c r="AC525" i="14" s="1"/>
  <c r="K975" i="27"/>
  <c r="U526" i="14" l="1"/>
  <c r="AD525" i="14"/>
  <c r="G976" i="27"/>
  <c r="I976" i="27" s="1"/>
  <c r="K976" i="27" s="1"/>
  <c r="AB975" i="14"/>
  <c r="Y526" i="14" l="1"/>
  <c r="G977" i="27"/>
  <c r="I977" i="27" s="1"/>
  <c r="K977" i="27" s="1"/>
  <c r="AB976" i="14"/>
  <c r="Z526" i="14" l="1"/>
  <c r="AC526" i="14" s="1"/>
  <c r="G978" i="27"/>
  <c r="I978" i="27" s="1"/>
  <c r="AB977" i="14"/>
  <c r="U527" i="14" l="1"/>
  <c r="AD526" i="14"/>
  <c r="K978" i="27"/>
  <c r="Y527" i="14" l="1"/>
  <c r="G979" i="27"/>
  <c r="I979" i="27" s="1"/>
  <c r="AB978" i="14"/>
  <c r="Z527" i="14" l="1"/>
  <c r="AC527" i="14" s="1"/>
  <c r="K979" i="27"/>
  <c r="U528" i="14" l="1"/>
  <c r="AD527" i="14"/>
  <c r="G980" i="27"/>
  <c r="I980" i="27" s="1"/>
  <c r="AB979" i="14"/>
  <c r="Y528" i="14" l="1"/>
  <c r="K980" i="27"/>
  <c r="Z528" i="14" l="1"/>
  <c r="AC528" i="14" s="1"/>
  <c r="G981" i="27"/>
  <c r="I981" i="27" s="1"/>
  <c r="AB980" i="14"/>
  <c r="U529" i="14" l="1"/>
  <c r="AD528" i="14"/>
  <c r="K981" i="27"/>
  <c r="Y529" i="14" l="1"/>
  <c r="G982" i="27"/>
  <c r="I982" i="27" s="1"/>
  <c r="AB981" i="14"/>
  <c r="Z529" i="14" l="1"/>
  <c r="AC529" i="14" s="1"/>
  <c r="K982" i="27"/>
  <c r="U530" i="14" l="1"/>
  <c r="AD529" i="14"/>
  <c r="G983" i="27"/>
  <c r="I983" i="27" s="1"/>
  <c r="K983" i="27" s="1"/>
  <c r="AB982" i="14"/>
  <c r="Y530" i="14" l="1"/>
  <c r="G984" i="27"/>
  <c r="I984" i="27" s="1"/>
  <c r="K984" i="27" s="1"/>
  <c r="AB983" i="14"/>
  <c r="Z530" i="14" l="1"/>
  <c r="AC530" i="14" s="1"/>
  <c r="G985" i="27"/>
  <c r="I985" i="27" s="1"/>
  <c r="K985" i="27" s="1"/>
  <c r="AB984" i="14"/>
  <c r="U531" i="14" l="1"/>
  <c r="AD530" i="14"/>
  <c r="G986" i="27"/>
  <c r="I986" i="27" s="1"/>
  <c r="AB985" i="14"/>
  <c r="Y531" i="14" l="1"/>
  <c r="K986" i="27"/>
  <c r="Z531" i="14" l="1"/>
  <c r="AC531" i="14" s="1"/>
  <c r="G987" i="27"/>
  <c r="I987" i="27" s="1"/>
  <c r="AB986" i="14"/>
  <c r="U532" i="14" l="1"/>
  <c r="AD531" i="14"/>
  <c r="K987" i="27"/>
  <c r="Y532" i="14" l="1"/>
  <c r="G988" i="27"/>
  <c r="I988" i="27" s="1"/>
  <c r="AB987" i="14"/>
  <c r="Z532" i="14" l="1"/>
  <c r="AC532" i="14" s="1"/>
  <c r="K988" i="27"/>
  <c r="U533" i="14" l="1"/>
  <c r="AD532" i="14"/>
  <c r="G989" i="27"/>
  <c r="I989" i="27" s="1"/>
  <c r="K989" i="27" s="1"/>
  <c r="AB988" i="14"/>
  <c r="Y533" i="14" l="1"/>
  <c r="G990" i="27"/>
  <c r="I990" i="27" s="1"/>
  <c r="AB989" i="14"/>
  <c r="Z533" i="14" l="1"/>
  <c r="AC533" i="14" s="1"/>
  <c r="K990" i="27"/>
  <c r="U534" i="14" l="1"/>
  <c r="AD533" i="14"/>
  <c r="G991" i="27"/>
  <c r="I991" i="27" s="1"/>
  <c r="AB990" i="14"/>
  <c r="Y534" i="14" l="1"/>
  <c r="Z534" i="14" s="1"/>
  <c r="AC534" i="14" s="1"/>
  <c r="K991" i="27"/>
  <c r="AD534" i="14" l="1"/>
  <c r="U535" i="14"/>
  <c r="G992" i="27"/>
  <c r="I992" i="27" s="1"/>
  <c r="K992" i="27" s="1"/>
  <c r="AB991" i="14"/>
  <c r="Y535" i="14" l="1"/>
  <c r="Z535" i="14" s="1"/>
  <c r="AC535" i="14" s="1"/>
  <c r="G993" i="27"/>
  <c r="I993" i="27" s="1"/>
  <c r="AB992" i="14"/>
  <c r="AD535" i="14" l="1"/>
  <c r="U536" i="14"/>
  <c r="K993" i="27"/>
  <c r="Y536" i="14" l="1"/>
  <c r="G994" i="27"/>
  <c r="I994" i="27" s="1"/>
  <c r="AB993" i="14"/>
  <c r="Z536" i="14" l="1"/>
  <c r="AC536" i="14" s="1"/>
  <c r="K994" i="27"/>
  <c r="U537" i="14" l="1"/>
  <c r="AD536" i="14"/>
  <c r="G995" i="27"/>
  <c r="I995" i="27" s="1"/>
  <c r="AB994" i="14"/>
  <c r="Y537" i="14" l="1"/>
  <c r="K995" i="27"/>
  <c r="Z537" i="14" l="1"/>
  <c r="AC537" i="14" s="1"/>
  <c r="G996" i="27"/>
  <c r="I996" i="27" s="1"/>
  <c r="AB995" i="14"/>
  <c r="U538" i="14" l="1"/>
  <c r="AD537" i="14"/>
  <c r="K996" i="27"/>
  <c r="Y538" i="14" l="1"/>
  <c r="G997" i="27"/>
  <c r="I997" i="27" s="1"/>
  <c r="AB996" i="14"/>
  <c r="Z538" i="14" l="1"/>
  <c r="AC538" i="14" s="1"/>
  <c r="K997" i="27"/>
  <c r="U539" i="14" l="1"/>
  <c r="AD538" i="14"/>
  <c r="G998" i="27"/>
  <c r="I998" i="27" s="1"/>
  <c r="AB997" i="14"/>
  <c r="Y539" i="14" l="1"/>
  <c r="K998" i="27"/>
  <c r="Z539" i="14" l="1"/>
  <c r="AC539" i="14" s="1"/>
  <c r="G999" i="27"/>
  <c r="I999" i="27" s="1"/>
  <c r="AB998" i="14"/>
  <c r="U540" i="14" l="1"/>
  <c r="AD539" i="14"/>
  <c r="K999" i="27"/>
  <c r="Y540" i="14" l="1"/>
  <c r="G1000" i="27"/>
  <c r="I1000" i="27" s="1"/>
  <c r="AB999" i="14"/>
  <c r="Z540" i="14" l="1"/>
  <c r="AC540" i="14" s="1"/>
  <c r="K1000" i="27"/>
  <c r="U541" i="14" l="1"/>
  <c r="AD540" i="14"/>
  <c r="G1001" i="27"/>
  <c r="I1001" i="27" s="1"/>
  <c r="AB1000" i="14"/>
  <c r="Y541" i="14" l="1"/>
  <c r="K1001" i="27"/>
  <c r="Z541" i="14" l="1"/>
  <c r="AC541" i="14" s="1"/>
  <c r="G1002" i="27"/>
  <c r="I1002" i="27" s="1"/>
  <c r="AB1001" i="14"/>
  <c r="U542" i="14" l="1"/>
  <c r="AD541" i="14"/>
  <c r="K1002" i="27"/>
  <c r="Y542" i="14" l="1"/>
  <c r="G1003" i="27"/>
  <c r="I1003" i="27" s="1"/>
  <c r="AB1002" i="14"/>
  <c r="Z542" i="14" l="1"/>
  <c r="AC542" i="14" s="1"/>
  <c r="K1003" i="27"/>
  <c r="U543" i="14" l="1"/>
  <c r="AD542" i="14"/>
  <c r="G1004" i="27"/>
  <c r="I1004" i="27" s="1"/>
  <c r="AB1003" i="14"/>
  <c r="Y543" i="14" l="1"/>
  <c r="K1004" i="27"/>
  <c r="Z543" i="14" l="1"/>
  <c r="AC543" i="14" s="1"/>
  <c r="G1005" i="27"/>
  <c r="I1005" i="27" s="1"/>
  <c r="AB1004" i="14"/>
  <c r="U544" i="14" l="1"/>
  <c r="AD543" i="14"/>
  <c r="K1005" i="27"/>
  <c r="Y544" i="14" l="1"/>
  <c r="G1006" i="27"/>
  <c r="I1006" i="27" s="1"/>
  <c r="AB1005" i="14"/>
  <c r="Z544" i="14" l="1"/>
  <c r="AC544" i="14" s="1"/>
  <c r="K1006" i="27"/>
  <c r="U545" i="14" l="1"/>
  <c r="AD544" i="14"/>
  <c r="G1007" i="27"/>
  <c r="I1007" i="27" s="1"/>
  <c r="K1007" i="27" s="1"/>
  <c r="AB1006" i="14"/>
  <c r="Y545" i="14" l="1"/>
  <c r="G1008" i="27"/>
  <c r="I1008" i="27" s="1"/>
  <c r="K1008" i="27" s="1"/>
  <c r="AB1007" i="14"/>
  <c r="Z545" i="14" l="1"/>
  <c r="AC545" i="14" s="1"/>
  <c r="G1009" i="27"/>
  <c r="I1009" i="27" s="1"/>
  <c r="K1009" i="27" s="1"/>
  <c r="AB1008" i="14"/>
  <c r="U546" i="14" l="1"/>
  <c r="AD545" i="14"/>
  <c r="G1010" i="27"/>
  <c r="I1010" i="27" s="1"/>
  <c r="AB1009" i="14"/>
  <c r="Y546" i="14" l="1"/>
  <c r="K1010" i="27"/>
  <c r="Z546" i="14" l="1"/>
  <c r="AC546" i="14" s="1"/>
  <c r="G1011" i="27"/>
  <c r="I1011" i="27" s="1"/>
  <c r="AB1010" i="14"/>
  <c r="U547" i="14" l="1"/>
  <c r="AD546" i="14"/>
  <c r="K1011" i="27"/>
  <c r="Y547" i="14" l="1"/>
  <c r="G1012" i="27"/>
  <c r="I1012" i="27" s="1"/>
  <c r="AB1011" i="14"/>
  <c r="Z547" i="14" l="1"/>
  <c r="AC547" i="14" s="1"/>
  <c r="K1012" i="27"/>
  <c r="U548" i="14" l="1"/>
  <c r="AD547" i="14"/>
  <c r="G1013" i="27"/>
  <c r="I1013" i="27" s="1"/>
  <c r="AB1012" i="14"/>
  <c r="Y548" i="14" l="1"/>
  <c r="K1013" i="27"/>
  <c r="Z548" i="14" l="1"/>
  <c r="AC548" i="14" s="1"/>
  <c r="G1014" i="27"/>
  <c r="I1014" i="27" s="1"/>
  <c r="AB1013" i="14"/>
  <c r="U549" i="14" l="1"/>
  <c r="AD548" i="14"/>
  <c r="K1014" i="27"/>
  <c r="Y549" i="14" l="1"/>
  <c r="G1015" i="27"/>
  <c r="I1015" i="27" s="1"/>
  <c r="AB1014" i="14"/>
  <c r="Z549" i="14" l="1"/>
  <c r="AC549" i="14" s="1"/>
  <c r="K1015" i="27"/>
  <c r="U550" i="14" l="1"/>
  <c r="AD549" i="14"/>
  <c r="G1016" i="27"/>
  <c r="I1016" i="27" s="1"/>
  <c r="AB1015" i="14"/>
  <c r="Y550" i="14" l="1"/>
  <c r="K1016" i="27"/>
  <c r="Z550" i="14" l="1"/>
  <c r="AC550" i="14" s="1"/>
  <c r="G1017" i="27"/>
  <c r="I1017" i="27" s="1"/>
  <c r="K1017" i="27" s="1"/>
  <c r="AB1016" i="14"/>
  <c r="AD550" i="14" l="1"/>
  <c r="U551" i="14"/>
  <c r="G1018" i="27"/>
  <c r="I1018" i="27" s="1"/>
  <c r="AB1017" i="14"/>
  <c r="Y551" i="14" l="1"/>
  <c r="K1018" i="27"/>
  <c r="Z551" i="14" l="1"/>
  <c r="AC551" i="14" s="1"/>
  <c r="G1019" i="27"/>
  <c r="I1019" i="27" s="1"/>
  <c r="AB1018" i="14"/>
  <c r="U552" i="14" l="1"/>
  <c r="AD551" i="14"/>
  <c r="K1019" i="27"/>
  <c r="Y552" i="14" l="1"/>
  <c r="G1020" i="27"/>
  <c r="I1020" i="27" s="1"/>
  <c r="AB1019" i="14"/>
  <c r="Z552" i="14" l="1"/>
  <c r="AC552" i="14" s="1"/>
  <c r="K1020" i="27"/>
  <c r="U553" i="14" l="1"/>
  <c r="AD552" i="14"/>
  <c r="G1021" i="27"/>
  <c r="I1021" i="27" s="1"/>
  <c r="AB1020" i="14"/>
  <c r="Y553" i="14" l="1"/>
  <c r="K1021" i="27"/>
  <c r="Z553" i="14" l="1"/>
  <c r="AC553" i="14" s="1"/>
  <c r="G1022" i="27"/>
  <c r="I1022" i="27" s="1"/>
  <c r="AB1021" i="14"/>
  <c r="U554" i="14" l="1"/>
  <c r="AD553" i="14"/>
  <c r="K1022" i="27"/>
  <c r="Y554" i="14" l="1"/>
  <c r="G1023" i="27"/>
  <c r="I1023" i="27" s="1"/>
  <c r="AB1022" i="14"/>
  <c r="Z554" i="14" l="1"/>
  <c r="AC554" i="14" s="1"/>
  <c r="K1023" i="27"/>
  <c r="U555" i="14" l="1"/>
  <c r="AD554" i="14"/>
  <c r="G1024" i="27"/>
  <c r="I1024" i="27" s="1"/>
  <c r="K1024" i="27" s="1"/>
  <c r="AB1023" i="14"/>
  <c r="Y555" i="14" l="1"/>
  <c r="G1025" i="27"/>
  <c r="I1025" i="27" s="1"/>
  <c r="AB1024" i="14"/>
  <c r="Z555" i="14" l="1"/>
  <c r="AC555" i="14" s="1"/>
  <c r="K1025" i="27"/>
  <c r="U556" i="14" l="1"/>
  <c r="AD555" i="14"/>
  <c r="G1026" i="27"/>
  <c r="I1026" i="27" s="1"/>
  <c r="AB1025" i="14"/>
  <c r="Y556" i="14" l="1"/>
  <c r="K1026" i="27"/>
  <c r="Z556" i="14" l="1"/>
  <c r="AC556" i="14" s="1"/>
  <c r="G1027" i="27"/>
  <c r="I1027" i="27" s="1"/>
  <c r="AB1026" i="14"/>
  <c r="U557" i="14" l="1"/>
  <c r="AD556" i="14"/>
  <c r="K1027" i="27"/>
  <c r="Y557" i="14" l="1"/>
  <c r="G1028" i="27"/>
  <c r="I1028" i="27" s="1"/>
  <c r="AB1027" i="14"/>
  <c r="Z557" i="14" l="1"/>
  <c r="AC557" i="14" s="1"/>
  <c r="K1028" i="27"/>
  <c r="U558" i="14" l="1"/>
  <c r="AD557" i="14"/>
  <c r="G1029" i="27"/>
  <c r="I1029" i="27" s="1"/>
  <c r="AB1028" i="14"/>
  <c r="Y558" i="14" l="1"/>
  <c r="K1029" i="27"/>
  <c r="Z558" i="14" l="1"/>
  <c r="AC558" i="14" s="1"/>
  <c r="G1030" i="27"/>
  <c r="I1030" i="27" s="1"/>
  <c r="AB1029" i="14"/>
  <c r="U559" i="14" l="1"/>
  <c r="AD558" i="14"/>
  <c r="K1030" i="27"/>
  <c r="Y559" i="14" l="1"/>
  <c r="G1031" i="27"/>
  <c r="I1031" i="27" s="1"/>
  <c r="AB1030" i="14"/>
  <c r="Z559" i="14" l="1"/>
  <c r="AC559" i="14" s="1"/>
  <c r="K1031" i="27"/>
  <c r="U560" i="14" l="1"/>
  <c r="AD559" i="14"/>
  <c r="G1032" i="27"/>
  <c r="I1032" i="27" s="1"/>
  <c r="AB1031" i="14"/>
  <c r="Y560" i="14" l="1"/>
  <c r="K1032" i="27"/>
  <c r="Z560" i="14" l="1"/>
  <c r="AC560" i="14" s="1"/>
  <c r="G1033" i="27"/>
  <c r="I1033" i="27" s="1"/>
  <c r="K1033" i="27" s="1"/>
  <c r="AB1032" i="14"/>
  <c r="U561" i="14" l="1"/>
  <c r="AD560" i="14"/>
  <c r="G1034" i="27"/>
  <c r="I1034" i="27" s="1"/>
  <c r="AB1033" i="14"/>
  <c r="Y561" i="14" l="1"/>
  <c r="K1034" i="27"/>
  <c r="Z561" i="14" l="1"/>
  <c r="AC561" i="14" s="1"/>
  <c r="G1035" i="27"/>
  <c r="I1035" i="27" s="1"/>
  <c r="K1035" i="27" s="1"/>
  <c r="AB1034" i="14"/>
  <c r="U562" i="14" l="1"/>
  <c r="AD561" i="14"/>
  <c r="G1036" i="27"/>
  <c r="I1036" i="27" s="1"/>
  <c r="AB1035" i="14"/>
  <c r="Y562" i="14" l="1"/>
  <c r="K1036" i="27"/>
  <c r="Z562" i="14" l="1"/>
  <c r="AC562" i="14" s="1"/>
  <c r="G1037" i="27"/>
  <c r="I1037" i="27" s="1"/>
  <c r="K1037" i="27" s="1"/>
  <c r="AB1036" i="14"/>
  <c r="U563" i="14" l="1"/>
  <c r="AD562" i="14"/>
  <c r="G1038" i="27"/>
  <c r="I1038" i="27" s="1"/>
  <c r="K1038" i="27" s="1"/>
  <c r="AB1037" i="14"/>
  <c r="Y563" i="14" l="1"/>
  <c r="G1039" i="27"/>
  <c r="I1039" i="27" s="1"/>
  <c r="AB1038" i="14"/>
  <c r="Z563" i="14" l="1"/>
  <c r="AC563" i="14" s="1"/>
  <c r="K1039" i="27"/>
  <c r="U564" i="14" l="1"/>
  <c r="AD563" i="14"/>
  <c r="G1040" i="27"/>
  <c r="I1040" i="27" s="1"/>
  <c r="AB1039" i="14"/>
  <c r="Y564" i="14" l="1"/>
  <c r="K1040" i="27"/>
  <c r="Z564" i="14" l="1"/>
  <c r="AC564" i="14" s="1"/>
  <c r="G1041" i="27"/>
  <c r="I1041" i="27" s="1"/>
  <c r="AB1040" i="14"/>
  <c r="U565" i="14" l="1"/>
  <c r="AD564" i="14"/>
  <c r="K1041" i="27"/>
  <c r="Y565" i="14" l="1"/>
  <c r="G1042" i="27"/>
  <c r="I1042" i="27" s="1"/>
  <c r="AB1041" i="14"/>
  <c r="Z565" i="14" l="1"/>
  <c r="AC565" i="14" s="1"/>
  <c r="K1042" i="27"/>
  <c r="U566" i="14" l="1"/>
  <c r="AD565" i="14"/>
  <c r="G1043" i="27"/>
  <c r="I1043" i="27" s="1"/>
  <c r="K1043" i="27" s="1"/>
  <c r="AB1042" i="14"/>
  <c r="Y566" i="14" l="1"/>
  <c r="G1044" i="27"/>
  <c r="I1044" i="27" s="1"/>
  <c r="AB1043" i="14"/>
  <c r="Z566" i="14" l="1"/>
  <c r="AC566" i="14" s="1"/>
  <c r="K1044" i="27"/>
  <c r="U567" i="14" l="1"/>
  <c r="AD566" i="14"/>
  <c r="G1045" i="27"/>
  <c r="I1045" i="27" s="1"/>
  <c r="K1045" i="27" s="1"/>
  <c r="AB1044" i="14"/>
  <c r="Y567" i="14" l="1"/>
  <c r="G1046" i="27"/>
  <c r="I1046" i="27" s="1"/>
  <c r="AB1045" i="14"/>
  <c r="Z567" i="14" l="1"/>
  <c r="AC567" i="14" s="1"/>
  <c r="K1046" i="27"/>
  <c r="U568" i="14" l="1"/>
  <c r="AD567" i="14"/>
  <c r="G1047" i="27"/>
  <c r="I1047" i="27" s="1"/>
  <c r="AB1046" i="14"/>
  <c r="Y568" i="14" l="1"/>
  <c r="K1047" i="27"/>
  <c r="Z568" i="14" l="1"/>
  <c r="AC568" i="14" s="1"/>
  <c r="G1048" i="27"/>
  <c r="I1048" i="27" s="1"/>
  <c r="AB1047" i="14"/>
  <c r="AD568" i="14" l="1"/>
  <c r="U569" i="14"/>
  <c r="K1048" i="27"/>
  <c r="Y569" i="14" l="1"/>
  <c r="G1049" i="27"/>
  <c r="I1049" i="27" s="1"/>
  <c r="K1049" i="27" s="1"/>
  <c r="AB1048" i="14"/>
  <c r="Z569" i="14" l="1"/>
  <c r="AC569" i="14" s="1"/>
  <c r="G1050" i="27"/>
  <c r="I1050" i="27" s="1"/>
  <c r="K1050" i="27" s="1"/>
  <c r="AB1049" i="14"/>
  <c r="U570" i="14" l="1"/>
  <c r="AD569" i="14"/>
  <c r="G1051" i="27"/>
  <c r="I1051" i="27" s="1"/>
  <c r="K1051" i="27" s="1"/>
  <c r="AB1050" i="14"/>
  <c r="Y570" i="14" l="1"/>
  <c r="Z570" i="14" s="1"/>
  <c r="AC570" i="14" s="1"/>
  <c r="G1052" i="27"/>
  <c r="I1052" i="27" s="1"/>
  <c r="AB1051" i="14"/>
  <c r="U571" i="14" l="1"/>
  <c r="AD570" i="14"/>
  <c r="K1052" i="27"/>
  <c r="Y571" i="14" l="1"/>
  <c r="G1053" i="27"/>
  <c r="I1053" i="27" s="1"/>
  <c r="K1053" i="27" s="1"/>
  <c r="AB1052" i="14"/>
  <c r="Z571" i="14" l="1"/>
  <c r="AC571" i="14" s="1"/>
  <c r="G1054" i="27"/>
  <c r="I1054" i="27" s="1"/>
  <c r="K1054" i="27" s="1"/>
  <c r="AB1053" i="14"/>
  <c r="U572" i="14" l="1"/>
  <c r="AD571" i="14"/>
  <c r="G1055" i="27"/>
  <c r="I1055" i="27" s="1"/>
  <c r="AB1054" i="14"/>
  <c r="Y572" i="14" l="1"/>
  <c r="K1055" i="27"/>
  <c r="Z572" i="14" l="1"/>
  <c r="AC572" i="14" s="1"/>
  <c r="G1056" i="27"/>
  <c r="I1056" i="27" s="1"/>
  <c r="K1056" i="27" s="1"/>
  <c r="AB1055" i="14"/>
  <c r="U573" i="14" l="1"/>
  <c r="AD572" i="14"/>
  <c r="G1057" i="27"/>
  <c r="I1057" i="27" s="1"/>
  <c r="AB1056" i="14"/>
  <c r="Y573" i="14" l="1"/>
  <c r="K1057" i="27"/>
  <c r="Z573" i="14" l="1"/>
  <c r="AC573" i="14" s="1"/>
  <c r="G1058" i="27"/>
  <c r="I1058" i="27" s="1"/>
  <c r="K1058" i="27" s="1"/>
  <c r="AB1057" i="14"/>
  <c r="U574" i="14" l="1"/>
  <c r="AD573" i="14"/>
  <c r="G1059" i="27"/>
  <c r="I1059" i="27" s="1"/>
  <c r="AB1058" i="14"/>
  <c r="Y574" i="14" l="1"/>
  <c r="K1059" i="27"/>
  <c r="Z574" i="14" l="1"/>
  <c r="AC574" i="14" s="1"/>
  <c r="G1060" i="27"/>
  <c r="I1060" i="27" s="1"/>
  <c r="AB1059" i="14"/>
  <c r="U575" i="14" l="1"/>
  <c r="AD574" i="14"/>
  <c r="K1060" i="27"/>
  <c r="Y575" i="14" l="1"/>
  <c r="G1061" i="27"/>
  <c r="I1061" i="27" s="1"/>
  <c r="K1061" i="27" s="1"/>
  <c r="AB1060" i="14"/>
  <c r="Z575" i="14" l="1"/>
  <c r="AC575" i="14" s="1"/>
  <c r="G1062" i="27"/>
  <c r="I1062" i="27" s="1"/>
  <c r="K1062" i="27" s="1"/>
  <c r="AB1061" i="14"/>
  <c r="U576" i="14" l="1"/>
  <c r="AD575" i="14"/>
  <c r="G1063" i="27"/>
  <c r="I1063" i="27" s="1"/>
  <c r="AB1062" i="14"/>
  <c r="Y576" i="14" l="1"/>
  <c r="K1063" i="27"/>
  <c r="Z576" i="14" l="1"/>
  <c r="AC576" i="14" s="1"/>
  <c r="G1064" i="27"/>
  <c r="I1064" i="27" s="1"/>
  <c r="K1064" i="27" s="1"/>
  <c r="AB1063" i="14"/>
  <c r="U577" i="14" l="1"/>
  <c r="AD576" i="14"/>
  <c r="G1065" i="27"/>
  <c r="I1065" i="27" s="1"/>
  <c r="AB1064" i="14"/>
  <c r="Y577" i="14" l="1"/>
  <c r="K1065" i="27"/>
  <c r="Z577" i="14" l="1"/>
  <c r="AC577" i="14" s="1"/>
  <c r="G1066" i="27"/>
  <c r="I1066" i="27" s="1"/>
  <c r="AB1065" i="14"/>
  <c r="U578" i="14" l="1"/>
  <c r="AD577" i="14"/>
  <c r="K1066" i="27"/>
  <c r="AB1066" i="14" s="1"/>
  <c r="Y578" i="14" l="1"/>
  <c r="G1067" i="27"/>
  <c r="I1067" i="27" s="1"/>
  <c r="K1067" i="27" s="1"/>
  <c r="G1068" i="27" s="1"/>
  <c r="I1068" i="27" s="1"/>
  <c r="Z578" i="14" l="1"/>
  <c r="AC578" i="14" s="1"/>
  <c r="AB1067" i="14"/>
  <c r="K1068" i="27"/>
  <c r="U579" i="14" l="1"/>
  <c r="AD578" i="14"/>
  <c r="G1069" i="27"/>
  <c r="I1069" i="27" s="1"/>
  <c r="AB1068" i="14"/>
  <c r="Y579" i="14" l="1"/>
  <c r="K1069" i="27"/>
  <c r="Z579" i="14" l="1"/>
  <c r="AC579" i="14" s="1"/>
  <c r="G1070" i="27"/>
  <c r="I1070" i="27" s="1"/>
  <c r="K1070" i="27" s="1"/>
  <c r="AB1069" i="14"/>
  <c r="U580" i="14" l="1"/>
  <c r="AD579" i="14"/>
  <c r="G1071" i="27"/>
  <c r="I1071" i="27" s="1"/>
  <c r="AB1070" i="14"/>
  <c r="Y580" i="14" l="1"/>
  <c r="K1071" i="27"/>
  <c r="Z580" i="14" l="1"/>
  <c r="AC580" i="14" s="1"/>
  <c r="G1072" i="27"/>
  <c r="I1072" i="27" s="1"/>
  <c r="AB1071" i="14"/>
  <c r="U581" i="14" l="1"/>
  <c r="AD580" i="14"/>
  <c r="K1072" i="27"/>
  <c r="Y581" i="14" l="1"/>
  <c r="G1073" i="27"/>
  <c r="I1073" i="27" s="1"/>
  <c r="AB1072" i="14"/>
  <c r="Z581" i="14" l="1"/>
  <c r="AC581" i="14" s="1"/>
  <c r="K1073" i="27"/>
  <c r="U582" i="14" l="1"/>
  <c r="AD581" i="14"/>
  <c r="G1074" i="27"/>
  <c r="I1074" i="27" s="1"/>
  <c r="AB1073" i="14"/>
  <c r="Y582" i="14" l="1"/>
  <c r="K1074" i="27"/>
  <c r="Z582" i="14" l="1"/>
  <c r="AC582" i="14" s="1"/>
  <c r="G1075" i="27"/>
  <c r="I1075" i="27" s="1"/>
  <c r="K1075" i="27" s="1"/>
  <c r="AB1074" i="14"/>
  <c r="U583" i="14" l="1"/>
  <c r="AD582" i="14"/>
  <c r="G1076" i="27"/>
  <c r="I1076" i="27" s="1"/>
  <c r="AB1075" i="14"/>
  <c r="Y583" i="14" l="1"/>
  <c r="K1076" i="27"/>
  <c r="Z583" i="14" l="1"/>
  <c r="AC583" i="14" s="1"/>
  <c r="G1077" i="27"/>
  <c r="I1077" i="27" s="1"/>
  <c r="AB1076" i="14"/>
  <c r="U584" i="14" l="1"/>
  <c r="AD583" i="14"/>
  <c r="K1077" i="27"/>
  <c r="Y584" i="14" l="1"/>
  <c r="G1078" i="27"/>
  <c r="I1078" i="27" s="1"/>
  <c r="K1078" i="27" s="1"/>
  <c r="AB1077" i="14"/>
  <c r="Z584" i="14" l="1"/>
  <c r="AC584" i="14" s="1"/>
  <c r="G1079" i="27"/>
  <c r="I1079" i="27" s="1"/>
  <c r="AB1078" i="14"/>
  <c r="U585" i="14" l="1"/>
  <c r="AD584" i="14"/>
  <c r="K1079" i="27"/>
  <c r="Y585" i="14" l="1"/>
  <c r="G1080" i="27"/>
  <c r="I1080" i="27" s="1"/>
  <c r="K1080" i="27" s="1"/>
  <c r="AB1079" i="14"/>
  <c r="Z585" i="14" l="1"/>
  <c r="AC585" i="14" s="1"/>
  <c r="G1081" i="27"/>
  <c r="I1081" i="27" s="1"/>
  <c r="AB1080" i="14"/>
  <c r="U586" i="14" l="1"/>
  <c r="AD585" i="14"/>
  <c r="K1081" i="27"/>
  <c r="Y586" i="14" l="1"/>
  <c r="G1082" i="27"/>
  <c r="I1082" i="27" s="1"/>
  <c r="K1082" i="27" s="1"/>
  <c r="AB1081" i="14"/>
  <c r="Z586" i="14" l="1"/>
  <c r="AC586" i="14" s="1"/>
  <c r="G1083" i="27"/>
  <c r="I1083" i="27" s="1"/>
  <c r="K1083" i="27" s="1"/>
  <c r="AB1082" i="14"/>
  <c r="U587" i="14" l="1"/>
  <c r="AD586" i="14"/>
  <c r="G1084" i="27"/>
  <c r="I1084" i="27" s="1"/>
  <c r="AB1083" i="14"/>
  <c r="Y587" i="14" l="1"/>
  <c r="K1084" i="27"/>
  <c r="Z587" i="14" l="1"/>
  <c r="AC587" i="14" s="1"/>
  <c r="G1085" i="27"/>
  <c r="I1085" i="27" s="1"/>
  <c r="K1085" i="27" s="1"/>
  <c r="AB1084" i="14"/>
  <c r="U588" i="14" l="1"/>
  <c r="AD587" i="14"/>
  <c r="G1086" i="27"/>
  <c r="I1086" i="27" s="1"/>
  <c r="K1086" i="27" s="1"/>
  <c r="AB1085" i="14"/>
  <c r="Y588" i="14" l="1"/>
  <c r="G1087" i="27"/>
  <c r="I1087" i="27" s="1"/>
  <c r="AB1086" i="14"/>
  <c r="Z588" i="14" l="1"/>
  <c r="AC588" i="14" s="1"/>
  <c r="K1087" i="27"/>
  <c r="AD588" i="14" l="1"/>
  <c r="U589" i="14"/>
  <c r="G1088" i="27"/>
  <c r="I1088" i="27" s="1"/>
  <c r="AB1087" i="14"/>
  <c r="Y589" i="14" l="1"/>
  <c r="K1088" i="27"/>
  <c r="Z589" i="14" l="1"/>
  <c r="AC589" i="14" s="1"/>
  <c r="G1089" i="27"/>
  <c r="I1089" i="27" s="1"/>
  <c r="K1089" i="27" s="1"/>
  <c r="AB1088" i="14"/>
  <c r="U590" i="14" l="1"/>
  <c r="AD589" i="14"/>
  <c r="G1090" i="27"/>
  <c r="I1090" i="27" s="1"/>
  <c r="K1090" i="27" s="1"/>
  <c r="AB1089" i="14"/>
  <c r="Y590" i="14" l="1"/>
  <c r="G1091" i="27"/>
  <c r="I1091" i="27" s="1"/>
  <c r="K1091" i="27" s="1"/>
  <c r="AB1090" i="14"/>
  <c r="Z590" i="14" l="1"/>
  <c r="AC590" i="14" s="1"/>
  <c r="G1092" i="27"/>
  <c r="I1092" i="27" s="1"/>
  <c r="AB1091" i="14"/>
  <c r="U591" i="14" l="1"/>
  <c r="AD590" i="14"/>
  <c r="K1092" i="27"/>
  <c r="Y591" i="14" l="1"/>
  <c r="G1093" i="27"/>
  <c r="I1093" i="27" s="1"/>
  <c r="K1093" i="27" s="1"/>
  <c r="AB1092" i="14"/>
  <c r="Z591" i="14" l="1"/>
  <c r="AC591" i="14" s="1"/>
  <c r="G1094" i="27"/>
  <c r="I1094" i="27" s="1"/>
  <c r="K1094" i="27" s="1"/>
  <c r="AB1093" i="14"/>
  <c r="U592" i="14" l="1"/>
  <c r="AD591" i="14"/>
  <c r="G1095" i="27"/>
  <c r="I1095" i="27" s="1"/>
  <c r="AB1094" i="14"/>
  <c r="Y592" i="14" l="1"/>
  <c r="K1095" i="27"/>
  <c r="Z592" i="14" l="1"/>
  <c r="AC592" i="14" s="1"/>
  <c r="G1096" i="27"/>
  <c r="I1096" i="27" s="1"/>
  <c r="AB1095" i="14"/>
  <c r="U593" i="14" l="1"/>
  <c r="AD592" i="14"/>
  <c r="K1096" i="27"/>
  <c r="Y593" i="14" l="1"/>
  <c r="G1097" i="27"/>
  <c r="I1097" i="27" s="1"/>
  <c r="K1097" i="27" s="1"/>
  <c r="AB1096" i="14"/>
  <c r="Z593" i="14" l="1"/>
  <c r="AC593" i="14" s="1"/>
  <c r="G1098" i="27"/>
  <c r="I1098" i="27" s="1"/>
  <c r="K1098" i="27" s="1"/>
  <c r="AB1097" i="14"/>
  <c r="U594" i="14" l="1"/>
  <c r="AD593" i="14"/>
  <c r="G1099" i="27"/>
  <c r="I1099" i="27" s="1"/>
  <c r="K1099" i="27" s="1"/>
  <c r="AB1098" i="14"/>
  <c r="Y594" i="14" l="1"/>
  <c r="G1100" i="27"/>
  <c r="I1100" i="27" s="1"/>
  <c r="AB1099" i="14"/>
  <c r="Z594" i="14" l="1"/>
  <c r="AC594" i="14" s="1"/>
  <c r="K1100" i="27"/>
  <c r="U595" i="14" l="1"/>
  <c r="AD594" i="14"/>
  <c r="G1101" i="27"/>
  <c r="I1101" i="27" s="1"/>
  <c r="AB1100" i="14"/>
  <c r="Y595" i="14" l="1"/>
  <c r="K1101" i="27"/>
  <c r="Z595" i="14" l="1"/>
  <c r="AC595" i="14" s="1"/>
  <c r="G1102" i="27"/>
  <c r="I1102" i="27" s="1"/>
  <c r="K1102" i="27" s="1"/>
  <c r="AB1101" i="14"/>
  <c r="U596" i="14" l="1"/>
  <c r="AD595" i="14"/>
  <c r="G1103" i="27"/>
  <c r="I1103" i="27" s="1"/>
  <c r="AB1102" i="14"/>
  <c r="Y596" i="14" l="1"/>
  <c r="K1103" i="27"/>
  <c r="Z596" i="14" l="1"/>
  <c r="AC596" i="14" s="1"/>
  <c r="G1104" i="27"/>
  <c r="I1104" i="27" s="1"/>
  <c r="AB1103" i="14"/>
  <c r="AD596" i="14" l="1"/>
  <c r="U597" i="14"/>
  <c r="K1104" i="27"/>
  <c r="Y597" i="14" l="1"/>
  <c r="G1105" i="27"/>
  <c r="I1105" i="27" s="1"/>
  <c r="K1105" i="27" s="1"/>
  <c r="AB1104" i="14"/>
  <c r="Z597" i="14" l="1"/>
  <c r="AC597" i="14" s="1"/>
  <c r="G1106" i="27"/>
  <c r="I1106" i="27" s="1"/>
  <c r="K1106" i="27" s="1"/>
  <c r="AB1105" i="14"/>
  <c r="AD597" i="14" l="1"/>
  <c r="U598" i="14"/>
  <c r="G1107" i="27"/>
  <c r="I1107" i="27" s="1"/>
  <c r="AB1106" i="14"/>
  <c r="Y598" i="14" l="1"/>
  <c r="K1107" i="27"/>
  <c r="Z598" i="14" l="1"/>
  <c r="AC598" i="14" s="1"/>
  <c r="G1108" i="27"/>
  <c r="I1108" i="27" s="1"/>
  <c r="K1108" i="27" s="1"/>
  <c r="AB1107" i="14"/>
  <c r="U599" i="14" l="1"/>
  <c r="AD598" i="14"/>
  <c r="G1109" i="27"/>
  <c r="I1109" i="27" s="1"/>
  <c r="AB1108" i="14"/>
  <c r="Y599" i="14" l="1"/>
  <c r="K1109" i="27"/>
  <c r="Z599" i="14" l="1"/>
  <c r="AC599" i="14" s="1"/>
  <c r="G1110" i="27"/>
  <c r="I1110" i="27" s="1"/>
  <c r="AB1109" i="14"/>
  <c r="U600" i="14" l="1"/>
  <c r="AD599" i="14"/>
  <c r="K1110" i="27"/>
  <c r="Y600" i="14" l="1"/>
  <c r="G1111" i="27"/>
  <c r="I1111" i="27" s="1"/>
  <c r="AB1110" i="14"/>
  <c r="Z600" i="14" l="1"/>
  <c r="AC600" i="14" s="1"/>
  <c r="K1111" i="27"/>
  <c r="U601" i="14" l="1"/>
  <c r="AD600" i="14"/>
  <c r="G1112" i="27"/>
  <c r="I1112" i="27" s="1"/>
  <c r="K1112" i="27" s="1"/>
  <c r="AB1111" i="14"/>
  <c r="Y601" i="14" l="1"/>
  <c r="G1113" i="27"/>
  <c r="I1113" i="27" s="1"/>
  <c r="AB1112" i="14"/>
  <c r="Z601" i="14" l="1"/>
  <c r="AC601" i="14" s="1"/>
  <c r="K1113" i="27"/>
  <c r="U602" i="14" l="1"/>
  <c r="AD601" i="14"/>
  <c r="G1114" i="27"/>
  <c r="I1114" i="27" s="1"/>
  <c r="AB1113" i="14"/>
  <c r="Y602" i="14" l="1"/>
  <c r="K1114" i="27"/>
  <c r="Z602" i="14" l="1"/>
  <c r="AC602" i="14" s="1"/>
  <c r="G1115" i="27"/>
  <c r="I1115" i="27" s="1"/>
  <c r="K1115" i="27" s="1"/>
  <c r="AB1114" i="14"/>
  <c r="U603" i="14" l="1"/>
  <c r="AD602" i="14"/>
  <c r="G1116" i="27"/>
  <c r="I1116" i="27" s="1"/>
  <c r="AB1115" i="14"/>
  <c r="Y603" i="14" l="1"/>
  <c r="K1116" i="27"/>
  <c r="Z603" i="14" l="1"/>
  <c r="AC603" i="14" s="1"/>
  <c r="G1117" i="27"/>
  <c r="I1117" i="27" s="1"/>
  <c r="K1117" i="27" s="1"/>
  <c r="AB1116" i="14"/>
  <c r="U604" i="14" l="1"/>
  <c r="AD603" i="14"/>
  <c r="G1118" i="27"/>
  <c r="I1118" i="27" s="1"/>
  <c r="K1118" i="27" s="1"/>
  <c r="AB1117" i="14"/>
  <c r="Y604" i="14" l="1"/>
  <c r="G1119" i="27"/>
  <c r="I1119" i="27" s="1"/>
  <c r="AB1118" i="14"/>
  <c r="Z604" i="14" l="1"/>
  <c r="AC604" i="14" s="1"/>
  <c r="K1119" i="27"/>
  <c r="U605" i="14" l="1"/>
  <c r="AD604" i="14"/>
  <c r="G1120" i="27"/>
  <c r="I1120" i="27" s="1"/>
  <c r="K1120" i="27" s="1"/>
  <c r="AB1119" i="14"/>
  <c r="Y605" i="14" l="1"/>
  <c r="G1121" i="27"/>
  <c r="I1121" i="27" s="1"/>
  <c r="AB1120" i="14"/>
  <c r="Z605" i="14" l="1"/>
  <c r="AC605" i="14" s="1"/>
  <c r="K1121" i="27"/>
  <c r="U606" i="14" l="1"/>
  <c r="AD605" i="14"/>
  <c r="G1122" i="27"/>
  <c r="I1122" i="27" s="1"/>
  <c r="K1122" i="27" s="1"/>
  <c r="AB1121" i="14"/>
  <c r="Y606" i="14" l="1"/>
  <c r="G1123" i="27"/>
  <c r="I1123" i="27" s="1"/>
  <c r="K1123" i="27" s="1"/>
  <c r="AB1122" i="14"/>
  <c r="Z606" i="14" l="1"/>
  <c r="AC606" i="14" s="1"/>
  <c r="G1124" i="27"/>
  <c r="I1124" i="27" s="1"/>
  <c r="AB1123" i="14"/>
  <c r="U607" i="14" l="1"/>
  <c r="AD606" i="14"/>
  <c r="K1124" i="27"/>
  <c r="Y607" i="14" l="1"/>
  <c r="G1125" i="27"/>
  <c r="I1125" i="27" s="1"/>
  <c r="AB1124" i="14"/>
  <c r="Z607" i="14" l="1"/>
  <c r="AC607" i="14" s="1"/>
  <c r="K1125" i="27"/>
  <c r="U608" i="14" l="1"/>
  <c r="AD607" i="14"/>
  <c r="G1126" i="27"/>
  <c r="I1126" i="27" s="1"/>
  <c r="K1126" i="27" s="1"/>
  <c r="AB1125" i="14"/>
  <c r="Y608" i="14" l="1"/>
  <c r="G1127" i="27"/>
  <c r="I1127" i="27" s="1"/>
  <c r="AB1126" i="14"/>
  <c r="Z608" i="14" l="1"/>
  <c r="AC608" i="14" s="1"/>
  <c r="K1127" i="27"/>
  <c r="AD608" i="14" l="1"/>
  <c r="U609" i="14"/>
  <c r="G1128" i="27"/>
  <c r="I1128" i="27" s="1"/>
  <c r="K1128" i="27" s="1"/>
  <c r="AB1127" i="14"/>
  <c r="Y609" i="14" l="1"/>
  <c r="G1129" i="27"/>
  <c r="I1129" i="27" s="1"/>
  <c r="AB1128" i="14"/>
  <c r="Z609" i="14" l="1"/>
  <c r="AC609" i="14" s="1"/>
  <c r="K1129" i="27"/>
  <c r="U610" i="14" l="1"/>
  <c r="AD609" i="14"/>
  <c r="G1130" i="27"/>
  <c r="I1130" i="27" s="1"/>
  <c r="K1130" i="27" s="1"/>
  <c r="AB1129" i="14"/>
  <c r="Y610" i="14" l="1"/>
  <c r="G1131" i="27"/>
  <c r="I1131" i="27" s="1"/>
  <c r="AB1130" i="14"/>
  <c r="Z610" i="14" l="1"/>
  <c r="AC610" i="14" s="1"/>
  <c r="K1131" i="27"/>
  <c r="U611" i="14" l="1"/>
  <c r="AD610" i="14"/>
  <c r="G1132" i="27"/>
  <c r="I1132" i="27" s="1"/>
  <c r="AB1131" i="14"/>
  <c r="Y611" i="14" l="1"/>
  <c r="K1132" i="27"/>
  <c r="Z611" i="14" l="1"/>
  <c r="AC611" i="14" s="1"/>
  <c r="G1133" i="27"/>
  <c r="I1133" i="27" s="1"/>
  <c r="K1133" i="27" s="1"/>
  <c r="AB1132" i="14"/>
  <c r="U612" i="14" l="1"/>
  <c r="AD611" i="14"/>
  <c r="G1134" i="27"/>
  <c r="I1134" i="27" s="1"/>
  <c r="K1134" i="27" s="1"/>
  <c r="AB1133" i="14"/>
  <c r="Y612" i="14" l="1"/>
  <c r="G1135" i="27"/>
  <c r="I1135" i="27" s="1"/>
  <c r="AB1134" i="14"/>
  <c r="Z612" i="14" l="1"/>
  <c r="AC612" i="14" s="1"/>
  <c r="K1135" i="27"/>
  <c r="U613" i="14" l="1"/>
  <c r="AD612" i="14"/>
  <c r="G1136" i="27"/>
  <c r="I1136" i="27" s="1"/>
  <c r="K1136" i="27" s="1"/>
  <c r="AB1135" i="14"/>
  <c r="Y613" i="14" l="1"/>
  <c r="G1137" i="27"/>
  <c r="I1137" i="27" s="1"/>
  <c r="AB1136" i="14"/>
  <c r="Z613" i="14" l="1"/>
  <c r="AC613" i="14" s="1"/>
  <c r="K1137" i="27"/>
  <c r="U614" i="14" l="1"/>
  <c r="AD613" i="14"/>
  <c r="G1138" i="27"/>
  <c r="I1138" i="27" s="1"/>
  <c r="AB1137" i="14"/>
  <c r="Y614" i="14" l="1"/>
  <c r="K1138" i="27"/>
  <c r="Z614" i="14" l="1"/>
  <c r="AC614" i="14" s="1"/>
  <c r="G1139" i="27"/>
  <c r="I1139" i="27" s="1"/>
  <c r="AB1138" i="14"/>
  <c r="U615" i="14" l="1"/>
  <c r="AD614" i="14"/>
  <c r="K1139" i="27"/>
  <c r="AB1139" i="14" s="1"/>
  <c r="Y615" i="14" l="1"/>
  <c r="G1140" i="27"/>
  <c r="I1140" i="27" s="1"/>
  <c r="Z615" i="14" l="1"/>
  <c r="AC615" i="14" s="1"/>
  <c r="K1140" i="27"/>
  <c r="AB1140" i="14" s="1"/>
  <c r="U616" i="14" l="1"/>
  <c r="AD615" i="14"/>
  <c r="G1141" i="27"/>
  <c r="I1141" i="27" s="1"/>
  <c r="K1141" i="27" s="1"/>
  <c r="G1142" i="27" s="1"/>
  <c r="I1142" i="27" s="1"/>
  <c r="K1142" i="27" s="1"/>
  <c r="Y616" i="14" l="1"/>
  <c r="AB1141" i="14"/>
  <c r="G1143" i="27"/>
  <c r="I1143" i="27" s="1"/>
  <c r="AB1142" i="14"/>
  <c r="Z616" i="14" l="1"/>
  <c r="AC616" i="14" s="1"/>
  <c r="K1143" i="27"/>
  <c r="U617" i="14" l="1"/>
  <c r="AD616" i="14"/>
  <c r="G1144" i="27"/>
  <c r="I1144" i="27" s="1"/>
  <c r="AB1143" i="14"/>
  <c r="Y617" i="14" l="1"/>
  <c r="K1144" i="27"/>
  <c r="Z617" i="14" l="1"/>
  <c r="AC617" i="14" s="1"/>
  <c r="G1145" i="27"/>
  <c r="I1145" i="27" s="1"/>
  <c r="AB1144" i="14"/>
  <c r="U618" i="14" l="1"/>
  <c r="AD617" i="14"/>
  <c r="K1145" i="27"/>
  <c r="G1146" i="27" s="1"/>
  <c r="I1146" i="27" s="1"/>
  <c r="K1146" i="27" s="1"/>
  <c r="Y618" i="14" l="1"/>
  <c r="AB1145" i="14"/>
  <c r="G1147" i="27"/>
  <c r="I1147" i="27" s="1"/>
  <c r="AB1146" i="14"/>
  <c r="Z618" i="14" l="1"/>
  <c r="AC618" i="14" s="1"/>
  <c r="K1147" i="27"/>
  <c r="U619" i="14" l="1"/>
  <c r="AD618" i="14"/>
  <c r="G1148" i="27"/>
  <c r="I1148" i="27" s="1"/>
  <c r="AB1147" i="14"/>
  <c r="Y619" i="14" l="1"/>
  <c r="K1148" i="27"/>
  <c r="Z619" i="14" l="1"/>
  <c r="AC619" i="14" s="1"/>
  <c r="G1149" i="27"/>
  <c r="I1149" i="27" s="1"/>
  <c r="AB1148" i="14"/>
  <c r="U620" i="14" l="1"/>
  <c r="AD619" i="14"/>
  <c r="K1149" i="27"/>
  <c r="Y620" i="14" l="1"/>
  <c r="G1150" i="27"/>
  <c r="I1150" i="27" s="1"/>
  <c r="K1150" i="27" s="1"/>
  <c r="AB1149" i="14"/>
  <c r="Z620" i="14" l="1"/>
  <c r="AC620" i="14" s="1"/>
  <c r="G1151" i="27"/>
  <c r="I1151" i="27" s="1"/>
  <c r="AB1150" i="14"/>
  <c r="U621" i="14" l="1"/>
  <c r="AD620" i="14"/>
  <c r="K1151" i="27"/>
  <c r="Y621" i="14" l="1"/>
  <c r="G1152" i="27"/>
  <c r="I1152" i="27" s="1"/>
  <c r="AB1151" i="14"/>
  <c r="Z621" i="14" l="1"/>
  <c r="AC621" i="14" s="1"/>
  <c r="K1152" i="27"/>
  <c r="U622" i="14" l="1"/>
  <c r="AD621" i="14"/>
  <c r="G1153" i="27"/>
  <c r="I1153" i="27" s="1"/>
  <c r="K1153" i="27" s="1"/>
  <c r="AB1152" i="14"/>
  <c r="Y622" i="14" l="1"/>
  <c r="G1154" i="27"/>
  <c r="I1154" i="27" s="1"/>
  <c r="K1154" i="27" s="1"/>
  <c r="AB1153" i="14"/>
  <c r="Z622" i="14" l="1"/>
  <c r="AC622" i="14" s="1"/>
  <c r="G1155" i="27"/>
  <c r="I1155" i="27" s="1"/>
  <c r="K1155" i="27" s="1"/>
  <c r="AB1154" i="14"/>
  <c r="U623" i="14" l="1"/>
  <c r="AD622" i="14"/>
  <c r="G1156" i="27"/>
  <c r="I1156" i="27" s="1"/>
  <c r="AB1155" i="14"/>
  <c r="Y623" i="14" l="1"/>
  <c r="K1156" i="27"/>
  <c r="Z623" i="14" l="1"/>
  <c r="AC623" i="14" s="1"/>
  <c r="G1157" i="27"/>
  <c r="I1157" i="27" s="1"/>
  <c r="K1157" i="27" s="1"/>
  <c r="AB1156" i="14"/>
  <c r="U624" i="14" l="1"/>
  <c r="AD623" i="14"/>
  <c r="G1158" i="27"/>
  <c r="I1158" i="27" s="1"/>
  <c r="K1158" i="27" s="1"/>
  <c r="AB1157" i="14"/>
  <c r="Y624" i="14" l="1"/>
  <c r="G1159" i="27"/>
  <c r="I1159" i="27" s="1"/>
  <c r="AB1158" i="14"/>
  <c r="Z624" i="14" l="1"/>
  <c r="AC624" i="14" s="1"/>
  <c r="K1159" i="27"/>
  <c r="U625" i="14" l="1"/>
  <c r="AD624" i="14"/>
  <c r="G1160" i="27"/>
  <c r="I1160" i="27" s="1"/>
  <c r="AB1159" i="14"/>
  <c r="Y625" i="14" l="1"/>
  <c r="K1160" i="27"/>
  <c r="Z625" i="14" l="1"/>
  <c r="AC625" i="14" s="1"/>
  <c r="G1161" i="27"/>
  <c r="I1161" i="27" s="1"/>
  <c r="AB1160" i="14"/>
  <c r="U626" i="14" l="1"/>
  <c r="AD625" i="14"/>
  <c r="K1161" i="27"/>
  <c r="Y626" i="14" l="1"/>
  <c r="G1162" i="27"/>
  <c r="I1162" i="27" s="1"/>
  <c r="AB1161" i="14"/>
  <c r="Z626" i="14" l="1"/>
  <c r="AC626" i="14" s="1"/>
  <c r="K1162" i="27"/>
  <c r="U627" i="14" l="1"/>
  <c r="AD626" i="14"/>
  <c r="G1163" i="27"/>
  <c r="I1163" i="27" s="1"/>
  <c r="AB1162" i="14"/>
  <c r="Y627" i="14" l="1"/>
  <c r="K1163" i="27"/>
  <c r="Z627" i="14" l="1"/>
  <c r="AC627" i="14" s="1"/>
  <c r="G1164" i="27"/>
  <c r="I1164" i="27" s="1"/>
  <c r="AB1163" i="14"/>
  <c r="U628" i="14" l="1"/>
  <c r="AD627" i="14"/>
  <c r="K1164" i="27"/>
  <c r="Y628" i="14" l="1"/>
  <c r="G1165" i="27"/>
  <c r="I1165" i="27" s="1"/>
  <c r="AB1164" i="14"/>
  <c r="Z628" i="14" l="1"/>
  <c r="AC628" i="14" s="1"/>
  <c r="K1165" i="27"/>
  <c r="U629" i="14" l="1"/>
  <c r="AD628" i="14"/>
  <c r="G1166" i="27"/>
  <c r="I1166" i="27" s="1"/>
  <c r="K1166" i="27" s="1"/>
  <c r="AB1165" i="14"/>
  <c r="Y629" i="14" l="1"/>
  <c r="G1167" i="27"/>
  <c r="I1167" i="27" s="1"/>
  <c r="K1167" i="27" s="1"/>
  <c r="AB1166" i="14"/>
  <c r="Z629" i="14" l="1"/>
  <c r="AC629" i="14" s="1"/>
  <c r="G1168" i="27"/>
  <c r="I1168" i="27" s="1"/>
  <c r="K1168" i="27" s="1"/>
  <c r="AB1167" i="14"/>
  <c r="U630" i="14" l="1"/>
  <c r="AD629" i="14"/>
  <c r="G1169" i="27"/>
  <c r="I1169" i="27" s="1"/>
  <c r="AB1168" i="14"/>
  <c r="Y630" i="14" l="1"/>
  <c r="K1169" i="27"/>
  <c r="Z630" i="14" l="1"/>
  <c r="AC630" i="14" s="1"/>
  <c r="G1170" i="27"/>
  <c r="I1170" i="27" s="1"/>
  <c r="K1170" i="27" s="1"/>
  <c r="AB1169" i="14"/>
  <c r="U631" i="14" l="1"/>
  <c r="AD630" i="14"/>
  <c r="G1171" i="27"/>
  <c r="I1171" i="27" s="1"/>
  <c r="K1171" i="27" s="1"/>
  <c r="AB1170" i="14"/>
  <c r="Y631" i="14" l="1"/>
  <c r="G1172" i="27"/>
  <c r="I1172" i="27" s="1"/>
  <c r="AB1171" i="14"/>
  <c r="Z631" i="14" l="1"/>
  <c r="AC631" i="14" s="1"/>
  <c r="K1172" i="27"/>
  <c r="U632" i="14" l="1"/>
  <c r="AD631" i="14"/>
  <c r="G1173" i="27"/>
  <c r="I1173" i="27" s="1"/>
  <c r="AB1172" i="14"/>
  <c r="Y632" i="14" l="1"/>
  <c r="K1173" i="27"/>
  <c r="Z632" i="14" l="1"/>
  <c r="AC632" i="14" s="1"/>
  <c r="G1174" i="27"/>
  <c r="I1174" i="27" s="1"/>
  <c r="K1174" i="27" s="1"/>
  <c r="AB1173" i="14"/>
  <c r="U633" i="14" l="1"/>
  <c r="AD632" i="14"/>
  <c r="G1175" i="27"/>
  <c r="I1175" i="27" s="1"/>
  <c r="K1175" i="27" s="1"/>
  <c r="AB1174" i="14"/>
  <c r="Y633" i="14" l="1"/>
  <c r="G1176" i="27"/>
  <c r="I1176" i="27" s="1"/>
  <c r="K1176" i="27" s="1"/>
  <c r="AB1175" i="14"/>
  <c r="Z633" i="14" l="1"/>
  <c r="AC633" i="14" s="1"/>
  <c r="G1177" i="27"/>
  <c r="I1177" i="27" s="1"/>
  <c r="AB1176" i="14"/>
  <c r="U634" i="14" l="1"/>
  <c r="AD633" i="14"/>
  <c r="K1177" i="27"/>
  <c r="Y634" i="14" l="1"/>
  <c r="G1178" i="27"/>
  <c r="I1178" i="27" s="1"/>
  <c r="K1178" i="27" s="1"/>
  <c r="AB1177" i="14"/>
  <c r="Z634" i="14" l="1"/>
  <c r="AC634" i="14" s="1"/>
  <c r="G1179" i="27"/>
  <c r="I1179" i="27" s="1"/>
  <c r="K1179" i="27" s="1"/>
  <c r="AB1178" i="14"/>
  <c r="U635" i="14" l="1"/>
  <c r="AD634" i="14"/>
  <c r="G1180" i="27"/>
  <c r="I1180" i="27" s="1"/>
  <c r="AB1179" i="14"/>
  <c r="Y635" i="14" l="1"/>
  <c r="K1180" i="27"/>
  <c r="Z635" i="14" l="1"/>
  <c r="AC635" i="14" s="1"/>
  <c r="G1181" i="27"/>
  <c r="I1181" i="27" s="1"/>
  <c r="AB1180" i="14"/>
  <c r="U636" i="14" l="1"/>
  <c r="AD635" i="14"/>
  <c r="K1181" i="27"/>
  <c r="Y636" i="14" l="1"/>
  <c r="G1182" i="27"/>
  <c r="I1182" i="27" s="1"/>
  <c r="K1182" i="27" s="1"/>
  <c r="AB1181" i="14"/>
  <c r="Z636" i="14" l="1"/>
  <c r="AC636" i="14" s="1"/>
  <c r="G1183" i="27"/>
  <c r="I1183" i="27" s="1"/>
  <c r="K1183" i="27" s="1"/>
  <c r="AB1182" i="14"/>
  <c r="U637" i="14" l="1"/>
  <c r="AD636" i="14"/>
  <c r="G1184" i="27"/>
  <c r="I1184" i="27" s="1"/>
  <c r="K1184" i="27" s="1"/>
  <c r="AB1183" i="14"/>
  <c r="Y637" i="14" l="1"/>
  <c r="G1185" i="27"/>
  <c r="I1185" i="27" s="1"/>
  <c r="AB1184" i="14"/>
  <c r="Z637" i="14" l="1"/>
  <c r="AC637" i="14" s="1"/>
  <c r="K1185" i="27"/>
  <c r="U638" i="14" l="1"/>
  <c r="AD637" i="14"/>
  <c r="G1186" i="27"/>
  <c r="I1186" i="27" s="1"/>
  <c r="K1186" i="27" s="1"/>
  <c r="AB1185" i="14"/>
  <c r="Y638" i="14" l="1"/>
  <c r="G1187" i="27"/>
  <c r="I1187" i="27" s="1"/>
  <c r="K1187" i="27" s="1"/>
  <c r="AB1186" i="14"/>
  <c r="Z638" i="14" l="1"/>
  <c r="AC638" i="14" s="1"/>
  <c r="G1188" i="27"/>
  <c r="I1188" i="27" s="1"/>
  <c r="AB1187" i="14"/>
  <c r="U639" i="14" l="1"/>
  <c r="AD638" i="14"/>
  <c r="K1188" i="27"/>
  <c r="Y639" i="14" l="1"/>
  <c r="G1189" i="27"/>
  <c r="I1189" i="27" s="1"/>
  <c r="AB1188" i="14"/>
  <c r="Z639" i="14" l="1"/>
  <c r="AC639" i="14" s="1"/>
  <c r="K1189" i="27"/>
  <c r="U640" i="14" l="1"/>
  <c r="AD639" i="14"/>
  <c r="G1190" i="27"/>
  <c r="I1190" i="27" s="1"/>
  <c r="K1190" i="27" s="1"/>
  <c r="AB1189" i="14"/>
  <c r="Y640" i="14" l="1"/>
  <c r="G1191" i="27"/>
  <c r="I1191" i="27" s="1"/>
  <c r="AB1190" i="14"/>
  <c r="Z640" i="14" l="1"/>
  <c r="AC640" i="14" s="1"/>
  <c r="K1191" i="27"/>
  <c r="U641" i="14" l="1"/>
  <c r="AD640" i="14"/>
  <c r="G1192" i="27"/>
  <c r="I1192" i="27" s="1"/>
  <c r="K1192" i="27" s="1"/>
  <c r="AB1191" i="14"/>
  <c r="Y641" i="14" l="1"/>
  <c r="G1193" i="27"/>
  <c r="I1193" i="27" s="1"/>
  <c r="K1193" i="27" s="1"/>
  <c r="AB1192" i="14"/>
  <c r="Z641" i="14" l="1"/>
  <c r="AC641" i="14" s="1"/>
  <c r="G1194" i="27"/>
  <c r="I1194" i="27" s="1"/>
  <c r="AB1193" i="14"/>
  <c r="U642" i="14" l="1"/>
  <c r="AD641" i="14"/>
  <c r="K1194" i="27"/>
  <c r="Y642" i="14" l="1"/>
  <c r="G1195" i="27"/>
  <c r="I1195" i="27" s="1"/>
  <c r="AB1194" i="14"/>
  <c r="Z642" i="14" l="1"/>
  <c r="AC642" i="14" s="1"/>
  <c r="K1195" i="27"/>
  <c r="U643" i="14" l="1"/>
  <c r="AD642" i="14"/>
  <c r="G1196" i="27"/>
  <c r="I1196" i="27" s="1"/>
  <c r="AB1195" i="14"/>
  <c r="Y643" i="14" l="1"/>
  <c r="K1196" i="27"/>
  <c r="Z643" i="14" l="1"/>
  <c r="AC643" i="14" s="1"/>
  <c r="G1197" i="27"/>
  <c r="I1197" i="27" s="1"/>
  <c r="AB1196" i="14"/>
  <c r="U644" i="14" l="1"/>
  <c r="AD643" i="14"/>
  <c r="K1197" i="27"/>
  <c r="Y644" i="14" l="1"/>
  <c r="G1198" i="27"/>
  <c r="I1198" i="27" s="1"/>
  <c r="AB1197" i="14"/>
  <c r="Z644" i="14" l="1"/>
  <c r="AC644" i="14" s="1"/>
  <c r="K1198" i="27"/>
  <c r="U645" i="14" l="1"/>
  <c r="AD644" i="14"/>
  <c r="G1199" i="27"/>
  <c r="I1199" i="27" s="1"/>
  <c r="AB1198" i="14"/>
  <c r="Y645" i="14" l="1"/>
  <c r="K1199" i="27"/>
  <c r="Z645" i="14" l="1"/>
  <c r="AC645" i="14" s="1"/>
  <c r="G1200" i="27"/>
  <c r="I1200" i="27" s="1"/>
  <c r="K1200" i="27" s="1"/>
  <c r="AB1199" i="14"/>
  <c r="U646" i="14" l="1"/>
  <c r="AD645" i="14"/>
  <c r="G1201" i="27"/>
  <c r="I1201" i="27" s="1"/>
  <c r="AB1200" i="14"/>
  <c r="Y646" i="14" l="1"/>
  <c r="Z646" i="14" s="1"/>
  <c r="AC646" i="14" s="1"/>
  <c r="K1201" i="27"/>
  <c r="AB1201" i="14" s="1"/>
  <c r="U647" i="14" l="1"/>
  <c r="AD646" i="14"/>
  <c r="Y647" i="14" l="1"/>
  <c r="Z647" i="14" l="1"/>
  <c r="AC647" i="14" s="1"/>
  <c r="U648" i="14" l="1"/>
  <c r="AD647" i="14"/>
  <c r="Y648" i="14" l="1"/>
  <c r="Z648" i="14" l="1"/>
  <c r="AC648" i="14" s="1"/>
  <c r="U649" i="14" l="1"/>
  <c r="AD648" i="14"/>
  <c r="Y649" i="14" l="1"/>
  <c r="Z649" i="14" l="1"/>
  <c r="AC649" i="14" s="1"/>
  <c r="U650" i="14" l="1"/>
  <c r="AD649" i="14"/>
  <c r="Y650" i="14" l="1"/>
  <c r="Z650" i="14" l="1"/>
  <c r="AC650" i="14" s="1"/>
  <c r="U651" i="14" l="1"/>
  <c r="AD650" i="14"/>
  <c r="Y651" i="14" l="1"/>
  <c r="Z651" i="14" l="1"/>
  <c r="AC651" i="14" s="1"/>
  <c r="U652" i="14" l="1"/>
  <c r="AD651" i="14"/>
  <c r="Y652" i="14" l="1"/>
  <c r="Z652" i="14" l="1"/>
  <c r="AC652" i="14" s="1"/>
  <c r="U653" i="14" l="1"/>
  <c r="AD652" i="14"/>
  <c r="Y653" i="14" l="1"/>
  <c r="Z653" i="14" l="1"/>
  <c r="AC653" i="14" s="1"/>
  <c r="U654" i="14" l="1"/>
  <c r="AD653" i="14"/>
  <c r="Y654" i="14" l="1"/>
  <c r="Z654" i="14" l="1"/>
  <c r="AC654" i="14" s="1"/>
  <c r="U655" i="14" l="1"/>
  <c r="AD654" i="14"/>
  <c r="Y655" i="14" l="1"/>
  <c r="Z655" i="14" l="1"/>
  <c r="AC655" i="14" s="1"/>
  <c r="U656" i="14" l="1"/>
  <c r="AD655" i="14"/>
  <c r="Y656" i="14" l="1"/>
  <c r="Z656" i="14" l="1"/>
  <c r="AC656" i="14" s="1"/>
  <c r="U657" i="14" l="1"/>
  <c r="AD656" i="14"/>
  <c r="Y657" i="14" l="1"/>
  <c r="Z657" i="14" s="1"/>
  <c r="AC657" i="14" s="1"/>
  <c r="U658" i="14" l="1"/>
  <c r="AD657" i="14"/>
  <c r="Y658" i="14" l="1"/>
  <c r="Z658" i="14" l="1"/>
  <c r="AC658" i="14" s="1"/>
  <c r="U659" i="14" l="1"/>
  <c r="AD658" i="14"/>
  <c r="Y659" i="14" l="1"/>
  <c r="Z659" i="14" l="1"/>
  <c r="AC659" i="14" s="1"/>
  <c r="U660" i="14" l="1"/>
  <c r="AD659" i="14"/>
  <c r="Y660" i="14" l="1"/>
  <c r="Z660" i="14" l="1"/>
  <c r="AC660" i="14" s="1"/>
  <c r="U661" i="14" l="1"/>
  <c r="AD660" i="14"/>
  <c r="Y661" i="14" l="1"/>
  <c r="Z661" i="14" l="1"/>
  <c r="AC661" i="14" s="1"/>
  <c r="U662" i="14" l="1"/>
  <c r="AD661" i="14"/>
  <c r="Y662" i="14" l="1"/>
  <c r="Z662" i="14" l="1"/>
  <c r="AC662" i="14" s="1"/>
  <c r="U663" i="14" l="1"/>
  <c r="AD662" i="14"/>
  <c r="Y663" i="14" l="1"/>
  <c r="Z663" i="14" l="1"/>
  <c r="AC663" i="14" s="1"/>
  <c r="U664" i="14" l="1"/>
  <c r="AD663" i="14"/>
  <c r="Y664" i="14" l="1"/>
  <c r="Z664" i="14" l="1"/>
  <c r="AC664" i="14" s="1"/>
  <c r="U665" i="14" l="1"/>
  <c r="AD664" i="14"/>
  <c r="Y665" i="14" l="1"/>
  <c r="Z665" i="14" l="1"/>
  <c r="AC665" i="14" s="1"/>
  <c r="U666" i="14" l="1"/>
  <c r="AD665" i="14"/>
  <c r="Y666" i="14" l="1"/>
  <c r="Z666" i="14" l="1"/>
  <c r="AC666" i="14" s="1"/>
  <c r="U667" i="14" l="1"/>
  <c r="AD666" i="14"/>
  <c r="Y667" i="14" l="1"/>
  <c r="Z667" i="14" l="1"/>
  <c r="AC667" i="14" s="1"/>
  <c r="U668" i="14" l="1"/>
  <c r="AD667" i="14"/>
  <c r="Y668" i="14" l="1"/>
  <c r="Z668" i="14" l="1"/>
  <c r="AC668" i="14" s="1"/>
  <c r="U669" i="14" l="1"/>
  <c r="AD668" i="14"/>
  <c r="Y669" i="14" l="1"/>
  <c r="Z669" i="14" s="1"/>
  <c r="AC669" i="14" s="1"/>
  <c r="U670" i="14" l="1"/>
  <c r="AD669" i="14"/>
  <c r="Y670" i="14" l="1"/>
  <c r="Z670" i="14" l="1"/>
  <c r="AC670" i="14" s="1"/>
  <c r="U671" i="14" l="1"/>
  <c r="AD670" i="14"/>
  <c r="Y671" i="14" l="1"/>
  <c r="Z671" i="14" l="1"/>
  <c r="AC671" i="14" s="1"/>
  <c r="U672" i="14" l="1"/>
  <c r="AD671" i="14"/>
  <c r="Y672" i="14" l="1"/>
  <c r="Z672" i="14" l="1"/>
  <c r="AC672" i="14" s="1"/>
  <c r="U673" i="14" l="1"/>
  <c r="AD672" i="14"/>
  <c r="Y673" i="14" l="1"/>
  <c r="Z673" i="14" l="1"/>
  <c r="AC673" i="14" s="1"/>
  <c r="U674" i="14" l="1"/>
  <c r="AD673" i="14"/>
  <c r="Y674" i="14" l="1"/>
  <c r="Z674" i="14" l="1"/>
  <c r="AC674" i="14" s="1"/>
  <c r="U675" i="14" l="1"/>
  <c r="AD674" i="14"/>
  <c r="Y675" i="14" l="1"/>
  <c r="Z675" i="14" l="1"/>
  <c r="AC675" i="14" s="1"/>
  <c r="U676" i="14" l="1"/>
  <c r="AD675" i="14"/>
  <c r="Y676" i="14" l="1"/>
  <c r="Z676" i="14" l="1"/>
  <c r="AC676" i="14" s="1"/>
  <c r="U677" i="14" l="1"/>
  <c r="AD676" i="14"/>
  <c r="Y677" i="14" l="1"/>
  <c r="Z677" i="14" l="1"/>
  <c r="AC677" i="14" s="1"/>
  <c r="U678" i="14" l="1"/>
  <c r="AD677" i="14"/>
  <c r="Y678" i="14" l="1"/>
  <c r="Z678" i="14" l="1"/>
  <c r="AC678" i="14" s="1"/>
  <c r="U679" i="14" l="1"/>
  <c r="AD678" i="14"/>
  <c r="Y679" i="14" l="1"/>
  <c r="Z679" i="14" l="1"/>
  <c r="AC679" i="14" s="1"/>
  <c r="U680" i="14" l="1"/>
  <c r="AD679" i="14"/>
  <c r="Y680" i="14" l="1"/>
  <c r="Z680" i="14" l="1"/>
  <c r="AC680" i="14" s="1"/>
  <c r="U681" i="14" l="1"/>
  <c r="AD680" i="14"/>
  <c r="Y681" i="14" l="1"/>
  <c r="Z681" i="14" l="1"/>
  <c r="AC681" i="14" s="1"/>
  <c r="U682" i="14" l="1"/>
  <c r="AD681" i="14"/>
  <c r="Y682" i="14" l="1"/>
  <c r="Z682" i="14" l="1"/>
  <c r="AC682" i="14" s="1"/>
  <c r="U683" i="14" l="1"/>
  <c r="AD682" i="14"/>
  <c r="Y683" i="14" l="1"/>
  <c r="Z683" i="14" l="1"/>
  <c r="AC683" i="14" s="1"/>
  <c r="U684" i="14" l="1"/>
  <c r="AD683" i="14"/>
  <c r="Y684" i="14" l="1"/>
  <c r="Z684" i="14" l="1"/>
  <c r="AC684" i="14" s="1"/>
  <c r="U685" i="14" l="1"/>
  <c r="AD684" i="14"/>
  <c r="Y685" i="14" l="1"/>
  <c r="Z685" i="14" l="1"/>
  <c r="AC685" i="14" s="1"/>
  <c r="U686" i="14" l="1"/>
  <c r="AD685" i="14"/>
  <c r="Y686" i="14" l="1"/>
  <c r="Z686" i="14" l="1"/>
  <c r="AC686" i="14" s="1"/>
  <c r="U687" i="14" l="1"/>
  <c r="AD686" i="14"/>
  <c r="Y687" i="14" l="1"/>
  <c r="Z687" i="14" l="1"/>
  <c r="AC687" i="14" s="1"/>
  <c r="U688" i="14" l="1"/>
  <c r="AD687" i="14"/>
  <c r="Y688" i="14" l="1"/>
  <c r="Z688" i="14" l="1"/>
  <c r="AC688" i="14" s="1"/>
  <c r="U689" i="14" l="1"/>
  <c r="AD688" i="14"/>
  <c r="Y689" i="14" l="1"/>
  <c r="Z689" i="14" l="1"/>
  <c r="AC689" i="14" s="1"/>
  <c r="U690" i="14" l="1"/>
  <c r="AD689" i="14"/>
  <c r="Y690" i="14" l="1"/>
  <c r="Z690" i="14" l="1"/>
  <c r="AC690" i="14" s="1"/>
  <c r="U691" i="14" l="1"/>
  <c r="AD690" i="14"/>
  <c r="Y691" i="14" l="1"/>
  <c r="Z691" i="14" l="1"/>
  <c r="AC691" i="14" s="1"/>
  <c r="U692" i="14" l="1"/>
  <c r="AD691" i="14"/>
  <c r="Y692" i="14" l="1"/>
  <c r="Z692" i="14" l="1"/>
  <c r="AC692" i="14" s="1"/>
  <c r="U693" i="14" l="1"/>
  <c r="AD692" i="14"/>
  <c r="Y693" i="14" l="1"/>
  <c r="Z693" i="14" l="1"/>
  <c r="AC693" i="14" s="1"/>
  <c r="U694" i="14" l="1"/>
  <c r="AD693" i="14"/>
  <c r="Y694" i="14" l="1"/>
  <c r="Z694" i="14" l="1"/>
  <c r="AC694" i="14" s="1"/>
  <c r="U695" i="14" l="1"/>
  <c r="AD694" i="14"/>
  <c r="Y695" i="14" l="1"/>
  <c r="Z695" i="14" l="1"/>
  <c r="AC695" i="14" s="1"/>
  <c r="U696" i="14" l="1"/>
  <c r="AD695" i="14"/>
  <c r="Y696" i="14" l="1"/>
  <c r="Z696" i="14" l="1"/>
  <c r="AC696" i="14" s="1"/>
  <c r="U697" i="14" l="1"/>
  <c r="AD696" i="14"/>
  <c r="Y697" i="14" l="1"/>
  <c r="Z697" i="14" l="1"/>
  <c r="AC697" i="14" s="1"/>
  <c r="U698" i="14" l="1"/>
  <c r="AD697" i="14"/>
  <c r="Y698" i="14" l="1"/>
  <c r="Z698" i="14" l="1"/>
  <c r="AC698" i="14" s="1"/>
  <c r="U699" i="14" l="1"/>
  <c r="AD698" i="14"/>
  <c r="Y699" i="14" l="1"/>
  <c r="Z699" i="14" s="1"/>
  <c r="AC699" i="14" s="1"/>
  <c r="U700" i="14" l="1"/>
  <c r="AD699" i="14"/>
  <c r="Y700" i="14" l="1"/>
  <c r="Z700" i="14" l="1"/>
  <c r="AC700" i="14" s="1"/>
  <c r="U701" i="14" l="1"/>
  <c r="AD700" i="14"/>
  <c r="Y701" i="14" l="1"/>
  <c r="Z701" i="14" l="1"/>
  <c r="AC701" i="14" s="1"/>
  <c r="U702" i="14" l="1"/>
  <c r="AD701" i="14"/>
  <c r="Y702" i="14" l="1"/>
  <c r="Z702" i="14" l="1"/>
  <c r="AC702" i="14" s="1"/>
  <c r="U703" i="14" l="1"/>
  <c r="AD702" i="14"/>
  <c r="Y703" i="14" l="1"/>
  <c r="Z703" i="14" l="1"/>
  <c r="AC703" i="14" s="1"/>
  <c r="U704" i="14" l="1"/>
  <c r="AD703" i="14"/>
  <c r="Y704" i="14" l="1"/>
  <c r="Z704" i="14" l="1"/>
  <c r="AC704" i="14" s="1"/>
  <c r="U705" i="14" l="1"/>
  <c r="AD704" i="14"/>
  <c r="Y705" i="14" l="1"/>
  <c r="Z705" i="14" l="1"/>
  <c r="AC705" i="14" s="1"/>
  <c r="U706" i="14" l="1"/>
  <c r="AD705" i="14"/>
  <c r="Y706" i="14" l="1"/>
  <c r="Z706" i="14" l="1"/>
  <c r="AC706" i="14" s="1"/>
  <c r="U707" i="14" l="1"/>
  <c r="AD706" i="14"/>
  <c r="Y707" i="14" l="1"/>
  <c r="Z707" i="14" l="1"/>
  <c r="AC707" i="14" s="1"/>
  <c r="U708" i="14" l="1"/>
  <c r="AD707" i="14"/>
  <c r="Y708" i="14" l="1"/>
  <c r="Z708" i="14" l="1"/>
  <c r="AC708" i="14" s="1"/>
  <c r="U709" i="14" l="1"/>
  <c r="AD708" i="14"/>
  <c r="Y709" i="14" l="1"/>
  <c r="Z709" i="14" l="1"/>
  <c r="AC709" i="14" s="1"/>
  <c r="U710" i="14" l="1"/>
  <c r="AD709" i="14"/>
  <c r="Y710" i="14" l="1"/>
  <c r="Z710" i="14" l="1"/>
  <c r="AC710" i="14" s="1"/>
  <c r="U711" i="14" l="1"/>
  <c r="AD710" i="14"/>
  <c r="Y711" i="14" l="1"/>
  <c r="Z711" i="14" l="1"/>
  <c r="AC711" i="14" s="1"/>
  <c r="U712" i="14" l="1"/>
  <c r="AD711" i="14"/>
  <c r="Y712" i="14" l="1"/>
  <c r="Z712" i="14" s="1"/>
  <c r="AC712" i="14" s="1"/>
  <c r="U713" i="14" l="1"/>
  <c r="AD712" i="14"/>
  <c r="Y713" i="14" l="1"/>
  <c r="Z713" i="14" l="1"/>
  <c r="AC713" i="14" s="1"/>
  <c r="U714" i="14" l="1"/>
  <c r="AD713" i="14"/>
  <c r="Y714" i="14" l="1"/>
  <c r="Z714" i="14" l="1"/>
  <c r="AC714" i="14" s="1"/>
  <c r="U715" i="14" l="1"/>
  <c r="AD714" i="14"/>
  <c r="Y715" i="14" l="1"/>
  <c r="Z715" i="14" l="1"/>
  <c r="AC715" i="14" s="1"/>
  <c r="U716" i="14" l="1"/>
  <c r="AD715" i="14"/>
  <c r="Y716" i="14" l="1"/>
  <c r="Z716" i="14" l="1"/>
  <c r="AC716" i="14" s="1"/>
  <c r="U717" i="14" l="1"/>
  <c r="AD716" i="14"/>
  <c r="Y717" i="14" l="1"/>
  <c r="Z717" i="14" l="1"/>
  <c r="AC717" i="14" s="1"/>
  <c r="U718" i="14" l="1"/>
  <c r="AD717" i="14"/>
  <c r="Y718" i="14" l="1"/>
  <c r="Z718" i="14" l="1"/>
  <c r="AC718" i="14" s="1"/>
  <c r="U719" i="14" l="1"/>
  <c r="AD718" i="14"/>
  <c r="Y719" i="14" l="1"/>
  <c r="Z719" i="14" l="1"/>
  <c r="AC719" i="14" s="1"/>
  <c r="U720" i="14" l="1"/>
  <c r="AD719" i="14"/>
  <c r="Y720" i="14" l="1"/>
  <c r="Z720" i="14" l="1"/>
  <c r="AC720" i="14" s="1"/>
  <c r="U721" i="14" l="1"/>
  <c r="AD720" i="14"/>
  <c r="Y721" i="14" l="1"/>
  <c r="Z721" i="14" l="1"/>
  <c r="AC721" i="14" s="1"/>
  <c r="U722" i="14" l="1"/>
  <c r="AD721" i="14"/>
  <c r="Y722" i="14" l="1"/>
  <c r="Z722" i="14" l="1"/>
  <c r="AC722" i="14" s="1"/>
  <c r="U723" i="14" l="1"/>
  <c r="AD722" i="14"/>
  <c r="Y723" i="14" l="1"/>
  <c r="Z723" i="14" l="1"/>
  <c r="AC723" i="14" s="1"/>
  <c r="U724" i="14" l="1"/>
  <c r="AD723" i="14"/>
  <c r="Y724" i="14" l="1"/>
  <c r="Z724" i="14" l="1"/>
  <c r="AC724" i="14" s="1"/>
  <c r="U725" i="14" l="1"/>
  <c r="AD724" i="14"/>
  <c r="Y725" i="14" l="1"/>
  <c r="Z725" i="14" l="1"/>
  <c r="AC725" i="14" s="1"/>
  <c r="U726" i="14" l="1"/>
  <c r="AD725" i="14"/>
  <c r="Y726" i="14" l="1"/>
  <c r="Z726" i="14" l="1"/>
  <c r="AC726" i="14" s="1"/>
  <c r="U727" i="14" l="1"/>
  <c r="AD726" i="14"/>
  <c r="Y727" i="14" l="1"/>
  <c r="Z727" i="14" l="1"/>
  <c r="AC727" i="14" s="1"/>
  <c r="U728" i="14" l="1"/>
  <c r="AD727" i="14"/>
  <c r="Y728" i="14" l="1"/>
  <c r="Z728" i="14" l="1"/>
  <c r="AC728" i="14" s="1"/>
  <c r="U729" i="14" l="1"/>
  <c r="AD728" i="14"/>
  <c r="Y729" i="14" l="1"/>
  <c r="Z729" i="14" l="1"/>
  <c r="AC729" i="14" s="1"/>
  <c r="U730" i="14" l="1"/>
  <c r="AD729" i="14"/>
  <c r="Y730" i="14" l="1"/>
  <c r="Z730" i="14" l="1"/>
  <c r="AC730" i="14" s="1"/>
  <c r="U731" i="14" l="1"/>
  <c r="AD730" i="14"/>
  <c r="Y731" i="14" l="1"/>
  <c r="Z731" i="14" l="1"/>
  <c r="AC731" i="14" s="1"/>
  <c r="U732" i="14" l="1"/>
  <c r="AD731" i="14"/>
  <c r="Y732" i="14" l="1"/>
  <c r="Z732" i="14" l="1"/>
  <c r="AC732" i="14" s="1"/>
  <c r="U733" i="14" l="1"/>
  <c r="AD732" i="14"/>
  <c r="Y733" i="14" l="1"/>
  <c r="Z733" i="14" l="1"/>
  <c r="AC733" i="14" s="1"/>
  <c r="U734" i="14" l="1"/>
  <c r="AD733" i="14"/>
  <c r="Y734" i="14" l="1"/>
  <c r="Z734" i="14" l="1"/>
  <c r="AC734" i="14" s="1"/>
  <c r="U735" i="14" l="1"/>
  <c r="AD734" i="14"/>
  <c r="Y735" i="14" l="1"/>
  <c r="Z735" i="14" l="1"/>
  <c r="AC735" i="14" s="1"/>
  <c r="U736" i="14" l="1"/>
  <c r="AD735" i="14"/>
  <c r="Y736" i="14" l="1"/>
  <c r="Z736" i="14" l="1"/>
  <c r="AC736" i="14" s="1"/>
  <c r="U737" i="14" l="1"/>
  <c r="AD736" i="14"/>
  <c r="Y737" i="14" l="1"/>
  <c r="Z737" i="14" l="1"/>
  <c r="AC737" i="14" s="1"/>
  <c r="U738" i="14" l="1"/>
  <c r="AD737" i="14"/>
  <c r="Y738" i="14" l="1"/>
  <c r="Z738" i="14" l="1"/>
  <c r="AC738" i="14" s="1"/>
  <c r="U739" i="14" l="1"/>
  <c r="AD738" i="14"/>
  <c r="Y739" i="14" l="1"/>
  <c r="Z739" i="14" l="1"/>
  <c r="AC739" i="14" s="1"/>
  <c r="U740" i="14" l="1"/>
  <c r="AD739" i="14"/>
  <c r="Y740" i="14" l="1"/>
  <c r="Z740" i="14" l="1"/>
  <c r="AC740" i="14" s="1"/>
  <c r="U741" i="14" l="1"/>
  <c r="AD740" i="14"/>
  <c r="Y741" i="14" l="1"/>
  <c r="Z741" i="14" l="1"/>
  <c r="AC741" i="14" s="1"/>
  <c r="AD741" i="14" l="1"/>
  <c r="U742" i="14"/>
  <c r="Y742" i="14" l="1"/>
  <c r="Z742" i="14" l="1"/>
  <c r="AC742" i="14" s="1"/>
  <c r="U743" i="14" l="1"/>
  <c r="AD742" i="14"/>
  <c r="Y743" i="14" l="1"/>
  <c r="Z743" i="14" l="1"/>
  <c r="AC743" i="14" s="1"/>
  <c r="U744" i="14" l="1"/>
  <c r="AD743" i="14"/>
  <c r="Y744" i="14" l="1"/>
  <c r="Z744" i="14" l="1"/>
  <c r="AC744" i="14" s="1"/>
  <c r="U745" i="14" l="1"/>
  <c r="AD744" i="14"/>
  <c r="Y745" i="14" l="1"/>
  <c r="Z745" i="14" l="1"/>
  <c r="AC745" i="14" s="1"/>
  <c r="U746" i="14" l="1"/>
  <c r="AD745" i="14"/>
  <c r="Y746" i="14" l="1"/>
  <c r="Z746" i="14" l="1"/>
  <c r="AC746" i="14" s="1"/>
  <c r="U747" i="14" l="1"/>
  <c r="AD746" i="14"/>
  <c r="Y747" i="14" l="1"/>
  <c r="Z747" i="14" l="1"/>
  <c r="AC747" i="14" s="1"/>
  <c r="U748" i="14" l="1"/>
  <c r="AD747" i="14"/>
  <c r="Y748" i="14" l="1"/>
  <c r="Z748" i="14" l="1"/>
  <c r="AC748" i="14" s="1"/>
  <c r="U749" i="14" l="1"/>
  <c r="AD748" i="14"/>
  <c r="Y749" i="14" l="1"/>
  <c r="Z749" i="14" l="1"/>
  <c r="AC749" i="14" s="1"/>
  <c r="U750" i="14" l="1"/>
  <c r="AD749" i="14"/>
  <c r="Y750" i="14" l="1"/>
  <c r="Z750" i="14" l="1"/>
  <c r="AC750" i="14" s="1"/>
  <c r="U751" i="14" l="1"/>
  <c r="AD750" i="14"/>
  <c r="Y751" i="14" l="1"/>
  <c r="Z751" i="14" l="1"/>
  <c r="AC751" i="14" s="1"/>
  <c r="U752" i="14" l="1"/>
  <c r="AD751" i="14"/>
  <c r="Y752" i="14" l="1"/>
  <c r="Z752" i="14" l="1"/>
  <c r="AC752" i="14" s="1"/>
  <c r="U753" i="14" l="1"/>
  <c r="AD752" i="14"/>
  <c r="Y753" i="14" l="1"/>
  <c r="Z753" i="14" l="1"/>
  <c r="AC753" i="14" s="1"/>
  <c r="U754" i="14" l="1"/>
  <c r="AD753" i="14"/>
  <c r="Y754" i="14" l="1"/>
  <c r="Z754" i="14" l="1"/>
  <c r="AC754" i="14" s="1"/>
  <c r="U755" i="14" l="1"/>
  <c r="AD754" i="14"/>
  <c r="Y755" i="14" l="1"/>
  <c r="Z755" i="14" s="1"/>
  <c r="AC755" i="14" s="1"/>
  <c r="U756" i="14" l="1"/>
  <c r="AD755" i="14"/>
  <c r="Y756" i="14" l="1"/>
  <c r="Z756" i="14" l="1"/>
  <c r="AC756" i="14" s="1"/>
  <c r="U757" i="14" l="1"/>
  <c r="AD756" i="14"/>
  <c r="Y757" i="14" l="1"/>
  <c r="Z757" i="14" l="1"/>
  <c r="AC757" i="14" s="1"/>
  <c r="U758" i="14" l="1"/>
  <c r="AD757" i="14"/>
  <c r="Y758" i="14" l="1"/>
  <c r="Z758" i="14" l="1"/>
  <c r="AC758" i="14" s="1"/>
  <c r="U759" i="14" l="1"/>
  <c r="AD758" i="14"/>
  <c r="Y759" i="14" l="1"/>
  <c r="Z759" i="14" l="1"/>
  <c r="AC759" i="14" s="1"/>
  <c r="U760" i="14" l="1"/>
  <c r="AD759" i="14"/>
  <c r="Y760" i="14" l="1"/>
  <c r="Z760" i="14" l="1"/>
  <c r="AC760" i="14" s="1"/>
  <c r="U761" i="14" l="1"/>
  <c r="AD760" i="14"/>
  <c r="Y761" i="14" l="1"/>
  <c r="Z761" i="14" l="1"/>
  <c r="AC761" i="14" s="1"/>
  <c r="U762" i="14" l="1"/>
  <c r="AD761" i="14"/>
  <c r="Y762" i="14" l="1"/>
  <c r="Z762" i="14" l="1"/>
  <c r="AC762" i="14" s="1"/>
  <c r="U763" i="14" l="1"/>
  <c r="AD762" i="14"/>
  <c r="Y763" i="14" l="1"/>
  <c r="Z763" i="14" l="1"/>
  <c r="AC763" i="14" s="1"/>
  <c r="U764" i="14" l="1"/>
  <c r="AD763" i="14"/>
  <c r="Y764" i="14" l="1"/>
  <c r="Z764" i="14" l="1"/>
  <c r="AC764" i="14" s="1"/>
  <c r="U765" i="14" l="1"/>
  <c r="AD764" i="14"/>
  <c r="Y765" i="14" l="1"/>
  <c r="Z765" i="14" l="1"/>
  <c r="AC765" i="14" s="1"/>
  <c r="U766" i="14" l="1"/>
  <c r="AD765" i="14"/>
  <c r="Y766" i="14" l="1"/>
  <c r="Z766" i="14" l="1"/>
  <c r="AC766" i="14" s="1"/>
  <c r="U767" i="14" l="1"/>
  <c r="AD766" i="14"/>
  <c r="Y767" i="14" l="1"/>
  <c r="Z767" i="14" l="1"/>
  <c r="AC767" i="14" s="1"/>
  <c r="U768" i="14" l="1"/>
  <c r="AD767" i="14"/>
  <c r="Y768" i="14" l="1"/>
  <c r="Z768" i="14" l="1"/>
  <c r="AC768" i="14" s="1"/>
  <c r="U769" i="14" l="1"/>
  <c r="AD768" i="14"/>
  <c r="Y769" i="14" l="1"/>
  <c r="Z769" i="14" l="1"/>
  <c r="AC769" i="14" s="1"/>
  <c r="U770" i="14" l="1"/>
  <c r="AD769" i="14"/>
  <c r="Y770" i="14" l="1"/>
  <c r="Z770" i="14" s="1"/>
  <c r="AC770" i="14" s="1"/>
  <c r="U771" i="14" l="1"/>
  <c r="AD770" i="14"/>
  <c r="Y771" i="14" l="1"/>
  <c r="Z771" i="14" l="1"/>
  <c r="AC771" i="14" s="1"/>
  <c r="U772" i="14" l="1"/>
  <c r="AD771" i="14"/>
  <c r="Y772" i="14" l="1"/>
  <c r="Z772" i="14" l="1"/>
  <c r="AC772" i="14" s="1"/>
  <c r="U773" i="14" l="1"/>
  <c r="AD772" i="14"/>
  <c r="Y773" i="14" l="1"/>
  <c r="Z773" i="14" s="1"/>
  <c r="AC773" i="14" s="1"/>
  <c r="U774" i="14" l="1"/>
  <c r="AD773" i="14"/>
  <c r="Y774" i="14" l="1"/>
  <c r="Z774" i="14" l="1"/>
  <c r="AC774" i="14" s="1"/>
  <c r="U775" i="14" l="1"/>
  <c r="AD774" i="14"/>
  <c r="Y775" i="14" l="1"/>
  <c r="Z775" i="14" l="1"/>
  <c r="AC775" i="14" s="1"/>
  <c r="U776" i="14" l="1"/>
  <c r="AD775" i="14"/>
  <c r="Y776" i="14" l="1"/>
  <c r="Z776" i="14" l="1"/>
  <c r="AC776" i="14" s="1"/>
  <c r="U777" i="14" l="1"/>
  <c r="AD776" i="14"/>
  <c r="Y777" i="14" l="1"/>
  <c r="Z777" i="14" s="1"/>
  <c r="AC777" i="14" s="1"/>
  <c r="U778" i="14" l="1"/>
  <c r="AD777" i="14"/>
  <c r="Y778" i="14" l="1"/>
  <c r="Z778" i="14" l="1"/>
  <c r="AC778" i="14" s="1"/>
  <c r="U779" i="14" l="1"/>
  <c r="AD778" i="14"/>
  <c r="Y779" i="14" l="1"/>
  <c r="Z779" i="14" l="1"/>
  <c r="AC779" i="14" s="1"/>
  <c r="U780" i="14" l="1"/>
  <c r="AD779" i="14"/>
  <c r="Y780" i="14" l="1"/>
  <c r="Z780" i="14" l="1"/>
  <c r="AC780" i="14" s="1"/>
  <c r="U781" i="14" l="1"/>
  <c r="AD780" i="14"/>
  <c r="Y781" i="14" l="1"/>
  <c r="Z781" i="14" l="1"/>
  <c r="AC781" i="14" s="1"/>
  <c r="U782" i="14" l="1"/>
  <c r="AD781" i="14"/>
  <c r="Y782" i="14" l="1"/>
  <c r="Z782" i="14" l="1"/>
  <c r="AC782" i="14" s="1"/>
  <c r="AD782" i="14" l="1"/>
  <c r="U783" i="14"/>
  <c r="Y783" i="14" l="1"/>
  <c r="Z783" i="14" l="1"/>
  <c r="AC783" i="14" s="1"/>
  <c r="U784" i="14" l="1"/>
  <c r="AD783" i="14"/>
  <c r="Y784" i="14" l="1"/>
  <c r="Z784" i="14" l="1"/>
  <c r="AC784" i="14" s="1"/>
  <c r="U785" i="14" l="1"/>
  <c r="AD784" i="14"/>
  <c r="Y785" i="14" l="1"/>
  <c r="Z785" i="14" l="1"/>
  <c r="AC785" i="14" s="1"/>
  <c r="U786" i="14" l="1"/>
  <c r="AD785" i="14"/>
  <c r="Y786" i="14" l="1"/>
  <c r="Z786" i="14" l="1"/>
  <c r="AC786" i="14" s="1"/>
  <c r="U787" i="14" l="1"/>
  <c r="AD786" i="14"/>
  <c r="Y787" i="14" l="1"/>
  <c r="Z787" i="14" l="1"/>
  <c r="AC787" i="14" s="1"/>
  <c r="U788" i="14" l="1"/>
  <c r="AD787" i="14"/>
  <c r="Y788" i="14" l="1"/>
  <c r="Z788" i="14" l="1"/>
  <c r="AC788" i="14" s="1"/>
  <c r="U789" i="14" l="1"/>
  <c r="AD788" i="14"/>
  <c r="Y789" i="14" l="1"/>
  <c r="Z789" i="14" l="1"/>
  <c r="AC789" i="14" s="1"/>
  <c r="U790" i="14" l="1"/>
  <c r="AD789" i="14"/>
  <c r="Y790" i="14" l="1"/>
  <c r="Z790" i="14" l="1"/>
  <c r="AC790" i="14" s="1"/>
  <c r="U791" i="14" l="1"/>
  <c r="AD790" i="14"/>
  <c r="Y791" i="14" l="1"/>
  <c r="Z791" i="14" l="1"/>
  <c r="AC791" i="14" s="1"/>
  <c r="U792" i="14" l="1"/>
  <c r="AD791" i="14"/>
  <c r="Y792" i="14" l="1"/>
  <c r="Z792" i="14" l="1"/>
  <c r="AC792" i="14" s="1"/>
  <c r="U793" i="14" l="1"/>
  <c r="AD792" i="14"/>
  <c r="Y793" i="14" l="1"/>
  <c r="Z793" i="14" l="1"/>
  <c r="AC793" i="14" s="1"/>
  <c r="U794" i="14" l="1"/>
  <c r="AD793" i="14"/>
  <c r="Y794" i="14" l="1"/>
  <c r="Z794" i="14" l="1"/>
  <c r="AC794" i="14" s="1"/>
  <c r="U795" i="14" l="1"/>
  <c r="AD794" i="14"/>
  <c r="Y795" i="14" l="1"/>
  <c r="Z795" i="14" l="1"/>
  <c r="AC795" i="14" s="1"/>
  <c r="U796" i="14" l="1"/>
  <c r="AD795" i="14"/>
  <c r="Y796" i="14" l="1"/>
  <c r="Z796" i="14" l="1"/>
  <c r="AC796" i="14" s="1"/>
  <c r="U797" i="14" l="1"/>
  <c r="AD796" i="14"/>
  <c r="Y797" i="14" l="1"/>
  <c r="Z797" i="14" l="1"/>
  <c r="AC797" i="14" s="1"/>
  <c r="U798" i="14" l="1"/>
  <c r="AD797" i="14"/>
  <c r="Y798" i="14" l="1"/>
  <c r="Z798" i="14" l="1"/>
  <c r="AC798" i="14" s="1"/>
  <c r="U799" i="14" l="1"/>
  <c r="AD798" i="14"/>
  <c r="Y799" i="14" l="1"/>
  <c r="Z799" i="14" l="1"/>
  <c r="AC799" i="14" s="1"/>
  <c r="AD799" i="14" l="1"/>
  <c r="U800" i="14"/>
  <c r="Y800" i="14" l="1"/>
  <c r="Z800" i="14" l="1"/>
  <c r="AC800" i="14" s="1"/>
  <c r="AD800" i="14" l="1"/>
  <c r="U801" i="14"/>
  <c r="Y801" i="14" l="1"/>
  <c r="Z801" i="14" l="1"/>
  <c r="AC801" i="14" s="1"/>
  <c r="U802" i="14" l="1"/>
  <c r="AD801" i="14"/>
  <c r="Y802" i="14" l="1"/>
  <c r="Z802" i="14" l="1"/>
  <c r="AC802" i="14" s="1"/>
  <c r="U803" i="14" l="1"/>
  <c r="AD802" i="14"/>
  <c r="Y803" i="14" l="1"/>
  <c r="Z803" i="14" l="1"/>
  <c r="AC803" i="14" s="1"/>
  <c r="U804" i="14" l="1"/>
  <c r="AD803" i="14"/>
  <c r="Y804" i="14" l="1"/>
  <c r="Z804" i="14" l="1"/>
  <c r="AC804" i="14" s="1"/>
  <c r="U805" i="14" l="1"/>
  <c r="AD804" i="14"/>
  <c r="Y805" i="14" l="1"/>
  <c r="Z805" i="14" l="1"/>
  <c r="AC805" i="14" s="1"/>
  <c r="U806" i="14" l="1"/>
  <c r="AD805" i="14"/>
  <c r="Y806" i="14" l="1"/>
  <c r="Z806" i="14" l="1"/>
  <c r="AC806" i="14" s="1"/>
  <c r="U807" i="14" l="1"/>
  <c r="AD806" i="14"/>
  <c r="Y807" i="14" l="1"/>
  <c r="Z807" i="14" l="1"/>
  <c r="AC807" i="14" s="1"/>
  <c r="U808" i="14" l="1"/>
  <c r="AD807" i="14"/>
  <c r="Y808" i="14" l="1"/>
  <c r="Z808" i="14" s="1"/>
  <c r="AC808" i="14" s="1"/>
  <c r="U809" i="14" l="1"/>
  <c r="AD808" i="14"/>
  <c r="Y809" i="14" l="1"/>
  <c r="Z809" i="14" l="1"/>
  <c r="AC809" i="14" s="1"/>
  <c r="U810" i="14" l="1"/>
  <c r="AD809" i="14"/>
  <c r="Y810" i="14" l="1"/>
  <c r="Z810" i="14" l="1"/>
  <c r="AC810" i="14" s="1"/>
  <c r="U811" i="14" l="1"/>
  <c r="AD810" i="14"/>
  <c r="Y811" i="14" l="1"/>
  <c r="Z811" i="14" l="1"/>
  <c r="AC811" i="14" s="1"/>
  <c r="U812" i="14" l="1"/>
  <c r="AD811" i="14"/>
  <c r="Y812" i="14" l="1"/>
  <c r="Z812" i="14" l="1"/>
  <c r="AC812" i="14" s="1"/>
  <c r="U813" i="14" l="1"/>
  <c r="AD812" i="14"/>
  <c r="Y813" i="14" l="1"/>
  <c r="Z813" i="14" l="1"/>
  <c r="AC813" i="14" s="1"/>
  <c r="U814" i="14" l="1"/>
  <c r="AD813" i="14"/>
  <c r="Y814" i="14" l="1"/>
  <c r="Z814" i="14" l="1"/>
  <c r="AC814" i="14" s="1"/>
  <c r="U815" i="14" l="1"/>
  <c r="AD814" i="14"/>
  <c r="Y815" i="14" l="1"/>
  <c r="Z815" i="14" l="1"/>
  <c r="AC815" i="14" s="1"/>
  <c r="U816" i="14" l="1"/>
  <c r="AD815" i="14"/>
  <c r="Y816" i="14" l="1"/>
  <c r="Z816" i="14" l="1"/>
  <c r="AC816" i="14" s="1"/>
  <c r="U817" i="14" l="1"/>
  <c r="AD816" i="14"/>
  <c r="Y817" i="14" l="1"/>
  <c r="Z817" i="14" l="1"/>
  <c r="AC817" i="14" s="1"/>
  <c r="U818" i="14" l="1"/>
  <c r="AD817" i="14"/>
  <c r="Y818" i="14" l="1"/>
  <c r="Z818" i="14" l="1"/>
  <c r="AC818" i="14" s="1"/>
  <c r="U819" i="14" l="1"/>
  <c r="AD818" i="14"/>
  <c r="Y819" i="14" l="1"/>
  <c r="Z819" i="14" l="1"/>
  <c r="AC819" i="14" s="1"/>
  <c r="U820" i="14" l="1"/>
  <c r="AD819" i="14"/>
  <c r="Y820" i="14" l="1"/>
  <c r="Z820" i="14" l="1"/>
  <c r="AC820" i="14" s="1"/>
  <c r="U821" i="14" l="1"/>
  <c r="AD820" i="14"/>
  <c r="Y821" i="14" l="1"/>
  <c r="Z821" i="14" s="1"/>
  <c r="AC821" i="14" s="1"/>
  <c r="U822" i="14" l="1"/>
  <c r="AD821" i="14"/>
  <c r="Y822" i="14" l="1"/>
  <c r="Z822" i="14" l="1"/>
  <c r="AC822" i="14" s="1"/>
  <c r="U823" i="14" l="1"/>
  <c r="AD822" i="14"/>
  <c r="Y823" i="14" l="1"/>
  <c r="Z823" i="14" l="1"/>
  <c r="AC823" i="14" s="1"/>
  <c r="U824" i="14" l="1"/>
  <c r="AD823" i="14"/>
  <c r="Y824" i="14" l="1"/>
  <c r="Z824" i="14" l="1"/>
  <c r="AC824" i="14" s="1"/>
  <c r="U825" i="14" l="1"/>
  <c r="AD824" i="14"/>
  <c r="Y825" i="14" l="1"/>
  <c r="Z825" i="14" l="1"/>
  <c r="AC825" i="14" s="1"/>
  <c r="U826" i="14" l="1"/>
  <c r="AD825" i="14"/>
  <c r="Y826" i="14" l="1"/>
  <c r="Z826" i="14" l="1"/>
  <c r="AC826" i="14" s="1"/>
  <c r="U827" i="14" l="1"/>
  <c r="AD826" i="14"/>
  <c r="Y827" i="14" l="1"/>
  <c r="Z827" i="14" l="1"/>
  <c r="AC827" i="14" s="1"/>
  <c r="U828" i="14" l="1"/>
  <c r="AD827" i="14"/>
  <c r="Y828" i="14" l="1"/>
  <c r="Z828" i="14" l="1"/>
  <c r="AC828" i="14" s="1"/>
  <c r="U829" i="14" l="1"/>
  <c r="AD828" i="14"/>
  <c r="Y829" i="14" l="1"/>
  <c r="Z829" i="14" l="1"/>
  <c r="AC829" i="14" s="1"/>
  <c r="U830" i="14" l="1"/>
  <c r="AD829" i="14"/>
  <c r="Y830" i="14" l="1"/>
  <c r="Z830" i="14" l="1"/>
  <c r="AC830" i="14" s="1"/>
  <c r="U831" i="14" l="1"/>
  <c r="AD830" i="14"/>
  <c r="Y831" i="14" l="1"/>
  <c r="Z831" i="14" l="1"/>
  <c r="AC831" i="14" s="1"/>
  <c r="U832" i="14" l="1"/>
  <c r="AD831" i="14"/>
  <c r="Y832" i="14" l="1"/>
  <c r="Z832" i="14" l="1"/>
  <c r="AC832" i="14" s="1"/>
  <c r="U833" i="14" l="1"/>
  <c r="AD832" i="14"/>
  <c r="Y833" i="14" l="1"/>
  <c r="Z833" i="14" l="1"/>
  <c r="AC833" i="14" s="1"/>
  <c r="U834" i="14" l="1"/>
  <c r="AD833" i="14"/>
  <c r="Y834" i="14" l="1"/>
  <c r="Z834" i="14" l="1"/>
  <c r="AC834" i="14" s="1"/>
  <c r="U835" i="14" l="1"/>
  <c r="AD834" i="14"/>
  <c r="Y835" i="14" l="1"/>
  <c r="Z835" i="14" l="1"/>
  <c r="AC835" i="14" s="1"/>
  <c r="U836" i="14" l="1"/>
  <c r="AD835" i="14"/>
  <c r="Y836" i="14" l="1"/>
  <c r="Z836" i="14" l="1"/>
  <c r="AC836" i="14" s="1"/>
  <c r="U837" i="14" l="1"/>
  <c r="AD836" i="14"/>
  <c r="Y837" i="14" l="1"/>
  <c r="Z837" i="14" l="1"/>
  <c r="AC837" i="14" s="1"/>
  <c r="U838" i="14" l="1"/>
  <c r="AD837" i="14"/>
  <c r="Y838" i="14" l="1"/>
  <c r="Z838" i="14" l="1"/>
  <c r="AC838" i="14" s="1"/>
  <c r="U839" i="14" l="1"/>
  <c r="AD838" i="14"/>
  <c r="Y839" i="14" l="1"/>
  <c r="Z839" i="14" l="1"/>
  <c r="AC839" i="14" s="1"/>
  <c r="U840" i="14" l="1"/>
  <c r="AD839" i="14"/>
  <c r="Y840" i="14" l="1"/>
  <c r="Z840" i="14" l="1"/>
  <c r="AC840" i="14" s="1"/>
  <c r="U841" i="14" l="1"/>
  <c r="AD840" i="14"/>
  <c r="Y841" i="14" l="1"/>
  <c r="Z841" i="14" l="1"/>
  <c r="AC841" i="14" s="1"/>
  <c r="U842" i="14" l="1"/>
  <c r="AD841" i="14"/>
  <c r="Y842" i="14" l="1"/>
  <c r="Z842" i="14" l="1"/>
  <c r="AC842" i="14" s="1"/>
  <c r="U843" i="14" l="1"/>
  <c r="AD842" i="14"/>
  <c r="Y843" i="14" l="1"/>
  <c r="Z843" i="14" l="1"/>
  <c r="AC843" i="14" s="1"/>
  <c r="U844" i="14" l="1"/>
  <c r="AD843" i="14"/>
  <c r="Y844" i="14" l="1"/>
  <c r="Z844" i="14" l="1"/>
  <c r="AC844" i="14" s="1"/>
  <c r="U845" i="14" l="1"/>
  <c r="AD844" i="14"/>
  <c r="Y845" i="14" l="1"/>
  <c r="Z845" i="14" l="1"/>
  <c r="AC845" i="14" s="1"/>
  <c r="U846" i="14" l="1"/>
  <c r="AD845" i="14"/>
  <c r="Y846" i="14" l="1"/>
  <c r="Z846" i="14" l="1"/>
  <c r="AC846" i="14" s="1"/>
  <c r="U847" i="14" l="1"/>
  <c r="AD846" i="14"/>
  <c r="Y847" i="14" l="1"/>
  <c r="Z847" i="14" l="1"/>
  <c r="AC847" i="14" s="1"/>
  <c r="U848" i="14" l="1"/>
  <c r="AD847" i="14"/>
  <c r="Y848" i="14" l="1"/>
  <c r="Z848" i="14" l="1"/>
  <c r="AC848" i="14" s="1"/>
  <c r="U849" i="14" l="1"/>
  <c r="AD848" i="14"/>
  <c r="Y849" i="14" l="1"/>
  <c r="Z849" i="14" l="1"/>
  <c r="AC849" i="14" s="1"/>
  <c r="U850" i="14" l="1"/>
  <c r="AD849" i="14"/>
  <c r="Y850" i="14" l="1"/>
  <c r="Z850" i="14" l="1"/>
  <c r="AC850" i="14" s="1"/>
  <c r="U851" i="14" l="1"/>
  <c r="AD850" i="14"/>
  <c r="Y851" i="14" l="1"/>
  <c r="Z851" i="14" l="1"/>
  <c r="AC851" i="14" s="1"/>
  <c r="U852" i="14" l="1"/>
  <c r="AD851" i="14"/>
  <c r="Y852" i="14" l="1"/>
  <c r="Z852" i="14" l="1"/>
  <c r="AC852" i="14" s="1"/>
  <c r="U853" i="14" l="1"/>
  <c r="AD852" i="14"/>
  <c r="Y853" i="14" l="1"/>
  <c r="Z853" i="14" l="1"/>
  <c r="AC853" i="14" s="1"/>
  <c r="U854" i="14" l="1"/>
  <c r="AD853" i="14"/>
  <c r="Y854" i="14" l="1"/>
  <c r="Z854" i="14" l="1"/>
  <c r="AC854" i="14" s="1"/>
  <c r="U855" i="14" l="1"/>
  <c r="AD854" i="14"/>
  <c r="Y855" i="14" l="1"/>
  <c r="Z855" i="14" l="1"/>
  <c r="AC855" i="14" s="1"/>
  <c r="U856" i="14" l="1"/>
  <c r="AD855" i="14"/>
  <c r="Y856" i="14" l="1"/>
  <c r="Z856" i="14" l="1"/>
  <c r="AC856" i="14" s="1"/>
  <c r="U857" i="14" l="1"/>
  <c r="AD856" i="14"/>
  <c r="Y857" i="14" l="1"/>
  <c r="Z857" i="14" l="1"/>
  <c r="AC857" i="14" s="1"/>
  <c r="U858" i="14" l="1"/>
  <c r="AD857" i="14"/>
  <c r="Y858" i="14" l="1"/>
  <c r="Z858" i="14" l="1"/>
  <c r="AC858" i="14" s="1"/>
  <c r="U859" i="14" l="1"/>
  <c r="AD858" i="14"/>
  <c r="Y859" i="14" l="1"/>
  <c r="Z859" i="14" l="1"/>
  <c r="AC859" i="14" s="1"/>
  <c r="U860" i="14" l="1"/>
  <c r="AD859" i="14"/>
  <c r="Y860" i="14" l="1"/>
  <c r="Z860" i="14" l="1"/>
  <c r="AC860" i="14" s="1"/>
  <c r="U861" i="14" l="1"/>
  <c r="AD860" i="14"/>
  <c r="Y861" i="14" l="1"/>
  <c r="Z861" i="14" l="1"/>
  <c r="AC861" i="14" s="1"/>
  <c r="U862" i="14" l="1"/>
  <c r="AD861" i="14"/>
  <c r="Y862" i="14" l="1"/>
  <c r="Z862" i="14" l="1"/>
  <c r="AC862" i="14" s="1"/>
  <c r="U863" i="14" l="1"/>
  <c r="AD862" i="14"/>
  <c r="Y863" i="14" l="1"/>
  <c r="Z863" i="14" l="1"/>
  <c r="AC863" i="14" s="1"/>
  <c r="U864" i="14" l="1"/>
  <c r="AD863" i="14"/>
  <c r="Y864" i="14" l="1"/>
  <c r="Z864" i="14" l="1"/>
  <c r="AC864" i="14" s="1"/>
  <c r="U865" i="14" l="1"/>
  <c r="AD864" i="14"/>
  <c r="Y865" i="14" l="1"/>
  <c r="Z865" i="14" l="1"/>
  <c r="AC865" i="14" s="1"/>
  <c r="U866" i="14" l="1"/>
  <c r="AD865" i="14"/>
  <c r="Y866" i="14" l="1"/>
  <c r="Z866" i="14" l="1"/>
  <c r="AC866" i="14" s="1"/>
  <c r="U867" i="14" l="1"/>
  <c r="AD866" i="14"/>
  <c r="Y867" i="14" l="1"/>
  <c r="Z867" i="14" l="1"/>
  <c r="AC867" i="14" s="1"/>
  <c r="U868" i="14" l="1"/>
  <c r="AD867" i="14"/>
  <c r="Y868" i="14" l="1"/>
  <c r="Z868" i="14" l="1"/>
  <c r="AC868" i="14" s="1"/>
  <c r="U869" i="14" l="1"/>
  <c r="AD868" i="14"/>
  <c r="Y869" i="14" l="1"/>
  <c r="Z869" i="14" l="1"/>
  <c r="AC869" i="14" s="1"/>
  <c r="U870" i="14" l="1"/>
  <c r="AD869" i="14"/>
  <c r="Y870" i="14" l="1"/>
  <c r="Z870" i="14" l="1"/>
  <c r="AC870" i="14" s="1"/>
  <c r="U871" i="14" l="1"/>
  <c r="AD870" i="14"/>
  <c r="Y871" i="14" l="1"/>
  <c r="Z871" i="14" l="1"/>
  <c r="AC871" i="14" s="1"/>
  <c r="U872" i="14" l="1"/>
  <c r="AD871" i="14"/>
  <c r="Y872" i="14" l="1"/>
  <c r="Z872" i="14" l="1"/>
  <c r="AC872" i="14" s="1"/>
  <c r="AD872" i="14" l="1"/>
  <c r="U873" i="14"/>
  <c r="Y873" i="14" l="1"/>
  <c r="Z873" i="14" l="1"/>
  <c r="AC873" i="14" s="1"/>
  <c r="U874" i="14" l="1"/>
  <c r="AD873" i="14"/>
  <c r="Y874" i="14" l="1"/>
  <c r="Z874" i="14" l="1"/>
  <c r="AC874" i="14" s="1"/>
  <c r="U875" i="14" l="1"/>
  <c r="AD874" i="14"/>
  <c r="Y875" i="14" l="1"/>
  <c r="Z875" i="14" l="1"/>
  <c r="AC875" i="14" s="1"/>
  <c r="U876" i="14" l="1"/>
  <c r="AD875" i="14"/>
  <c r="Y876" i="14" l="1"/>
  <c r="Z876" i="14" l="1"/>
  <c r="AC876" i="14" s="1"/>
  <c r="U877" i="14" l="1"/>
  <c r="AD876" i="14"/>
  <c r="Y877" i="14" l="1"/>
  <c r="Z877" i="14" l="1"/>
  <c r="AC877" i="14" s="1"/>
  <c r="U878" i="14" l="1"/>
  <c r="AD877" i="14"/>
  <c r="Y878" i="14" l="1"/>
  <c r="Z878" i="14" l="1"/>
  <c r="AC878" i="14" s="1"/>
  <c r="U879" i="14" l="1"/>
  <c r="AD878" i="14"/>
  <c r="Y879" i="14" l="1"/>
  <c r="Z879" i="14" l="1"/>
  <c r="AC879" i="14" s="1"/>
  <c r="U880" i="14" l="1"/>
  <c r="AD879" i="14"/>
  <c r="Y880" i="14" l="1"/>
  <c r="Z880" i="14" l="1"/>
  <c r="AC880" i="14" s="1"/>
  <c r="U881" i="14" l="1"/>
  <c r="AD880" i="14"/>
  <c r="Y881" i="14" l="1"/>
  <c r="Z881" i="14" l="1"/>
  <c r="AC881" i="14" s="1"/>
  <c r="U882" i="14" l="1"/>
  <c r="AD881" i="14"/>
  <c r="Y882" i="14" l="1"/>
  <c r="Z882" i="14" l="1"/>
  <c r="AC882" i="14" s="1"/>
  <c r="U883" i="14" l="1"/>
  <c r="AD882" i="14"/>
  <c r="Y883" i="14" l="1"/>
  <c r="Z883" i="14" l="1"/>
  <c r="AC883" i="14" s="1"/>
  <c r="U884" i="14" l="1"/>
  <c r="AD883" i="14"/>
  <c r="Y884" i="14" l="1"/>
  <c r="Z884" i="14" l="1"/>
  <c r="AC884" i="14" s="1"/>
  <c r="U885" i="14" l="1"/>
  <c r="AD884" i="14"/>
  <c r="Y885" i="14" l="1"/>
  <c r="Z885" i="14" l="1"/>
  <c r="AC885" i="14" s="1"/>
  <c r="U886" i="14" l="1"/>
  <c r="AD885" i="14"/>
  <c r="Y886" i="14" l="1"/>
  <c r="Z886" i="14" l="1"/>
  <c r="AC886" i="14" s="1"/>
  <c r="U887" i="14" l="1"/>
  <c r="AD886" i="14"/>
  <c r="Y887" i="14" l="1"/>
  <c r="Z887" i="14" l="1"/>
  <c r="AC887" i="14" s="1"/>
  <c r="U888" i="14" l="1"/>
  <c r="AD887" i="14"/>
  <c r="Y888" i="14" l="1"/>
  <c r="Z888" i="14" l="1"/>
  <c r="AC888" i="14" s="1"/>
  <c r="U889" i="14" l="1"/>
  <c r="AD888" i="14"/>
  <c r="Y889" i="14" l="1"/>
  <c r="Z889" i="14" l="1"/>
  <c r="AC889" i="14" s="1"/>
  <c r="U890" i="14" l="1"/>
  <c r="AD889" i="14"/>
  <c r="Y890" i="14" l="1"/>
  <c r="Z890" i="14" l="1"/>
  <c r="AC890" i="14" s="1"/>
  <c r="U891" i="14" l="1"/>
  <c r="AD890" i="14"/>
  <c r="Y891" i="14" l="1"/>
  <c r="Z891" i="14" l="1"/>
  <c r="AC891" i="14" s="1"/>
  <c r="U892" i="14" l="1"/>
  <c r="AD891" i="14"/>
  <c r="Y892" i="14" l="1"/>
  <c r="Z892" i="14" l="1"/>
  <c r="AC892" i="14" s="1"/>
  <c r="U893" i="14" l="1"/>
  <c r="AD892" i="14"/>
  <c r="Y893" i="14" l="1"/>
  <c r="Z893" i="14" l="1"/>
  <c r="AC893" i="14" s="1"/>
  <c r="U894" i="14" l="1"/>
  <c r="AD893" i="14"/>
  <c r="Y894" i="14" l="1"/>
  <c r="Z894" i="14" l="1"/>
  <c r="AC894" i="14" s="1"/>
  <c r="U895" i="14" l="1"/>
  <c r="AD894" i="14"/>
  <c r="Y895" i="14" l="1"/>
  <c r="Z895" i="14" l="1"/>
  <c r="AC895" i="14" s="1"/>
  <c r="U896" i="14" l="1"/>
  <c r="AD895" i="14"/>
  <c r="Y896" i="14" l="1"/>
  <c r="Z896" i="14" l="1"/>
  <c r="AC896" i="14" s="1"/>
  <c r="U897" i="14" l="1"/>
  <c r="AD896" i="14"/>
  <c r="Y897" i="14" l="1"/>
  <c r="Z897" i="14" l="1"/>
  <c r="AC897" i="14" s="1"/>
  <c r="U898" i="14" l="1"/>
  <c r="AD897" i="14"/>
  <c r="Y898" i="14" l="1"/>
  <c r="Z898" i="14" l="1"/>
  <c r="AC898" i="14" s="1"/>
  <c r="U899" i="14" l="1"/>
  <c r="AD898" i="14"/>
  <c r="Y899" i="14" l="1"/>
  <c r="Z899" i="14" s="1"/>
  <c r="AC899" i="14" s="1"/>
  <c r="U900" i="14" l="1"/>
  <c r="AD899" i="14"/>
  <c r="Y900" i="14" l="1"/>
  <c r="Z900" i="14" l="1"/>
  <c r="AC900" i="14" s="1"/>
  <c r="U901" i="14" l="1"/>
  <c r="AD900" i="14"/>
  <c r="Y901" i="14" l="1"/>
  <c r="Z901" i="14" l="1"/>
  <c r="AC901" i="14" s="1"/>
  <c r="U902" i="14" l="1"/>
  <c r="AD901" i="14"/>
  <c r="Y902" i="14" l="1"/>
  <c r="Z902" i="14" l="1"/>
  <c r="AC902" i="14" s="1"/>
  <c r="U903" i="14" l="1"/>
  <c r="AD902" i="14"/>
  <c r="Y903" i="14" l="1"/>
  <c r="Z903" i="14" l="1"/>
  <c r="AC903" i="14" s="1"/>
  <c r="U904" i="14" l="1"/>
  <c r="AD903" i="14"/>
  <c r="Y904" i="14" l="1"/>
  <c r="Z904" i="14" l="1"/>
  <c r="AC904" i="14" s="1"/>
  <c r="U905" i="14" l="1"/>
  <c r="AD904" i="14"/>
  <c r="Y905" i="14" l="1"/>
  <c r="Z905" i="14" l="1"/>
  <c r="AC905" i="14" s="1"/>
  <c r="U906" i="14" l="1"/>
  <c r="AD905" i="14"/>
  <c r="Y906" i="14" l="1"/>
  <c r="Z906" i="14" l="1"/>
  <c r="AC906" i="14" s="1"/>
  <c r="U907" i="14" l="1"/>
  <c r="AD906" i="14"/>
  <c r="Y907" i="14" l="1"/>
  <c r="Z907" i="14" s="1"/>
  <c r="AC907" i="14" s="1"/>
  <c r="U908" i="14" l="1"/>
  <c r="AD907" i="14"/>
  <c r="Y908" i="14" l="1"/>
  <c r="Z908" i="14" l="1"/>
  <c r="AC908" i="14" s="1"/>
  <c r="U909" i="14" l="1"/>
  <c r="AD908" i="14"/>
  <c r="Y909" i="14" l="1"/>
  <c r="Z909" i="14" l="1"/>
  <c r="AC909" i="14" s="1"/>
  <c r="U910" i="14" l="1"/>
  <c r="AD909" i="14"/>
  <c r="Y910" i="14" l="1"/>
  <c r="Z910" i="14" l="1"/>
  <c r="AC910" i="14" s="1"/>
  <c r="U911" i="14" l="1"/>
  <c r="AD910" i="14"/>
  <c r="Y911" i="14" l="1"/>
  <c r="Z911" i="14" l="1"/>
  <c r="AC911" i="14" s="1"/>
  <c r="U912" i="14" l="1"/>
  <c r="AD911" i="14"/>
  <c r="Y912" i="14" l="1"/>
  <c r="Z912" i="14" l="1"/>
  <c r="AC912" i="14" s="1"/>
  <c r="U913" i="14" l="1"/>
  <c r="AD912" i="14"/>
  <c r="Y913" i="14" l="1"/>
  <c r="Z913" i="14" l="1"/>
  <c r="AC913" i="14" s="1"/>
  <c r="U914" i="14" l="1"/>
  <c r="AD913" i="14"/>
  <c r="Y914" i="14" l="1"/>
  <c r="Z914" i="14" l="1"/>
  <c r="AC914" i="14" s="1"/>
  <c r="U915" i="14" l="1"/>
  <c r="AD914" i="14"/>
  <c r="Y915" i="14" l="1"/>
  <c r="Z915" i="14" l="1"/>
  <c r="AC915" i="14" s="1"/>
  <c r="U916" i="14" l="1"/>
  <c r="AD915" i="14"/>
  <c r="Y916" i="14" l="1"/>
  <c r="Z916" i="14" l="1"/>
  <c r="AC916" i="14" s="1"/>
  <c r="U917" i="14" l="1"/>
  <c r="AD916" i="14"/>
  <c r="Y917" i="14" l="1"/>
  <c r="Z917" i="14" l="1"/>
  <c r="AC917" i="14" s="1"/>
  <c r="U918" i="14" l="1"/>
  <c r="AD917" i="14"/>
  <c r="Y918" i="14" l="1"/>
  <c r="Z918" i="14" l="1"/>
  <c r="AC918" i="14" s="1"/>
  <c r="AD918" i="14" l="1"/>
  <c r="U919" i="14"/>
  <c r="Y919" i="14" l="1"/>
  <c r="Z919" i="14" l="1"/>
  <c r="AC919" i="14" s="1"/>
  <c r="U920" i="14" l="1"/>
  <c r="AD919" i="14"/>
  <c r="Y920" i="14" l="1"/>
  <c r="Z920" i="14" l="1"/>
  <c r="AC920" i="14" s="1"/>
  <c r="U921" i="14" l="1"/>
  <c r="AD920" i="14"/>
  <c r="Y921" i="14" l="1"/>
  <c r="Z921" i="14" l="1"/>
  <c r="AC921" i="14" s="1"/>
  <c r="U922" i="14" l="1"/>
  <c r="AD921" i="14"/>
  <c r="Y922" i="14" l="1"/>
  <c r="Z922" i="14" l="1"/>
  <c r="AC922" i="14" s="1"/>
  <c r="U923" i="14" l="1"/>
  <c r="AD922" i="14"/>
  <c r="Y923" i="14" l="1"/>
  <c r="Z923" i="14" l="1"/>
  <c r="AC923" i="14" s="1"/>
  <c r="U924" i="14" l="1"/>
  <c r="AD923" i="14"/>
  <c r="Y924" i="14" l="1"/>
  <c r="Z924" i="14" l="1"/>
  <c r="AC924" i="14" s="1"/>
  <c r="U925" i="14" l="1"/>
  <c r="AD924" i="14"/>
  <c r="Y925" i="14" l="1"/>
  <c r="Z925" i="14" l="1"/>
  <c r="AC925" i="14" s="1"/>
  <c r="AD925" i="14" l="1"/>
  <c r="U926" i="14"/>
  <c r="Y926" i="14" l="1"/>
  <c r="Z926" i="14" l="1"/>
  <c r="AC926" i="14" s="1"/>
  <c r="U927" i="14" l="1"/>
  <c r="AD926" i="14"/>
  <c r="Y927" i="14" l="1"/>
  <c r="Z927" i="14" l="1"/>
  <c r="AC927" i="14" s="1"/>
  <c r="U928" i="14" l="1"/>
  <c r="AD927" i="14"/>
  <c r="Y928" i="14" l="1"/>
  <c r="Z928" i="14" l="1"/>
  <c r="AC928" i="14" s="1"/>
  <c r="U929" i="14" l="1"/>
  <c r="AD928" i="14"/>
  <c r="Y929" i="14" l="1"/>
  <c r="Z929" i="14" l="1"/>
  <c r="AC929" i="14" s="1"/>
  <c r="U930" i="14" l="1"/>
  <c r="AD929" i="14"/>
  <c r="Y930" i="14" l="1"/>
  <c r="Z930" i="14" l="1"/>
  <c r="AC930" i="14" s="1"/>
  <c r="AD930" i="14" l="1"/>
  <c r="U931" i="14"/>
  <c r="Y931" i="14" l="1"/>
  <c r="Z931" i="14" l="1"/>
  <c r="AC931" i="14" s="1"/>
  <c r="U932" i="14" l="1"/>
  <c r="AD931" i="14"/>
  <c r="Y932" i="14" l="1"/>
  <c r="Z932" i="14" l="1"/>
  <c r="AC932" i="14" s="1"/>
  <c r="U933" i="14" l="1"/>
  <c r="AD932" i="14"/>
  <c r="Y933" i="14" l="1"/>
  <c r="Z933" i="14" l="1"/>
  <c r="AC933" i="14" s="1"/>
  <c r="U934" i="14" l="1"/>
  <c r="AD933" i="14"/>
  <c r="Y934" i="14" l="1"/>
  <c r="Z934" i="14" l="1"/>
  <c r="AC934" i="14" s="1"/>
  <c r="U935" i="14" l="1"/>
  <c r="AD934" i="14"/>
  <c r="Y935" i="14" l="1"/>
  <c r="Z935" i="14" l="1"/>
  <c r="AC935" i="14" s="1"/>
  <c r="U936" i="14" l="1"/>
  <c r="AD935" i="14"/>
  <c r="Y936" i="14" l="1"/>
  <c r="Z936" i="14" l="1"/>
  <c r="AC936" i="14" s="1"/>
  <c r="U937" i="14" l="1"/>
  <c r="AD936" i="14"/>
  <c r="Y937" i="14" l="1"/>
  <c r="Z937" i="14" l="1"/>
  <c r="AC937" i="14" s="1"/>
  <c r="U938" i="14" l="1"/>
  <c r="AD937" i="14"/>
  <c r="Y938" i="14" l="1"/>
  <c r="Z938" i="14" l="1"/>
  <c r="AC938" i="14" s="1"/>
  <c r="U939" i="14" l="1"/>
  <c r="AD938" i="14"/>
  <c r="Y939" i="14" l="1"/>
  <c r="Z939" i="14" l="1"/>
  <c r="AC939" i="14" s="1"/>
  <c r="U940" i="14" l="1"/>
  <c r="AD939" i="14"/>
  <c r="Y940" i="14" l="1"/>
  <c r="Z940" i="14" l="1"/>
  <c r="AC940" i="14" s="1"/>
  <c r="U941" i="14" l="1"/>
  <c r="AD940" i="14"/>
  <c r="Y941" i="14" l="1"/>
  <c r="Z941" i="14" l="1"/>
  <c r="AC941" i="14" s="1"/>
  <c r="U942" i="14" l="1"/>
  <c r="AD941" i="14"/>
  <c r="Y942" i="14" l="1"/>
  <c r="Z942" i="14" l="1"/>
  <c r="AC942" i="14" s="1"/>
  <c r="U943" i="14" l="1"/>
  <c r="AD942" i="14"/>
  <c r="Y943" i="14" l="1"/>
  <c r="Z943" i="14" l="1"/>
  <c r="AC943" i="14" s="1"/>
  <c r="U944" i="14" l="1"/>
  <c r="AD943" i="14"/>
  <c r="Y944" i="14" l="1"/>
  <c r="Z944" i="14" l="1"/>
  <c r="AC944" i="14" s="1"/>
  <c r="U945" i="14" l="1"/>
  <c r="AD944" i="14"/>
  <c r="Y945" i="14" l="1"/>
  <c r="Z945" i="14" l="1"/>
  <c r="AC945" i="14" s="1"/>
  <c r="U946" i="14" l="1"/>
  <c r="AD945" i="14"/>
  <c r="Y946" i="14" l="1"/>
  <c r="Z946" i="14" l="1"/>
  <c r="AC946" i="14" s="1"/>
  <c r="U947" i="14" l="1"/>
  <c r="AD946" i="14"/>
  <c r="Y947" i="14" l="1"/>
  <c r="Z947" i="14" l="1"/>
  <c r="AC947" i="14" s="1"/>
  <c r="AD947" i="14" l="1"/>
  <c r="U948" i="14"/>
  <c r="Y948" i="14" l="1"/>
  <c r="Z948" i="14" l="1"/>
  <c r="AC948" i="14" s="1"/>
  <c r="U949" i="14" l="1"/>
  <c r="AD948" i="14"/>
  <c r="Y949" i="14" l="1"/>
  <c r="Z949" i="14" l="1"/>
  <c r="AC949" i="14" s="1"/>
  <c r="U950" i="14" l="1"/>
  <c r="AD949" i="14"/>
  <c r="Y950" i="14" l="1"/>
  <c r="Z950" i="14" l="1"/>
  <c r="AC950" i="14" s="1"/>
  <c r="U951" i="14" l="1"/>
  <c r="AD950" i="14"/>
  <c r="Y951" i="14" l="1"/>
  <c r="Z951" i="14" l="1"/>
  <c r="AC951" i="14" s="1"/>
  <c r="U952" i="14" l="1"/>
  <c r="AD951" i="14"/>
  <c r="Y952" i="14" l="1"/>
  <c r="Z952" i="14" l="1"/>
  <c r="AC952" i="14" s="1"/>
  <c r="U953" i="14" l="1"/>
  <c r="AD952" i="14"/>
  <c r="Y953" i="14" l="1"/>
  <c r="Z953" i="14" l="1"/>
  <c r="AC953" i="14" s="1"/>
  <c r="U954" i="14" l="1"/>
  <c r="AD953" i="14"/>
  <c r="Y954" i="14" l="1"/>
  <c r="Z954" i="14" l="1"/>
  <c r="AC954" i="14" s="1"/>
  <c r="U955" i="14" l="1"/>
  <c r="AD954" i="14"/>
  <c r="Y955" i="14" l="1"/>
  <c r="Z955" i="14" l="1"/>
  <c r="AC955" i="14" s="1"/>
  <c r="U956" i="14" l="1"/>
  <c r="AD955" i="14"/>
  <c r="Y956" i="14" l="1"/>
  <c r="Z956" i="14" l="1"/>
  <c r="AC956" i="14" s="1"/>
  <c r="U957" i="14" l="1"/>
  <c r="AD956" i="14"/>
  <c r="Y957" i="14" l="1"/>
  <c r="Z957" i="14" l="1"/>
  <c r="AC957" i="14" s="1"/>
  <c r="U958" i="14" l="1"/>
  <c r="AD957" i="14"/>
  <c r="Y958" i="14" l="1"/>
  <c r="Z958" i="14" l="1"/>
  <c r="AC958" i="14" s="1"/>
  <c r="U959" i="14" l="1"/>
  <c r="AD958" i="14"/>
  <c r="Y959" i="14" l="1"/>
  <c r="Z959" i="14" l="1"/>
  <c r="AC959" i="14" s="1"/>
  <c r="U960" i="14" l="1"/>
  <c r="AD959" i="14"/>
  <c r="Y960" i="14" l="1"/>
  <c r="Z960" i="14" l="1"/>
  <c r="AC960" i="14" s="1"/>
  <c r="U961" i="14" l="1"/>
  <c r="AD960" i="14"/>
  <c r="Y961" i="14" l="1"/>
  <c r="Z961" i="14" l="1"/>
  <c r="AC961" i="14" s="1"/>
  <c r="U962" i="14" l="1"/>
  <c r="AD961" i="14"/>
  <c r="Y962" i="14" l="1"/>
  <c r="Z962" i="14" l="1"/>
  <c r="AC962" i="14" s="1"/>
  <c r="U963" i="14" l="1"/>
  <c r="AD962" i="14"/>
  <c r="Y963" i="14" l="1"/>
  <c r="Z963" i="14" l="1"/>
  <c r="AC963" i="14" s="1"/>
  <c r="U964" i="14" l="1"/>
  <c r="AD963" i="14"/>
  <c r="Y964" i="14" l="1"/>
  <c r="Z964" i="14" l="1"/>
  <c r="AC964" i="14" s="1"/>
  <c r="U965" i="14" l="1"/>
  <c r="AD964" i="14"/>
  <c r="Y965" i="14" l="1"/>
  <c r="Z965" i="14" l="1"/>
  <c r="AC965" i="14" s="1"/>
  <c r="U966" i="14" l="1"/>
  <c r="AD965" i="14"/>
  <c r="Y966" i="14" l="1"/>
  <c r="Z966" i="14" l="1"/>
  <c r="AC966" i="14" s="1"/>
  <c r="U967" i="14" l="1"/>
  <c r="AD966" i="14"/>
  <c r="Y967" i="14" l="1"/>
  <c r="Z967" i="14" l="1"/>
  <c r="AC967" i="14" s="1"/>
  <c r="U968" i="14" l="1"/>
  <c r="AD967" i="14"/>
  <c r="Y968" i="14" l="1"/>
  <c r="Z968" i="14" l="1"/>
  <c r="AC968" i="14" s="1"/>
  <c r="U969" i="14" l="1"/>
  <c r="AD968" i="14"/>
  <c r="Y969" i="14" l="1"/>
  <c r="Z969" i="14" l="1"/>
  <c r="AC969" i="14" s="1"/>
  <c r="U970" i="14" l="1"/>
  <c r="AD969" i="14"/>
  <c r="Y970" i="14" l="1"/>
  <c r="Z970" i="14" l="1"/>
  <c r="AC970" i="14" s="1"/>
  <c r="U971" i="14" l="1"/>
  <c r="AD970" i="14"/>
  <c r="Y971" i="14" l="1"/>
  <c r="Z971" i="14" l="1"/>
  <c r="AC971" i="14" s="1"/>
  <c r="U972" i="14" l="1"/>
  <c r="AD971" i="14"/>
  <c r="Y972" i="14" l="1"/>
  <c r="Z972" i="14" l="1"/>
  <c r="AC972" i="14" s="1"/>
  <c r="U973" i="14" l="1"/>
  <c r="AD972" i="14"/>
  <c r="Y973" i="14" l="1"/>
  <c r="Z973" i="14" l="1"/>
  <c r="AC973" i="14" s="1"/>
  <c r="U974" i="14" l="1"/>
  <c r="AD973" i="14"/>
  <c r="Y974" i="14" l="1"/>
  <c r="Z974" i="14" l="1"/>
  <c r="AC974" i="14" s="1"/>
  <c r="U975" i="14" l="1"/>
  <c r="AD974" i="14"/>
  <c r="Y975" i="14" l="1"/>
  <c r="Z975" i="14" l="1"/>
  <c r="AC975" i="14" s="1"/>
  <c r="U976" i="14" l="1"/>
  <c r="AD975" i="14"/>
  <c r="Y976" i="14" l="1"/>
  <c r="Z976" i="14" l="1"/>
  <c r="AC976" i="14" s="1"/>
  <c r="U977" i="14" l="1"/>
  <c r="AD976" i="14"/>
  <c r="Y977" i="14" l="1"/>
  <c r="Z977" i="14" l="1"/>
  <c r="AC977" i="14" s="1"/>
  <c r="U978" i="14" l="1"/>
  <c r="AD977" i="14"/>
  <c r="Y978" i="14" l="1"/>
  <c r="Z978" i="14" s="1"/>
  <c r="AC978" i="14" s="1"/>
  <c r="AD978" i="14" l="1"/>
  <c r="U979" i="14"/>
  <c r="Y979" i="14" l="1"/>
  <c r="Z979" i="14" l="1"/>
  <c r="AC979" i="14" s="1"/>
  <c r="U980" i="14" l="1"/>
  <c r="AD979" i="14"/>
  <c r="Y980" i="14" l="1"/>
  <c r="Z980" i="14" l="1"/>
  <c r="AC980" i="14" s="1"/>
  <c r="U981" i="14" l="1"/>
  <c r="AD980" i="14"/>
  <c r="Y981" i="14" l="1"/>
  <c r="Z981" i="14" l="1"/>
  <c r="AC981" i="14" s="1"/>
  <c r="U982" i="14" l="1"/>
  <c r="AD981" i="14"/>
  <c r="Y982" i="14" l="1"/>
  <c r="Z982" i="14" l="1"/>
  <c r="AC982" i="14" s="1"/>
  <c r="U983" i="14" l="1"/>
  <c r="AD982" i="14"/>
  <c r="Y983" i="14" l="1"/>
  <c r="Z983" i="14" l="1"/>
  <c r="AC983" i="14" s="1"/>
  <c r="AD983" i="14" l="1"/>
  <c r="U984" i="14"/>
  <c r="Y984" i="14" l="1"/>
  <c r="Z984" i="14" l="1"/>
  <c r="AC984" i="14" s="1"/>
  <c r="AD984" i="14" l="1"/>
  <c r="U985" i="14"/>
  <c r="Y985" i="14" l="1"/>
  <c r="Z985" i="14" l="1"/>
  <c r="AC985" i="14" s="1"/>
  <c r="U986" i="14" l="1"/>
  <c r="AD985" i="14"/>
  <c r="Y986" i="14" l="1"/>
  <c r="Z986" i="14" l="1"/>
  <c r="AC986" i="14" s="1"/>
  <c r="U987" i="14" l="1"/>
  <c r="AD986" i="14"/>
  <c r="Y987" i="14" l="1"/>
  <c r="Z987" i="14" l="1"/>
  <c r="AC987" i="14" s="1"/>
  <c r="U988" i="14" l="1"/>
  <c r="AD987" i="14"/>
  <c r="Y988" i="14" l="1"/>
  <c r="Z988" i="14" s="1"/>
  <c r="AC988" i="14" s="1"/>
  <c r="U989" i="14" l="1"/>
  <c r="AD988" i="14"/>
  <c r="Y989" i="14" l="1"/>
  <c r="Z989" i="14" l="1"/>
  <c r="AC989" i="14" s="1"/>
  <c r="U990" i="14" l="1"/>
  <c r="AD989" i="14"/>
  <c r="Y990" i="14" l="1"/>
  <c r="Z990" i="14" l="1"/>
  <c r="AC990" i="14" s="1"/>
  <c r="U991" i="14" l="1"/>
  <c r="AD990" i="14"/>
  <c r="Y991" i="14" l="1"/>
  <c r="Z991" i="14" l="1"/>
  <c r="AC991" i="14" s="1"/>
  <c r="U992" i="14" l="1"/>
  <c r="AD991" i="14"/>
  <c r="Y992" i="14" l="1"/>
  <c r="Z992" i="14" l="1"/>
  <c r="AC992" i="14" s="1"/>
  <c r="U993" i="14" l="1"/>
  <c r="AD992" i="14"/>
  <c r="Y993" i="14" l="1"/>
  <c r="Z993" i="14" l="1"/>
  <c r="AC993" i="14" s="1"/>
  <c r="U994" i="14" l="1"/>
  <c r="AD993" i="14"/>
  <c r="Y994" i="14" l="1"/>
  <c r="Z994" i="14" l="1"/>
  <c r="AC994" i="14" s="1"/>
  <c r="U995" i="14" l="1"/>
  <c r="AD994" i="14"/>
  <c r="Y995" i="14" l="1"/>
  <c r="Z995" i="14" l="1"/>
  <c r="AC995" i="14" s="1"/>
  <c r="U996" i="14" l="1"/>
  <c r="AD995" i="14"/>
  <c r="Y996" i="14" l="1"/>
  <c r="Z996" i="14" l="1"/>
  <c r="AC996" i="14" s="1"/>
  <c r="AD996" i="14" l="1"/>
  <c r="U997" i="14"/>
  <c r="Y997" i="14" l="1"/>
  <c r="Z997" i="14" l="1"/>
  <c r="AC997" i="14" s="1"/>
  <c r="U998" i="14" l="1"/>
  <c r="AD997" i="14"/>
  <c r="Y998" i="14" l="1"/>
  <c r="Z998" i="14" l="1"/>
  <c r="AC998" i="14" s="1"/>
  <c r="U999" i="14" l="1"/>
  <c r="AD998" i="14"/>
  <c r="Y999" i="14" l="1"/>
  <c r="Z999" i="14" l="1"/>
  <c r="AC999" i="14" s="1"/>
  <c r="U1000" i="14" l="1"/>
  <c r="AD999" i="14"/>
  <c r="Y1000" i="14" l="1"/>
  <c r="Z1000" i="14" l="1"/>
  <c r="AC1000" i="14" s="1"/>
  <c r="U1001" i="14" l="1"/>
  <c r="AD1000" i="14"/>
  <c r="Y1001" i="14" l="1"/>
  <c r="Z1001" i="14" l="1"/>
  <c r="AC1001" i="14" s="1"/>
  <c r="U1002" i="14" l="1"/>
  <c r="AD1001" i="14"/>
  <c r="Y1002" i="14" l="1"/>
  <c r="Z1002" i="14" l="1"/>
  <c r="AC1002" i="14" s="1"/>
  <c r="U1003" i="14" l="1"/>
  <c r="AD1002" i="14"/>
  <c r="Y1003" i="14" l="1"/>
  <c r="Z1003" i="14" l="1"/>
  <c r="AC1003" i="14" s="1"/>
  <c r="U1004" i="14" l="1"/>
  <c r="AD1003" i="14"/>
  <c r="Y1004" i="14" l="1"/>
  <c r="Z1004" i="14" l="1"/>
  <c r="AC1004" i="14" s="1"/>
  <c r="U1005" i="14" l="1"/>
  <c r="AD1004" i="14"/>
  <c r="Y1005" i="14" l="1"/>
  <c r="Z1005" i="14" l="1"/>
  <c r="AC1005" i="14" s="1"/>
  <c r="U1006" i="14" l="1"/>
  <c r="AD1005" i="14"/>
  <c r="Y1006" i="14" l="1"/>
  <c r="Z1006" i="14" l="1"/>
  <c r="AC1006" i="14" s="1"/>
  <c r="U1007" i="14" l="1"/>
  <c r="AD1006" i="14"/>
  <c r="Y1007" i="14" l="1"/>
  <c r="Z1007" i="14" l="1"/>
  <c r="AC1007" i="14" s="1"/>
  <c r="AD1007" i="14" l="1"/>
  <c r="U1008" i="14"/>
  <c r="Y1008" i="14" l="1"/>
  <c r="Z1008" i="14" l="1"/>
  <c r="AC1008" i="14" s="1"/>
  <c r="U1009" i="14" l="1"/>
  <c r="AD1008" i="14"/>
  <c r="Y1009" i="14" l="1"/>
  <c r="Z1009" i="14" l="1"/>
  <c r="AC1009" i="14" s="1"/>
  <c r="U1010" i="14" l="1"/>
  <c r="AD1009" i="14"/>
  <c r="Y1010" i="14" l="1"/>
  <c r="Z1010" i="14" l="1"/>
  <c r="AC1010" i="14" s="1"/>
  <c r="U1011" i="14" l="1"/>
  <c r="AD1010" i="14"/>
  <c r="Y1011" i="14" l="1"/>
  <c r="Z1011" i="14" l="1"/>
  <c r="AC1011" i="14" s="1"/>
  <c r="U1012" i="14" l="1"/>
  <c r="AD1011" i="14"/>
  <c r="Y1012" i="14" l="1"/>
  <c r="Z1012" i="14" l="1"/>
  <c r="AC1012" i="14" s="1"/>
  <c r="U1013" i="14" l="1"/>
  <c r="AD1012" i="14"/>
  <c r="Y1013" i="14" l="1"/>
  <c r="Z1013" i="14" l="1"/>
  <c r="AC1013" i="14" s="1"/>
  <c r="U1014" i="14" l="1"/>
  <c r="AD1013" i="14"/>
  <c r="Y1014" i="14" l="1"/>
  <c r="Z1014" i="14" s="1"/>
  <c r="AC1014" i="14" s="1"/>
  <c r="U1015" i="14" l="1"/>
  <c r="AD1014" i="14"/>
  <c r="Y1015" i="14" l="1"/>
  <c r="Z1015" i="14" l="1"/>
  <c r="AC1015" i="14" s="1"/>
  <c r="U1016" i="14" l="1"/>
  <c r="AD1015" i="14"/>
  <c r="Y1016" i="14" l="1"/>
  <c r="Z1016" i="14" l="1"/>
  <c r="AC1016" i="14" s="1"/>
  <c r="U1017" i="14" l="1"/>
  <c r="AD1016" i="14"/>
  <c r="Y1017" i="14" l="1"/>
  <c r="Z1017" i="14" l="1"/>
  <c r="AC1017" i="14" s="1"/>
  <c r="U1018" i="14" l="1"/>
  <c r="AD1017" i="14"/>
  <c r="Y1018" i="14" l="1"/>
  <c r="Z1018" i="14" l="1"/>
  <c r="AC1018" i="14" s="1"/>
  <c r="U1019" i="14" l="1"/>
  <c r="AD1018" i="14"/>
  <c r="Y1019" i="14" l="1"/>
  <c r="Z1019" i="14" l="1"/>
  <c r="AC1019" i="14" s="1"/>
  <c r="U1020" i="14" l="1"/>
  <c r="AD1019" i="14"/>
  <c r="Y1020" i="14" l="1"/>
  <c r="Z1020" i="14" l="1"/>
  <c r="AC1020" i="14" s="1"/>
  <c r="U1021" i="14" l="1"/>
  <c r="AD1020" i="14"/>
  <c r="Y1021" i="14" l="1"/>
  <c r="Z1021" i="14" l="1"/>
  <c r="AC1021" i="14" s="1"/>
  <c r="U1022" i="14" l="1"/>
  <c r="AD1021" i="14"/>
  <c r="Y1022" i="14" l="1"/>
  <c r="Z1022" i="14" l="1"/>
  <c r="AC1022" i="14" s="1"/>
  <c r="U1023" i="14" l="1"/>
  <c r="AD1022" i="14"/>
  <c r="Y1023" i="14" l="1"/>
  <c r="Z1023" i="14" l="1"/>
  <c r="AC1023" i="14" s="1"/>
  <c r="U1024" i="14" l="1"/>
  <c r="AD1023" i="14"/>
  <c r="Y1024" i="14" l="1"/>
  <c r="Z1024" i="14" l="1"/>
  <c r="AC1024" i="14" s="1"/>
  <c r="U1025" i="14" l="1"/>
  <c r="AD1024" i="14"/>
  <c r="Y1025" i="14" l="1"/>
  <c r="Z1025" i="14" l="1"/>
  <c r="AC1025" i="14" s="1"/>
  <c r="U1026" i="14" l="1"/>
  <c r="AD1025" i="14"/>
  <c r="Y1026" i="14" l="1"/>
  <c r="Z1026" i="14" l="1"/>
  <c r="AC1026" i="14" s="1"/>
  <c r="U1027" i="14" l="1"/>
  <c r="AD1026" i="14"/>
  <c r="Y1027" i="14" l="1"/>
  <c r="Z1027" i="14" l="1"/>
  <c r="AC1027" i="14" s="1"/>
  <c r="U1028" i="14" l="1"/>
  <c r="AD1027" i="14"/>
  <c r="Y1028" i="14" l="1"/>
  <c r="Z1028" i="14" l="1"/>
  <c r="AC1028" i="14" s="1"/>
  <c r="U1029" i="14" l="1"/>
  <c r="AD1028" i="14"/>
  <c r="Y1029" i="14" l="1"/>
  <c r="Z1029" i="14" l="1"/>
  <c r="AC1029" i="14" s="1"/>
  <c r="U1030" i="14" l="1"/>
  <c r="AD1029" i="14"/>
  <c r="Y1030" i="14" l="1"/>
  <c r="Z1030" i="14" l="1"/>
  <c r="AC1030" i="14" s="1"/>
  <c r="U1031" i="14" l="1"/>
  <c r="AD1030" i="14"/>
  <c r="Y1031" i="14" l="1"/>
  <c r="Z1031" i="14" l="1"/>
  <c r="AC1031" i="14" s="1"/>
  <c r="U1032" i="14" l="1"/>
  <c r="AD1031" i="14"/>
  <c r="Y1032" i="14" l="1"/>
  <c r="Z1032" i="14" l="1"/>
  <c r="AC1032" i="14" s="1"/>
  <c r="U1033" i="14" l="1"/>
  <c r="AD1032" i="14"/>
  <c r="Y1033" i="14" l="1"/>
  <c r="Z1033" i="14" l="1"/>
  <c r="AC1033" i="14" s="1"/>
  <c r="U1034" i="14" l="1"/>
  <c r="AD1033" i="14"/>
  <c r="Y1034" i="14" l="1"/>
  <c r="Z1034" i="14" l="1"/>
  <c r="AC1034" i="14" s="1"/>
  <c r="U1035" i="14" l="1"/>
  <c r="AD1034" i="14"/>
  <c r="Y1035" i="14" l="1"/>
  <c r="Z1035" i="14" l="1"/>
  <c r="AC1035" i="14" s="1"/>
  <c r="U1036" i="14" l="1"/>
  <c r="AD1035" i="14"/>
  <c r="Y1036" i="14" l="1"/>
  <c r="Z1036" i="14" l="1"/>
  <c r="AC1036" i="14" s="1"/>
  <c r="U1037" i="14" l="1"/>
  <c r="AD1036" i="14"/>
  <c r="Y1037" i="14" l="1"/>
  <c r="Z1037" i="14" l="1"/>
  <c r="AC1037" i="14" s="1"/>
  <c r="U1038" i="14" l="1"/>
  <c r="AD1037" i="14"/>
  <c r="Y1038" i="14" l="1"/>
  <c r="Z1038" i="14" l="1"/>
  <c r="AC1038" i="14" s="1"/>
  <c r="U1039" i="14" l="1"/>
  <c r="AD1038" i="14"/>
  <c r="Y1039" i="14" l="1"/>
  <c r="Z1039" i="14" l="1"/>
  <c r="AC1039" i="14" s="1"/>
  <c r="U1040" i="14" l="1"/>
  <c r="AD1039" i="14"/>
  <c r="Y1040" i="14" l="1"/>
  <c r="Z1040" i="14" s="1"/>
  <c r="AC1040" i="14" s="1"/>
  <c r="U1041" i="14" l="1"/>
  <c r="AD1040" i="14"/>
  <c r="Y1041" i="14" l="1"/>
  <c r="Z1041" i="14" l="1"/>
  <c r="AC1041" i="14" s="1"/>
  <c r="U1042" i="14" l="1"/>
  <c r="AD1041" i="14"/>
  <c r="Y1042" i="14" l="1"/>
  <c r="Z1042" i="14" l="1"/>
  <c r="AC1042" i="14" s="1"/>
  <c r="U1043" i="14" l="1"/>
  <c r="AD1042" i="14"/>
  <c r="Y1043" i="14" l="1"/>
  <c r="Z1043" i="14" l="1"/>
  <c r="AC1043" i="14" s="1"/>
  <c r="U1044" i="14" l="1"/>
  <c r="AD1043" i="14"/>
  <c r="Y1044" i="14" l="1"/>
  <c r="Z1044" i="14" s="1"/>
  <c r="AC1044" i="14" s="1"/>
  <c r="U1045" i="14" l="1"/>
  <c r="AD1044" i="14"/>
  <c r="Y1045" i="14" l="1"/>
  <c r="Z1045" i="14" l="1"/>
  <c r="AC1045" i="14" s="1"/>
  <c r="U1046" i="14" l="1"/>
  <c r="AD1045" i="14"/>
  <c r="Y1046" i="14" l="1"/>
  <c r="Z1046" i="14" l="1"/>
  <c r="AC1046" i="14" s="1"/>
  <c r="U1047" i="14" l="1"/>
  <c r="AD1046" i="14"/>
  <c r="Y1047" i="14" l="1"/>
  <c r="Z1047" i="14" l="1"/>
  <c r="AC1047" i="14" s="1"/>
  <c r="U1048" i="14" l="1"/>
  <c r="AD1047" i="14"/>
  <c r="Y1048" i="14" l="1"/>
  <c r="Z1048" i="14" l="1"/>
  <c r="AC1048" i="14" s="1"/>
  <c r="U1049" i="14" l="1"/>
  <c r="AD1048" i="14"/>
  <c r="Y1049" i="14" l="1"/>
  <c r="Z1049" i="14" l="1"/>
  <c r="AC1049" i="14" s="1"/>
  <c r="U1050" i="14" l="1"/>
  <c r="AD1049" i="14"/>
  <c r="Y1050" i="14" l="1"/>
  <c r="Z1050" i="14" l="1"/>
  <c r="AC1050" i="14" s="1"/>
  <c r="U1051" i="14" l="1"/>
  <c r="AD1050" i="14"/>
  <c r="Y1051" i="14" l="1"/>
  <c r="Z1051" i="14" l="1"/>
  <c r="AC1051" i="14" s="1"/>
  <c r="U1052" i="14" l="1"/>
  <c r="AD1051" i="14"/>
  <c r="Y1052" i="14" l="1"/>
  <c r="Z1052" i="14" l="1"/>
  <c r="AC1052" i="14" s="1"/>
  <c r="U1053" i="14" l="1"/>
  <c r="AD1052" i="14"/>
  <c r="Y1053" i="14" l="1"/>
  <c r="Z1053" i="14" l="1"/>
  <c r="AC1053" i="14" s="1"/>
  <c r="U1054" i="14" l="1"/>
  <c r="AD1053" i="14"/>
  <c r="Y1054" i="14" l="1"/>
  <c r="Z1054" i="14" l="1"/>
  <c r="AC1054" i="14" s="1"/>
  <c r="U1055" i="14" l="1"/>
  <c r="AD1054" i="14"/>
  <c r="Y1055" i="14" l="1"/>
  <c r="Z1055" i="14" l="1"/>
  <c r="AC1055" i="14" s="1"/>
  <c r="AD1055" i="14" l="1"/>
  <c r="U1056" i="14"/>
  <c r="Y1056" i="14" l="1"/>
  <c r="Z1056" i="14" l="1"/>
  <c r="AC1056" i="14" s="1"/>
  <c r="U1057" i="14" l="1"/>
  <c r="AD1056" i="14"/>
  <c r="Y1057" i="14" l="1"/>
  <c r="Z1057" i="14" l="1"/>
  <c r="AC1057" i="14" s="1"/>
  <c r="U1058" i="14" l="1"/>
  <c r="AD1057" i="14"/>
  <c r="Y1058" i="14" l="1"/>
  <c r="Z1058" i="14" l="1"/>
  <c r="AC1058" i="14" s="1"/>
  <c r="U1059" i="14" l="1"/>
  <c r="AD1058" i="14"/>
  <c r="Y1059" i="14" l="1"/>
  <c r="Z1059" i="14" l="1"/>
  <c r="AC1059" i="14" s="1"/>
  <c r="U1060" i="14" l="1"/>
  <c r="AD1059" i="14"/>
  <c r="Y1060" i="14" l="1"/>
  <c r="Z1060" i="14" l="1"/>
  <c r="AC1060" i="14" s="1"/>
  <c r="U1061" i="14" l="1"/>
  <c r="AD1060" i="14"/>
  <c r="Y1061" i="14" l="1"/>
  <c r="Z1061" i="14" l="1"/>
  <c r="AC1061" i="14" s="1"/>
  <c r="U1062" i="14" l="1"/>
  <c r="AD1061" i="14"/>
  <c r="Y1062" i="14" l="1"/>
  <c r="Z1062" i="14" l="1"/>
  <c r="AC1062" i="14" s="1"/>
  <c r="U1063" i="14" l="1"/>
  <c r="AD1062" i="14"/>
  <c r="Y1063" i="14" l="1"/>
  <c r="Z1063" i="14" l="1"/>
  <c r="AC1063" i="14" s="1"/>
  <c r="U1064" i="14" l="1"/>
  <c r="AD1063" i="14"/>
  <c r="Y1064" i="14" l="1"/>
  <c r="Z1064" i="14" l="1"/>
  <c r="AC1064" i="14" s="1"/>
  <c r="U1065" i="14" l="1"/>
  <c r="AD1064" i="14"/>
  <c r="Y1065" i="14" l="1"/>
  <c r="Z1065" i="14" l="1"/>
  <c r="AC1065" i="14" s="1"/>
  <c r="U1066" i="14" l="1"/>
  <c r="AD1065" i="14"/>
  <c r="Y1066" i="14" l="1"/>
  <c r="Z1066" i="14" l="1"/>
  <c r="AC1066" i="14" s="1"/>
  <c r="U1067" i="14" l="1"/>
  <c r="AD1066" i="14"/>
  <c r="Y1067" i="14" l="1"/>
  <c r="Z1067" i="14" l="1"/>
  <c r="AC1067" i="14" s="1"/>
  <c r="U1068" i="14" l="1"/>
  <c r="AD1067" i="14"/>
  <c r="Y1068" i="14" l="1"/>
  <c r="Z1068" i="14" l="1"/>
  <c r="AC1068" i="14" s="1"/>
  <c r="U1069" i="14" l="1"/>
  <c r="AD1068" i="14"/>
  <c r="Y1069" i="14" l="1"/>
  <c r="Z1069" i="14" s="1"/>
  <c r="AC1069" i="14" s="1"/>
  <c r="U1070" i="14" l="1"/>
  <c r="AD1069" i="14"/>
  <c r="Y1070" i="14" l="1"/>
  <c r="Z1070" i="14" l="1"/>
  <c r="AC1070" i="14" s="1"/>
  <c r="U1071" i="14" l="1"/>
  <c r="AD1070" i="14"/>
  <c r="Y1071" i="14" l="1"/>
  <c r="Z1071" i="14" l="1"/>
  <c r="AC1071" i="14" s="1"/>
  <c r="U1072" i="14" l="1"/>
  <c r="AD1071" i="14"/>
  <c r="Y1072" i="14" l="1"/>
  <c r="Z1072" i="14" l="1"/>
  <c r="AC1072" i="14" s="1"/>
  <c r="U1073" i="14" l="1"/>
  <c r="AD1072" i="14"/>
  <c r="Y1073" i="14" l="1"/>
  <c r="Z1073" i="14" l="1"/>
  <c r="AC1073" i="14" s="1"/>
  <c r="AD1073" i="14" l="1"/>
  <c r="U1074" i="14"/>
  <c r="Y1074" i="14" l="1"/>
  <c r="Z1074" i="14" l="1"/>
  <c r="AC1074" i="14" s="1"/>
  <c r="U1075" i="14" l="1"/>
  <c r="AD1074" i="14"/>
  <c r="Y1075" i="14" l="1"/>
  <c r="Z1075" i="14" l="1"/>
  <c r="AC1075" i="14" s="1"/>
  <c r="U1076" i="14" l="1"/>
  <c r="AD1075" i="14"/>
  <c r="Y1076" i="14" l="1"/>
  <c r="Z1076" i="14" l="1"/>
  <c r="AC1076" i="14" s="1"/>
  <c r="U1077" i="14" l="1"/>
  <c r="AD1076" i="14"/>
  <c r="Y1077" i="14" l="1"/>
  <c r="Z1077" i="14" l="1"/>
  <c r="AC1077" i="14" s="1"/>
  <c r="U1078" i="14" l="1"/>
  <c r="AD1077" i="14"/>
  <c r="Y1078" i="14" l="1"/>
  <c r="Z1078" i="14" l="1"/>
  <c r="AC1078" i="14" s="1"/>
  <c r="U1079" i="14" l="1"/>
  <c r="AD1078" i="14"/>
  <c r="Y1079" i="14" l="1"/>
  <c r="Z1079" i="14" s="1"/>
  <c r="AC1079" i="14" s="1"/>
  <c r="U1080" i="14" l="1"/>
  <c r="AD1079" i="14"/>
  <c r="Y1080" i="14" l="1"/>
  <c r="Z1080" i="14" l="1"/>
  <c r="AC1080" i="14" s="1"/>
  <c r="AD1080" i="14" l="1"/>
  <c r="U1081" i="14"/>
  <c r="Y1081" i="14" l="1"/>
  <c r="Z1081" i="14" l="1"/>
  <c r="AC1081" i="14" s="1"/>
  <c r="U1082" i="14" l="1"/>
  <c r="AD1081" i="14"/>
  <c r="Y1082" i="14" l="1"/>
  <c r="Z1082" i="14" l="1"/>
  <c r="AC1082" i="14" s="1"/>
  <c r="U1083" i="14" l="1"/>
  <c r="AD1082" i="14"/>
  <c r="Y1083" i="14" l="1"/>
  <c r="Z1083" i="14" s="1"/>
  <c r="AC1083" i="14" s="1"/>
  <c r="U1084" i="14" l="1"/>
  <c r="AD1083" i="14"/>
  <c r="Y1084" i="14" l="1"/>
  <c r="Z1084" i="14" l="1"/>
  <c r="AC1084" i="14" s="1"/>
  <c r="U1085" i="14" l="1"/>
  <c r="AD1084" i="14"/>
  <c r="Y1085" i="14" l="1"/>
  <c r="Z1085" i="14" l="1"/>
  <c r="AC1085" i="14" s="1"/>
  <c r="U1086" i="14" l="1"/>
  <c r="AD1085" i="14"/>
  <c r="Y1086" i="14" l="1"/>
  <c r="Z1086" i="14" s="1"/>
  <c r="AC1086" i="14" s="1"/>
  <c r="AD1086" i="14" l="1"/>
  <c r="U1087" i="14"/>
  <c r="Y1087" i="14" l="1"/>
  <c r="Z1087" i="14" l="1"/>
  <c r="AC1087" i="14" s="1"/>
  <c r="U1088" i="14" l="1"/>
  <c r="AD1087" i="14"/>
  <c r="Y1088" i="14" l="1"/>
  <c r="Z1088" i="14" l="1"/>
  <c r="AC1088" i="14" s="1"/>
  <c r="U1089" i="14" l="1"/>
  <c r="AD1088" i="14"/>
  <c r="Y1089" i="14" l="1"/>
  <c r="Z1089" i="14" l="1"/>
  <c r="AC1089" i="14" s="1"/>
  <c r="U1090" i="14" l="1"/>
  <c r="AD1089" i="14"/>
  <c r="Y1090" i="14" l="1"/>
  <c r="Z1090" i="14" l="1"/>
  <c r="AC1090" i="14" s="1"/>
  <c r="U1091" i="14" l="1"/>
  <c r="AD1090" i="14"/>
  <c r="Y1091" i="14" l="1"/>
  <c r="Z1091" i="14" l="1"/>
  <c r="AC1091" i="14" s="1"/>
  <c r="U1092" i="14" l="1"/>
  <c r="AD1091" i="14"/>
  <c r="Y1092" i="14" l="1"/>
  <c r="Z1092" i="14" l="1"/>
  <c r="AC1092" i="14" s="1"/>
  <c r="U1093" i="14" l="1"/>
  <c r="AD1092" i="14"/>
  <c r="Y1093" i="14" l="1"/>
  <c r="Z1093" i="14" l="1"/>
  <c r="AC1093" i="14" s="1"/>
  <c r="U1094" i="14" l="1"/>
  <c r="AD1093" i="14"/>
  <c r="Y1094" i="14" l="1"/>
  <c r="Z1094" i="14" l="1"/>
  <c r="AC1094" i="14" s="1"/>
  <c r="U1095" i="14" l="1"/>
  <c r="AD1094" i="14"/>
  <c r="Y1095" i="14" l="1"/>
  <c r="Z1095" i="14" l="1"/>
  <c r="AC1095" i="14" s="1"/>
  <c r="U1096" i="14" l="1"/>
  <c r="AD1095" i="14"/>
  <c r="Y1096" i="14" l="1"/>
  <c r="Z1096" i="14" l="1"/>
  <c r="AC1096" i="14" s="1"/>
  <c r="U1097" i="14" l="1"/>
  <c r="AD1096" i="14"/>
  <c r="Y1097" i="14" l="1"/>
  <c r="Z1097" i="14" l="1"/>
  <c r="AC1097" i="14" s="1"/>
  <c r="U1098" i="14" l="1"/>
  <c r="AD1097" i="14"/>
  <c r="Y1098" i="14" l="1"/>
  <c r="Z1098" i="14" l="1"/>
  <c r="AC1098" i="14" s="1"/>
  <c r="U1099" i="14" l="1"/>
  <c r="AD1098" i="14"/>
  <c r="Y1099" i="14" l="1"/>
  <c r="Z1099" i="14" l="1"/>
  <c r="AC1099" i="14" s="1"/>
  <c r="U1100" i="14" l="1"/>
  <c r="AD1099" i="14"/>
  <c r="Y1100" i="14" l="1"/>
  <c r="Z1100" i="14" l="1"/>
  <c r="AC1100" i="14" s="1"/>
  <c r="U1101" i="14" l="1"/>
  <c r="AD1100" i="14"/>
  <c r="Y1101" i="14" l="1"/>
  <c r="Z1101" i="14" l="1"/>
  <c r="AC1101" i="14" s="1"/>
  <c r="U1102" i="14" l="1"/>
  <c r="AD1101" i="14"/>
  <c r="Y1102" i="14" l="1"/>
  <c r="Z1102" i="14" l="1"/>
  <c r="AC1102" i="14" s="1"/>
  <c r="U1103" i="14" l="1"/>
  <c r="AD1102" i="14"/>
  <c r="Y1103" i="14" l="1"/>
  <c r="Z1103" i="14" l="1"/>
  <c r="AC1103" i="14" s="1"/>
  <c r="U1104" i="14" l="1"/>
  <c r="AD1103" i="14"/>
  <c r="Y1104" i="14" l="1"/>
  <c r="Z1104" i="14" l="1"/>
  <c r="AC1104" i="14" s="1"/>
  <c r="U1105" i="14" l="1"/>
  <c r="AD1104" i="14"/>
  <c r="Y1105" i="14" l="1"/>
  <c r="Z1105" i="14" s="1"/>
  <c r="AC1105" i="14" s="1"/>
  <c r="U1106" i="14" l="1"/>
  <c r="AD1105" i="14"/>
  <c r="Y1106" i="14" l="1"/>
  <c r="Z1106" i="14" l="1"/>
  <c r="AC1106" i="14" s="1"/>
  <c r="U1107" i="14" l="1"/>
  <c r="AD1106" i="14"/>
  <c r="Y1107" i="14" l="1"/>
  <c r="Z1107" i="14" l="1"/>
  <c r="AC1107" i="14" s="1"/>
  <c r="U1108" i="14" l="1"/>
  <c r="AD1107" i="14"/>
  <c r="Y1108" i="14" l="1"/>
  <c r="Z1108" i="14" l="1"/>
  <c r="AC1108" i="14" s="1"/>
  <c r="U1109" i="14" l="1"/>
  <c r="AD1108" i="14"/>
  <c r="Y1109" i="14" l="1"/>
  <c r="Z1109" i="14" l="1"/>
  <c r="AC1109" i="14" s="1"/>
  <c r="AD1109" i="14" l="1"/>
  <c r="U1110" i="14"/>
  <c r="Y1110" i="14" l="1"/>
  <c r="Z1110" i="14" l="1"/>
  <c r="AC1110" i="14" s="1"/>
  <c r="U1111" i="14" l="1"/>
  <c r="AD1110" i="14"/>
  <c r="Y1111" i="14" l="1"/>
  <c r="Z1111" i="14" l="1"/>
  <c r="AC1111" i="14" s="1"/>
  <c r="U1112" i="14" l="1"/>
  <c r="AD1111" i="14"/>
  <c r="Y1112" i="14" l="1"/>
  <c r="Z1112" i="14" l="1"/>
  <c r="AC1112" i="14" s="1"/>
  <c r="U1113" i="14" l="1"/>
  <c r="AD1112" i="14"/>
  <c r="Y1113" i="14" l="1"/>
  <c r="Z1113" i="14" l="1"/>
  <c r="AC1113" i="14" s="1"/>
  <c r="AD1113" i="14" l="1"/>
  <c r="U1114" i="14"/>
  <c r="Y1114" i="14" l="1"/>
  <c r="Z1114" i="14" l="1"/>
  <c r="AC1114" i="14" s="1"/>
  <c r="U1115" i="14" l="1"/>
  <c r="AD1114" i="14"/>
  <c r="Y1115" i="14" l="1"/>
  <c r="Z1115" i="14" l="1"/>
  <c r="AC1115" i="14" s="1"/>
  <c r="U1116" i="14" l="1"/>
  <c r="AD1115" i="14"/>
  <c r="Y1116" i="14" l="1"/>
  <c r="Z1116" i="14" l="1"/>
  <c r="AC1116" i="14" s="1"/>
  <c r="U1117" i="14" l="1"/>
  <c r="AD1116" i="14"/>
  <c r="Y1117" i="14" l="1"/>
  <c r="Z1117" i="14" l="1"/>
  <c r="AC1117" i="14" s="1"/>
  <c r="U1118" i="14" l="1"/>
  <c r="AD1117" i="14"/>
  <c r="Y1118" i="14" l="1"/>
  <c r="Z1118" i="14" l="1"/>
  <c r="AC1118" i="14" s="1"/>
  <c r="U1119" i="14" l="1"/>
  <c r="AD1118" i="14"/>
  <c r="Y1119" i="14" l="1"/>
  <c r="Z1119" i="14" l="1"/>
  <c r="AC1119" i="14" s="1"/>
  <c r="U1120" i="14" l="1"/>
  <c r="AD1119" i="14"/>
  <c r="Y1120" i="14" l="1"/>
  <c r="Z1120" i="14" l="1"/>
  <c r="AC1120" i="14" s="1"/>
  <c r="U1121" i="14" l="1"/>
  <c r="AD1120" i="14"/>
  <c r="Y1121" i="14" l="1"/>
  <c r="Z1121" i="14" l="1"/>
  <c r="AC1121" i="14" s="1"/>
  <c r="U1122" i="14" l="1"/>
  <c r="AD1121" i="14"/>
  <c r="Y1122" i="14" l="1"/>
  <c r="Z1122" i="14" l="1"/>
  <c r="AC1122" i="14" s="1"/>
  <c r="U1123" i="14" l="1"/>
  <c r="AD1122" i="14"/>
  <c r="Y1123" i="14" l="1"/>
  <c r="Z1123" i="14" l="1"/>
  <c r="AC1123" i="14" s="1"/>
  <c r="U1124" i="14" l="1"/>
  <c r="AD1123" i="14"/>
  <c r="Y1124" i="14" l="1"/>
  <c r="Z1124" i="14" l="1"/>
  <c r="AC1124" i="14" s="1"/>
  <c r="AD1124" i="14" l="1"/>
  <c r="U1125" i="14"/>
  <c r="Y1125" i="14" l="1"/>
  <c r="Z1125" i="14" l="1"/>
  <c r="AC1125" i="14" s="1"/>
  <c r="U1126" i="14" l="1"/>
  <c r="AD1125" i="14"/>
  <c r="Y1126" i="14" l="1"/>
  <c r="Z1126" i="14" l="1"/>
  <c r="AC1126" i="14" s="1"/>
  <c r="U1127" i="14" l="1"/>
  <c r="AD1126" i="14"/>
  <c r="Y1127" i="14" l="1"/>
  <c r="Z1127" i="14" l="1"/>
  <c r="AC1127" i="14" s="1"/>
  <c r="U1128" i="14" l="1"/>
  <c r="AD1127" i="14"/>
  <c r="Y1128" i="14" l="1"/>
  <c r="Z1128" i="14" l="1"/>
  <c r="AC1128" i="14" s="1"/>
  <c r="U1129" i="14" l="1"/>
  <c r="AD1128" i="14"/>
  <c r="Y1129" i="14" l="1"/>
  <c r="Z1129" i="14" l="1"/>
  <c r="AC1129" i="14" s="1"/>
  <c r="U1130" i="14" l="1"/>
  <c r="AD1129" i="14"/>
  <c r="Y1130" i="14" l="1"/>
  <c r="Z1130" i="14" l="1"/>
  <c r="AC1130" i="14" s="1"/>
  <c r="U1131" i="14" l="1"/>
  <c r="AD1130" i="14"/>
  <c r="Y1131" i="14" l="1"/>
  <c r="Z1131" i="14" l="1"/>
  <c r="AC1131" i="14" s="1"/>
  <c r="U1132" i="14" l="1"/>
  <c r="AD1131" i="14"/>
  <c r="Y1132" i="14" l="1"/>
  <c r="Z1132" i="14" l="1"/>
  <c r="AC1132" i="14" s="1"/>
  <c r="U1133" i="14" l="1"/>
  <c r="AD1132" i="14"/>
  <c r="Y1133" i="14" l="1"/>
  <c r="Z1133" i="14" l="1"/>
  <c r="AC1133" i="14" s="1"/>
  <c r="U1134" i="14" l="1"/>
  <c r="AD1133" i="14"/>
  <c r="Y1134" i="14" l="1"/>
  <c r="Z1134" i="14" l="1"/>
  <c r="AC1134" i="14" s="1"/>
  <c r="U1135" i="14" l="1"/>
  <c r="AD1134" i="14"/>
  <c r="Y1135" i="14" l="1"/>
  <c r="Z1135" i="14" s="1"/>
  <c r="AC1135" i="14" s="1"/>
  <c r="U1136" i="14" l="1"/>
  <c r="AD1135" i="14"/>
  <c r="Y1136" i="14" l="1"/>
  <c r="Z1136" i="14" l="1"/>
  <c r="AC1136" i="14" s="1"/>
  <c r="U1137" i="14" l="1"/>
  <c r="AD1136" i="14"/>
  <c r="Y1137" i="14" l="1"/>
  <c r="Z1137" i="14" s="1"/>
  <c r="AC1137" i="14" s="1"/>
  <c r="U1138" i="14" l="1"/>
  <c r="AD1137" i="14"/>
  <c r="Y1138" i="14" l="1"/>
  <c r="Z1138" i="14" l="1"/>
  <c r="AC1138" i="14" s="1"/>
  <c r="U1139" i="14" l="1"/>
  <c r="AD1138" i="14"/>
  <c r="Y1139" i="14" l="1"/>
  <c r="Z1139" i="14" l="1"/>
  <c r="AC1139" i="14" s="1"/>
  <c r="U1140" i="14" l="1"/>
  <c r="AD1139" i="14"/>
  <c r="Y1140" i="14" l="1"/>
  <c r="Z1140" i="14" l="1"/>
  <c r="AC1140" i="14" s="1"/>
  <c r="U1141" i="14" l="1"/>
  <c r="AD1140" i="14"/>
  <c r="Y1141" i="14" l="1"/>
  <c r="Z1141" i="14" s="1"/>
  <c r="AC1141" i="14" s="1"/>
  <c r="U1142" i="14" l="1"/>
  <c r="AD1141" i="14"/>
  <c r="Y1142" i="14" l="1"/>
  <c r="Z1142" i="14" l="1"/>
  <c r="AC1142" i="14" s="1"/>
  <c r="U1143" i="14" l="1"/>
  <c r="AD1142" i="14"/>
  <c r="Y1143" i="14" l="1"/>
  <c r="Z1143" i="14" l="1"/>
  <c r="AC1143" i="14" s="1"/>
  <c r="U1144" i="14" l="1"/>
  <c r="AD1143" i="14"/>
  <c r="Y1144" i="14" l="1"/>
  <c r="Z1144" i="14" l="1"/>
  <c r="AC1144" i="14" s="1"/>
  <c r="U1145" i="14" l="1"/>
  <c r="AD1144" i="14"/>
  <c r="Y1145" i="14" l="1"/>
  <c r="Z1145" i="14" l="1"/>
  <c r="AC1145" i="14" s="1"/>
  <c r="AD1145" i="14" l="1"/>
  <c r="U1146" i="14"/>
  <c r="Y1146" i="14" l="1"/>
  <c r="Z1146" i="14" l="1"/>
  <c r="AC1146" i="14" s="1"/>
  <c r="U1147" i="14" l="1"/>
  <c r="AD1146" i="14"/>
  <c r="Y1147" i="14" l="1"/>
  <c r="Z1147" i="14" l="1"/>
  <c r="AC1147" i="14" s="1"/>
  <c r="U1148" i="14" l="1"/>
  <c r="AD1147" i="14"/>
  <c r="Y1148" i="14" l="1"/>
  <c r="Z1148" i="14" l="1"/>
  <c r="AC1148" i="14" s="1"/>
  <c r="U1149" i="14" l="1"/>
  <c r="AD1148" i="14"/>
  <c r="Y1149" i="14" l="1"/>
  <c r="Z1149" i="14" l="1"/>
  <c r="AC1149" i="14" s="1"/>
  <c r="U1150" i="14" l="1"/>
  <c r="AD1149" i="14"/>
  <c r="Y1150" i="14" l="1"/>
  <c r="Z1150" i="14" l="1"/>
  <c r="AC1150" i="14" s="1"/>
  <c r="U1151" i="14" l="1"/>
  <c r="AD1150" i="14"/>
  <c r="Y1151" i="14" l="1"/>
  <c r="Z1151" i="14" l="1"/>
  <c r="AC1151" i="14" s="1"/>
  <c r="U1152" i="14" l="1"/>
  <c r="AD1151" i="14"/>
  <c r="Y1152" i="14" l="1"/>
  <c r="Z1152" i="14" l="1"/>
  <c r="AC1152" i="14" s="1"/>
  <c r="AD1152" i="14" l="1"/>
  <c r="U1153" i="14"/>
  <c r="Y1153" i="14" l="1"/>
  <c r="Z1153" i="14" l="1"/>
  <c r="AC1153" i="14" s="1"/>
  <c r="U1154" i="14" l="1"/>
  <c r="AD1153" i="14"/>
  <c r="Y1154" i="14" l="1"/>
  <c r="Z1154" i="14" l="1"/>
  <c r="AC1154" i="14" s="1"/>
  <c r="U1155" i="14" l="1"/>
  <c r="AD1154" i="14"/>
  <c r="Y1155" i="14" l="1"/>
  <c r="Z1155" i="14" l="1"/>
  <c r="AC1155" i="14" s="1"/>
  <c r="U1156" i="14" l="1"/>
  <c r="AD1155" i="14"/>
  <c r="Y1156" i="14" l="1"/>
  <c r="Z1156" i="14" l="1"/>
  <c r="AC1156" i="14" s="1"/>
  <c r="U1157" i="14" l="1"/>
  <c r="AD1156" i="14"/>
  <c r="Y1157" i="14" l="1"/>
  <c r="Z1157" i="14" l="1"/>
  <c r="AC1157" i="14" s="1"/>
  <c r="U1158" i="14" l="1"/>
  <c r="AD1157" i="14"/>
  <c r="Y1158" i="14" l="1"/>
  <c r="Z1158" i="14" l="1"/>
  <c r="AC1158" i="14" s="1"/>
  <c r="U1159" i="14" l="1"/>
  <c r="AD1158" i="14"/>
  <c r="Y1159" i="14" l="1"/>
  <c r="Z1159" i="14" l="1"/>
  <c r="AC1159" i="14" s="1"/>
  <c r="U1160" i="14" l="1"/>
  <c r="AD1159" i="14"/>
  <c r="Y1160" i="14" l="1"/>
  <c r="Z1160" i="14" l="1"/>
  <c r="AC1160" i="14" s="1"/>
  <c r="U1161" i="14" l="1"/>
  <c r="AD1160" i="14"/>
  <c r="Y1161" i="14" l="1"/>
  <c r="Z1161" i="14" l="1"/>
  <c r="AC1161" i="14" s="1"/>
  <c r="U1162" i="14" l="1"/>
  <c r="AD1161" i="14"/>
  <c r="Y1162" i="14" l="1"/>
  <c r="Z1162" i="14" l="1"/>
  <c r="AC1162" i="14" s="1"/>
  <c r="U1163" i="14" l="1"/>
  <c r="AD1162" i="14"/>
  <c r="Y1163" i="14" l="1"/>
  <c r="Z1163" i="14" l="1"/>
  <c r="AC1163" i="14" s="1"/>
  <c r="U1164" i="14" l="1"/>
  <c r="AD1163" i="14"/>
  <c r="Y1164" i="14" l="1"/>
  <c r="Z1164" i="14" l="1"/>
  <c r="AC1164" i="14" s="1"/>
  <c r="U1165" i="14" l="1"/>
  <c r="AD1164" i="14"/>
  <c r="Y1165" i="14" l="1"/>
  <c r="Z1165" i="14" l="1"/>
  <c r="AC1165" i="14" s="1"/>
  <c r="U1166" i="14" l="1"/>
  <c r="AD1165" i="14"/>
  <c r="Y1166" i="14" l="1"/>
  <c r="Z1166" i="14" l="1"/>
  <c r="AC1166" i="14" s="1"/>
  <c r="U1167" i="14" l="1"/>
  <c r="AD1166" i="14"/>
  <c r="Y1167" i="14" l="1"/>
  <c r="Z1167" i="14" l="1"/>
  <c r="AC1167" i="14" s="1"/>
  <c r="U1168" i="14" l="1"/>
  <c r="AD1167" i="14"/>
  <c r="Y1168" i="14" l="1"/>
  <c r="Z1168" i="14" l="1"/>
  <c r="AC1168" i="14" s="1"/>
  <c r="AD1168" i="14" l="1"/>
  <c r="U1169" i="14"/>
  <c r="Y1169" i="14" l="1"/>
  <c r="Z1169" i="14" l="1"/>
  <c r="AC1169" i="14" s="1"/>
  <c r="U1170" i="14" l="1"/>
  <c r="AD1169" i="14"/>
  <c r="Y1170" i="14" l="1"/>
  <c r="Z1170" i="14" l="1"/>
  <c r="AC1170" i="14" s="1"/>
  <c r="U1171" i="14" l="1"/>
  <c r="AD1170" i="14"/>
  <c r="Y1171" i="14" l="1"/>
  <c r="Z1171" i="14" l="1"/>
  <c r="AC1171" i="14" s="1"/>
  <c r="U1172" i="14" l="1"/>
  <c r="AD1171" i="14"/>
  <c r="Y1172" i="14" l="1"/>
  <c r="Z1172" i="14" l="1"/>
  <c r="AC1172" i="14" s="1"/>
  <c r="U1173" i="14" l="1"/>
  <c r="AD1172" i="14"/>
  <c r="Y1173" i="14" l="1"/>
  <c r="Z1173" i="14" l="1"/>
  <c r="AC1173" i="14" s="1"/>
  <c r="U1174" i="14" l="1"/>
  <c r="AD1173" i="14"/>
  <c r="Y1174" i="14" l="1"/>
  <c r="Z1174" i="14" l="1"/>
  <c r="AC1174" i="14" s="1"/>
  <c r="U1175" i="14" l="1"/>
  <c r="AD1174" i="14"/>
  <c r="Y1175" i="14" l="1"/>
  <c r="Z1175" i="14" l="1"/>
  <c r="AC1175" i="14" s="1"/>
  <c r="U1176" i="14" l="1"/>
  <c r="AD1175" i="14"/>
  <c r="Y1176" i="14" l="1"/>
  <c r="Z1176" i="14" l="1"/>
  <c r="AC1176" i="14" s="1"/>
  <c r="U1177" i="14" l="1"/>
  <c r="AD1176" i="14"/>
  <c r="Y1177" i="14" l="1"/>
  <c r="Z1177" i="14" l="1"/>
  <c r="AC1177" i="14" s="1"/>
  <c r="U1178" i="14" l="1"/>
  <c r="AD1177" i="14"/>
  <c r="Y1178" i="14" l="1"/>
  <c r="Z1178" i="14" l="1"/>
  <c r="AC1178" i="14" s="1"/>
  <c r="U1179" i="14" l="1"/>
  <c r="AD1178" i="14"/>
  <c r="Y1179" i="14" l="1"/>
  <c r="Z1179" i="14" l="1"/>
  <c r="AC1179" i="14" s="1"/>
  <c r="U1180" i="14" l="1"/>
  <c r="AD1179" i="14"/>
  <c r="Y1180" i="14" l="1"/>
  <c r="Z1180" i="14" s="1"/>
  <c r="AC1180" i="14" s="1"/>
  <c r="U1181" i="14" l="1"/>
  <c r="AD1180" i="14"/>
  <c r="Y1181" i="14" l="1"/>
  <c r="Z1181" i="14" l="1"/>
  <c r="AC1181" i="14" s="1"/>
  <c r="U1182" i="14" l="1"/>
  <c r="AD1181" i="14"/>
  <c r="Y1182" i="14" l="1"/>
  <c r="Z1182" i="14" l="1"/>
  <c r="AC1182" i="14" s="1"/>
  <c r="U1183" i="14" l="1"/>
  <c r="AD1182" i="14"/>
  <c r="Y1183" i="14" l="1"/>
  <c r="Z1183" i="14" l="1"/>
  <c r="AC1183" i="14" s="1"/>
  <c r="U1184" i="14" l="1"/>
  <c r="AD1183" i="14"/>
  <c r="Y1184" i="14" l="1"/>
  <c r="Z1184" i="14" l="1"/>
  <c r="AC1184" i="14" s="1"/>
  <c r="AD1184" i="14" l="1"/>
  <c r="U1185" i="14"/>
  <c r="Y1185" i="14" l="1"/>
  <c r="Z1185" i="14" l="1"/>
  <c r="AC1185" i="14" s="1"/>
  <c r="U1186" i="14" l="1"/>
  <c r="AD1185" i="14"/>
  <c r="Y1186" i="14" l="1"/>
  <c r="Z1186" i="14" l="1"/>
  <c r="AC1186" i="14" s="1"/>
  <c r="U1187" i="14" l="1"/>
  <c r="AD1186" i="14"/>
  <c r="Y1187" i="14" l="1"/>
  <c r="Z1187" i="14" l="1"/>
  <c r="AC1187" i="14" s="1"/>
  <c r="U1188" i="14" l="1"/>
  <c r="AD1187" i="14"/>
  <c r="Y1188" i="14" l="1"/>
  <c r="Z1188" i="14" l="1"/>
  <c r="AC1188" i="14" s="1"/>
  <c r="U1189" i="14" l="1"/>
  <c r="AD1188" i="14"/>
  <c r="Y1189" i="14" l="1"/>
  <c r="Z1189" i="14" l="1"/>
  <c r="AC1189" i="14" s="1"/>
  <c r="U1190" i="14" l="1"/>
  <c r="AD1189" i="14"/>
  <c r="Y1190" i="14" l="1"/>
  <c r="Z1190" i="14" l="1"/>
  <c r="AC1190" i="14" s="1"/>
  <c r="U1191" i="14" l="1"/>
  <c r="AD1190" i="14"/>
  <c r="Y1191" i="14" l="1"/>
  <c r="Z1191" i="14" l="1"/>
  <c r="AC1191" i="14" s="1"/>
  <c r="U1192" i="14" l="1"/>
  <c r="AD1191" i="14"/>
  <c r="Y1192" i="14" l="1"/>
  <c r="Z1192" i="14" l="1"/>
  <c r="AC1192" i="14" s="1"/>
  <c r="U1193" i="14" l="1"/>
  <c r="AD1192" i="14"/>
  <c r="Y1193" i="14" l="1"/>
  <c r="Z1193" i="14" l="1"/>
  <c r="AC1193" i="14" s="1"/>
  <c r="U1194" i="14" l="1"/>
  <c r="AD1193" i="14"/>
  <c r="Y1194" i="14" l="1"/>
  <c r="Z1194" i="14" l="1"/>
  <c r="AC1194" i="14" s="1"/>
  <c r="U1195" i="14" l="1"/>
  <c r="AD1194" i="14"/>
  <c r="Y1195" i="14" l="1"/>
  <c r="Z1195" i="14" l="1"/>
  <c r="AC1195" i="14" s="1"/>
  <c r="U1196" i="14" l="1"/>
  <c r="AD1195" i="14"/>
  <c r="Y1196" i="14" l="1"/>
  <c r="Z1196" i="14" l="1"/>
  <c r="AC1196" i="14" s="1"/>
  <c r="U1197" i="14" l="1"/>
  <c r="AD1196" i="14"/>
  <c r="Y1197" i="14" l="1"/>
  <c r="Z1197" i="14" l="1"/>
  <c r="AC1197" i="14" s="1"/>
  <c r="U1198" i="14" l="1"/>
  <c r="AD1197" i="14"/>
  <c r="Y1198" i="14" l="1"/>
  <c r="Z1198" i="14" l="1"/>
  <c r="AC1198" i="14" s="1"/>
  <c r="AD1198" i="14" l="1"/>
  <c r="U1199" i="14"/>
  <c r="Y1199" i="14" l="1"/>
  <c r="Z1199" i="14" l="1"/>
  <c r="AC1199" i="14" s="1"/>
  <c r="U1200" i="14" l="1"/>
  <c r="AD1199" i="14"/>
  <c r="Y1200" i="14" l="1"/>
  <c r="Z1200" i="14" s="1"/>
  <c r="AC1200" i="14" s="1"/>
  <c r="U1201" i="14" l="1"/>
  <c r="AD1200" i="14"/>
  <c r="Y1201" i="14" l="1"/>
  <c r="Z1201" i="14" l="1"/>
  <c r="AC1201" i="14" s="1"/>
  <c r="Z1207" i="14" l="1"/>
  <c r="AD1201" i="1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cellMetadata count="1">
    <bk>
      <rc t="1" v="0"/>
    </bk>
  </cellMetadata>
  <valueMetadata count="6">
    <bk>
      <rc t="2" v="0"/>
    </bk>
    <bk>
      <rc t="2" v="1"/>
    </bk>
    <bk>
      <rc t="2" v="2"/>
    </bk>
    <bk>
      <rc t="2" v="3"/>
    </bk>
    <bk>
      <rc t="2" v="4"/>
    </bk>
    <bk>
      <rc t="2" v="5"/>
    </bk>
  </valueMetadata>
</metadata>
</file>

<file path=xl/sharedStrings.xml><?xml version="1.0" encoding="utf-8"?>
<sst xmlns="http://schemas.openxmlformats.org/spreadsheetml/2006/main" count="1306" uniqueCount="579">
  <si>
    <t>Nome</t>
  </si>
  <si>
    <t>Data de Nascimento</t>
  </si>
  <si>
    <t>Valor</t>
  </si>
  <si>
    <t>Categoria</t>
  </si>
  <si>
    <t>Membro</t>
  </si>
  <si>
    <t>Data_Inicio</t>
  </si>
  <si>
    <t>Descricao</t>
  </si>
  <si>
    <t>Data_Fim</t>
  </si>
  <si>
    <t>Valor_Alvo</t>
  </si>
  <si>
    <t>Valor_Inicial</t>
  </si>
  <si>
    <t>Data_Conclusao</t>
  </si>
  <si>
    <t>Eduardo</t>
  </si>
  <si>
    <t>Mônica</t>
  </si>
  <si>
    <t>Mensal</t>
  </si>
  <si>
    <t>Tipo</t>
  </si>
  <si>
    <t>Periodicidade</t>
  </si>
  <si>
    <t>Moeda</t>
  </si>
  <si>
    <t>Valor_BRL</t>
  </si>
  <si>
    <t>Valor_USD</t>
  </si>
  <si>
    <t>Taxa_Câmbio</t>
  </si>
  <si>
    <t>BRL</t>
  </si>
  <si>
    <t>USD</t>
  </si>
  <si>
    <t>Despesas Básicas</t>
  </si>
  <si>
    <t>Provedor</t>
  </si>
  <si>
    <t>Dependente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</si>
  <si>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</si>
  <si>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</si>
  <si>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</si>
  <si>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</si>
  <si>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</si>
  <si>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</si>
  <si>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</si>
  <si>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</si>
  <si>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</si>
  <si>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</si>
  <si>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</si>
  <si>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</si>
  <si>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Viagem Julho</t>
  </si>
  <si>
    <t>Viagem Dezembro</t>
  </si>
  <si>
    <t>Educação Infantil</t>
  </si>
  <si>
    <t>Fundamental I</t>
  </si>
  <si>
    <t>Fundamental II</t>
  </si>
  <si>
    <t>Médio</t>
  </si>
  <si>
    <t>Superior</t>
  </si>
  <si>
    <t>Línguas</t>
  </si>
  <si>
    <t>Intercâmbio</t>
  </si>
  <si>
    <t>Periodo</t>
  </si>
  <si>
    <t>Mês</t>
  </si>
  <si>
    <t>Ano</t>
  </si>
  <si>
    <t>Taxa_Cambio</t>
  </si>
  <si>
    <t>Data Fim Vitalício</t>
  </si>
  <si>
    <t>Prazo (Meses)</t>
  </si>
  <si>
    <t>Data _Inicio</t>
  </si>
  <si>
    <t>Entrada</t>
  </si>
  <si>
    <t>Valor Financiado</t>
  </si>
  <si>
    <t>Juros (Mês)</t>
  </si>
  <si>
    <t>Juros (Ano)</t>
  </si>
  <si>
    <t>Portf Inicial</t>
  </si>
  <si>
    <t>Saving</t>
  </si>
  <si>
    <t>Renta $</t>
  </si>
  <si>
    <t>Portf Final</t>
  </si>
  <si>
    <t>Salário Eduardo</t>
  </si>
  <si>
    <t>Salário Mônica</t>
  </si>
  <si>
    <t>Despesas Totais</t>
  </si>
  <si>
    <t>Judô</t>
  </si>
  <si>
    <t>Fono</t>
  </si>
  <si>
    <t>PRICE</t>
  </si>
  <si>
    <t>Bônus Eduardo</t>
  </si>
  <si>
    <t>Bônus Mônica</t>
  </si>
  <si>
    <t>13º Mônica</t>
  </si>
  <si>
    <t>Cartão Eduardo</t>
  </si>
  <si>
    <t>Cartão Mônica</t>
  </si>
  <si>
    <t>Cartão Família</t>
  </si>
  <si>
    <t>Funcionários</t>
  </si>
  <si>
    <t>Família</t>
  </si>
  <si>
    <t>Valor Financiado BRL</t>
  </si>
  <si>
    <t>Huguinho</t>
  </si>
  <si>
    <t>Zezinho</t>
  </si>
  <si>
    <t>Variável Eduardo</t>
  </si>
  <si>
    <t>13º Eduardo</t>
  </si>
  <si>
    <t>Variável Mônica</t>
  </si>
  <si>
    <t>Moradia</t>
  </si>
  <si>
    <t>Financiamento</t>
  </si>
  <si>
    <t>Prazo (Anos)</t>
  </si>
  <si>
    <t>IPTU</t>
  </si>
  <si>
    <t>Condomínio</t>
  </si>
  <si>
    <t>1ª Parcela</t>
  </si>
  <si>
    <t>Orlando</t>
  </si>
  <si>
    <t>Studio</t>
  </si>
  <si>
    <t>Saldo Devedor Price</t>
  </si>
  <si>
    <t>Saldo Devedor SAC</t>
  </si>
  <si>
    <t>Reforma</t>
  </si>
  <si>
    <t>Receitas Totais</t>
  </si>
  <si>
    <t>Total Vendas</t>
  </si>
  <si>
    <t>Valor Patrimonial Valorizado</t>
  </si>
  <si>
    <t>Saldo Devedor Considerado</t>
  </si>
  <si>
    <t>Taxa_Acumulacao</t>
  </si>
  <si>
    <t>Prazo (M)</t>
  </si>
  <si>
    <t>Carro Esportivo</t>
  </si>
  <si>
    <t>Festa 15 anos</t>
  </si>
  <si>
    <t>Aninha</t>
  </si>
  <si>
    <t>PV Ideal</t>
  </si>
  <si>
    <t>PV Alocado</t>
  </si>
  <si>
    <t>Longevidade</t>
  </si>
  <si>
    <t>Projetos</t>
  </si>
  <si>
    <t>Caixa Livre</t>
  </si>
  <si>
    <t>Caixa</t>
  </si>
  <si>
    <t>Valor_Alvo_BRL</t>
  </si>
  <si>
    <t>Coberturas Seguros</t>
  </si>
  <si>
    <t>Vida</t>
  </si>
  <si>
    <t>Invalidez</t>
  </si>
  <si>
    <t>Sinistro Seguro</t>
  </si>
  <si>
    <t>Sim</t>
  </si>
  <si>
    <t>Não</t>
  </si>
  <si>
    <t>INSS</t>
  </si>
  <si>
    <t>Férias Eduardo</t>
  </si>
  <si>
    <t>Férias Mônica</t>
  </si>
  <si>
    <t>Seguro Sinistro</t>
  </si>
  <si>
    <t>Simulação Seguro</t>
  </si>
  <si>
    <t>CS</t>
  </si>
  <si>
    <t>INSS Data</t>
  </si>
  <si>
    <t>INSS Valor</t>
  </si>
  <si>
    <t>INSS Idade</t>
  </si>
  <si>
    <t xml:space="preserve"> Juro Real</t>
  </si>
  <si>
    <t>Tem Seguro</t>
  </si>
  <si>
    <t>Expectativa de Vida (Data)</t>
  </si>
  <si>
    <t>Expec Vida ou Dependência (A)</t>
  </si>
  <si>
    <t>SAC</t>
  </si>
  <si>
    <t>Nível de Acesso</t>
  </si>
  <si>
    <t>Pedro Orlandi</t>
  </si>
  <si>
    <t>e-mail</t>
  </si>
  <si>
    <t>Adm</t>
  </si>
  <si>
    <t>Francisco Xavier</t>
  </si>
  <si>
    <t>Planejador</t>
  </si>
  <si>
    <t>Eduardo Russo</t>
  </si>
  <si>
    <t>Cliente</t>
  </si>
  <si>
    <t>Usuários Relacionados</t>
  </si>
  <si>
    <t>Eduardo e Mônica</t>
  </si>
  <si>
    <t>ID_Usuario</t>
  </si>
  <si>
    <t>USU0001</t>
  </si>
  <si>
    <t>USU0002</t>
  </si>
  <si>
    <t>USU0003</t>
  </si>
  <si>
    <t>ID_Planejamento</t>
  </si>
  <si>
    <t>ID_Receita</t>
  </si>
  <si>
    <t>CAMBIOS</t>
  </si>
  <si>
    <t>MOEDAS</t>
  </si>
  <si>
    <t>EUR</t>
  </si>
  <si>
    <t>Prazo (A)</t>
  </si>
  <si>
    <t>Segurada</t>
  </si>
  <si>
    <t>DES0001</t>
  </si>
  <si>
    <t>REC0001</t>
  </si>
  <si>
    <t>REC0002</t>
  </si>
  <si>
    <t>REC0003</t>
  </si>
  <si>
    <t>REC0004</t>
  </si>
  <si>
    <t>REC0005</t>
  </si>
  <si>
    <t>REC0006</t>
  </si>
  <si>
    <t>REC0007</t>
  </si>
  <si>
    <t>REC0008</t>
  </si>
  <si>
    <t>REC0009</t>
  </si>
  <si>
    <t>REC0010</t>
  </si>
  <si>
    <t>DES0002</t>
  </si>
  <si>
    <t>DES0003</t>
  </si>
  <si>
    <t>DES0004</t>
  </si>
  <si>
    <t>DES0005</t>
  </si>
  <si>
    <t>DES0006</t>
  </si>
  <si>
    <t>DES0007</t>
  </si>
  <si>
    <t>DES0008</t>
  </si>
  <si>
    <t>DES0009</t>
  </si>
  <si>
    <t>DES0010</t>
  </si>
  <si>
    <t>DES0011</t>
  </si>
  <si>
    <t>DES0012</t>
  </si>
  <si>
    <t>DES0013</t>
  </si>
  <si>
    <t>DES0014</t>
  </si>
  <si>
    <t>DES0015</t>
  </si>
  <si>
    <t>Básicas</t>
  </si>
  <si>
    <t>Dependentes</t>
  </si>
  <si>
    <t>DES0016</t>
  </si>
  <si>
    <t>DES0018</t>
  </si>
  <si>
    <t>DES0019</t>
  </si>
  <si>
    <t>DES0020</t>
  </si>
  <si>
    <t>DES0021</t>
  </si>
  <si>
    <t>DES0022</t>
  </si>
  <si>
    <t>DES0023</t>
  </si>
  <si>
    <t>DES0024</t>
  </si>
  <si>
    <t>DES0026</t>
  </si>
  <si>
    <t>DES0027</t>
  </si>
  <si>
    <t>DES0028</t>
  </si>
  <si>
    <t>DES0029</t>
  </si>
  <si>
    <t>DES0030</t>
  </si>
  <si>
    <t>DES0031</t>
  </si>
  <si>
    <t>DES0032</t>
  </si>
  <si>
    <t>Viagens</t>
  </si>
  <si>
    <t>Estilo</t>
  </si>
  <si>
    <t>PLA0001</t>
  </si>
  <si>
    <t>Eduardo Russo, Mônica Russo, Francisco Xavier</t>
  </si>
  <si>
    <t>APP 2025</t>
  </si>
  <si>
    <t>DIF</t>
  </si>
  <si>
    <t>Categoria_Receitas</t>
  </si>
  <si>
    <t>Categoria_Despesas</t>
  </si>
  <si>
    <t>Receita Fixa</t>
  </si>
  <si>
    <t>Receita Variável</t>
  </si>
  <si>
    <t>Data_Venda</t>
  </si>
  <si>
    <t>Taxa_Valorizacao</t>
  </si>
  <si>
    <t>Valor_Patrimonial</t>
  </si>
  <si>
    <t>Valor_Aquisição</t>
  </si>
  <si>
    <t>Seguro</t>
  </si>
  <si>
    <t>Financiamento 1</t>
  </si>
  <si>
    <t>Financiamento 2</t>
  </si>
  <si>
    <t>Financiamento 3</t>
  </si>
  <si>
    <t>Financiamento 4</t>
  </si>
  <si>
    <t>Financiamento 5</t>
  </si>
  <si>
    <t>Propriedade</t>
  </si>
  <si>
    <t>Renda%1</t>
  </si>
  <si>
    <t>Renda%2</t>
  </si>
  <si>
    <t>Última_Parcela</t>
  </si>
  <si>
    <t>DES0034</t>
  </si>
  <si>
    <t>DES0035</t>
  </si>
  <si>
    <t>DES0036</t>
  </si>
  <si>
    <t>Patrimonial</t>
  </si>
  <si>
    <t>DES0037</t>
  </si>
  <si>
    <t>DES0038</t>
  </si>
  <si>
    <t>DES0039</t>
  </si>
  <si>
    <t>DES0040</t>
  </si>
  <si>
    <t>DES0041</t>
  </si>
  <si>
    <t>DES0042</t>
  </si>
  <si>
    <t>REC0011</t>
  </si>
  <si>
    <t>REC0012</t>
  </si>
  <si>
    <t>Aluguel Orlando</t>
  </si>
  <si>
    <t>Aluguel Studio</t>
  </si>
  <si>
    <t>Receita Patrimônio</t>
  </si>
  <si>
    <t>Meses</t>
  </si>
  <si>
    <t>Presente Filho 1</t>
  </si>
  <si>
    <t>Presente Filho 2</t>
  </si>
  <si>
    <t>Presente Filho 3</t>
  </si>
  <si>
    <t>PMT_BRL</t>
  </si>
  <si>
    <t>PMT_USD</t>
  </si>
  <si>
    <t>PMT_Ideal_BRL</t>
  </si>
  <si>
    <t>Projetos BRL</t>
  </si>
  <si>
    <t>Projetos USD</t>
  </si>
  <si>
    <t>Goals Ini BRL</t>
  </si>
  <si>
    <t>Desembolsos BRL</t>
  </si>
  <si>
    <t>Rentabilidade BRL</t>
  </si>
  <si>
    <t>Goals Aporte BRL</t>
  </si>
  <si>
    <t>Goals Fim BRL</t>
  </si>
  <si>
    <t>Goals Ini USD</t>
  </si>
  <si>
    <t>Desembolsos USD</t>
  </si>
  <si>
    <t>Rentabilidade USD</t>
  </si>
  <si>
    <t>Goals Aporte USD</t>
  </si>
  <si>
    <t>Goals Fim USD</t>
  </si>
  <si>
    <t>Prioridade</t>
  </si>
  <si>
    <t>Seq</t>
  </si>
  <si>
    <t>Portfolio</t>
  </si>
  <si>
    <t>Security ID2</t>
  </si>
  <si>
    <t>ATIVO</t>
  </si>
  <si>
    <t>Asset Class AZFLOW</t>
  </si>
  <si>
    <t>MOEDA</t>
  </si>
  <si>
    <t>ALOC MOEDA</t>
  </si>
  <si>
    <t>PESO GLOBAL MIN</t>
  </si>
  <si>
    <t>PESO GLOBAL ALVO</t>
  </si>
  <si>
    <t>PESO GLOBAL MAX</t>
  </si>
  <si>
    <t>TREND CASH</t>
  </si>
  <si>
    <t>RF_POS_BRL</t>
  </si>
  <si>
    <t>SAFRA DI MASTER</t>
  </si>
  <si>
    <t>WESTERN</t>
  </si>
  <si>
    <t>Riza Lotus Plus</t>
  </si>
  <si>
    <t>AZ SUPRA</t>
  </si>
  <si>
    <t>Root High Grade</t>
  </si>
  <si>
    <t>CDII11</t>
  </si>
  <si>
    <t>KNCR11</t>
  </si>
  <si>
    <t>JURO11</t>
  </si>
  <si>
    <t>RF_IPCA_BRL</t>
  </si>
  <si>
    <t>KNIP11</t>
  </si>
  <si>
    <t>LTN, CDB, CRI, CRA</t>
  </si>
  <si>
    <t>RF_PRE_BRL</t>
  </si>
  <si>
    <t>V8 SPEED</t>
  </si>
  <si>
    <t>MM_BRL</t>
  </si>
  <si>
    <t>Itaú Janeiro MM</t>
  </si>
  <si>
    <t>KAPITALO K10</t>
  </si>
  <si>
    <t>AZ BAYES</t>
  </si>
  <si>
    <t>RV_BRL</t>
  </si>
  <si>
    <t>IBIUNA LONG BIASED</t>
  </si>
  <si>
    <t>SPX PATRIOT LO</t>
  </si>
  <si>
    <t>GPUS11</t>
  </si>
  <si>
    <t>HASH11</t>
  </si>
  <si>
    <t>CRYPTO_BRL</t>
  </si>
  <si>
    <t>RF_PRE_USD</t>
  </si>
  <si>
    <t>IVV</t>
  </si>
  <si>
    <t>RV_USD</t>
  </si>
  <si>
    <t>QQQ</t>
  </si>
  <si>
    <t>RSP</t>
  </si>
  <si>
    <t>IWM</t>
  </si>
  <si>
    <t>IBIT</t>
  </si>
  <si>
    <t>CRYPTO_USD</t>
  </si>
  <si>
    <t>USFR</t>
  </si>
  <si>
    <t>AGG</t>
  </si>
  <si>
    <t>% MOEDA</t>
  </si>
  <si>
    <t>PPTTZ Curta</t>
  </si>
  <si>
    <t>LIQUIDEZ</t>
  </si>
  <si>
    <t>Security ID</t>
  </si>
  <si>
    <t>Security Name</t>
  </si>
  <si>
    <t>Classe</t>
  </si>
  <si>
    <t>Frequency</t>
  </si>
  <si>
    <t>SeriesType</t>
  </si>
  <si>
    <t>ELPLB4</t>
  </si>
  <si>
    <t>DAILY</t>
  </si>
  <si>
    <t>PER_PERIOD</t>
  </si>
  <si>
    <t>GIANT SIGMA ADVISORY FIC FIF MULT - RESPONSABIL</t>
  </si>
  <si>
    <t>PETR27</t>
  </si>
  <si>
    <t>MONTHLY</t>
  </si>
  <si>
    <t>ACCUMULATED</t>
  </si>
  <si>
    <t>AZ QUEST MULT MAX FC FIF MULT</t>
  </si>
  <si>
    <t>NEOE26</t>
  </si>
  <si>
    <t>YEARLY</t>
  </si>
  <si>
    <t>QUANTITAS FI FINANCEIRO MULT GALAPAGOS RESPONSABIL</t>
  </si>
  <si>
    <t>PETR17</t>
  </si>
  <si>
    <t>INTERVAL</t>
  </si>
  <si>
    <t>AZ QUEST ADVISORY ICATU MULT PREV FIC FIF MULT</t>
  </si>
  <si>
    <t>MGSP12</t>
  </si>
  <si>
    <t>XP ICATU HORIZONTE MACRO PREV FIF MULT - RESP LIMI</t>
  </si>
  <si>
    <t>TAEE17</t>
  </si>
  <si>
    <t>ACS ABSOLUTE VERTEX PREVIDENCIA FI FINANCEIRO MULT</t>
  </si>
  <si>
    <t>TBLE26</t>
  </si>
  <si>
    <t>XP SP500</t>
  </si>
  <si>
    <t>NTNF - 01/01/2027</t>
  </si>
  <si>
    <t>XP Nasdaq</t>
  </si>
  <si>
    <t>NTNF - 01/01/2031</t>
  </si>
  <si>
    <t>CS SAUDE D</t>
  </si>
  <si>
    <t>LFT - 01/09/2026</t>
  </si>
  <si>
    <t>NTNB - 15/05/2035</t>
  </si>
  <si>
    <t>NTNB - 15/08/2028</t>
  </si>
  <si>
    <t>NTNB - 15/08/2050</t>
  </si>
  <si>
    <t>CRI REDE D'OR SÃO LUIZ MAI/2036 21D0862572</t>
  </si>
  <si>
    <t>NTNB - 15/08/2040</t>
  </si>
  <si>
    <t>NTNB - 15/08/2060</t>
  </si>
  <si>
    <t>NTNB PRINCIPAL - 15/05/2045</t>
  </si>
  <si>
    <t>CLASSE UNICA DE COTAS DO RIZA EVORA DEBENTURES INC</t>
  </si>
  <si>
    <t>CSNA3</t>
  </si>
  <si>
    <t>TAEE11</t>
  </si>
  <si>
    <t>CRI ORIGINAL HOLDING ABR/2030 22L2288690</t>
  </si>
  <si>
    <t>CSMG3</t>
  </si>
  <si>
    <t>ITUB4</t>
  </si>
  <si>
    <t>CRA BCO BTG PACTUAL JUL/2033 CRA02300CYQ</t>
  </si>
  <si>
    <t>CRA BCO BTG PACTUAL JUL/2033 CRA02300CYS</t>
  </si>
  <si>
    <t>VALE3</t>
  </si>
  <si>
    <t>BRAP3</t>
  </si>
  <si>
    <t>CSNAB4</t>
  </si>
  <si>
    <t>FLRY3</t>
  </si>
  <si>
    <t>BBAS3</t>
  </si>
  <si>
    <t>CRA MINERVA FEV/2031 CRA024001P6</t>
  </si>
  <si>
    <t>SUZB3</t>
  </si>
  <si>
    <t>Dólar</t>
  </si>
  <si>
    <t>RIS414</t>
  </si>
  <si>
    <t>RISP14</t>
  </si>
  <si>
    <t>CRA SEARA ALIMENTOS SET/2034 CRA0240086K</t>
  </si>
  <si>
    <t>CLASSE UNICA DO WESTERN ASSET TOTAL CREDIT ADVISOR</t>
  </si>
  <si>
    <t>EMHY</t>
  </si>
  <si>
    <t>V8 CASH CIC CI RF - RESP LIMITADA</t>
  </si>
  <si>
    <t>MSFT</t>
  </si>
  <si>
    <t>KINEA ALPES PREV XP SEG FC MULT CRED PRIV RESP LIM</t>
  </si>
  <si>
    <t>NVDA</t>
  </si>
  <si>
    <t>JIVE BOSSA HI YIE ADVI FC MULT CRED PRIV</t>
  </si>
  <si>
    <t>GOOG</t>
  </si>
  <si>
    <t>ACS ABSOLUTE ATENAS PREVIDENCIA FI FINANCEIRO RF</t>
  </si>
  <si>
    <t>ACN</t>
  </si>
  <si>
    <t>BNP PARIBAS MATCH CLASSE DE INVESTIMENTO DE RF REF</t>
  </si>
  <si>
    <t>ABSOLUTE HIDRA CDI FC FI INVESTIMENTO RF CRED PRIV</t>
  </si>
  <si>
    <t>SAFRA DI MASTER CI RF REFERENCIADA DI RESP LIMITAD</t>
  </si>
  <si>
    <t>GAVEA MACRO ADVISORY FIF - CLASSE DE INVESTIMENTO</t>
  </si>
  <si>
    <t>SANTANDER RF REF DI PREMIUM FC FI</t>
  </si>
  <si>
    <t>CDB_POS_CDI_1_120_33923798000283_2023_08_17_2029_08_15</t>
  </si>
  <si>
    <t>SULAMERICA EXCLUSIVE FI FINANCE</t>
  </si>
  <si>
    <t>CRI REFRIGERAÇÃO DUFRIO OUT/2028 22J1295265</t>
  </si>
  <si>
    <t>CAPITANIA REIT PREV ADVISORY XP SEGUROS FIE I FIC</t>
  </si>
  <si>
    <t>CDB_POS_CDI_1_120_59118133000100_2023_10_13_2026_09_28</t>
  </si>
  <si>
    <t>CRA VAMOS JUN/2027 CRA020001US</t>
  </si>
  <si>
    <t>CRI MINERVA SET/2030 23I1257218</t>
  </si>
  <si>
    <t>CRA ADECOAGRO NOV/2027 CRA0190066O</t>
  </si>
  <si>
    <t>CRI BCO MERCANTIL MAR/2029 24C0006004</t>
  </si>
  <si>
    <t>ENEV26</t>
  </si>
  <si>
    <t>LFT - 01/03/2027</t>
  </si>
  <si>
    <t>CDB_POS_CDI_1_101_34111187000112_2025_03_25_2027_03_25</t>
  </si>
  <si>
    <t>RDOR3</t>
  </si>
  <si>
    <t>CDB_POS_CDI_1_101_08357240000150_2025_04_17_2027_04_19</t>
  </si>
  <si>
    <t>NTNB - 15/05/2055</t>
  </si>
  <si>
    <t>CDB_POS_CDI_1_102_02992446000175_2025_04_17_2027_03_15</t>
  </si>
  <si>
    <t>JGP CRED PREV ADV XP SEG FC FIF RF CRED PRIV LP -</t>
  </si>
  <si>
    <t>ENAT32</t>
  </si>
  <si>
    <t>ARX ELBRUS ADVISORY FIC FUNDO INCENTIVADOS DE</t>
  </si>
  <si>
    <t>CRA RAÍZEN ENERGIA OUT/2033 CRA02300JR7</t>
  </si>
  <si>
    <t>AZ QUEST LUCE ADVISORY PREV XP SEGUROS FC RF CRED</t>
  </si>
  <si>
    <t>LTN - 01/01/2028</t>
  </si>
  <si>
    <t>KINEA XTR A XP SEG PREV FC MULT RESP LIMITADA</t>
  </si>
  <si>
    <t>CDB_PRE_14.45_33923798000283_2023_12_07_2029_12_05</t>
  </si>
  <si>
    <t>TREND DI SIMPLES FI RF RESP LIMITADA</t>
  </si>
  <si>
    <t>CRI LAVVI DEZ/2031 24J5164619</t>
  </si>
  <si>
    <t>XP INVESTOR LONG BIASED II FC FIF MULT - RESP LIMI</t>
  </si>
  <si>
    <t>TREND POS-FIXADO XP SEG PREV FC RF RESP LIMITADA</t>
  </si>
  <si>
    <t>AZ QUEST LUCE ADVISORY FC FIF RF CRED PRIV LP</t>
  </si>
  <si>
    <t>SANTANDER PREV TITULOS PUBLICOS VIP RF REF DI - CI</t>
  </si>
  <si>
    <t>SAFARI 30 FI FINANCEIRO EM COTAS DE FIM II</t>
  </si>
  <si>
    <t>SANTANDER PREV CRESCIMENTO VIP RF CREDITO</t>
  </si>
  <si>
    <t>CL UNICA DO GUEPARDO LONG BIAS RV FIM - RESP L</t>
  </si>
  <si>
    <t>COMPASS CREDIT SELECTION FC FIF RF CRED PRIV LP -</t>
  </si>
  <si>
    <t>AZ QUEST TOP LONG BIASED FIC FI FINANCEIRO DE ACOES</t>
  </si>
  <si>
    <t>AZ QUEST SUPRA FC FIF MULT CRED PRIV</t>
  </si>
  <si>
    <t>XP FUNDO MUTUO DE PRIV - FGTS ELETROBRAS</t>
  </si>
  <si>
    <t>CLASSE UNICA DE COTAS DO RIZA LOTUS FI</t>
  </si>
  <si>
    <t>AZ QUEST BAYES LONG BIASED SIST FIM</t>
  </si>
  <si>
    <t>CLASSE UNICA DE COTAS DO HASHDEX BITCOIN FUNDO DE</t>
  </si>
  <si>
    <t>AZ QUEST BAYES SISTEMATICO ACOES FIA</t>
  </si>
  <si>
    <t>TREND INB FC RF SIMPLES RESP LIMITADA</t>
  </si>
  <si>
    <t>QQQM</t>
  </si>
  <si>
    <t>ACESSO KAPITALO KAPPA MULT - CIC FIF RESP</t>
  </si>
  <si>
    <t>ITAU PRIVILEGE RF REF DI FIF CIC RESP LIMITADA</t>
  </si>
  <si>
    <t>TREND POS-FIXADO FIC RF SIMPLES RESPONSABILIDADE L</t>
  </si>
  <si>
    <t>ACESSO IBIUNA HEDGE STH MULT - CIC FIF RESP LIMITA</t>
  </si>
  <si>
    <t>ABSOLUTE VERTEX ADVISORY FC FIF MULT</t>
  </si>
  <si>
    <t>SANTANDER PREV PB NTN-B 2028 RF - CIC FIF</t>
  </si>
  <si>
    <t>VISTA HEDGE FI FINANCEIRO EM COTAS DE FIM</t>
  </si>
  <si>
    <t>ACESSO TRUXT LONG BIAS ACOES - CIC FIF RESP LIMITA</t>
  </si>
  <si>
    <t>IBIUNA HEDGE ST ADVISORY FIF - CIC MULT - RESP LI</t>
  </si>
  <si>
    <t>VERDE AM SCENA ADVISORY XP SEGUROS PREV FC MULT RE</t>
  </si>
  <si>
    <t>XP REF FIF RF REF DI CRED PRIV - RESP LIM</t>
  </si>
  <si>
    <t>PORTO SEGURO FIF RF REF DI CRED PRIV RESP LIMITADA</t>
  </si>
  <si>
    <t>XP DEBENTURES INCENTIVADAS IMAB CRED PRIV FI</t>
  </si>
  <si>
    <t>AZ QUEST VALORE FI RF CRED PRIV</t>
  </si>
  <si>
    <t>ARTESANAL CRED PRIV FIC FIM</t>
  </si>
  <si>
    <t>AZ QUEST ALTRO FIC FI FINANCEIRO MULT CRED PRIV</t>
  </si>
  <si>
    <t>CLASSE UNICA DE COTAS DO AZ QUEST TERMO FUNDO DE I</t>
  </si>
  <si>
    <t>VERDE AM ICATU PREV FIF CIC MULT RESP LIMITADA</t>
  </si>
  <si>
    <t>ECHP12</t>
  </si>
  <si>
    <t>RUMOB5</t>
  </si>
  <si>
    <t>CTEE29</t>
  </si>
  <si>
    <t>CRA VAMOS NOV/2030 CRA020003PY</t>
  </si>
  <si>
    <t>BRST11</t>
  </si>
  <si>
    <t>ELPLA5</t>
  </si>
  <si>
    <t>RUMOA6</t>
  </si>
  <si>
    <t>RAIZ4</t>
  </si>
  <si>
    <t>CMIN11</t>
  </si>
  <si>
    <t>CMIN21</t>
  </si>
  <si>
    <t>CRI MATEUS SUPERMERCADOS FEV/2032 20B0980166</t>
  </si>
  <si>
    <t>JSMLA5</t>
  </si>
  <si>
    <t>ROOT CAPITAL CREDITO HG PLUS FIC FIF MULT CRED</t>
  </si>
  <si>
    <t>RIZA LOTUS PLUS ADVISORY FI FINANCEIRO EM COTAS DE</t>
  </si>
  <si>
    <t>CRA IPIRANGA SET/2028 CRA021002SO</t>
  </si>
  <si>
    <t>PLSB1A</t>
  </si>
  <si>
    <t>MSGT23</t>
  </si>
  <si>
    <t>CRA BRF MAI/2031 CRA0210013B</t>
  </si>
  <si>
    <t>CRA BRASKEM DEZ/2028 CRA0210059T</t>
  </si>
  <si>
    <t>TREND PE VIII FC RF SIMPLES RESP LIMITADA</t>
  </si>
  <si>
    <t>CRI ASSAÍ SENDAS OUT/2028 21H1078699</t>
  </si>
  <si>
    <t>CRI REDE D'OR SÃO LUIZ DEZ/2036 21K0001807</t>
  </si>
  <si>
    <t>MVLV19</t>
  </si>
  <si>
    <t>CRI REDE D'OR SÃO LUIZ DEZ/2031 21K0001806</t>
  </si>
  <si>
    <t>RESA17</t>
  </si>
  <si>
    <t>RESA27</t>
  </si>
  <si>
    <t>LIGH-DEBE1L1</t>
  </si>
  <si>
    <t>CRA MINERVA ABR/2031 CRA021000RY</t>
  </si>
  <si>
    <t>XP INVESTOR LONG BIASED II FC FIA</t>
  </si>
  <si>
    <t>AZ Q A PREV XP SEG FC MULT CRED PRIV RESP LIMITADA</t>
  </si>
  <si>
    <t>V8 GTO CIC DE CLASSES DE INVESTIMENTO EM DIREITOS</t>
  </si>
  <si>
    <t>OCCAM LIQUIDEZ FC FIF RF CRED PRIV - RESP LIMITADA</t>
  </si>
  <si>
    <t>DEBB11</t>
  </si>
  <si>
    <t>CRA JBS ABR/2037 CRA022002XN</t>
  </si>
  <si>
    <t>VALORA INFRA DIVIDA FIP EM INFRAESTRUTURA FIP IE</t>
  </si>
  <si>
    <t>TREND DI FC DE FI RF SIMPLES</t>
  </si>
  <si>
    <t>LFT - 01/03/2029</t>
  </si>
  <si>
    <t>AAZQ11</t>
  </si>
  <si>
    <t>TREND CASH CLASSE DE INVESTIMENTO EM COTAS DE CLAS</t>
  </si>
  <si>
    <t>V8 SPEEDWAY LONG SHORT FIC FIF MULT</t>
  </si>
  <si>
    <t>CRAA11</t>
  </si>
  <si>
    <t>CDB_PRE_14.45_33923798000283_2022_08_22_2027_08_23</t>
  </si>
  <si>
    <t>CDB_POS_IPCA_2_5.95_33923798000283_2021_10_27_2025_10_26</t>
  </si>
  <si>
    <t>ABSOLUTE ATENAS PREV ITAU FEEDER FIF CIC RF CRED P</t>
  </si>
  <si>
    <t>CRI PETROBRAS DEZ/2032 22K0001203</t>
  </si>
  <si>
    <t>WA CREDITO BANCARIO PLUS FI RF CRED PRIV</t>
  </si>
  <si>
    <t>XP BANCOS FC RF REF DI CRED PRIV RESP LIMITADA</t>
  </si>
  <si>
    <t>ASCP13</t>
  </si>
  <si>
    <t>Poupança</t>
  </si>
  <si>
    <t>LCI_PRE_8.66_90400888000142_2021_04_09_2026_07_01</t>
  </si>
  <si>
    <t>LCI_PRE_8.53_90400888000142_2021_05_11_2026_07_01</t>
  </si>
  <si>
    <t>CRA ATACADÃO MAI/2026 CRA02300BQA</t>
  </si>
  <si>
    <t>LF_PRE_10.8_90400888000142_2021_06_09_2031_01_02</t>
  </si>
  <si>
    <t>AZ QUEST LUCE ADVISORY II FC FIF RF CRED PRIV LP</t>
  </si>
  <si>
    <t>ITAU JANEIRO DISTRIBUIDORES FIF DA CIC MULT - RESP</t>
  </si>
  <si>
    <t>TPER11</t>
  </si>
  <si>
    <t>CRI RAIA DROGASIL SET/2025 23H1186528</t>
  </si>
  <si>
    <t>CDB_POS_IPCA_2_6.85_10664513000150_2021_08_19_2025_08_19</t>
  </si>
  <si>
    <t>LCA_POS_IPCA_2_4.35_30306294000226_2021_08_24_2025_08_22</t>
  </si>
  <si>
    <t>CDB_POS_CDI_2_1.2_62144175000120_2023_10_06_2025_10_06</t>
  </si>
  <si>
    <t>CDB_POS_CDI_2_1.55_61186680000174_2023_10_05_2025_10_06</t>
  </si>
  <si>
    <t>CRA MARFRIG MAR/2034 CRA024002ML</t>
  </si>
  <si>
    <t>GSG APN</t>
  </si>
  <si>
    <t>JPM APN</t>
  </si>
  <si>
    <t>BBR APN</t>
  </si>
  <si>
    <t>ITA APN</t>
  </si>
  <si>
    <t>KLA APN</t>
  </si>
  <si>
    <t>SUZ APN</t>
  </si>
  <si>
    <t>BRF APN</t>
  </si>
  <si>
    <t>PTR APN</t>
  </si>
  <si>
    <t>ABLV APN</t>
  </si>
  <si>
    <t>PIMC APN</t>
  </si>
  <si>
    <t>PEJA13</t>
  </si>
  <si>
    <t>CRA MINERVA MAR/2031 CRA024002S3</t>
  </si>
  <si>
    <t>CRI COGNA EDUCAÇÃO NOV/2028 23K0022041</t>
  </si>
  <si>
    <t>CSN APN</t>
  </si>
  <si>
    <t>CDB_POS_CDI_1_119_23862762000100_2024_03_11_2025_09_02</t>
  </si>
  <si>
    <t>IVIAA0</t>
  </si>
  <si>
    <t>CDB_POS_CDI_1_100.5_30306294000145_2024_07_23_2025_07_23</t>
  </si>
  <si>
    <t>TPER1B</t>
  </si>
  <si>
    <t>CDB_PRE_13.95_09516419000175_2024_06_27_2029_06_26</t>
  </si>
  <si>
    <t>TGRE11</t>
  </si>
  <si>
    <t>AEGEA - 20/05/2029 - L01343AA7</t>
  </si>
  <si>
    <t>3R PETROLEUM - 05/02/2031 - L9R621AA9</t>
  </si>
  <si>
    <t>BARCLAYS - 02/11/2028 - 06738ECD5</t>
  </si>
  <si>
    <t>NISSAN - 17/09/2027 - J57160DY6</t>
  </si>
  <si>
    <t>CDB_POS_CDI_1_100_90400888000142_2024_05_15_2028_04_24</t>
  </si>
  <si>
    <t>CDB_POS_CDI_1_100_90400888000142_2024_10_15_2028_09_22</t>
  </si>
  <si>
    <t>COE EGO SP500 31/01/2022</t>
  </si>
  <si>
    <t>COE EGO SP500 03/03/2023</t>
  </si>
  <si>
    <t>CDB_PRE_10.35_31872495000172_2020_11_23_2025_11_24</t>
  </si>
  <si>
    <t>CDB_PRE_13.3_33603457000140_2022_08_22_2026_08_21</t>
  </si>
  <si>
    <t>CDB_PRE_14_61186680000174_2022_08_22_2026_08_21</t>
  </si>
  <si>
    <t>CDB_PRE_13.7_62144175000120_2022_08_22_2027_08_23</t>
  </si>
  <si>
    <t>LCA_PRE_11.97_01181521000155_2022_08_22_2027_10_25</t>
  </si>
  <si>
    <t>CDB_PRE_14.55_61348538000186_2024_12_06_2025_12_08</t>
  </si>
  <si>
    <t>CDB_PRE_14.45_74828799000145_2024_12_06_2025_12_08</t>
  </si>
  <si>
    <t>CDB_PRE_14.55_33264668000286_2024_12_06_2025_12_08</t>
  </si>
  <si>
    <t>CDB_POS_IPCA_2_4.55_04838403000165_2024_03_12_2026_09_23</t>
  </si>
  <si>
    <t>CDB_PRE_9.8_59285411000113_2024_03_12_2026_10_05</t>
  </si>
  <si>
    <t>CDB_PRE_13.85_59285411000113_2024_03_12_2026_10_07</t>
  </si>
  <si>
    <t>CDB_PRE_13.85_59285411000113_2024_03_12_2026_05_04</t>
  </si>
  <si>
    <t>CDB_PRE_15.55_33923798000283_2024_12_05_2026_12_07</t>
  </si>
  <si>
    <t>CDB_PRE_14.8_03502961000192_2024_12_05_2026_12_07</t>
  </si>
  <si>
    <t>CDB_PRE_14.45_33264668000286_2024_12_05_2025_12_05</t>
  </si>
  <si>
    <t>CDB_PRE_16.3_23862762000100_2024_12_16_2026_12_16</t>
  </si>
  <si>
    <t>CDB_PRE_15.1_61348538000186_2024_12_05_2027_12_06</t>
  </si>
  <si>
    <t>CDB_POS_CDI_1_94_92816560000480_2024_12_05_2025_12_01</t>
  </si>
  <si>
    <t>CDB_POS_CDI_1_116_23862762000100_2024_12_18_2026_12_18</t>
  </si>
  <si>
    <t>CDB_POS_CDI_1_100_90400888000142_2024_11_19_2028_10_27</t>
  </si>
  <si>
    <t>COE EDSON SANB</t>
  </si>
  <si>
    <t>CDB_POS_CDI_1_100_90400888000142_2024_12_16_2028_11_23</t>
  </si>
  <si>
    <t>LIG IPCA+5.29% BANCO SANTANDER (BRASIL) 15/08/2028</t>
  </si>
  <si>
    <t>COE EGO MS Índice Small</t>
  </si>
  <si>
    <t>COE EGO XP Autocall Novo Normal</t>
  </si>
  <si>
    <t>COE EGO XP Autocall Klabin, Mosaico, Bradesco e Soma</t>
  </si>
  <si>
    <t>PIMCO FDS GLOBAL INVS SER</t>
  </si>
  <si>
    <t>PLAG11</t>
  </si>
  <si>
    <t>CDB_POS_CDI_1_100_23862762000100_2025_01_08_2027_01_08</t>
  </si>
  <si>
    <t>CDB_PRE_16.65_23862762000100_2024_12_18_2026_12_18</t>
  </si>
  <si>
    <t>CDB_POS_CDI_1_103_00000208000100_2025_03_25_2026_03_25</t>
  </si>
  <si>
    <t>LCI_PRE_9.23_60701190000104_2025_01_14_2025_12_31</t>
  </si>
  <si>
    <t>CDB_POS_IPCA_2_7.65_61186680000174_2025_01_14_2026_12_07</t>
  </si>
  <si>
    <t>CDB_POS_IPCA_2_8.6_62144175000120_2025_01_14_2026_12_17</t>
  </si>
  <si>
    <t>FabiolaBS COE ITAU SOBERANO PRE 14,85%</t>
  </si>
  <si>
    <t>FabiolaBS COE ITAU SOBERANO IPCA+7,90%</t>
  </si>
  <si>
    <t>FabiolaBS INVEST ESTRUTURADO</t>
  </si>
  <si>
    <t>FabiolaBS Prev Bristol Myers Squibb - Participante</t>
  </si>
  <si>
    <t>FabiolaBS Prev Bristol Myers Squibb - Patrocinadora</t>
  </si>
  <si>
    <t>EM USO</t>
  </si>
  <si>
    <t>PORTFOLIO</t>
  </si>
  <si>
    <t>GLOBAL</t>
  </si>
  <si>
    <t>$ ATUAL</t>
  </si>
  <si>
    <t>% ATUAL</t>
  </si>
  <si>
    <t>% ALVO</t>
  </si>
  <si>
    <t>% MAX</t>
  </si>
  <si>
    <t>ALERTA</t>
  </si>
  <si>
    <t>FREQUENCY</t>
  </si>
  <si>
    <t>TOTAL</t>
  </si>
  <si>
    <t>SEREIES TYPE</t>
  </si>
  <si>
    <t>PROJETOS BRL</t>
  </si>
  <si>
    <t>DATA INÍCIO</t>
  </si>
  <si>
    <t>DATA FIM</t>
  </si>
  <si>
    <t>PROJETOS USD</t>
  </si>
  <si>
    <t>NET</t>
  </si>
  <si>
    <t>LONGEVIDADE</t>
  </si>
  <si>
    <t>$ ALVO</t>
  </si>
  <si>
    <t>% MIN</t>
  </si>
  <si>
    <t>RodrigoOBM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</si>
</sst>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164" formatCode="_([$$-409]* #,##0.00_);_([$$-409]* \(#,##0.00\);_([$$-409]* &quot;-&quot;??_);_(@_)"/>
    <numFmt numFmtId="165" formatCode="_-[$R$-416]\ * #,##0.000_-;\-[$R$-416]\ * #,##0.000_-;_-[$R$-416]\ * &quot;-&quot;??_-;_-@_-"/>
    <numFmt numFmtId="166" formatCode="#,##0.000"/>
    <numFmt numFmtId="167" formatCode="_-[$$-409]* #,##0.00_ ;_-[$$-409]* \-#,##0.00\ ;_-[$$-409]* &quot;-&quot;??_ ;_-@_ "/>
    <numFmt numFmtId="168" formatCode="0.0%"/>
  </numFmts>
  <fonts count="15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name val="Aptos Narrow"/>
      <family val="2"/>
      <scheme val="minor"/>
    </font>
    <font>
      <b/>
      <sz val="12"/>
      <color rgb="FFFFFFFF"/>
      <name val="Aptos Narrow"/>
    </font>
    <font>
      <b/>
      <sz val="12"/>
      <color rgb="FFFFFFFF"/>
      <name val="Aptos Narrow"/>
      <family val="2"/>
    </font>
    <font>
      <b/>
      <sz val="12"/>
      <color theme="0"/>
      <name val="Aptos Narrow"/>
      <family val="2"/>
      <scheme val="minor"/>
    </font>
    <font>
      <b/>
      <sz val="11"/>
      <color theme="0"/>
      <name val="Helvetica Neue"/>
      <family val="2"/>
    </font>
    <font>
      <sz val="11"/>
      <color rgb="FF262626"/>
      <name val="Helvetica Neue"/>
      <family val="2"/>
    </font>
    <font>
      <sz val="14"/>
      <color theme="1"/>
      <name val="Aptos Narrow"/>
      <family val="2"/>
      <scheme val="minor"/>
    </font>
    <font>
      <b/>
      <sz val="14"/>
      <color theme="0"/>
      <name val="Aptos Narrow"/>
      <family val="2"/>
      <scheme val="minor"/>
    </font>
    <font>
      <b/>
      <sz val="14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CD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366092"/>
        <bgColor rgb="FF366092"/>
      </patternFill>
    </fill>
    <fill>
      <patternFill patternType="solid">
        <fgColor theme="5"/>
        <bgColor theme="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theme="4"/>
      </patternFill>
    </fill>
    <fill>
      <patternFill patternType="solid">
        <fgColor theme="7" tint="0.79998168889431442"/>
        <bgColor theme="4"/>
      </patternFill>
    </fill>
  </fills>
  <borders count="18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1">
    <xf numFmtId="0" fontId="0" fillId="0" borderId="0" xfId="0"/>
    <xf numFmtId="14" fontId="0" fillId="0" borderId="0" xfId="0" applyNumberFormat="1"/>
    <xf numFmtId="4" fontId="0" fillId="0" borderId="0" xfId="0" applyNumberFormat="1"/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9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7" borderId="0" xfId="0" applyFill="1" applyAlignment="1">
      <alignment horizontal="center"/>
    </xf>
    <xf numFmtId="4" fontId="0" fillId="3" borderId="0" xfId="0" applyNumberFormat="1" applyFill="1" applyAlignment="1">
      <alignment horizontal="center"/>
    </xf>
    <xf numFmtId="4" fontId="0" fillId="7" borderId="0" xfId="0" applyNumberFormat="1" applyFill="1" applyAlignment="1">
      <alignment horizontal="center"/>
    </xf>
    <xf numFmtId="14" fontId="0" fillId="3" borderId="0" xfId="0" applyNumberFormat="1" applyFill="1" applyAlignment="1">
      <alignment horizontal="center"/>
    </xf>
    <xf numFmtId="10" fontId="0" fillId="3" borderId="0" xfId="0" applyNumberFormat="1" applyFill="1" applyAlignment="1">
      <alignment horizontal="center"/>
    </xf>
    <xf numFmtId="3" fontId="0" fillId="0" borderId="0" xfId="0" applyNumberFormat="1" applyAlignment="1">
      <alignment horizontal="center"/>
    </xf>
    <xf numFmtId="3" fontId="0" fillId="3" borderId="0" xfId="0" applyNumberFormat="1" applyFill="1" applyAlignment="1">
      <alignment horizontal="center"/>
    </xf>
    <xf numFmtId="3" fontId="0" fillId="6" borderId="0" xfId="0" applyNumberFormat="1" applyFill="1" applyAlignment="1">
      <alignment horizontal="center"/>
    </xf>
    <xf numFmtId="3" fontId="0" fillId="8" borderId="0" xfId="0" applyNumberFormat="1" applyFill="1" applyAlignment="1">
      <alignment horizontal="center"/>
    </xf>
    <xf numFmtId="3" fontId="0" fillId="9" borderId="0" xfId="0" applyNumberFormat="1" applyFill="1" applyAlignment="1">
      <alignment horizontal="center"/>
    </xf>
    <xf numFmtId="3" fontId="0" fillId="5" borderId="0" xfId="0" applyNumberFormat="1" applyFill="1" applyAlignment="1">
      <alignment horizontal="center"/>
    </xf>
    <xf numFmtId="3" fontId="4" fillId="4" borderId="0" xfId="0" applyNumberFormat="1" applyFont="1" applyFill="1" applyAlignment="1">
      <alignment horizontal="center"/>
    </xf>
    <xf numFmtId="3" fontId="0" fillId="2" borderId="0" xfId="0" applyNumberFormat="1" applyFill="1" applyAlignment="1">
      <alignment horizontal="center"/>
    </xf>
    <xf numFmtId="3" fontId="0" fillId="0" borderId="0" xfId="1" applyNumberFormat="1" applyFont="1" applyAlignment="1">
      <alignment horizontal="center"/>
    </xf>
    <xf numFmtId="9" fontId="0" fillId="3" borderId="0" xfId="1" applyFont="1" applyFill="1" applyAlignment="1">
      <alignment horizontal="center"/>
    </xf>
    <xf numFmtId="10" fontId="0" fillId="0" borderId="0" xfId="1" applyNumberFormat="1" applyFont="1" applyAlignment="1">
      <alignment horizontal="center"/>
    </xf>
    <xf numFmtId="9" fontId="0" fillId="0" borderId="0" xfId="0" applyNumberFormat="1"/>
    <xf numFmtId="10" fontId="0" fillId="0" borderId="0" xfId="1" applyNumberFormat="1" applyFont="1"/>
    <xf numFmtId="0" fontId="3" fillId="0" borderId="0" xfId="0" applyFont="1" applyAlignment="1">
      <alignment vertical="center" wrapText="1"/>
    </xf>
    <xf numFmtId="14" fontId="0" fillId="3" borderId="0" xfId="0" applyNumberFormat="1" applyFill="1"/>
    <xf numFmtId="165" fontId="0" fillId="0" borderId="0" xfId="0" applyNumberFormat="1"/>
    <xf numFmtId="166" fontId="0" fillId="0" borderId="0" xfId="0" applyNumberFormat="1" applyAlignment="1">
      <alignment horizontal="center"/>
    </xf>
    <xf numFmtId="0" fontId="5" fillId="10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 wrapText="1"/>
    </xf>
    <xf numFmtId="0" fontId="6" fillId="10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/>
    </xf>
    <xf numFmtId="0" fontId="6" fillId="10" borderId="0" xfId="0" applyFont="1" applyFill="1" applyAlignment="1">
      <alignment horizontal="center"/>
    </xf>
    <xf numFmtId="0" fontId="7" fillId="11" borderId="1" xfId="0" applyFont="1" applyFill="1" applyBorder="1" applyAlignment="1">
      <alignment horizontal="center"/>
    </xf>
    <xf numFmtId="167" fontId="0" fillId="0" borderId="0" xfId="0" applyNumberFormat="1"/>
    <xf numFmtId="0" fontId="0" fillId="0" borderId="0" xfId="0" applyAlignment="1">
      <alignment wrapText="1"/>
    </xf>
    <xf numFmtId="0" fontId="6" fillId="10" borderId="2" xfId="0" applyFont="1" applyFill="1" applyBorder="1" applyAlignment="1">
      <alignment horizontal="center" wrapText="1"/>
    </xf>
    <xf numFmtId="49" fontId="6" fillId="10" borderId="2" xfId="0" applyNumberFormat="1" applyFont="1" applyFill="1" applyBorder="1" applyAlignment="1">
      <alignment horizontal="center" wrapText="1"/>
    </xf>
    <xf numFmtId="3" fontId="0" fillId="0" borderId="0" xfId="0" applyNumberFormat="1"/>
    <xf numFmtId="0" fontId="6" fillId="10" borderId="3" xfId="0" applyFont="1" applyFill="1" applyBorder="1" applyAlignment="1">
      <alignment horizontal="center"/>
    </xf>
    <xf numFmtId="4" fontId="6" fillId="10" borderId="3" xfId="0" applyNumberFormat="1" applyFont="1" applyFill="1" applyBorder="1" applyAlignment="1">
      <alignment horizontal="center"/>
    </xf>
    <xf numFmtId="3" fontId="0" fillId="3" borderId="0" xfId="0" applyNumberFormat="1" applyFill="1" applyAlignment="1">
      <alignment horizontal="right"/>
    </xf>
    <xf numFmtId="3" fontId="0" fillId="12" borderId="0" xfId="0" applyNumberFormat="1" applyFill="1" applyAlignment="1">
      <alignment horizontal="center"/>
    </xf>
    <xf numFmtId="4" fontId="7" fillId="11" borderId="1" xfId="0" applyNumberFormat="1" applyFont="1" applyFill="1" applyBorder="1" applyAlignment="1">
      <alignment horizontal="center"/>
    </xf>
    <xf numFmtId="2" fontId="0" fillId="3" borderId="0" xfId="0" applyNumberFormat="1" applyFill="1" applyAlignment="1">
      <alignment horizontal="center"/>
    </xf>
    <xf numFmtId="9" fontId="0" fillId="0" borderId="0" xfId="1" applyFont="1" applyBorder="1" applyAlignment="1">
      <alignment horizontal="center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center"/>
    </xf>
    <xf numFmtId="168" fontId="0" fillId="0" borderId="0" xfId="1" applyNumberFormat="1" applyFont="1" applyFill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68" fontId="0" fillId="0" borderId="0" xfId="1" applyNumberFormat="1" applyFont="1" applyFill="1" applyAlignment="1">
      <alignment horizontal="center"/>
    </xf>
    <xf numFmtId="0" fontId="7" fillId="13" borderId="4" xfId="0" applyFont="1" applyFill="1" applyBorder="1"/>
    <xf numFmtId="0" fontId="0" fillId="0" borderId="0" xfId="0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10" fillId="14" borderId="0" xfId="0" applyFont="1" applyFill="1" applyAlignment="1">
      <alignment horizontal="center" vertical="center"/>
    </xf>
    <xf numFmtId="0" fontId="10" fillId="0" borderId="0" xfId="0" applyFont="1" applyAlignment="1">
      <alignment vertical="center"/>
    </xf>
    <xf numFmtId="0" fontId="11" fillId="13" borderId="5" xfId="0" applyFont="1" applyFill="1" applyBorder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11" fillId="13" borderId="6" xfId="0" applyFont="1" applyFill="1" applyBorder="1" applyAlignment="1">
      <alignment horizontal="center" vertical="center"/>
    </xf>
    <xf numFmtId="3" fontId="11" fillId="13" borderId="7" xfId="0" applyNumberFormat="1" applyFont="1" applyFill="1" applyBorder="1" applyAlignment="1">
      <alignment horizontal="center" vertical="center"/>
    </xf>
    <xf numFmtId="0" fontId="11" fillId="13" borderId="7" xfId="0" applyFont="1" applyFill="1" applyBorder="1" applyAlignment="1">
      <alignment horizontal="center" vertical="center"/>
    </xf>
    <xf numFmtId="0" fontId="11" fillId="13" borderId="8" xfId="0" applyFont="1" applyFill="1" applyBorder="1" applyAlignment="1">
      <alignment horizontal="center" vertical="center"/>
    </xf>
    <xf numFmtId="14" fontId="10" fillId="14" borderId="6" xfId="0" applyNumberFormat="1" applyFont="1" applyFill="1" applyBorder="1" applyAlignment="1">
      <alignment horizontal="center" vertical="center"/>
    </xf>
    <xf numFmtId="0" fontId="10" fillId="14" borderId="7" xfId="0" applyFont="1" applyFill="1" applyBorder="1" applyAlignment="1">
      <alignment horizontal="center" vertical="center"/>
    </xf>
    <xf numFmtId="0" fontId="10" fillId="14" borderId="7" xfId="0" applyFont="1" applyFill="1" applyBorder="1" applyAlignment="1">
      <alignment horizontal="left" vertical="center"/>
    </xf>
    <xf numFmtId="4" fontId="10" fillId="14" borderId="7" xfId="0" applyNumberFormat="1" applyFont="1" applyFill="1" applyBorder="1" applyAlignment="1">
      <alignment horizontal="center" vertical="center"/>
    </xf>
    <xf numFmtId="0" fontId="10" fillId="14" borderId="8" xfId="0" applyFont="1" applyFill="1" applyBorder="1" applyAlignment="1">
      <alignment horizontal="center" vertical="center"/>
    </xf>
    <xf numFmtId="14" fontId="10" fillId="14" borderId="9" xfId="0" applyNumberFormat="1" applyFont="1" applyFill="1" applyBorder="1" applyAlignment="1">
      <alignment horizontal="center" vertical="center"/>
    </xf>
    <xf numFmtId="0" fontId="10" fillId="14" borderId="0" xfId="0" applyFont="1" applyFill="1" applyAlignment="1">
      <alignment horizontal="left" vertical="center"/>
    </xf>
    <xf numFmtId="4" fontId="10" fillId="14" borderId="0" xfId="0" applyNumberFormat="1" applyFont="1" applyFill="1" applyAlignment="1">
      <alignment horizontal="center" vertical="center"/>
    </xf>
    <xf numFmtId="0" fontId="10" fillId="14" borderId="10" xfId="0" applyFont="1" applyFill="1" applyBorder="1" applyAlignment="1">
      <alignment horizontal="center" vertical="center"/>
    </xf>
    <xf numFmtId="9" fontId="11" fillId="13" borderId="8" xfId="1" applyFont="1" applyFill="1" applyBorder="1" applyAlignment="1">
      <alignment horizontal="center" vertical="center"/>
    </xf>
    <xf numFmtId="0" fontId="11" fillId="13" borderId="9" xfId="0" applyFont="1" applyFill="1" applyBorder="1" applyAlignment="1">
      <alignment horizontal="center" vertical="center"/>
    </xf>
    <xf numFmtId="3" fontId="10" fillId="14" borderId="6" xfId="1" applyNumberFormat="1" applyFont="1" applyFill="1" applyBorder="1" applyAlignment="1">
      <alignment horizontal="center" vertical="center"/>
    </xf>
    <xf numFmtId="10" fontId="10" fillId="14" borderId="7" xfId="1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1" fillId="13" borderId="10" xfId="0" applyFont="1" applyFill="1" applyBorder="1" applyAlignment="1">
      <alignment horizontal="center" vertical="center"/>
    </xf>
    <xf numFmtId="3" fontId="10" fillId="14" borderId="11" xfId="1" applyNumberFormat="1" applyFont="1" applyFill="1" applyBorder="1" applyAlignment="1">
      <alignment horizontal="center" vertical="center"/>
    </xf>
    <xf numFmtId="9" fontId="10" fillId="14" borderId="12" xfId="1" applyFont="1" applyFill="1" applyBorder="1" applyAlignment="1">
      <alignment horizontal="center" vertical="center"/>
    </xf>
    <xf numFmtId="9" fontId="11" fillId="13" borderId="10" xfId="1" applyFont="1" applyFill="1" applyBorder="1" applyAlignment="1">
      <alignment horizontal="center" vertical="center"/>
    </xf>
    <xf numFmtId="0" fontId="11" fillId="13" borderId="13" xfId="0" applyFont="1" applyFill="1" applyBorder="1" applyAlignment="1">
      <alignment horizontal="center" vertical="center"/>
    </xf>
    <xf numFmtId="0" fontId="12" fillId="16" borderId="13" xfId="0" applyFont="1" applyFill="1" applyBorder="1" applyAlignment="1">
      <alignment horizontal="center" vertical="center"/>
    </xf>
    <xf numFmtId="3" fontId="10" fillId="14" borderId="9" xfId="1" applyNumberFormat="1" applyFont="1" applyFill="1" applyBorder="1" applyAlignment="1">
      <alignment horizontal="center" vertical="center"/>
    </xf>
    <xf numFmtId="10" fontId="10" fillId="14" borderId="0" xfId="1" applyNumberFormat="1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1" fillId="13" borderId="14" xfId="0" applyFont="1" applyFill="1" applyBorder="1" applyAlignment="1">
      <alignment horizontal="center" vertical="center"/>
    </xf>
    <xf numFmtId="3" fontId="11" fillId="13" borderId="15" xfId="0" applyNumberFormat="1" applyFont="1" applyFill="1" applyBorder="1" applyAlignment="1">
      <alignment horizontal="center" vertical="center"/>
    </xf>
    <xf numFmtId="9" fontId="11" fillId="13" borderId="15" xfId="1" applyFont="1" applyFill="1" applyBorder="1" applyAlignment="1">
      <alignment horizontal="center" vertical="center"/>
    </xf>
    <xf numFmtId="0" fontId="11" fillId="13" borderId="16" xfId="0" applyFont="1" applyFill="1" applyBorder="1" applyAlignment="1">
      <alignment horizontal="center" vertical="center"/>
    </xf>
    <xf numFmtId="0" fontId="11" fillId="13" borderId="17" xfId="0" applyFont="1" applyFill="1" applyBorder="1" applyAlignment="1">
      <alignment horizontal="center" vertical="center"/>
    </xf>
    <xf numFmtId="0" fontId="12" fillId="16" borderId="17" xfId="0" applyFont="1" applyFill="1" applyBorder="1" applyAlignment="1">
      <alignment horizontal="center" vertical="center"/>
    </xf>
    <xf numFmtId="3" fontId="10" fillId="14" borderId="0" xfId="0" applyNumberFormat="1" applyFont="1" applyFill="1" applyAlignment="1">
      <alignment horizontal="center" vertical="center"/>
    </xf>
    <xf numFmtId="14" fontId="12" fillId="16" borderId="13" xfId="0" applyNumberFormat="1" applyFont="1" applyFill="1" applyBorder="1" applyAlignment="1">
      <alignment horizontal="center" vertical="center"/>
    </xf>
    <xf numFmtId="9" fontId="10" fillId="14" borderId="7" xfId="1" applyFont="1" applyFill="1" applyBorder="1" applyAlignment="1">
      <alignment horizontal="center" vertical="center"/>
    </xf>
    <xf numFmtId="14" fontId="12" fillId="16" borderId="17" xfId="0" applyNumberFormat="1" applyFont="1" applyFill="1" applyBorder="1" applyAlignment="1">
      <alignment horizontal="center" vertical="center"/>
    </xf>
    <xf numFmtId="3" fontId="10" fillId="14" borderId="14" xfId="1" applyNumberFormat="1" applyFont="1" applyFill="1" applyBorder="1" applyAlignment="1">
      <alignment horizontal="center" vertical="center"/>
    </xf>
    <xf numFmtId="9" fontId="10" fillId="14" borderId="15" xfId="1" applyFont="1" applyFill="1" applyBorder="1" applyAlignment="1">
      <alignment horizontal="center" vertical="center"/>
    </xf>
    <xf numFmtId="10" fontId="11" fillId="13" borderId="16" xfId="1" applyNumberFormat="1" applyFont="1" applyFill="1" applyBorder="1" applyAlignment="1">
      <alignment horizontal="center" vertical="center"/>
    </xf>
    <xf numFmtId="10" fontId="10" fillId="14" borderId="15" xfId="1" applyNumberFormat="1" applyFont="1" applyFill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4" fontId="11" fillId="13" borderId="8" xfId="0" applyNumberFormat="1" applyFont="1" applyFill="1" applyBorder="1" applyAlignment="1">
      <alignment horizontal="center" vertical="center"/>
    </xf>
    <xf numFmtId="4" fontId="11" fillId="13" borderId="10" xfId="0" applyNumberFormat="1" applyFont="1" applyFill="1" applyBorder="1" applyAlignment="1">
      <alignment horizontal="center" vertical="center"/>
    </xf>
    <xf numFmtId="4" fontId="11" fillId="13" borderId="16" xfId="0" applyNumberFormat="1" applyFont="1" applyFill="1" applyBorder="1" applyAlignment="1">
      <alignment horizontal="center" vertical="center"/>
    </xf>
    <xf numFmtId="168" fontId="10" fillId="14" borderId="7" xfId="1" applyNumberFormat="1" applyFont="1" applyFill="1" applyBorder="1" applyAlignment="1">
      <alignment horizontal="center" vertical="center"/>
    </xf>
    <xf numFmtId="168" fontId="10" fillId="14" borderId="0" xfId="1" applyNumberFormat="1" applyFont="1" applyFill="1" applyBorder="1" applyAlignment="1">
      <alignment horizontal="center" vertical="center"/>
    </xf>
    <xf numFmtId="0" fontId="10" fillId="14" borderId="9" xfId="0" applyFont="1" applyFill="1" applyBorder="1" applyAlignment="1">
      <alignment horizontal="center" vertical="center"/>
    </xf>
    <xf numFmtId="0" fontId="10" fillId="14" borderId="14" xfId="0" applyFont="1" applyFill="1" applyBorder="1" applyAlignment="1">
      <alignment horizontal="center" vertical="center"/>
    </xf>
    <xf numFmtId="0" fontId="10" fillId="14" borderId="15" xfId="0" applyFont="1" applyFill="1" applyBorder="1" applyAlignment="1">
      <alignment horizontal="center" vertical="center"/>
    </xf>
    <xf numFmtId="0" fontId="10" fillId="14" borderId="16" xfId="0" applyFont="1" applyFill="1" applyBorder="1" applyAlignment="1">
      <alignment horizontal="center" vertical="center"/>
    </xf>
    <xf numFmtId="9" fontId="11" fillId="13" borderId="16" xfId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/>
    <xf numFmtId="14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4" fontId="10" fillId="0" borderId="0" xfId="0" applyNumberFormat="1" applyFont="1" applyAlignment="1">
      <alignment horizontal="center" vertical="center"/>
    </xf>
    <xf numFmtId="0" fontId="13" fillId="13" borderId="7" xfId="0" applyFont="1" applyFill="1" applyBorder="1" applyAlignment="1">
      <alignment horizontal="center" vertical="center"/>
    </xf>
    <xf numFmtId="10" fontId="14" fillId="14" borderId="7" xfId="1" applyNumberFormat="1" applyFont="1" applyFill="1" applyBorder="1" applyAlignment="1">
      <alignment horizontal="center" vertical="center"/>
    </xf>
    <xf numFmtId="10" fontId="14" fillId="14" borderId="0" xfId="1" applyNumberFormat="1" applyFont="1" applyFill="1" applyBorder="1" applyAlignment="1">
      <alignment horizontal="center" vertical="center"/>
    </xf>
    <xf numFmtId="10" fontId="14" fillId="14" borderId="15" xfId="1" applyNumberFormat="1" applyFont="1" applyFill="1" applyBorder="1" applyAlignment="1">
      <alignment horizontal="center" vertical="center"/>
    </xf>
    <xf numFmtId="9" fontId="13" fillId="13" borderId="15" xfId="1" applyFont="1" applyFill="1" applyBorder="1" applyAlignment="1">
      <alignment horizontal="center" vertical="center"/>
    </xf>
    <xf numFmtId="10" fontId="14" fillId="14" borderId="8" xfId="1" applyNumberFormat="1" applyFont="1" applyFill="1" applyBorder="1" applyAlignment="1">
      <alignment horizontal="center" vertical="center"/>
    </xf>
    <xf numFmtId="10" fontId="14" fillId="14" borderId="10" xfId="1" applyNumberFormat="1" applyFont="1" applyFill="1" applyBorder="1" applyAlignment="1">
      <alignment horizontal="center" vertical="center"/>
    </xf>
    <xf numFmtId="10" fontId="14" fillId="14" borderId="16" xfId="1" applyNumberFormat="1" applyFont="1" applyFill="1" applyBorder="1" applyAlignment="1">
      <alignment horizontal="center" vertical="center"/>
    </xf>
  </cellXfs>
  <cellStyles count="2">
    <cellStyle name="Normal" xfId="0" builtinId="0"/>
    <cellStyle name="Porcentagem" xfId="1" builtinId="5"/>
  </cellStyles>
  <dxfs count="116"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68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Helvetica Neue"/>
        <family val="2"/>
        <scheme val="none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Aptos Narrow"/>
        <scheme val="none"/>
      </font>
      <fill>
        <patternFill patternType="solid">
          <fgColor rgb="FF366092"/>
          <bgColor rgb="FF366092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numFmt numFmtId="4" formatCode="#,##0.00"/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numFmt numFmtId="4" formatCode="#,##0.00"/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numFmt numFmtId="19" formatCode="dd/mm/yyyy"/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4" formatCode="0.00%"/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numFmt numFmtId="4" formatCode="#,##0.00"/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4" formatCode="#,##0.0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Aptos Narrow"/>
        <family val="2"/>
        <scheme val="none"/>
      </font>
      <fill>
        <patternFill patternType="solid">
          <fgColor rgb="FF366092"/>
          <bgColor rgb="FF366092"/>
        </patternFill>
      </fill>
      <alignment horizontal="center" vertical="bottom" textRotation="0" wrapText="1" indent="0" justifyLastLine="0" shrinkToFit="0" readingOrder="0"/>
    </dxf>
    <dxf>
      <numFmt numFmtId="19" formatCode="dd/mm/yyyy"/>
      <fill>
        <patternFill patternType="solid">
          <fgColor indexed="64"/>
          <bgColor theme="8" tint="0.79998168889431442"/>
        </patternFill>
      </fill>
    </dxf>
    <dxf>
      <numFmt numFmtId="19" formatCode="dd/mm/yyyy"/>
      <fill>
        <patternFill patternType="solid">
          <fgColor indexed="64"/>
          <bgColor theme="8" tint="0.79998168889431442"/>
        </patternFill>
      </fill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numFmt numFmtId="19" formatCode="dd/mm/yyyy"/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numFmt numFmtId="19" formatCode="dd/mm/yyyy"/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Aptos Narrow"/>
        <scheme val="none"/>
      </font>
      <fill>
        <patternFill patternType="solid">
          <fgColor rgb="FF366092"/>
          <bgColor rgb="FF366092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DA1A"/>
      <color rgb="FFFFF256"/>
      <color rgb="FFFFF799"/>
      <color rgb="FFFFF8AA"/>
      <color rgb="FFFFF101"/>
      <color rgb="FFF0C621"/>
      <color rgb="FFF6C423"/>
      <color rgb="FFFFFCD2"/>
      <color rgb="FFFFFBCA"/>
      <color rgb="FFFFF1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26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SupportingPropertyBagStructure" Target="richData/rdsupportingpropertybagstructure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microsoft.com/office/2017/06/relationships/richStyles" Target="richData/richStyles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Array" Target="richData/rdarray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Dados!$N$1</c:f>
              <c:strCache>
                <c:ptCount val="1"/>
                <c:pt idx="0">
                  <c:v>Despesas Totais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Dados!$A$2:$A$1231</c:f>
              <c:numCache>
                <c:formatCode>mmm\-yy</c:formatCode>
                <c:ptCount val="1230"/>
                <c:pt idx="0">
                  <c:v>45658</c:v>
                </c:pt>
                <c:pt idx="1">
                  <c:v>45689</c:v>
                </c:pt>
                <c:pt idx="2">
                  <c:v>45717</c:v>
                </c:pt>
                <c:pt idx="3">
                  <c:v>45748</c:v>
                </c:pt>
                <c:pt idx="4">
                  <c:v>45778</c:v>
                </c:pt>
                <c:pt idx="5">
                  <c:v>45809</c:v>
                </c:pt>
                <c:pt idx="6">
                  <c:v>45839</c:v>
                </c:pt>
                <c:pt idx="7">
                  <c:v>45870</c:v>
                </c:pt>
                <c:pt idx="8">
                  <c:v>45901</c:v>
                </c:pt>
                <c:pt idx="9">
                  <c:v>45931</c:v>
                </c:pt>
                <c:pt idx="10">
                  <c:v>45962</c:v>
                </c:pt>
                <c:pt idx="11">
                  <c:v>45992</c:v>
                </c:pt>
                <c:pt idx="12">
                  <c:v>46023</c:v>
                </c:pt>
                <c:pt idx="13">
                  <c:v>46054</c:v>
                </c:pt>
                <c:pt idx="14">
                  <c:v>46082</c:v>
                </c:pt>
                <c:pt idx="15">
                  <c:v>46113</c:v>
                </c:pt>
                <c:pt idx="16">
                  <c:v>46143</c:v>
                </c:pt>
                <c:pt idx="17">
                  <c:v>46174</c:v>
                </c:pt>
                <c:pt idx="18">
                  <c:v>46204</c:v>
                </c:pt>
                <c:pt idx="19">
                  <c:v>46235</c:v>
                </c:pt>
                <c:pt idx="20">
                  <c:v>46266</c:v>
                </c:pt>
                <c:pt idx="21">
                  <c:v>46296</c:v>
                </c:pt>
                <c:pt idx="22">
                  <c:v>46327</c:v>
                </c:pt>
                <c:pt idx="23">
                  <c:v>46357</c:v>
                </c:pt>
                <c:pt idx="24">
                  <c:v>46388</c:v>
                </c:pt>
                <c:pt idx="25">
                  <c:v>46419</c:v>
                </c:pt>
                <c:pt idx="26">
                  <c:v>46447</c:v>
                </c:pt>
                <c:pt idx="27">
                  <c:v>46478</c:v>
                </c:pt>
                <c:pt idx="28">
                  <c:v>46508</c:v>
                </c:pt>
                <c:pt idx="29">
                  <c:v>46539</c:v>
                </c:pt>
                <c:pt idx="30">
                  <c:v>46569</c:v>
                </c:pt>
                <c:pt idx="31">
                  <c:v>46600</c:v>
                </c:pt>
                <c:pt idx="32">
                  <c:v>46631</c:v>
                </c:pt>
                <c:pt idx="33">
                  <c:v>46661</c:v>
                </c:pt>
                <c:pt idx="34">
                  <c:v>46692</c:v>
                </c:pt>
                <c:pt idx="35">
                  <c:v>46722</c:v>
                </c:pt>
                <c:pt idx="36">
                  <c:v>46753</c:v>
                </c:pt>
                <c:pt idx="37">
                  <c:v>46784</c:v>
                </c:pt>
                <c:pt idx="38">
                  <c:v>46813</c:v>
                </c:pt>
                <c:pt idx="39">
                  <c:v>46844</c:v>
                </c:pt>
                <c:pt idx="40">
                  <c:v>46874</c:v>
                </c:pt>
                <c:pt idx="41">
                  <c:v>46905</c:v>
                </c:pt>
                <c:pt idx="42">
                  <c:v>46935</c:v>
                </c:pt>
                <c:pt idx="43">
                  <c:v>46966</c:v>
                </c:pt>
                <c:pt idx="44">
                  <c:v>46997</c:v>
                </c:pt>
                <c:pt idx="45">
                  <c:v>47027</c:v>
                </c:pt>
                <c:pt idx="46">
                  <c:v>47058</c:v>
                </c:pt>
                <c:pt idx="47">
                  <c:v>47088</c:v>
                </c:pt>
                <c:pt idx="48">
                  <c:v>47119</c:v>
                </c:pt>
                <c:pt idx="49">
                  <c:v>47150</c:v>
                </c:pt>
                <c:pt idx="50">
                  <c:v>47178</c:v>
                </c:pt>
                <c:pt idx="51">
                  <c:v>47209</c:v>
                </c:pt>
                <c:pt idx="52">
                  <c:v>47239</c:v>
                </c:pt>
                <c:pt idx="53">
                  <c:v>47270</c:v>
                </c:pt>
                <c:pt idx="54">
                  <c:v>47300</c:v>
                </c:pt>
                <c:pt idx="55">
                  <c:v>47331</c:v>
                </c:pt>
                <c:pt idx="56">
                  <c:v>47362</c:v>
                </c:pt>
                <c:pt idx="57">
                  <c:v>47392</c:v>
                </c:pt>
                <c:pt idx="58">
                  <c:v>47423</c:v>
                </c:pt>
                <c:pt idx="59">
                  <c:v>47453</c:v>
                </c:pt>
                <c:pt idx="60">
                  <c:v>47484</c:v>
                </c:pt>
                <c:pt idx="61">
                  <c:v>47515</c:v>
                </c:pt>
                <c:pt idx="62">
                  <c:v>47543</c:v>
                </c:pt>
                <c:pt idx="63">
                  <c:v>47574</c:v>
                </c:pt>
                <c:pt idx="64">
                  <c:v>47604</c:v>
                </c:pt>
                <c:pt idx="65">
                  <c:v>47635</c:v>
                </c:pt>
                <c:pt idx="66">
                  <c:v>47665</c:v>
                </c:pt>
                <c:pt idx="67">
                  <c:v>47696</c:v>
                </c:pt>
                <c:pt idx="68">
                  <c:v>47727</c:v>
                </c:pt>
                <c:pt idx="69">
                  <c:v>47757</c:v>
                </c:pt>
                <c:pt idx="70">
                  <c:v>47788</c:v>
                </c:pt>
                <c:pt idx="71">
                  <c:v>47818</c:v>
                </c:pt>
                <c:pt idx="72">
                  <c:v>47849</c:v>
                </c:pt>
                <c:pt idx="73">
                  <c:v>47880</c:v>
                </c:pt>
                <c:pt idx="74">
                  <c:v>47908</c:v>
                </c:pt>
                <c:pt idx="75">
                  <c:v>47939</c:v>
                </c:pt>
                <c:pt idx="76">
                  <c:v>47969</c:v>
                </c:pt>
                <c:pt idx="77">
                  <c:v>48000</c:v>
                </c:pt>
                <c:pt idx="78">
                  <c:v>48030</c:v>
                </c:pt>
                <c:pt idx="79">
                  <c:v>48061</c:v>
                </c:pt>
                <c:pt idx="80">
                  <c:v>48092</c:v>
                </c:pt>
                <c:pt idx="81">
                  <c:v>48122</c:v>
                </c:pt>
                <c:pt idx="82">
                  <c:v>48153</c:v>
                </c:pt>
                <c:pt idx="83">
                  <c:v>48183</c:v>
                </c:pt>
                <c:pt idx="84">
                  <c:v>48214</c:v>
                </c:pt>
                <c:pt idx="85">
                  <c:v>48245</c:v>
                </c:pt>
                <c:pt idx="86">
                  <c:v>48274</c:v>
                </c:pt>
                <c:pt idx="87">
                  <c:v>48305</c:v>
                </c:pt>
                <c:pt idx="88">
                  <c:v>48335</c:v>
                </c:pt>
                <c:pt idx="89">
                  <c:v>48366</c:v>
                </c:pt>
                <c:pt idx="90">
                  <c:v>48396</c:v>
                </c:pt>
                <c:pt idx="91">
                  <c:v>48427</c:v>
                </c:pt>
                <c:pt idx="92">
                  <c:v>48458</c:v>
                </c:pt>
                <c:pt idx="93">
                  <c:v>48488</c:v>
                </c:pt>
                <c:pt idx="94">
                  <c:v>48519</c:v>
                </c:pt>
                <c:pt idx="95">
                  <c:v>48549</c:v>
                </c:pt>
                <c:pt idx="96">
                  <c:v>48580</c:v>
                </c:pt>
                <c:pt idx="97">
                  <c:v>48611</c:v>
                </c:pt>
                <c:pt idx="98">
                  <c:v>48639</c:v>
                </c:pt>
                <c:pt idx="99">
                  <c:v>48670</c:v>
                </c:pt>
                <c:pt idx="100">
                  <c:v>48700</c:v>
                </c:pt>
                <c:pt idx="101">
                  <c:v>48731</c:v>
                </c:pt>
                <c:pt idx="102">
                  <c:v>48761</c:v>
                </c:pt>
                <c:pt idx="103">
                  <c:v>48792</c:v>
                </c:pt>
                <c:pt idx="104">
                  <c:v>48823</c:v>
                </c:pt>
                <c:pt idx="105">
                  <c:v>48853</c:v>
                </c:pt>
                <c:pt idx="106">
                  <c:v>48884</c:v>
                </c:pt>
                <c:pt idx="107">
                  <c:v>48914</c:v>
                </c:pt>
                <c:pt idx="108">
                  <c:v>48945</c:v>
                </c:pt>
                <c:pt idx="109">
                  <c:v>48976</c:v>
                </c:pt>
                <c:pt idx="110">
                  <c:v>49004</c:v>
                </c:pt>
                <c:pt idx="111">
                  <c:v>49035</c:v>
                </c:pt>
                <c:pt idx="112">
                  <c:v>49065</c:v>
                </c:pt>
                <c:pt idx="113">
                  <c:v>49096</c:v>
                </c:pt>
                <c:pt idx="114">
                  <c:v>49126</c:v>
                </c:pt>
                <c:pt idx="115">
                  <c:v>49157</c:v>
                </c:pt>
                <c:pt idx="116">
                  <c:v>49188</c:v>
                </c:pt>
                <c:pt idx="117">
                  <c:v>49218</c:v>
                </c:pt>
                <c:pt idx="118">
                  <c:v>49249</c:v>
                </c:pt>
                <c:pt idx="119">
                  <c:v>49279</c:v>
                </c:pt>
                <c:pt idx="120">
                  <c:v>49310</c:v>
                </c:pt>
                <c:pt idx="121">
                  <c:v>49341</c:v>
                </c:pt>
                <c:pt idx="122">
                  <c:v>49369</c:v>
                </c:pt>
                <c:pt idx="123">
                  <c:v>49400</c:v>
                </c:pt>
                <c:pt idx="124">
                  <c:v>49430</c:v>
                </c:pt>
                <c:pt idx="125">
                  <c:v>49461</c:v>
                </c:pt>
                <c:pt idx="126">
                  <c:v>49491</c:v>
                </c:pt>
                <c:pt idx="127">
                  <c:v>49522</c:v>
                </c:pt>
                <c:pt idx="128">
                  <c:v>49553</c:v>
                </c:pt>
                <c:pt idx="129">
                  <c:v>49583</c:v>
                </c:pt>
                <c:pt idx="130">
                  <c:v>49614</c:v>
                </c:pt>
                <c:pt idx="131">
                  <c:v>49644</c:v>
                </c:pt>
                <c:pt idx="132">
                  <c:v>49675</c:v>
                </c:pt>
                <c:pt idx="133">
                  <c:v>49706</c:v>
                </c:pt>
                <c:pt idx="134">
                  <c:v>49735</c:v>
                </c:pt>
                <c:pt idx="135">
                  <c:v>49766</c:v>
                </c:pt>
                <c:pt idx="136">
                  <c:v>49796</c:v>
                </c:pt>
                <c:pt idx="137">
                  <c:v>49827</c:v>
                </c:pt>
                <c:pt idx="138">
                  <c:v>49857</c:v>
                </c:pt>
                <c:pt idx="139">
                  <c:v>49888</c:v>
                </c:pt>
                <c:pt idx="140">
                  <c:v>49919</c:v>
                </c:pt>
                <c:pt idx="141">
                  <c:v>49949</c:v>
                </c:pt>
                <c:pt idx="142">
                  <c:v>49980</c:v>
                </c:pt>
                <c:pt idx="143">
                  <c:v>50010</c:v>
                </c:pt>
                <c:pt idx="144">
                  <c:v>50041</c:v>
                </c:pt>
                <c:pt idx="145">
                  <c:v>50072</c:v>
                </c:pt>
                <c:pt idx="146">
                  <c:v>50100</c:v>
                </c:pt>
                <c:pt idx="147">
                  <c:v>50131</c:v>
                </c:pt>
                <c:pt idx="148">
                  <c:v>50161</c:v>
                </c:pt>
                <c:pt idx="149">
                  <c:v>50192</c:v>
                </c:pt>
                <c:pt idx="150">
                  <c:v>50222</c:v>
                </c:pt>
                <c:pt idx="151">
                  <c:v>50253</c:v>
                </c:pt>
                <c:pt idx="152">
                  <c:v>50284</c:v>
                </c:pt>
                <c:pt idx="153">
                  <c:v>50314</c:v>
                </c:pt>
                <c:pt idx="154">
                  <c:v>50345</c:v>
                </c:pt>
                <c:pt idx="155">
                  <c:v>50375</c:v>
                </c:pt>
                <c:pt idx="156">
                  <c:v>50406</c:v>
                </c:pt>
                <c:pt idx="157">
                  <c:v>50437</c:v>
                </c:pt>
                <c:pt idx="158">
                  <c:v>50465</c:v>
                </c:pt>
                <c:pt idx="159">
                  <c:v>50496</c:v>
                </c:pt>
                <c:pt idx="160">
                  <c:v>50526</c:v>
                </c:pt>
                <c:pt idx="161">
                  <c:v>50557</c:v>
                </c:pt>
                <c:pt idx="162">
                  <c:v>50587</c:v>
                </c:pt>
                <c:pt idx="163">
                  <c:v>50618</c:v>
                </c:pt>
                <c:pt idx="164">
                  <c:v>50649</c:v>
                </c:pt>
                <c:pt idx="165">
                  <c:v>50679</c:v>
                </c:pt>
                <c:pt idx="166">
                  <c:v>50710</c:v>
                </c:pt>
                <c:pt idx="167">
                  <c:v>50740</c:v>
                </c:pt>
                <c:pt idx="168">
                  <c:v>50771</c:v>
                </c:pt>
                <c:pt idx="169">
                  <c:v>50802</c:v>
                </c:pt>
                <c:pt idx="170">
                  <c:v>50830</c:v>
                </c:pt>
                <c:pt idx="171">
                  <c:v>50861</c:v>
                </c:pt>
                <c:pt idx="172">
                  <c:v>50891</c:v>
                </c:pt>
                <c:pt idx="173">
                  <c:v>50922</c:v>
                </c:pt>
                <c:pt idx="174">
                  <c:v>50952</c:v>
                </c:pt>
                <c:pt idx="175">
                  <c:v>50983</c:v>
                </c:pt>
                <c:pt idx="176">
                  <c:v>51014</c:v>
                </c:pt>
                <c:pt idx="177">
                  <c:v>51044</c:v>
                </c:pt>
                <c:pt idx="178">
                  <c:v>51075</c:v>
                </c:pt>
                <c:pt idx="179">
                  <c:v>51105</c:v>
                </c:pt>
                <c:pt idx="180">
                  <c:v>51136</c:v>
                </c:pt>
                <c:pt idx="181">
                  <c:v>51167</c:v>
                </c:pt>
                <c:pt idx="182">
                  <c:v>51196</c:v>
                </c:pt>
                <c:pt idx="183">
                  <c:v>51227</c:v>
                </c:pt>
                <c:pt idx="184">
                  <c:v>51257</c:v>
                </c:pt>
                <c:pt idx="185">
                  <c:v>51288</c:v>
                </c:pt>
                <c:pt idx="186">
                  <c:v>51318</c:v>
                </c:pt>
                <c:pt idx="187">
                  <c:v>51349</c:v>
                </c:pt>
                <c:pt idx="188">
                  <c:v>51380</c:v>
                </c:pt>
                <c:pt idx="189">
                  <c:v>51410</c:v>
                </c:pt>
                <c:pt idx="190">
                  <c:v>51441</c:v>
                </c:pt>
                <c:pt idx="191">
                  <c:v>51471</c:v>
                </c:pt>
                <c:pt idx="192">
                  <c:v>51502</c:v>
                </c:pt>
                <c:pt idx="193">
                  <c:v>51533</c:v>
                </c:pt>
                <c:pt idx="194">
                  <c:v>51561</c:v>
                </c:pt>
                <c:pt idx="195">
                  <c:v>51592</c:v>
                </c:pt>
                <c:pt idx="196">
                  <c:v>51622</c:v>
                </c:pt>
                <c:pt idx="197">
                  <c:v>51653</c:v>
                </c:pt>
                <c:pt idx="198">
                  <c:v>51683</c:v>
                </c:pt>
                <c:pt idx="199">
                  <c:v>51714</c:v>
                </c:pt>
                <c:pt idx="200">
                  <c:v>51745</c:v>
                </c:pt>
                <c:pt idx="201">
                  <c:v>51775</c:v>
                </c:pt>
                <c:pt idx="202">
                  <c:v>51806</c:v>
                </c:pt>
                <c:pt idx="203">
                  <c:v>51836</c:v>
                </c:pt>
                <c:pt idx="204">
                  <c:v>51867</c:v>
                </c:pt>
                <c:pt idx="205">
                  <c:v>51898</c:v>
                </c:pt>
                <c:pt idx="206">
                  <c:v>51926</c:v>
                </c:pt>
                <c:pt idx="207">
                  <c:v>51957</c:v>
                </c:pt>
                <c:pt idx="208">
                  <c:v>51987</c:v>
                </c:pt>
                <c:pt idx="209">
                  <c:v>52018</c:v>
                </c:pt>
                <c:pt idx="210">
                  <c:v>52048</c:v>
                </c:pt>
                <c:pt idx="211">
                  <c:v>52079</c:v>
                </c:pt>
                <c:pt idx="212">
                  <c:v>52110</c:v>
                </c:pt>
                <c:pt idx="213">
                  <c:v>52140</c:v>
                </c:pt>
                <c:pt idx="214">
                  <c:v>52171</c:v>
                </c:pt>
                <c:pt idx="215">
                  <c:v>52201</c:v>
                </c:pt>
                <c:pt idx="216">
                  <c:v>52232</c:v>
                </c:pt>
                <c:pt idx="217">
                  <c:v>52263</c:v>
                </c:pt>
                <c:pt idx="218">
                  <c:v>52291</c:v>
                </c:pt>
                <c:pt idx="219">
                  <c:v>52322</c:v>
                </c:pt>
                <c:pt idx="220">
                  <c:v>52352</c:v>
                </c:pt>
                <c:pt idx="221">
                  <c:v>52383</c:v>
                </c:pt>
                <c:pt idx="222">
                  <c:v>52413</c:v>
                </c:pt>
                <c:pt idx="223">
                  <c:v>52444</c:v>
                </c:pt>
                <c:pt idx="224">
                  <c:v>52475</c:v>
                </c:pt>
                <c:pt idx="225">
                  <c:v>52505</c:v>
                </c:pt>
                <c:pt idx="226">
                  <c:v>52536</c:v>
                </c:pt>
                <c:pt idx="227">
                  <c:v>52566</c:v>
                </c:pt>
                <c:pt idx="228">
                  <c:v>52597</c:v>
                </c:pt>
                <c:pt idx="229">
                  <c:v>52628</c:v>
                </c:pt>
                <c:pt idx="230">
                  <c:v>52657</c:v>
                </c:pt>
                <c:pt idx="231">
                  <c:v>52688</c:v>
                </c:pt>
                <c:pt idx="232">
                  <c:v>52718</c:v>
                </c:pt>
                <c:pt idx="233">
                  <c:v>52749</c:v>
                </c:pt>
                <c:pt idx="234">
                  <c:v>52779</c:v>
                </c:pt>
                <c:pt idx="235">
                  <c:v>52810</c:v>
                </c:pt>
                <c:pt idx="236">
                  <c:v>52841</c:v>
                </c:pt>
                <c:pt idx="237">
                  <c:v>52871</c:v>
                </c:pt>
                <c:pt idx="238">
                  <c:v>52902</c:v>
                </c:pt>
                <c:pt idx="239">
                  <c:v>52932</c:v>
                </c:pt>
                <c:pt idx="240">
                  <c:v>52963</c:v>
                </c:pt>
                <c:pt idx="241">
                  <c:v>52994</c:v>
                </c:pt>
                <c:pt idx="242">
                  <c:v>53022</c:v>
                </c:pt>
                <c:pt idx="243">
                  <c:v>53053</c:v>
                </c:pt>
                <c:pt idx="244">
                  <c:v>53083</c:v>
                </c:pt>
                <c:pt idx="245">
                  <c:v>53114</c:v>
                </c:pt>
                <c:pt idx="246">
                  <c:v>53144</c:v>
                </c:pt>
                <c:pt idx="247">
                  <c:v>53175</c:v>
                </c:pt>
                <c:pt idx="248">
                  <c:v>53206</c:v>
                </c:pt>
                <c:pt idx="249">
                  <c:v>53236</c:v>
                </c:pt>
                <c:pt idx="250">
                  <c:v>53267</c:v>
                </c:pt>
                <c:pt idx="251">
                  <c:v>53297</c:v>
                </c:pt>
                <c:pt idx="252">
                  <c:v>53328</c:v>
                </c:pt>
                <c:pt idx="253">
                  <c:v>53359</c:v>
                </c:pt>
                <c:pt idx="254">
                  <c:v>53387</c:v>
                </c:pt>
                <c:pt idx="255">
                  <c:v>53418</c:v>
                </c:pt>
                <c:pt idx="256">
                  <c:v>53448</c:v>
                </c:pt>
                <c:pt idx="257">
                  <c:v>53479</c:v>
                </c:pt>
                <c:pt idx="258">
                  <c:v>53509</c:v>
                </c:pt>
                <c:pt idx="259">
                  <c:v>53540</c:v>
                </c:pt>
                <c:pt idx="260">
                  <c:v>53571</c:v>
                </c:pt>
                <c:pt idx="261">
                  <c:v>53601</c:v>
                </c:pt>
                <c:pt idx="262">
                  <c:v>53632</c:v>
                </c:pt>
                <c:pt idx="263">
                  <c:v>53662</c:v>
                </c:pt>
                <c:pt idx="264">
                  <c:v>53693</c:v>
                </c:pt>
                <c:pt idx="265">
                  <c:v>53724</c:v>
                </c:pt>
                <c:pt idx="266">
                  <c:v>53752</c:v>
                </c:pt>
                <c:pt idx="267">
                  <c:v>53783</c:v>
                </c:pt>
                <c:pt idx="268">
                  <c:v>53813</c:v>
                </c:pt>
                <c:pt idx="269">
                  <c:v>53844</c:v>
                </c:pt>
                <c:pt idx="270">
                  <c:v>53874</c:v>
                </c:pt>
                <c:pt idx="271">
                  <c:v>53905</c:v>
                </c:pt>
                <c:pt idx="272">
                  <c:v>53936</c:v>
                </c:pt>
                <c:pt idx="273">
                  <c:v>53966</c:v>
                </c:pt>
                <c:pt idx="274">
                  <c:v>53997</c:v>
                </c:pt>
                <c:pt idx="275">
                  <c:v>54027</c:v>
                </c:pt>
                <c:pt idx="276">
                  <c:v>54058</c:v>
                </c:pt>
                <c:pt idx="277">
                  <c:v>54089</c:v>
                </c:pt>
                <c:pt idx="278">
                  <c:v>54118</c:v>
                </c:pt>
                <c:pt idx="279">
                  <c:v>54149</c:v>
                </c:pt>
                <c:pt idx="280">
                  <c:v>54179</c:v>
                </c:pt>
                <c:pt idx="281">
                  <c:v>54210</c:v>
                </c:pt>
                <c:pt idx="282">
                  <c:v>54240</c:v>
                </c:pt>
                <c:pt idx="283">
                  <c:v>54271</c:v>
                </c:pt>
                <c:pt idx="284">
                  <c:v>54302</c:v>
                </c:pt>
                <c:pt idx="285">
                  <c:v>54332</c:v>
                </c:pt>
                <c:pt idx="286">
                  <c:v>54363</c:v>
                </c:pt>
                <c:pt idx="287">
                  <c:v>54393</c:v>
                </c:pt>
                <c:pt idx="288">
                  <c:v>54424</c:v>
                </c:pt>
                <c:pt idx="289">
                  <c:v>54455</c:v>
                </c:pt>
                <c:pt idx="290">
                  <c:v>54483</c:v>
                </c:pt>
                <c:pt idx="291">
                  <c:v>54514</c:v>
                </c:pt>
                <c:pt idx="292">
                  <c:v>54544</c:v>
                </c:pt>
                <c:pt idx="293">
                  <c:v>54575</c:v>
                </c:pt>
                <c:pt idx="294">
                  <c:v>54605</c:v>
                </c:pt>
                <c:pt idx="295">
                  <c:v>54636</c:v>
                </c:pt>
                <c:pt idx="296">
                  <c:v>54667</c:v>
                </c:pt>
                <c:pt idx="297">
                  <c:v>54697</c:v>
                </c:pt>
                <c:pt idx="298">
                  <c:v>54728</c:v>
                </c:pt>
                <c:pt idx="299">
                  <c:v>54758</c:v>
                </c:pt>
                <c:pt idx="300">
                  <c:v>54789</c:v>
                </c:pt>
                <c:pt idx="301">
                  <c:v>54820</c:v>
                </c:pt>
                <c:pt idx="302">
                  <c:v>54848</c:v>
                </c:pt>
                <c:pt idx="303">
                  <c:v>54879</c:v>
                </c:pt>
                <c:pt idx="304">
                  <c:v>54909</c:v>
                </c:pt>
                <c:pt idx="305">
                  <c:v>54940</c:v>
                </c:pt>
                <c:pt idx="306">
                  <c:v>54970</c:v>
                </c:pt>
                <c:pt idx="307">
                  <c:v>55001</c:v>
                </c:pt>
                <c:pt idx="308">
                  <c:v>55032</c:v>
                </c:pt>
                <c:pt idx="309">
                  <c:v>55062</c:v>
                </c:pt>
                <c:pt idx="310">
                  <c:v>55093</c:v>
                </c:pt>
                <c:pt idx="311">
                  <c:v>55123</c:v>
                </c:pt>
                <c:pt idx="312">
                  <c:v>55154</c:v>
                </c:pt>
                <c:pt idx="313">
                  <c:v>55185</c:v>
                </c:pt>
                <c:pt idx="314">
                  <c:v>55213</c:v>
                </c:pt>
                <c:pt idx="315">
                  <c:v>55244</c:v>
                </c:pt>
                <c:pt idx="316">
                  <c:v>55274</c:v>
                </c:pt>
                <c:pt idx="317">
                  <c:v>55305</c:v>
                </c:pt>
                <c:pt idx="318">
                  <c:v>55335</c:v>
                </c:pt>
                <c:pt idx="319">
                  <c:v>55366</c:v>
                </c:pt>
                <c:pt idx="320">
                  <c:v>55397</c:v>
                </c:pt>
                <c:pt idx="321">
                  <c:v>55427</c:v>
                </c:pt>
                <c:pt idx="322">
                  <c:v>55458</c:v>
                </c:pt>
                <c:pt idx="323">
                  <c:v>55488</c:v>
                </c:pt>
                <c:pt idx="324">
                  <c:v>55519</c:v>
                </c:pt>
                <c:pt idx="325">
                  <c:v>55550</c:v>
                </c:pt>
                <c:pt idx="326">
                  <c:v>55579</c:v>
                </c:pt>
                <c:pt idx="327">
                  <c:v>55610</c:v>
                </c:pt>
                <c:pt idx="328">
                  <c:v>55640</c:v>
                </c:pt>
                <c:pt idx="329">
                  <c:v>55671</c:v>
                </c:pt>
                <c:pt idx="330">
                  <c:v>55701</c:v>
                </c:pt>
                <c:pt idx="331">
                  <c:v>55732</c:v>
                </c:pt>
                <c:pt idx="332">
                  <c:v>55763</c:v>
                </c:pt>
                <c:pt idx="333">
                  <c:v>55793</c:v>
                </c:pt>
                <c:pt idx="334">
                  <c:v>55824</c:v>
                </c:pt>
                <c:pt idx="335">
                  <c:v>55854</c:v>
                </c:pt>
                <c:pt idx="336">
                  <c:v>55885</c:v>
                </c:pt>
                <c:pt idx="337">
                  <c:v>55916</c:v>
                </c:pt>
                <c:pt idx="338">
                  <c:v>55944</c:v>
                </c:pt>
                <c:pt idx="339">
                  <c:v>55975</c:v>
                </c:pt>
                <c:pt idx="340">
                  <c:v>56005</c:v>
                </c:pt>
                <c:pt idx="341">
                  <c:v>56036</c:v>
                </c:pt>
                <c:pt idx="342">
                  <c:v>56066</c:v>
                </c:pt>
                <c:pt idx="343">
                  <c:v>56097</c:v>
                </c:pt>
                <c:pt idx="344">
                  <c:v>56128</c:v>
                </c:pt>
                <c:pt idx="345">
                  <c:v>56158</c:v>
                </c:pt>
                <c:pt idx="346">
                  <c:v>56189</c:v>
                </c:pt>
                <c:pt idx="347">
                  <c:v>56219</c:v>
                </c:pt>
                <c:pt idx="348">
                  <c:v>56250</c:v>
                </c:pt>
                <c:pt idx="349">
                  <c:v>56281</c:v>
                </c:pt>
                <c:pt idx="350">
                  <c:v>56309</c:v>
                </c:pt>
                <c:pt idx="351">
                  <c:v>56340</c:v>
                </c:pt>
                <c:pt idx="352">
                  <c:v>56370</c:v>
                </c:pt>
                <c:pt idx="353">
                  <c:v>56401</c:v>
                </c:pt>
                <c:pt idx="354">
                  <c:v>56431</c:v>
                </c:pt>
                <c:pt idx="355">
                  <c:v>56462</c:v>
                </c:pt>
                <c:pt idx="356">
                  <c:v>56493</c:v>
                </c:pt>
                <c:pt idx="357">
                  <c:v>56523</c:v>
                </c:pt>
                <c:pt idx="358">
                  <c:v>56554</c:v>
                </c:pt>
                <c:pt idx="359">
                  <c:v>56584</c:v>
                </c:pt>
                <c:pt idx="360">
                  <c:v>56615</c:v>
                </c:pt>
                <c:pt idx="361">
                  <c:v>56646</c:v>
                </c:pt>
                <c:pt idx="362">
                  <c:v>56674</c:v>
                </c:pt>
                <c:pt idx="363">
                  <c:v>56705</c:v>
                </c:pt>
                <c:pt idx="364">
                  <c:v>56735</c:v>
                </c:pt>
                <c:pt idx="365">
                  <c:v>56766</c:v>
                </c:pt>
                <c:pt idx="366">
                  <c:v>56796</c:v>
                </c:pt>
                <c:pt idx="367">
                  <c:v>56827</c:v>
                </c:pt>
                <c:pt idx="368">
                  <c:v>56858</c:v>
                </c:pt>
                <c:pt idx="369">
                  <c:v>56888</c:v>
                </c:pt>
                <c:pt idx="370">
                  <c:v>56919</c:v>
                </c:pt>
                <c:pt idx="371">
                  <c:v>56949</c:v>
                </c:pt>
                <c:pt idx="372">
                  <c:v>56980</c:v>
                </c:pt>
                <c:pt idx="373">
                  <c:v>57011</c:v>
                </c:pt>
                <c:pt idx="374">
                  <c:v>57040</c:v>
                </c:pt>
                <c:pt idx="375">
                  <c:v>57071</c:v>
                </c:pt>
                <c:pt idx="376">
                  <c:v>57101</c:v>
                </c:pt>
                <c:pt idx="377">
                  <c:v>57132</c:v>
                </c:pt>
                <c:pt idx="378">
                  <c:v>57162</c:v>
                </c:pt>
                <c:pt idx="379">
                  <c:v>57193</c:v>
                </c:pt>
                <c:pt idx="380">
                  <c:v>57224</c:v>
                </c:pt>
                <c:pt idx="381">
                  <c:v>57254</c:v>
                </c:pt>
                <c:pt idx="382">
                  <c:v>57285</c:v>
                </c:pt>
                <c:pt idx="383">
                  <c:v>57315</c:v>
                </c:pt>
                <c:pt idx="384">
                  <c:v>57346</c:v>
                </c:pt>
                <c:pt idx="385">
                  <c:v>57377</c:v>
                </c:pt>
                <c:pt idx="386">
                  <c:v>57405</c:v>
                </c:pt>
                <c:pt idx="387">
                  <c:v>57436</c:v>
                </c:pt>
                <c:pt idx="388">
                  <c:v>57466</c:v>
                </c:pt>
                <c:pt idx="389">
                  <c:v>57497</c:v>
                </c:pt>
                <c:pt idx="390">
                  <c:v>57527</c:v>
                </c:pt>
                <c:pt idx="391">
                  <c:v>57558</c:v>
                </c:pt>
                <c:pt idx="392">
                  <c:v>57589</c:v>
                </c:pt>
                <c:pt idx="393">
                  <c:v>57619</c:v>
                </c:pt>
                <c:pt idx="394">
                  <c:v>57650</c:v>
                </c:pt>
                <c:pt idx="395">
                  <c:v>57680</c:v>
                </c:pt>
                <c:pt idx="396">
                  <c:v>57711</c:v>
                </c:pt>
                <c:pt idx="397">
                  <c:v>57742</c:v>
                </c:pt>
                <c:pt idx="398">
                  <c:v>57770</c:v>
                </c:pt>
                <c:pt idx="399">
                  <c:v>57801</c:v>
                </c:pt>
                <c:pt idx="400">
                  <c:v>57831</c:v>
                </c:pt>
                <c:pt idx="401">
                  <c:v>57862</c:v>
                </c:pt>
                <c:pt idx="402">
                  <c:v>57892</c:v>
                </c:pt>
                <c:pt idx="403">
                  <c:v>57923</c:v>
                </c:pt>
                <c:pt idx="404">
                  <c:v>57954</c:v>
                </c:pt>
                <c:pt idx="405">
                  <c:v>57984</c:v>
                </c:pt>
                <c:pt idx="406">
                  <c:v>58015</c:v>
                </c:pt>
                <c:pt idx="407">
                  <c:v>58045</c:v>
                </c:pt>
                <c:pt idx="408">
                  <c:v>58076</c:v>
                </c:pt>
                <c:pt idx="409">
                  <c:v>58107</c:v>
                </c:pt>
                <c:pt idx="410">
                  <c:v>58135</c:v>
                </c:pt>
                <c:pt idx="411">
                  <c:v>58166</c:v>
                </c:pt>
                <c:pt idx="412">
                  <c:v>58196</c:v>
                </c:pt>
                <c:pt idx="413">
                  <c:v>58227</c:v>
                </c:pt>
                <c:pt idx="414">
                  <c:v>58257</c:v>
                </c:pt>
                <c:pt idx="415">
                  <c:v>58288</c:v>
                </c:pt>
                <c:pt idx="416">
                  <c:v>58319</c:v>
                </c:pt>
                <c:pt idx="417">
                  <c:v>58349</c:v>
                </c:pt>
                <c:pt idx="418">
                  <c:v>58380</c:v>
                </c:pt>
                <c:pt idx="419">
                  <c:v>58410</c:v>
                </c:pt>
                <c:pt idx="420">
                  <c:v>58441</c:v>
                </c:pt>
                <c:pt idx="421">
                  <c:v>58472</c:v>
                </c:pt>
                <c:pt idx="422">
                  <c:v>58501</c:v>
                </c:pt>
                <c:pt idx="423">
                  <c:v>58532</c:v>
                </c:pt>
                <c:pt idx="424">
                  <c:v>58562</c:v>
                </c:pt>
                <c:pt idx="425">
                  <c:v>58593</c:v>
                </c:pt>
                <c:pt idx="426">
                  <c:v>58623</c:v>
                </c:pt>
                <c:pt idx="427">
                  <c:v>58654</c:v>
                </c:pt>
                <c:pt idx="428">
                  <c:v>58685</c:v>
                </c:pt>
                <c:pt idx="429">
                  <c:v>58715</c:v>
                </c:pt>
                <c:pt idx="430">
                  <c:v>58746</c:v>
                </c:pt>
                <c:pt idx="431">
                  <c:v>58776</c:v>
                </c:pt>
                <c:pt idx="432">
                  <c:v>58807</c:v>
                </c:pt>
                <c:pt idx="433">
                  <c:v>58838</c:v>
                </c:pt>
                <c:pt idx="434">
                  <c:v>58866</c:v>
                </c:pt>
                <c:pt idx="435">
                  <c:v>58897</c:v>
                </c:pt>
                <c:pt idx="436">
                  <c:v>58927</c:v>
                </c:pt>
                <c:pt idx="437">
                  <c:v>58958</c:v>
                </c:pt>
                <c:pt idx="438">
                  <c:v>58988</c:v>
                </c:pt>
                <c:pt idx="439">
                  <c:v>59019</c:v>
                </c:pt>
                <c:pt idx="440">
                  <c:v>59050</c:v>
                </c:pt>
                <c:pt idx="441">
                  <c:v>59080</c:v>
                </c:pt>
                <c:pt idx="442">
                  <c:v>59111</c:v>
                </c:pt>
                <c:pt idx="443">
                  <c:v>59141</c:v>
                </c:pt>
                <c:pt idx="444">
                  <c:v>59172</c:v>
                </c:pt>
                <c:pt idx="445">
                  <c:v>59203</c:v>
                </c:pt>
                <c:pt idx="446">
                  <c:v>59231</c:v>
                </c:pt>
                <c:pt idx="447">
                  <c:v>59262</c:v>
                </c:pt>
                <c:pt idx="448">
                  <c:v>59292</c:v>
                </c:pt>
                <c:pt idx="449">
                  <c:v>59323</c:v>
                </c:pt>
                <c:pt idx="450">
                  <c:v>59353</c:v>
                </c:pt>
                <c:pt idx="451">
                  <c:v>59384</c:v>
                </c:pt>
                <c:pt idx="452">
                  <c:v>59415</c:v>
                </c:pt>
                <c:pt idx="453">
                  <c:v>59445</c:v>
                </c:pt>
                <c:pt idx="454">
                  <c:v>59476</c:v>
                </c:pt>
                <c:pt idx="455">
                  <c:v>59506</c:v>
                </c:pt>
                <c:pt idx="456">
                  <c:v>59537</c:v>
                </c:pt>
                <c:pt idx="457">
                  <c:v>59568</c:v>
                </c:pt>
                <c:pt idx="458">
                  <c:v>59596</c:v>
                </c:pt>
                <c:pt idx="459">
                  <c:v>59627</c:v>
                </c:pt>
                <c:pt idx="460">
                  <c:v>59657</c:v>
                </c:pt>
                <c:pt idx="461">
                  <c:v>59688</c:v>
                </c:pt>
                <c:pt idx="462">
                  <c:v>59718</c:v>
                </c:pt>
                <c:pt idx="463">
                  <c:v>59749</c:v>
                </c:pt>
                <c:pt idx="464">
                  <c:v>59780</c:v>
                </c:pt>
                <c:pt idx="465">
                  <c:v>59810</c:v>
                </c:pt>
                <c:pt idx="466">
                  <c:v>59841</c:v>
                </c:pt>
                <c:pt idx="467">
                  <c:v>59871</c:v>
                </c:pt>
                <c:pt idx="468">
                  <c:v>59902</c:v>
                </c:pt>
                <c:pt idx="469">
                  <c:v>59933</c:v>
                </c:pt>
                <c:pt idx="470">
                  <c:v>59962</c:v>
                </c:pt>
                <c:pt idx="471">
                  <c:v>59993</c:v>
                </c:pt>
                <c:pt idx="472">
                  <c:v>60023</c:v>
                </c:pt>
                <c:pt idx="473">
                  <c:v>60054</c:v>
                </c:pt>
                <c:pt idx="474">
                  <c:v>60084</c:v>
                </c:pt>
                <c:pt idx="475">
                  <c:v>60115</c:v>
                </c:pt>
                <c:pt idx="476">
                  <c:v>60146</c:v>
                </c:pt>
                <c:pt idx="477">
                  <c:v>60176</c:v>
                </c:pt>
                <c:pt idx="478">
                  <c:v>60207</c:v>
                </c:pt>
                <c:pt idx="479">
                  <c:v>60237</c:v>
                </c:pt>
                <c:pt idx="480">
                  <c:v>60268</c:v>
                </c:pt>
                <c:pt idx="481">
                  <c:v>60299</c:v>
                </c:pt>
                <c:pt idx="482">
                  <c:v>60327</c:v>
                </c:pt>
                <c:pt idx="483">
                  <c:v>60358</c:v>
                </c:pt>
                <c:pt idx="484">
                  <c:v>60388</c:v>
                </c:pt>
                <c:pt idx="485">
                  <c:v>60419</c:v>
                </c:pt>
                <c:pt idx="486">
                  <c:v>60449</c:v>
                </c:pt>
                <c:pt idx="487">
                  <c:v>60480</c:v>
                </c:pt>
                <c:pt idx="488">
                  <c:v>60511</c:v>
                </c:pt>
                <c:pt idx="489">
                  <c:v>60541</c:v>
                </c:pt>
                <c:pt idx="490">
                  <c:v>60572</c:v>
                </c:pt>
                <c:pt idx="491">
                  <c:v>60602</c:v>
                </c:pt>
                <c:pt idx="492">
                  <c:v>60633</c:v>
                </c:pt>
                <c:pt idx="493">
                  <c:v>60664</c:v>
                </c:pt>
                <c:pt idx="494">
                  <c:v>60692</c:v>
                </c:pt>
                <c:pt idx="495">
                  <c:v>60723</c:v>
                </c:pt>
                <c:pt idx="496">
                  <c:v>60753</c:v>
                </c:pt>
                <c:pt idx="497">
                  <c:v>60784</c:v>
                </c:pt>
                <c:pt idx="498">
                  <c:v>60814</c:v>
                </c:pt>
                <c:pt idx="499">
                  <c:v>60845</c:v>
                </c:pt>
                <c:pt idx="500">
                  <c:v>60876</c:v>
                </c:pt>
                <c:pt idx="501">
                  <c:v>60906</c:v>
                </c:pt>
                <c:pt idx="502">
                  <c:v>60937</c:v>
                </c:pt>
                <c:pt idx="503">
                  <c:v>60967</c:v>
                </c:pt>
                <c:pt idx="504">
                  <c:v>60998</c:v>
                </c:pt>
                <c:pt idx="505">
                  <c:v>61029</c:v>
                </c:pt>
                <c:pt idx="506">
                  <c:v>61057</c:v>
                </c:pt>
                <c:pt idx="507">
                  <c:v>61088</c:v>
                </c:pt>
                <c:pt idx="508">
                  <c:v>61118</c:v>
                </c:pt>
                <c:pt idx="509">
                  <c:v>61149</c:v>
                </c:pt>
                <c:pt idx="510">
                  <c:v>61179</c:v>
                </c:pt>
                <c:pt idx="511">
                  <c:v>61210</c:v>
                </c:pt>
                <c:pt idx="512">
                  <c:v>61241</c:v>
                </c:pt>
                <c:pt idx="513">
                  <c:v>61271</c:v>
                </c:pt>
                <c:pt idx="514">
                  <c:v>61302</c:v>
                </c:pt>
                <c:pt idx="515">
                  <c:v>61332</c:v>
                </c:pt>
                <c:pt idx="516">
                  <c:v>61363</c:v>
                </c:pt>
                <c:pt idx="517">
                  <c:v>61394</c:v>
                </c:pt>
                <c:pt idx="518">
                  <c:v>61423</c:v>
                </c:pt>
                <c:pt idx="519">
                  <c:v>61454</c:v>
                </c:pt>
                <c:pt idx="520">
                  <c:v>61484</c:v>
                </c:pt>
                <c:pt idx="521">
                  <c:v>61515</c:v>
                </c:pt>
                <c:pt idx="522">
                  <c:v>61545</c:v>
                </c:pt>
                <c:pt idx="523">
                  <c:v>61576</c:v>
                </c:pt>
                <c:pt idx="524">
                  <c:v>61607</c:v>
                </c:pt>
                <c:pt idx="525">
                  <c:v>61637</c:v>
                </c:pt>
                <c:pt idx="526">
                  <c:v>61668</c:v>
                </c:pt>
                <c:pt idx="527">
                  <c:v>61698</c:v>
                </c:pt>
                <c:pt idx="528">
                  <c:v>61729</c:v>
                </c:pt>
                <c:pt idx="529">
                  <c:v>61760</c:v>
                </c:pt>
                <c:pt idx="530">
                  <c:v>61788</c:v>
                </c:pt>
                <c:pt idx="531">
                  <c:v>61819</c:v>
                </c:pt>
                <c:pt idx="532">
                  <c:v>61849</c:v>
                </c:pt>
                <c:pt idx="533">
                  <c:v>61880</c:v>
                </c:pt>
                <c:pt idx="534">
                  <c:v>61910</c:v>
                </c:pt>
                <c:pt idx="535">
                  <c:v>61941</c:v>
                </c:pt>
                <c:pt idx="536">
                  <c:v>61972</c:v>
                </c:pt>
                <c:pt idx="537">
                  <c:v>62002</c:v>
                </c:pt>
                <c:pt idx="538">
                  <c:v>62033</c:v>
                </c:pt>
                <c:pt idx="539">
                  <c:v>62063</c:v>
                </c:pt>
                <c:pt idx="540">
                  <c:v>62094</c:v>
                </c:pt>
                <c:pt idx="541">
                  <c:v>62125</c:v>
                </c:pt>
                <c:pt idx="542">
                  <c:v>62153</c:v>
                </c:pt>
                <c:pt idx="543">
                  <c:v>62184</c:v>
                </c:pt>
                <c:pt idx="544">
                  <c:v>62214</c:v>
                </c:pt>
                <c:pt idx="545">
                  <c:v>62245</c:v>
                </c:pt>
                <c:pt idx="546">
                  <c:v>62275</c:v>
                </c:pt>
                <c:pt idx="547">
                  <c:v>62306</c:v>
                </c:pt>
                <c:pt idx="548">
                  <c:v>62337</c:v>
                </c:pt>
                <c:pt idx="549">
                  <c:v>62367</c:v>
                </c:pt>
                <c:pt idx="550">
                  <c:v>62398</c:v>
                </c:pt>
                <c:pt idx="551">
                  <c:v>62428</c:v>
                </c:pt>
                <c:pt idx="552">
                  <c:v>62459</c:v>
                </c:pt>
                <c:pt idx="553">
                  <c:v>62490</c:v>
                </c:pt>
                <c:pt idx="554">
                  <c:v>62518</c:v>
                </c:pt>
                <c:pt idx="555">
                  <c:v>62549</c:v>
                </c:pt>
                <c:pt idx="556">
                  <c:v>62579</c:v>
                </c:pt>
                <c:pt idx="557">
                  <c:v>62610</c:v>
                </c:pt>
                <c:pt idx="558">
                  <c:v>62640</c:v>
                </c:pt>
                <c:pt idx="559">
                  <c:v>62671</c:v>
                </c:pt>
                <c:pt idx="560">
                  <c:v>62702</c:v>
                </c:pt>
                <c:pt idx="561">
                  <c:v>62732</c:v>
                </c:pt>
                <c:pt idx="562">
                  <c:v>62763</c:v>
                </c:pt>
                <c:pt idx="563">
                  <c:v>62793</c:v>
                </c:pt>
                <c:pt idx="564">
                  <c:v>62824</c:v>
                </c:pt>
                <c:pt idx="565">
                  <c:v>62855</c:v>
                </c:pt>
                <c:pt idx="566">
                  <c:v>62884</c:v>
                </c:pt>
                <c:pt idx="567">
                  <c:v>62915</c:v>
                </c:pt>
                <c:pt idx="568">
                  <c:v>62945</c:v>
                </c:pt>
                <c:pt idx="569">
                  <c:v>62976</c:v>
                </c:pt>
                <c:pt idx="570">
                  <c:v>63006</c:v>
                </c:pt>
                <c:pt idx="571">
                  <c:v>63037</c:v>
                </c:pt>
                <c:pt idx="572">
                  <c:v>63068</c:v>
                </c:pt>
                <c:pt idx="573">
                  <c:v>63098</c:v>
                </c:pt>
                <c:pt idx="574">
                  <c:v>63129</c:v>
                </c:pt>
                <c:pt idx="575">
                  <c:v>63159</c:v>
                </c:pt>
                <c:pt idx="576">
                  <c:v>63190</c:v>
                </c:pt>
                <c:pt idx="577">
                  <c:v>63221</c:v>
                </c:pt>
                <c:pt idx="578">
                  <c:v>63249</c:v>
                </c:pt>
                <c:pt idx="579">
                  <c:v>63280</c:v>
                </c:pt>
                <c:pt idx="580">
                  <c:v>63310</c:v>
                </c:pt>
                <c:pt idx="581">
                  <c:v>63341</c:v>
                </c:pt>
                <c:pt idx="582">
                  <c:v>63371</c:v>
                </c:pt>
                <c:pt idx="583">
                  <c:v>63402</c:v>
                </c:pt>
                <c:pt idx="584">
                  <c:v>63433</c:v>
                </c:pt>
                <c:pt idx="585">
                  <c:v>63463</c:v>
                </c:pt>
                <c:pt idx="586">
                  <c:v>63494</c:v>
                </c:pt>
                <c:pt idx="587">
                  <c:v>63524</c:v>
                </c:pt>
                <c:pt idx="588">
                  <c:v>63555</c:v>
                </c:pt>
                <c:pt idx="589">
                  <c:v>63586</c:v>
                </c:pt>
                <c:pt idx="590">
                  <c:v>63614</c:v>
                </c:pt>
                <c:pt idx="591">
                  <c:v>63645</c:v>
                </c:pt>
                <c:pt idx="592">
                  <c:v>63675</c:v>
                </c:pt>
                <c:pt idx="593">
                  <c:v>63706</c:v>
                </c:pt>
                <c:pt idx="594">
                  <c:v>63736</c:v>
                </c:pt>
                <c:pt idx="595">
                  <c:v>63767</c:v>
                </c:pt>
                <c:pt idx="596">
                  <c:v>63798</c:v>
                </c:pt>
                <c:pt idx="597">
                  <c:v>63828</c:v>
                </c:pt>
                <c:pt idx="598">
                  <c:v>63859</c:v>
                </c:pt>
                <c:pt idx="599">
                  <c:v>63889</c:v>
                </c:pt>
                <c:pt idx="600">
                  <c:v>63920</c:v>
                </c:pt>
                <c:pt idx="601">
                  <c:v>63951</c:v>
                </c:pt>
                <c:pt idx="602">
                  <c:v>63979</c:v>
                </c:pt>
                <c:pt idx="603">
                  <c:v>64010</c:v>
                </c:pt>
                <c:pt idx="604">
                  <c:v>64040</c:v>
                </c:pt>
                <c:pt idx="605">
                  <c:v>64071</c:v>
                </c:pt>
                <c:pt idx="606">
                  <c:v>64101</c:v>
                </c:pt>
                <c:pt idx="607">
                  <c:v>64132</c:v>
                </c:pt>
                <c:pt idx="608">
                  <c:v>64163</c:v>
                </c:pt>
                <c:pt idx="609">
                  <c:v>64193</c:v>
                </c:pt>
                <c:pt idx="610">
                  <c:v>64224</c:v>
                </c:pt>
                <c:pt idx="611">
                  <c:v>64254</c:v>
                </c:pt>
                <c:pt idx="612">
                  <c:v>64285</c:v>
                </c:pt>
                <c:pt idx="613">
                  <c:v>64316</c:v>
                </c:pt>
                <c:pt idx="614">
                  <c:v>64345</c:v>
                </c:pt>
                <c:pt idx="615">
                  <c:v>64376</c:v>
                </c:pt>
                <c:pt idx="616">
                  <c:v>64406</c:v>
                </c:pt>
                <c:pt idx="617">
                  <c:v>64437</c:v>
                </c:pt>
                <c:pt idx="618">
                  <c:v>64467</c:v>
                </c:pt>
                <c:pt idx="619">
                  <c:v>64498</c:v>
                </c:pt>
                <c:pt idx="620">
                  <c:v>64529</c:v>
                </c:pt>
                <c:pt idx="621">
                  <c:v>64559</c:v>
                </c:pt>
                <c:pt idx="622">
                  <c:v>64590</c:v>
                </c:pt>
                <c:pt idx="623">
                  <c:v>64620</c:v>
                </c:pt>
                <c:pt idx="624">
                  <c:v>64651</c:v>
                </c:pt>
                <c:pt idx="625">
                  <c:v>64682</c:v>
                </c:pt>
                <c:pt idx="626">
                  <c:v>64710</c:v>
                </c:pt>
                <c:pt idx="627">
                  <c:v>64741</c:v>
                </c:pt>
                <c:pt idx="628">
                  <c:v>64771</c:v>
                </c:pt>
                <c:pt idx="629">
                  <c:v>64802</c:v>
                </c:pt>
                <c:pt idx="630">
                  <c:v>64832</c:v>
                </c:pt>
                <c:pt idx="631">
                  <c:v>64863</c:v>
                </c:pt>
                <c:pt idx="632">
                  <c:v>64894</c:v>
                </c:pt>
                <c:pt idx="633">
                  <c:v>64924</c:v>
                </c:pt>
                <c:pt idx="634">
                  <c:v>64955</c:v>
                </c:pt>
                <c:pt idx="635">
                  <c:v>64985</c:v>
                </c:pt>
                <c:pt idx="636">
                  <c:v>65016</c:v>
                </c:pt>
                <c:pt idx="637">
                  <c:v>65047</c:v>
                </c:pt>
                <c:pt idx="638">
                  <c:v>65075</c:v>
                </c:pt>
                <c:pt idx="639">
                  <c:v>65106</c:v>
                </c:pt>
                <c:pt idx="640">
                  <c:v>65136</c:v>
                </c:pt>
                <c:pt idx="641">
                  <c:v>65167</c:v>
                </c:pt>
                <c:pt idx="642">
                  <c:v>65197</c:v>
                </c:pt>
                <c:pt idx="643">
                  <c:v>65228</c:v>
                </c:pt>
                <c:pt idx="644">
                  <c:v>65259</c:v>
                </c:pt>
                <c:pt idx="645">
                  <c:v>65289</c:v>
                </c:pt>
                <c:pt idx="646">
                  <c:v>65320</c:v>
                </c:pt>
                <c:pt idx="647">
                  <c:v>65350</c:v>
                </c:pt>
                <c:pt idx="648">
                  <c:v>65381</c:v>
                </c:pt>
                <c:pt idx="649">
                  <c:v>65412</c:v>
                </c:pt>
                <c:pt idx="650">
                  <c:v>65440</c:v>
                </c:pt>
                <c:pt idx="651">
                  <c:v>65471</c:v>
                </c:pt>
                <c:pt idx="652">
                  <c:v>65501</c:v>
                </c:pt>
                <c:pt idx="653">
                  <c:v>65532</c:v>
                </c:pt>
                <c:pt idx="654">
                  <c:v>65562</c:v>
                </c:pt>
                <c:pt idx="655">
                  <c:v>65593</c:v>
                </c:pt>
                <c:pt idx="656">
                  <c:v>65624</c:v>
                </c:pt>
                <c:pt idx="657">
                  <c:v>65654</c:v>
                </c:pt>
                <c:pt idx="658">
                  <c:v>65685</c:v>
                </c:pt>
                <c:pt idx="659">
                  <c:v>65715</c:v>
                </c:pt>
                <c:pt idx="660">
                  <c:v>65746</c:v>
                </c:pt>
                <c:pt idx="661">
                  <c:v>65777</c:v>
                </c:pt>
                <c:pt idx="662">
                  <c:v>65806</c:v>
                </c:pt>
                <c:pt idx="663">
                  <c:v>65837</c:v>
                </c:pt>
                <c:pt idx="664">
                  <c:v>65867</c:v>
                </c:pt>
                <c:pt idx="665">
                  <c:v>65898</c:v>
                </c:pt>
                <c:pt idx="666">
                  <c:v>65928</c:v>
                </c:pt>
                <c:pt idx="667">
                  <c:v>65959</c:v>
                </c:pt>
                <c:pt idx="668">
                  <c:v>65990</c:v>
                </c:pt>
                <c:pt idx="669">
                  <c:v>66020</c:v>
                </c:pt>
                <c:pt idx="670">
                  <c:v>66051</c:v>
                </c:pt>
                <c:pt idx="671">
                  <c:v>66081</c:v>
                </c:pt>
                <c:pt idx="672">
                  <c:v>66112</c:v>
                </c:pt>
                <c:pt idx="673">
                  <c:v>66143</c:v>
                </c:pt>
                <c:pt idx="674">
                  <c:v>66171</c:v>
                </c:pt>
                <c:pt idx="675">
                  <c:v>66202</c:v>
                </c:pt>
                <c:pt idx="676">
                  <c:v>66232</c:v>
                </c:pt>
                <c:pt idx="677">
                  <c:v>66263</c:v>
                </c:pt>
                <c:pt idx="678">
                  <c:v>66293</c:v>
                </c:pt>
                <c:pt idx="679">
                  <c:v>66324</c:v>
                </c:pt>
                <c:pt idx="680">
                  <c:v>66355</c:v>
                </c:pt>
                <c:pt idx="681">
                  <c:v>66385</c:v>
                </c:pt>
                <c:pt idx="682">
                  <c:v>66416</c:v>
                </c:pt>
                <c:pt idx="683">
                  <c:v>66446</c:v>
                </c:pt>
                <c:pt idx="684">
                  <c:v>66477</c:v>
                </c:pt>
                <c:pt idx="685">
                  <c:v>66508</c:v>
                </c:pt>
                <c:pt idx="686">
                  <c:v>66536</c:v>
                </c:pt>
                <c:pt idx="687">
                  <c:v>66567</c:v>
                </c:pt>
                <c:pt idx="688">
                  <c:v>66597</c:v>
                </c:pt>
                <c:pt idx="689">
                  <c:v>66628</c:v>
                </c:pt>
                <c:pt idx="690">
                  <c:v>66658</c:v>
                </c:pt>
                <c:pt idx="691">
                  <c:v>66689</c:v>
                </c:pt>
                <c:pt idx="692">
                  <c:v>66720</c:v>
                </c:pt>
                <c:pt idx="693">
                  <c:v>66750</c:v>
                </c:pt>
                <c:pt idx="694">
                  <c:v>66781</c:v>
                </c:pt>
                <c:pt idx="695">
                  <c:v>66811</c:v>
                </c:pt>
                <c:pt idx="696">
                  <c:v>66842</c:v>
                </c:pt>
                <c:pt idx="697">
                  <c:v>66873</c:v>
                </c:pt>
                <c:pt idx="698">
                  <c:v>66901</c:v>
                </c:pt>
                <c:pt idx="699">
                  <c:v>66932</c:v>
                </c:pt>
                <c:pt idx="700">
                  <c:v>66962</c:v>
                </c:pt>
                <c:pt idx="701">
                  <c:v>66993</c:v>
                </c:pt>
                <c:pt idx="702">
                  <c:v>67023</c:v>
                </c:pt>
                <c:pt idx="703">
                  <c:v>67054</c:v>
                </c:pt>
                <c:pt idx="704">
                  <c:v>67085</c:v>
                </c:pt>
                <c:pt idx="705">
                  <c:v>67115</c:v>
                </c:pt>
                <c:pt idx="706">
                  <c:v>67146</c:v>
                </c:pt>
                <c:pt idx="707">
                  <c:v>67176</c:v>
                </c:pt>
                <c:pt idx="708">
                  <c:v>67207</c:v>
                </c:pt>
                <c:pt idx="709">
                  <c:v>67238</c:v>
                </c:pt>
                <c:pt idx="710">
                  <c:v>67267</c:v>
                </c:pt>
                <c:pt idx="711">
                  <c:v>67298</c:v>
                </c:pt>
                <c:pt idx="712">
                  <c:v>67328</c:v>
                </c:pt>
                <c:pt idx="713">
                  <c:v>67359</c:v>
                </c:pt>
                <c:pt idx="714">
                  <c:v>67389</c:v>
                </c:pt>
                <c:pt idx="715">
                  <c:v>67420</c:v>
                </c:pt>
                <c:pt idx="716">
                  <c:v>67451</c:v>
                </c:pt>
                <c:pt idx="717">
                  <c:v>67481</c:v>
                </c:pt>
                <c:pt idx="718">
                  <c:v>67512</c:v>
                </c:pt>
                <c:pt idx="719">
                  <c:v>67542</c:v>
                </c:pt>
                <c:pt idx="720">
                  <c:v>67573</c:v>
                </c:pt>
                <c:pt idx="721">
                  <c:v>67604</c:v>
                </c:pt>
                <c:pt idx="722">
                  <c:v>67632</c:v>
                </c:pt>
                <c:pt idx="723">
                  <c:v>67663</c:v>
                </c:pt>
                <c:pt idx="724">
                  <c:v>67693</c:v>
                </c:pt>
                <c:pt idx="725">
                  <c:v>67724</c:v>
                </c:pt>
                <c:pt idx="726">
                  <c:v>67754</c:v>
                </c:pt>
                <c:pt idx="727">
                  <c:v>67785</c:v>
                </c:pt>
                <c:pt idx="728">
                  <c:v>67816</c:v>
                </c:pt>
                <c:pt idx="729">
                  <c:v>67846</c:v>
                </c:pt>
                <c:pt idx="730">
                  <c:v>67877</c:v>
                </c:pt>
                <c:pt idx="731">
                  <c:v>67907</c:v>
                </c:pt>
                <c:pt idx="732">
                  <c:v>67938</c:v>
                </c:pt>
                <c:pt idx="733">
                  <c:v>67969</c:v>
                </c:pt>
                <c:pt idx="734">
                  <c:v>67997</c:v>
                </c:pt>
                <c:pt idx="735">
                  <c:v>68028</c:v>
                </c:pt>
                <c:pt idx="736">
                  <c:v>68058</c:v>
                </c:pt>
                <c:pt idx="737">
                  <c:v>68089</c:v>
                </c:pt>
                <c:pt idx="738">
                  <c:v>68119</c:v>
                </c:pt>
                <c:pt idx="739">
                  <c:v>68150</c:v>
                </c:pt>
                <c:pt idx="740">
                  <c:v>68181</c:v>
                </c:pt>
                <c:pt idx="741">
                  <c:v>68211</c:v>
                </c:pt>
                <c:pt idx="742">
                  <c:v>68242</c:v>
                </c:pt>
                <c:pt idx="743">
                  <c:v>68272</c:v>
                </c:pt>
                <c:pt idx="744">
                  <c:v>68303</c:v>
                </c:pt>
                <c:pt idx="745">
                  <c:v>68334</c:v>
                </c:pt>
                <c:pt idx="746">
                  <c:v>68362</c:v>
                </c:pt>
                <c:pt idx="747">
                  <c:v>68393</c:v>
                </c:pt>
                <c:pt idx="748">
                  <c:v>68423</c:v>
                </c:pt>
                <c:pt idx="749">
                  <c:v>68454</c:v>
                </c:pt>
                <c:pt idx="750">
                  <c:v>68484</c:v>
                </c:pt>
                <c:pt idx="751">
                  <c:v>68515</c:v>
                </c:pt>
                <c:pt idx="752">
                  <c:v>68546</c:v>
                </c:pt>
                <c:pt idx="753">
                  <c:v>68576</c:v>
                </c:pt>
                <c:pt idx="754">
                  <c:v>68607</c:v>
                </c:pt>
                <c:pt idx="755">
                  <c:v>68637</c:v>
                </c:pt>
                <c:pt idx="756">
                  <c:v>68668</c:v>
                </c:pt>
                <c:pt idx="757">
                  <c:v>68699</c:v>
                </c:pt>
                <c:pt idx="758">
                  <c:v>68728</c:v>
                </c:pt>
                <c:pt idx="759">
                  <c:v>68759</c:v>
                </c:pt>
                <c:pt idx="760">
                  <c:v>68789</c:v>
                </c:pt>
                <c:pt idx="761">
                  <c:v>68820</c:v>
                </c:pt>
                <c:pt idx="762">
                  <c:v>68850</c:v>
                </c:pt>
                <c:pt idx="763">
                  <c:v>68881</c:v>
                </c:pt>
                <c:pt idx="764">
                  <c:v>68912</c:v>
                </c:pt>
                <c:pt idx="765">
                  <c:v>68942</c:v>
                </c:pt>
                <c:pt idx="766">
                  <c:v>68973</c:v>
                </c:pt>
                <c:pt idx="767">
                  <c:v>69003</c:v>
                </c:pt>
                <c:pt idx="768">
                  <c:v>69034</c:v>
                </c:pt>
                <c:pt idx="769">
                  <c:v>69065</c:v>
                </c:pt>
                <c:pt idx="770">
                  <c:v>69093</c:v>
                </c:pt>
                <c:pt idx="771">
                  <c:v>69124</c:v>
                </c:pt>
                <c:pt idx="772">
                  <c:v>69154</c:v>
                </c:pt>
                <c:pt idx="773">
                  <c:v>69185</c:v>
                </c:pt>
                <c:pt idx="774">
                  <c:v>69215</c:v>
                </c:pt>
                <c:pt idx="775">
                  <c:v>69246</c:v>
                </c:pt>
                <c:pt idx="776">
                  <c:v>69277</c:v>
                </c:pt>
                <c:pt idx="777">
                  <c:v>69307</c:v>
                </c:pt>
                <c:pt idx="778">
                  <c:v>69338</c:v>
                </c:pt>
                <c:pt idx="779">
                  <c:v>69368</c:v>
                </c:pt>
                <c:pt idx="780">
                  <c:v>69399</c:v>
                </c:pt>
                <c:pt idx="781">
                  <c:v>69430</c:v>
                </c:pt>
                <c:pt idx="782">
                  <c:v>69458</c:v>
                </c:pt>
                <c:pt idx="783">
                  <c:v>69489</c:v>
                </c:pt>
                <c:pt idx="784">
                  <c:v>69519</c:v>
                </c:pt>
                <c:pt idx="785">
                  <c:v>69550</c:v>
                </c:pt>
                <c:pt idx="786">
                  <c:v>69580</c:v>
                </c:pt>
                <c:pt idx="787">
                  <c:v>69611</c:v>
                </c:pt>
                <c:pt idx="788">
                  <c:v>69642</c:v>
                </c:pt>
                <c:pt idx="789">
                  <c:v>69672</c:v>
                </c:pt>
                <c:pt idx="790">
                  <c:v>69703</c:v>
                </c:pt>
                <c:pt idx="791">
                  <c:v>69733</c:v>
                </c:pt>
                <c:pt idx="792">
                  <c:v>69764</c:v>
                </c:pt>
                <c:pt idx="793">
                  <c:v>69795</c:v>
                </c:pt>
                <c:pt idx="794">
                  <c:v>69823</c:v>
                </c:pt>
                <c:pt idx="795">
                  <c:v>69854</c:v>
                </c:pt>
                <c:pt idx="796">
                  <c:v>69884</c:v>
                </c:pt>
                <c:pt idx="797">
                  <c:v>69915</c:v>
                </c:pt>
                <c:pt idx="798">
                  <c:v>69945</c:v>
                </c:pt>
                <c:pt idx="799">
                  <c:v>69976</c:v>
                </c:pt>
                <c:pt idx="800">
                  <c:v>70007</c:v>
                </c:pt>
                <c:pt idx="801">
                  <c:v>70037</c:v>
                </c:pt>
                <c:pt idx="802">
                  <c:v>70068</c:v>
                </c:pt>
                <c:pt idx="803">
                  <c:v>70098</c:v>
                </c:pt>
                <c:pt idx="804">
                  <c:v>70129</c:v>
                </c:pt>
                <c:pt idx="805">
                  <c:v>70160</c:v>
                </c:pt>
                <c:pt idx="806">
                  <c:v>70189</c:v>
                </c:pt>
                <c:pt idx="807">
                  <c:v>70220</c:v>
                </c:pt>
                <c:pt idx="808">
                  <c:v>70250</c:v>
                </c:pt>
                <c:pt idx="809">
                  <c:v>70281</c:v>
                </c:pt>
                <c:pt idx="810">
                  <c:v>70311</c:v>
                </c:pt>
                <c:pt idx="811">
                  <c:v>70342</c:v>
                </c:pt>
                <c:pt idx="812">
                  <c:v>70373</c:v>
                </c:pt>
                <c:pt idx="813">
                  <c:v>70403</c:v>
                </c:pt>
                <c:pt idx="814">
                  <c:v>70434</c:v>
                </c:pt>
                <c:pt idx="815">
                  <c:v>70464</c:v>
                </c:pt>
                <c:pt idx="816">
                  <c:v>70495</c:v>
                </c:pt>
                <c:pt idx="817">
                  <c:v>70526</c:v>
                </c:pt>
                <c:pt idx="818">
                  <c:v>70554</c:v>
                </c:pt>
                <c:pt idx="819">
                  <c:v>70585</c:v>
                </c:pt>
                <c:pt idx="820">
                  <c:v>70615</c:v>
                </c:pt>
                <c:pt idx="821">
                  <c:v>70646</c:v>
                </c:pt>
                <c:pt idx="822">
                  <c:v>70676</c:v>
                </c:pt>
                <c:pt idx="823">
                  <c:v>70707</c:v>
                </c:pt>
                <c:pt idx="824">
                  <c:v>70738</c:v>
                </c:pt>
                <c:pt idx="825">
                  <c:v>70768</c:v>
                </c:pt>
                <c:pt idx="826">
                  <c:v>70799</c:v>
                </c:pt>
                <c:pt idx="827">
                  <c:v>70829</c:v>
                </c:pt>
                <c:pt idx="828">
                  <c:v>70860</c:v>
                </c:pt>
                <c:pt idx="829">
                  <c:v>70891</c:v>
                </c:pt>
                <c:pt idx="830">
                  <c:v>70919</c:v>
                </c:pt>
                <c:pt idx="831">
                  <c:v>70950</c:v>
                </c:pt>
                <c:pt idx="832">
                  <c:v>70980</c:v>
                </c:pt>
                <c:pt idx="833">
                  <c:v>71011</c:v>
                </c:pt>
                <c:pt idx="834">
                  <c:v>71041</c:v>
                </c:pt>
                <c:pt idx="835">
                  <c:v>71072</c:v>
                </c:pt>
                <c:pt idx="836">
                  <c:v>71103</c:v>
                </c:pt>
                <c:pt idx="837">
                  <c:v>71133</c:v>
                </c:pt>
                <c:pt idx="838">
                  <c:v>71164</c:v>
                </c:pt>
                <c:pt idx="839">
                  <c:v>71194</c:v>
                </c:pt>
                <c:pt idx="840">
                  <c:v>71225</c:v>
                </c:pt>
                <c:pt idx="841">
                  <c:v>71256</c:v>
                </c:pt>
                <c:pt idx="842">
                  <c:v>71284</c:v>
                </c:pt>
                <c:pt idx="843">
                  <c:v>71315</c:v>
                </c:pt>
                <c:pt idx="844">
                  <c:v>71345</c:v>
                </c:pt>
                <c:pt idx="845">
                  <c:v>71376</c:v>
                </c:pt>
                <c:pt idx="846">
                  <c:v>71406</c:v>
                </c:pt>
                <c:pt idx="847">
                  <c:v>71437</c:v>
                </c:pt>
                <c:pt idx="848">
                  <c:v>71468</c:v>
                </c:pt>
                <c:pt idx="849">
                  <c:v>71498</c:v>
                </c:pt>
                <c:pt idx="850">
                  <c:v>71529</c:v>
                </c:pt>
                <c:pt idx="851">
                  <c:v>71559</c:v>
                </c:pt>
                <c:pt idx="852">
                  <c:v>71590</c:v>
                </c:pt>
                <c:pt idx="853">
                  <c:v>71621</c:v>
                </c:pt>
                <c:pt idx="854">
                  <c:v>71650</c:v>
                </c:pt>
                <c:pt idx="855">
                  <c:v>71681</c:v>
                </c:pt>
                <c:pt idx="856">
                  <c:v>71711</c:v>
                </c:pt>
                <c:pt idx="857">
                  <c:v>71742</c:v>
                </c:pt>
                <c:pt idx="858">
                  <c:v>71772</c:v>
                </c:pt>
                <c:pt idx="859">
                  <c:v>71803</c:v>
                </c:pt>
                <c:pt idx="860">
                  <c:v>71834</c:v>
                </c:pt>
                <c:pt idx="861">
                  <c:v>71864</c:v>
                </c:pt>
                <c:pt idx="862">
                  <c:v>71895</c:v>
                </c:pt>
                <c:pt idx="863">
                  <c:v>71925</c:v>
                </c:pt>
                <c:pt idx="864">
                  <c:v>71956</c:v>
                </c:pt>
                <c:pt idx="865">
                  <c:v>71987</c:v>
                </c:pt>
                <c:pt idx="866">
                  <c:v>72015</c:v>
                </c:pt>
                <c:pt idx="867">
                  <c:v>72046</c:v>
                </c:pt>
                <c:pt idx="868">
                  <c:v>72076</c:v>
                </c:pt>
                <c:pt idx="869">
                  <c:v>72107</c:v>
                </c:pt>
                <c:pt idx="870">
                  <c:v>72137</c:v>
                </c:pt>
                <c:pt idx="871">
                  <c:v>72168</c:v>
                </c:pt>
                <c:pt idx="872">
                  <c:v>72199</c:v>
                </c:pt>
                <c:pt idx="873">
                  <c:v>72229</c:v>
                </c:pt>
                <c:pt idx="874">
                  <c:v>72260</c:v>
                </c:pt>
                <c:pt idx="875">
                  <c:v>72290</c:v>
                </c:pt>
                <c:pt idx="876">
                  <c:v>72321</c:v>
                </c:pt>
                <c:pt idx="877">
                  <c:v>72352</c:v>
                </c:pt>
                <c:pt idx="878">
                  <c:v>72380</c:v>
                </c:pt>
                <c:pt idx="879">
                  <c:v>72411</c:v>
                </c:pt>
                <c:pt idx="880">
                  <c:v>72441</c:v>
                </c:pt>
                <c:pt idx="881">
                  <c:v>72472</c:v>
                </c:pt>
                <c:pt idx="882">
                  <c:v>72502</c:v>
                </c:pt>
                <c:pt idx="883">
                  <c:v>72533</c:v>
                </c:pt>
                <c:pt idx="884">
                  <c:v>72564</c:v>
                </c:pt>
                <c:pt idx="885">
                  <c:v>72594</c:v>
                </c:pt>
                <c:pt idx="886">
                  <c:v>72625</c:v>
                </c:pt>
                <c:pt idx="887">
                  <c:v>72655</c:v>
                </c:pt>
                <c:pt idx="888">
                  <c:v>72686</c:v>
                </c:pt>
                <c:pt idx="889">
                  <c:v>72717</c:v>
                </c:pt>
                <c:pt idx="890">
                  <c:v>72745</c:v>
                </c:pt>
                <c:pt idx="891">
                  <c:v>72776</c:v>
                </c:pt>
                <c:pt idx="892">
                  <c:v>72806</c:v>
                </c:pt>
                <c:pt idx="893">
                  <c:v>72837</c:v>
                </c:pt>
                <c:pt idx="894">
                  <c:v>72867</c:v>
                </c:pt>
                <c:pt idx="895">
                  <c:v>72898</c:v>
                </c:pt>
                <c:pt idx="896">
                  <c:v>72929</c:v>
                </c:pt>
                <c:pt idx="897">
                  <c:v>72959</c:v>
                </c:pt>
                <c:pt idx="898">
                  <c:v>72990</c:v>
                </c:pt>
                <c:pt idx="899">
                  <c:v>73020</c:v>
                </c:pt>
                <c:pt idx="900">
                  <c:v>73051</c:v>
                </c:pt>
                <c:pt idx="901">
                  <c:v>73082</c:v>
                </c:pt>
                <c:pt idx="902">
                  <c:v>73110</c:v>
                </c:pt>
                <c:pt idx="903">
                  <c:v>73141</c:v>
                </c:pt>
                <c:pt idx="904">
                  <c:v>73171</c:v>
                </c:pt>
                <c:pt idx="905">
                  <c:v>73202</c:v>
                </c:pt>
                <c:pt idx="906">
                  <c:v>73232</c:v>
                </c:pt>
                <c:pt idx="907">
                  <c:v>73263</c:v>
                </c:pt>
                <c:pt idx="908">
                  <c:v>73294</c:v>
                </c:pt>
                <c:pt idx="909">
                  <c:v>73324</c:v>
                </c:pt>
                <c:pt idx="910">
                  <c:v>73355</c:v>
                </c:pt>
                <c:pt idx="911">
                  <c:v>73385</c:v>
                </c:pt>
                <c:pt idx="912">
                  <c:v>73416</c:v>
                </c:pt>
                <c:pt idx="913">
                  <c:v>73447</c:v>
                </c:pt>
                <c:pt idx="914">
                  <c:v>73475</c:v>
                </c:pt>
                <c:pt idx="915">
                  <c:v>73506</c:v>
                </c:pt>
                <c:pt idx="916">
                  <c:v>73536</c:v>
                </c:pt>
                <c:pt idx="917">
                  <c:v>73567</c:v>
                </c:pt>
                <c:pt idx="918">
                  <c:v>73597</c:v>
                </c:pt>
                <c:pt idx="919">
                  <c:v>73628</c:v>
                </c:pt>
                <c:pt idx="920">
                  <c:v>73659</c:v>
                </c:pt>
                <c:pt idx="921">
                  <c:v>73689</c:v>
                </c:pt>
                <c:pt idx="922">
                  <c:v>73720</c:v>
                </c:pt>
                <c:pt idx="923">
                  <c:v>73750</c:v>
                </c:pt>
                <c:pt idx="924">
                  <c:v>73781</c:v>
                </c:pt>
                <c:pt idx="925">
                  <c:v>73812</c:v>
                </c:pt>
                <c:pt idx="926">
                  <c:v>73840</c:v>
                </c:pt>
                <c:pt idx="927">
                  <c:v>73871</c:v>
                </c:pt>
                <c:pt idx="928">
                  <c:v>73901</c:v>
                </c:pt>
                <c:pt idx="929">
                  <c:v>73932</c:v>
                </c:pt>
                <c:pt idx="930">
                  <c:v>73962</c:v>
                </c:pt>
                <c:pt idx="931">
                  <c:v>73993</c:v>
                </c:pt>
                <c:pt idx="932">
                  <c:v>74024</c:v>
                </c:pt>
                <c:pt idx="933">
                  <c:v>74054</c:v>
                </c:pt>
                <c:pt idx="934">
                  <c:v>74085</c:v>
                </c:pt>
                <c:pt idx="935">
                  <c:v>74115</c:v>
                </c:pt>
                <c:pt idx="936">
                  <c:v>74146</c:v>
                </c:pt>
                <c:pt idx="937">
                  <c:v>74177</c:v>
                </c:pt>
                <c:pt idx="938">
                  <c:v>74205</c:v>
                </c:pt>
                <c:pt idx="939">
                  <c:v>74236</c:v>
                </c:pt>
                <c:pt idx="940">
                  <c:v>74266</c:v>
                </c:pt>
                <c:pt idx="941">
                  <c:v>74297</c:v>
                </c:pt>
                <c:pt idx="942">
                  <c:v>74327</c:v>
                </c:pt>
                <c:pt idx="943">
                  <c:v>74358</c:v>
                </c:pt>
                <c:pt idx="944">
                  <c:v>74389</c:v>
                </c:pt>
                <c:pt idx="945">
                  <c:v>74419</c:v>
                </c:pt>
                <c:pt idx="946">
                  <c:v>74450</c:v>
                </c:pt>
                <c:pt idx="947">
                  <c:v>74480</c:v>
                </c:pt>
                <c:pt idx="948">
                  <c:v>74511</c:v>
                </c:pt>
                <c:pt idx="949">
                  <c:v>74542</c:v>
                </c:pt>
                <c:pt idx="950">
                  <c:v>74571</c:v>
                </c:pt>
                <c:pt idx="951">
                  <c:v>74602</c:v>
                </c:pt>
                <c:pt idx="952">
                  <c:v>74632</c:v>
                </c:pt>
                <c:pt idx="953">
                  <c:v>74663</c:v>
                </c:pt>
                <c:pt idx="954">
                  <c:v>74693</c:v>
                </c:pt>
                <c:pt idx="955">
                  <c:v>74724</c:v>
                </c:pt>
                <c:pt idx="956">
                  <c:v>74755</c:v>
                </c:pt>
                <c:pt idx="957">
                  <c:v>74785</c:v>
                </c:pt>
                <c:pt idx="958">
                  <c:v>74816</c:v>
                </c:pt>
                <c:pt idx="959">
                  <c:v>74846</c:v>
                </c:pt>
                <c:pt idx="960">
                  <c:v>74877</c:v>
                </c:pt>
                <c:pt idx="961">
                  <c:v>74908</c:v>
                </c:pt>
                <c:pt idx="962">
                  <c:v>74936</c:v>
                </c:pt>
                <c:pt idx="963">
                  <c:v>74967</c:v>
                </c:pt>
                <c:pt idx="964">
                  <c:v>74997</c:v>
                </c:pt>
                <c:pt idx="965">
                  <c:v>75028</c:v>
                </c:pt>
                <c:pt idx="966">
                  <c:v>75058</c:v>
                </c:pt>
                <c:pt idx="967">
                  <c:v>75089</c:v>
                </c:pt>
                <c:pt idx="968">
                  <c:v>75120</c:v>
                </c:pt>
                <c:pt idx="969">
                  <c:v>75150</c:v>
                </c:pt>
                <c:pt idx="970">
                  <c:v>75181</c:v>
                </c:pt>
                <c:pt idx="971">
                  <c:v>75211</c:v>
                </c:pt>
                <c:pt idx="972">
                  <c:v>75242</c:v>
                </c:pt>
                <c:pt idx="973">
                  <c:v>75273</c:v>
                </c:pt>
                <c:pt idx="974">
                  <c:v>75301</c:v>
                </c:pt>
                <c:pt idx="975">
                  <c:v>75332</c:v>
                </c:pt>
                <c:pt idx="976">
                  <c:v>75362</c:v>
                </c:pt>
                <c:pt idx="977">
                  <c:v>75393</c:v>
                </c:pt>
                <c:pt idx="978">
                  <c:v>75423</c:v>
                </c:pt>
                <c:pt idx="979">
                  <c:v>75454</c:v>
                </c:pt>
                <c:pt idx="980">
                  <c:v>75485</c:v>
                </c:pt>
                <c:pt idx="981">
                  <c:v>75515</c:v>
                </c:pt>
                <c:pt idx="982">
                  <c:v>75546</c:v>
                </c:pt>
                <c:pt idx="983">
                  <c:v>75576</c:v>
                </c:pt>
                <c:pt idx="984">
                  <c:v>75607</c:v>
                </c:pt>
                <c:pt idx="985">
                  <c:v>75638</c:v>
                </c:pt>
                <c:pt idx="986">
                  <c:v>75666</c:v>
                </c:pt>
                <c:pt idx="987">
                  <c:v>75697</c:v>
                </c:pt>
                <c:pt idx="988">
                  <c:v>75727</c:v>
                </c:pt>
                <c:pt idx="989">
                  <c:v>75758</c:v>
                </c:pt>
                <c:pt idx="990">
                  <c:v>75788</c:v>
                </c:pt>
                <c:pt idx="991">
                  <c:v>75819</c:v>
                </c:pt>
                <c:pt idx="992">
                  <c:v>75850</c:v>
                </c:pt>
                <c:pt idx="993">
                  <c:v>75880</c:v>
                </c:pt>
                <c:pt idx="994">
                  <c:v>75911</c:v>
                </c:pt>
                <c:pt idx="995">
                  <c:v>75941</c:v>
                </c:pt>
                <c:pt idx="996">
                  <c:v>75972</c:v>
                </c:pt>
                <c:pt idx="997">
                  <c:v>76003</c:v>
                </c:pt>
                <c:pt idx="998">
                  <c:v>76032</c:v>
                </c:pt>
                <c:pt idx="999">
                  <c:v>76063</c:v>
                </c:pt>
                <c:pt idx="1000">
                  <c:v>76093</c:v>
                </c:pt>
                <c:pt idx="1001">
                  <c:v>76124</c:v>
                </c:pt>
                <c:pt idx="1002">
                  <c:v>76154</c:v>
                </c:pt>
                <c:pt idx="1003">
                  <c:v>76185</c:v>
                </c:pt>
                <c:pt idx="1004">
                  <c:v>76216</c:v>
                </c:pt>
                <c:pt idx="1005">
                  <c:v>76246</c:v>
                </c:pt>
                <c:pt idx="1006">
                  <c:v>76277</c:v>
                </c:pt>
                <c:pt idx="1007">
                  <c:v>76307</c:v>
                </c:pt>
                <c:pt idx="1008">
                  <c:v>76338</c:v>
                </c:pt>
                <c:pt idx="1009">
                  <c:v>76369</c:v>
                </c:pt>
                <c:pt idx="1010">
                  <c:v>76397</c:v>
                </c:pt>
                <c:pt idx="1011">
                  <c:v>76428</c:v>
                </c:pt>
                <c:pt idx="1012">
                  <c:v>76458</c:v>
                </c:pt>
                <c:pt idx="1013">
                  <c:v>76489</c:v>
                </c:pt>
                <c:pt idx="1014">
                  <c:v>76519</c:v>
                </c:pt>
                <c:pt idx="1015">
                  <c:v>76550</c:v>
                </c:pt>
                <c:pt idx="1016">
                  <c:v>76581</c:v>
                </c:pt>
                <c:pt idx="1017">
                  <c:v>76611</c:v>
                </c:pt>
                <c:pt idx="1018">
                  <c:v>76642</c:v>
                </c:pt>
                <c:pt idx="1019">
                  <c:v>76672</c:v>
                </c:pt>
                <c:pt idx="1020">
                  <c:v>76703</c:v>
                </c:pt>
                <c:pt idx="1021">
                  <c:v>76734</c:v>
                </c:pt>
                <c:pt idx="1022">
                  <c:v>76762</c:v>
                </c:pt>
                <c:pt idx="1023">
                  <c:v>76793</c:v>
                </c:pt>
                <c:pt idx="1024">
                  <c:v>76823</c:v>
                </c:pt>
                <c:pt idx="1025">
                  <c:v>76854</c:v>
                </c:pt>
                <c:pt idx="1026">
                  <c:v>76884</c:v>
                </c:pt>
                <c:pt idx="1027">
                  <c:v>76915</c:v>
                </c:pt>
                <c:pt idx="1028">
                  <c:v>76946</c:v>
                </c:pt>
                <c:pt idx="1029">
                  <c:v>76976</c:v>
                </c:pt>
                <c:pt idx="1030">
                  <c:v>77007</c:v>
                </c:pt>
                <c:pt idx="1031">
                  <c:v>77037</c:v>
                </c:pt>
                <c:pt idx="1032">
                  <c:v>77068</c:v>
                </c:pt>
                <c:pt idx="1033">
                  <c:v>77099</c:v>
                </c:pt>
                <c:pt idx="1034">
                  <c:v>77127</c:v>
                </c:pt>
                <c:pt idx="1035">
                  <c:v>77158</c:v>
                </c:pt>
                <c:pt idx="1036">
                  <c:v>77188</c:v>
                </c:pt>
                <c:pt idx="1037">
                  <c:v>77219</c:v>
                </c:pt>
                <c:pt idx="1038">
                  <c:v>77249</c:v>
                </c:pt>
                <c:pt idx="1039">
                  <c:v>77280</c:v>
                </c:pt>
                <c:pt idx="1040">
                  <c:v>77311</c:v>
                </c:pt>
                <c:pt idx="1041">
                  <c:v>77341</c:v>
                </c:pt>
                <c:pt idx="1042">
                  <c:v>77372</c:v>
                </c:pt>
                <c:pt idx="1043">
                  <c:v>77402</c:v>
                </c:pt>
                <c:pt idx="1044">
                  <c:v>77433</c:v>
                </c:pt>
                <c:pt idx="1045">
                  <c:v>77464</c:v>
                </c:pt>
                <c:pt idx="1046">
                  <c:v>77493</c:v>
                </c:pt>
                <c:pt idx="1047">
                  <c:v>77524</c:v>
                </c:pt>
                <c:pt idx="1048">
                  <c:v>77554</c:v>
                </c:pt>
                <c:pt idx="1049">
                  <c:v>77585</c:v>
                </c:pt>
                <c:pt idx="1050">
                  <c:v>77615</c:v>
                </c:pt>
                <c:pt idx="1051">
                  <c:v>77646</c:v>
                </c:pt>
                <c:pt idx="1052">
                  <c:v>77677</c:v>
                </c:pt>
                <c:pt idx="1053">
                  <c:v>77707</c:v>
                </c:pt>
                <c:pt idx="1054">
                  <c:v>77738</c:v>
                </c:pt>
                <c:pt idx="1055">
                  <c:v>77768</c:v>
                </c:pt>
                <c:pt idx="1056">
                  <c:v>77799</c:v>
                </c:pt>
                <c:pt idx="1057">
                  <c:v>77830</c:v>
                </c:pt>
                <c:pt idx="1058">
                  <c:v>77858</c:v>
                </c:pt>
                <c:pt idx="1059">
                  <c:v>77889</c:v>
                </c:pt>
                <c:pt idx="1060">
                  <c:v>77919</c:v>
                </c:pt>
                <c:pt idx="1061">
                  <c:v>77950</c:v>
                </c:pt>
                <c:pt idx="1062">
                  <c:v>77980</c:v>
                </c:pt>
                <c:pt idx="1063">
                  <c:v>78011</c:v>
                </c:pt>
                <c:pt idx="1064">
                  <c:v>78042</c:v>
                </c:pt>
                <c:pt idx="1065">
                  <c:v>78072</c:v>
                </c:pt>
                <c:pt idx="1066">
                  <c:v>78103</c:v>
                </c:pt>
                <c:pt idx="1067">
                  <c:v>78133</c:v>
                </c:pt>
                <c:pt idx="1068">
                  <c:v>78164</c:v>
                </c:pt>
                <c:pt idx="1069">
                  <c:v>78195</c:v>
                </c:pt>
                <c:pt idx="1070">
                  <c:v>78223</c:v>
                </c:pt>
                <c:pt idx="1071">
                  <c:v>78254</c:v>
                </c:pt>
                <c:pt idx="1072">
                  <c:v>78284</c:v>
                </c:pt>
                <c:pt idx="1073">
                  <c:v>78315</c:v>
                </c:pt>
                <c:pt idx="1074">
                  <c:v>78345</c:v>
                </c:pt>
                <c:pt idx="1075">
                  <c:v>78376</c:v>
                </c:pt>
                <c:pt idx="1076">
                  <c:v>78407</c:v>
                </c:pt>
                <c:pt idx="1077">
                  <c:v>78437</c:v>
                </c:pt>
                <c:pt idx="1078">
                  <c:v>78468</c:v>
                </c:pt>
                <c:pt idx="1079">
                  <c:v>78498</c:v>
                </c:pt>
                <c:pt idx="1080">
                  <c:v>78529</c:v>
                </c:pt>
                <c:pt idx="1081">
                  <c:v>78560</c:v>
                </c:pt>
                <c:pt idx="1082">
                  <c:v>78588</c:v>
                </c:pt>
                <c:pt idx="1083">
                  <c:v>78619</c:v>
                </c:pt>
                <c:pt idx="1084">
                  <c:v>78649</c:v>
                </c:pt>
                <c:pt idx="1085">
                  <c:v>78680</c:v>
                </c:pt>
                <c:pt idx="1086">
                  <c:v>78710</c:v>
                </c:pt>
                <c:pt idx="1087">
                  <c:v>78741</c:v>
                </c:pt>
                <c:pt idx="1088">
                  <c:v>78772</c:v>
                </c:pt>
                <c:pt idx="1089">
                  <c:v>78802</c:v>
                </c:pt>
                <c:pt idx="1090">
                  <c:v>78833</c:v>
                </c:pt>
                <c:pt idx="1091">
                  <c:v>78863</c:v>
                </c:pt>
                <c:pt idx="1092">
                  <c:v>78894</c:v>
                </c:pt>
                <c:pt idx="1093">
                  <c:v>78925</c:v>
                </c:pt>
                <c:pt idx="1094">
                  <c:v>78954</c:v>
                </c:pt>
                <c:pt idx="1095">
                  <c:v>78985</c:v>
                </c:pt>
                <c:pt idx="1096">
                  <c:v>79015</c:v>
                </c:pt>
                <c:pt idx="1097">
                  <c:v>79046</c:v>
                </c:pt>
                <c:pt idx="1098">
                  <c:v>79076</c:v>
                </c:pt>
                <c:pt idx="1099">
                  <c:v>79107</c:v>
                </c:pt>
                <c:pt idx="1100">
                  <c:v>79138</c:v>
                </c:pt>
                <c:pt idx="1101">
                  <c:v>79168</c:v>
                </c:pt>
                <c:pt idx="1102">
                  <c:v>79199</c:v>
                </c:pt>
                <c:pt idx="1103">
                  <c:v>79229</c:v>
                </c:pt>
                <c:pt idx="1104">
                  <c:v>79260</c:v>
                </c:pt>
                <c:pt idx="1105">
                  <c:v>79291</c:v>
                </c:pt>
                <c:pt idx="1106">
                  <c:v>79319</c:v>
                </c:pt>
                <c:pt idx="1107">
                  <c:v>79350</c:v>
                </c:pt>
                <c:pt idx="1108">
                  <c:v>79380</c:v>
                </c:pt>
                <c:pt idx="1109">
                  <c:v>79411</c:v>
                </c:pt>
                <c:pt idx="1110">
                  <c:v>79441</c:v>
                </c:pt>
                <c:pt idx="1111">
                  <c:v>79472</c:v>
                </c:pt>
                <c:pt idx="1112">
                  <c:v>79503</c:v>
                </c:pt>
                <c:pt idx="1113">
                  <c:v>79533</c:v>
                </c:pt>
                <c:pt idx="1114">
                  <c:v>79564</c:v>
                </c:pt>
                <c:pt idx="1115">
                  <c:v>79594</c:v>
                </c:pt>
                <c:pt idx="1116">
                  <c:v>79625</c:v>
                </c:pt>
                <c:pt idx="1117">
                  <c:v>79656</c:v>
                </c:pt>
                <c:pt idx="1118">
                  <c:v>79684</c:v>
                </c:pt>
                <c:pt idx="1119">
                  <c:v>79715</c:v>
                </c:pt>
                <c:pt idx="1120">
                  <c:v>79745</c:v>
                </c:pt>
                <c:pt idx="1121">
                  <c:v>79776</c:v>
                </c:pt>
                <c:pt idx="1122">
                  <c:v>79806</c:v>
                </c:pt>
                <c:pt idx="1123">
                  <c:v>79837</c:v>
                </c:pt>
                <c:pt idx="1124">
                  <c:v>79868</c:v>
                </c:pt>
                <c:pt idx="1125">
                  <c:v>79898</c:v>
                </c:pt>
                <c:pt idx="1126">
                  <c:v>79929</c:v>
                </c:pt>
                <c:pt idx="1127">
                  <c:v>79959</c:v>
                </c:pt>
                <c:pt idx="1128">
                  <c:v>79990</c:v>
                </c:pt>
                <c:pt idx="1129">
                  <c:v>80021</c:v>
                </c:pt>
                <c:pt idx="1130">
                  <c:v>80049</c:v>
                </c:pt>
                <c:pt idx="1131">
                  <c:v>80080</c:v>
                </c:pt>
                <c:pt idx="1132">
                  <c:v>80110</c:v>
                </c:pt>
                <c:pt idx="1133">
                  <c:v>80141</c:v>
                </c:pt>
                <c:pt idx="1134">
                  <c:v>80171</c:v>
                </c:pt>
                <c:pt idx="1135">
                  <c:v>80202</c:v>
                </c:pt>
                <c:pt idx="1136">
                  <c:v>80233</c:v>
                </c:pt>
                <c:pt idx="1137">
                  <c:v>80263</c:v>
                </c:pt>
                <c:pt idx="1138">
                  <c:v>80294</c:v>
                </c:pt>
                <c:pt idx="1139">
                  <c:v>80324</c:v>
                </c:pt>
                <c:pt idx="1140">
                  <c:v>80355</c:v>
                </c:pt>
                <c:pt idx="1141">
                  <c:v>80386</c:v>
                </c:pt>
                <c:pt idx="1142">
                  <c:v>80415</c:v>
                </c:pt>
                <c:pt idx="1143">
                  <c:v>80446</c:v>
                </c:pt>
                <c:pt idx="1144">
                  <c:v>80476</c:v>
                </c:pt>
                <c:pt idx="1145">
                  <c:v>80507</c:v>
                </c:pt>
                <c:pt idx="1146">
                  <c:v>80537</c:v>
                </c:pt>
                <c:pt idx="1147">
                  <c:v>80568</c:v>
                </c:pt>
                <c:pt idx="1148">
                  <c:v>80599</c:v>
                </c:pt>
                <c:pt idx="1149">
                  <c:v>80629</c:v>
                </c:pt>
                <c:pt idx="1150">
                  <c:v>80660</c:v>
                </c:pt>
                <c:pt idx="1151">
                  <c:v>80690</c:v>
                </c:pt>
                <c:pt idx="1152">
                  <c:v>80721</c:v>
                </c:pt>
                <c:pt idx="1153">
                  <c:v>80752</c:v>
                </c:pt>
                <c:pt idx="1154">
                  <c:v>80780</c:v>
                </c:pt>
                <c:pt idx="1155">
                  <c:v>80811</c:v>
                </c:pt>
                <c:pt idx="1156">
                  <c:v>80841</c:v>
                </c:pt>
                <c:pt idx="1157">
                  <c:v>80872</c:v>
                </c:pt>
                <c:pt idx="1158">
                  <c:v>80902</c:v>
                </c:pt>
                <c:pt idx="1159">
                  <c:v>80933</c:v>
                </c:pt>
                <c:pt idx="1160">
                  <c:v>80964</c:v>
                </c:pt>
                <c:pt idx="1161">
                  <c:v>80994</c:v>
                </c:pt>
                <c:pt idx="1162">
                  <c:v>81025</c:v>
                </c:pt>
                <c:pt idx="1163">
                  <c:v>81055</c:v>
                </c:pt>
                <c:pt idx="1164">
                  <c:v>81086</c:v>
                </c:pt>
                <c:pt idx="1165">
                  <c:v>81117</c:v>
                </c:pt>
                <c:pt idx="1166">
                  <c:v>81145</c:v>
                </c:pt>
                <c:pt idx="1167">
                  <c:v>81176</c:v>
                </c:pt>
                <c:pt idx="1168">
                  <c:v>81206</c:v>
                </c:pt>
                <c:pt idx="1169">
                  <c:v>81237</c:v>
                </c:pt>
                <c:pt idx="1170">
                  <c:v>81267</c:v>
                </c:pt>
                <c:pt idx="1171">
                  <c:v>81298</c:v>
                </c:pt>
                <c:pt idx="1172">
                  <c:v>81329</c:v>
                </c:pt>
                <c:pt idx="1173">
                  <c:v>81359</c:v>
                </c:pt>
                <c:pt idx="1174">
                  <c:v>81390</c:v>
                </c:pt>
                <c:pt idx="1175">
                  <c:v>81420</c:v>
                </c:pt>
                <c:pt idx="1176">
                  <c:v>81451</c:v>
                </c:pt>
                <c:pt idx="1177">
                  <c:v>81482</c:v>
                </c:pt>
                <c:pt idx="1178">
                  <c:v>81510</c:v>
                </c:pt>
                <c:pt idx="1179">
                  <c:v>81541</c:v>
                </c:pt>
                <c:pt idx="1180">
                  <c:v>81571</c:v>
                </c:pt>
                <c:pt idx="1181">
                  <c:v>81602</c:v>
                </c:pt>
                <c:pt idx="1182">
                  <c:v>81632</c:v>
                </c:pt>
                <c:pt idx="1183">
                  <c:v>81663</c:v>
                </c:pt>
                <c:pt idx="1184">
                  <c:v>81694</c:v>
                </c:pt>
                <c:pt idx="1185">
                  <c:v>81724</c:v>
                </c:pt>
                <c:pt idx="1186">
                  <c:v>81755</c:v>
                </c:pt>
                <c:pt idx="1187">
                  <c:v>81785</c:v>
                </c:pt>
                <c:pt idx="1188">
                  <c:v>81816</c:v>
                </c:pt>
                <c:pt idx="1189">
                  <c:v>81847</c:v>
                </c:pt>
                <c:pt idx="1190">
                  <c:v>81876</c:v>
                </c:pt>
                <c:pt idx="1191">
                  <c:v>81907</c:v>
                </c:pt>
                <c:pt idx="1192">
                  <c:v>81937</c:v>
                </c:pt>
                <c:pt idx="1193">
                  <c:v>81968</c:v>
                </c:pt>
                <c:pt idx="1194">
                  <c:v>81998</c:v>
                </c:pt>
                <c:pt idx="1195">
                  <c:v>82029</c:v>
                </c:pt>
                <c:pt idx="1196">
                  <c:v>82060</c:v>
                </c:pt>
                <c:pt idx="1197">
                  <c:v>82090</c:v>
                </c:pt>
                <c:pt idx="1198">
                  <c:v>82121</c:v>
                </c:pt>
                <c:pt idx="1199">
                  <c:v>82151</c:v>
                </c:pt>
              </c:numCache>
            </c:numRef>
          </c:cat>
          <c:val>
            <c:numRef>
              <c:f>Dados!$N$2:$N$1231</c:f>
              <c:numCache>
                <c:formatCode>#,##0</c:formatCode>
                <c:ptCount val="1230"/>
                <c:pt idx="0">
                  <c:v>79935.523737515628</c:v>
                </c:pt>
                <c:pt idx="1">
                  <c:v>81173.502645290821</c:v>
                </c:pt>
                <c:pt idx="2">
                  <c:v>79811.481553066013</c:v>
                </c:pt>
                <c:pt idx="3">
                  <c:v>79749.460460841205</c:v>
                </c:pt>
                <c:pt idx="4">
                  <c:v>79687.439368616397</c:v>
                </c:pt>
                <c:pt idx="5">
                  <c:v>79625.418276391589</c:v>
                </c:pt>
                <c:pt idx="6">
                  <c:v>135320.3971841668</c:v>
                </c:pt>
                <c:pt idx="7">
                  <c:v>79501.376091941973</c:v>
                </c:pt>
                <c:pt idx="8">
                  <c:v>79439.354999717165</c:v>
                </c:pt>
                <c:pt idx="9">
                  <c:v>79377.333907492357</c:v>
                </c:pt>
                <c:pt idx="10">
                  <c:v>79315.312815267564</c:v>
                </c:pt>
                <c:pt idx="11">
                  <c:v>135010.29172304276</c:v>
                </c:pt>
                <c:pt idx="12">
                  <c:v>94918.024255698721</c:v>
                </c:pt>
                <c:pt idx="13">
                  <c:v>96713.57316347392</c:v>
                </c:pt>
                <c:pt idx="14">
                  <c:v>94793.982071249106</c:v>
                </c:pt>
                <c:pt idx="15">
                  <c:v>94731.960979024298</c:v>
                </c:pt>
                <c:pt idx="16">
                  <c:v>94669.93988679949</c:v>
                </c:pt>
                <c:pt idx="17">
                  <c:v>94607.918794574682</c:v>
                </c:pt>
                <c:pt idx="18">
                  <c:v>150302.89770234987</c:v>
                </c:pt>
                <c:pt idx="19">
                  <c:v>94483.876610125066</c:v>
                </c:pt>
                <c:pt idx="20">
                  <c:v>94421.855517900258</c:v>
                </c:pt>
                <c:pt idx="21">
                  <c:v>94359.83442567545</c:v>
                </c:pt>
                <c:pt idx="22">
                  <c:v>94297.813333450642</c:v>
                </c:pt>
                <c:pt idx="23">
                  <c:v>149992.79224122583</c:v>
                </c:pt>
                <c:pt idx="24">
                  <c:v>95173.771149001026</c:v>
                </c:pt>
                <c:pt idx="25">
                  <c:v>96969.320056776225</c:v>
                </c:pt>
                <c:pt idx="26">
                  <c:v>95049.728964551425</c:v>
                </c:pt>
                <c:pt idx="27">
                  <c:v>94987.707872326617</c:v>
                </c:pt>
                <c:pt idx="28">
                  <c:v>94925.686780101809</c:v>
                </c:pt>
                <c:pt idx="29">
                  <c:v>94863.665687877001</c:v>
                </c:pt>
                <c:pt idx="30">
                  <c:v>150558.64459565218</c:v>
                </c:pt>
                <c:pt idx="31">
                  <c:v>94739.623503427385</c:v>
                </c:pt>
                <c:pt idx="32">
                  <c:v>94677.602411202577</c:v>
                </c:pt>
                <c:pt idx="33">
                  <c:v>94615.581318977769</c:v>
                </c:pt>
                <c:pt idx="34">
                  <c:v>94553.560226752961</c:v>
                </c:pt>
                <c:pt idx="35">
                  <c:v>150248.53913452814</c:v>
                </c:pt>
                <c:pt idx="36">
                  <c:v>87353.818042303348</c:v>
                </c:pt>
                <c:pt idx="37">
                  <c:v>89149.366950078547</c:v>
                </c:pt>
                <c:pt idx="38">
                  <c:v>87229.775857853732</c:v>
                </c:pt>
                <c:pt idx="39">
                  <c:v>87167.754765628924</c:v>
                </c:pt>
                <c:pt idx="40">
                  <c:v>87105.733673404131</c:v>
                </c:pt>
                <c:pt idx="41">
                  <c:v>87043.712581179323</c:v>
                </c:pt>
                <c:pt idx="42">
                  <c:v>142738.6914889545</c:v>
                </c:pt>
                <c:pt idx="43">
                  <c:v>86919.670396729707</c:v>
                </c:pt>
                <c:pt idx="44">
                  <c:v>86857.649304504899</c:v>
                </c:pt>
                <c:pt idx="45">
                  <c:v>86795.628212280091</c:v>
                </c:pt>
                <c:pt idx="46">
                  <c:v>86733.607120055283</c:v>
                </c:pt>
                <c:pt idx="47">
                  <c:v>142428.58602783046</c:v>
                </c:pt>
                <c:pt idx="48">
                  <c:v>86609.564935605667</c:v>
                </c:pt>
                <c:pt idx="49">
                  <c:v>88405.113843380866</c:v>
                </c:pt>
                <c:pt idx="50">
                  <c:v>86485.522751156052</c:v>
                </c:pt>
                <c:pt idx="51">
                  <c:v>86423.501658931244</c:v>
                </c:pt>
                <c:pt idx="52">
                  <c:v>86361.480566706436</c:v>
                </c:pt>
                <c:pt idx="53">
                  <c:v>86299.459474481642</c:v>
                </c:pt>
                <c:pt idx="54">
                  <c:v>141994.43838225681</c:v>
                </c:pt>
                <c:pt idx="55">
                  <c:v>86175.417290032026</c:v>
                </c:pt>
                <c:pt idx="56">
                  <c:v>86113.396197807218</c:v>
                </c:pt>
                <c:pt idx="57">
                  <c:v>86051.37510558241</c:v>
                </c:pt>
                <c:pt idx="58">
                  <c:v>85989.354013357603</c:v>
                </c:pt>
                <c:pt idx="59">
                  <c:v>141684.33292113277</c:v>
                </c:pt>
                <c:pt idx="60">
                  <c:v>90016.711828907981</c:v>
                </c:pt>
                <c:pt idx="61">
                  <c:v>91812.26073668318</c:v>
                </c:pt>
                <c:pt idx="62">
                  <c:v>89892.669644458365</c:v>
                </c:pt>
                <c:pt idx="63">
                  <c:v>89830.648552233572</c:v>
                </c:pt>
                <c:pt idx="64">
                  <c:v>89768.627460008764</c:v>
                </c:pt>
                <c:pt idx="65">
                  <c:v>89706.606367783956</c:v>
                </c:pt>
                <c:pt idx="66">
                  <c:v>145401.58527555913</c:v>
                </c:pt>
                <c:pt idx="67">
                  <c:v>89582.56418333434</c:v>
                </c:pt>
                <c:pt idx="68">
                  <c:v>89520.543091109532</c:v>
                </c:pt>
                <c:pt idx="69">
                  <c:v>89458.521998884724</c:v>
                </c:pt>
                <c:pt idx="70">
                  <c:v>89396.500906659916</c:v>
                </c:pt>
                <c:pt idx="71">
                  <c:v>145091.47981443509</c:v>
                </c:pt>
                <c:pt idx="72">
                  <c:v>90272.4587222103</c:v>
                </c:pt>
                <c:pt idx="73">
                  <c:v>92068.007629985499</c:v>
                </c:pt>
                <c:pt idx="74">
                  <c:v>90148.416537760684</c:v>
                </c:pt>
                <c:pt idx="75">
                  <c:v>90086.395445535876</c:v>
                </c:pt>
                <c:pt idx="76">
                  <c:v>90024.374353311068</c:v>
                </c:pt>
                <c:pt idx="77">
                  <c:v>89962.353261086275</c:v>
                </c:pt>
                <c:pt idx="78">
                  <c:v>145657.33216886144</c:v>
                </c:pt>
                <c:pt idx="79">
                  <c:v>89838.311076636659</c:v>
                </c:pt>
                <c:pt idx="80">
                  <c:v>89776.289984411851</c:v>
                </c:pt>
                <c:pt idx="81">
                  <c:v>89714.268892187043</c:v>
                </c:pt>
                <c:pt idx="82">
                  <c:v>89652.247799962235</c:v>
                </c:pt>
                <c:pt idx="83">
                  <c:v>145347.2267077374</c:v>
                </c:pt>
                <c:pt idx="84">
                  <c:v>84376.805615512625</c:v>
                </c:pt>
                <c:pt idx="85">
                  <c:v>86172.35452328781</c:v>
                </c:pt>
                <c:pt idx="86">
                  <c:v>84252.763431063009</c:v>
                </c:pt>
                <c:pt idx="87">
                  <c:v>84190.742338838201</c:v>
                </c:pt>
                <c:pt idx="88">
                  <c:v>84128.721246613393</c:v>
                </c:pt>
                <c:pt idx="89">
                  <c:v>84066.700154388585</c:v>
                </c:pt>
                <c:pt idx="90">
                  <c:v>139761.67906216375</c:v>
                </c:pt>
                <c:pt idx="91">
                  <c:v>83942.657969938969</c:v>
                </c:pt>
                <c:pt idx="92">
                  <c:v>83880.636877714162</c:v>
                </c:pt>
                <c:pt idx="93">
                  <c:v>83818.615785489354</c:v>
                </c:pt>
                <c:pt idx="94">
                  <c:v>83756.594693264546</c:v>
                </c:pt>
                <c:pt idx="95">
                  <c:v>139451.57360103974</c:v>
                </c:pt>
                <c:pt idx="96">
                  <c:v>83632.55250881493</c:v>
                </c:pt>
                <c:pt idx="97">
                  <c:v>85428.101416590129</c:v>
                </c:pt>
                <c:pt idx="98">
                  <c:v>83508.510324365314</c:v>
                </c:pt>
                <c:pt idx="99">
                  <c:v>83446.489232140506</c:v>
                </c:pt>
                <c:pt idx="100">
                  <c:v>83384.468139915698</c:v>
                </c:pt>
                <c:pt idx="101">
                  <c:v>83322.44704769089</c:v>
                </c:pt>
                <c:pt idx="102">
                  <c:v>139017.42595546608</c:v>
                </c:pt>
                <c:pt idx="103">
                  <c:v>83198.404863241274</c:v>
                </c:pt>
                <c:pt idx="104">
                  <c:v>83136.383771016481</c:v>
                </c:pt>
                <c:pt idx="105">
                  <c:v>83074.362678791673</c:v>
                </c:pt>
                <c:pt idx="106">
                  <c:v>83012.341586566865</c:v>
                </c:pt>
                <c:pt idx="107">
                  <c:v>138707.32049434204</c:v>
                </c:pt>
                <c:pt idx="108">
                  <c:v>82888.299402117249</c:v>
                </c:pt>
                <c:pt idx="109">
                  <c:v>84683.848309892433</c:v>
                </c:pt>
                <c:pt idx="110">
                  <c:v>82764.257217667633</c:v>
                </c:pt>
                <c:pt idx="111">
                  <c:v>82702.236125442825</c:v>
                </c:pt>
                <c:pt idx="112">
                  <c:v>82640.215033218017</c:v>
                </c:pt>
                <c:pt idx="113">
                  <c:v>82578.193940993209</c:v>
                </c:pt>
                <c:pt idx="114">
                  <c:v>138273.17284876839</c:v>
                </c:pt>
                <c:pt idx="115">
                  <c:v>82454.151756543593</c:v>
                </c:pt>
                <c:pt idx="116">
                  <c:v>82392.130664318785</c:v>
                </c:pt>
                <c:pt idx="117">
                  <c:v>82330.109572093977</c:v>
                </c:pt>
                <c:pt idx="118">
                  <c:v>82268.088479869184</c:v>
                </c:pt>
                <c:pt idx="119">
                  <c:v>137963.06738764435</c:v>
                </c:pt>
                <c:pt idx="120">
                  <c:v>83144.046295419568</c:v>
                </c:pt>
                <c:pt idx="121">
                  <c:v>74230.971578313969</c:v>
                </c:pt>
                <c:pt idx="122">
                  <c:v>72868.950486089161</c:v>
                </c:pt>
                <c:pt idx="123">
                  <c:v>72806.929393864353</c:v>
                </c:pt>
                <c:pt idx="124">
                  <c:v>72744.908301639545</c:v>
                </c:pt>
                <c:pt idx="125">
                  <c:v>72682.887209414737</c:v>
                </c:pt>
                <c:pt idx="126">
                  <c:v>128377.86611718993</c:v>
                </c:pt>
                <c:pt idx="127">
                  <c:v>72558.845024965121</c:v>
                </c:pt>
                <c:pt idx="128">
                  <c:v>72496.823932740328</c:v>
                </c:pt>
                <c:pt idx="129">
                  <c:v>72434.80284051552</c:v>
                </c:pt>
                <c:pt idx="130">
                  <c:v>72372.781748290712</c:v>
                </c:pt>
                <c:pt idx="131">
                  <c:v>128067.7606560659</c:v>
                </c:pt>
                <c:pt idx="132">
                  <c:v>66248.739563841096</c:v>
                </c:pt>
                <c:pt idx="133">
                  <c:v>61892.769112343711</c:v>
                </c:pt>
                <c:pt idx="134">
                  <c:v>60630.748020118903</c:v>
                </c:pt>
                <c:pt idx="135">
                  <c:v>60568.726927894095</c:v>
                </c:pt>
                <c:pt idx="136">
                  <c:v>60506.705835669287</c:v>
                </c:pt>
                <c:pt idx="137">
                  <c:v>60444.684743444479</c:v>
                </c:pt>
                <c:pt idx="138">
                  <c:v>116139.66365121967</c:v>
                </c:pt>
                <c:pt idx="139">
                  <c:v>60320.642558994863</c:v>
                </c:pt>
                <c:pt idx="140">
                  <c:v>60258.621466770062</c:v>
                </c:pt>
                <c:pt idx="141">
                  <c:v>60196.600374545254</c:v>
                </c:pt>
                <c:pt idx="142">
                  <c:v>60134.579282320447</c:v>
                </c:pt>
                <c:pt idx="143">
                  <c:v>115829.55819009565</c:v>
                </c:pt>
                <c:pt idx="144">
                  <c:v>54010.537097870831</c:v>
                </c:pt>
                <c:pt idx="145">
                  <c:v>55148.516005646023</c:v>
                </c:pt>
                <c:pt idx="146">
                  <c:v>53886.494913421222</c:v>
                </c:pt>
                <c:pt idx="147">
                  <c:v>53824.473821196414</c:v>
                </c:pt>
                <c:pt idx="148">
                  <c:v>53762.452728971606</c:v>
                </c:pt>
                <c:pt idx="149">
                  <c:v>53700.431636746798</c:v>
                </c:pt>
                <c:pt idx="150">
                  <c:v>109395.41054452199</c:v>
                </c:pt>
                <c:pt idx="151">
                  <c:v>53576.389452297182</c:v>
                </c:pt>
                <c:pt idx="152">
                  <c:v>53514.368360072374</c:v>
                </c:pt>
                <c:pt idx="153">
                  <c:v>53452.347267847566</c:v>
                </c:pt>
                <c:pt idx="154">
                  <c:v>53390.326175622758</c:v>
                </c:pt>
                <c:pt idx="155">
                  <c:v>109085.30508339795</c:v>
                </c:pt>
                <c:pt idx="156">
                  <c:v>59417.683991173151</c:v>
                </c:pt>
                <c:pt idx="157">
                  <c:v>60555.662898948343</c:v>
                </c:pt>
                <c:pt idx="158">
                  <c:v>59293.641806723535</c:v>
                </c:pt>
                <c:pt idx="159">
                  <c:v>59231.620714498727</c:v>
                </c:pt>
                <c:pt idx="160">
                  <c:v>59169.59962227392</c:v>
                </c:pt>
                <c:pt idx="161">
                  <c:v>59107.578530049112</c:v>
                </c:pt>
                <c:pt idx="162">
                  <c:v>114802.5574378243</c:v>
                </c:pt>
                <c:pt idx="163">
                  <c:v>58983.536345599496</c:v>
                </c:pt>
                <c:pt idx="164">
                  <c:v>58921.515253374688</c:v>
                </c:pt>
                <c:pt idx="165">
                  <c:v>58859.494161149887</c:v>
                </c:pt>
                <c:pt idx="166">
                  <c:v>58797.473068925079</c:v>
                </c:pt>
                <c:pt idx="167">
                  <c:v>114492.45197670026</c:v>
                </c:pt>
                <c:pt idx="168">
                  <c:v>51522.030884475462</c:v>
                </c:pt>
                <c:pt idx="169">
                  <c:v>52660.009792250654</c:v>
                </c:pt>
                <c:pt idx="170">
                  <c:v>51397.988700025846</c:v>
                </c:pt>
                <c:pt idx="171">
                  <c:v>51335.967607801038</c:v>
                </c:pt>
                <c:pt idx="172">
                  <c:v>51273.94651557623</c:v>
                </c:pt>
                <c:pt idx="173">
                  <c:v>51211.925423351429</c:v>
                </c:pt>
                <c:pt idx="174">
                  <c:v>106906.90433112661</c:v>
                </c:pt>
                <c:pt idx="175">
                  <c:v>51087.883238901813</c:v>
                </c:pt>
                <c:pt idx="176">
                  <c:v>51025.862146677006</c:v>
                </c:pt>
                <c:pt idx="177">
                  <c:v>50963.841054452198</c:v>
                </c:pt>
                <c:pt idx="178">
                  <c:v>50901.819962227397</c:v>
                </c:pt>
                <c:pt idx="179">
                  <c:v>106596.79887000259</c:v>
                </c:pt>
                <c:pt idx="180">
                  <c:v>43000</c:v>
                </c:pt>
                <c:pt idx="181">
                  <c:v>44200</c:v>
                </c:pt>
                <c:pt idx="182">
                  <c:v>43000</c:v>
                </c:pt>
                <c:pt idx="183">
                  <c:v>43000</c:v>
                </c:pt>
                <c:pt idx="184">
                  <c:v>43000</c:v>
                </c:pt>
                <c:pt idx="185">
                  <c:v>43000</c:v>
                </c:pt>
                <c:pt idx="186">
                  <c:v>98757</c:v>
                </c:pt>
                <c:pt idx="187">
                  <c:v>43000</c:v>
                </c:pt>
                <c:pt idx="188">
                  <c:v>43000</c:v>
                </c:pt>
                <c:pt idx="189">
                  <c:v>43000</c:v>
                </c:pt>
                <c:pt idx="190">
                  <c:v>43000</c:v>
                </c:pt>
                <c:pt idx="191">
                  <c:v>98757</c:v>
                </c:pt>
                <c:pt idx="192">
                  <c:v>43000</c:v>
                </c:pt>
                <c:pt idx="193">
                  <c:v>44200</c:v>
                </c:pt>
                <c:pt idx="194">
                  <c:v>43000</c:v>
                </c:pt>
                <c:pt idx="195">
                  <c:v>43000</c:v>
                </c:pt>
                <c:pt idx="196">
                  <c:v>43000</c:v>
                </c:pt>
                <c:pt idx="197">
                  <c:v>43000</c:v>
                </c:pt>
                <c:pt idx="198">
                  <c:v>98757</c:v>
                </c:pt>
                <c:pt idx="199">
                  <c:v>43000</c:v>
                </c:pt>
                <c:pt idx="200">
                  <c:v>43000</c:v>
                </c:pt>
                <c:pt idx="201">
                  <c:v>43000</c:v>
                </c:pt>
                <c:pt idx="202">
                  <c:v>43000</c:v>
                </c:pt>
                <c:pt idx="203">
                  <c:v>98757</c:v>
                </c:pt>
                <c:pt idx="204">
                  <c:v>43000</c:v>
                </c:pt>
                <c:pt idx="205">
                  <c:v>44200</c:v>
                </c:pt>
                <c:pt idx="206">
                  <c:v>43000</c:v>
                </c:pt>
                <c:pt idx="207">
                  <c:v>43000</c:v>
                </c:pt>
                <c:pt idx="208">
                  <c:v>43000</c:v>
                </c:pt>
                <c:pt idx="209">
                  <c:v>43000</c:v>
                </c:pt>
                <c:pt idx="210">
                  <c:v>98757</c:v>
                </c:pt>
                <c:pt idx="211">
                  <c:v>43000</c:v>
                </c:pt>
                <c:pt idx="212">
                  <c:v>43000</c:v>
                </c:pt>
                <c:pt idx="213">
                  <c:v>43000</c:v>
                </c:pt>
                <c:pt idx="214">
                  <c:v>43000</c:v>
                </c:pt>
                <c:pt idx="215">
                  <c:v>98757</c:v>
                </c:pt>
                <c:pt idx="216">
                  <c:v>43000</c:v>
                </c:pt>
                <c:pt idx="217">
                  <c:v>44200</c:v>
                </c:pt>
                <c:pt idx="218">
                  <c:v>43000</c:v>
                </c:pt>
                <c:pt idx="219">
                  <c:v>43000</c:v>
                </c:pt>
                <c:pt idx="220">
                  <c:v>43000</c:v>
                </c:pt>
                <c:pt idx="221">
                  <c:v>43000</c:v>
                </c:pt>
                <c:pt idx="222">
                  <c:v>98757</c:v>
                </c:pt>
                <c:pt idx="223">
                  <c:v>43000</c:v>
                </c:pt>
                <c:pt idx="224">
                  <c:v>43000</c:v>
                </c:pt>
                <c:pt idx="225">
                  <c:v>43000</c:v>
                </c:pt>
                <c:pt idx="226">
                  <c:v>43000</c:v>
                </c:pt>
                <c:pt idx="227">
                  <c:v>98757</c:v>
                </c:pt>
                <c:pt idx="228">
                  <c:v>37000</c:v>
                </c:pt>
                <c:pt idx="229">
                  <c:v>38200</c:v>
                </c:pt>
                <c:pt idx="230">
                  <c:v>37000</c:v>
                </c:pt>
                <c:pt idx="231">
                  <c:v>37000</c:v>
                </c:pt>
                <c:pt idx="232">
                  <c:v>37000</c:v>
                </c:pt>
                <c:pt idx="233">
                  <c:v>37000</c:v>
                </c:pt>
                <c:pt idx="234">
                  <c:v>92757</c:v>
                </c:pt>
                <c:pt idx="235">
                  <c:v>37000</c:v>
                </c:pt>
                <c:pt idx="236">
                  <c:v>37000</c:v>
                </c:pt>
                <c:pt idx="237">
                  <c:v>37000</c:v>
                </c:pt>
                <c:pt idx="238">
                  <c:v>37000</c:v>
                </c:pt>
                <c:pt idx="239">
                  <c:v>92757</c:v>
                </c:pt>
                <c:pt idx="240">
                  <c:v>37000</c:v>
                </c:pt>
                <c:pt idx="241">
                  <c:v>38200</c:v>
                </c:pt>
                <c:pt idx="242">
                  <c:v>37000</c:v>
                </c:pt>
                <c:pt idx="243">
                  <c:v>37000</c:v>
                </c:pt>
                <c:pt idx="244">
                  <c:v>37000</c:v>
                </c:pt>
                <c:pt idx="245">
                  <c:v>37000</c:v>
                </c:pt>
                <c:pt idx="246">
                  <c:v>92757</c:v>
                </c:pt>
                <c:pt idx="247">
                  <c:v>37000</c:v>
                </c:pt>
                <c:pt idx="248">
                  <c:v>37000</c:v>
                </c:pt>
                <c:pt idx="249">
                  <c:v>37000</c:v>
                </c:pt>
                <c:pt idx="250">
                  <c:v>37000</c:v>
                </c:pt>
                <c:pt idx="251">
                  <c:v>92757</c:v>
                </c:pt>
                <c:pt idx="252">
                  <c:v>37000</c:v>
                </c:pt>
                <c:pt idx="253">
                  <c:v>38200</c:v>
                </c:pt>
                <c:pt idx="254">
                  <c:v>37000</c:v>
                </c:pt>
                <c:pt idx="255">
                  <c:v>37000</c:v>
                </c:pt>
                <c:pt idx="256">
                  <c:v>37000</c:v>
                </c:pt>
                <c:pt idx="257">
                  <c:v>37000</c:v>
                </c:pt>
                <c:pt idx="258">
                  <c:v>92757</c:v>
                </c:pt>
                <c:pt idx="259">
                  <c:v>37000</c:v>
                </c:pt>
                <c:pt idx="260">
                  <c:v>37000</c:v>
                </c:pt>
                <c:pt idx="261">
                  <c:v>37000</c:v>
                </c:pt>
                <c:pt idx="262">
                  <c:v>37000</c:v>
                </c:pt>
                <c:pt idx="263">
                  <c:v>92757</c:v>
                </c:pt>
                <c:pt idx="264">
                  <c:v>37000</c:v>
                </c:pt>
                <c:pt idx="265">
                  <c:v>38200</c:v>
                </c:pt>
                <c:pt idx="266">
                  <c:v>37000</c:v>
                </c:pt>
                <c:pt idx="267">
                  <c:v>37000</c:v>
                </c:pt>
                <c:pt idx="268">
                  <c:v>37000</c:v>
                </c:pt>
                <c:pt idx="269">
                  <c:v>37000</c:v>
                </c:pt>
                <c:pt idx="270">
                  <c:v>92757</c:v>
                </c:pt>
                <c:pt idx="271">
                  <c:v>37000</c:v>
                </c:pt>
                <c:pt idx="272">
                  <c:v>37000</c:v>
                </c:pt>
                <c:pt idx="273">
                  <c:v>37000</c:v>
                </c:pt>
                <c:pt idx="274">
                  <c:v>37000</c:v>
                </c:pt>
                <c:pt idx="275">
                  <c:v>92757</c:v>
                </c:pt>
                <c:pt idx="276">
                  <c:v>37000</c:v>
                </c:pt>
                <c:pt idx="277">
                  <c:v>38200</c:v>
                </c:pt>
                <c:pt idx="278">
                  <c:v>37000</c:v>
                </c:pt>
                <c:pt idx="279">
                  <c:v>37000</c:v>
                </c:pt>
                <c:pt idx="280">
                  <c:v>37000</c:v>
                </c:pt>
                <c:pt idx="281">
                  <c:v>37000</c:v>
                </c:pt>
                <c:pt idx="282">
                  <c:v>92757</c:v>
                </c:pt>
                <c:pt idx="283">
                  <c:v>37000</c:v>
                </c:pt>
                <c:pt idx="284">
                  <c:v>37000</c:v>
                </c:pt>
                <c:pt idx="285">
                  <c:v>37000</c:v>
                </c:pt>
                <c:pt idx="286">
                  <c:v>37000</c:v>
                </c:pt>
                <c:pt idx="287">
                  <c:v>92757</c:v>
                </c:pt>
                <c:pt idx="288">
                  <c:v>37000</c:v>
                </c:pt>
                <c:pt idx="289">
                  <c:v>38200</c:v>
                </c:pt>
                <c:pt idx="290">
                  <c:v>37000</c:v>
                </c:pt>
                <c:pt idx="291">
                  <c:v>37000</c:v>
                </c:pt>
                <c:pt idx="292">
                  <c:v>37000</c:v>
                </c:pt>
                <c:pt idx="293">
                  <c:v>37000</c:v>
                </c:pt>
                <c:pt idx="294">
                  <c:v>92757</c:v>
                </c:pt>
                <c:pt idx="295">
                  <c:v>37000</c:v>
                </c:pt>
                <c:pt idx="296">
                  <c:v>37000</c:v>
                </c:pt>
                <c:pt idx="297">
                  <c:v>37000</c:v>
                </c:pt>
                <c:pt idx="298">
                  <c:v>37000</c:v>
                </c:pt>
                <c:pt idx="299">
                  <c:v>92757</c:v>
                </c:pt>
                <c:pt idx="300">
                  <c:v>37000</c:v>
                </c:pt>
                <c:pt idx="301">
                  <c:v>38200</c:v>
                </c:pt>
                <c:pt idx="302">
                  <c:v>37000</c:v>
                </c:pt>
                <c:pt idx="303">
                  <c:v>37000</c:v>
                </c:pt>
                <c:pt idx="304">
                  <c:v>37000</c:v>
                </c:pt>
                <c:pt idx="305">
                  <c:v>37000</c:v>
                </c:pt>
                <c:pt idx="306">
                  <c:v>92757</c:v>
                </c:pt>
                <c:pt idx="307">
                  <c:v>37000</c:v>
                </c:pt>
                <c:pt idx="308">
                  <c:v>37000</c:v>
                </c:pt>
                <c:pt idx="309">
                  <c:v>37000</c:v>
                </c:pt>
                <c:pt idx="310">
                  <c:v>37000</c:v>
                </c:pt>
                <c:pt idx="311">
                  <c:v>92757</c:v>
                </c:pt>
                <c:pt idx="312">
                  <c:v>37000</c:v>
                </c:pt>
                <c:pt idx="313">
                  <c:v>38200</c:v>
                </c:pt>
                <c:pt idx="314">
                  <c:v>37000</c:v>
                </c:pt>
                <c:pt idx="315">
                  <c:v>37000</c:v>
                </c:pt>
                <c:pt idx="316">
                  <c:v>37000</c:v>
                </c:pt>
                <c:pt idx="317">
                  <c:v>37000</c:v>
                </c:pt>
                <c:pt idx="318">
                  <c:v>92757</c:v>
                </c:pt>
                <c:pt idx="319">
                  <c:v>37000</c:v>
                </c:pt>
                <c:pt idx="320">
                  <c:v>37000</c:v>
                </c:pt>
                <c:pt idx="321">
                  <c:v>37000</c:v>
                </c:pt>
                <c:pt idx="322">
                  <c:v>37000</c:v>
                </c:pt>
                <c:pt idx="323">
                  <c:v>92757</c:v>
                </c:pt>
                <c:pt idx="324">
                  <c:v>37000</c:v>
                </c:pt>
                <c:pt idx="325">
                  <c:v>38200</c:v>
                </c:pt>
                <c:pt idx="326">
                  <c:v>37000</c:v>
                </c:pt>
                <c:pt idx="327">
                  <c:v>37000</c:v>
                </c:pt>
                <c:pt idx="328">
                  <c:v>37000</c:v>
                </c:pt>
                <c:pt idx="329">
                  <c:v>37000</c:v>
                </c:pt>
                <c:pt idx="330">
                  <c:v>92757</c:v>
                </c:pt>
                <c:pt idx="331">
                  <c:v>37000</c:v>
                </c:pt>
                <c:pt idx="332">
                  <c:v>37000</c:v>
                </c:pt>
                <c:pt idx="333">
                  <c:v>37000</c:v>
                </c:pt>
                <c:pt idx="334">
                  <c:v>37000</c:v>
                </c:pt>
                <c:pt idx="335">
                  <c:v>92757</c:v>
                </c:pt>
                <c:pt idx="336">
                  <c:v>37000</c:v>
                </c:pt>
                <c:pt idx="337">
                  <c:v>38200</c:v>
                </c:pt>
                <c:pt idx="338">
                  <c:v>37000</c:v>
                </c:pt>
                <c:pt idx="339">
                  <c:v>37000</c:v>
                </c:pt>
                <c:pt idx="340">
                  <c:v>37000</c:v>
                </c:pt>
                <c:pt idx="341">
                  <c:v>37000</c:v>
                </c:pt>
                <c:pt idx="342">
                  <c:v>92757</c:v>
                </c:pt>
                <c:pt idx="343">
                  <c:v>37000</c:v>
                </c:pt>
                <c:pt idx="344">
                  <c:v>37000</c:v>
                </c:pt>
                <c:pt idx="345">
                  <c:v>37000</c:v>
                </c:pt>
                <c:pt idx="346">
                  <c:v>37000</c:v>
                </c:pt>
                <c:pt idx="347">
                  <c:v>92757</c:v>
                </c:pt>
                <c:pt idx="348">
                  <c:v>37000</c:v>
                </c:pt>
                <c:pt idx="349">
                  <c:v>38200</c:v>
                </c:pt>
                <c:pt idx="350">
                  <c:v>37000</c:v>
                </c:pt>
                <c:pt idx="351">
                  <c:v>37000</c:v>
                </c:pt>
                <c:pt idx="352">
                  <c:v>37000</c:v>
                </c:pt>
                <c:pt idx="353">
                  <c:v>37000</c:v>
                </c:pt>
                <c:pt idx="354">
                  <c:v>92757</c:v>
                </c:pt>
                <c:pt idx="355">
                  <c:v>37000</c:v>
                </c:pt>
                <c:pt idx="356">
                  <c:v>37000</c:v>
                </c:pt>
                <c:pt idx="357">
                  <c:v>37000</c:v>
                </c:pt>
                <c:pt idx="358">
                  <c:v>37000</c:v>
                </c:pt>
                <c:pt idx="359">
                  <c:v>92757</c:v>
                </c:pt>
                <c:pt idx="360">
                  <c:v>37000</c:v>
                </c:pt>
                <c:pt idx="361">
                  <c:v>38200</c:v>
                </c:pt>
                <c:pt idx="362">
                  <c:v>37000</c:v>
                </c:pt>
                <c:pt idx="363">
                  <c:v>37000</c:v>
                </c:pt>
                <c:pt idx="364">
                  <c:v>37000</c:v>
                </c:pt>
                <c:pt idx="365">
                  <c:v>37000</c:v>
                </c:pt>
                <c:pt idx="366">
                  <c:v>92757</c:v>
                </c:pt>
                <c:pt idx="367">
                  <c:v>37000</c:v>
                </c:pt>
                <c:pt idx="368">
                  <c:v>37000</c:v>
                </c:pt>
                <c:pt idx="369">
                  <c:v>37000</c:v>
                </c:pt>
                <c:pt idx="370">
                  <c:v>37000</c:v>
                </c:pt>
                <c:pt idx="371">
                  <c:v>92757</c:v>
                </c:pt>
                <c:pt idx="372">
                  <c:v>37000</c:v>
                </c:pt>
                <c:pt idx="373">
                  <c:v>38200</c:v>
                </c:pt>
                <c:pt idx="374">
                  <c:v>37000</c:v>
                </c:pt>
                <c:pt idx="375">
                  <c:v>37000</c:v>
                </c:pt>
                <c:pt idx="376">
                  <c:v>37000</c:v>
                </c:pt>
                <c:pt idx="377">
                  <c:v>37000</c:v>
                </c:pt>
                <c:pt idx="378">
                  <c:v>92757</c:v>
                </c:pt>
                <c:pt idx="379">
                  <c:v>37000</c:v>
                </c:pt>
                <c:pt idx="380">
                  <c:v>37000</c:v>
                </c:pt>
                <c:pt idx="381">
                  <c:v>37000</c:v>
                </c:pt>
                <c:pt idx="382">
                  <c:v>37000</c:v>
                </c:pt>
                <c:pt idx="383">
                  <c:v>92757</c:v>
                </c:pt>
                <c:pt idx="384">
                  <c:v>37000</c:v>
                </c:pt>
                <c:pt idx="385">
                  <c:v>38200</c:v>
                </c:pt>
                <c:pt idx="386">
                  <c:v>37000</c:v>
                </c:pt>
                <c:pt idx="387">
                  <c:v>37000</c:v>
                </c:pt>
                <c:pt idx="388">
                  <c:v>37000</c:v>
                </c:pt>
                <c:pt idx="389">
                  <c:v>37000</c:v>
                </c:pt>
                <c:pt idx="390">
                  <c:v>92757</c:v>
                </c:pt>
                <c:pt idx="391">
                  <c:v>37000</c:v>
                </c:pt>
                <c:pt idx="392">
                  <c:v>37000</c:v>
                </c:pt>
                <c:pt idx="393">
                  <c:v>37000</c:v>
                </c:pt>
                <c:pt idx="394">
                  <c:v>37000</c:v>
                </c:pt>
                <c:pt idx="395">
                  <c:v>92757</c:v>
                </c:pt>
                <c:pt idx="396">
                  <c:v>37000</c:v>
                </c:pt>
                <c:pt idx="397">
                  <c:v>38200</c:v>
                </c:pt>
                <c:pt idx="398">
                  <c:v>37000</c:v>
                </c:pt>
                <c:pt idx="399">
                  <c:v>37000</c:v>
                </c:pt>
                <c:pt idx="400">
                  <c:v>37000</c:v>
                </c:pt>
                <c:pt idx="401">
                  <c:v>37000</c:v>
                </c:pt>
                <c:pt idx="402">
                  <c:v>92757</c:v>
                </c:pt>
                <c:pt idx="403">
                  <c:v>37000</c:v>
                </c:pt>
                <c:pt idx="404">
                  <c:v>37000</c:v>
                </c:pt>
                <c:pt idx="405">
                  <c:v>37000</c:v>
                </c:pt>
                <c:pt idx="406">
                  <c:v>37000</c:v>
                </c:pt>
                <c:pt idx="407">
                  <c:v>92757</c:v>
                </c:pt>
                <c:pt idx="408">
                  <c:v>37000</c:v>
                </c:pt>
                <c:pt idx="409">
                  <c:v>38200</c:v>
                </c:pt>
                <c:pt idx="410">
                  <c:v>37000</c:v>
                </c:pt>
                <c:pt idx="411">
                  <c:v>37000</c:v>
                </c:pt>
                <c:pt idx="412">
                  <c:v>37000</c:v>
                </c:pt>
                <c:pt idx="413">
                  <c:v>37000</c:v>
                </c:pt>
                <c:pt idx="414">
                  <c:v>92757</c:v>
                </c:pt>
                <c:pt idx="415">
                  <c:v>37000</c:v>
                </c:pt>
                <c:pt idx="416">
                  <c:v>37000</c:v>
                </c:pt>
                <c:pt idx="417">
                  <c:v>37000</c:v>
                </c:pt>
                <c:pt idx="418">
                  <c:v>37000</c:v>
                </c:pt>
                <c:pt idx="419">
                  <c:v>92757</c:v>
                </c:pt>
                <c:pt idx="420">
                  <c:v>37000</c:v>
                </c:pt>
                <c:pt idx="421">
                  <c:v>38200</c:v>
                </c:pt>
                <c:pt idx="422">
                  <c:v>37000</c:v>
                </c:pt>
                <c:pt idx="423">
                  <c:v>37000</c:v>
                </c:pt>
                <c:pt idx="424">
                  <c:v>37000</c:v>
                </c:pt>
                <c:pt idx="425">
                  <c:v>37000</c:v>
                </c:pt>
                <c:pt idx="426">
                  <c:v>92757</c:v>
                </c:pt>
                <c:pt idx="427">
                  <c:v>37000</c:v>
                </c:pt>
                <c:pt idx="428">
                  <c:v>37000</c:v>
                </c:pt>
                <c:pt idx="429">
                  <c:v>37000</c:v>
                </c:pt>
                <c:pt idx="430">
                  <c:v>37000</c:v>
                </c:pt>
                <c:pt idx="431">
                  <c:v>92757</c:v>
                </c:pt>
                <c:pt idx="432">
                  <c:v>37000</c:v>
                </c:pt>
                <c:pt idx="433">
                  <c:v>38200</c:v>
                </c:pt>
                <c:pt idx="434">
                  <c:v>37000</c:v>
                </c:pt>
                <c:pt idx="435">
                  <c:v>37000</c:v>
                </c:pt>
                <c:pt idx="436">
                  <c:v>37000</c:v>
                </c:pt>
                <c:pt idx="437">
                  <c:v>37000</c:v>
                </c:pt>
                <c:pt idx="438">
                  <c:v>92757</c:v>
                </c:pt>
                <c:pt idx="439">
                  <c:v>37000</c:v>
                </c:pt>
                <c:pt idx="440">
                  <c:v>37000</c:v>
                </c:pt>
                <c:pt idx="441">
                  <c:v>37000</c:v>
                </c:pt>
                <c:pt idx="442">
                  <c:v>37000</c:v>
                </c:pt>
                <c:pt idx="443">
                  <c:v>92757</c:v>
                </c:pt>
                <c:pt idx="444">
                  <c:v>37000</c:v>
                </c:pt>
                <c:pt idx="445">
                  <c:v>38200</c:v>
                </c:pt>
                <c:pt idx="446">
                  <c:v>37000</c:v>
                </c:pt>
                <c:pt idx="447">
                  <c:v>37000</c:v>
                </c:pt>
                <c:pt idx="448">
                  <c:v>37000</c:v>
                </c:pt>
                <c:pt idx="449">
                  <c:v>37000</c:v>
                </c:pt>
                <c:pt idx="450">
                  <c:v>92757</c:v>
                </c:pt>
                <c:pt idx="451">
                  <c:v>37000</c:v>
                </c:pt>
                <c:pt idx="452">
                  <c:v>37000</c:v>
                </c:pt>
                <c:pt idx="453">
                  <c:v>37000</c:v>
                </c:pt>
                <c:pt idx="454">
                  <c:v>37000</c:v>
                </c:pt>
                <c:pt idx="455">
                  <c:v>92757</c:v>
                </c:pt>
                <c:pt idx="456">
                  <c:v>37000</c:v>
                </c:pt>
                <c:pt idx="457">
                  <c:v>38200</c:v>
                </c:pt>
                <c:pt idx="458">
                  <c:v>37000</c:v>
                </c:pt>
                <c:pt idx="459">
                  <c:v>37000</c:v>
                </c:pt>
                <c:pt idx="460">
                  <c:v>37000</c:v>
                </c:pt>
                <c:pt idx="461">
                  <c:v>37000</c:v>
                </c:pt>
                <c:pt idx="462">
                  <c:v>92757</c:v>
                </c:pt>
                <c:pt idx="463">
                  <c:v>37000</c:v>
                </c:pt>
                <c:pt idx="464">
                  <c:v>37000</c:v>
                </c:pt>
                <c:pt idx="465">
                  <c:v>37000</c:v>
                </c:pt>
                <c:pt idx="466">
                  <c:v>37000</c:v>
                </c:pt>
                <c:pt idx="467">
                  <c:v>92757</c:v>
                </c:pt>
                <c:pt idx="468">
                  <c:v>37000</c:v>
                </c:pt>
                <c:pt idx="469">
                  <c:v>38200</c:v>
                </c:pt>
                <c:pt idx="470">
                  <c:v>37000</c:v>
                </c:pt>
                <c:pt idx="471">
                  <c:v>37000</c:v>
                </c:pt>
                <c:pt idx="472">
                  <c:v>37000</c:v>
                </c:pt>
                <c:pt idx="473">
                  <c:v>37000</c:v>
                </c:pt>
                <c:pt idx="474">
                  <c:v>92757</c:v>
                </c:pt>
                <c:pt idx="475">
                  <c:v>37000</c:v>
                </c:pt>
                <c:pt idx="476">
                  <c:v>37000</c:v>
                </c:pt>
                <c:pt idx="477">
                  <c:v>37000</c:v>
                </c:pt>
                <c:pt idx="478">
                  <c:v>37000</c:v>
                </c:pt>
                <c:pt idx="479">
                  <c:v>92757</c:v>
                </c:pt>
                <c:pt idx="480">
                  <c:v>37000</c:v>
                </c:pt>
                <c:pt idx="481">
                  <c:v>38200</c:v>
                </c:pt>
                <c:pt idx="482">
                  <c:v>37000</c:v>
                </c:pt>
                <c:pt idx="483">
                  <c:v>37000</c:v>
                </c:pt>
                <c:pt idx="484">
                  <c:v>37000</c:v>
                </c:pt>
                <c:pt idx="485">
                  <c:v>37000</c:v>
                </c:pt>
                <c:pt idx="486">
                  <c:v>92757</c:v>
                </c:pt>
                <c:pt idx="487">
                  <c:v>37000</c:v>
                </c:pt>
                <c:pt idx="488">
                  <c:v>37000</c:v>
                </c:pt>
                <c:pt idx="489">
                  <c:v>37000</c:v>
                </c:pt>
                <c:pt idx="490">
                  <c:v>37000</c:v>
                </c:pt>
                <c:pt idx="491">
                  <c:v>92757</c:v>
                </c:pt>
                <c:pt idx="492">
                  <c:v>37000</c:v>
                </c:pt>
                <c:pt idx="493">
                  <c:v>38200</c:v>
                </c:pt>
                <c:pt idx="494">
                  <c:v>37000</c:v>
                </c:pt>
                <c:pt idx="495">
                  <c:v>37000</c:v>
                </c:pt>
                <c:pt idx="496">
                  <c:v>37000</c:v>
                </c:pt>
                <c:pt idx="497">
                  <c:v>37000</c:v>
                </c:pt>
                <c:pt idx="498">
                  <c:v>92757</c:v>
                </c:pt>
                <c:pt idx="499">
                  <c:v>37000</c:v>
                </c:pt>
                <c:pt idx="500">
                  <c:v>37000</c:v>
                </c:pt>
                <c:pt idx="501">
                  <c:v>37000</c:v>
                </c:pt>
                <c:pt idx="502">
                  <c:v>37000</c:v>
                </c:pt>
                <c:pt idx="503">
                  <c:v>92757</c:v>
                </c:pt>
                <c:pt idx="504">
                  <c:v>37000</c:v>
                </c:pt>
                <c:pt idx="505">
                  <c:v>38200</c:v>
                </c:pt>
                <c:pt idx="506">
                  <c:v>37000</c:v>
                </c:pt>
                <c:pt idx="507">
                  <c:v>37000</c:v>
                </c:pt>
                <c:pt idx="508">
                  <c:v>37000</c:v>
                </c:pt>
                <c:pt idx="509">
                  <c:v>37000</c:v>
                </c:pt>
                <c:pt idx="510">
                  <c:v>92757</c:v>
                </c:pt>
                <c:pt idx="511">
                  <c:v>37000</c:v>
                </c:pt>
                <c:pt idx="512">
                  <c:v>37000</c:v>
                </c:pt>
                <c:pt idx="513">
                  <c:v>37000</c:v>
                </c:pt>
                <c:pt idx="514">
                  <c:v>37000</c:v>
                </c:pt>
                <c:pt idx="515">
                  <c:v>92757</c:v>
                </c:pt>
                <c:pt idx="516">
                  <c:v>37000</c:v>
                </c:pt>
                <c:pt idx="517">
                  <c:v>38200</c:v>
                </c:pt>
                <c:pt idx="518">
                  <c:v>37000</c:v>
                </c:pt>
                <c:pt idx="519">
                  <c:v>37000</c:v>
                </c:pt>
                <c:pt idx="520">
                  <c:v>37000</c:v>
                </c:pt>
                <c:pt idx="521">
                  <c:v>37000</c:v>
                </c:pt>
                <c:pt idx="522">
                  <c:v>92757</c:v>
                </c:pt>
                <c:pt idx="523">
                  <c:v>37000</c:v>
                </c:pt>
                <c:pt idx="524">
                  <c:v>37000</c:v>
                </c:pt>
                <c:pt idx="525">
                  <c:v>37000</c:v>
                </c:pt>
                <c:pt idx="526">
                  <c:v>37000</c:v>
                </c:pt>
                <c:pt idx="527">
                  <c:v>92757</c:v>
                </c:pt>
                <c:pt idx="528">
                  <c:v>37000</c:v>
                </c:pt>
                <c:pt idx="529">
                  <c:v>38200</c:v>
                </c:pt>
                <c:pt idx="530">
                  <c:v>37000</c:v>
                </c:pt>
                <c:pt idx="531">
                  <c:v>37000</c:v>
                </c:pt>
                <c:pt idx="532">
                  <c:v>37000</c:v>
                </c:pt>
                <c:pt idx="533">
                  <c:v>37000</c:v>
                </c:pt>
                <c:pt idx="534">
                  <c:v>92757</c:v>
                </c:pt>
                <c:pt idx="535">
                  <c:v>37000</c:v>
                </c:pt>
                <c:pt idx="536">
                  <c:v>37000</c:v>
                </c:pt>
                <c:pt idx="537">
                  <c:v>37000</c:v>
                </c:pt>
                <c:pt idx="538">
                  <c:v>37000</c:v>
                </c:pt>
                <c:pt idx="539">
                  <c:v>92757</c:v>
                </c:pt>
                <c:pt idx="540">
                  <c:v>37000</c:v>
                </c:pt>
                <c:pt idx="541">
                  <c:v>38200</c:v>
                </c:pt>
                <c:pt idx="542">
                  <c:v>37000</c:v>
                </c:pt>
                <c:pt idx="543">
                  <c:v>37000</c:v>
                </c:pt>
                <c:pt idx="544">
                  <c:v>37000</c:v>
                </c:pt>
                <c:pt idx="545">
                  <c:v>37000</c:v>
                </c:pt>
                <c:pt idx="546">
                  <c:v>92757</c:v>
                </c:pt>
                <c:pt idx="547">
                  <c:v>37000</c:v>
                </c:pt>
                <c:pt idx="548">
                  <c:v>37000</c:v>
                </c:pt>
                <c:pt idx="549">
                  <c:v>37000</c:v>
                </c:pt>
                <c:pt idx="550">
                  <c:v>37000</c:v>
                </c:pt>
                <c:pt idx="551">
                  <c:v>92757</c:v>
                </c:pt>
                <c:pt idx="552">
                  <c:v>37000</c:v>
                </c:pt>
                <c:pt idx="553">
                  <c:v>38200</c:v>
                </c:pt>
                <c:pt idx="554">
                  <c:v>37000</c:v>
                </c:pt>
                <c:pt idx="555">
                  <c:v>37000</c:v>
                </c:pt>
                <c:pt idx="556">
                  <c:v>37000</c:v>
                </c:pt>
                <c:pt idx="557">
                  <c:v>37000</c:v>
                </c:pt>
                <c:pt idx="558">
                  <c:v>92757</c:v>
                </c:pt>
                <c:pt idx="559">
                  <c:v>37000</c:v>
                </c:pt>
                <c:pt idx="560">
                  <c:v>37000</c:v>
                </c:pt>
                <c:pt idx="561">
                  <c:v>37000</c:v>
                </c:pt>
                <c:pt idx="562">
                  <c:v>37000</c:v>
                </c:pt>
                <c:pt idx="563">
                  <c:v>92757</c:v>
                </c:pt>
                <c:pt idx="564">
                  <c:v>37000</c:v>
                </c:pt>
                <c:pt idx="565">
                  <c:v>38200</c:v>
                </c:pt>
                <c:pt idx="566">
                  <c:v>37000</c:v>
                </c:pt>
                <c:pt idx="567">
                  <c:v>37000</c:v>
                </c:pt>
                <c:pt idx="568">
                  <c:v>37000</c:v>
                </c:pt>
                <c:pt idx="569">
                  <c:v>37000</c:v>
                </c:pt>
                <c:pt idx="570">
                  <c:v>92757</c:v>
                </c:pt>
                <c:pt idx="571">
                  <c:v>37000</c:v>
                </c:pt>
                <c:pt idx="572">
                  <c:v>37000</c:v>
                </c:pt>
                <c:pt idx="573">
                  <c:v>37000</c:v>
                </c:pt>
                <c:pt idx="574">
                  <c:v>37000</c:v>
                </c:pt>
                <c:pt idx="575">
                  <c:v>92757</c:v>
                </c:pt>
                <c:pt idx="576">
                  <c:v>37000</c:v>
                </c:pt>
                <c:pt idx="577">
                  <c:v>38200</c:v>
                </c:pt>
                <c:pt idx="578">
                  <c:v>37000</c:v>
                </c:pt>
                <c:pt idx="579">
                  <c:v>37000</c:v>
                </c:pt>
                <c:pt idx="580">
                  <c:v>37000</c:v>
                </c:pt>
                <c:pt idx="581">
                  <c:v>37000</c:v>
                </c:pt>
                <c:pt idx="582">
                  <c:v>92757</c:v>
                </c:pt>
                <c:pt idx="583">
                  <c:v>37000</c:v>
                </c:pt>
                <c:pt idx="584">
                  <c:v>37000</c:v>
                </c:pt>
                <c:pt idx="585">
                  <c:v>37000</c:v>
                </c:pt>
                <c:pt idx="586">
                  <c:v>37000</c:v>
                </c:pt>
                <c:pt idx="587">
                  <c:v>92757</c:v>
                </c:pt>
                <c:pt idx="588">
                  <c:v>37000</c:v>
                </c:pt>
                <c:pt idx="589">
                  <c:v>38200</c:v>
                </c:pt>
                <c:pt idx="590">
                  <c:v>37000</c:v>
                </c:pt>
                <c:pt idx="591">
                  <c:v>37000</c:v>
                </c:pt>
                <c:pt idx="592">
                  <c:v>37000</c:v>
                </c:pt>
                <c:pt idx="593">
                  <c:v>37000</c:v>
                </c:pt>
                <c:pt idx="594">
                  <c:v>92757</c:v>
                </c:pt>
                <c:pt idx="595">
                  <c:v>37000</c:v>
                </c:pt>
                <c:pt idx="596">
                  <c:v>37000</c:v>
                </c:pt>
                <c:pt idx="597">
                  <c:v>37000</c:v>
                </c:pt>
                <c:pt idx="598">
                  <c:v>37000</c:v>
                </c:pt>
                <c:pt idx="599">
                  <c:v>92757</c:v>
                </c:pt>
                <c:pt idx="600">
                  <c:v>37000</c:v>
                </c:pt>
                <c:pt idx="601">
                  <c:v>38200</c:v>
                </c:pt>
                <c:pt idx="602">
                  <c:v>37000</c:v>
                </c:pt>
                <c:pt idx="603">
                  <c:v>37000</c:v>
                </c:pt>
                <c:pt idx="604">
                  <c:v>37000</c:v>
                </c:pt>
                <c:pt idx="605">
                  <c:v>37000</c:v>
                </c:pt>
                <c:pt idx="606">
                  <c:v>92757</c:v>
                </c:pt>
                <c:pt idx="607">
                  <c:v>37000</c:v>
                </c:pt>
                <c:pt idx="608">
                  <c:v>37000</c:v>
                </c:pt>
                <c:pt idx="609">
                  <c:v>37000</c:v>
                </c:pt>
                <c:pt idx="610">
                  <c:v>37000</c:v>
                </c:pt>
                <c:pt idx="611">
                  <c:v>92757</c:v>
                </c:pt>
                <c:pt idx="612">
                  <c:v>37000</c:v>
                </c:pt>
                <c:pt idx="613">
                  <c:v>38200</c:v>
                </c:pt>
                <c:pt idx="614">
                  <c:v>37000</c:v>
                </c:pt>
                <c:pt idx="615">
                  <c:v>37000</c:v>
                </c:pt>
                <c:pt idx="616">
                  <c:v>37000</c:v>
                </c:pt>
                <c:pt idx="617">
                  <c:v>37000</c:v>
                </c:pt>
                <c:pt idx="618">
                  <c:v>92757</c:v>
                </c:pt>
                <c:pt idx="619">
                  <c:v>37000</c:v>
                </c:pt>
                <c:pt idx="620">
                  <c:v>37000</c:v>
                </c:pt>
                <c:pt idx="621">
                  <c:v>37000</c:v>
                </c:pt>
                <c:pt idx="622">
                  <c:v>37000</c:v>
                </c:pt>
                <c:pt idx="623">
                  <c:v>92757</c:v>
                </c:pt>
                <c:pt idx="624">
                  <c:v>37000</c:v>
                </c:pt>
                <c:pt idx="625">
                  <c:v>38200</c:v>
                </c:pt>
                <c:pt idx="626">
                  <c:v>37000</c:v>
                </c:pt>
                <c:pt idx="627">
                  <c:v>37000</c:v>
                </c:pt>
                <c:pt idx="628">
                  <c:v>37000</c:v>
                </c:pt>
                <c:pt idx="629">
                  <c:v>37000</c:v>
                </c:pt>
                <c:pt idx="630">
                  <c:v>92757</c:v>
                </c:pt>
                <c:pt idx="631">
                  <c:v>37000</c:v>
                </c:pt>
                <c:pt idx="632">
                  <c:v>37000</c:v>
                </c:pt>
                <c:pt idx="633">
                  <c:v>37000</c:v>
                </c:pt>
                <c:pt idx="634">
                  <c:v>37000</c:v>
                </c:pt>
                <c:pt idx="635">
                  <c:v>92757</c:v>
                </c:pt>
                <c:pt idx="636">
                  <c:v>37000</c:v>
                </c:pt>
                <c:pt idx="637">
                  <c:v>38200</c:v>
                </c:pt>
                <c:pt idx="638">
                  <c:v>37000</c:v>
                </c:pt>
                <c:pt idx="639">
                  <c:v>37000</c:v>
                </c:pt>
                <c:pt idx="640">
                  <c:v>37000</c:v>
                </c:pt>
                <c:pt idx="641">
                  <c:v>37000</c:v>
                </c:pt>
                <c:pt idx="642">
                  <c:v>92757</c:v>
                </c:pt>
                <c:pt idx="643">
                  <c:v>37000</c:v>
                </c:pt>
                <c:pt idx="644">
                  <c:v>37000</c:v>
                </c:pt>
                <c:pt idx="645">
                  <c:v>37000</c:v>
                </c:pt>
                <c:pt idx="646">
                  <c:v>37000</c:v>
                </c:pt>
                <c:pt idx="647">
                  <c:v>92757</c:v>
                </c:pt>
                <c:pt idx="648">
                  <c:v>37000</c:v>
                </c:pt>
                <c:pt idx="649">
                  <c:v>38200</c:v>
                </c:pt>
                <c:pt idx="650">
                  <c:v>37000</c:v>
                </c:pt>
                <c:pt idx="651">
                  <c:v>37000</c:v>
                </c:pt>
                <c:pt idx="652">
                  <c:v>37000</c:v>
                </c:pt>
                <c:pt idx="653">
                  <c:v>37000</c:v>
                </c:pt>
                <c:pt idx="654">
                  <c:v>92757</c:v>
                </c:pt>
                <c:pt idx="655">
                  <c:v>37000</c:v>
                </c:pt>
                <c:pt idx="656">
                  <c:v>37000</c:v>
                </c:pt>
                <c:pt idx="657">
                  <c:v>37000</c:v>
                </c:pt>
                <c:pt idx="658">
                  <c:v>37000</c:v>
                </c:pt>
                <c:pt idx="659">
                  <c:v>92757</c:v>
                </c:pt>
                <c:pt idx="660">
                  <c:v>37000</c:v>
                </c:pt>
                <c:pt idx="661">
                  <c:v>38200</c:v>
                </c:pt>
                <c:pt idx="662">
                  <c:v>37000</c:v>
                </c:pt>
                <c:pt idx="663">
                  <c:v>37000</c:v>
                </c:pt>
                <c:pt idx="664">
                  <c:v>37000</c:v>
                </c:pt>
                <c:pt idx="665">
                  <c:v>37000</c:v>
                </c:pt>
                <c:pt idx="666">
                  <c:v>92757</c:v>
                </c:pt>
                <c:pt idx="667">
                  <c:v>37000</c:v>
                </c:pt>
                <c:pt idx="668">
                  <c:v>37000</c:v>
                </c:pt>
                <c:pt idx="669">
                  <c:v>37000</c:v>
                </c:pt>
                <c:pt idx="670">
                  <c:v>37000</c:v>
                </c:pt>
                <c:pt idx="671">
                  <c:v>92757</c:v>
                </c:pt>
                <c:pt idx="672">
                  <c:v>37000</c:v>
                </c:pt>
                <c:pt idx="673">
                  <c:v>38200</c:v>
                </c:pt>
                <c:pt idx="674">
                  <c:v>37000</c:v>
                </c:pt>
                <c:pt idx="675">
                  <c:v>37000</c:v>
                </c:pt>
                <c:pt idx="676">
                  <c:v>37000</c:v>
                </c:pt>
                <c:pt idx="677">
                  <c:v>37000</c:v>
                </c:pt>
                <c:pt idx="678">
                  <c:v>92757</c:v>
                </c:pt>
                <c:pt idx="679">
                  <c:v>37000</c:v>
                </c:pt>
                <c:pt idx="680">
                  <c:v>37000</c:v>
                </c:pt>
                <c:pt idx="681">
                  <c:v>37000</c:v>
                </c:pt>
                <c:pt idx="682">
                  <c:v>37000</c:v>
                </c:pt>
                <c:pt idx="683">
                  <c:v>92757</c:v>
                </c:pt>
                <c:pt idx="684">
                  <c:v>37000</c:v>
                </c:pt>
                <c:pt idx="685">
                  <c:v>38200</c:v>
                </c:pt>
                <c:pt idx="686">
                  <c:v>37000</c:v>
                </c:pt>
                <c:pt idx="687">
                  <c:v>37000</c:v>
                </c:pt>
                <c:pt idx="688">
                  <c:v>37000</c:v>
                </c:pt>
                <c:pt idx="689">
                  <c:v>37000</c:v>
                </c:pt>
                <c:pt idx="690">
                  <c:v>92757</c:v>
                </c:pt>
                <c:pt idx="691">
                  <c:v>37000</c:v>
                </c:pt>
                <c:pt idx="692">
                  <c:v>37000</c:v>
                </c:pt>
                <c:pt idx="693">
                  <c:v>37000</c:v>
                </c:pt>
                <c:pt idx="694">
                  <c:v>37000</c:v>
                </c:pt>
                <c:pt idx="695">
                  <c:v>92757</c:v>
                </c:pt>
                <c:pt idx="696">
                  <c:v>37000</c:v>
                </c:pt>
                <c:pt idx="697">
                  <c:v>38200</c:v>
                </c:pt>
                <c:pt idx="698">
                  <c:v>37000</c:v>
                </c:pt>
                <c:pt idx="699">
                  <c:v>37000</c:v>
                </c:pt>
                <c:pt idx="700">
                  <c:v>37000</c:v>
                </c:pt>
                <c:pt idx="701">
                  <c:v>37000</c:v>
                </c:pt>
                <c:pt idx="702">
                  <c:v>92757</c:v>
                </c:pt>
                <c:pt idx="703">
                  <c:v>37000</c:v>
                </c:pt>
                <c:pt idx="704">
                  <c:v>37000</c:v>
                </c:pt>
                <c:pt idx="705">
                  <c:v>37000</c:v>
                </c:pt>
                <c:pt idx="706">
                  <c:v>37000</c:v>
                </c:pt>
                <c:pt idx="707">
                  <c:v>92757</c:v>
                </c:pt>
                <c:pt idx="708">
                  <c:v>37000</c:v>
                </c:pt>
                <c:pt idx="709">
                  <c:v>38200</c:v>
                </c:pt>
                <c:pt idx="710">
                  <c:v>37000</c:v>
                </c:pt>
                <c:pt idx="711">
                  <c:v>37000</c:v>
                </c:pt>
                <c:pt idx="712">
                  <c:v>37000</c:v>
                </c:pt>
                <c:pt idx="713">
                  <c:v>37000</c:v>
                </c:pt>
                <c:pt idx="714">
                  <c:v>92757</c:v>
                </c:pt>
                <c:pt idx="715">
                  <c:v>37000</c:v>
                </c:pt>
                <c:pt idx="716">
                  <c:v>37000</c:v>
                </c:pt>
                <c:pt idx="717">
                  <c:v>37000</c:v>
                </c:pt>
                <c:pt idx="718">
                  <c:v>37000</c:v>
                </c:pt>
                <c:pt idx="719">
                  <c:v>92757</c:v>
                </c:pt>
                <c:pt idx="720">
                  <c:v>37000</c:v>
                </c:pt>
                <c:pt idx="721">
                  <c:v>38200</c:v>
                </c:pt>
                <c:pt idx="722">
                  <c:v>37000</c:v>
                </c:pt>
                <c:pt idx="723">
                  <c:v>37000</c:v>
                </c:pt>
                <c:pt idx="724">
                  <c:v>37000</c:v>
                </c:pt>
                <c:pt idx="725">
                  <c:v>37000</c:v>
                </c:pt>
                <c:pt idx="726">
                  <c:v>92757</c:v>
                </c:pt>
                <c:pt idx="727">
                  <c:v>37000</c:v>
                </c:pt>
                <c:pt idx="728">
                  <c:v>37000</c:v>
                </c:pt>
                <c:pt idx="729">
                  <c:v>37000</c:v>
                </c:pt>
                <c:pt idx="730">
                  <c:v>37000</c:v>
                </c:pt>
                <c:pt idx="731">
                  <c:v>92757</c:v>
                </c:pt>
                <c:pt idx="732">
                  <c:v>37000</c:v>
                </c:pt>
                <c:pt idx="733">
                  <c:v>38200</c:v>
                </c:pt>
                <c:pt idx="734">
                  <c:v>37000</c:v>
                </c:pt>
                <c:pt idx="735">
                  <c:v>37000</c:v>
                </c:pt>
                <c:pt idx="736">
                  <c:v>37000</c:v>
                </c:pt>
                <c:pt idx="737">
                  <c:v>37000</c:v>
                </c:pt>
                <c:pt idx="738">
                  <c:v>92757</c:v>
                </c:pt>
                <c:pt idx="739">
                  <c:v>37000</c:v>
                </c:pt>
                <c:pt idx="740">
                  <c:v>37000</c:v>
                </c:pt>
                <c:pt idx="741">
                  <c:v>37000</c:v>
                </c:pt>
                <c:pt idx="742">
                  <c:v>37000</c:v>
                </c:pt>
                <c:pt idx="743">
                  <c:v>92757</c:v>
                </c:pt>
                <c:pt idx="744">
                  <c:v>37000</c:v>
                </c:pt>
                <c:pt idx="745">
                  <c:v>38200</c:v>
                </c:pt>
                <c:pt idx="746">
                  <c:v>37000</c:v>
                </c:pt>
                <c:pt idx="747">
                  <c:v>37000</c:v>
                </c:pt>
                <c:pt idx="748">
                  <c:v>37000</c:v>
                </c:pt>
                <c:pt idx="749">
                  <c:v>37000</c:v>
                </c:pt>
                <c:pt idx="750">
                  <c:v>92757</c:v>
                </c:pt>
                <c:pt idx="751">
                  <c:v>37000</c:v>
                </c:pt>
                <c:pt idx="752">
                  <c:v>37000</c:v>
                </c:pt>
                <c:pt idx="753">
                  <c:v>37000</c:v>
                </c:pt>
                <c:pt idx="754">
                  <c:v>37000</c:v>
                </c:pt>
                <c:pt idx="755">
                  <c:v>92757</c:v>
                </c:pt>
                <c:pt idx="756">
                  <c:v>37000</c:v>
                </c:pt>
                <c:pt idx="757">
                  <c:v>38200</c:v>
                </c:pt>
                <c:pt idx="758">
                  <c:v>37000</c:v>
                </c:pt>
                <c:pt idx="759">
                  <c:v>37000</c:v>
                </c:pt>
                <c:pt idx="760">
                  <c:v>37000</c:v>
                </c:pt>
                <c:pt idx="761">
                  <c:v>37000</c:v>
                </c:pt>
                <c:pt idx="762">
                  <c:v>92757</c:v>
                </c:pt>
                <c:pt idx="763">
                  <c:v>37000</c:v>
                </c:pt>
                <c:pt idx="764">
                  <c:v>37000</c:v>
                </c:pt>
                <c:pt idx="765">
                  <c:v>37000</c:v>
                </c:pt>
                <c:pt idx="766">
                  <c:v>37000</c:v>
                </c:pt>
                <c:pt idx="767">
                  <c:v>92757</c:v>
                </c:pt>
                <c:pt idx="768">
                  <c:v>37000</c:v>
                </c:pt>
                <c:pt idx="769">
                  <c:v>38200</c:v>
                </c:pt>
                <c:pt idx="770">
                  <c:v>37000</c:v>
                </c:pt>
                <c:pt idx="771">
                  <c:v>37000</c:v>
                </c:pt>
                <c:pt idx="772">
                  <c:v>37000</c:v>
                </c:pt>
                <c:pt idx="773">
                  <c:v>37000</c:v>
                </c:pt>
                <c:pt idx="774">
                  <c:v>92757</c:v>
                </c:pt>
                <c:pt idx="775">
                  <c:v>37000</c:v>
                </c:pt>
                <c:pt idx="776">
                  <c:v>37000</c:v>
                </c:pt>
                <c:pt idx="777">
                  <c:v>37000</c:v>
                </c:pt>
                <c:pt idx="778">
                  <c:v>37000</c:v>
                </c:pt>
                <c:pt idx="779">
                  <c:v>92757</c:v>
                </c:pt>
                <c:pt idx="780">
                  <c:v>37000</c:v>
                </c:pt>
                <c:pt idx="781">
                  <c:v>38200</c:v>
                </c:pt>
                <c:pt idx="782">
                  <c:v>37000</c:v>
                </c:pt>
                <c:pt idx="783">
                  <c:v>37000</c:v>
                </c:pt>
                <c:pt idx="784">
                  <c:v>37000</c:v>
                </c:pt>
                <c:pt idx="785">
                  <c:v>37000</c:v>
                </c:pt>
                <c:pt idx="786">
                  <c:v>92757</c:v>
                </c:pt>
                <c:pt idx="787">
                  <c:v>37000</c:v>
                </c:pt>
                <c:pt idx="788">
                  <c:v>37000</c:v>
                </c:pt>
                <c:pt idx="789">
                  <c:v>37000</c:v>
                </c:pt>
                <c:pt idx="790">
                  <c:v>37000</c:v>
                </c:pt>
                <c:pt idx="791">
                  <c:v>92757</c:v>
                </c:pt>
                <c:pt idx="792">
                  <c:v>37000</c:v>
                </c:pt>
                <c:pt idx="793">
                  <c:v>38200</c:v>
                </c:pt>
                <c:pt idx="794">
                  <c:v>37000</c:v>
                </c:pt>
                <c:pt idx="795">
                  <c:v>37000</c:v>
                </c:pt>
                <c:pt idx="796">
                  <c:v>37000</c:v>
                </c:pt>
                <c:pt idx="797">
                  <c:v>37000</c:v>
                </c:pt>
                <c:pt idx="798">
                  <c:v>92757</c:v>
                </c:pt>
                <c:pt idx="799">
                  <c:v>37000</c:v>
                </c:pt>
                <c:pt idx="800">
                  <c:v>37000</c:v>
                </c:pt>
                <c:pt idx="801">
                  <c:v>37000</c:v>
                </c:pt>
                <c:pt idx="802">
                  <c:v>37000</c:v>
                </c:pt>
                <c:pt idx="803">
                  <c:v>92757</c:v>
                </c:pt>
                <c:pt idx="804">
                  <c:v>37000</c:v>
                </c:pt>
                <c:pt idx="805">
                  <c:v>38200</c:v>
                </c:pt>
                <c:pt idx="806">
                  <c:v>37000</c:v>
                </c:pt>
                <c:pt idx="807">
                  <c:v>37000</c:v>
                </c:pt>
                <c:pt idx="808">
                  <c:v>37000</c:v>
                </c:pt>
                <c:pt idx="809">
                  <c:v>37000</c:v>
                </c:pt>
                <c:pt idx="810">
                  <c:v>92757</c:v>
                </c:pt>
                <c:pt idx="811">
                  <c:v>37000</c:v>
                </c:pt>
                <c:pt idx="812">
                  <c:v>37000</c:v>
                </c:pt>
                <c:pt idx="813">
                  <c:v>37000</c:v>
                </c:pt>
                <c:pt idx="814">
                  <c:v>37000</c:v>
                </c:pt>
                <c:pt idx="815">
                  <c:v>92757</c:v>
                </c:pt>
                <c:pt idx="816">
                  <c:v>37000</c:v>
                </c:pt>
                <c:pt idx="817">
                  <c:v>38200</c:v>
                </c:pt>
                <c:pt idx="818">
                  <c:v>37000</c:v>
                </c:pt>
                <c:pt idx="819">
                  <c:v>37000</c:v>
                </c:pt>
                <c:pt idx="820">
                  <c:v>37000</c:v>
                </c:pt>
                <c:pt idx="821">
                  <c:v>37000</c:v>
                </c:pt>
                <c:pt idx="822">
                  <c:v>92757</c:v>
                </c:pt>
                <c:pt idx="823">
                  <c:v>37000</c:v>
                </c:pt>
                <c:pt idx="824">
                  <c:v>37000</c:v>
                </c:pt>
                <c:pt idx="825">
                  <c:v>37000</c:v>
                </c:pt>
                <c:pt idx="826">
                  <c:v>37000</c:v>
                </c:pt>
                <c:pt idx="827">
                  <c:v>92757</c:v>
                </c:pt>
                <c:pt idx="828">
                  <c:v>37000</c:v>
                </c:pt>
                <c:pt idx="829">
                  <c:v>38200</c:v>
                </c:pt>
                <c:pt idx="830">
                  <c:v>37000</c:v>
                </c:pt>
                <c:pt idx="831">
                  <c:v>37000</c:v>
                </c:pt>
                <c:pt idx="832">
                  <c:v>37000</c:v>
                </c:pt>
                <c:pt idx="833">
                  <c:v>37000</c:v>
                </c:pt>
                <c:pt idx="834">
                  <c:v>92757</c:v>
                </c:pt>
                <c:pt idx="835">
                  <c:v>37000</c:v>
                </c:pt>
                <c:pt idx="836">
                  <c:v>37000</c:v>
                </c:pt>
                <c:pt idx="837">
                  <c:v>37000</c:v>
                </c:pt>
                <c:pt idx="838">
                  <c:v>37000</c:v>
                </c:pt>
                <c:pt idx="839">
                  <c:v>92757</c:v>
                </c:pt>
                <c:pt idx="840">
                  <c:v>37000</c:v>
                </c:pt>
                <c:pt idx="841">
                  <c:v>38200</c:v>
                </c:pt>
                <c:pt idx="842">
                  <c:v>37000</c:v>
                </c:pt>
                <c:pt idx="843">
                  <c:v>37000</c:v>
                </c:pt>
                <c:pt idx="844">
                  <c:v>37000</c:v>
                </c:pt>
                <c:pt idx="845">
                  <c:v>37000</c:v>
                </c:pt>
                <c:pt idx="846">
                  <c:v>92757</c:v>
                </c:pt>
                <c:pt idx="847">
                  <c:v>37000</c:v>
                </c:pt>
                <c:pt idx="848">
                  <c:v>37000</c:v>
                </c:pt>
                <c:pt idx="849">
                  <c:v>37000</c:v>
                </c:pt>
                <c:pt idx="850">
                  <c:v>37000</c:v>
                </c:pt>
                <c:pt idx="851">
                  <c:v>92757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E-9A48-BEC9-A713981C4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276624"/>
        <c:axId val="1005278336"/>
      </c:areaChart>
      <c:lineChart>
        <c:grouping val="standard"/>
        <c:varyColors val="0"/>
        <c:ser>
          <c:idx val="1"/>
          <c:order val="1"/>
          <c:tx>
            <c:strRef>
              <c:f>Dados!#REF!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Dados!$A:$A</c:f>
              <c:strCache>
                <c:ptCount val="1201"/>
                <c:pt idx="0">
                  <c:v>Periodo</c:v>
                </c:pt>
                <c:pt idx="1">
                  <c:v>jan/25</c:v>
                </c:pt>
                <c:pt idx="2">
                  <c:v>fev/25</c:v>
                </c:pt>
                <c:pt idx="3">
                  <c:v>mar/25</c:v>
                </c:pt>
                <c:pt idx="4">
                  <c:v>abr/25</c:v>
                </c:pt>
                <c:pt idx="5">
                  <c:v>mai/25</c:v>
                </c:pt>
                <c:pt idx="6">
                  <c:v>jun/25</c:v>
                </c:pt>
                <c:pt idx="7">
                  <c:v>jul/25</c:v>
                </c:pt>
                <c:pt idx="8">
                  <c:v>ago/25</c:v>
                </c:pt>
                <c:pt idx="9">
                  <c:v>set/25</c:v>
                </c:pt>
                <c:pt idx="10">
                  <c:v>out/25</c:v>
                </c:pt>
                <c:pt idx="11">
                  <c:v>nov/25</c:v>
                </c:pt>
                <c:pt idx="12">
                  <c:v>dez/25</c:v>
                </c:pt>
                <c:pt idx="13">
                  <c:v>jan/26</c:v>
                </c:pt>
                <c:pt idx="14">
                  <c:v>fev/26</c:v>
                </c:pt>
                <c:pt idx="15">
                  <c:v>mar/26</c:v>
                </c:pt>
                <c:pt idx="16">
                  <c:v>abr/26</c:v>
                </c:pt>
                <c:pt idx="17">
                  <c:v>mai/26</c:v>
                </c:pt>
                <c:pt idx="18">
                  <c:v>jun/26</c:v>
                </c:pt>
                <c:pt idx="19">
                  <c:v>jul/26</c:v>
                </c:pt>
                <c:pt idx="20">
                  <c:v>ago/26</c:v>
                </c:pt>
                <c:pt idx="21">
                  <c:v>set/26</c:v>
                </c:pt>
                <c:pt idx="22">
                  <c:v>out/26</c:v>
                </c:pt>
                <c:pt idx="23">
                  <c:v>nov/26</c:v>
                </c:pt>
                <c:pt idx="24">
                  <c:v>dez/26</c:v>
                </c:pt>
                <c:pt idx="25">
                  <c:v>jan/27</c:v>
                </c:pt>
                <c:pt idx="26">
                  <c:v>fev/27</c:v>
                </c:pt>
                <c:pt idx="27">
                  <c:v>mar/27</c:v>
                </c:pt>
                <c:pt idx="28">
                  <c:v>abr/27</c:v>
                </c:pt>
                <c:pt idx="29">
                  <c:v>mai/27</c:v>
                </c:pt>
                <c:pt idx="30">
                  <c:v>jun/27</c:v>
                </c:pt>
                <c:pt idx="31">
                  <c:v>jul/27</c:v>
                </c:pt>
                <c:pt idx="32">
                  <c:v>ago/27</c:v>
                </c:pt>
                <c:pt idx="33">
                  <c:v>set/27</c:v>
                </c:pt>
                <c:pt idx="34">
                  <c:v>out/27</c:v>
                </c:pt>
                <c:pt idx="35">
                  <c:v>nov/27</c:v>
                </c:pt>
                <c:pt idx="36">
                  <c:v>dez/27</c:v>
                </c:pt>
                <c:pt idx="37">
                  <c:v>jan/28</c:v>
                </c:pt>
                <c:pt idx="38">
                  <c:v>fev/28</c:v>
                </c:pt>
                <c:pt idx="39">
                  <c:v>mar/28</c:v>
                </c:pt>
                <c:pt idx="40">
                  <c:v>abr/28</c:v>
                </c:pt>
                <c:pt idx="41">
                  <c:v>mai/28</c:v>
                </c:pt>
                <c:pt idx="42">
                  <c:v>jun/28</c:v>
                </c:pt>
                <c:pt idx="43">
                  <c:v>jul/28</c:v>
                </c:pt>
                <c:pt idx="44">
                  <c:v>ago/28</c:v>
                </c:pt>
                <c:pt idx="45">
                  <c:v>set/28</c:v>
                </c:pt>
                <c:pt idx="46">
                  <c:v>out/28</c:v>
                </c:pt>
                <c:pt idx="47">
                  <c:v>nov/28</c:v>
                </c:pt>
                <c:pt idx="48">
                  <c:v>dez/28</c:v>
                </c:pt>
                <c:pt idx="49">
                  <c:v>jan/29</c:v>
                </c:pt>
                <c:pt idx="50">
                  <c:v>fev/29</c:v>
                </c:pt>
                <c:pt idx="51">
                  <c:v>mar/29</c:v>
                </c:pt>
                <c:pt idx="52">
                  <c:v>abr/29</c:v>
                </c:pt>
                <c:pt idx="53">
                  <c:v>mai/29</c:v>
                </c:pt>
                <c:pt idx="54">
                  <c:v>jun/29</c:v>
                </c:pt>
                <c:pt idx="55">
                  <c:v>jul/29</c:v>
                </c:pt>
                <c:pt idx="56">
                  <c:v>ago/29</c:v>
                </c:pt>
                <c:pt idx="57">
                  <c:v>set/29</c:v>
                </c:pt>
                <c:pt idx="58">
                  <c:v>out/29</c:v>
                </c:pt>
                <c:pt idx="59">
                  <c:v>nov/29</c:v>
                </c:pt>
                <c:pt idx="60">
                  <c:v>dez/29</c:v>
                </c:pt>
                <c:pt idx="61">
                  <c:v>jan/30</c:v>
                </c:pt>
                <c:pt idx="62">
                  <c:v>fev/30</c:v>
                </c:pt>
                <c:pt idx="63">
                  <c:v>mar/30</c:v>
                </c:pt>
                <c:pt idx="64">
                  <c:v>abr/30</c:v>
                </c:pt>
                <c:pt idx="65">
                  <c:v>mai/30</c:v>
                </c:pt>
                <c:pt idx="66">
                  <c:v>jun/30</c:v>
                </c:pt>
                <c:pt idx="67">
                  <c:v>jul/30</c:v>
                </c:pt>
                <c:pt idx="68">
                  <c:v>ago/30</c:v>
                </c:pt>
                <c:pt idx="69">
                  <c:v>set/30</c:v>
                </c:pt>
                <c:pt idx="70">
                  <c:v>out/30</c:v>
                </c:pt>
                <c:pt idx="71">
                  <c:v>nov/30</c:v>
                </c:pt>
                <c:pt idx="72">
                  <c:v>dez/30</c:v>
                </c:pt>
                <c:pt idx="73">
                  <c:v>jan/31</c:v>
                </c:pt>
                <c:pt idx="74">
                  <c:v>fev/31</c:v>
                </c:pt>
                <c:pt idx="75">
                  <c:v>mar/31</c:v>
                </c:pt>
                <c:pt idx="76">
                  <c:v>abr/31</c:v>
                </c:pt>
                <c:pt idx="77">
                  <c:v>mai/31</c:v>
                </c:pt>
                <c:pt idx="78">
                  <c:v>jun/31</c:v>
                </c:pt>
                <c:pt idx="79">
                  <c:v>jul/31</c:v>
                </c:pt>
                <c:pt idx="80">
                  <c:v>ago/31</c:v>
                </c:pt>
                <c:pt idx="81">
                  <c:v>set/31</c:v>
                </c:pt>
                <c:pt idx="82">
                  <c:v>out/31</c:v>
                </c:pt>
                <c:pt idx="83">
                  <c:v>nov/31</c:v>
                </c:pt>
                <c:pt idx="84">
                  <c:v>dez/31</c:v>
                </c:pt>
                <c:pt idx="85">
                  <c:v>jan/32</c:v>
                </c:pt>
                <c:pt idx="86">
                  <c:v>fev/32</c:v>
                </c:pt>
                <c:pt idx="87">
                  <c:v>mar/32</c:v>
                </c:pt>
                <c:pt idx="88">
                  <c:v>abr/32</c:v>
                </c:pt>
                <c:pt idx="89">
                  <c:v>mai/32</c:v>
                </c:pt>
                <c:pt idx="90">
                  <c:v>jun/32</c:v>
                </c:pt>
                <c:pt idx="91">
                  <c:v>jul/32</c:v>
                </c:pt>
                <c:pt idx="92">
                  <c:v>ago/32</c:v>
                </c:pt>
                <c:pt idx="93">
                  <c:v>set/32</c:v>
                </c:pt>
                <c:pt idx="94">
                  <c:v>out/32</c:v>
                </c:pt>
                <c:pt idx="95">
                  <c:v>nov/32</c:v>
                </c:pt>
                <c:pt idx="96">
                  <c:v>dez/32</c:v>
                </c:pt>
                <c:pt idx="97">
                  <c:v>jan/33</c:v>
                </c:pt>
                <c:pt idx="98">
                  <c:v>fev/33</c:v>
                </c:pt>
                <c:pt idx="99">
                  <c:v>mar/33</c:v>
                </c:pt>
                <c:pt idx="100">
                  <c:v>abr/33</c:v>
                </c:pt>
                <c:pt idx="101">
                  <c:v>mai/33</c:v>
                </c:pt>
                <c:pt idx="102">
                  <c:v>jun/33</c:v>
                </c:pt>
                <c:pt idx="103">
                  <c:v>jul/33</c:v>
                </c:pt>
                <c:pt idx="104">
                  <c:v>ago/33</c:v>
                </c:pt>
                <c:pt idx="105">
                  <c:v>set/33</c:v>
                </c:pt>
                <c:pt idx="106">
                  <c:v>out/33</c:v>
                </c:pt>
                <c:pt idx="107">
                  <c:v>nov/33</c:v>
                </c:pt>
                <c:pt idx="108">
                  <c:v>dez/33</c:v>
                </c:pt>
                <c:pt idx="109">
                  <c:v>jan/34</c:v>
                </c:pt>
                <c:pt idx="110">
                  <c:v>fev/34</c:v>
                </c:pt>
                <c:pt idx="111">
                  <c:v>mar/34</c:v>
                </c:pt>
                <c:pt idx="112">
                  <c:v>abr/34</c:v>
                </c:pt>
                <c:pt idx="113">
                  <c:v>mai/34</c:v>
                </c:pt>
                <c:pt idx="114">
                  <c:v>jun/34</c:v>
                </c:pt>
                <c:pt idx="115">
                  <c:v>jul/34</c:v>
                </c:pt>
                <c:pt idx="116">
                  <c:v>ago/34</c:v>
                </c:pt>
                <c:pt idx="117">
                  <c:v>set/34</c:v>
                </c:pt>
                <c:pt idx="118">
                  <c:v>out/34</c:v>
                </c:pt>
                <c:pt idx="119">
                  <c:v>nov/34</c:v>
                </c:pt>
                <c:pt idx="120">
                  <c:v>dez/34</c:v>
                </c:pt>
                <c:pt idx="121">
                  <c:v>jan/35</c:v>
                </c:pt>
                <c:pt idx="122">
                  <c:v>fev/35</c:v>
                </c:pt>
                <c:pt idx="123">
                  <c:v>mar/35</c:v>
                </c:pt>
                <c:pt idx="124">
                  <c:v>abr/35</c:v>
                </c:pt>
                <c:pt idx="125">
                  <c:v>mai/35</c:v>
                </c:pt>
                <c:pt idx="126">
                  <c:v>jun/35</c:v>
                </c:pt>
                <c:pt idx="127">
                  <c:v>jul/35</c:v>
                </c:pt>
                <c:pt idx="128">
                  <c:v>ago/35</c:v>
                </c:pt>
                <c:pt idx="129">
                  <c:v>set/35</c:v>
                </c:pt>
                <c:pt idx="130">
                  <c:v>out/35</c:v>
                </c:pt>
                <c:pt idx="131">
                  <c:v>nov/35</c:v>
                </c:pt>
                <c:pt idx="132">
                  <c:v>dez/35</c:v>
                </c:pt>
                <c:pt idx="133">
                  <c:v>jan/36</c:v>
                </c:pt>
                <c:pt idx="134">
                  <c:v>fev/36</c:v>
                </c:pt>
                <c:pt idx="135">
                  <c:v>mar/36</c:v>
                </c:pt>
                <c:pt idx="136">
                  <c:v>abr/36</c:v>
                </c:pt>
                <c:pt idx="137">
                  <c:v>mai/36</c:v>
                </c:pt>
                <c:pt idx="138">
                  <c:v>jun/36</c:v>
                </c:pt>
                <c:pt idx="139">
                  <c:v>jul/36</c:v>
                </c:pt>
                <c:pt idx="140">
                  <c:v>ago/36</c:v>
                </c:pt>
                <c:pt idx="141">
                  <c:v>set/36</c:v>
                </c:pt>
                <c:pt idx="142">
                  <c:v>out/36</c:v>
                </c:pt>
                <c:pt idx="143">
                  <c:v>nov/36</c:v>
                </c:pt>
                <c:pt idx="144">
                  <c:v>dez/36</c:v>
                </c:pt>
                <c:pt idx="145">
                  <c:v>jan/37</c:v>
                </c:pt>
                <c:pt idx="146">
                  <c:v>fev/37</c:v>
                </c:pt>
                <c:pt idx="147">
                  <c:v>mar/37</c:v>
                </c:pt>
                <c:pt idx="148">
                  <c:v>abr/37</c:v>
                </c:pt>
                <c:pt idx="149">
                  <c:v>mai/37</c:v>
                </c:pt>
                <c:pt idx="150">
                  <c:v>jun/37</c:v>
                </c:pt>
                <c:pt idx="151">
                  <c:v>jul/37</c:v>
                </c:pt>
                <c:pt idx="152">
                  <c:v>ago/37</c:v>
                </c:pt>
                <c:pt idx="153">
                  <c:v>set/37</c:v>
                </c:pt>
                <c:pt idx="154">
                  <c:v>out/37</c:v>
                </c:pt>
                <c:pt idx="155">
                  <c:v>nov/37</c:v>
                </c:pt>
                <c:pt idx="156">
                  <c:v>dez/37</c:v>
                </c:pt>
                <c:pt idx="157">
                  <c:v>jan/38</c:v>
                </c:pt>
                <c:pt idx="158">
                  <c:v>fev/38</c:v>
                </c:pt>
                <c:pt idx="159">
                  <c:v>mar/38</c:v>
                </c:pt>
                <c:pt idx="160">
                  <c:v>abr/38</c:v>
                </c:pt>
                <c:pt idx="161">
                  <c:v>mai/38</c:v>
                </c:pt>
                <c:pt idx="162">
                  <c:v>jun/38</c:v>
                </c:pt>
                <c:pt idx="163">
                  <c:v>jul/38</c:v>
                </c:pt>
                <c:pt idx="164">
                  <c:v>ago/38</c:v>
                </c:pt>
                <c:pt idx="165">
                  <c:v>set/38</c:v>
                </c:pt>
                <c:pt idx="166">
                  <c:v>out/38</c:v>
                </c:pt>
                <c:pt idx="167">
                  <c:v>nov/38</c:v>
                </c:pt>
                <c:pt idx="168">
                  <c:v>dez/38</c:v>
                </c:pt>
                <c:pt idx="169">
                  <c:v>jan/39</c:v>
                </c:pt>
                <c:pt idx="170">
                  <c:v>fev/39</c:v>
                </c:pt>
                <c:pt idx="171">
                  <c:v>mar/39</c:v>
                </c:pt>
                <c:pt idx="172">
                  <c:v>abr/39</c:v>
                </c:pt>
                <c:pt idx="173">
                  <c:v>mai/39</c:v>
                </c:pt>
                <c:pt idx="174">
                  <c:v>jun/39</c:v>
                </c:pt>
                <c:pt idx="175">
                  <c:v>jul/39</c:v>
                </c:pt>
                <c:pt idx="176">
                  <c:v>ago/39</c:v>
                </c:pt>
                <c:pt idx="177">
                  <c:v>set/39</c:v>
                </c:pt>
                <c:pt idx="178">
                  <c:v>out/39</c:v>
                </c:pt>
                <c:pt idx="179">
                  <c:v>nov/39</c:v>
                </c:pt>
                <c:pt idx="180">
                  <c:v>dez/39</c:v>
                </c:pt>
                <c:pt idx="181">
                  <c:v>jan/40</c:v>
                </c:pt>
                <c:pt idx="182">
                  <c:v>fev/40</c:v>
                </c:pt>
                <c:pt idx="183">
                  <c:v>mar/40</c:v>
                </c:pt>
                <c:pt idx="184">
                  <c:v>abr/40</c:v>
                </c:pt>
                <c:pt idx="185">
                  <c:v>mai/40</c:v>
                </c:pt>
                <c:pt idx="186">
                  <c:v>jun/40</c:v>
                </c:pt>
                <c:pt idx="187">
                  <c:v>jul/40</c:v>
                </c:pt>
                <c:pt idx="188">
                  <c:v>ago/40</c:v>
                </c:pt>
                <c:pt idx="189">
                  <c:v>set/40</c:v>
                </c:pt>
                <c:pt idx="190">
                  <c:v>out/40</c:v>
                </c:pt>
                <c:pt idx="191">
                  <c:v>nov/40</c:v>
                </c:pt>
                <c:pt idx="192">
                  <c:v>dez/40</c:v>
                </c:pt>
                <c:pt idx="193">
                  <c:v>jan/41</c:v>
                </c:pt>
                <c:pt idx="194">
                  <c:v>fev/41</c:v>
                </c:pt>
                <c:pt idx="195">
                  <c:v>mar/41</c:v>
                </c:pt>
                <c:pt idx="196">
                  <c:v>abr/41</c:v>
                </c:pt>
                <c:pt idx="197">
                  <c:v>mai/41</c:v>
                </c:pt>
                <c:pt idx="198">
                  <c:v>jun/41</c:v>
                </c:pt>
                <c:pt idx="199">
                  <c:v>jul/41</c:v>
                </c:pt>
                <c:pt idx="200">
                  <c:v>ago/41</c:v>
                </c:pt>
                <c:pt idx="201">
                  <c:v>set/41</c:v>
                </c:pt>
                <c:pt idx="202">
                  <c:v>out/41</c:v>
                </c:pt>
                <c:pt idx="203">
                  <c:v>nov/41</c:v>
                </c:pt>
                <c:pt idx="204">
                  <c:v>dez/41</c:v>
                </c:pt>
                <c:pt idx="205">
                  <c:v>jan/42</c:v>
                </c:pt>
                <c:pt idx="206">
                  <c:v>fev/42</c:v>
                </c:pt>
                <c:pt idx="207">
                  <c:v>mar/42</c:v>
                </c:pt>
                <c:pt idx="208">
                  <c:v>abr/42</c:v>
                </c:pt>
                <c:pt idx="209">
                  <c:v>mai/42</c:v>
                </c:pt>
                <c:pt idx="210">
                  <c:v>jun/42</c:v>
                </c:pt>
                <c:pt idx="211">
                  <c:v>jul/42</c:v>
                </c:pt>
                <c:pt idx="212">
                  <c:v>ago/42</c:v>
                </c:pt>
                <c:pt idx="213">
                  <c:v>set/42</c:v>
                </c:pt>
                <c:pt idx="214">
                  <c:v>out/42</c:v>
                </c:pt>
                <c:pt idx="215">
                  <c:v>nov/42</c:v>
                </c:pt>
                <c:pt idx="216">
                  <c:v>dez/42</c:v>
                </c:pt>
                <c:pt idx="217">
                  <c:v>jan/43</c:v>
                </c:pt>
                <c:pt idx="218">
                  <c:v>fev/43</c:v>
                </c:pt>
                <c:pt idx="219">
                  <c:v>mar/43</c:v>
                </c:pt>
                <c:pt idx="220">
                  <c:v>abr/43</c:v>
                </c:pt>
                <c:pt idx="221">
                  <c:v>mai/43</c:v>
                </c:pt>
                <c:pt idx="222">
                  <c:v>jun/43</c:v>
                </c:pt>
                <c:pt idx="223">
                  <c:v>jul/43</c:v>
                </c:pt>
                <c:pt idx="224">
                  <c:v>ago/43</c:v>
                </c:pt>
                <c:pt idx="225">
                  <c:v>set/43</c:v>
                </c:pt>
                <c:pt idx="226">
                  <c:v>out/43</c:v>
                </c:pt>
                <c:pt idx="227">
                  <c:v>nov/43</c:v>
                </c:pt>
                <c:pt idx="228">
                  <c:v>dez/43</c:v>
                </c:pt>
                <c:pt idx="229">
                  <c:v>jan/44</c:v>
                </c:pt>
                <c:pt idx="230">
                  <c:v>fev/44</c:v>
                </c:pt>
                <c:pt idx="231">
                  <c:v>mar/44</c:v>
                </c:pt>
                <c:pt idx="232">
                  <c:v>abr/44</c:v>
                </c:pt>
                <c:pt idx="233">
                  <c:v>mai/44</c:v>
                </c:pt>
                <c:pt idx="234">
                  <c:v>jun/44</c:v>
                </c:pt>
                <c:pt idx="235">
                  <c:v>jul/44</c:v>
                </c:pt>
                <c:pt idx="236">
                  <c:v>ago/44</c:v>
                </c:pt>
                <c:pt idx="237">
                  <c:v>set/44</c:v>
                </c:pt>
                <c:pt idx="238">
                  <c:v>out/44</c:v>
                </c:pt>
                <c:pt idx="239">
                  <c:v>nov/44</c:v>
                </c:pt>
                <c:pt idx="240">
                  <c:v>dez/44</c:v>
                </c:pt>
                <c:pt idx="241">
                  <c:v>jan/45</c:v>
                </c:pt>
                <c:pt idx="242">
                  <c:v>fev/45</c:v>
                </c:pt>
                <c:pt idx="243">
                  <c:v>mar/45</c:v>
                </c:pt>
                <c:pt idx="244">
                  <c:v>abr/45</c:v>
                </c:pt>
                <c:pt idx="245">
                  <c:v>mai/45</c:v>
                </c:pt>
                <c:pt idx="246">
                  <c:v>jun/45</c:v>
                </c:pt>
                <c:pt idx="247">
                  <c:v>jul/45</c:v>
                </c:pt>
                <c:pt idx="248">
                  <c:v>ago/45</c:v>
                </c:pt>
                <c:pt idx="249">
                  <c:v>set/45</c:v>
                </c:pt>
                <c:pt idx="250">
                  <c:v>out/45</c:v>
                </c:pt>
                <c:pt idx="251">
                  <c:v>nov/45</c:v>
                </c:pt>
                <c:pt idx="252">
                  <c:v>dez/45</c:v>
                </c:pt>
                <c:pt idx="253">
                  <c:v>jan/46</c:v>
                </c:pt>
                <c:pt idx="254">
                  <c:v>fev/46</c:v>
                </c:pt>
                <c:pt idx="255">
                  <c:v>mar/46</c:v>
                </c:pt>
                <c:pt idx="256">
                  <c:v>abr/46</c:v>
                </c:pt>
                <c:pt idx="257">
                  <c:v>mai/46</c:v>
                </c:pt>
                <c:pt idx="258">
                  <c:v>jun/46</c:v>
                </c:pt>
                <c:pt idx="259">
                  <c:v>jul/46</c:v>
                </c:pt>
                <c:pt idx="260">
                  <c:v>ago/46</c:v>
                </c:pt>
                <c:pt idx="261">
                  <c:v>set/46</c:v>
                </c:pt>
                <c:pt idx="262">
                  <c:v>out/46</c:v>
                </c:pt>
                <c:pt idx="263">
                  <c:v>nov/46</c:v>
                </c:pt>
                <c:pt idx="264">
                  <c:v>dez/46</c:v>
                </c:pt>
                <c:pt idx="265">
                  <c:v>jan/47</c:v>
                </c:pt>
                <c:pt idx="266">
                  <c:v>fev/47</c:v>
                </c:pt>
                <c:pt idx="267">
                  <c:v>mar/47</c:v>
                </c:pt>
                <c:pt idx="268">
                  <c:v>abr/47</c:v>
                </c:pt>
                <c:pt idx="269">
                  <c:v>mai/47</c:v>
                </c:pt>
                <c:pt idx="270">
                  <c:v>jun/47</c:v>
                </c:pt>
                <c:pt idx="271">
                  <c:v>jul/47</c:v>
                </c:pt>
                <c:pt idx="272">
                  <c:v>ago/47</c:v>
                </c:pt>
                <c:pt idx="273">
                  <c:v>set/47</c:v>
                </c:pt>
                <c:pt idx="274">
                  <c:v>out/47</c:v>
                </c:pt>
                <c:pt idx="275">
                  <c:v>nov/47</c:v>
                </c:pt>
                <c:pt idx="276">
                  <c:v>dez/47</c:v>
                </c:pt>
                <c:pt idx="277">
                  <c:v>jan/48</c:v>
                </c:pt>
                <c:pt idx="278">
                  <c:v>fev/48</c:v>
                </c:pt>
                <c:pt idx="279">
                  <c:v>mar/48</c:v>
                </c:pt>
                <c:pt idx="280">
                  <c:v>abr/48</c:v>
                </c:pt>
                <c:pt idx="281">
                  <c:v>mai/48</c:v>
                </c:pt>
                <c:pt idx="282">
                  <c:v>jun/48</c:v>
                </c:pt>
                <c:pt idx="283">
                  <c:v>jul/48</c:v>
                </c:pt>
                <c:pt idx="284">
                  <c:v>ago/48</c:v>
                </c:pt>
                <c:pt idx="285">
                  <c:v>set/48</c:v>
                </c:pt>
                <c:pt idx="286">
                  <c:v>out/48</c:v>
                </c:pt>
                <c:pt idx="287">
                  <c:v>nov/48</c:v>
                </c:pt>
                <c:pt idx="288">
                  <c:v>dez/48</c:v>
                </c:pt>
                <c:pt idx="289">
                  <c:v>jan/49</c:v>
                </c:pt>
                <c:pt idx="290">
                  <c:v>fev/49</c:v>
                </c:pt>
                <c:pt idx="291">
                  <c:v>mar/49</c:v>
                </c:pt>
                <c:pt idx="292">
                  <c:v>abr/49</c:v>
                </c:pt>
                <c:pt idx="293">
                  <c:v>mai/49</c:v>
                </c:pt>
                <c:pt idx="294">
                  <c:v>jun/49</c:v>
                </c:pt>
                <c:pt idx="295">
                  <c:v>jul/49</c:v>
                </c:pt>
                <c:pt idx="296">
                  <c:v>ago/49</c:v>
                </c:pt>
                <c:pt idx="297">
                  <c:v>set/49</c:v>
                </c:pt>
                <c:pt idx="298">
                  <c:v>out/49</c:v>
                </c:pt>
                <c:pt idx="299">
                  <c:v>nov/49</c:v>
                </c:pt>
                <c:pt idx="300">
                  <c:v>dez/49</c:v>
                </c:pt>
                <c:pt idx="301">
                  <c:v>jan/50</c:v>
                </c:pt>
                <c:pt idx="302">
                  <c:v>fev/50</c:v>
                </c:pt>
                <c:pt idx="303">
                  <c:v>mar/50</c:v>
                </c:pt>
                <c:pt idx="304">
                  <c:v>abr/50</c:v>
                </c:pt>
                <c:pt idx="305">
                  <c:v>mai/50</c:v>
                </c:pt>
                <c:pt idx="306">
                  <c:v>jun/50</c:v>
                </c:pt>
                <c:pt idx="307">
                  <c:v>jul/50</c:v>
                </c:pt>
                <c:pt idx="308">
                  <c:v>ago/50</c:v>
                </c:pt>
                <c:pt idx="309">
                  <c:v>set/50</c:v>
                </c:pt>
                <c:pt idx="310">
                  <c:v>out/50</c:v>
                </c:pt>
                <c:pt idx="311">
                  <c:v>nov/50</c:v>
                </c:pt>
                <c:pt idx="312">
                  <c:v>dez/50</c:v>
                </c:pt>
                <c:pt idx="313">
                  <c:v>jan/51</c:v>
                </c:pt>
                <c:pt idx="314">
                  <c:v>fev/51</c:v>
                </c:pt>
                <c:pt idx="315">
                  <c:v>mar/51</c:v>
                </c:pt>
                <c:pt idx="316">
                  <c:v>abr/51</c:v>
                </c:pt>
                <c:pt idx="317">
                  <c:v>mai/51</c:v>
                </c:pt>
                <c:pt idx="318">
                  <c:v>jun/51</c:v>
                </c:pt>
                <c:pt idx="319">
                  <c:v>jul/51</c:v>
                </c:pt>
                <c:pt idx="320">
                  <c:v>ago/51</c:v>
                </c:pt>
                <c:pt idx="321">
                  <c:v>set/51</c:v>
                </c:pt>
                <c:pt idx="322">
                  <c:v>out/51</c:v>
                </c:pt>
                <c:pt idx="323">
                  <c:v>nov/51</c:v>
                </c:pt>
                <c:pt idx="324">
                  <c:v>dez/51</c:v>
                </c:pt>
                <c:pt idx="325">
                  <c:v>jan/52</c:v>
                </c:pt>
                <c:pt idx="326">
                  <c:v>fev/52</c:v>
                </c:pt>
                <c:pt idx="327">
                  <c:v>mar/52</c:v>
                </c:pt>
                <c:pt idx="328">
                  <c:v>abr/52</c:v>
                </c:pt>
                <c:pt idx="329">
                  <c:v>mai/52</c:v>
                </c:pt>
                <c:pt idx="330">
                  <c:v>jun/52</c:v>
                </c:pt>
                <c:pt idx="331">
                  <c:v>jul/52</c:v>
                </c:pt>
                <c:pt idx="332">
                  <c:v>ago/52</c:v>
                </c:pt>
                <c:pt idx="333">
                  <c:v>set/52</c:v>
                </c:pt>
                <c:pt idx="334">
                  <c:v>out/52</c:v>
                </c:pt>
                <c:pt idx="335">
                  <c:v>nov/52</c:v>
                </c:pt>
                <c:pt idx="336">
                  <c:v>dez/52</c:v>
                </c:pt>
                <c:pt idx="337">
                  <c:v>jan/53</c:v>
                </c:pt>
                <c:pt idx="338">
                  <c:v>fev/53</c:v>
                </c:pt>
                <c:pt idx="339">
                  <c:v>mar/53</c:v>
                </c:pt>
                <c:pt idx="340">
                  <c:v>abr/53</c:v>
                </c:pt>
                <c:pt idx="341">
                  <c:v>mai/53</c:v>
                </c:pt>
                <c:pt idx="342">
                  <c:v>jun/53</c:v>
                </c:pt>
                <c:pt idx="343">
                  <c:v>jul/53</c:v>
                </c:pt>
                <c:pt idx="344">
                  <c:v>ago/53</c:v>
                </c:pt>
                <c:pt idx="345">
                  <c:v>set/53</c:v>
                </c:pt>
                <c:pt idx="346">
                  <c:v>out/53</c:v>
                </c:pt>
                <c:pt idx="347">
                  <c:v>nov/53</c:v>
                </c:pt>
                <c:pt idx="348">
                  <c:v>dez/53</c:v>
                </c:pt>
                <c:pt idx="349">
                  <c:v>jan/54</c:v>
                </c:pt>
                <c:pt idx="350">
                  <c:v>fev/54</c:v>
                </c:pt>
                <c:pt idx="351">
                  <c:v>mar/54</c:v>
                </c:pt>
                <c:pt idx="352">
                  <c:v>abr/54</c:v>
                </c:pt>
                <c:pt idx="353">
                  <c:v>mai/54</c:v>
                </c:pt>
                <c:pt idx="354">
                  <c:v>jun/54</c:v>
                </c:pt>
                <c:pt idx="355">
                  <c:v>jul/54</c:v>
                </c:pt>
                <c:pt idx="356">
                  <c:v>ago/54</c:v>
                </c:pt>
                <c:pt idx="357">
                  <c:v>set/54</c:v>
                </c:pt>
                <c:pt idx="358">
                  <c:v>out/54</c:v>
                </c:pt>
                <c:pt idx="359">
                  <c:v>nov/54</c:v>
                </c:pt>
                <c:pt idx="360">
                  <c:v>dez/54</c:v>
                </c:pt>
                <c:pt idx="361">
                  <c:v>jan/55</c:v>
                </c:pt>
                <c:pt idx="362">
                  <c:v>fev/55</c:v>
                </c:pt>
                <c:pt idx="363">
                  <c:v>mar/55</c:v>
                </c:pt>
                <c:pt idx="364">
                  <c:v>abr/55</c:v>
                </c:pt>
                <c:pt idx="365">
                  <c:v>mai/55</c:v>
                </c:pt>
                <c:pt idx="366">
                  <c:v>jun/55</c:v>
                </c:pt>
                <c:pt idx="367">
                  <c:v>jul/55</c:v>
                </c:pt>
                <c:pt idx="368">
                  <c:v>ago/55</c:v>
                </c:pt>
                <c:pt idx="369">
                  <c:v>set/55</c:v>
                </c:pt>
                <c:pt idx="370">
                  <c:v>out/55</c:v>
                </c:pt>
                <c:pt idx="371">
                  <c:v>nov/55</c:v>
                </c:pt>
                <c:pt idx="372">
                  <c:v>dez/55</c:v>
                </c:pt>
                <c:pt idx="373">
                  <c:v>jan/56</c:v>
                </c:pt>
                <c:pt idx="374">
                  <c:v>fev/56</c:v>
                </c:pt>
                <c:pt idx="375">
                  <c:v>mar/56</c:v>
                </c:pt>
                <c:pt idx="376">
                  <c:v>abr/56</c:v>
                </c:pt>
                <c:pt idx="377">
                  <c:v>mai/56</c:v>
                </c:pt>
                <c:pt idx="378">
                  <c:v>jun/56</c:v>
                </c:pt>
                <c:pt idx="379">
                  <c:v>jul/56</c:v>
                </c:pt>
                <c:pt idx="380">
                  <c:v>ago/56</c:v>
                </c:pt>
                <c:pt idx="381">
                  <c:v>set/56</c:v>
                </c:pt>
                <c:pt idx="382">
                  <c:v>out/56</c:v>
                </c:pt>
                <c:pt idx="383">
                  <c:v>nov/56</c:v>
                </c:pt>
                <c:pt idx="384">
                  <c:v>dez/56</c:v>
                </c:pt>
                <c:pt idx="385">
                  <c:v>jan/57</c:v>
                </c:pt>
                <c:pt idx="386">
                  <c:v>fev/57</c:v>
                </c:pt>
                <c:pt idx="387">
                  <c:v>mar/57</c:v>
                </c:pt>
                <c:pt idx="388">
                  <c:v>abr/57</c:v>
                </c:pt>
                <c:pt idx="389">
                  <c:v>mai/57</c:v>
                </c:pt>
                <c:pt idx="390">
                  <c:v>jun/57</c:v>
                </c:pt>
                <c:pt idx="391">
                  <c:v>jul/57</c:v>
                </c:pt>
                <c:pt idx="392">
                  <c:v>ago/57</c:v>
                </c:pt>
                <c:pt idx="393">
                  <c:v>set/57</c:v>
                </c:pt>
                <c:pt idx="394">
                  <c:v>out/57</c:v>
                </c:pt>
                <c:pt idx="395">
                  <c:v>nov/57</c:v>
                </c:pt>
                <c:pt idx="396">
                  <c:v>dez/57</c:v>
                </c:pt>
                <c:pt idx="397">
                  <c:v>jan/58</c:v>
                </c:pt>
                <c:pt idx="398">
                  <c:v>fev/58</c:v>
                </c:pt>
                <c:pt idx="399">
                  <c:v>mar/58</c:v>
                </c:pt>
                <c:pt idx="400">
                  <c:v>abr/58</c:v>
                </c:pt>
                <c:pt idx="401">
                  <c:v>mai/58</c:v>
                </c:pt>
                <c:pt idx="402">
                  <c:v>jun/58</c:v>
                </c:pt>
                <c:pt idx="403">
                  <c:v>jul/58</c:v>
                </c:pt>
                <c:pt idx="404">
                  <c:v>ago/58</c:v>
                </c:pt>
                <c:pt idx="405">
                  <c:v>set/58</c:v>
                </c:pt>
                <c:pt idx="406">
                  <c:v>out/58</c:v>
                </c:pt>
                <c:pt idx="407">
                  <c:v>nov/58</c:v>
                </c:pt>
                <c:pt idx="408">
                  <c:v>dez/58</c:v>
                </c:pt>
                <c:pt idx="409">
                  <c:v>jan/59</c:v>
                </c:pt>
                <c:pt idx="410">
                  <c:v>fev/59</c:v>
                </c:pt>
                <c:pt idx="411">
                  <c:v>mar/59</c:v>
                </c:pt>
                <c:pt idx="412">
                  <c:v>abr/59</c:v>
                </c:pt>
                <c:pt idx="413">
                  <c:v>mai/59</c:v>
                </c:pt>
                <c:pt idx="414">
                  <c:v>jun/59</c:v>
                </c:pt>
                <c:pt idx="415">
                  <c:v>jul/59</c:v>
                </c:pt>
                <c:pt idx="416">
                  <c:v>ago/59</c:v>
                </c:pt>
                <c:pt idx="417">
                  <c:v>set/59</c:v>
                </c:pt>
                <c:pt idx="418">
                  <c:v>out/59</c:v>
                </c:pt>
                <c:pt idx="419">
                  <c:v>nov/59</c:v>
                </c:pt>
                <c:pt idx="420">
                  <c:v>dez/59</c:v>
                </c:pt>
                <c:pt idx="421">
                  <c:v>jan/60</c:v>
                </c:pt>
                <c:pt idx="422">
                  <c:v>fev/60</c:v>
                </c:pt>
                <c:pt idx="423">
                  <c:v>mar/60</c:v>
                </c:pt>
                <c:pt idx="424">
                  <c:v>abr/60</c:v>
                </c:pt>
                <c:pt idx="425">
                  <c:v>mai/60</c:v>
                </c:pt>
                <c:pt idx="426">
                  <c:v>jun/60</c:v>
                </c:pt>
                <c:pt idx="427">
                  <c:v>jul/60</c:v>
                </c:pt>
                <c:pt idx="428">
                  <c:v>ago/60</c:v>
                </c:pt>
                <c:pt idx="429">
                  <c:v>set/60</c:v>
                </c:pt>
                <c:pt idx="430">
                  <c:v>out/60</c:v>
                </c:pt>
                <c:pt idx="431">
                  <c:v>nov/60</c:v>
                </c:pt>
                <c:pt idx="432">
                  <c:v>dez/60</c:v>
                </c:pt>
                <c:pt idx="433">
                  <c:v>jan/61</c:v>
                </c:pt>
                <c:pt idx="434">
                  <c:v>fev/61</c:v>
                </c:pt>
                <c:pt idx="435">
                  <c:v>mar/61</c:v>
                </c:pt>
                <c:pt idx="436">
                  <c:v>abr/61</c:v>
                </c:pt>
                <c:pt idx="437">
                  <c:v>mai/61</c:v>
                </c:pt>
                <c:pt idx="438">
                  <c:v>jun/61</c:v>
                </c:pt>
                <c:pt idx="439">
                  <c:v>jul/61</c:v>
                </c:pt>
                <c:pt idx="440">
                  <c:v>ago/61</c:v>
                </c:pt>
                <c:pt idx="441">
                  <c:v>set/61</c:v>
                </c:pt>
                <c:pt idx="442">
                  <c:v>out/61</c:v>
                </c:pt>
                <c:pt idx="443">
                  <c:v>nov/61</c:v>
                </c:pt>
                <c:pt idx="444">
                  <c:v>dez/61</c:v>
                </c:pt>
                <c:pt idx="445">
                  <c:v>jan/62</c:v>
                </c:pt>
                <c:pt idx="446">
                  <c:v>fev/62</c:v>
                </c:pt>
                <c:pt idx="447">
                  <c:v>mar/62</c:v>
                </c:pt>
                <c:pt idx="448">
                  <c:v>abr/62</c:v>
                </c:pt>
                <c:pt idx="449">
                  <c:v>mai/62</c:v>
                </c:pt>
                <c:pt idx="450">
                  <c:v>jun/62</c:v>
                </c:pt>
                <c:pt idx="451">
                  <c:v>jul/62</c:v>
                </c:pt>
                <c:pt idx="452">
                  <c:v>ago/62</c:v>
                </c:pt>
                <c:pt idx="453">
                  <c:v>set/62</c:v>
                </c:pt>
                <c:pt idx="454">
                  <c:v>out/62</c:v>
                </c:pt>
                <c:pt idx="455">
                  <c:v>nov/62</c:v>
                </c:pt>
                <c:pt idx="456">
                  <c:v>dez/62</c:v>
                </c:pt>
                <c:pt idx="457">
                  <c:v>jan/63</c:v>
                </c:pt>
                <c:pt idx="458">
                  <c:v>fev/63</c:v>
                </c:pt>
                <c:pt idx="459">
                  <c:v>mar/63</c:v>
                </c:pt>
                <c:pt idx="460">
                  <c:v>abr/63</c:v>
                </c:pt>
                <c:pt idx="461">
                  <c:v>mai/63</c:v>
                </c:pt>
                <c:pt idx="462">
                  <c:v>jun/63</c:v>
                </c:pt>
                <c:pt idx="463">
                  <c:v>jul/63</c:v>
                </c:pt>
                <c:pt idx="464">
                  <c:v>ago/63</c:v>
                </c:pt>
                <c:pt idx="465">
                  <c:v>set/63</c:v>
                </c:pt>
                <c:pt idx="466">
                  <c:v>out/63</c:v>
                </c:pt>
                <c:pt idx="467">
                  <c:v>nov/63</c:v>
                </c:pt>
                <c:pt idx="468">
                  <c:v>dez/63</c:v>
                </c:pt>
                <c:pt idx="469">
                  <c:v>jan/64</c:v>
                </c:pt>
                <c:pt idx="470">
                  <c:v>fev/64</c:v>
                </c:pt>
                <c:pt idx="471">
                  <c:v>mar/64</c:v>
                </c:pt>
                <c:pt idx="472">
                  <c:v>abr/64</c:v>
                </c:pt>
                <c:pt idx="473">
                  <c:v>mai/64</c:v>
                </c:pt>
                <c:pt idx="474">
                  <c:v>jun/64</c:v>
                </c:pt>
                <c:pt idx="475">
                  <c:v>jul/64</c:v>
                </c:pt>
                <c:pt idx="476">
                  <c:v>ago/64</c:v>
                </c:pt>
                <c:pt idx="477">
                  <c:v>set/64</c:v>
                </c:pt>
                <c:pt idx="478">
                  <c:v>out/64</c:v>
                </c:pt>
                <c:pt idx="479">
                  <c:v>nov/64</c:v>
                </c:pt>
                <c:pt idx="480">
                  <c:v>dez/64</c:v>
                </c:pt>
                <c:pt idx="481">
                  <c:v>jan/65</c:v>
                </c:pt>
                <c:pt idx="482">
                  <c:v>fev/65</c:v>
                </c:pt>
                <c:pt idx="483">
                  <c:v>mar/65</c:v>
                </c:pt>
                <c:pt idx="484">
                  <c:v>abr/65</c:v>
                </c:pt>
                <c:pt idx="485">
                  <c:v>mai/65</c:v>
                </c:pt>
                <c:pt idx="486">
                  <c:v>jun/65</c:v>
                </c:pt>
                <c:pt idx="487">
                  <c:v>jul/65</c:v>
                </c:pt>
                <c:pt idx="488">
                  <c:v>ago/65</c:v>
                </c:pt>
                <c:pt idx="489">
                  <c:v>set/65</c:v>
                </c:pt>
                <c:pt idx="490">
                  <c:v>out/65</c:v>
                </c:pt>
                <c:pt idx="491">
                  <c:v>nov/65</c:v>
                </c:pt>
                <c:pt idx="492">
                  <c:v>dez/65</c:v>
                </c:pt>
                <c:pt idx="493">
                  <c:v>jan/66</c:v>
                </c:pt>
                <c:pt idx="494">
                  <c:v>fev/66</c:v>
                </c:pt>
                <c:pt idx="495">
                  <c:v>mar/66</c:v>
                </c:pt>
                <c:pt idx="496">
                  <c:v>abr/66</c:v>
                </c:pt>
                <c:pt idx="497">
                  <c:v>mai/66</c:v>
                </c:pt>
                <c:pt idx="498">
                  <c:v>jun/66</c:v>
                </c:pt>
                <c:pt idx="499">
                  <c:v>jul/66</c:v>
                </c:pt>
                <c:pt idx="500">
                  <c:v>ago/66</c:v>
                </c:pt>
                <c:pt idx="501">
                  <c:v>set/66</c:v>
                </c:pt>
                <c:pt idx="502">
                  <c:v>out/66</c:v>
                </c:pt>
                <c:pt idx="503">
                  <c:v>nov/66</c:v>
                </c:pt>
                <c:pt idx="504">
                  <c:v>dez/66</c:v>
                </c:pt>
                <c:pt idx="505">
                  <c:v>jan/67</c:v>
                </c:pt>
                <c:pt idx="506">
                  <c:v>fev/67</c:v>
                </c:pt>
                <c:pt idx="507">
                  <c:v>mar/67</c:v>
                </c:pt>
                <c:pt idx="508">
                  <c:v>abr/67</c:v>
                </c:pt>
                <c:pt idx="509">
                  <c:v>mai/67</c:v>
                </c:pt>
                <c:pt idx="510">
                  <c:v>jun/67</c:v>
                </c:pt>
                <c:pt idx="511">
                  <c:v>jul/67</c:v>
                </c:pt>
                <c:pt idx="512">
                  <c:v>ago/67</c:v>
                </c:pt>
                <c:pt idx="513">
                  <c:v>set/67</c:v>
                </c:pt>
                <c:pt idx="514">
                  <c:v>out/67</c:v>
                </c:pt>
                <c:pt idx="515">
                  <c:v>nov/67</c:v>
                </c:pt>
                <c:pt idx="516">
                  <c:v>dez/67</c:v>
                </c:pt>
                <c:pt idx="517">
                  <c:v>jan/68</c:v>
                </c:pt>
                <c:pt idx="518">
                  <c:v>fev/68</c:v>
                </c:pt>
                <c:pt idx="519">
                  <c:v>mar/68</c:v>
                </c:pt>
                <c:pt idx="520">
                  <c:v>abr/68</c:v>
                </c:pt>
                <c:pt idx="521">
                  <c:v>mai/68</c:v>
                </c:pt>
                <c:pt idx="522">
                  <c:v>jun/68</c:v>
                </c:pt>
                <c:pt idx="523">
                  <c:v>jul/68</c:v>
                </c:pt>
                <c:pt idx="524">
                  <c:v>ago/68</c:v>
                </c:pt>
                <c:pt idx="525">
                  <c:v>set/68</c:v>
                </c:pt>
                <c:pt idx="526">
                  <c:v>out/68</c:v>
                </c:pt>
                <c:pt idx="527">
                  <c:v>nov/68</c:v>
                </c:pt>
                <c:pt idx="528">
                  <c:v>dez/68</c:v>
                </c:pt>
                <c:pt idx="529">
                  <c:v>jan/69</c:v>
                </c:pt>
                <c:pt idx="530">
                  <c:v>fev/69</c:v>
                </c:pt>
                <c:pt idx="531">
                  <c:v>mar/69</c:v>
                </c:pt>
                <c:pt idx="532">
                  <c:v>abr/69</c:v>
                </c:pt>
                <c:pt idx="533">
                  <c:v>mai/69</c:v>
                </c:pt>
                <c:pt idx="534">
                  <c:v>jun/69</c:v>
                </c:pt>
                <c:pt idx="535">
                  <c:v>jul/69</c:v>
                </c:pt>
                <c:pt idx="536">
                  <c:v>ago/69</c:v>
                </c:pt>
                <c:pt idx="537">
                  <c:v>set/69</c:v>
                </c:pt>
                <c:pt idx="538">
                  <c:v>out/69</c:v>
                </c:pt>
                <c:pt idx="539">
                  <c:v>nov/69</c:v>
                </c:pt>
                <c:pt idx="540">
                  <c:v>dez/69</c:v>
                </c:pt>
                <c:pt idx="541">
                  <c:v>jan/70</c:v>
                </c:pt>
                <c:pt idx="542">
                  <c:v>fev/70</c:v>
                </c:pt>
                <c:pt idx="543">
                  <c:v>mar/70</c:v>
                </c:pt>
                <c:pt idx="544">
                  <c:v>abr/70</c:v>
                </c:pt>
                <c:pt idx="545">
                  <c:v>mai/70</c:v>
                </c:pt>
                <c:pt idx="546">
                  <c:v>jun/70</c:v>
                </c:pt>
                <c:pt idx="547">
                  <c:v>jul/70</c:v>
                </c:pt>
                <c:pt idx="548">
                  <c:v>ago/70</c:v>
                </c:pt>
                <c:pt idx="549">
                  <c:v>set/70</c:v>
                </c:pt>
                <c:pt idx="550">
                  <c:v>out/70</c:v>
                </c:pt>
                <c:pt idx="551">
                  <c:v>nov/70</c:v>
                </c:pt>
                <c:pt idx="552">
                  <c:v>dez/70</c:v>
                </c:pt>
                <c:pt idx="553">
                  <c:v>jan/71</c:v>
                </c:pt>
                <c:pt idx="554">
                  <c:v>fev/71</c:v>
                </c:pt>
                <c:pt idx="555">
                  <c:v>mar/71</c:v>
                </c:pt>
                <c:pt idx="556">
                  <c:v>abr/71</c:v>
                </c:pt>
                <c:pt idx="557">
                  <c:v>mai/71</c:v>
                </c:pt>
                <c:pt idx="558">
                  <c:v>jun/71</c:v>
                </c:pt>
                <c:pt idx="559">
                  <c:v>jul/71</c:v>
                </c:pt>
                <c:pt idx="560">
                  <c:v>ago/71</c:v>
                </c:pt>
                <c:pt idx="561">
                  <c:v>set/71</c:v>
                </c:pt>
                <c:pt idx="562">
                  <c:v>out/71</c:v>
                </c:pt>
                <c:pt idx="563">
                  <c:v>nov/71</c:v>
                </c:pt>
                <c:pt idx="564">
                  <c:v>dez/71</c:v>
                </c:pt>
                <c:pt idx="565">
                  <c:v>jan/72</c:v>
                </c:pt>
                <c:pt idx="566">
                  <c:v>fev/72</c:v>
                </c:pt>
                <c:pt idx="567">
                  <c:v>mar/72</c:v>
                </c:pt>
                <c:pt idx="568">
                  <c:v>abr/72</c:v>
                </c:pt>
                <c:pt idx="569">
                  <c:v>mai/72</c:v>
                </c:pt>
                <c:pt idx="570">
                  <c:v>jun/72</c:v>
                </c:pt>
                <c:pt idx="571">
                  <c:v>jul/72</c:v>
                </c:pt>
                <c:pt idx="572">
                  <c:v>ago/72</c:v>
                </c:pt>
                <c:pt idx="573">
                  <c:v>set/72</c:v>
                </c:pt>
                <c:pt idx="574">
                  <c:v>out/72</c:v>
                </c:pt>
                <c:pt idx="575">
                  <c:v>nov/72</c:v>
                </c:pt>
                <c:pt idx="576">
                  <c:v>dez/72</c:v>
                </c:pt>
                <c:pt idx="577">
                  <c:v>jan/73</c:v>
                </c:pt>
                <c:pt idx="578">
                  <c:v>fev/73</c:v>
                </c:pt>
                <c:pt idx="579">
                  <c:v>mar/73</c:v>
                </c:pt>
                <c:pt idx="580">
                  <c:v>abr/73</c:v>
                </c:pt>
                <c:pt idx="581">
                  <c:v>mai/73</c:v>
                </c:pt>
                <c:pt idx="582">
                  <c:v>jun/73</c:v>
                </c:pt>
                <c:pt idx="583">
                  <c:v>jul/73</c:v>
                </c:pt>
                <c:pt idx="584">
                  <c:v>ago/73</c:v>
                </c:pt>
                <c:pt idx="585">
                  <c:v>set/73</c:v>
                </c:pt>
                <c:pt idx="586">
                  <c:v>out/73</c:v>
                </c:pt>
                <c:pt idx="587">
                  <c:v>nov/73</c:v>
                </c:pt>
                <c:pt idx="588">
                  <c:v>dez/73</c:v>
                </c:pt>
                <c:pt idx="589">
                  <c:v>jan/74</c:v>
                </c:pt>
                <c:pt idx="590">
                  <c:v>fev/74</c:v>
                </c:pt>
                <c:pt idx="591">
                  <c:v>mar/74</c:v>
                </c:pt>
                <c:pt idx="592">
                  <c:v>abr/74</c:v>
                </c:pt>
                <c:pt idx="593">
                  <c:v>mai/74</c:v>
                </c:pt>
                <c:pt idx="594">
                  <c:v>jun/74</c:v>
                </c:pt>
                <c:pt idx="595">
                  <c:v>jul/74</c:v>
                </c:pt>
                <c:pt idx="596">
                  <c:v>ago/74</c:v>
                </c:pt>
                <c:pt idx="597">
                  <c:v>set/74</c:v>
                </c:pt>
                <c:pt idx="598">
                  <c:v>out/74</c:v>
                </c:pt>
                <c:pt idx="599">
                  <c:v>nov/74</c:v>
                </c:pt>
                <c:pt idx="600">
                  <c:v>dez/74</c:v>
                </c:pt>
                <c:pt idx="601">
                  <c:v>jan/75</c:v>
                </c:pt>
                <c:pt idx="602">
                  <c:v>fev/75</c:v>
                </c:pt>
                <c:pt idx="603">
                  <c:v>mar/75</c:v>
                </c:pt>
                <c:pt idx="604">
                  <c:v>abr/75</c:v>
                </c:pt>
                <c:pt idx="605">
                  <c:v>mai/75</c:v>
                </c:pt>
                <c:pt idx="606">
                  <c:v>jun/75</c:v>
                </c:pt>
                <c:pt idx="607">
                  <c:v>jul/75</c:v>
                </c:pt>
                <c:pt idx="608">
                  <c:v>ago/75</c:v>
                </c:pt>
                <c:pt idx="609">
                  <c:v>set/75</c:v>
                </c:pt>
                <c:pt idx="610">
                  <c:v>out/75</c:v>
                </c:pt>
                <c:pt idx="611">
                  <c:v>nov/75</c:v>
                </c:pt>
                <c:pt idx="612">
                  <c:v>dez/75</c:v>
                </c:pt>
                <c:pt idx="613">
                  <c:v>jan/76</c:v>
                </c:pt>
                <c:pt idx="614">
                  <c:v>fev/76</c:v>
                </c:pt>
                <c:pt idx="615">
                  <c:v>mar/76</c:v>
                </c:pt>
                <c:pt idx="616">
                  <c:v>abr/76</c:v>
                </c:pt>
                <c:pt idx="617">
                  <c:v>mai/76</c:v>
                </c:pt>
                <c:pt idx="618">
                  <c:v>jun/76</c:v>
                </c:pt>
                <c:pt idx="619">
                  <c:v>jul/76</c:v>
                </c:pt>
                <c:pt idx="620">
                  <c:v>ago/76</c:v>
                </c:pt>
                <c:pt idx="621">
                  <c:v>set/76</c:v>
                </c:pt>
                <c:pt idx="622">
                  <c:v>out/76</c:v>
                </c:pt>
                <c:pt idx="623">
                  <c:v>nov/76</c:v>
                </c:pt>
                <c:pt idx="624">
                  <c:v>dez/76</c:v>
                </c:pt>
                <c:pt idx="625">
                  <c:v>jan/77</c:v>
                </c:pt>
                <c:pt idx="626">
                  <c:v>fev/77</c:v>
                </c:pt>
                <c:pt idx="627">
                  <c:v>mar/77</c:v>
                </c:pt>
                <c:pt idx="628">
                  <c:v>abr/77</c:v>
                </c:pt>
                <c:pt idx="629">
                  <c:v>mai/77</c:v>
                </c:pt>
                <c:pt idx="630">
                  <c:v>jun/77</c:v>
                </c:pt>
                <c:pt idx="631">
                  <c:v>jul/77</c:v>
                </c:pt>
                <c:pt idx="632">
                  <c:v>ago/77</c:v>
                </c:pt>
                <c:pt idx="633">
                  <c:v>set/77</c:v>
                </c:pt>
                <c:pt idx="634">
                  <c:v>out/77</c:v>
                </c:pt>
                <c:pt idx="635">
                  <c:v>nov/77</c:v>
                </c:pt>
                <c:pt idx="636">
                  <c:v>dez/77</c:v>
                </c:pt>
                <c:pt idx="637">
                  <c:v>jan/78</c:v>
                </c:pt>
                <c:pt idx="638">
                  <c:v>fev/78</c:v>
                </c:pt>
                <c:pt idx="639">
                  <c:v>mar/78</c:v>
                </c:pt>
                <c:pt idx="640">
                  <c:v>abr/78</c:v>
                </c:pt>
                <c:pt idx="641">
                  <c:v>mai/78</c:v>
                </c:pt>
                <c:pt idx="642">
                  <c:v>jun/78</c:v>
                </c:pt>
                <c:pt idx="643">
                  <c:v>jul/78</c:v>
                </c:pt>
                <c:pt idx="644">
                  <c:v>ago/78</c:v>
                </c:pt>
                <c:pt idx="645">
                  <c:v>set/78</c:v>
                </c:pt>
                <c:pt idx="646">
                  <c:v>out/78</c:v>
                </c:pt>
                <c:pt idx="647">
                  <c:v>nov/78</c:v>
                </c:pt>
                <c:pt idx="648">
                  <c:v>dez/78</c:v>
                </c:pt>
                <c:pt idx="649">
                  <c:v>jan/79</c:v>
                </c:pt>
                <c:pt idx="650">
                  <c:v>fev/79</c:v>
                </c:pt>
                <c:pt idx="651">
                  <c:v>mar/79</c:v>
                </c:pt>
                <c:pt idx="652">
                  <c:v>abr/79</c:v>
                </c:pt>
                <c:pt idx="653">
                  <c:v>mai/79</c:v>
                </c:pt>
                <c:pt idx="654">
                  <c:v>jun/79</c:v>
                </c:pt>
                <c:pt idx="655">
                  <c:v>jul/79</c:v>
                </c:pt>
                <c:pt idx="656">
                  <c:v>ago/79</c:v>
                </c:pt>
                <c:pt idx="657">
                  <c:v>set/79</c:v>
                </c:pt>
                <c:pt idx="658">
                  <c:v>out/79</c:v>
                </c:pt>
                <c:pt idx="659">
                  <c:v>nov/79</c:v>
                </c:pt>
                <c:pt idx="660">
                  <c:v>dez/79</c:v>
                </c:pt>
                <c:pt idx="661">
                  <c:v>jan/80</c:v>
                </c:pt>
                <c:pt idx="662">
                  <c:v>fev/80</c:v>
                </c:pt>
                <c:pt idx="663">
                  <c:v>mar/80</c:v>
                </c:pt>
                <c:pt idx="664">
                  <c:v>abr/80</c:v>
                </c:pt>
                <c:pt idx="665">
                  <c:v>mai/80</c:v>
                </c:pt>
                <c:pt idx="666">
                  <c:v>jun/80</c:v>
                </c:pt>
                <c:pt idx="667">
                  <c:v>jul/80</c:v>
                </c:pt>
                <c:pt idx="668">
                  <c:v>ago/80</c:v>
                </c:pt>
                <c:pt idx="669">
                  <c:v>set/80</c:v>
                </c:pt>
                <c:pt idx="670">
                  <c:v>out/80</c:v>
                </c:pt>
                <c:pt idx="671">
                  <c:v>nov/80</c:v>
                </c:pt>
                <c:pt idx="672">
                  <c:v>dez/80</c:v>
                </c:pt>
                <c:pt idx="673">
                  <c:v>jan/81</c:v>
                </c:pt>
                <c:pt idx="674">
                  <c:v>fev/81</c:v>
                </c:pt>
                <c:pt idx="675">
                  <c:v>mar/81</c:v>
                </c:pt>
                <c:pt idx="676">
                  <c:v>abr/81</c:v>
                </c:pt>
                <c:pt idx="677">
                  <c:v>mai/81</c:v>
                </c:pt>
                <c:pt idx="678">
                  <c:v>jun/81</c:v>
                </c:pt>
                <c:pt idx="679">
                  <c:v>jul/81</c:v>
                </c:pt>
                <c:pt idx="680">
                  <c:v>ago/81</c:v>
                </c:pt>
                <c:pt idx="681">
                  <c:v>set/81</c:v>
                </c:pt>
                <c:pt idx="682">
                  <c:v>out/81</c:v>
                </c:pt>
                <c:pt idx="683">
                  <c:v>nov/81</c:v>
                </c:pt>
                <c:pt idx="684">
                  <c:v>dez/81</c:v>
                </c:pt>
                <c:pt idx="685">
                  <c:v>jan/82</c:v>
                </c:pt>
                <c:pt idx="686">
                  <c:v>fev/82</c:v>
                </c:pt>
                <c:pt idx="687">
                  <c:v>mar/82</c:v>
                </c:pt>
                <c:pt idx="688">
                  <c:v>abr/82</c:v>
                </c:pt>
                <c:pt idx="689">
                  <c:v>mai/82</c:v>
                </c:pt>
                <c:pt idx="690">
                  <c:v>jun/82</c:v>
                </c:pt>
                <c:pt idx="691">
                  <c:v>jul/82</c:v>
                </c:pt>
                <c:pt idx="692">
                  <c:v>ago/82</c:v>
                </c:pt>
                <c:pt idx="693">
                  <c:v>set/82</c:v>
                </c:pt>
                <c:pt idx="694">
                  <c:v>out/82</c:v>
                </c:pt>
                <c:pt idx="695">
                  <c:v>nov/82</c:v>
                </c:pt>
                <c:pt idx="696">
                  <c:v>dez/82</c:v>
                </c:pt>
                <c:pt idx="697">
                  <c:v>jan/83</c:v>
                </c:pt>
                <c:pt idx="698">
                  <c:v>fev/83</c:v>
                </c:pt>
                <c:pt idx="699">
                  <c:v>mar/83</c:v>
                </c:pt>
                <c:pt idx="700">
                  <c:v>abr/83</c:v>
                </c:pt>
                <c:pt idx="701">
                  <c:v>mai/83</c:v>
                </c:pt>
                <c:pt idx="702">
                  <c:v>jun/83</c:v>
                </c:pt>
                <c:pt idx="703">
                  <c:v>jul/83</c:v>
                </c:pt>
                <c:pt idx="704">
                  <c:v>ago/83</c:v>
                </c:pt>
                <c:pt idx="705">
                  <c:v>set/83</c:v>
                </c:pt>
                <c:pt idx="706">
                  <c:v>out/83</c:v>
                </c:pt>
                <c:pt idx="707">
                  <c:v>nov/83</c:v>
                </c:pt>
                <c:pt idx="708">
                  <c:v>dez/83</c:v>
                </c:pt>
                <c:pt idx="709">
                  <c:v>jan/84</c:v>
                </c:pt>
                <c:pt idx="710">
                  <c:v>fev/84</c:v>
                </c:pt>
                <c:pt idx="711">
                  <c:v>mar/84</c:v>
                </c:pt>
                <c:pt idx="712">
                  <c:v>abr/84</c:v>
                </c:pt>
                <c:pt idx="713">
                  <c:v>mai/84</c:v>
                </c:pt>
                <c:pt idx="714">
                  <c:v>jun/84</c:v>
                </c:pt>
                <c:pt idx="715">
                  <c:v>jul/84</c:v>
                </c:pt>
                <c:pt idx="716">
                  <c:v>ago/84</c:v>
                </c:pt>
                <c:pt idx="717">
                  <c:v>set/84</c:v>
                </c:pt>
                <c:pt idx="718">
                  <c:v>out/84</c:v>
                </c:pt>
                <c:pt idx="719">
                  <c:v>nov/84</c:v>
                </c:pt>
                <c:pt idx="720">
                  <c:v>dez/84</c:v>
                </c:pt>
                <c:pt idx="721">
                  <c:v>jan/85</c:v>
                </c:pt>
                <c:pt idx="722">
                  <c:v>fev/85</c:v>
                </c:pt>
                <c:pt idx="723">
                  <c:v>mar/85</c:v>
                </c:pt>
                <c:pt idx="724">
                  <c:v>abr/85</c:v>
                </c:pt>
                <c:pt idx="725">
                  <c:v>mai/85</c:v>
                </c:pt>
                <c:pt idx="726">
                  <c:v>jun/85</c:v>
                </c:pt>
                <c:pt idx="727">
                  <c:v>jul/85</c:v>
                </c:pt>
                <c:pt idx="728">
                  <c:v>ago/85</c:v>
                </c:pt>
                <c:pt idx="729">
                  <c:v>set/85</c:v>
                </c:pt>
                <c:pt idx="730">
                  <c:v>out/85</c:v>
                </c:pt>
                <c:pt idx="731">
                  <c:v>nov/85</c:v>
                </c:pt>
                <c:pt idx="732">
                  <c:v>dez/85</c:v>
                </c:pt>
                <c:pt idx="733">
                  <c:v>jan/86</c:v>
                </c:pt>
                <c:pt idx="734">
                  <c:v>fev/86</c:v>
                </c:pt>
                <c:pt idx="735">
                  <c:v>mar/86</c:v>
                </c:pt>
                <c:pt idx="736">
                  <c:v>abr/86</c:v>
                </c:pt>
                <c:pt idx="737">
                  <c:v>mai/86</c:v>
                </c:pt>
                <c:pt idx="738">
                  <c:v>jun/86</c:v>
                </c:pt>
                <c:pt idx="739">
                  <c:v>jul/86</c:v>
                </c:pt>
                <c:pt idx="740">
                  <c:v>ago/86</c:v>
                </c:pt>
                <c:pt idx="741">
                  <c:v>set/86</c:v>
                </c:pt>
                <c:pt idx="742">
                  <c:v>out/86</c:v>
                </c:pt>
                <c:pt idx="743">
                  <c:v>nov/86</c:v>
                </c:pt>
                <c:pt idx="744">
                  <c:v>dez/86</c:v>
                </c:pt>
                <c:pt idx="745">
                  <c:v>jan/87</c:v>
                </c:pt>
                <c:pt idx="746">
                  <c:v>fev/87</c:v>
                </c:pt>
                <c:pt idx="747">
                  <c:v>mar/87</c:v>
                </c:pt>
                <c:pt idx="748">
                  <c:v>abr/87</c:v>
                </c:pt>
                <c:pt idx="749">
                  <c:v>mai/87</c:v>
                </c:pt>
                <c:pt idx="750">
                  <c:v>jun/87</c:v>
                </c:pt>
                <c:pt idx="751">
                  <c:v>jul/87</c:v>
                </c:pt>
                <c:pt idx="752">
                  <c:v>ago/87</c:v>
                </c:pt>
                <c:pt idx="753">
                  <c:v>set/87</c:v>
                </c:pt>
                <c:pt idx="754">
                  <c:v>out/87</c:v>
                </c:pt>
                <c:pt idx="755">
                  <c:v>nov/87</c:v>
                </c:pt>
                <c:pt idx="756">
                  <c:v>dez/87</c:v>
                </c:pt>
                <c:pt idx="757">
                  <c:v>jan/88</c:v>
                </c:pt>
                <c:pt idx="758">
                  <c:v>fev/88</c:v>
                </c:pt>
                <c:pt idx="759">
                  <c:v>mar/88</c:v>
                </c:pt>
                <c:pt idx="760">
                  <c:v>abr/88</c:v>
                </c:pt>
                <c:pt idx="761">
                  <c:v>mai/88</c:v>
                </c:pt>
                <c:pt idx="762">
                  <c:v>jun/88</c:v>
                </c:pt>
                <c:pt idx="763">
                  <c:v>jul/88</c:v>
                </c:pt>
                <c:pt idx="764">
                  <c:v>ago/88</c:v>
                </c:pt>
                <c:pt idx="765">
                  <c:v>set/88</c:v>
                </c:pt>
                <c:pt idx="766">
                  <c:v>out/88</c:v>
                </c:pt>
                <c:pt idx="767">
                  <c:v>nov/88</c:v>
                </c:pt>
                <c:pt idx="768">
                  <c:v>dez/88</c:v>
                </c:pt>
                <c:pt idx="769">
                  <c:v>jan/89</c:v>
                </c:pt>
                <c:pt idx="770">
                  <c:v>fev/89</c:v>
                </c:pt>
                <c:pt idx="771">
                  <c:v>mar/89</c:v>
                </c:pt>
                <c:pt idx="772">
                  <c:v>abr/89</c:v>
                </c:pt>
                <c:pt idx="773">
                  <c:v>mai/89</c:v>
                </c:pt>
                <c:pt idx="774">
                  <c:v>jun/89</c:v>
                </c:pt>
                <c:pt idx="775">
                  <c:v>jul/89</c:v>
                </c:pt>
                <c:pt idx="776">
                  <c:v>ago/89</c:v>
                </c:pt>
                <c:pt idx="777">
                  <c:v>set/89</c:v>
                </c:pt>
                <c:pt idx="778">
                  <c:v>out/89</c:v>
                </c:pt>
                <c:pt idx="779">
                  <c:v>nov/89</c:v>
                </c:pt>
                <c:pt idx="780">
                  <c:v>dez/89</c:v>
                </c:pt>
                <c:pt idx="781">
                  <c:v>jan/90</c:v>
                </c:pt>
                <c:pt idx="782">
                  <c:v>fev/90</c:v>
                </c:pt>
                <c:pt idx="783">
                  <c:v>mar/90</c:v>
                </c:pt>
                <c:pt idx="784">
                  <c:v>abr/90</c:v>
                </c:pt>
                <c:pt idx="785">
                  <c:v>mai/90</c:v>
                </c:pt>
                <c:pt idx="786">
                  <c:v>jun/90</c:v>
                </c:pt>
                <c:pt idx="787">
                  <c:v>jul/90</c:v>
                </c:pt>
                <c:pt idx="788">
                  <c:v>ago/90</c:v>
                </c:pt>
                <c:pt idx="789">
                  <c:v>set/90</c:v>
                </c:pt>
                <c:pt idx="790">
                  <c:v>out/90</c:v>
                </c:pt>
                <c:pt idx="791">
                  <c:v>nov/90</c:v>
                </c:pt>
                <c:pt idx="792">
                  <c:v>dez/90</c:v>
                </c:pt>
                <c:pt idx="793">
                  <c:v>jan/91</c:v>
                </c:pt>
                <c:pt idx="794">
                  <c:v>fev/91</c:v>
                </c:pt>
                <c:pt idx="795">
                  <c:v>mar/91</c:v>
                </c:pt>
                <c:pt idx="796">
                  <c:v>abr/91</c:v>
                </c:pt>
                <c:pt idx="797">
                  <c:v>mai/91</c:v>
                </c:pt>
                <c:pt idx="798">
                  <c:v>jun/91</c:v>
                </c:pt>
                <c:pt idx="799">
                  <c:v>jul/91</c:v>
                </c:pt>
                <c:pt idx="800">
                  <c:v>ago/91</c:v>
                </c:pt>
                <c:pt idx="801">
                  <c:v>set/91</c:v>
                </c:pt>
                <c:pt idx="802">
                  <c:v>out/91</c:v>
                </c:pt>
                <c:pt idx="803">
                  <c:v>nov/91</c:v>
                </c:pt>
                <c:pt idx="804">
                  <c:v>dez/91</c:v>
                </c:pt>
                <c:pt idx="805">
                  <c:v>jan/92</c:v>
                </c:pt>
                <c:pt idx="806">
                  <c:v>fev/92</c:v>
                </c:pt>
                <c:pt idx="807">
                  <c:v>mar/92</c:v>
                </c:pt>
                <c:pt idx="808">
                  <c:v>abr/92</c:v>
                </c:pt>
                <c:pt idx="809">
                  <c:v>mai/92</c:v>
                </c:pt>
                <c:pt idx="810">
                  <c:v>jun/92</c:v>
                </c:pt>
                <c:pt idx="811">
                  <c:v>jul/92</c:v>
                </c:pt>
                <c:pt idx="812">
                  <c:v>ago/92</c:v>
                </c:pt>
                <c:pt idx="813">
                  <c:v>set/92</c:v>
                </c:pt>
                <c:pt idx="814">
                  <c:v>out/92</c:v>
                </c:pt>
                <c:pt idx="815">
                  <c:v>nov/92</c:v>
                </c:pt>
                <c:pt idx="816">
                  <c:v>dez/92</c:v>
                </c:pt>
                <c:pt idx="817">
                  <c:v>jan/93</c:v>
                </c:pt>
                <c:pt idx="818">
                  <c:v>fev/93</c:v>
                </c:pt>
                <c:pt idx="819">
                  <c:v>mar/93</c:v>
                </c:pt>
                <c:pt idx="820">
                  <c:v>abr/93</c:v>
                </c:pt>
                <c:pt idx="821">
                  <c:v>mai/93</c:v>
                </c:pt>
                <c:pt idx="822">
                  <c:v>jun/93</c:v>
                </c:pt>
                <c:pt idx="823">
                  <c:v>jul/93</c:v>
                </c:pt>
                <c:pt idx="824">
                  <c:v>ago/93</c:v>
                </c:pt>
                <c:pt idx="825">
                  <c:v>set/93</c:v>
                </c:pt>
                <c:pt idx="826">
                  <c:v>out/93</c:v>
                </c:pt>
                <c:pt idx="827">
                  <c:v>nov/93</c:v>
                </c:pt>
                <c:pt idx="828">
                  <c:v>dez/93</c:v>
                </c:pt>
                <c:pt idx="829">
                  <c:v>jan/94</c:v>
                </c:pt>
                <c:pt idx="830">
                  <c:v>fev/94</c:v>
                </c:pt>
                <c:pt idx="831">
                  <c:v>mar/94</c:v>
                </c:pt>
                <c:pt idx="832">
                  <c:v>abr/94</c:v>
                </c:pt>
                <c:pt idx="833">
                  <c:v>mai/94</c:v>
                </c:pt>
                <c:pt idx="834">
                  <c:v>jun/94</c:v>
                </c:pt>
                <c:pt idx="835">
                  <c:v>jul/94</c:v>
                </c:pt>
                <c:pt idx="836">
                  <c:v>ago/94</c:v>
                </c:pt>
                <c:pt idx="837">
                  <c:v>set/94</c:v>
                </c:pt>
                <c:pt idx="838">
                  <c:v>out/94</c:v>
                </c:pt>
                <c:pt idx="839">
                  <c:v>nov/94</c:v>
                </c:pt>
                <c:pt idx="840">
                  <c:v>dez/94</c:v>
                </c:pt>
                <c:pt idx="841">
                  <c:v>jan/95</c:v>
                </c:pt>
                <c:pt idx="842">
                  <c:v>fev/95</c:v>
                </c:pt>
                <c:pt idx="843">
                  <c:v>mar/95</c:v>
                </c:pt>
                <c:pt idx="844">
                  <c:v>abr/95</c:v>
                </c:pt>
                <c:pt idx="845">
                  <c:v>mai/95</c:v>
                </c:pt>
                <c:pt idx="846">
                  <c:v>jun/95</c:v>
                </c:pt>
                <c:pt idx="847">
                  <c:v>jul/95</c:v>
                </c:pt>
                <c:pt idx="848">
                  <c:v>ago/95</c:v>
                </c:pt>
                <c:pt idx="849">
                  <c:v>set/95</c:v>
                </c:pt>
                <c:pt idx="850">
                  <c:v>out/95</c:v>
                </c:pt>
                <c:pt idx="851">
                  <c:v>nov/95</c:v>
                </c:pt>
                <c:pt idx="852">
                  <c:v>dez/95</c:v>
                </c:pt>
                <c:pt idx="853">
                  <c:v>jan/96</c:v>
                </c:pt>
                <c:pt idx="854">
                  <c:v>fev/96</c:v>
                </c:pt>
                <c:pt idx="855">
                  <c:v>mar/96</c:v>
                </c:pt>
                <c:pt idx="856">
                  <c:v>abr/96</c:v>
                </c:pt>
                <c:pt idx="857">
                  <c:v>mai/96</c:v>
                </c:pt>
                <c:pt idx="858">
                  <c:v>jun/96</c:v>
                </c:pt>
                <c:pt idx="859">
                  <c:v>jul/96</c:v>
                </c:pt>
                <c:pt idx="860">
                  <c:v>ago/96</c:v>
                </c:pt>
                <c:pt idx="861">
                  <c:v>set/96</c:v>
                </c:pt>
                <c:pt idx="862">
                  <c:v>out/96</c:v>
                </c:pt>
                <c:pt idx="863">
                  <c:v>nov/96</c:v>
                </c:pt>
                <c:pt idx="864">
                  <c:v>dez/96</c:v>
                </c:pt>
                <c:pt idx="865">
                  <c:v>jan/97</c:v>
                </c:pt>
                <c:pt idx="866">
                  <c:v>fev/97</c:v>
                </c:pt>
                <c:pt idx="867">
                  <c:v>mar/97</c:v>
                </c:pt>
                <c:pt idx="868">
                  <c:v>abr/97</c:v>
                </c:pt>
                <c:pt idx="869">
                  <c:v>mai/97</c:v>
                </c:pt>
                <c:pt idx="870">
                  <c:v>jun/97</c:v>
                </c:pt>
                <c:pt idx="871">
                  <c:v>jul/97</c:v>
                </c:pt>
                <c:pt idx="872">
                  <c:v>ago/97</c:v>
                </c:pt>
                <c:pt idx="873">
                  <c:v>set/97</c:v>
                </c:pt>
                <c:pt idx="874">
                  <c:v>out/97</c:v>
                </c:pt>
                <c:pt idx="875">
                  <c:v>nov/97</c:v>
                </c:pt>
                <c:pt idx="876">
                  <c:v>dez/97</c:v>
                </c:pt>
                <c:pt idx="877">
                  <c:v>jan/98</c:v>
                </c:pt>
                <c:pt idx="878">
                  <c:v>fev/98</c:v>
                </c:pt>
                <c:pt idx="879">
                  <c:v>mar/98</c:v>
                </c:pt>
                <c:pt idx="880">
                  <c:v>abr/98</c:v>
                </c:pt>
                <c:pt idx="881">
                  <c:v>mai/98</c:v>
                </c:pt>
                <c:pt idx="882">
                  <c:v>jun/98</c:v>
                </c:pt>
                <c:pt idx="883">
                  <c:v>jul/98</c:v>
                </c:pt>
                <c:pt idx="884">
                  <c:v>ago/98</c:v>
                </c:pt>
                <c:pt idx="885">
                  <c:v>set/98</c:v>
                </c:pt>
                <c:pt idx="886">
                  <c:v>out/98</c:v>
                </c:pt>
                <c:pt idx="887">
                  <c:v>nov/98</c:v>
                </c:pt>
                <c:pt idx="888">
                  <c:v>dez/98</c:v>
                </c:pt>
                <c:pt idx="889">
                  <c:v>jan/99</c:v>
                </c:pt>
                <c:pt idx="890">
                  <c:v>fev/99</c:v>
                </c:pt>
                <c:pt idx="891">
                  <c:v>mar/99</c:v>
                </c:pt>
                <c:pt idx="892">
                  <c:v>abr/99</c:v>
                </c:pt>
                <c:pt idx="893">
                  <c:v>mai/99</c:v>
                </c:pt>
                <c:pt idx="894">
                  <c:v>jun/99</c:v>
                </c:pt>
                <c:pt idx="895">
                  <c:v>jul/99</c:v>
                </c:pt>
                <c:pt idx="896">
                  <c:v>ago/99</c:v>
                </c:pt>
                <c:pt idx="897">
                  <c:v>set/99</c:v>
                </c:pt>
                <c:pt idx="898">
                  <c:v>out/99</c:v>
                </c:pt>
                <c:pt idx="899">
                  <c:v>nov/99</c:v>
                </c:pt>
                <c:pt idx="900">
                  <c:v>dez/99</c:v>
                </c:pt>
                <c:pt idx="901">
                  <c:v>jan/00</c:v>
                </c:pt>
                <c:pt idx="902">
                  <c:v>fev/00</c:v>
                </c:pt>
                <c:pt idx="903">
                  <c:v>mar/00</c:v>
                </c:pt>
                <c:pt idx="904">
                  <c:v>abr/00</c:v>
                </c:pt>
                <c:pt idx="905">
                  <c:v>mai/00</c:v>
                </c:pt>
                <c:pt idx="906">
                  <c:v>jun/00</c:v>
                </c:pt>
                <c:pt idx="907">
                  <c:v>jul/00</c:v>
                </c:pt>
                <c:pt idx="908">
                  <c:v>ago/00</c:v>
                </c:pt>
                <c:pt idx="909">
                  <c:v>set/00</c:v>
                </c:pt>
                <c:pt idx="910">
                  <c:v>out/00</c:v>
                </c:pt>
                <c:pt idx="911">
                  <c:v>nov/00</c:v>
                </c:pt>
                <c:pt idx="912">
                  <c:v>dez/00</c:v>
                </c:pt>
                <c:pt idx="913">
                  <c:v>jan/01</c:v>
                </c:pt>
                <c:pt idx="914">
                  <c:v>fev/01</c:v>
                </c:pt>
                <c:pt idx="915">
                  <c:v>mar/01</c:v>
                </c:pt>
                <c:pt idx="916">
                  <c:v>abr/01</c:v>
                </c:pt>
                <c:pt idx="917">
                  <c:v>mai/01</c:v>
                </c:pt>
                <c:pt idx="918">
                  <c:v>jun/01</c:v>
                </c:pt>
                <c:pt idx="919">
                  <c:v>jul/01</c:v>
                </c:pt>
                <c:pt idx="920">
                  <c:v>ago/01</c:v>
                </c:pt>
                <c:pt idx="921">
                  <c:v>set/01</c:v>
                </c:pt>
                <c:pt idx="922">
                  <c:v>out/01</c:v>
                </c:pt>
                <c:pt idx="923">
                  <c:v>nov/01</c:v>
                </c:pt>
                <c:pt idx="924">
                  <c:v>dez/01</c:v>
                </c:pt>
                <c:pt idx="925">
                  <c:v>jan/02</c:v>
                </c:pt>
                <c:pt idx="926">
                  <c:v>fev/02</c:v>
                </c:pt>
                <c:pt idx="927">
                  <c:v>mar/02</c:v>
                </c:pt>
                <c:pt idx="928">
                  <c:v>abr/02</c:v>
                </c:pt>
                <c:pt idx="929">
                  <c:v>mai/02</c:v>
                </c:pt>
                <c:pt idx="930">
                  <c:v>jun/02</c:v>
                </c:pt>
                <c:pt idx="931">
                  <c:v>jul/02</c:v>
                </c:pt>
                <c:pt idx="932">
                  <c:v>ago/02</c:v>
                </c:pt>
                <c:pt idx="933">
                  <c:v>set/02</c:v>
                </c:pt>
                <c:pt idx="934">
                  <c:v>out/02</c:v>
                </c:pt>
                <c:pt idx="935">
                  <c:v>nov/02</c:v>
                </c:pt>
                <c:pt idx="936">
                  <c:v>dez/02</c:v>
                </c:pt>
                <c:pt idx="937">
                  <c:v>jan/03</c:v>
                </c:pt>
                <c:pt idx="938">
                  <c:v>fev/03</c:v>
                </c:pt>
                <c:pt idx="939">
                  <c:v>mar/03</c:v>
                </c:pt>
                <c:pt idx="940">
                  <c:v>abr/03</c:v>
                </c:pt>
                <c:pt idx="941">
                  <c:v>mai/03</c:v>
                </c:pt>
                <c:pt idx="942">
                  <c:v>jun/03</c:v>
                </c:pt>
                <c:pt idx="943">
                  <c:v>jul/03</c:v>
                </c:pt>
                <c:pt idx="944">
                  <c:v>ago/03</c:v>
                </c:pt>
                <c:pt idx="945">
                  <c:v>set/03</c:v>
                </c:pt>
                <c:pt idx="946">
                  <c:v>out/03</c:v>
                </c:pt>
                <c:pt idx="947">
                  <c:v>nov/03</c:v>
                </c:pt>
                <c:pt idx="948">
                  <c:v>dez/03</c:v>
                </c:pt>
                <c:pt idx="949">
                  <c:v>jan/04</c:v>
                </c:pt>
                <c:pt idx="950">
                  <c:v>fev/04</c:v>
                </c:pt>
                <c:pt idx="951">
                  <c:v>mar/04</c:v>
                </c:pt>
                <c:pt idx="952">
                  <c:v>abr/04</c:v>
                </c:pt>
                <c:pt idx="953">
                  <c:v>mai/04</c:v>
                </c:pt>
                <c:pt idx="954">
                  <c:v>jun/04</c:v>
                </c:pt>
                <c:pt idx="955">
                  <c:v>jul/04</c:v>
                </c:pt>
                <c:pt idx="956">
                  <c:v>ago/04</c:v>
                </c:pt>
                <c:pt idx="957">
                  <c:v>set/04</c:v>
                </c:pt>
                <c:pt idx="958">
                  <c:v>out/04</c:v>
                </c:pt>
                <c:pt idx="959">
                  <c:v>nov/04</c:v>
                </c:pt>
                <c:pt idx="960">
                  <c:v>dez/04</c:v>
                </c:pt>
                <c:pt idx="961">
                  <c:v>jan/05</c:v>
                </c:pt>
                <c:pt idx="962">
                  <c:v>fev/05</c:v>
                </c:pt>
                <c:pt idx="963">
                  <c:v>mar/05</c:v>
                </c:pt>
                <c:pt idx="964">
                  <c:v>abr/05</c:v>
                </c:pt>
                <c:pt idx="965">
                  <c:v>mai/05</c:v>
                </c:pt>
                <c:pt idx="966">
                  <c:v>jun/05</c:v>
                </c:pt>
                <c:pt idx="967">
                  <c:v>jul/05</c:v>
                </c:pt>
                <c:pt idx="968">
                  <c:v>ago/05</c:v>
                </c:pt>
                <c:pt idx="969">
                  <c:v>set/05</c:v>
                </c:pt>
                <c:pt idx="970">
                  <c:v>out/05</c:v>
                </c:pt>
                <c:pt idx="971">
                  <c:v>nov/05</c:v>
                </c:pt>
                <c:pt idx="972">
                  <c:v>dez/05</c:v>
                </c:pt>
                <c:pt idx="973">
                  <c:v>jan/06</c:v>
                </c:pt>
                <c:pt idx="974">
                  <c:v>fev/06</c:v>
                </c:pt>
                <c:pt idx="975">
                  <c:v>mar/06</c:v>
                </c:pt>
                <c:pt idx="976">
                  <c:v>abr/06</c:v>
                </c:pt>
                <c:pt idx="977">
                  <c:v>mai/06</c:v>
                </c:pt>
                <c:pt idx="978">
                  <c:v>jun/06</c:v>
                </c:pt>
                <c:pt idx="979">
                  <c:v>jul/06</c:v>
                </c:pt>
                <c:pt idx="980">
                  <c:v>ago/06</c:v>
                </c:pt>
                <c:pt idx="981">
                  <c:v>set/06</c:v>
                </c:pt>
                <c:pt idx="982">
                  <c:v>out/06</c:v>
                </c:pt>
                <c:pt idx="983">
                  <c:v>nov/06</c:v>
                </c:pt>
                <c:pt idx="984">
                  <c:v>dez/06</c:v>
                </c:pt>
                <c:pt idx="985">
                  <c:v>jan/07</c:v>
                </c:pt>
                <c:pt idx="986">
                  <c:v>fev/07</c:v>
                </c:pt>
                <c:pt idx="987">
                  <c:v>mar/07</c:v>
                </c:pt>
                <c:pt idx="988">
                  <c:v>abr/07</c:v>
                </c:pt>
                <c:pt idx="989">
                  <c:v>mai/07</c:v>
                </c:pt>
                <c:pt idx="990">
                  <c:v>jun/07</c:v>
                </c:pt>
                <c:pt idx="991">
                  <c:v>jul/07</c:v>
                </c:pt>
                <c:pt idx="992">
                  <c:v>ago/07</c:v>
                </c:pt>
                <c:pt idx="993">
                  <c:v>set/07</c:v>
                </c:pt>
                <c:pt idx="994">
                  <c:v>out/07</c:v>
                </c:pt>
                <c:pt idx="995">
                  <c:v>nov/07</c:v>
                </c:pt>
                <c:pt idx="996">
                  <c:v>dez/07</c:v>
                </c:pt>
                <c:pt idx="997">
                  <c:v>jan/08</c:v>
                </c:pt>
                <c:pt idx="998">
                  <c:v>fev/08</c:v>
                </c:pt>
                <c:pt idx="999">
                  <c:v>mar/08</c:v>
                </c:pt>
                <c:pt idx="1000">
                  <c:v>abr/08</c:v>
                </c:pt>
                <c:pt idx="1001">
                  <c:v>mai/08</c:v>
                </c:pt>
                <c:pt idx="1002">
                  <c:v>jun/08</c:v>
                </c:pt>
                <c:pt idx="1003">
                  <c:v>jul/08</c:v>
                </c:pt>
                <c:pt idx="1004">
                  <c:v>ago/08</c:v>
                </c:pt>
                <c:pt idx="1005">
                  <c:v>set/08</c:v>
                </c:pt>
                <c:pt idx="1006">
                  <c:v>out/08</c:v>
                </c:pt>
                <c:pt idx="1007">
                  <c:v>nov/08</c:v>
                </c:pt>
                <c:pt idx="1008">
                  <c:v>dez/08</c:v>
                </c:pt>
                <c:pt idx="1009">
                  <c:v>jan/09</c:v>
                </c:pt>
                <c:pt idx="1010">
                  <c:v>fev/09</c:v>
                </c:pt>
                <c:pt idx="1011">
                  <c:v>mar/09</c:v>
                </c:pt>
                <c:pt idx="1012">
                  <c:v>abr/09</c:v>
                </c:pt>
                <c:pt idx="1013">
                  <c:v>mai/09</c:v>
                </c:pt>
                <c:pt idx="1014">
                  <c:v>jun/09</c:v>
                </c:pt>
                <c:pt idx="1015">
                  <c:v>jul/09</c:v>
                </c:pt>
                <c:pt idx="1016">
                  <c:v>ago/09</c:v>
                </c:pt>
                <c:pt idx="1017">
                  <c:v>set/09</c:v>
                </c:pt>
                <c:pt idx="1018">
                  <c:v>out/09</c:v>
                </c:pt>
                <c:pt idx="1019">
                  <c:v>nov/09</c:v>
                </c:pt>
                <c:pt idx="1020">
                  <c:v>dez/09</c:v>
                </c:pt>
                <c:pt idx="1021">
                  <c:v>jan/10</c:v>
                </c:pt>
                <c:pt idx="1022">
                  <c:v>fev/10</c:v>
                </c:pt>
                <c:pt idx="1023">
                  <c:v>mar/10</c:v>
                </c:pt>
                <c:pt idx="1024">
                  <c:v>abr/10</c:v>
                </c:pt>
                <c:pt idx="1025">
                  <c:v>mai/10</c:v>
                </c:pt>
                <c:pt idx="1026">
                  <c:v>jun/10</c:v>
                </c:pt>
                <c:pt idx="1027">
                  <c:v>jul/10</c:v>
                </c:pt>
                <c:pt idx="1028">
                  <c:v>ago/10</c:v>
                </c:pt>
                <c:pt idx="1029">
                  <c:v>set/10</c:v>
                </c:pt>
                <c:pt idx="1030">
                  <c:v>out/10</c:v>
                </c:pt>
                <c:pt idx="1031">
                  <c:v>nov/10</c:v>
                </c:pt>
                <c:pt idx="1032">
                  <c:v>dez/10</c:v>
                </c:pt>
                <c:pt idx="1033">
                  <c:v>jan/11</c:v>
                </c:pt>
                <c:pt idx="1034">
                  <c:v>fev/11</c:v>
                </c:pt>
                <c:pt idx="1035">
                  <c:v>mar/11</c:v>
                </c:pt>
                <c:pt idx="1036">
                  <c:v>abr/11</c:v>
                </c:pt>
                <c:pt idx="1037">
                  <c:v>mai/11</c:v>
                </c:pt>
                <c:pt idx="1038">
                  <c:v>jun/11</c:v>
                </c:pt>
                <c:pt idx="1039">
                  <c:v>jul/11</c:v>
                </c:pt>
                <c:pt idx="1040">
                  <c:v>ago/11</c:v>
                </c:pt>
                <c:pt idx="1041">
                  <c:v>set/11</c:v>
                </c:pt>
                <c:pt idx="1042">
                  <c:v>out/11</c:v>
                </c:pt>
                <c:pt idx="1043">
                  <c:v>nov/11</c:v>
                </c:pt>
                <c:pt idx="1044">
                  <c:v>dez/11</c:v>
                </c:pt>
                <c:pt idx="1045">
                  <c:v>jan/12</c:v>
                </c:pt>
                <c:pt idx="1046">
                  <c:v>fev/12</c:v>
                </c:pt>
                <c:pt idx="1047">
                  <c:v>mar/12</c:v>
                </c:pt>
                <c:pt idx="1048">
                  <c:v>abr/12</c:v>
                </c:pt>
                <c:pt idx="1049">
                  <c:v>mai/12</c:v>
                </c:pt>
                <c:pt idx="1050">
                  <c:v>jun/12</c:v>
                </c:pt>
                <c:pt idx="1051">
                  <c:v>jul/12</c:v>
                </c:pt>
                <c:pt idx="1052">
                  <c:v>ago/12</c:v>
                </c:pt>
                <c:pt idx="1053">
                  <c:v>set/12</c:v>
                </c:pt>
                <c:pt idx="1054">
                  <c:v>out/12</c:v>
                </c:pt>
                <c:pt idx="1055">
                  <c:v>nov/12</c:v>
                </c:pt>
                <c:pt idx="1056">
                  <c:v>dez/12</c:v>
                </c:pt>
                <c:pt idx="1057">
                  <c:v>jan/13</c:v>
                </c:pt>
                <c:pt idx="1058">
                  <c:v>fev/13</c:v>
                </c:pt>
                <c:pt idx="1059">
                  <c:v>mar/13</c:v>
                </c:pt>
                <c:pt idx="1060">
                  <c:v>abr/13</c:v>
                </c:pt>
                <c:pt idx="1061">
                  <c:v>mai/13</c:v>
                </c:pt>
                <c:pt idx="1062">
                  <c:v>jun/13</c:v>
                </c:pt>
                <c:pt idx="1063">
                  <c:v>jul/13</c:v>
                </c:pt>
                <c:pt idx="1064">
                  <c:v>ago/13</c:v>
                </c:pt>
                <c:pt idx="1065">
                  <c:v>set/13</c:v>
                </c:pt>
                <c:pt idx="1066">
                  <c:v>out/13</c:v>
                </c:pt>
                <c:pt idx="1067">
                  <c:v>nov/13</c:v>
                </c:pt>
                <c:pt idx="1068">
                  <c:v>dez/13</c:v>
                </c:pt>
                <c:pt idx="1069">
                  <c:v>jan/14</c:v>
                </c:pt>
                <c:pt idx="1070">
                  <c:v>fev/14</c:v>
                </c:pt>
                <c:pt idx="1071">
                  <c:v>mar/14</c:v>
                </c:pt>
                <c:pt idx="1072">
                  <c:v>abr/14</c:v>
                </c:pt>
                <c:pt idx="1073">
                  <c:v>mai/14</c:v>
                </c:pt>
                <c:pt idx="1074">
                  <c:v>jun/14</c:v>
                </c:pt>
                <c:pt idx="1075">
                  <c:v>jul/14</c:v>
                </c:pt>
                <c:pt idx="1076">
                  <c:v>ago/14</c:v>
                </c:pt>
                <c:pt idx="1077">
                  <c:v>set/14</c:v>
                </c:pt>
                <c:pt idx="1078">
                  <c:v>out/14</c:v>
                </c:pt>
                <c:pt idx="1079">
                  <c:v>nov/14</c:v>
                </c:pt>
                <c:pt idx="1080">
                  <c:v>dez/14</c:v>
                </c:pt>
                <c:pt idx="1081">
                  <c:v>jan/15</c:v>
                </c:pt>
                <c:pt idx="1082">
                  <c:v>fev/15</c:v>
                </c:pt>
                <c:pt idx="1083">
                  <c:v>mar/15</c:v>
                </c:pt>
                <c:pt idx="1084">
                  <c:v>abr/15</c:v>
                </c:pt>
                <c:pt idx="1085">
                  <c:v>mai/15</c:v>
                </c:pt>
                <c:pt idx="1086">
                  <c:v>jun/15</c:v>
                </c:pt>
                <c:pt idx="1087">
                  <c:v>jul/15</c:v>
                </c:pt>
                <c:pt idx="1088">
                  <c:v>ago/15</c:v>
                </c:pt>
                <c:pt idx="1089">
                  <c:v>set/15</c:v>
                </c:pt>
                <c:pt idx="1090">
                  <c:v>out/15</c:v>
                </c:pt>
                <c:pt idx="1091">
                  <c:v>nov/15</c:v>
                </c:pt>
                <c:pt idx="1092">
                  <c:v>dez/15</c:v>
                </c:pt>
                <c:pt idx="1093">
                  <c:v>jan/16</c:v>
                </c:pt>
                <c:pt idx="1094">
                  <c:v>fev/16</c:v>
                </c:pt>
                <c:pt idx="1095">
                  <c:v>mar/16</c:v>
                </c:pt>
                <c:pt idx="1096">
                  <c:v>abr/16</c:v>
                </c:pt>
                <c:pt idx="1097">
                  <c:v>mai/16</c:v>
                </c:pt>
                <c:pt idx="1098">
                  <c:v>jun/16</c:v>
                </c:pt>
                <c:pt idx="1099">
                  <c:v>jul/16</c:v>
                </c:pt>
                <c:pt idx="1100">
                  <c:v>ago/16</c:v>
                </c:pt>
                <c:pt idx="1101">
                  <c:v>set/16</c:v>
                </c:pt>
                <c:pt idx="1102">
                  <c:v>out/16</c:v>
                </c:pt>
                <c:pt idx="1103">
                  <c:v>nov/16</c:v>
                </c:pt>
                <c:pt idx="1104">
                  <c:v>dez/16</c:v>
                </c:pt>
                <c:pt idx="1105">
                  <c:v>jan/17</c:v>
                </c:pt>
                <c:pt idx="1106">
                  <c:v>fev/17</c:v>
                </c:pt>
                <c:pt idx="1107">
                  <c:v>mar/17</c:v>
                </c:pt>
                <c:pt idx="1108">
                  <c:v>abr/17</c:v>
                </c:pt>
                <c:pt idx="1109">
                  <c:v>mai/17</c:v>
                </c:pt>
                <c:pt idx="1110">
                  <c:v>jun/17</c:v>
                </c:pt>
                <c:pt idx="1111">
                  <c:v>jul/17</c:v>
                </c:pt>
                <c:pt idx="1112">
                  <c:v>ago/17</c:v>
                </c:pt>
                <c:pt idx="1113">
                  <c:v>set/17</c:v>
                </c:pt>
                <c:pt idx="1114">
                  <c:v>out/17</c:v>
                </c:pt>
                <c:pt idx="1115">
                  <c:v>nov/17</c:v>
                </c:pt>
                <c:pt idx="1116">
                  <c:v>dez/17</c:v>
                </c:pt>
                <c:pt idx="1117">
                  <c:v>jan/18</c:v>
                </c:pt>
                <c:pt idx="1118">
                  <c:v>fev/18</c:v>
                </c:pt>
                <c:pt idx="1119">
                  <c:v>mar/18</c:v>
                </c:pt>
                <c:pt idx="1120">
                  <c:v>abr/18</c:v>
                </c:pt>
                <c:pt idx="1121">
                  <c:v>mai/18</c:v>
                </c:pt>
                <c:pt idx="1122">
                  <c:v>jun/18</c:v>
                </c:pt>
                <c:pt idx="1123">
                  <c:v>jul/18</c:v>
                </c:pt>
                <c:pt idx="1124">
                  <c:v>ago/18</c:v>
                </c:pt>
                <c:pt idx="1125">
                  <c:v>set/18</c:v>
                </c:pt>
                <c:pt idx="1126">
                  <c:v>out/18</c:v>
                </c:pt>
                <c:pt idx="1127">
                  <c:v>nov/18</c:v>
                </c:pt>
                <c:pt idx="1128">
                  <c:v>dez/18</c:v>
                </c:pt>
                <c:pt idx="1129">
                  <c:v>jan/19</c:v>
                </c:pt>
                <c:pt idx="1130">
                  <c:v>fev/19</c:v>
                </c:pt>
                <c:pt idx="1131">
                  <c:v>mar/19</c:v>
                </c:pt>
                <c:pt idx="1132">
                  <c:v>abr/19</c:v>
                </c:pt>
                <c:pt idx="1133">
                  <c:v>mai/19</c:v>
                </c:pt>
                <c:pt idx="1134">
                  <c:v>jun/19</c:v>
                </c:pt>
                <c:pt idx="1135">
                  <c:v>jul/19</c:v>
                </c:pt>
                <c:pt idx="1136">
                  <c:v>ago/19</c:v>
                </c:pt>
                <c:pt idx="1137">
                  <c:v>set/19</c:v>
                </c:pt>
                <c:pt idx="1138">
                  <c:v>out/19</c:v>
                </c:pt>
                <c:pt idx="1139">
                  <c:v>nov/19</c:v>
                </c:pt>
                <c:pt idx="1140">
                  <c:v>dez/19</c:v>
                </c:pt>
                <c:pt idx="1141">
                  <c:v>jan/20</c:v>
                </c:pt>
                <c:pt idx="1142">
                  <c:v>fev/20</c:v>
                </c:pt>
                <c:pt idx="1143">
                  <c:v>mar/20</c:v>
                </c:pt>
                <c:pt idx="1144">
                  <c:v>abr/20</c:v>
                </c:pt>
                <c:pt idx="1145">
                  <c:v>mai/20</c:v>
                </c:pt>
                <c:pt idx="1146">
                  <c:v>jun/20</c:v>
                </c:pt>
                <c:pt idx="1147">
                  <c:v>jul/20</c:v>
                </c:pt>
                <c:pt idx="1148">
                  <c:v>ago/20</c:v>
                </c:pt>
                <c:pt idx="1149">
                  <c:v>set/20</c:v>
                </c:pt>
                <c:pt idx="1150">
                  <c:v>out/20</c:v>
                </c:pt>
                <c:pt idx="1151">
                  <c:v>nov/20</c:v>
                </c:pt>
                <c:pt idx="1152">
                  <c:v>dez/20</c:v>
                </c:pt>
                <c:pt idx="1153">
                  <c:v>jan/21</c:v>
                </c:pt>
                <c:pt idx="1154">
                  <c:v>fev/21</c:v>
                </c:pt>
                <c:pt idx="1155">
                  <c:v>mar/21</c:v>
                </c:pt>
                <c:pt idx="1156">
                  <c:v>abr/21</c:v>
                </c:pt>
                <c:pt idx="1157">
                  <c:v>mai/21</c:v>
                </c:pt>
                <c:pt idx="1158">
                  <c:v>jun/21</c:v>
                </c:pt>
                <c:pt idx="1159">
                  <c:v>jul/21</c:v>
                </c:pt>
                <c:pt idx="1160">
                  <c:v>ago/21</c:v>
                </c:pt>
                <c:pt idx="1161">
                  <c:v>set/21</c:v>
                </c:pt>
                <c:pt idx="1162">
                  <c:v>out/21</c:v>
                </c:pt>
                <c:pt idx="1163">
                  <c:v>nov/21</c:v>
                </c:pt>
                <c:pt idx="1164">
                  <c:v>dez/21</c:v>
                </c:pt>
                <c:pt idx="1165">
                  <c:v>jan/22</c:v>
                </c:pt>
                <c:pt idx="1166">
                  <c:v>fev/22</c:v>
                </c:pt>
                <c:pt idx="1167">
                  <c:v>mar/22</c:v>
                </c:pt>
                <c:pt idx="1168">
                  <c:v>abr/22</c:v>
                </c:pt>
                <c:pt idx="1169">
                  <c:v>mai/22</c:v>
                </c:pt>
                <c:pt idx="1170">
                  <c:v>jun/22</c:v>
                </c:pt>
                <c:pt idx="1171">
                  <c:v>jul/22</c:v>
                </c:pt>
                <c:pt idx="1172">
                  <c:v>ago/22</c:v>
                </c:pt>
                <c:pt idx="1173">
                  <c:v>set/22</c:v>
                </c:pt>
                <c:pt idx="1174">
                  <c:v>out/22</c:v>
                </c:pt>
                <c:pt idx="1175">
                  <c:v>nov/22</c:v>
                </c:pt>
                <c:pt idx="1176">
                  <c:v>dez/22</c:v>
                </c:pt>
                <c:pt idx="1177">
                  <c:v>jan/23</c:v>
                </c:pt>
                <c:pt idx="1178">
                  <c:v>fev/23</c:v>
                </c:pt>
                <c:pt idx="1179">
                  <c:v>mar/23</c:v>
                </c:pt>
                <c:pt idx="1180">
                  <c:v>abr/23</c:v>
                </c:pt>
                <c:pt idx="1181">
                  <c:v>mai/23</c:v>
                </c:pt>
                <c:pt idx="1182">
                  <c:v>jun/23</c:v>
                </c:pt>
                <c:pt idx="1183">
                  <c:v>jul/23</c:v>
                </c:pt>
                <c:pt idx="1184">
                  <c:v>ago/23</c:v>
                </c:pt>
                <c:pt idx="1185">
                  <c:v>set/23</c:v>
                </c:pt>
                <c:pt idx="1186">
                  <c:v>out/23</c:v>
                </c:pt>
                <c:pt idx="1187">
                  <c:v>nov/23</c:v>
                </c:pt>
                <c:pt idx="1188">
                  <c:v>dez/23</c:v>
                </c:pt>
                <c:pt idx="1189">
                  <c:v>jan/24</c:v>
                </c:pt>
                <c:pt idx="1190">
                  <c:v>fev/24</c:v>
                </c:pt>
                <c:pt idx="1191">
                  <c:v>mar/24</c:v>
                </c:pt>
                <c:pt idx="1192">
                  <c:v>abr/24</c:v>
                </c:pt>
                <c:pt idx="1193">
                  <c:v>mai/24</c:v>
                </c:pt>
                <c:pt idx="1194">
                  <c:v>jun/24</c:v>
                </c:pt>
                <c:pt idx="1195">
                  <c:v>jul/24</c:v>
                </c:pt>
                <c:pt idx="1196">
                  <c:v>ago/24</c:v>
                </c:pt>
                <c:pt idx="1197">
                  <c:v>set/24</c:v>
                </c:pt>
                <c:pt idx="1198">
                  <c:v>out/24</c:v>
                </c:pt>
                <c:pt idx="1199">
                  <c:v>nov/24</c:v>
                </c:pt>
                <c:pt idx="1200">
                  <c:v>dez/24</c:v>
                </c:pt>
              </c:strCache>
            </c:strRef>
          </c:cat>
          <c:val>
            <c:numRef>
              <c:f>Dados!#REF!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6E-9A48-BEC9-A713981C40DC}"/>
            </c:ext>
          </c:extLst>
        </c:ser>
        <c:ser>
          <c:idx val="2"/>
          <c:order val="2"/>
          <c:tx>
            <c:strRef>
              <c:f>Dados!$Z$1</c:f>
              <c:strCache>
                <c:ptCount val="1"/>
                <c:pt idx="0">
                  <c:v>Portf Final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Dados!$A:$A</c:f>
              <c:strCache>
                <c:ptCount val="1201"/>
                <c:pt idx="0">
                  <c:v>Periodo</c:v>
                </c:pt>
                <c:pt idx="1">
                  <c:v>jan/25</c:v>
                </c:pt>
                <c:pt idx="2">
                  <c:v>fev/25</c:v>
                </c:pt>
                <c:pt idx="3">
                  <c:v>mar/25</c:v>
                </c:pt>
                <c:pt idx="4">
                  <c:v>abr/25</c:v>
                </c:pt>
                <c:pt idx="5">
                  <c:v>mai/25</c:v>
                </c:pt>
                <c:pt idx="6">
                  <c:v>jun/25</c:v>
                </c:pt>
                <c:pt idx="7">
                  <c:v>jul/25</c:v>
                </c:pt>
                <c:pt idx="8">
                  <c:v>ago/25</c:v>
                </c:pt>
                <c:pt idx="9">
                  <c:v>set/25</c:v>
                </c:pt>
                <c:pt idx="10">
                  <c:v>out/25</c:v>
                </c:pt>
                <c:pt idx="11">
                  <c:v>nov/25</c:v>
                </c:pt>
                <c:pt idx="12">
                  <c:v>dez/25</c:v>
                </c:pt>
                <c:pt idx="13">
                  <c:v>jan/26</c:v>
                </c:pt>
                <c:pt idx="14">
                  <c:v>fev/26</c:v>
                </c:pt>
                <c:pt idx="15">
                  <c:v>mar/26</c:v>
                </c:pt>
                <c:pt idx="16">
                  <c:v>abr/26</c:v>
                </c:pt>
                <c:pt idx="17">
                  <c:v>mai/26</c:v>
                </c:pt>
                <c:pt idx="18">
                  <c:v>jun/26</c:v>
                </c:pt>
                <c:pt idx="19">
                  <c:v>jul/26</c:v>
                </c:pt>
                <c:pt idx="20">
                  <c:v>ago/26</c:v>
                </c:pt>
                <c:pt idx="21">
                  <c:v>set/26</c:v>
                </c:pt>
                <c:pt idx="22">
                  <c:v>out/26</c:v>
                </c:pt>
                <c:pt idx="23">
                  <c:v>nov/26</c:v>
                </c:pt>
                <c:pt idx="24">
                  <c:v>dez/26</c:v>
                </c:pt>
                <c:pt idx="25">
                  <c:v>jan/27</c:v>
                </c:pt>
                <c:pt idx="26">
                  <c:v>fev/27</c:v>
                </c:pt>
                <c:pt idx="27">
                  <c:v>mar/27</c:v>
                </c:pt>
                <c:pt idx="28">
                  <c:v>abr/27</c:v>
                </c:pt>
                <c:pt idx="29">
                  <c:v>mai/27</c:v>
                </c:pt>
                <c:pt idx="30">
                  <c:v>jun/27</c:v>
                </c:pt>
                <c:pt idx="31">
                  <c:v>jul/27</c:v>
                </c:pt>
                <c:pt idx="32">
                  <c:v>ago/27</c:v>
                </c:pt>
                <c:pt idx="33">
                  <c:v>set/27</c:v>
                </c:pt>
                <c:pt idx="34">
                  <c:v>out/27</c:v>
                </c:pt>
                <c:pt idx="35">
                  <c:v>nov/27</c:v>
                </c:pt>
                <c:pt idx="36">
                  <c:v>dez/27</c:v>
                </c:pt>
                <c:pt idx="37">
                  <c:v>jan/28</c:v>
                </c:pt>
                <c:pt idx="38">
                  <c:v>fev/28</c:v>
                </c:pt>
                <c:pt idx="39">
                  <c:v>mar/28</c:v>
                </c:pt>
                <c:pt idx="40">
                  <c:v>abr/28</c:v>
                </c:pt>
                <c:pt idx="41">
                  <c:v>mai/28</c:v>
                </c:pt>
                <c:pt idx="42">
                  <c:v>jun/28</c:v>
                </c:pt>
                <c:pt idx="43">
                  <c:v>jul/28</c:v>
                </c:pt>
                <c:pt idx="44">
                  <c:v>ago/28</c:v>
                </c:pt>
                <c:pt idx="45">
                  <c:v>set/28</c:v>
                </c:pt>
                <c:pt idx="46">
                  <c:v>out/28</c:v>
                </c:pt>
                <c:pt idx="47">
                  <c:v>nov/28</c:v>
                </c:pt>
                <c:pt idx="48">
                  <c:v>dez/28</c:v>
                </c:pt>
                <c:pt idx="49">
                  <c:v>jan/29</c:v>
                </c:pt>
                <c:pt idx="50">
                  <c:v>fev/29</c:v>
                </c:pt>
                <c:pt idx="51">
                  <c:v>mar/29</c:v>
                </c:pt>
                <c:pt idx="52">
                  <c:v>abr/29</c:v>
                </c:pt>
                <c:pt idx="53">
                  <c:v>mai/29</c:v>
                </c:pt>
                <c:pt idx="54">
                  <c:v>jun/29</c:v>
                </c:pt>
                <c:pt idx="55">
                  <c:v>jul/29</c:v>
                </c:pt>
                <c:pt idx="56">
                  <c:v>ago/29</c:v>
                </c:pt>
                <c:pt idx="57">
                  <c:v>set/29</c:v>
                </c:pt>
                <c:pt idx="58">
                  <c:v>out/29</c:v>
                </c:pt>
                <c:pt idx="59">
                  <c:v>nov/29</c:v>
                </c:pt>
                <c:pt idx="60">
                  <c:v>dez/29</c:v>
                </c:pt>
                <c:pt idx="61">
                  <c:v>jan/30</c:v>
                </c:pt>
                <c:pt idx="62">
                  <c:v>fev/30</c:v>
                </c:pt>
                <c:pt idx="63">
                  <c:v>mar/30</c:v>
                </c:pt>
                <c:pt idx="64">
                  <c:v>abr/30</c:v>
                </c:pt>
                <c:pt idx="65">
                  <c:v>mai/30</c:v>
                </c:pt>
                <c:pt idx="66">
                  <c:v>jun/30</c:v>
                </c:pt>
                <c:pt idx="67">
                  <c:v>jul/30</c:v>
                </c:pt>
                <c:pt idx="68">
                  <c:v>ago/30</c:v>
                </c:pt>
                <c:pt idx="69">
                  <c:v>set/30</c:v>
                </c:pt>
                <c:pt idx="70">
                  <c:v>out/30</c:v>
                </c:pt>
                <c:pt idx="71">
                  <c:v>nov/30</c:v>
                </c:pt>
                <c:pt idx="72">
                  <c:v>dez/30</c:v>
                </c:pt>
                <c:pt idx="73">
                  <c:v>jan/31</c:v>
                </c:pt>
                <c:pt idx="74">
                  <c:v>fev/31</c:v>
                </c:pt>
                <c:pt idx="75">
                  <c:v>mar/31</c:v>
                </c:pt>
                <c:pt idx="76">
                  <c:v>abr/31</c:v>
                </c:pt>
                <c:pt idx="77">
                  <c:v>mai/31</c:v>
                </c:pt>
                <c:pt idx="78">
                  <c:v>jun/31</c:v>
                </c:pt>
                <c:pt idx="79">
                  <c:v>jul/31</c:v>
                </c:pt>
                <c:pt idx="80">
                  <c:v>ago/31</c:v>
                </c:pt>
                <c:pt idx="81">
                  <c:v>set/31</c:v>
                </c:pt>
                <c:pt idx="82">
                  <c:v>out/31</c:v>
                </c:pt>
                <c:pt idx="83">
                  <c:v>nov/31</c:v>
                </c:pt>
                <c:pt idx="84">
                  <c:v>dez/31</c:v>
                </c:pt>
                <c:pt idx="85">
                  <c:v>jan/32</c:v>
                </c:pt>
                <c:pt idx="86">
                  <c:v>fev/32</c:v>
                </c:pt>
                <c:pt idx="87">
                  <c:v>mar/32</c:v>
                </c:pt>
                <c:pt idx="88">
                  <c:v>abr/32</c:v>
                </c:pt>
                <c:pt idx="89">
                  <c:v>mai/32</c:v>
                </c:pt>
                <c:pt idx="90">
                  <c:v>jun/32</c:v>
                </c:pt>
                <c:pt idx="91">
                  <c:v>jul/32</c:v>
                </c:pt>
                <c:pt idx="92">
                  <c:v>ago/32</c:v>
                </c:pt>
                <c:pt idx="93">
                  <c:v>set/32</c:v>
                </c:pt>
                <c:pt idx="94">
                  <c:v>out/32</c:v>
                </c:pt>
                <c:pt idx="95">
                  <c:v>nov/32</c:v>
                </c:pt>
                <c:pt idx="96">
                  <c:v>dez/32</c:v>
                </c:pt>
                <c:pt idx="97">
                  <c:v>jan/33</c:v>
                </c:pt>
                <c:pt idx="98">
                  <c:v>fev/33</c:v>
                </c:pt>
                <c:pt idx="99">
                  <c:v>mar/33</c:v>
                </c:pt>
                <c:pt idx="100">
                  <c:v>abr/33</c:v>
                </c:pt>
                <c:pt idx="101">
                  <c:v>mai/33</c:v>
                </c:pt>
                <c:pt idx="102">
                  <c:v>jun/33</c:v>
                </c:pt>
                <c:pt idx="103">
                  <c:v>jul/33</c:v>
                </c:pt>
                <c:pt idx="104">
                  <c:v>ago/33</c:v>
                </c:pt>
                <c:pt idx="105">
                  <c:v>set/33</c:v>
                </c:pt>
                <c:pt idx="106">
                  <c:v>out/33</c:v>
                </c:pt>
                <c:pt idx="107">
                  <c:v>nov/33</c:v>
                </c:pt>
                <c:pt idx="108">
                  <c:v>dez/33</c:v>
                </c:pt>
                <c:pt idx="109">
                  <c:v>jan/34</c:v>
                </c:pt>
                <c:pt idx="110">
                  <c:v>fev/34</c:v>
                </c:pt>
                <c:pt idx="111">
                  <c:v>mar/34</c:v>
                </c:pt>
                <c:pt idx="112">
                  <c:v>abr/34</c:v>
                </c:pt>
                <c:pt idx="113">
                  <c:v>mai/34</c:v>
                </c:pt>
                <c:pt idx="114">
                  <c:v>jun/34</c:v>
                </c:pt>
                <c:pt idx="115">
                  <c:v>jul/34</c:v>
                </c:pt>
                <c:pt idx="116">
                  <c:v>ago/34</c:v>
                </c:pt>
                <c:pt idx="117">
                  <c:v>set/34</c:v>
                </c:pt>
                <c:pt idx="118">
                  <c:v>out/34</c:v>
                </c:pt>
                <c:pt idx="119">
                  <c:v>nov/34</c:v>
                </c:pt>
                <c:pt idx="120">
                  <c:v>dez/34</c:v>
                </c:pt>
                <c:pt idx="121">
                  <c:v>jan/35</c:v>
                </c:pt>
                <c:pt idx="122">
                  <c:v>fev/35</c:v>
                </c:pt>
                <c:pt idx="123">
                  <c:v>mar/35</c:v>
                </c:pt>
                <c:pt idx="124">
                  <c:v>abr/35</c:v>
                </c:pt>
                <c:pt idx="125">
                  <c:v>mai/35</c:v>
                </c:pt>
                <c:pt idx="126">
                  <c:v>jun/35</c:v>
                </c:pt>
                <c:pt idx="127">
                  <c:v>jul/35</c:v>
                </c:pt>
                <c:pt idx="128">
                  <c:v>ago/35</c:v>
                </c:pt>
                <c:pt idx="129">
                  <c:v>set/35</c:v>
                </c:pt>
                <c:pt idx="130">
                  <c:v>out/35</c:v>
                </c:pt>
                <c:pt idx="131">
                  <c:v>nov/35</c:v>
                </c:pt>
                <c:pt idx="132">
                  <c:v>dez/35</c:v>
                </c:pt>
                <c:pt idx="133">
                  <c:v>jan/36</c:v>
                </c:pt>
                <c:pt idx="134">
                  <c:v>fev/36</c:v>
                </c:pt>
                <c:pt idx="135">
                  <c:v>mar/36</c:v>
                </c:pt>
                <c:pt idx="136">
                  <c:v>abr/36</c:v>
                </c:pt>
                <c:pt idx="137">
                  <c:v>mai/36</c:v>
                </c:pt>
                <c:pt idx="138">
                  <c:v>jun/36</c:v>
                </c:pt>
                <c:pt idx="139">
                  <c:v>jul/36</c:v>
                </c:pt>
                <c:pt idx="140">
                  <c:v>ago/36</c:v>
                </c:pt>
                <c:pt idx="141">
                  <c:v>set/36</c:v>
                </c:pt>
                <c:pt idx="142">
                  <c:v>out/36</c:v>
                </c:pt>
                <c:pt idx="143">
                  <c:v>nov/36</c:v>
                </c:pt>
                <c:pt idx="144">
                  <c:v>dez/36</c:v>
                </c:pt>
                <c:pt idx="145">
                  <c:v>jan/37</c:v>
                </c:pt>
                <c:pt idx="146">
                  <c:v>fev/37</c:v>
                </c:pt>
                <c:pt idx="147">
                  <c:v>mar/37</c:v>
                </c:pt>
                <c:pt idx="148">
                  <c:v>abr/37</c:v>
                </c:pt>
                <c:pt idx="149">
                  <c:v>mai/37</c:v>
                </c:pt>
                <c:pt idx="150">
                  <c:v>jun/37</c:v>
                </c:pt>
                <c:pt idx="151">
                  <c:v>jul/37</c:v>
                </c:pt>
                <c:pt idx="152">
                  <c:v>ago/37</c:v>
                </c:pt>
                <c:pt idx="153">
                  <c:v>set/37</c:v>
                </c:pt>
                <c:pt idx="154">
                  <c:v>out/37</c:v>
                </c:pt>
                <c:pt idx="155">
                  <c:v>nov/37</c:v>
                </c:pt>
                <c:pt idx="156">
                  <c:v>dez/37</c:v>
                </c:pt>
                <c:pt idx="157">
                  <c:v>jan/38</c:v>
                </c:pt>
                <c:pt idx="158">
                  <c:v>fev/38</c:v>
                </c:pt>
                <c:pt idx="159">
                  <c:v>mar/38</c:v>
                </c:pt>
                <c:pt idx="160">
                  <c:v>abr/38</c:v>
                </c:pt>
                <c:pt idx="161">
                  <c:v>mai/38</c:v>
                </c:pt>
                <c:pt idx="162">
                  <c:v>jun/38</c:v>
                </c:pt>
                <c:pt idx="163">
                  <c:v>jul/38</c:v>
                </c:pt>
                <c:pt idx="164">
                  <c:v>ago/38</c:v>
                </c:pt>
                <c:pt idx="165">
                  <c:v>set/38</c:v>
                </c:pt>
                <c:pt idx="166">
                  <c:v>out/38</c:v>
                </c:pt>
                <c:pt idx="167">
                  <c:v>nov/38</c:v>
                </c:pt>
                <c:pt idx="168">
                  <c:v>dez/38</c:v>
                </c:pt>
                <c:pt idx="169">
                  <c:v>jan/39</c:v>
                </c:pt>
                <c:pt idx="170">
                  <c:v>fev/39</c:v>
                </c:pt>
                <c:pt idx="171">
                  <c:v>mar/39</c:v>
                </c:pt>
                <c:pt idx="172">
                  <c:v>abr/39</c:v>
                </c:pt>
                <c:pt idx="173">
                  <c:v>mai/39</c:v>
                </c:pt>
                <c:pt idx="174">
                  <c:v>jun/39</c:v>
                </c:pt>
                <c:pt idx="175">
                  <c:v>jul/39</c:v>
                </c:pt>
                <c:pt idx="176">
                  <c:v>ago/39</c:v>
                </c:pt>
                <c:pt idx="177">
                  <c:v>set/39</c:v>
                </c:pt>
                <c:pt idx="178">
                  <c:v>out/39</c:v>
                </c:pt>
                <c:pt idx="179">
                  <c:v>nov/39</c:v>
                </c:pt>
                <c:pt idx="180">
                  <c:v>dez/39</c:v>
                </c:pt>
                <c:pt idx="181">
                  <c:v>jan/40</c:v>
                </c:pt>
                <c:pt idx="182">
                  <c:v>fev/40</c:v>
                </c:pt>
                <c:pt idx="183">
                  <c:v>mar/40</c:v>
                </c:pt>
                <c:pt idx="184">
                  <c:v>abr/40</c:v>
                </c:pt>
                <c:pt idx="185">
                  <c:v>mai/40</c:v>
                </c:pt>
                <c:pt idx="186">
                  <c:v>jun/40</c:v>
                </c:pt>
                <c:pt idx="187">
                  <c:v>jul/40</c:v>
                </c:pt>
                <c:pt idx="188">
                  <c:v>ago/40</c:v>
                </c:pt>
                <c:pt idx="189">
                  <c:v>set/40</c:v>
                </c:pt>
                <c:pt idx="190">
                  <c:v>out/40</c:v>
                </c:pt>
                <c:pt idx="191">
                  <c:v>nov/40</c:v>
                </c:pt>
                <c:pt idx="192">
                  <c:v>dez/40</c:v>
                </c:pt>
                <c:pt idx="193">
                  <c:v>jan/41</c:v>
                </c:pt>
                <c:pt idx="194">
                  <c:v>fev/41</c:v>
                </c:pt>
                <c:pt idx="195">
                  <c:v>mar/41</c:v>
                </c:pt>
                <c:pt idx="196">
                  <c:v>abr/41</c:v>
                </c:pt>
                <c:pt idx="197">
                  <c:v>mai/41</c:v>
                </c:pt>
                <c:pt idx="198">
                  <c:v>jun/41</c:v>
                </c:pt>
                <c:pt idx="199">
                  <c:v>jul/41</c:v>
                </c:pt>
                <c:pt idx="200">
                  <c:v>ago/41</c:v>
                </c:pt>
                <c:pt idx="201">
                  <c:v>set/41</c:v>
                </c:pt>
                <c:pt idx="202">
                  <c:v>out/41</c:v>
                </c:pt>
                <c:pt idx="203">
                  <c:v>nov/41</c:v>
                </c:pt>
                <c:pt idx="204">
                  <c:v>dez/41</c:v>
                </c:pt>
                <c:pt idx="205">
                  <c:v>jan/42</c:v>
                </c:pt>
                <c:pt idx="206">
                  <c:v>fev/42</c:v>
                </c:pt>
                <c:pt idx="207">
                  <c:v>mar/42</c:v>
                </c:pt>
                <c:pt idx="208">
                  <c:v>abr/42</c:v>
                </c:pt>
                <c:pt idx="209">
                  <c:v>mai/42</c:v>
                </c:pt>
                <c:pt idx="210">
                  <c:v>jun/42</c:v>
                </c:pt>
                <c:pt idx="211">
                  <c:v>jul/42</c:v>
                </c:pt>
                <c:pt idx="212">
                  <c:v>ago/42</c:v>
                </c:pt>
                <c:pt idx="213">
                  <c:v>set/42</c:v>
                </c:pt>
                <c:pt idx="214">
                  <c:v>out/42</c:v>
                </c:pt>
                <c:pt idx="215">
                  <c:v>nov/42</c:v>
                </c:pt>
                <c:pt idx="216">
                  <c:v>dez/42</c:v>
                </c:pt>
                <c:pt idx="217">
                  <c:v>jan/43</c:v>
                </c:pt>
                <c:pt idx="218">
                  <c:v>fev/43</c:v>
                </c:pt>
                <c:pt idx="219">
                  <c:v>mar/43</c:v>
                </c:pt>
                <c:pt idx="220">
                  <c:v>abr/43</c:v>
                </c:pt>
                <c:pt idx="221">
                  <c:v>mai/43</c:v>
                </c:pt>
                <c:pt idx="222">
                  <c:v>jun/43</c:v>
                </c:pt>
                <c:pt idx="223">
                  <c:v>jul/43</c:v>
                </c:pt>
                <c:pt idx="224">
                  <c:v>ago/43</c:v>
                </c:pt>
                <c:pt idx="225">
                  <c:v>set/43</c:v>
                </c:pt>
                <c:pt idx="226">
                  <c:v>out/43</c:v>
                </c:pt>
                <c:pt idx="227">
                  <c:v>nov/43</c:v>
                </c:pt>
                <c:pt idx="228">
                  <c:v>dez/43</c:v>
                </c:pt>
                <c:pt idx="229">
                  <c:v>jan/44</c:v>
                </c:pt>
                <c:pt idx="230">
                  <c:v>fev/44</c:v>
                </c:pt>
                <c:pt idx="231">
                  <c:v>mar/44</c:v>
                </c:pt>
                <c:pt idx="232">
                  <c:v>abr/44</c:v>
                </c:pt>
                <c:pt idx="233">
                  <c:v>mai/44</c:v>
                </c:pt>
                <c:pt idx="234">
                  <c:v>jun/44</c:v>
                </c:pt>
                <c:pt idx="235">
                  <c:v>jul/44</c:v>
                </c:pt>
                <c:pt idx="236">
                  <c:v>ago/44</c:v>
                </c:pt>
                <c:pt idx="237">
                  <c:v>set/44</c:v>
                </c:pt>
                <c:pt idx="238">
                  <c:v>out/44</c:v>
                </c:pt>
                <c:pt idx="239">
                  <c:v>nov/44</c:v>
                </c:pt>
                <c:pt idx="240">
                  <c:v>dez/44</c:v>
                </c:pt>
                <c:pt idx="241">
                  <c:v>jan/45</c:v>
                </c:pt>
                <c:pt idx="242">
                  <c:v>fev/45</c:v>
                </c:pt>
                <c:pt idx="243">
                  <c:v>mar/45</c:v>
                </c:pt>
                <c:pt idx="244">
                  <c:v>abr/45</c:v>
                </c:pt>
                <c:pt idx="245">
                  <c:v>mai/45</c:v>
                </c:pt>
                <c:pt idx="246">
                  <c:v>jun/45</c:v>
                </c:pt>
                <c:pt idx="247">
                  <c:v>jul/45</c:v>
                </c:pt>
                <c:pt idx="248">
                  <c:v>ago/45</c:v>
                </c:pt>
                <c:pt idx="249">
                  <c:v>set/45</c:v>
                </c:pt>
                <c:pt idx="250">
                  <c:v>out/45</c:v>
                </c:pt>
                <c:pt idx="251">
                  <c:v>nov/45</c:v>
                </c:pt>
                <c:pt idx="252">
                  <c:v>dez/45</c:v>
                </c:pt>
                <c:pt idx="253">
                  <c:v>jan/46</c:v>
                </c:pt>
                <c:pt idx="254">
                  <c:v>fev/46</c:v>
                </c:pt>
                <c:pt idx="255">
                  <c:v>mar/46</c:v>
                </c:pt>
                <c:pt idx="256">
                  <c:v>abr/46</c:v>
                </c:pt>
                <c:pt idx="257">
                  <c:v>mai/46</c:v>
                </c:pt>
                <c:pt idx="258">
                  <c:v>jun/46</c:v>
                </c:pt>
                <c:pt idx="259">
                  <c:v>jul/46</c:v>
                </c:pt>
                <c:pt idx="260">
                  <c:v>ago/46</c:v>
                </c:pt>
                <c:pt idx="261">
                  <c:v>set/46</c:v>
                </c:pt>
                <c:pt idx="262">
                  <c:v>out/46</c:v>
                </c:pt>
                <c:pt idx="263">
                  <c:v>nov/46</c:v>
                </c:pt>
                <c:pt idx="264">
                  <c:v>dez/46</c:v>
                </c:pt>
                <c:pt idx="265">
                  <c:v>jan/47</c:v>
                </c:pt>
                <c:pt idx="266">
                  <c:v>fev/47</c:v>
                </c:pt>
                <c:pt idx="267">
                  <c:v>mar/47</c:v>
                </c:pt>
                <c:pt idx="268">
                  <c:v>abr/47</c:v>
                </c:pt>
                <c:pt idx="269">
                  <c:v>mai/47</c:v>
                </c:pt>
                <c:pt idx="270">
                  <c:v>jun/47</c:v>
                </c:pt>
                <c:pt idx="271">
                  <c:v>jul/47</c:v>
                </c:pt>
                <c:pt idx="272">
                  <c:v>ago/47</c:v>
                </c:pt>
                <c:pt idx="273">
                  <c:v>set/47</c:v>
                </c:pt>
                <c:pt idx="274">
                  <c:v>out/47</c:v>
                </c:pt>
                <c:pt idx="275">
                  <c:v>nov/47</c:v>
                </c:pt>
                <c:pt idx="276">
                  <c:v>dez/47</c:v>
                </c:pt>
                <c:pt idx="277">
                  <c:v>jan/48</c:v>
                </c:pt>
                <c:pt idx="278">
                  <c:v>fev/48</c:v>
                </c:pt>
                <c:pt idx="279">
                  <c:v>mar/48</c:v>
                </c:pt>
                <c:pt idx="280">
                  <c:v>abr/48</c:v>
                </c:pt>
                <c:pt idx="281">
                  <c:v>mai/48</c:v>
                </c:pt>
                <c:pt idx="282">
                  <c:v>jun/48</c:v>
                </c:pt>
                <c:pt idx="283">
                  <c:v>jul/48</c:v>
                </c:pt>
                <c:pt idx="284">
                  <c:v>ago/48</c:v>
                </c:pt>
                <c:pt idx="285">
                  <c:v>set/48</c:v>
                </c:pt>
                <c:pt idx="286">
                  <c:v>out/48</c:v>
                </c:pt>
                <c:pt idx="287">
                  <c:v>nov/48</c:v>
                </c:pt>
                <c:pt idx="288">
                  <c:v>dez/48</c:v>
                </c:pt>
                <c:pt idx="289">
                  <c:v>jan/49</c:v>
                </c:pt>
                <c:pt idx="290">
                  <c:v>fev/49</c:v>
                </c:pt>
                <c:pt idx="291">
                  <c:v>mar/49</c:v>
                </c:pt>
                <c:pt idx="292">
                  <c:v>abr/49</c:v>
                </c:pt>
                <c:pt idx="293">
                  <c:v>mai/49</c:v>
                </c:pt>
                <c:pt idx="294">
                  <c:v>jun/49</c:v>
                </c:pt>
                <c:pt idx="295">
                  <c:v>jul/49</c:v>
                </c:pt>
                <c:pt idx="296">
                  <c:v>ago/49</c:v>
                </c:pt>
                <c:pt idx="297">
                  <c:v>set/49</c:v>
                </c:pt>
                <c:pt idx="298">
                  <c:v>out/49</c:v>
                </c:pt>
                <c:pt idx="299">
                  <c:v>nov/49</c:v>
                </c:pt>
                <c:pt idx="300">
                  <c:v>dez/49</c:v>
                </c:pt>
                <c:pt idx="301">
                  <c:v>jan/50</c:v>
                </c:pt>
                <c:pt idx="302">
                  <c:v>fev/50</c:v>
                </c:pt>
                <c:pt idx="303">
                  <c:v>mar/50</c:v>
                </c:pt>
                <c:pt idx="304">
                  <c:v>abr/50</c:v>
                </c:pt>
                <c:pt idx="305">
                  <c:v>mai/50</c:v>
                </c:pt>
                <c:pt idx="306">
                  <c:v>jun/50</c:v>
                </c:pt>
                <c:pt idx="307">
                  <c:v>jul/50</c:v>
                </c:pt>
                <c:pt idx="308">
                  <c:v>ago/50</c:v>
                </c:pt>
                <c:pt idx="309">
                  <c:v>set/50</c:v>
                </c:pt>
                <c:pt idx="310">
                  <c:v>out/50</c:v>
                </c:pt>
                <c:pt idx="311">
                  <c:v>nov/50</c:v>
                </c:pt>
                <c:pt idx="312">
                  <c:v>dez/50</c:v>
                </c:pt>
                <c:pt idx="313">
                  <c:v>jan/51</c:v>
                </c:pt>
                <c:pt idx="314">
                  <c:v>fev/51</c:v>
                </c:pt>
                <c:pt idx="315">
                  <c:v>mar/51</c:v>
                </c:pt>
                <c:pt idx="316">
                  <c:v>abr/51</c:v>
                </c:pt>
                <c:pt idx="317">
                  <c:v>mai/51</c:v>
                </c:pt>
                <c:pt idx="318">
                  <c:v>jun/51</c:v>
                </c:pt>
                <c:pt idx="319">
                  <c:v>jul/51</c:v>
                </c:pt>
                <c:pt idx="320">
                  <c:v>ago/51</c:v>
                </c:pt>
                <c:pt idx="321">
                  <c:v>set/51</c:v>
                </c:pt>
                <c:pt idx="322">
                  <c:v>out/51</c:v>
                </c:pt>
                <c:pt idx="323">
                  <c:v>nov/51</c:v>
                </c:pt>
                <c:pt idx="324">
                  <c:v>dez/51</c:v>
                </c:pt>
                <c:pt idx="325">
                  <c:v>jan/52</c:v>
                </c:pt>
                <c:pt idx="326">
                  <c:v>fev/52</c:v>
                </c:pt>
                <c:pt idx="327">
                  <c:v>mar/52</c:v>
                </c:pt>
                <c:pt idx="328">
                  <c:v>abr/52</c:v>
                </c:pt>
                <c:pt idx="329">
                  <c:v>mai/52</c:v>
                </c:pt>
                <c:pt idx="330">
                  <c:v>jun/52</c:v>
                </c:pt>
                <c:pt idx="331">
                  <c:v>jul/52</c:v>
                </c:pt>
                <c:pt idx="332">
                  <c:v>ago/52</c:v>
                </c:pt>
                <c:pt idx="333">
                  <c:v>set/52</c:v>
                </c:pt>
                <c:pt idx="334">
                  <c:v>out/52</c:v>
                </c:pt>
                <c:pt idx="335">
                  <c:v>nov/52</c:v>
                </c:pt>
                <c:pt idx="336">
                  <c:v>dez/52</c:v>
                </c:pt>
                <c:pt idx="337">
                  <c:v>jan/53</c:v>
                </c:pt>
                <c:pt idx="338">
                  <c:v>fev/53</c:v>
                </c:pt>
                <c:pt idx="339">
                  <c:v>mar/53</c:v>
                </c:pt>
                <c:pt idx="340">
                  <c:v>abr/53</c:v>
                </c:pt>
                <c:pt idx="341">
                  <c:v>mai/53</c:v>
                </c:pt>
                <c:pt idx="342">
                  <c:v>jun/53</c:v>
                </c:pt>
                <c:pt idx="343">
                  <c:v>jul/53</c:v>
                </c:pt>
                <c:pt idx="344">
                  <c:v>ago/53</c:v>
                </c:pt>
                <c:pt idx="345">
                  <c:v>set/53</c:v>
                </c:pt>
                <c:pt idx="346">
                  <c:v>out/53</c:v>
                </c:pt>
                <c:pt idx="347">
                  <c:v>nov/53</c:v>
                </c:pt>
                <c:pt idx="348">
                  <c:v>dez/53</c:v>
                </c:pt>
                <c:pt idx="349">
                  <c:v>jan/54</c:v>
                </c:pt>
                <c:pt idx="350">
                  <c:v>fev/54</c:v>
                </c:pt>
                <c:pt idx="351">
                  <c:v>mar/54</c:v>
                </c:pt>
                <c:pt idx="352">
                  <c:v>abr/54</c:v>
                </c:pt>
                <c:pt idx="353">
                  <c:v>mai/54</c:v>
                </c:pt>
                <c:pt idx="354">
                  <c:v>jun/54</c:v>
                </c:pt>
                <c:pt idx="355">
                  <c:v>jul/54</c:v>
                </c:pt>
                <c:pt idx="356">
                  <c:v>ago/54</c:v>
                </c:pt>
                <c:pt idx="357">
                  <c:v>set/54</c:v>
                </c:pt>
                <c:pt idx="358">
                  <c:v>out/54</c:v>
                </c:pt>
                <c:pt idx="359">
                  <c:v>nov/54</c:v>
                </c:pt>
                <c:pt idx="360">
                  <c:v>dez/54</c:v>
                </c:pt>
                <c:pt idx="361">
                  <c:v>jan/55</c:v>
                </c:pt>
                <c:pt idx="362">
                  <c:v>fev/55</c:v>
                </c:pt>
                <c:pt idx="363">
                  <c:v>mar/55</c:v>
                </c:pt>
                <c:pt idx="364">
                  <c:v>abr/55</c:v>
                </c:pt>
                <c:pt idx="365">
                  <c:v>mai/55</c:v>
                </c:pt>
                <c:pt idx="366">
                  <c:v>jun/55</c:v>
                </c:pt>
                <c:pt idx="367">
                  <c:v>jul/55</c:v>
                </c:pt>
                <c:pt idx="368">
                  <c:v>ago/55</c:v>
                </c:pt>
                <c:pt idx="369">
                  <c:v>set/55</c:v>
                </c:pt>
                <c:pt idx="370">
                  <c:v>out/55</c:v>
                </c:pt>
                <c:pt idx="371">
                  <c:v>nov/55</c:v>
                </c:pt>
                <c:pt idx="372">
                  <c:v>dez/55</c:v>
                </c:pt>
                <c:pt idx="373">
                  <c:v>jan/56</c:v>
                </c:pt>
                <c:pt idx="374">
                  <c:v>fev/56</c:v>
                </c:pt>
                <c:pt idx="375">
                  <c:v>mar/56</c:v>
                </c:pt>
                <c:pt idx="376">
                  <c:v>abr/56</c:v>
                </c:pt>
                <c:pt idx="377">
                  <c:v>mai/56</c:v>
                </c:pt>
                <c:pt idx="378">
                  <c:v>jun/56</c:v>
                </c:pt>
                <c:pt idx="379">
                  <c:v>jul/56</c:v>
                </c:pt>
                <c:pt idx="380">
                  <c:v>ago/56</c:v>
                </c:pt>
                <c:pt idx="381">
                  <c:v>set/56</c:v>
                </c:pt>
                <c:pt idx="382">
                  <c:v>out/56</c:v>
                </c:pt>
                <c:pt idx="383">
                  <c:v>nov/56</c:v>
                </c:pt>
                <c:pt idx="384">
                  <c:v>dez/56</c:v>
                </c:pt>
                <c:pt idx="385">
                  <c:v>jan/57</c:v>
                </c:pt>
                <c:pt idx="386">
                  <c:v>fev/57</c:v>
                </c:pt>
                <c:pt idx="387">
                  <c:v>mar/57</c:v>
                </c:pt>
                <c:pt idx="388">
                  <c:v>abr/57</c:v>
                </c:pt>
                <c:pt idx="389">
                  <c:v>mai/57</c:v>
                </c:pt>
                <c:pt idx="390">
                  <c:v>jun/57</c:v>
                </c:pt>
                <c:pt idx="391">
                  <c:v>jul/57</c:v>
                </c:pt>
                <c:pt idx="392">
                  <c:v>ago/57</c:v>
                </c:pt>
                <c:pt idx="393">
                  <c:v>set/57</c:v>
                </c:pt>
                <c:pt idx="394">
                  <c:v>out/57</c:v>
                </c:pt>
                <c:pt idx="395">
                  <c:v>nov/57</c:v>
                </c:pt>
                <c:pt idx="396">
                  <c:v>dez/57</c:v>
                </c:pt>
                <c:pt idx="397">
                  <c:v>jan/58</c:v>
                </c:pt>
                <c:pt idx="398">
                  <c:v>fev/58</c:v>
                </c:pt>
                <c:pt idx="399">
                  <c:v>mar/58</c:v>
                </c:pt>
                <c:pt idx="400">
                  <c:v>abr/58</c:v>
                </c:pt>
                <c:pt idx="401">
                  <c:v>mai/58</c:v>
                </c:pt>
                <c:pt idx="402">
                  <c:v>jun/58</c:v>
                </c:pt>
                <c:pt idx="403">
                  <c:v>jul/58</c:v>
                </c:pt>
                <c:pt idx="404">
                  <c:v>ago/58</c:v>
                </c:pt>
                <c:pt idx="405">
                  <c:v>set/58</c:v>
                </c:pt>
                <c:pt idx="406">
                  <c:v>out/58</c:v>
                </c:pt>
                <c:pt idx="407">
                  <c:v>nov/58</c:v>
                </c:pt>
                <c:pt idx="408">
                  <c:v>dez/58</c:v>
                </c:pt>
                <c:pt idx="409">
                  <c:v>jan/59</c:v>
                </c:pt>
                <c:pt idx="410">
                  <c:v>fev/59</c:v>
                </c:pt>
                <c:pt idx="411">
                  <c:v>mar/59</c:v>
                </c:pt>
                <c:pt idx="412">
                  <c:v>abr/59</c:v>
                </c:pt>
                <c:pt idx="413">
                  <c:v>mai/59</c:v>
                </c:pt>
                <c:pt idx="414">
                  <c:v>jun/59</c:v>
                </c:pt>
                <c:pt idx="415">
                  <c:v>jul/59</c:v>
                </c:pt>
                <c:pt idx="416">
                  <c:v>ago/59</c:v>
                </c:pt>
                <c:pt idx="417">
                  <c:v>set/59</c:v>
                </c:pt>
                <c:pt idx="418">
                  <c:v>out/59</c:v>
                </c:pt>
                <c:pt idx="419">
                  <c:v>nov/59</c:v>
                </c:pt>
                <c:pt idx="420">
                  <c:v>dez/59</c:v>
                </c:pt>
                <c:pt idx="421">
                  <c:v>jan/60</c:v>
                </c:pt>
                <c:pt idx="422">
                  <c:v>fev/60</c:v>
                </c:pt>
                <c:pt idx="423">
                  <c:v>mar/60</c:v>
                </c:pt>
                <c:pt idx="424">
                  <c:v>abr/60</c:v>
                </c:pt>
                <c:pt idx="425">
                  <c:v>mai/60</c:v>
                </c:pt>
                <c:pt idx="426">
                  <c:v>jun/60</c:v>
                </c:pt>
                <c:pt idx="427">
                  <c:v>jul/60</c:v>
                </c:pt>
                <c:pt idx="428">
                  <c:v>ago/60</c:v>
                </c:pt>
                <c:pt idx="429">
                  <c:v>set/60</c:v>
                </c:pt>
                <c:pt idx="430">
                  <c:v>out/60</c:v>
                </c:pt>
                <c:pt idx="431">
                  <c:v>nov/60</c:v>
                </c:pt>
                <c:pt idx="432">
                  <c:v>dez/60</c:v>
                </c:pt>
                <c:pt idx="433">
                  <c:v>jan/61</c:v>
                </c:pt>
                <c:pt idx="434">
                  <c:v>fev/61</c:v>
                </c:pt>
                <c:pt idx="435">
                  <c:v>mar/61</c:v>
                </c:pt>
                <c:pt idx="436">
                  <c:v>abr/61</c:v>
                </c:pt>
                <c:pt idx="437">
                  <c:v>mai/61</c:v>
                </c:pt>
                <c:pt idx="438">
                  <c:v>jun/61</c:v>
                </c:pt>
                <c:pt idx="439">
                  <c:v>jul/61</c:v>
                </c:pt>
                <c:pt idx="440">
                  <c:v>ago/61</c:v>
                </c:pt>
                <c:pt idx="441">
                  <c:v>set/61</c:v>
                </c:pt>
                <c:pt idx="442">
                  <c:v>out/61</c:v>
                </c:pt>
                <c:pt idx="443">
                  <c:v>nov/61</c:v>
                </c:pt>
                <c:pt idx="444">
                  <c:v>dez/61</c:v>
                </c:pt>
                <c:pt idx="445">
                  <c:v>jan/62</c:v>
                </c:pt>
                <c:pt idx="446">
                  <c:v>fev/62</c:v>
                </c:pt>
                <c:pt idx="447">
                  <c:v>mar/62</c:v>
                </c:pt>
                <c:pt idx="448">
                  <c:v>abr/62</c:v>
                </c:pt>
                <c:pt idx="449">
                  <c:v>mai/62</c:v>
                </c:pt>
                <c:pt idx="450">
                  <c:v>jun/62</c:v>
                </c:pt>
                <c:pt idx="451">
                  <c:v>jul/62</c:v>
                </c:pt>
                <c:pt idx="452">
                  <c:v>ago/62</c:v>
                </c:pt>
                <c:pt idx="453">
                  <c:v>set/62</c:v>
                </c:pt>
                <c:pt idx="454">
                  <c:v>out/62</c:v>
                </c:pt>
                <c:pt idx="455">
                  <c:v>nov/62</c:v>
                </c:pt>
                <c:pt idx="456">
                  <c:v>dez/62</c:v>
                </c:pt>
                <c:pt idx="457">
                  <c:v>jan/63</c:v>
                </c:pt>
                <c:pt idx="458">
                  <c:v>fev/63</c:v>
                </c:pt>
                <c:pt idx="459">
                  <c:v>mar/63</c:v>
                </c:pt>
                <c:pt idx="460">
                  <c:v>abr/63</c:v>
                </c:pt>
                <c:pt idx="461">
                  <c:v>mai/63</c:v>
                </c:pt>
                <c:pt idx="462">
                  <c:v>jun/63</c:v>
                </c:pt>
                <c:pt idx="463">
                  <c:v>jul/63</c:v>
                </c:pt>
                <c:pt idx="464">
                  <c:v>ago/63</c:v>
                </c:pt>
                <c:pt idx="465">
                  <c:v>set/63</c:v>
                </c:pt>
                <c:pt idx="466">
                  <c:v>out/63</c:v>
                </c:pt>
                <c:pt idx="467">
                  <c:v>nov/63</c:v>
                </c:pt>
                <c:pt idx="468">
                  <c:v>dez/63</c:v>
                </c:pt>
                <c:pt idx="469">
                  <c:v>jan/64</c:v>
                </c:pt>
                <c:pt idx="470">
                  <c:v>fev/64</c:v>
                </c:pt>
                <c:pt idx="471">
                  <c:v>mar/64</c:v>
                </c:pt>
                <c:pt idx="472">
                  <c:v>abr/64</c:v>
                </c:pt>
                <c:pt idx="473">
                  <c:v>mai/64</c:v>
                </c:pt>
                <c:pt idx="474">
                  <c:v>jun/64</c:v>
                </c:pt>
                <c:pt idx="475">
                  <c:v>jul/64</c:v>
                </c:pt>
                <c:pt idx="476">
                  <c:v>ago/64</c:v>
                </c:pt>
                <c:pt idx="477">
                  <c:v>set/64</c:v>
                </c:pt>
                <c:pt idx="478">
                  <c:v>out/64</c:v>
                </c:pt>
                <c:pt idx="479">
                  <c:v>nov/64</c:v>
                </c:pt>
                <c:pt idx="480">
                  <c:v>dez/64</c:v>
                </c:pt>
                <c:pt idx="481">
                  <c:v>jan/65</c:v>
                </c:pt>
                <c:pt idx="482">
                  <c:v>fev/65</c:v>
                </c:pt>
                <c:pt idx="483">
                  <c:v>mar/65</c:v>
                </c:pt>
                <c:pt idx="484">
                  <c:v>abr/65</c:v>
                </c:pt>
                <c:pt idx="485">
                  <c:v>mai/65</c:v>
                </c:pt>
                <c:pt idx="486">
                  <c:v>jun/65</c:v>
                </c:pt>
                <c:pt idx="487">
                  <c:v>jul/65</c:v>
                </c:pt>
                <c:pt idx="488">
                  <c:v>ago/65</c:v>
                </c:pt>
                <c:pt idx="489">
                  <c:v>set/65</c:v>
                </c:pt>
                <c:pt idx="490">
                  <c:v>out/65</c:v>
                </c:pt>
                <c:pt idx="491">
                  <c:v>nov/65</c:v>
                </c:pt>
                <c:pt idx="492">
                  <c:v>dez/65</c:v>
                </c:pt>
                <c:pt idx="493">
                  <c:v>jan/66</c:v>
                </c:pt>
                <c:pt idx="494">
                  <c:v>fev/66</c:v>
                </c:pt>
                <c:pt idx="495">
                  <c:v>mar/66</c:v>
                </c:pt>
                <c:pt idx="496">
                  <c:v>abr/66</c:v>
                </c:pt>
                <c:pt idx="497">
                  <c:v>mai/66</c:v>
                </c:pt>
                <c:pt idx="498">
                  <c:v>jun/66</c:v>
                </c:pt>
                <c:pt idx="499">
                  <c:v>jul/66</c:v>
                </c:pt>
                <c:pt idx="500">
                  <c:v>ago/66</c:v>
                </c:pt>
                <c:pt idx="501">
                  <c:v>set/66</c:v>
                </c:pt>
                <c:pt idx="502">
                  <c:v>out/66</c:v>
                </c:pt>
                <c:pt idx="503">
                  <c:v>nov/66</c:v>
                </c:pt>
                <c:pt idx="504">
                  <c:v>dez/66</c:v>
                </c:pt>
                <c:pt idx="505">
                  <c:v>jan/67</c:v>
                </c:pt>
                <c:pt idx="506">
                  <c:v>fev/67</c:v>
                </c:pt>
                <c:pt idx="507">
                  <c:v>mar/67</c:v>
                </c:pt>
                <c:pt idx="508">
                  <c:v>abr/67</c:v>
                </c:pt>
                <c:pt idx="509">
                  <c:v>mai/67</c:v>
                </c:pt>
                <c:pt idx="510">
                  <c:v>jun/67</c:v>
                </c:pt>
                <c:pt idx="511">
                  <c:v>jul/67</c:v>
                </c:pt>
                <c:pt idx="512">
                  <c:v>ago/67</c:v>
                </c:pt>
                <c:pt idx="513">
                  <c:v>set/67</c:v>
                </c:pt>
                <c:pt idx="514">
                  <c:v>out/67</c:v>
                </c:pt>
                <c:pt idx="515">
                  <c:v>nov/67</c:v>
                </c:pt>
                <c:pt idx="516">
                  <c:v>dez/67</c:v>
                </c:pt>
                <c:pt idx="517">
                  <c:v>jan/68</c:v>
                </c:pt>
                <c:pt idx="518">
                  <c:v>fev/68</c:v>
                </c:pt>
                <c:pt idx="519">
                  <c:v>mar/68</c:v>
                </c:pt>
                <c:pt idx="520">
                  <c:v>abr/68</c:v>
                </c:pt>
                <c:pt idx="521">
                  <c:v>mai/68</c:v>
                </c:pt>
                <c:pt idx="522">
                  <c:v>jun/68</c:v>
                </c:pt>
                <c:pt idx="523">
                  <c:v>jul/68</c:v>
                </c:pt>
                <c:pt idx="524">
                  <c:v>ago/68</c:v>
                </c:pt>
                <c:pt idx="525">
                  <c:v>set/68</c:v>
                </c:pt>
                <c:pt idx="526">
                  <c:v>out/68</c:v>
                </c:pt>
                <c:pt idx="527">
                  <c:v>nov/68</c:v>
                </c:pt>
                <c:pt idx="528">
                  <c:v>dez/68</c:v>
                </c:pt>
                <c:pt idx="529">
                  <c:v>jan/69</c:v>
                </c:pt>
                <c:pt idx="530">
                  <c:v>fev/69</c:v>
                </c:pt>
                <c:pt idx="531">
                  <c:v>mar/69</c:v>
                </c:pt>
                <c:pt idx="532">
                  <c:v>abr/69</c:v>
                </c:pt>
                <c:pt idx="533">
                  <c:v>mai/69</c:v>
                </c:pt>
                <c:pt idx="534">
                  <c:v>jun/69</c:v>
                </c:pt>
                <c:pt idx="535">
                  <c:v>jul/69</c:v>
                </c:pt>
                <c:pt idx="536">
                  <c:v>ago/69</c:v>
                </c:pt>
                <c:pt idx="537">
                  <c:v>set/69</c:v>
                </c:pt>
                <c:pt idx="538">
                  <c:v>out/69</c:v>
                </c:pt>
                <c:pt idx="539">
                  <c:v>nov/69</c:v>
                </c:pt>
                <c:pt idx="540">
                  <c:v>dez/69</c:v>
                </c:pt>
                <c:pt idx="541">
                  <c:v>jan/70</c:v>
                </c:pt>
                <c:pt idx="542">
                  <c:v>fev/70</c:v>
                </c:pt>
                <c:pt idx="543">
                  <c:v>mar/70</c:v>
                </c:pt>
                <c:pt idx="544">
                  <c:v>abr/70</c:v>
                </c:pt>
                <c:pt idx="545">
                  <c:v>mai/70</c:v>
                </c:pt>
                <c:pt idx="546">
                  <c:v>jun/70</c:v>
                </c:pt>
                <c:pt idx="547">
                  <c:v>jul/70</c:v>
                </c:pt>
                <c:pt idx="548">
                  <c:v>ago/70</c:v>
                </c:pt>
                <c:pt idx="549">
                  <c:v>set/70</c:v>
                </c:pt>
                <c:pt idx="550">
                  <c:v>out/70</c:v>
                </c:pt>
                <c:pt idx="551">
                  <c:v>nov/70</c:v>
                </c:pt>
                <c:pt idx="552">
                  <c:v>dez/70</c:v>
                </c:pt>
                <c:pt idx="553">
                  <c:v>jan/71</c:v>
                </c:pt>
                <c:pt idx="554">
                  <c:v>fev/71</c:v>
                </c:pt>
                <c:pt idx="555">
                  <c:v>mar/71</c:v>
                </c:pt>
                <c:pt idx="556">
                  <c:v>abr/71</c:v>
                </c:pt>
                <c:pt idx="557">
                  <c:v>mai/71</c:v>
                </c:pt>
                <c:pt idx="558">
                  <c:v>jun/71</c:v>
                </c:pt>
                <c:pt idx="559">
                  <c:v>jul/71</c:v>
                </c:pt>
                <c:pt idx="560">
                  <c:v>ago/71</c:v>
                </c:pt>
                <c:pt idx="561">
                  <c:v>set/71</c:v>
                </c:pt>
                <c:pt idx="562">
                  <c:v>out/71</c:v>
                </c:pt>
                <c:pt idx="563">
                  <c:v>nov/71</c:v>
                </c:pt>
                <c:pt idx="564">
                  <c:v>dez/71</c:v>
                </c:pt>
                <c:pt idx="565">
                  <c:v>jan/72</c:v>
                </c:pt>
                <c:pt idx="566">
                  <c:v>fev/72</c:v>
                </c:pt>
                <c:pt idx="567">
                  <c:v>mar/72</c:v>
                </c:pt>
                <c:pt idx="568">
                  <c:v>abr/72</c:v>
                </c:pt>
                <c:pt idx="569">
                  <c:v>mai/72</c:v>
                </c:pt>
                <c:pt idx="570">
                  <c:v>jun/72</c:v>
                </c:pt>
                <c:pt idx="571">
                  <c:v>jul/72</c:v>
                </c:pt>
                <c:pt idx="572">
                  <c:v>ago/72</c:v>
                </c:pt>
                <c:pt idx="573">
                  <c:v>set/72</c:v>
                </c:pt>
                <c:pt idx="574">
                  <c:v>out/72</c:v>
                </c:pt>
                <c:pt idx="575">
                  <c:v>nov/72</c:v>
                </c:pt>
                <c:pt idx="576">
                  <c:v>dez/72</c:v>
                </c:pt>
                <c:pt idx="577">
                  <c:v>jan/73</c:v>
                </c:pt>
                <c:pt idx="578">
                  <c:v>fev/73</c:v>
                </c:pt>
                <c:pt idx="579">
                  <c:v>mar/73</c:v>
                </c:pt>
                <c:pt idx="580">
                  <c:v>abr/73</c:v>
                </c:pt>
                <c:pt idx="581">
                  <c:v>mai/73</c:v>
                </c:pt>
                <c:pt idx="582">
                  <c:v>jun/73</c:v>
                </c:pt>
                <c:pt idx="583">
                  <c:v>jul/73</c:v>
                </c:pt>
                <c:pt idx="584">
                  <c:v>ago/73</c:v>
                </c:pt>
                <c:pt idx="585">
                  <c:v>set/73</c:v>
                </c:pt>
                <c:pt idx="586">
                  <c:v>out/73</c:v>
                </c:pt>
                <c:pt idx="587">
                  <c:v>nov/73</c:v>
                </c:pt>
                <c:pt idx="588">
                  <c:v>dez/73</c:v>
                </c:pt>
                <c:pt idx="589">
                  <c:v>jan/74</c:v>
                </c:pt>
                <c:pt idx="590">
                  <c:v>fev/74</c:v>
                </c:pt>
                <c:pt idx="591">
                  <c:v>mar/74</c:v>
                </c:pt>
                <c:pt idx="592">
                  <c:v>abr/74</c:v>
                </c:pt>
                <c:pt idx="593">
                  <c:v>mai/74</c:v>
                </c:pt>
                <c:pt idx="594">
                  <c:v>jun/74</c:v>
                </c:pt>
                <c:pt idx="595">
                  <c:v>jul/74</c:v>
                </c:pt>
                <c:pt idx="596">
                  <c:v>ago/74</c:v>
                </c:pt>
                <c:pt idx="597">
                  <c:v>set/74</c:v>
                </c:pt>
                <c:pt idx="598">
                  <c:v>out/74</c:v>
                </c:pt>
                <c:pt idx="599">
                  <c:v>nov/74</c:v>
                </c:pt>
                <c:pt idx="600">
                  <c:v>dez/74</c:v>
                </c:pt>
                <c:pt idx="601">
                  <c:v>jan/75</c:v>
                </c:pt>
                <c:pt idx="602">
                  <c:v>fev/75</c:v>
                </c:pt>
                <c:pt idx="603">
                  <c:v>mar/75</c:v>
                </c:pt>
                <c:pt idx="604">
                  <c:v>abr/75</c:v>
                </c:pt>
                <c:pt idx="605">
                  <c:v>mai/75</c:v>
                </c:pt>
                <c:pt idx="606">
                  <c:v>jun/75</c:v>
                </c:pt>
                <c:pt idx="607">
                  <c:v>jul/75</c:v>
                </c:pt>
                <c:pt idx="608">
                  <c:v>ago/75</c:v>
                </c:pt>
                <c:pt idx="609">
                  <c:v>set/75</c:v>
                </c:pt>
                <c:pt idx="610">
                  <c:v>out/75</c:v>
                </c:pt>
                <c:pt idx="611">
                  <c:v>nov/75</c:v>
                </c:pt>
                <c:pt idx="612">
                  <c:v>dez/75</c:v>
                </c:pt>
                <c:pt idx="613">
                  <c:v>jan/76</c:v>
                </c:pt>
                <c:pt idx="614">
                  <c:v>fev/76</c:v>
                </c:pt>
                <c:pt idx="615">
                  <c:v>mar/76</c:v>
                </c:pt>
                <c:pt idx="616">
                  <c:v>abr/76</c:v>
                </c:pt>
                <c:pt idx="617">
                  <c:v>mai/76</c:v>
                </c:pt>
                <c:pt idx="618">
                  <c:v>jun/76</c:v>
                </c:pt>
                <c:pt idx="619">
                  <c:v>jul/76</c:v>
                </c:pt>
                <c:pt idx="620">
                  <c:v>ago/76</c:v>
                </c:pt>
                <c:pt idx="621">
                  <c:v>set/76</c:v>
                </c:pt>
                <c:pt idx="622">
                  <c:v>out/76</c:v>
                </c:pt>
                <c:pt idx="623">
                  <c:v>nov/76</c:v>
                </c:pt>
                <c:pt idx="624">
                  <c:v>dez/76</c:v>
                </c:pt>
                <c:pt idx="625">
                  <c:v>jan/77</c:v>
                </c:pt>
                <c:pt idx="626">
                  <c:v>fev/77</c:v>
                </c:pt>
                <c:pt idx="627">
                  <c:v>mar/77</c:v>
                </c:pt>
                <c:pt idx="628">
                  <c:v>abr/77</c:v>
                </c:pt>
                <c:pt idx="629">
                  <c:v>mai/77</c:v>
                </c:pt>
                <c:pt idx="630">
                  <c:v>jun/77</c:v>
                </c:pt>
                <c:pt idx="631">
                  <c:v>jul/77</c:v>
                </c:pt>
                <c:pt idx="632">
                  <c:v>ago/77</c:v>
                </c:pt>
                <c:pt idx="633">
                  <c:v>set/77</c:v>
                </c:pt>
                <c:pt idx="634">
                  <c:v>out/77</c:v>
                </c:pt>
                <c:pt idx="635">
                  <c:v>nov/77</c:v>
                </c:pt>
                <c:pt idx="636">
                  <c:v>dez/77</c:v>
                </c:pt>
                <c:pt idx="637">
                  <c:v>jan/78</c:v>
                </c:pt>
                <c:pt idx="638">
                  <c:v>fev/78</c:v>
                </c:pt>
                <c:pt idx="639">
                  <c:v>mar/78</c:v>
                </c:pt>
                <c:pt idx="640">
                  <c:v>abr/78</c:v>
                </c:pt>
                <c:pt idx="641">
                  <c:v>mai/78</c:v>
                </c:pt>
                <c:pt idx="642">
                  <c:v>jun/78</c:v>
                </c:pt>
                <c:pt idx="643">
                  <c:v>jul/78</c:v>
                </c:pt>
                <c:pt idx="644">
                  <c:v>ago/78</c:v>
                </c:pt>
                <c:pt idx="645">
                  <c:v>set/78</c:v>
                </c:pt>
                <c:pt idx="646">
                  <c:v>out/78</c:v>
                </c:pt>
                <c:pt idx="647">
                  <c:v>nov/78</c:v>
                </c:pt>
                <c:pt idx="648">
                  <c:v>dez/78</c:v>
                </c:pt>
                <c:pt idx="649">
                  <c:v>jan/79</c:v>
                </c:pt>
                <c:pt idx="650">
                  <c:v>fev/79</c:v>
                </c:pt>
                <c:pt idx="651">
                  <c:v>mar/79</c:v>
                </c:pt>
                <c:pt idx="652">
                  <c:v>abr/79</c:v>
                </c:pt>
                <c:pt idx="653">
                  <c:v>mai/79</c:v>
                </c:pt>
                <c:pt idx="654">
                  <c:v>jun/79</c:v>
                </c:pt>
                <c:pt idx="655">
                  <c:v>jul/79</c:v>
                </c:pt>
                <c:pt idx="656">
                  <c:v>ago/79</c:v>
                </c:pt>
                <c:pt idx="657">
                  <c:v>set/79</c:v>
                </c:pt>
                <c:pt idx="658">
                  <c:v>out/79</c:v>
                </c:pt>
                <c:pt idx="659">
                  <c:v>nov/79</c:v>
                </c:pt>
                <c:pt idx="660">
                  <c:v>dez/79</c:v>
                </c:pt>
                <c:pt idx="661">
                  <c:v>jan/80</c:v>
                </c:pt>
                <c:pt idx="662">
                  <c:v>fev/80</c:v>
                </c:pt>
                <c:pt idx="663">
                  <c:v>mar/80</c:v>
                </c:pt>
                <c:pt idx="664">
                  <c:v>abr/80</c:v>
                </c:pt>
                <c:pt idx="665">
                  <c:v>mai/80</c:v>
                </c:pt>
                <c:pt idx="666">
                  <c:v>jun/80</c:v>
                </c:pt>
                <c:pt idx="667">
                  <c:v>jul/80</c:v>
                </c:pt>
                <c:pt idx="668">
                  <c:v>ago/80</c:v>
                </c:pt>
                <c:pt idx="669">
                  <c:v>set/80</c:v>
                </c:pt>
                <c:pt idx="670">
                  <c:v>out/80</c:v>
                </c:pt>
                <c:pt idx="671">
                  <c:v>nov/80</c:v>
                </c:pt>
                <c:pt idx="672">
                  <c:v>dez/80</c:v>
                </c:pt>
                <c:pt idx="673">
                  <c:v>jan/81</c:v>
                </c:pt>
                <c:pt idx="674">
                  <c:v>fev/81</c:v>
                </c:pt>
                <c:pt idx="675">
                  <c:v>mar/81</c:v>
                </c:pt>
                <c:pt idx="676">
                  <c:v>abr/81</c:v>
                </c:pt>
                <c:pt idx="677">
                  <c:v>mai/81</c:v>
                </c:pt>
                <c:pt idx="678">
                  <c:v>jun/81</c:v>
                </c:pt>
                <c:pt idx="679">
                  <c:v>jul/81</c:v>
                </c:pt>
                <c:pt idx="680">
                  <c:v>ago/81</c:v>
                </c:pt>
                <c:pt idx="681">
                  <c:v>set/81</c:v>
                </c:pt>
                <c:pt idx="682">
                  <c:v>out/81</c:v>
                </c:pt>
                <c:pt idx="683">
                  <c:v>nov/81</c:v>
                </c:pt>
                <c:pt idx="684">
                  <c:v>dez/81</c:v>
                </c:pt>
                <c:pt idx="685">
                  <c:v>jan/82</c:v>
                </c:pt>
                <c:pt idx="686">
                  <c:v>fev/82</c:v>
                </c:pt>
                <c:pt idx="687">
                  <c:v>mar/82</c:v>
                </c:pt>
                <c:pt idx="688">
                  <c:v>abr/82</c:v>
                </c:pt>
                <c:pt idx="689">
                  <c:v>mai/82</c:v>
                </c:pt>
                <c:pt idx="690">
                  <c:v>jun/82</c:v>
                </c:pt>
                <c:pt idx="691">
                  <c:v>jul/82</c:v>
                </c:pt>
                <c:pt idx="692">
                  <c:v>ago/82</c:v>
                </c:pt>
                <c:pt idx="693">
                  <c:v>set/82</c:v>
                </c:pt>
                <c:pt idx="694">
                  <c:v>out/82</c:v>
                </c:pt>
                <c:pt idx="695">
                  <c:v>nov/82</c:v>
                </c:pt>
                <c:pt idx="696">
                  <c:v>dez/82</c:v>
                </c:pt>
                <c:pt idx="697">
                  <c:v>jan/83</c:v>
                </c:pt>
                <c:pt idx="698">
                  <c:v>fev/83</c:v>
                </c:pt>
                <c:pt idx="699">
                  <c:v>mar/83</c:v>
                </c:pt>
                <c:pt idx="700">
                  <c:v>abr/83</c:v>
                </c:pt>
                <c:pt idx="701">
                  <c:v>mai/83</c:v>
                </c:pt>
                <c:pt idx="702">
                  <c:v>jun/83</c:v>
                </c:pt>
                <c:pt idx="703">
                  <c:v>jul/83</c:v>
                </c:pt>
                <c:pt idx="704">
                  <c:v>ago/83</c:v>
                </c:pt>
                <c:pt idx="705">
                  <c:v>set/83</c:v>
                </c:pt>
                <c:pt idx="706">
                  <c:v>out/83</c:v>
                </c:pt>
                <c:pt idx="707">
                  <c:v>nov/83</c:v>
                </c:pt>
                <c:pt idx="708">
                  <c:v>dez/83</c:v>
                </c:pt>
                <c:pt idx="709">
                  <c:v>jan/84</c:v>
                </c:pt>
                <c:pt idx="710">
                  <c:v>fev/84</c:v>
                </c:pt>
                <c:pt idx="711">
                  <c:v>mar/84</c:v>
                </c:pt>
                <c:pt idx="712">
                  <c:v>abr/84</c:v>
                </c:pt>
                <c:pt idx="713">
                  <c:v>mai/84</c:v>
                </c:pt>
                <c:pt idx="714">
                  <c:v>jun/84</c:v>
                </c:pt>
                <c:pt idx="715">
                  <c:v>jul/84</c:v>
                </c:pt>
                <c:pt idx="716">
                  <c:v>ago/84</c:v>
                </c:pt>
                <c:pt idx="717">
                  <c:v>set/84</c:v>
                </c:pt>
                <c:pt idx="718">
                  <c:v>out/84</c:v>
                </c:pt>
                <c:pt idx="719">
                  <c:v>nov/84</c:v>
                </c:pt>
                <c:pt idx="720">
                  <c:v>dez/84</c:v>
                </c:pt>
                <c:pt idx="721">
                  <c:v>jan/85</c:v>
                </c:pt>
                <c:pt idx="722">
                  <c:v>fev/85</c:v>
                </c:pt>
                <c:pt idx="723">
                  <c:v>mar/85</c:v>
                </c:pt>
                <c:pt idx="724">
                  <c:v>abr/85</c:v>
                </c:pt>
                <c:pt idx="725">
                  <c:v>mai/85</c:v>
                </c:pt>
                <c:pt idx="726">
                  <c:v>jun/85</c:v>
                </c:pt>
                <c:pt idx="727">
                  <c:v>jul/85</c:v>
                </c:pt>
                <c:pt idx="728">
                  <c:v>ago/85</c:v>
                </c:pt>
                <c:pt idx="729">
                  <c:v>set/85</c:v>
                </c:pt>
                <c:pt idx="730">
                  <c:v>out/85</c:v>
                </c:pt>
                <c:pt idx="731">
                  <c:v>nov/85</c:v>
                </c:pt>
                <c:pt idx="732">
                  <c:v>dez/85</c:v>
                </c:pt>
                <c:pt idx="733">
                  <c:v>jan/86</c:v>
                </c:pt>
                <c:pt idx="734">
                  <c:v>fev/86</c:v>
                </c:pt>
                <c:pt idx="735">
                  <c:v>mar/86</c:v>
                </c:pt>
                <c:pt idx="736">
                  <c:v>abr/86</c:v>
                </c:pt>
                <c:pt idx="737">
                  <c:v>mai/86</c:v>
                </c:pt>
                <c:pt idx="738">
                  <c:v>jun/86</c:v>
                </c:pt>
                <c:pt idx="739">
                  <c:v>jul/86</c:v>
                </c:pt>
                <c:pt idx="740">
                  <c:v>ago/86</c:v>
                </c:pt>
                <c:pt idx="741">
                  <c:v>set/86</c:v>
                </c:pt>
                <c:pt idx="742">
                  <c:v>out/86</c:v>
                </c:pt>
                <c:pt idx="743">
                  <c:v>nov/86</c:v>
                </c:pt>
                <c:pt idx="744">
                  <c:v>dez/86</c:v>
                </c:pt>
                <c:pt idx="745">
                  <c:v>jan/87</c:v>
                </c:pt>
                <c:pt idx="746">
                  <c:v>fev/87</c:v>
                </c:pt>
                <c:pt idx="747">
                  <c:v>mar/87</c:v>
                </c:pt>
                <c:pt idx="748">
                  <c:v>abr/87</c:v>
                </c:pt>
                <c:pt idx="749">
                  <c:v>mai/87</c:v>
                </c:pt>
                <c:pt idx="750">
                  <c:v>jun/87</c:v>
                </c:pt>
                <c:pt idx="751">
                  <c:v>jul/87</c:v>
                </c:pt>
                <c:pt idx="752">
                  <c:v>ago/87</c:v>
                </c:pt>
                <c:pt idx="753">
                  <c:v>set/87</c:v>
                </c:pt>
                <c:pt idx="754">
                  <c:v>out/87</c:v>
                </c:pt>
                <c:pt idx="755">
                  <c:v>nov/87</c:v>
                </c:pt>
                <c:pt idx="756">
                  <c:v>dez/87</c:v>
                </c:pt>
                <c:pt idx="757">
                  <c:v>jan/88</c:v>
                </c:pt>
                <c:pt idx="758">
                  <c:v>fev/88</c:v>
                </c:pt>
                <c:pt idx="759">
                  <c:v>mar/88</c:v>
                </c:pt>
                <c:pt idx="760">
                  <c:v>abr/88</c:v>
                </c:pt>
                <c:pt idx="761">
                  <c:v>mai/88</c:v>
                </c:pt>
                <c:pt idx="762">
                  <c:v>jun/88</c:v>
                </c:pt>
                <c:pt idx="763">
                  <c:v>jul/88</c:v>
                </c:pt>
                <c:pt idx="764">
                  <c:v>ago/88</c:v>
                </c:pt>
                <c:pt idx="765">
                  <c:v>set/88</c:v>
                </c:pt>
                <c:pt idx="766">
                  <c:v>out/88</c:v>
                </c:pt>
                <c:pt idx="767">
                  <c:v>nov/88</c:v>
                </c:pt>
                <c:pt idx="768">
                  <c:v>dez/88</c:v>
                </c:pt>
                <c:pt idx="769">
                  <c:v>jan/89</c:v>
                </c:pt>
                <c:pt idx="770">
                  <c:v>fev/89</c:v>
                </c:pt>
                <c:pt idx="771">
                  <c:v>mar/89</c:v>
                </c:pt>
                <c:pt idx="772">
                  <c:v>abr/89</c:v>
                </c:pt>
                <c:pt idx="773">
                  <c:v>mai/89</c:v>
                </c:pt>
                <c:pt idx="774">
                  <c:v>jun/89</c:v>
                </c:pt>
                <c:pt idx="775">
                  <c:v>jul/89</c:v>
                </c:pt>
                <c:pt idx="776">
                  <c:v>ago/89</c:v>
                </c:pt>
                <c:pt idx="777">
                  <c:v>set/89</c:v>
                </c:pt>
                <c:pt idx="778">
                  <c:v>out/89</c:v>
                </c:pt>
                <c:pt idx="779">
                  <c:v>nov/89</c:v>
                </c:pt>
                <c:pt idx="780">
                  <c:v>dez/89</c:v>
                </c:pt>
                <c:pt idx="781">
                  <c:v>jan/90</c:v>
                </c:pt>
                <c:pt idx="782">
                  <c:v>fev/90</c:v>
                </c:pt>
                <c:pt idx="783">
                  <c:v>mar/90</c:v>
                </c:pt>
                <c:pt idx="784">
                  <c:v>abr/90</c:v>
                </c:pt>
                <c:pt idx="785">
                  <c:v>mai/90</c:v>
                </c:pt>
                <c:pt idx="786">
                  <c:v>jun/90</c:v>
                </c:pt>
                <c:pt idx="787">
                  <c:v>jul/90</c:v>
                </c:pt>
                <c:pt idx="788">
                  <c:v>ago/90</c:v>
                </c:pt>
                <c:pt idx="789">
                  <c:v>set/90</c:v>
                </c:pt>
                <c:pt idx="790">
                  <c:v>out/90</c:v>
                </c:pt>
                <c:pt idx="791">
                  <c:v>nov/90</c:v>
                </c:pt>
                <c:pt idx="792">
                  <c:v>dez/90</c:v>
                </c:pt>
                <c:pt idx="793">
                  <c:v>jan/91</c:v>
                </c:pt>
                <c:pt idx="794">
                  <c:v>fev/91</c:v>
                </c:pt>
                <c:pt idx="795">
                  <c:v>mar/91</c:v>
                </c:pt>
                <c:pt idx="796">
                  <c:v>abr/91</c:v>
                </c:pt>
                <c:pt idx="797">
                  <c:v>mai/91</c:v>
                </c:pt>
                <c:pt idx="798">
                  <c:v>jun/91</c:v>
                </c:pt>
                <c:pt idx="799">
                  <c:v>jul/91</c:v>
                </c:pt>
                <c:pt idx="800">
                  <c:v>ago/91</c:v>
                </c:pt>
                <c:pt idx="801">
                  <c:v>set/91</c:v>
                </c:pt>
                <c:pt idx="802">
                  <c:v>out/91</c:v>
                </c:pt>
                <c:pt idx="803">
                  <c:v>nov/91</c:v>
                </c:pt>
                <c:pt idx="804">
                  <c:v>dez/91</c:v>
                </c:pt>
                <c:pt idx="805">
                  <c:v>jan/92</c:v>
                </c:pt>
                <c:pt idx="806">
                  <c:v>fev/92</c:v>
                </c:pt>
                <c:pt idx="807">
                  <c:v>mar/92</c:v>
                </c:pt>
                <c:pt idx="808">
                  <c:v>abr/92</c:v>
                </c:pt>
                <c:pt idx="809">
                  <c:v>mai/92</c:v>
                </c:pt>
                <c:pt idx="810">
                  <c:v>jun/92</c:v>
                </c:pt>
                <c:pt idx="811">
                  <c:v>jul/92</c:v>
                </c:pt>
                <c:pt idx="812">
                  <c:v>ago/92</c:v>
                </c:pt>
                <c:pt idx="813">
                  <c:v>set/92</c:v>
                </c:pt>
                <c:pt idx="814">
                  <c:v>out/92</c:v>
                </c:pt>
                <c:pt idx="815">
                  <c:v>nov/92</c:v>
                </c:pt>
                <c:pt idx="816">
                  <c:v>dez/92</c:v>
                </c:pt>
                <c:pt idx="817">
                  <c:v>jan/93</c:v>
                </c:pt>
                <c:pt idx="818">
                  <c:v>fev/93</c:v>
                </c:pt>
                <c:pt idx="819">
                  <c:v>mar/93</c:v>
                </c:pt>
                <c:pt idx="820">
                  <c:v>abr/93</c:v>
                </c:pt>
                <c:pt idx="821">
                  <c:v>mai/93</c:v>
                </c:pt>
                <c:pt idx="822">
                  <c:v>jun/93</c:v>
                </c:pt>
                <c:pt idx="823">
                  <c:v>jul/93</c:v>
                </c:pt>
                <c:pt idx="824">
                  <c:v>ago/93</c:v>
                </c:pt>
                <c:pt idx="825">
                  <c:v>set/93</c:v>
                </c:pt>
                <c:pt idx="826">
                  <c:v>out/93</c:v>
                </c:pt>
                <c:pt idx="827">
                  <c:v>nov/93</c:v>
                </c:pt>
                <c:pt idx="828">
                  <c:v>dez/93</c:v>
                </c:pt>
                <c:pt idx="829">
                  <c:v>jan/94</c:v>
                </c:pt>
                <c:pt idx="830">
                  <c:v>fev/94</c:v>
                </c:pt>
                <c:pt idx="831">
                  <c:v>mar/94</c:v>
                </c:pt>
                <c:pt idx="832">
                  <c:v>abr/94</c:v>
                </c:pt>
                <c:pt idx="833">
                  <c:v>mai/94</c:v>
                </c:pt>
                <c:pt idx="834">
                  <c:v>jun/94</c:v>
                </c:pt>
                <c:pt idx="835">
                  <c:v>jul/94</c:v>
                </c:pt>
                <c:pt idx="836">
                  <c:v>ago/94</c:v>
                </c:pt>
                <c:pt idx="837">
                  <c:v>set/94</c:v>
                </c:pt>
                <c:pt idx="838">
                  <c:v>out/94</c:v>
                </c:pt>
                <c:pt idx="839">
                  <c:v>nov/94</c:v>
                </c:pt>
                <c:pt idx="840">
                  <c:v>dez/94</c:v>
                </c:pt>
                <c:pt idx="841">
                  <c:v>jan/95</c:v>
                </c:pt>
                <c:pt idx="842">
                  <c:v>fev/95</c:v>
                </c:pt>
                <c:pt idx="843">
                  <c:v>mar/95</c:v>
                </c:pt>
                <c:pt idx="844">
                  <c:v>abr/95</c:v>
                </c:pt>
                <c:pt idx="845">
                  <c:v>mai/95</c:v>
                </c:pt>
                <c:pt idx="846">
                  <c:v>jun/95</c:v>
                </c:pt>
                <c:pt idx="847">
                  <c:v>jul/95</c:v>
                </c:pt>
                <c:pt idx="848">
                  <c:v>ago/95</c:v>
                </c:pt>
                <c:pt idx="849">
                  <c:v>set/95</c:v>
                </c:pt>
                <c:pt idx="850">
                  <c:v>out/95</c:v>
                </c:pt>
                <c:pt idx="851">
                  <c:v>nov/95</c:v>
                </c:pt>
                <c:pt idx="852">
                  <c:v>dez/95</c:v>
                </c:pt>
                <c:pt idx="853">
                  <c:v>jan/96</c:v>
                </c:pt>
                <c:pt idx="854">
                  <c:v>fev/96</c:v>
                </c:pt>
                <c:pt idx="855">
                  <c:v>mar/96</c:v>
                </c:pt>
                <c:pt idx="856">
                  <c:v>abr/96</c:v>
                </c:pt>
                <c:pt idx="857">
                  <c:v>mai/96</c:v>
                </c:pt>
                <c:pt idx="858">
                  <c:v>jun/96</c:v>
                </c:pt>
                <c:pt idx="859">
                  <c:v>jul/96</c:v>
                </c:pt>
                <c:pt idx="860">
                  <c:v>ago/96</c:v>
                </c:pt>
                <c:pt idx="861">
                  <c:v>set/96</c:v>
                </c:pt>
                <c:pt idx="862">
                  <c:v>out/96</c:v>
                </c:pt>
                <c:pt idx="863">
                  <c:v>nov/96</c:v>
                </c:pt>
                <c:pt idx="864">
                  <c:v>dez/96</c:v>
                </c:pt>
                <c:pt idx="865">
                  <c:v>jan/97</c:v>
                </c:pt>
                <c:pt idx="866">
                  <c:v>fev/97</c:v>
                </c:pt>
                <c:pt idx="867">
                  <c:v>mar/97</c:v>
                </c:pt>
                <c:pt idx="868">
                  <c:v>abr/97</c:v>
                </c:pt>
                <c:pt idx="869">
                  <c:v>mai/97</c:v>
                </c:pt>
                <c:pt idx="870">
                  <c:v>jun/97</c:v>
                </c:pt>
                <c:pt idx="871">
                  <c:v>jul/97</c:v>
                </c:pt>
                <c:pt idx="872">
                  <c:v>ago/97</c:v>
                </c:pt>
                <c:pt idx="873">
                  <c:v>set/97</c:v>
                </c:pt>
                <c:pt idx="874">
                  <c:v>out/97</c:v>
                </c:pt>
                <c:pt idx="875">
                  <c:v>nov/97</c:v>
                </c:pt>
                <c:pt idx="876">
                  <c:v>dez/97</c:v>
                </c:pt>
                <c:pt idx="877">
                  <c:v>jan/98</c:v>
                </c:pt>
                <c:pt idx="878">
                  <c:v>fev/98</c:v>
                </c:pt>
                <c:pt idx="879">
                  <c:v>mar/98</c:v>
                </c:pt>
                <c:pt idx="880">
                  <c:v>abr/98</c:v>
                </c:pt>
                <c:pt idx="881">
                  <c:v>mai/98</c:v>
                </c:pt>
                <c:pt idx="882">
                  <c:v>jun/98</c:v>
                </c:pt>
                <c:pt idx="883">
                  <c:v>jul/98</c:v>
                </c:pt>
                <c:pt idx="884">
                  <c:v>ago/98</c:v>
                </c:pt>
                <c:pt idx="885">
                  <c:v>set/98</c:v>
                </c:pt>
                <c:pt idx="886">
                  <c:v>out/98</c:v>
                </c:pt>
                <c:pt idx="887">
                  <c:v>nov/98</c:v>
                </c:pt>
                <c:pt idx="888">
                  <c:v>dez/98</c:v>
                </c:pt>
                <c:pt idx="889">
                  <c:v>jan/99</c:v>
                </c:pt>
                <c:pt idx="890">
                  <c:v>fev/99</c:v>
                </c:pt>
                <c:pt idx="891">
                  <c:v>mar/99</c:v>
                </c:pt>
                <c:pt idx="892">
                  <c:v>abr/99</c:v>
                </c:pt>
                <c:pt idx="893">
                  <c:v>mai/99</c:v>
                </c:pt>
                <c:pt idx="894">
                  <c:v>jun/99</c:v>
                </c:pt>
                <c:pt idx="895">
                  <c:v>jul/99</c:v>
                </c:pt>
                <c:pt idx="896">
                  <c:v>ago/99</c:v>
                </c:pt>
                <c:pt idx="897">
                  <c:v>set/99</c:v>
                </c:pt>
                <c:pt idx="898">
                  <c:v>out/99</c:v>
                </c:pt>
                <c:pt idx="899">
                  <c:v>nov/99</c:v>
                </c:pt>
                <c:pt idx="900">
                  <c:v>dez/99</c:v>
                </c:pt>
                <c:pt idx="901">
                  <c:v>jan/00</c:v>
                </c:pt>
                <c:pt idx="902">
                  <c:v>fev/00</c:v>
                </c:pt>
                <c:pt idx="903">
                  <c:v>mar/00</c:v>
                </c:pt>
                <c:pt idx="904">
                  <c:v>abr/00</c:v>
                </c:pt>
                <c:pt idx="905">
                  <c:v>mai/00</c:v>
                </c:pt>
                <c:pt idx="906">
                  <c:v>jun/00</c:v>
                </c:pt>
                <c:pt idx="907">
                  <c:v>jul/00</c:v>
                </c:pt>
                <c:pt idx="908">
                  <c:v>ago/00</c:v>
                </c:pt>
                <c:pt idx="909">
                  <c:v>set/00</c:v>
                </c:pt>
                <c:pt idx="910">
                  <c:v>out/00</c:v>
                </c:pt>
                <c:pt idx="911">
                  <c:v>nov/00</c:v>
                </c:pt>
                <c:pt idx="912">
                  <c:v>dez/00</c:v>
                </c:pt>
                <c:pt idx="913">
                  <c:v>jan/01</c:v>
                </c:pt>
                <c:pt idx="914">
                  <c:v>fev/01</c:v>
                </c:pt>
                <c:pt idx="915">
                  <c:v>mar/01</c:v>
                </c:pt>
                <c:pt idx="916">
                  <c:v>abr/01</c:v>
                </c:pt>
                <c:pt idx="917">
                  <c:v>mai/01</c:v>
                </c:pt>
                <c:pt idx="918">
                  <c:v>jun/01</c:v>
                </c:pt>
                <c:pt idx="919">
                  <c:v>jul/01</c:v>
                </c:pt>
                <c:pt idx="920">
                  <c:v>ago/01</c:v>
                </c:pt>
                <c:pt idx="921">
                  <c:v>set/01</c:v>
                </c:pt>
                <c:pt idx="922">
                  <c:v>out/01</c:v>
                </c:pt>
                <c:pt idx="923">
                  <c:v>nov/01</c:v>
                </c:pt>
                <c:pt idx="924">
                  <c:v>dez/01</c:v>
                </c:pt>
                <c:pt idx="925">
                  <c:v>jan/02</c:v>
                </c:pt>
                <c:pt idx="926">
                  <c:v>fev/02</c:v>
                </c:pt>
                <c:pt idx="927">
                  <c:v>mar/02</c:v>
                </c:pt>
                <c:pt idx="928">
                  <c:v>abr/02</c:v>
                </c:pt>
                <c:pt idx="929">
                  <c:v>mai/02</c:v>
                </c:pt>
                <c:pt idx="930">
                  <c:v>jun/02</c:v>
                </c:pt>
                <c:pt idx="931">
                  <c:v>jul/02</c:v>
                </c:pt>
                <c:pt idx="932">
                  <c:v>ago/02</c:v>
                </c:pt>
                <c:pt idx="933">
                  <c:v>set/02</c:v>
                </c:pt>
                <c:pt idx="934">
                  <c:v>out/02</c:v>
                </c:pt>
                <c:pt idx="935">
                  <c:v>nov/02</c:v>
                </c:pt>
                <c:pt idx="936">
                  <c:v>dez/02</c:v>
                </c:pt>
                <c:pt idx="937">
                  <c:v>jan/03</c:v>
                </c:pt>
                <c:pt idx="938">
                  <c:v>fev/03</c:v>
                </c:pt>
                <c:pt idx="939">
                  <c:v>mar/03</c:v>
                </c:pt>
                <c:pt idx="940">
                  <c:v>abr/03</c:v>
                </c:pt>
                <c:pt idx="941">
                  <c:v>mai/03</c:v>
                </c:pt>
                <c:pt idx="942">
                  <c:v>jun/03</c:v>
                </c:pt>
                <c:pt idx="943">
                  <c:v>jul/03</c:v>
                </c:pt>
                <c:pt idx="944">
                  <c:v>ago/03</c:v>
                </c:pt>
                <c:pt idx="945">
                  <c:v>set/03</c:v>
                </c:pt>
                <c:pt idx="946">
                  <c:v>out/03</c:v>
                </c:pt>
                <c:pt idx="947">
                  <c:v>nov/03</c:v>
                </c:pt>
                <c:pt idx="948">
                  <c:v>dez/03</c:v>
                </c:pt>
                <c:pt idx="949">
                  <c:v>jan/04</c:v>
                </c:pt>
                <c:pt idx="950">
                  <c:v>fev/04</c:v>
                </c:pt>
                <c:pt idx="951">
                  <c:v>mar/04</c:v>
                </c:pt>
                <c:pt idx="952">
                  <c:v>abr/04</c:v>
                </c:pt>
                <c:pt idx="953">
                  <c:v>mai/04</c:v>
                </c:pt>
                <c:pt idx="954">
                  <c:v>jun/04</c:v>
                </c:pt>
                <c:pt idx="955">
                  <c:v>jul/04</c:v>
                </c:pt>
                <c:pt idx="956">
                  <c:v>ago/04</c:v>
                </c:pt>
                <c:pt idx="957">
                  <c:v>set/04</c:v>
                </c:pt>
                <c:pt idx="958">
                  <c:v>out/04</c:v>
                </c:pt>
                <c:pt idx="959">
                  <c:v>nov/04</c:v>
                </c:pt>
                <c:pt idx="960">
                  <c:v>dez/04</c:v>
                </c:pt>
                <c:pt idx="961">
                  <c:v>jan/05</c:v>
                </c:pt>
                <c:pt idx="962">
                  <c:v>fev/05</c:v>
                </c:pt>
                <c:pt idx="963">
                  <c:v>mar/05</c:v>
                </c:pt>
                <c:pt idx="964">
                  <c:v>abr/05</c:v>
                </c:pt>
                <c:pt idx="965">
                  <c:v>mai/05</c:v>
                </c:pt>
                <c:pt idx="966">
                  <c:v>jun/05</c:v>
                </c:pt>
                <c:pt idx="967">
                  <c:v>jul/05</c:v>
                </c:pt>
                <c:pt idx="968">
                  <c:v>ago/05</c:v>
                </c:pt>
                <c:pt idx="969">
                  <c:v>set/05</c:v>
                </c:pt>
                <c:pt idx="970">
                  <c:v>out/05</c:v>
                </c:pt>
                <c:pt idx="971">
                  <c:v>nov/05</c:v>
                </c:pt>
                <c:pt idx="972">
                  <c:v>dez/05</c:v>
                </c:pt>
                <c:pt idx="973">
                  <c:v>jan/06</c:v>
                </c:pt>
                <c:pt idx="974">
                  <c:v>fev/06</c:v>
                </c:pt>
                <c:pt idx="975">
                  <c:v>mar/06</c:v>
                </c:pt>
                <c:pt idx="976">
                  <c:v>abr/06</c:v>
                </c:pt>
                <c:pt idx="977">
                  <c:v>mai/06</c:v>
                </c:pt>
                <c:pt idx="978">
                  <c:v>jun/06</c:v>
                </c:pt>
                <c:pt idx="979">
                  <c:v>jul/06</c:v>
                </c:pt>
                <c:pt idx="980">
                  <c:v>ago/06</c:v>
                </c:pt>
                <c:pt idx="981">
                  <c:v>set/06</c:v>
                </c:pt>
                <c:pt idx="982">
                  <c:v>out/06</c:v>
                </c:pt>
                <c:pt idx="983">
                  <c:v>nov/06</c:v>
                </c:pt>
                <c:pt idx="984">
                  <c:v>dez/06</c:v>
                </c:pt>
                <c:pt idx="985">
                  <c:v>jan/07</c:v>
                </c:pt>
                <c:pt idx="986">
                  <c:v>fev/07</c:v>
                </c:pt>
                <c:pt idx="987">
                  <c:v>mar/07</c:v>
                </c:pt>
                <c:pt idx="988">
                  <c:v>abr/07</c:v>
                </c:pt>
                <c:pt idx="989">
                  <c:v>mai/07</c:v>
                </c:pt>
                <c:pt idx="990">
                  <c:v>jun/07</c:v>
                </c:pt>
                <c:pt idx="991">
                  <c:v>jul/07</c:v>
                </c:pt>
                <c:pt idx="992">
                  <c:v>ago/07</c:v>
                </c:pt>
                <c:pt idx="993">
                  <c:v>set/07</c:v>
                </c:pt>
                <c:pt idx="994">
                  <c:v>out/07</c:v>
                </c:pt>
                <c:pt idx="995">
                  <c:v>nov/07</c:v>
                </c:pt>
                <c:pt idx="996">
                  <c:v>dez/07</c:v>
                </c:pt>
                <c:pt idx="997">
                  <c:v>jan/08</c:v>
                </c:pt>
                <c:pt idx="998">
                  <c:v>fev/08</c:v>
                </c:pt>
                <c:pt idx="999">
                  <c:v>mar/08</c:v>
                </c:pt>
                <c:pt idx="1000">
                  <c:v>abr/08</c:v>
                </c:pt>
                <c:pt idx="1001">
                  <c:v>mai/08</c:v>
                </c:pt>
                <c:pt idx="1002">
                  <c:v>jun/08</c:v>
                </c:pt>
                <c:pt idx="1003">
                  <c:v>jul/08</c:v>
                </c:pt>
                <c:pt idx="1004">
                  <c:v>ago/08</c:v>
                </c:pt>
                <c:pt idx="1005">
                  <c:v>set/08</c:v>
                </c:pt>
                <c:pt idx="1006">
                  <c:v>out/08</c:v>
                </c:pt>
                <c:pt idx="1007">
                  <c:v>nov/08</c:v>
                </c:pt>
                <c:pt idx="1008">
                  <c:v>dez/08</c:v>
                </c:pt>
                <c:pt idx="1009">
                  <c:v>jan/09</c:v>
                </c:pt>
                <c:pt idx="1010">
                  <c:v>fev/09</c:v>
                </c:pt>
                <c:pt idx="1011">
                  <c:v>mar/09</c:v>
                </c:pt>
                <c:pt idx="1012">
                  <c:v>abr/09</c:v>
                </c:pt>
                <c:pt idx="1013">
                  <c:v>mai/09</c:v>
                </c:pt>
                <c:pt idx="1014">
                  <c:v>jun/09</c:v>
                </c:pt>
                <c:pt idx="1015">
                  <c:v>jul/09</c:v>
                </c:pt>
                <c:pt idx="1016">
                  <c:v>ago/09</c:v>
                </c:pt>
                <c:pt idx="1017">
                  <c:v>set/09</c:v>
                </c:pt>
                <c:pt idx="1018">
                  <c:v>out/09</c:v>
                </c:pt>
                <c:pt idx="1019">
                  <c:v>nov/09</c:v>
                </c:pt>
                <c:pt idx="1020">
                  <c:v>dez/09</c:v>
                </c:pt>
                <c:pt idx="1021">
                  <c:v>jan/10</c:v>
                </c:pt>
                <c:pt idx="1022">
                  <c:v>fev/10</c:v>
                </c:pt>
                <c:pt idx="1023">
                  <c:v>mar/10</c:v>
                </c:pt>
                <c:pt idx="1024">
                  <c:v>abr/10</c:v>
                </c:pt>
                <c:pt idx="1025">
                  <c:v>mai/10</c:v>
                </c:pt>
                <c:pt idx="1026">
                  <c:v>jun/10</c:v>
                </c:pt>
                <c:pt idx="1027">
                  <c:v>jul/10</c:v>
                </c:pt>
                <c:pt idx="1028">
                  <c:v>ago/10</c:v>
                </c:pt>
                <c:pt idx="1029">
                  <c:v>set/10</c:v>
                </c:pt>
                <c:pt idx="1030">
                  <c:v>out/10</c:v>
                </c:pt>
                <c:pt idx="1031">
                  <c:v>nov/10</c:v>
                </c:pt>
                <c:pt idx="1032">
                  <c:v>dez/10</c:v>
                </c:pt>
                <c:pt idx="1033">
                  <c:v>jan/11</c:v>
                </c:pt>
                <c:pt idx="1034">
                  <c:v>fev/11</c:v>
                </c:pt>
                <c:pt idx="1035">
                  <c:v>mar/11</c:v>
                </c:pt>
                <c:pt idx="1036">
                  <c:v>abr/11</c:v>
                </c:pt>
                <c:pt idx="1037">
                  <c:v>mai/11</c:v>
                </c:pt>
                <c:pt idx="1038">
                  <c:v>jun/11</c:v>
                </c:pt>
                <c:pt idx="1039">
                  <c:v>jul/11</c:v>
                </c:pt>
                <c:pt idx="1040">
                  <c:v>ago/11</c:v>
                </c:pt>
                <c:pt idx="1041">
                  <c:v>set/11</c:v>
                </c:pt>
                <c:pt idx="1042">
                  <c:v>out/11</c:v>
                </c:pt>
                <c:pt idx="1043">
                  <c:v>nov/11</c:v>
                </c:pt>
                <c:pt idx="1044">
                  <c:v>dez/11</c:v>
                </c:pt>
                <c:pt idx="1045">
                  <c:v>jan/12</c:v>
                </c:pt>
                <c:pt idx="1046">
                  <c:v>fev/12</c:v>
                </c:pt>
                <c:pt idx="1047">
                  <c:v>mar/12</c:v>
                </c:pt>
                <c:pt idx="1048">
                  <c:v>abr/12</c:v>
                </c:pt>
                <c:pt idx="1049">
                  <c:v>mai/12</c:v>
                </c:pt>
                <c:pt idx="1050">
                  <c:v>jun/12</c:v>
                </c:pt>
                <c:pt idx="1051">
                  <c:v>jul/12</c:v>
                </c:pt>
                <c:pt idx="1052">
                  <c:v>ago/12</c:v>
                </c:pt>
                <c:pt idx="1053">
                  <c:v>set/12</c:v>
                </c:pt>
                <c:pt idx="1054">
                  <c:v>out/12</c:v>
                </c:pt>
                <c:pt idx="1055">
                  <c:v>nov/12</c:v>
                </c:pt>
                <c:pt idx="1056">
                  <c:v>dez/12</c:v>
                </c:pt>
                <c:pt idx="1057">
                  <c:v>jan/13</c:v>
                </c:pt>
                <c:pt idx="1058">
                  <c:v>fev/13</c:v>
                </c:pt>
                <c:pt idx="1059">
                  <c:v>mar/13</c:v>
                </c:pt>
                <c:pt idx="1060">
                  <c:v>abr/13</c:v>
                </c:pt>
                <c:pt idx="1061">
                  <c:v>mai/13</c:v>
                </c:pt>
                <c:pt idx="1062">
                  <c:v>jun/13</c:v>
                </c:pt>
                <c:pt idx="1063">
                  <c:v>jul/13</c:v>
                </c:pt>
                <c:pt idx="1064">
                  <c:v>ago/13</c:v>
                </c:pt>
                <c:pt idx="1065">
                  <c:v>set/13</c:v>
                </c:pt>
                <c:pt idx="1066">
                  <c:v>out/13</c:v>
                </c:pt>
                <c:pt idx="1067">
                  <c:v>nov/13</c:v>
                </c:pt>
                <c:pt idx="1068">
                  <c:v>dez/13</c:v>
                </c:pt>
                <c:pt idx="1069">
                  <c:v>jan/14</c:v>
                </c:pt>
                <c:pt idx="1070">
                  <c:v>fev/14</c:v>
                </c:pt>
                <c:pt idx="1071">
                  <c:v>mar/14</c:v>
                </c:pt>
                <c:pt idx="1072">
                  <c:v>abr/14</c:v>
                </c:pt>
                <c:pt idx="1073">
                  <c:v>mai/14</c:v>
                </c:pt>
                <c:pt idx="1074">
                  <c:v>jun/14</c:v>
                </c:pt>
                <c:pt idx="1075">
                  <c:v>jul/14</c:v>
                </c:pt>
                <c:pt idx="1076">
                  <c:v>ago/14</c:v>
                </c:pt>
                <c:pt idx="1077">
                  <c:v>set/14</c:v>
                </c:pt>
                <c:pt idx="1078">
                  <c:v>out/14</c:v>
                </c:pt>
                <c:pt idx="1079">
                  <c:v>nov/14</c:v>
                </c:pt>
                <c:pt idx="1080">
                  <c:v>dez/14</c:v>
                </c:pt>
                <c:pt idx="1081">
                  <c:v>jan/15</c:v>
                </c:pt>
                <c:pt idx="1082">
                  <c:v>fev/15</c:v>
                </c:pt>
                <c:pt idx="1083">
                  <c:v>mar/15</c:v>
                </c:pt>
                <c:pt idx="1084">
                  <c:v>abr/15</c:v>
                </c:pt>
                <c:pt idx="1085">
                  <c:v>mai/15</c:v>
                </c:pt>
                <c:pt idx="1086">
                  <c:v>jun/15</c:v>
                </c:pt>
                <c:pt idx="1087">
                  <c:v>jul/15</c:v>
                </c:pt>
                <c:pt idx="1088">
                  <c:v>ago/15</c:v>
                </c:pt>
                <c:pt idx="1089">
                  <c:v>set/15</c:v>
                </c:pt>
                <c:pt idx="1090">
                  <c:v>out/15</c:v>
                </c:pt>
                <c:pt idx="1091">
                  <c:v>nov/15</c:v>
                </c:pt>
                <c:pt idx="1092">
                  <c:v>dez/15</c:v>
                </c:pt>
                <c:pt idx="1093">
                  <c:v>jan/16</c:v>
                </c:pt>
                <c:pt idx="1094">
                  <c:v>fev/16</c:v>
                </c:pt>
                <c:pt idx="1095">
                  <c:v>mar/16</c:v>
                </c:pt>
                <c:pt idx="1096">
                  <c:v>abr/16</c:v>
                </c:pt>
                <c:pt idx="1097">
                  <c:v>mai/16</c:v>
                </c:pt>
                <c:pt idx="1098">
                  <c:v>jun/16</c:v>
                </c:pt>
                <c:pt idx="1099">
                  <c:v>jul/16</c:v>
                </c:pt>
                <c:pt idx="1100">
                  <c:v>ago/16</c:v>
                </c:pt>
                <c:pt idx="1101">
                  <c:v>set/16</c:v>
                </c:pt>
                <c:pt idx="1102">
                  <c:v>out/16</c:v>
                </c:pt>
                <c:pt idx="1103">
                  <c:v>nov/16</c:v>
                </c:pt>
                <c:pt idx="1104">
                  <c:v>dez/16</c:v>
                </c:pt>
                <c:pt idx="1105">
                  <c:v>jan/17</c:v>
                </c:pt>
                <c:pt idx="1106">
                  <c:v>fev/17</c:v>
                </c:pt>
                <c:pt idx="1107">
                  <c:v>mar/17</c:v>
                </c:pt>
                <c:pt idx="1108">
                  <c:v>abr/17</c:v>
                </c:pt>
                <c:pt idx="1109">
                  <c:v>mai/17</c:v>
                </c:pt>
                <c:pt idx="1110">
                  <c:v>jun/17</c:v>
                </c:pt>
                <c:pt idx="1111">
                  <c:v>jul/17</c:v>
                </c:pt>
                <c:pt idx="1112">
                  <c:v>ago/17</c:v>
                </c:pt>
                <c:pt idx="1113">
                  <c:v>set/17</c:v>
                </c:pt>
                <c:pt idx="1114">
                  <c:v>out/17</c:v>
                </c:pt>
                <c:pt idx="1115">
                  <c:v>nov/17</c:v>
                </c:pt>
                <c:pt idx="1116">
                  <c:v>dez/17</c:v>
                </c:pt>
                <c:pt idx="1117">
                  <c:v>jan/18</c:v>
                </c:pt>
                <c:pt idx="1118">
                  <c:v>fev/18</c:v>
                </c:pt>
                <c:pt idx="1119">
                  <c:v>mar/18</c:v>
                </c:pt>
                <c:pt idx="1120">
                  <c:v>abr/18</c:v>
                </c:pt>
                <c:pt idx="1121">
                  <c:v>mai/18</c:v>
                </c:pt>
                <c:pt idx="1122">
                  <c:v>jun/18</c:v>
                </c:pt>
                <c:pt idx="1123">
                  <c:v>jul/18</c:v>
                </c:pt>
                <c:pt idx="1124">
                  <c:v>ago/18</c:v>
                </c:pt>
                <c:pt idx="1125">
                  <c:v>set/18</c:v>
                </c:pt>
                <c:pt idx="1126">
                  <c:v>out/18</c:v>
                </c:pt>
                <c:pt idx="1127">
                  <c:v>nov/18</c:v>
                </c:pt>
                <c:pt idx="1128">
                  <c:v>dez/18</c:v>
                </c:pt>
                <c:pt idx="1129">
                  <c:v>jan/19</c:v>
                </c:pt>
                <c:pt idx="1130">
                  <c:v>fev/19</c:v>
                </c:pt>
                <c:pt idx="1131">
                  <c:v>mar/19</c:v>
                </c:pt>
                <c:pt idx="1132">
                  <c:v>abr/19</c:v>
                </c:pt>
                <c:pt idx="1133">
                  <c:v>mai/19</c:v>
                </c:pt>
                <c:pt idx="1134">
                  <c:v>jun/19</c:v>
                </c:pt>
                <c:pt idx="1135">
                  <c:v>jul/19</c:v>
                </c:pt>
                <c:pt idx="1136">
                  <c:v>ago/19</c:v>
                </c:pt>
                <c:pt idx="1137">
                  <c:v>set/19</c:v>
                </c:pt>
                <c:pt idx="1138">
                  <c:v>out/19</c:v>
                </c:pt>
                <c:pt idx="1139">
                  <c:v>nov/19</c:v>
                </c:pt>
                <c:pt idx="1140">
                  <c:v>dez/19</c:v>
                </c:pt>
                <c:pt idx="1141">
                  <c:v>jan/20</c:v>
                </c:pt>
                <c:pt idx="1142">
                  <c:v>fev/20</c:v>
                </c:pt>
                <c:pt idx="1143">
                  <c:v>mar/20</c:v>
                </c:pt>
                <c:pt idx="1144">
                  <c:v>abr/20</c:v>
                </c:pt>
                <c:pt idx="1145">
                  <c:v>mai/20</c:v>
                </c:pt>
                <c:pt idx="1146">
                  <c:v>jun/20</c:v>
                </c:pt>
                <c:pt idx="1147">
                  <c:v>jul/20</c:v>
                </c:pt>
                <c:pt idx="1148">
                  <c:v>ago/20</c:v>
                </c:pt>
                <c:pt idx="1149">
                  <c:v>set/20</c:v>
                </c:pt>
                <c:pt idx="1150">
                  <c:v>out/20</c:v>
                </c:pt>
                <c:pt idx="1151">
                  <c:v>nov/20</c:v>
                </c:pt>
                <c:pt idx="1152">
                  <c:v>dez/20</c:v>
                </c:pt>
                <c:pt idx="1153">
                  <c:v>jan/21</c:v>
                </c:pt>
                <c:pt idx="1154">
                  <c:v>fev/21</c:v>
                </c:pt>
                <c:pt idx="1155">
                  <c:v>mar/21</c:v>
                </c:pt>
                <c:pt idx="1156">
                  <c:v>abr/21</c:v>
                </c:pt>
                <c:pt idx="1157">
                  <c:v>mai/21</c:v>
                </c:pt>
                <c:pt idx="1158">
                  <c:v>jun/21</c:v>
                </c:pt>
                <c:pt idx="1159">
                  <c:v>jul/21</c:v>
                </c:pt>
                <c:pt idx="1160">
                  <c:v>ago/21</c:v>
                </c:pt>
                <c:pt idx="1161">
                  <c:v>set/21</c:v>
                </c:pt>
                <c:pt idx="1162">
                  <c:v>out/21</c:v>
                </c:pt>
                <c:pt idx="1163">
                  <c:v>nov/21</c:v>
                </c:pt>
                <c:pt idx="1164">
                  <c:v>dez/21</c:v>
                </c:pt>
                <c:pt idx="1165">
                  <c:v>jan/22</c:v>
                </c:pt>
                <c:pt idx="1166">
                  <c:v>fev/22</c:v>
                </c:pt>
                <c:pt idx="1167">
                  <c:v>mar/22</c:v>
                </c:pt>
                <c:pt idx="1168">
                  <c:v>abr/22</c:v>
                </c:pt>
                <c:pt idx="1169">
                  <c:v>mai/22</c:v>
                </c:pt>
                <c:pt idx="1170">
                  <c:v>jun/22</c:v>
                </c:pt>
                <c:pt idx="1171">
                  <c:v>jul/22</c:v>
                </c:pt>
                <c:pt idx="1172">
                  <c:v>ago/22</c:v>
                </c:pt>
                <c:pt idx="1173">
                  <c:v>set/22</c:v>
                </c:pt>
                <c:pt idx="1174">
                  <c:v>out/22</c:v>
                </c:pt>
                <c:pt idx="1175">
                  <c:v>nov/22</c:v>
                </c:pt>
                <c:pt idx="1176">
                  <c:v>dez/22</c:v>
                </c:pt>
                <c:pt idx="1177">
                  <c:v>jan/23</c:v>
                </c:pt>
                <c:pt idx="1178">
                  <c:v>fev/23</c:v>
                </c:pt>
                <c:pt idx="1179">
                  <c:v>mar/23</c:v>
                </c:pt>
                <c:pt idx="1180">
                  <c:v>abr/23</c:v>
                </c:pt>
                <c:pt idx="1181">
                  <c:v>mai/23</c:v>
                </c:pt>
                <c:pt idx="1182">
                  <c:v>jun/23</c:v>
                </c:pt>
                <c:pt idx="1183">
                  <c:v>jul/23</c:v>
                </c:pt>
                <c:pt idx="1184">
                  <c:v>ago/23</c:v>
                </c:pt>
                <c:pt idx="1185">
                  <c:v>set/23</c:v>
                </c:pt>
                <c:pt idx="1186">
                  <c:v>out/23</c:v>
                </c:pt>
                <c:pt idx="1187">
                  <c:v>nov/23</c:v>
                </c:pt>
                <c:pt idx="1188">
                  <c:v>dez/23</c:v>
                </c:pt>
                <c:pt idx="1189">
                  <c:v>jan/24</c:v>
                </c:pt>
                <c:pt idx="1190">
                  <c:v>fev/24</c:v>
                </c:pt>
                <c:pt idx="1191">
                  <c:v>mar/24</c:v>
                </c:pt>
                <c:pt idx="1192">
                  <c:v>abr/24</c:v>
                </c:pt>
                <c:pt idx="1193">
                  <c:v>mai/24</c:v>
                </c:pt>
                <c:pt idx="1194">
                  <c:v>jun/24</c:v>
                </c:pt>
                <c:pt idx="1195">
                  <c:v>jul/24</c:v>
                </c:pt>
                <c:pt idx="1196">
                  <c:v>ago/24</c:v>
                </c:pt>
                <c:pt idx="1197">
                  <c:v>set/24</c:v>
                </c:pt>
                <c:pt idx="1198">
                  <c:v>out/24</c:v>
                </c:pt>
                <c:pt idx="1199">
                  <c:v>nov/24</c:v>
                </c:pt>
                <c:pt idx="1200">
                  <c:v>dez/24</c:v>
                </c:pt>
              </c:strCache>
            </c:strRef>
          </c:cat>
          <c:val>
            <c:numRef>
              <c:f>Dados!$Z$2:$Z$1200</c:f>
              <c:numCache>
                <c:formatCode>#,##0</c:formatCode>
                <c:ptCount val="1199"/>
                <c:pt idx="0">
                  <c:v>4528872.5422710171</c:v>
                </c:pt>
                <c:pt idx="1">
                  <c:v>4536475.389835868</c:v>
                </c:pt>
                <c:pt idx="2">
                  <c:v>4545465.1482374743</c:v>
                </c:pt>
                <c:pt idx="3">
                  <c:v>4619546.3578610159</c:v>
                </c:pt>
                <c:pt idx="4">
                  <c:v>4628932.1111798408</c:v>
                </c:pt>
                <c:pt idx="5">
                  <c:v>4638410.612104916</c:v>
                </c:pt>
                <c:pt idx="6">
                  <c:v>4592225.16426777</c:v>
                </c:pt>
                <c:pt idx="7">
                  <c:v>4601707.538384906</c:v>
                </c:pt>
                <c:pt idx="8">
                  <c:v>4611282.9764196444</c:v>
                </c:pt>
                <c:pt idx="9">
                  <c:v>4620951.7830390334</c:v>
                </c:pt>
                <c:pt idx="10">
                  <c:v>4697380.9305741908</c:v>
                </c:pt>
                <c:pt idx="11">
                  <c:v>4651698.6416757116</c:v>
                </c:pt>
                <c:pt idx="12">
                  <c:v>4657110.4683180666</c:v>
                </c:pt>
                <c:pt idx="13">
                  <c:v>4660744.4629648207</c:v>
                </c:pt>
                <c:pt idx="14">
                  <c:v>4666309.9454566427</c:v>
                </c:pt>
                <c:pt idx="15">
                  <c:v>4736955.6689821295</c:v>
                </c:pt>
                <c:pt idx="16">
                  <c:v>4742894.6893153889</c:v>
                </c:pt>
                <c:pt idx="17">
                  <c:v>4748915.1735480055</c:v>
                </c:pt>
                <c:pt idx="18">
                  <c:v>4699260.3883715877</c:v>
                </c:pt>
                <c:pt idx="19">
                  <c:v>4705262.0674417866</c:v>
                </c:pt>
                <c:pt idx="20">
                  <c:v>4711345.4155397424</c:v>
                </c:pt>
                <c:pt idx="21">
                  <c:v>4717510.7000286002</c:v>
                </c:pt>
                <c:pt idx="22">
                  <c:v>4790424.8558134483</c:v>
                </c:pt>
                <c:pt idx="23">
                  <c:v>4741216.0679963334</c:v>
                </c:pt>
                <c:pt idx="24">
                  <c:v>4746665.2045051325</c:v>
                </c:pt>
                <c:pt idx="25">
                  <c:v>4750336.6311611244</c:v>
                </c:pt>
                <c:pt idx="26">
                  <c:v>4755939.6682048421</c:v>
                </c:pt>
                <c:pt idx="27">
                  <c:v>4826623.0692260554</c:v>
                </c:pt>
                <c:pt idx="28">
                  <c:v>4832599.8904013578</c:v>
                </c:pt>
                <c:pt idx="29">
                  <c:v>4838658.2992261378</c:v>
                </c:pt>
                <c:pt idx="30">
                  <c:v>4789041.5627971292</c:v>
                </c:pt>
                <c:pt idx="31">
                  <c:v>4795081.4151764344</c:v>
                </c:pt>
                <c:pt idx="32">
                  <c:v>4801203.0615529772</c:v>
                </c:pt>
                <c:pt idx="33">
                  <c:v>4807406.7696990203</c:v>
                </c:pt>
                <c:pt idx="34">
                  <c:v>4880359.4749301104</c:v>
                </c:pt>
                <c:pt idx="35">
                  <c:v>4831189.3627600921</c:v>
                </c:pt>
                <c:pt idx="36">
                  <c:v>4844753.0015299926</c:v>
                </c:pt>
                <c:pt idx="37">
                  <c:v>4856565.4952159505</c:v>
                </c:pt>
                <c:pt idx="38">
                  <c:v>4870336.2510246402</c:v>
                </c:pt>
                <c:pt idx="39">
                  <c:v>4949214.1097966768</c:v>
                </c:pt>
                <c:pt idx="40">
                  <c:v>4813412.2152451342</c:v>
                </c:pt>
                <c:pt idx="41">
                  <c:v>4827227.7617211249</c:v>
                </c:pt>
                <c:pt idx="42">
                  <c:v>4785393.5577934515</c:v>
                </c:pt>
                <c:pt idx="43">
                  <c:v>4799241.4206603486</c:v>
                </c:pt>
                <c:pt idx="44">
                  <c:v>4813196.6389190359</c:v>
                </c:pt>
                <c:pt idx="45">
                  <c:v>4827259.5640231315</c:v>
                </c:pt>
                <c:pt idx="46">
                  <c:v>4908097.2152434858</c:v>
                </c:pt>
                <c:pt idx="47">
                  <c:v>4866837.8623240972</c:v>
                </c:pt>
                <c:pt idx="48">
                  <c:v>4881262.4581118943</c:v>
                </c:pt>
                <c:pt idx="49">
                  <c:v>4893938.7273649881</c:v>
                </c:pt>
                <c:pt idx="50">
                  <c:v>4908576.0865172511</c:v>
                </c:pt>
                <c:pt idx="51">
                  <c:v>4988323.3856667019</c:v>
                </c:pt>
                <c:pt idx="52">
                  <c:v>5003393.7778141256</c:v>
                </c:pt>
                <c:pt idx="53">
                  <c:v>5018575.5275960807</c:v>
                </c:pt>
                <c:pt idx="54">
                  <c:v>4978111.9995684857</c:v>
                </c:pt>
                <c:pt idx="55">
                  <c:v>4993335.0255716825</c:v>
                </c:pt>
                <c:pt idx="56">
                  <c:v>5008669.9088929361</c:v>
                </c:pt>
                <c:pt idx="57">
                  <c:v>5024117.0157239987</c:v>
                </c:pt>
                <c:pt idx="58">
                  <c:v>5106343.3801221056</c:v>
                </c:pt>
                <c:pt idx="59">
                  <c:v>5066477.2866660468</c:v>
                </c:pt>
                <c:pt idx="60">
                  <c:v>5078148.3030861048</c:v>
                </c:pt>
                <c:pt idx="61">
                  <c:v>5088061.9784691408</c:v>
                </c:pt>
                <c:pt idx="62">
                  <c:v>5099927.6997378906</c:v>
                </c:pt>
                <c:pt idx="63">
                  <c:v>5176894.2873826269</c:v>
                </c:pt>
                <c:pt idx="64">
                  <c:v>5189174.8646994606</c:v>
                </c:pt>
                <c:pt idx="65">
                  <c:v>5201557.66652303</c:v>
                </c:pt>
                <c:pt idx="66">
                  <c:v>5158286.0275097685</c:v>
                </c:pt>
                <c:pt idx="67">
                  <c:v>5170691.7495026533</c:v>
                </c:pt>
                <c:pt idx="68">
                  <c:v>5183200.1056933785</c:v>
                </c:pt>
                <c:pt idx="69">
                  <c:v>5195811.4320796002</c:v>
                </c:pt>
                <c:pt idx="70">
                  <c:v>5275192.7324256105</c:v>
                </c:pt>
                <c:pt idx="71">
                  <c:v>5232472.2609180836</c:v>
                </c:pt>
                <c:pt idx="72">
                  <c:v>5244430.954795693</c:v>
                </c:pt>
                <c:pt idx="73">
                  <c:v>5254633.2494174177</c:v>
                </c:pt>
                <c:pt idx="74">
                  <c:v>5266788.5347891403</c:v>
                </c:pt>
                <c:pt idx="75">
                  <c:v>5344045.6344943736</c:v>
                </c:pt>
                <c:pt idx="76">
                  <c:v>5356617.6749325935</c:v>
                </c:pt>
                <c:pt idx="77">
                  <c:v>5369292.8940519635</c:v>
                </c:pt>
                <c:pt idx="78">
                  <c:v>5326314.6296326378</c:v>
                </c:pt>
                <c:pt idx="79">
                  <c:v>5339014.6866515372</c:v>
                </c:pt>
                <c:pt idx="80">
                  <c:v>5351818.3414445603</c:v>
                </c:pt>
                <c:pt idx="81">
                  <c:v>5364725.9331638617</c:v>
                </c:pt>
                <c:pt idx="82">
                  <c:v>5444404.4687385587</c:v>
                </c:pt>
                <c:pt idx="83">
                  <c:v>5401982.2055305121</c:v>
                </c:pt>
                <c:pt idx="84">
                  <c:v>5320391.4839639757</c:v>
                </c:pt>
                <c:pt idx="85">
                  <c:v>5336738.1066986136</c:v>
                </c:pt>
                <c:pt idx="86">
                  <c:v>5355057.8351146271</c:v>
                </c:pt>
                <c:pt idx="87">
                  <c:v>5438499.5586465793</c:v>
                </c:pt>
                <c:pt idx="88">
                  <c:v>5457276.4697605781</c:v>
                </c:pt>
                <c:pt idx="89">
                  <c:v>5476176.8726877021</c:v>
                </c:pt>
                <c:pt idx="90">
                  <c:v>5439444.1717080139</c:v>
                </c:pt>
                <c:pt idx="91">
                  <c:v>5458410.2385160448</c:v>
                </c:pt>
                <c:pt idx="92">
                  <c:v>5477500.4163837228</c:v>
                </c:pt>
                <c:pt idx="93">
                  <c:v>5496715.1116183596</c:v>
                </c:pt>
                <c:pt idx="94">
                  <c:v>5582721.3985240813</c:v>
                </c:pt>
                <c:pt idx="95">
                  <c:v>5546647.6020583231</c:v>
                </c:pt>
                <c:pt idx="96">
                  <c:v>5566274.7304622047</c:v>
                </c:pt>
                <c:pt idx="97">
                  <c:v>5584170.5640693773</c:v>
                </c:pt>
                <c:pt idx="98">
                  <c:v>5604044.5750711905</c:v>
                </c:pt>
                <c:pt idx="99">
                  <c:v>5689045.6695056772</c:v>
                </c:pt>
                <c:pt idx="100">
                  <c:v>5709387.0564967692</c:v>
                </c:pt>
                <c:pt idx="101">
                  <c:v>5729857.056987904</c:v>
                </c:pt>
                <c:pt idx="102">
                  <c:v>5694699.0920262123</c:v>
                </c:pt>
                <c:pt idx="103">
                  <c:v>5715245.0501281889</c:v>
                </c:pt>
                <c:pt idx="104">
                  <c:v>5735920.2914427919</c:v>
                </c:pt>
                <c:pt idx="105">
                  <c:v>5756725.2392096184</c:v>
                </c:pt>
                <c:pt idx="106">
                  <c:v>5844326.9847205076</c:v>
                </c:pt>
                <c:pt idx="107">
                  <c:v>5809853.8699762234</c:v>
                </c:pt>
                <c:pt idx="108">
                  <c:v>5831086.92031701</c:v>
                </c:pt>
                <c:pt idx="109">
                  <c:v>5850593.9332316192</c:v>
                </c:pt>
                <c:pt idx="110">
                  <c:v>5872084.3981226636</c:v>
                </c:pt>
                <c:pt idx="111">
                  <c:v>5958707.2382957842</c:v>
                </c:pt>
                <c:pt idx="112">
                  <c:v>5980675.6801990522</c:v>
                </c:pt>
                <c:pt idx="113">
                  <c:v>6002778.0621567564</c:v>
                </c:pt>
                <c:pt idx="114">
                  <c:v>5969257.8226537816</c:v>
                </c:pt>
                <c:pt idx="115">
                  <c:v>5991446.8677014625</c:v>
                </c:pt>
                <c:pt idx="116">
                  <c:v>6013770.5750008691</c:v>
                </c:pt>
                <c:pt idx="117">
                  <c:v>6036229.3854011735</c:v>
                </c:pt>
                <c:pt idx="118">
                  <c:v>6125490.4078614367</c:v>
                </c:pt>
                <c:pt idx="119">
                  <c:v>5992682.0021074861</c:v>
                </c:pt>
                <c:pt idx="120">
                  <c:v>6843586.0012866138</c:v>
                </c:pt>
                <c:pt idx="121">
                  <c:v>6865709.1494536111</c:v>
                </c:pt>
                <c:pt idx="122">
                  <c:v>6889266.7441430958</c:v>
                </c:pt>
                <c:pt idx="123">
                  <c:v>6977963.4813597128</c:v>
                </c:pt>
                <c:pt idx="124">
                  <c:v>7002012.6097057322</c:v>
                </c:pt>
                <c:pt idx="125">
                  <c:v>7026202.4897321695</c:v>
                </c:pt>
                <c:pt idx="126">
                  <c:v>6994776.5822234014</c:v>
                </c:pt>
                <c:pt idx="127">
                  <c:v>7019066.815563255</c:v>
                </c:pt>
                <c:pt idx="128">
                  <c:v>7043498.5898985369</c:v>
                </c:pt>
                <c:pt idx="129">
                  <c:v>7068072.3685976341</c:v>
                </c:pt>
                <c:pt idx="130">
                  <c:v>7159455.2832125491</c:v>
                </c:pt>
                <c:pt idx="131">
                  <c:v>7128775.7161360104</c:v>
                </c:pt>
                <c:pt idx="132">
                  <c:v>7618755.9133462775</c:v>
                </c:pt>
                <c:pt idx="133">
                  <c:v>7651804.9685583189</c:v>
                </c:pt>
                <c:pt idx="134">
                  <c:v>7686224.238869397</c:v>
                </c:pt>
                <c:pt idx="135">
                  <c:v>7785818.2100071907</c:v>
                </c:pt>
                <c:pt idx="136">
                  <c:v>7820800.2469825903</c:v>
                </c:pt>
                <c:pt idx="137">
                  <c:v>7855958.8271363238</c:v>
                </c:pt>
                <c:pt idx="138">
                  <c:v>7835537.5284248171</c:v>
                </c:pt>
                <c:pt idx="139">
                  <c:v>7870868.3967875391</c:v>
                </c:pt>
                <c:pt idx="140">
                  <c:v>7906376.9503117846</c:v>
                </c:pt>
                <c:pt idx="141">
                  <c:v>7942063.7706925357</c:v>
                </c:pt>
                <c:pt idx="142">
                  <c:v>8044596.1081957584</c:v>
                </c:pt>
                <c:pt idx="143">
                  <c:v>8025102.4643167863</c:v>
                </c:pt>
                <c:pt idx="144">
                  <c:v>8067364.0244125724</c:v>
                </c:pt>
                <c:pt idx="145">
                  <c:v>8108625.9589511259</c:v>
                </c:pt>
                <c:pt idx="146">
                  <c:v>8151284.9954184936</c:v>
                </c:pt>
                <c:pt idx="147">
                  <c:v>8259145.7075628396</c:v>
                </c:pt>
                <c:pt idx="148">
                  <c:v>8302421.5487036938</c:v>
                </c:pt>
                <c:pt idx="149">
                  <c:v>8345901.0847795233</c:v>
                </c:pt>
                <c:pt idx="150">
                  <c:v>8333827.9826345406</c:v>
                </c:pt>
                <c:pt idx="151">
                  <c:v>8377534.3773869965</c:v>
                </c:pt>
                <c:pt idx="152">
                  <c:v>8421445.8765949141</c:v>
                </c:pt>
                <c:pt idx="153">
                  <c:v>8465563.1517169103</c:v>
                </c:pt>
                <c:pt idx="154">
                  <c:v>8576553.5430764463</c:v>
                </c:pt>
                <c:pt idx="155">
                  <c:v>8565545.6425211765</c:v>
                </c:pt>
                <c:pt idx="156">
                  <c:v>8604169.3260561656</c:v>
                </c:pt>
                <c:pt idx="157">
                  <c:v>8641781.4745727032</c:v>
                </c:pt>
                <c:pt idx="158">
                  <c:v>8680778.7765683588</c:v>
                </c:pt>
                <c:pt idx="159">
                  <c:v>8784965.7666751798</c:v>
                </c:pt>
                <c:pt idx="160">
                  <c:v>8824555.8589685261</c:v>
                </c:pt>
                <c:pt idx="161">
                  <c:v>8864337.5800142195</c:v>
                </c:pt>
                <c:pt idx="162">
                  <c:v>8848554.5571549293</c:v>
                </c:pt>
                <c:pt idx="163">
                  <c:v>8888538.8858780451</c:v>
                </c:pt>
                <c:pt idx="164">
                  <c:v>8928716.1339809913</c:v>
                </c:pt>
                <c:pt idx="165">
                  <c:v>8969086.9330316167</c:v>
                </c:pt>
                <c:pt idx="166">
                  <c:v>9076318.5833320245</c:v>
                </c:pt>
                <c:pt idx="167">
                  <c:v>9061539.6365774907</c:v>
                </c:pt>
                <c:pt idx="168">
                  <c:v>9109682.7284892499</c:v>
                </c:pt>
                <c:pt idx="169">
                  <c:v>9156845.4494484644</c:v>
                </c:pt>
                <c:pt idx="170">
                  <c:v>9205424.5899757445</c:v>
                </c:pt>
                <c:pt idx="171">
                  <c:v>9319224.7870601788</c:v>
                </c:pt>
                <c:pt idx="172">
                  <c:v>9368459.5574692544</c:v>
                </c:pt>
                <c:pt idx="173">
                  <c:v>9417917.5307971109</c:v>
                </c:pt>
                <c:pt idx="174">
                  <c:v>9411842.4377520233</c:v>
                </c:pt>
                <c:pt idx="175">
                  <c:v>9461566.4775253776</c:v>
                </c:pt>
                <c:pt idx="176">
                  <c:v>9511515.3219580948</c:v>
                </c:pt>
                <c:pt idx="177">
                  <c:v>9561689.7070021313</c:v>
                </c:pt>
                <c:pt idx="178">
                  <c:v>9678757.037685426</c:v>
                </c:pt>
                <c:pt idx="179">
                  <c:v>9673845.9707719311</c:v>
                </c:pt>
                <c:pt idx="180">
                  <c:v>9732515.6251733117</c:v>
                </c:pt>
                <c:pt idx="181">
                  <c:v>9790177.3487563133</c:v>
                </c:pt>
                <c:pt idx="182">
                  <c:v>9849227.8418177199</c:v>
                </c:pt>
                <c:pt idx="183">
                  <c:v>9973471.650827419</c:v>
                </c:pt>
                <c:pt idx="184">
                  <c:v>10033122.201737367</c:v>
                </c:pt>
                <c:pt idx="185">
                  <c:v>10092968.033028858</c:v>
                </c:pt>
                <c:pt idx="186">
                  <c:v>10097252.783999046</c:v>
                </c:pt>
                <c:pt idx="187">
                  <c:v>10157308.562128942</c:v>
                </c:pt>
                <c:pt idx="188">
                  <c:v>10217560.947248854</c:v>
                </c:pt>
                <c:pt idx="189">
                  <c:v>10278010.582998903</c:v>
                </c:pt>
                <c:pt idx="190">
                  <c:v>10405324.781792995</c:v>
                </c:pt>
                <c:pt idx="191">
                  <c:v>10410632.107477851</c:v>
                </c:pt>
                <c:pt idx="192">
                  <c:v>10471713.807965938</c:v>
                </c:pt>
                <c:pt idx="193">
                  <c:v>10531795.474046879</c:v>
                </c:pt>
                <c:pt idx="194">
                  <c:v>10593273.831868248</c:v>
                </c:pt>
                <c:pt idx="195">
                  <c:v>10719953.453835363</c:v>
                </c:pt>
                <c:pt idx="196">
                  <c:v>10782047.791920504</c:v>
                </c:pt>
                <c:pt idx="197">
                  <c:v>10844345.410710484</c:v>
                </c:pt>
                <c:pt idx="198">
                  <c:v>10851089.975693433</c:v>
                </c:pt>
                <c:pt idx="199">
                  <c:v>10913613.620627079</c:v>
                </c:pt>
                <c:pt idx="200">
                  <c:v>10976341.951704474</c:v>
                </c:pt>
                <c:pt idx="201">
                  <c:v>11039275.639014788</c:v>
                </c:pt>
                <c:pt idx="202">
                  <c:v>11169082.021507556</c:v>
                </c:pt>
                <c:pt idx="203">
                  <c:v>10519319.689652007</c:v>
                </c:pt>
                <c:pt idx="204">
                  <c:v>10580757.205001689</c:v>
                </c:pt>
                <c:pt idx="205">
                  <c:v>10641195.850789491</c:v>
                </c:pt>
                <c:pt idx="206">
                  <c:v>10703032.35697639</c:v>
                </c:pt>
                <c:pt idx="207">
                  <c:v>10830071.299793586</c:v>
                </c:pt>
                <c:pt idx="208">
                  <c:v>10892526.135051772</c:v>
                </c:pt>
                <c:pt idx="209">
                  <c:v>10955185.431188732</c:v>
                </c:pt>
                <c:pt idx="210">
                  <c:v>10962292.857556181</c:v>
                </c:pt>
                <c:pt idx="211">
                  <c:v>11025180.551788079</c:v>
                </c:pt>
                <c:pt idx="212">
                  <c:v>11088274.123966392</c:v>
                </c:pt>
                <c:pt idx="213">
                  <c:v>11151574.248081949</c:v>
                </c:pt>
                <c:pt idx="214">
                  <c:v>11281748.266998706</c:v>
                </c:pt>
                <c:pt idx="215">
                  <c:v>11289924.775113134</c:v>
                </c:pt>
                <c:pt idx="216">
                  <c:v>11353885.050987454</c:v>
                </c:pt>
                <c:pt idx="217">
                  <c:v>11416854.716161385</c:v>
                </c:pt>
                <c:pt idx="218">
                  <c:v>11481230.527633268</c:v>
                </c:pt>
                <c:pt idx="219">
                  <c:v>11610817.088760179</c:v>
                </c:pt>
                <c:pt idx="220">
                  <c:v>11675827.882567488</c:v>
                </c:pt>
                <c:pt idx="221">
                  <c:v>11741051.504796756</c:v>
                </c:pt>
                <c:pt idx="222">
                  <c:v>11750731.652192855</c:v>
                </c:pt>
                <c:pt idx="223">
                  <c:v>11816200.489872582</c:v>
                </c:pt>
                <c:pt idx="224">
                  <c:v>11881883.655490717</c:v>
                </c:pt>
                <c:pt idx="225">
                  <c:v>11947781.850701155</c:v>
                </c:pt>
                <c:pt idx="226">
                  <c:v>12080562.446121495</c:v>
                </c:pt>
                <c:pt idx="227">
                  <c:v>12091354.063992701</c:v>
                </c:pt>
                <c:pt idx="228">
                  <c:v>12163938.010812648</c:v>
                </c:pt>
                <c:pt idx="229">
                  <c:v>12235559.578586847</c:v>
                </c:pt>
                <c:pt idx="230">
                  <c:v>12308615.616736731</c:v>
                </c:pt>
                <c:pt idx="231">
                  <c:v>12446910.821345037</c:v>
                </c:pt>
                <c:pt idx="232">
                  <c:v>12520658.768466357</c:v>
                </c:pt>
                <c:pt idx="233">
                  <c:v>12594648.147176024</c:v>
                </c:pt>
                <c:pt idx="234">
                  <c:v>12613122.747858232</c:v>
                </c:pt>
                <c:pt idx="235">
                  <c:v>12687414.829575654</c:v>
                </c:pt>
                <c:pt idx="236">
                  <c:v>12761950.124236496</c:v>
                </c:pt>
                <c:pt idx="237">
                  <c:v>12836729.428056648</c:v>
                </c:pt>
                <c:pt idx="238">
                  <c:v>12978420.206525266</c:v>
                </c:pt>
                <c:pt idx="239">
                  <c:v>12998151.177065462</c:v>
                </c:pt>
                <c:pt idx="240">
                  <c:v>13073703.741668858</c:v>
                </c:pt>
                <c:pt idx="241">
                  <c:v>13148303.645708641</c:v>
                </c:pt>
                <c:pt idx="242">
                  <c:v>13224347.770422028</c:v>
                </c:pt>
                <c:pt idx="243">
                  <c:v>13365640.843811693</c:v>
                </c:pt>
                <c:pt idx="244">
                  <c:v>13442396.473956661</c:v>
                </c:pt>
                <c:pt idx="245">
                  <c:v>13519403.382061543</c:v>
                </c:pt>
                <c:pt idx="246">
                  <c:v>13540905.390744992</c:v>
                </c:pt>
                <c:pt idx="247">
                  <c:v>13618234.791409666</c:v>
                </c:pt>
                <c:pt idx="248">
                  <c:v>13695817.348409628</c:v>
                </c:pt>
                <c:pt idx="249">
                  <c:v>13773653.890512846</c:v>
                </c:pt>
                <c:pt idx="250">
                  <c:v>13918411.915867124</c:v>
                </c:pt>
                <c:pt idx="251">
                  <c:v>13941220.17466113</c:v>
                </c:pt>
                <c:pt idx="252">
                  <c:v>14019860.101759313</c:v>
                </c:pt>
                <c:pt idx="253">
                  <c:v>14097557.475515306</c:v>
                </c:pt>
                <c:pt idx="254">
                  <c:v>14176709.210254736</c:v>
                </c:pt>
                <c:pt idx="255">
                  <c:v>14321120.067177013</c:v>
                </c:pt>
                <c:pt idx="256">
                  <c:v>14401003.687666576</c:v>
                </c:pt>
                <c:pt idx="257">
                  <c:v>14481148.826342484</c:v>
                </c:pt>
                <c:pt idx="258">
                  <c:v>14505799.339347225</c:v>
                </c:pt>
                <c:pt idx="259">
                  <c:v>14586287.551717041</c:v>
                </c:pt>
                <c:pt idx="260">
                  <c:v>14667039.261549691</c:v>
                </c:pt>
                <c:pt idx="261">
                  <c:v>14748055.331467299</c:v>
                </c:pt>
                <c:pt idx="262">
                  <c:v>14896003.293582659</c:v>
                </c:pt>
                <c:pt idx="263">
                  <c:v>14922011.932160627</c:v>
                </c:pt>
                <c:pt idx="264">
                  <c:v>15003862.716253389</c:v>
                </c:pt>
                <c:pt idx="265">
                  <c:v>15084781.458514238</c:v>
                </c:pt>
                <c:pt idx="266">
                  <c:v>15167165.107680753</c:v>
                </c:pt>
                <c:pt idx="267">
                  <c:v>15314818.459476946</c:v>
                </c:pt>
                <c:pt idx="268">
                  <c:v>15397955.18992489</c:v>
                </c:pt>
                <c:pt idx="269">
                  <c:v>15481364.088394664</c:v>
                </c:pt>
                <c:pt idx="270">
                  <c:v>15509289.045893548</c:v>
                </c:pt>
                <c:pt idx="271">
                  <c:v>15593062.422436712</c:v>
                </c:pt>
                <c:pt idx="272">
                  <c:v>15677110.051215354</c:v>
                </c:pt>
                <c:pt idx="273">
                  <c:v>15761432.830059929</c:v>
                </c:pt>
                <c:pt idx="274">
                  <c:v>15912698.326406818</c:v>
                </c:pt>
                <c:pt idx="275">
                  <c:v>15942035.359960105</c:v>
                </c:pt>
                <c:pt idx="276">
                  <c:v>16027225.435327228</c:v>
                </c:pt>
                <c:pt idx="277">
                  <c:v>16111494.40083313</c:v>
                </c:pt>
                <c:pt idx="278">
                  <c:v>16197239.241003813</c:v>
                </c:pt>
                <c:pt idx="279">
                  <c:v>16348264.78746888</c:v>
                </c:pt>
                <c:pt idx="280">
                  <c:v>16434784.752273539</c:v>
                </c:pt>
                <c:pt idx="281">
                  <c:v>16521587.960928934</c:v>
                </c:pt>
                <c:pt idx="282">
                  <c:v>16552918.340701725</c:v>
                </c:pt>
                <c:pt idx="283">
                  <c:v>16640108.28798517</c:v>
                </c:pt>
                <c:pt idx="284">
                  <c:v>16727583.672467645</c:v>
                </c:pt>
                <c:pt idx="285">
                  <c:v>16815345.428596262</c:v>
                </c:pt>
                <c:pt idx="286">
                  <c:v>16970061.160543941</c:v>
                </c:pt>
                <c:pt idx="287">
                  <c:v>17002859.724871561</c:v>
                </c:pt>
                <c:pt idx="288">
                  <c:v>17091522.66316402</c:v>
                </c:pt>
                <c:pt idx="289">
                  <c:v>17179275.860844772</c:v>
                </c:pt>
                <c:pt idx="290">
                  <c:v>17268516.339659788</c:v>
                </c:pt>
                <c:pt idx="291">
                  <c:v>17423048.968580484</c:v>
                </c:pt>
                <c:pt idx="292">
                  <c:v>17513087.497116126</c:v>
                </c:pt>
                <c:pt idx="293">
                  <c:v>17603420.788364567</c:v>
                </c:pt>
                <c:pt idx="294">
                  <c:v>17638292.807302222</c:v>
                </c:pt>
                <c:pt idx="295">
                  <c:v>17729035.988155559</c:v>
                </c:pt>
                <c:pt idx="296">
                  <c:v>17820076.23857002</c:v>
                </c:pt>
                <c:pt idx="297">
                  <c:v>17911414.531074043</c:v>
                </c:pt>
                <c:pt idx="298">
                  <c:v>18069718.508046545</c:v>
                </c:pt>
                <c:pt idx="299">
                  <c:v>18106117.064379472</c:v>
                </c:pt>
                <c:pt idx="300">
                  <c:v>18198391.780114282</c:v>
                </c:pt>
                <c:pt idx="301">
                  <c:v>18289768.579256885</c:v>
                </c:pt>
                <c:pt idx="302">
                  <c:v>18382644.522262011</c:v>
                </c:pt>
                <c:pt idx="303">
                  <c:v>18540824.516936559</c:v>
                </c:pt>
                <c:pt idx="304">
                  <c:v>18634522.351752423</c:v>
                </c:pt>
                <c:pt idx="305">
                  <c:v>18728526.92889763</c:v>
                </c:pt>
                <c:pt idx="306">
                  <c:v>18767082.252566747</c:v>
                </c:pt>
                <c:pt idx="307">
                  <c:v>18861520.796332773</c:v>
                </c:pt>
                <c:pt idx="308">
                  <c:v>18956268.5073165</c:v>
                </c:pt>
                <c:pt idx="309">
                  <c:v>19051326.397650946</c:v>
                </c:pt>
                <c:pt idx="310">
                  <c:v>19213362.149449259</c:v>
                </c:pt>
                <c:pt idx="311">
                  <c:v>19253504.697467707</c:v>
                </c:pt>
                <c:pt idx="312">
                  <c:v>19349535.661742561</c:v>
                </c:pt>
                <c:pt idx="313">
                  <c:v>19444681.006405484</c:v>
                </c:pt>
                <c:pt idx="314">
                  <c:v>19541337.832168322</c:v>
                </c:pt>
                <c:pt idx="315">
                  <c:v>19703311.087226879</c:v>
                </c:pt>
                <c:pt idx="316">
                  <c:v>19800814.600574173</c:v>
                </c:pt>
                <c:pt idx="317">
                  <c:v>19898637.315052018</c:v>
                </c:pt>
                <c:pt idx="318">
                  <c:v>19941023.275641851</c:v>
                </c:pt>
                <c:pt idx="319">
                  <c:v>20039304.996837076</c:v>
                </c:pt>
                <c:pt idx="320">
                  <c:v>20137908.466812838</c:v>
                </c:pt>
                <c:pt idx="321">
                  <c:v>20236834.738890924</c:v>
                </c:pt>
                <c:pt idx="322">
                  <c:v>20402751.536508083</c:v>
                </c:pt>
                <c:pt idx="323">
                  <c:v>20446787.835879471</c:v>
                </c:pt>
                <c:pt idx="324">
                  <c:v>20546725.298635971</c:v>
                </c:pt>
                <c:pt idx="325">
                  <c:v>20645789.930640027</c:v>
                </c:pt>
                <c:pt idx="326">
                  <c:v>20746378.874470886</c:v>
                </c:pt>
                <c:pt idx="327">
                  <c:v>20912297.120328814</c:v>
                </c:pt>
                <c:pt idx="328">
                  <c:v>21013758.5393488</c:v>
                </c:pt>
                <c:pt idx="329">
                  <c:v>21115552.116652589</c:v>
                </c:pt>
                <c:pt idx="330">
                  <c:v>21161921.939639971</c:v>
                </c:pt>
                <c:pt idx="331">
                  <c:v>21264200.565361559</c:v>
                </c:pt>
                <c:pt idx="332">
                  <c:v>21366814.024689041</c:v>
                </c:pt>
                <c:pt idx="333">
                  <c:v>21469763.41378051</c:v>
                </c:pt>
                <c:pt idx="334">
                  <c:v>21639716.499049269</c:v>
                </c:pt>
                <c:pt idx="335">
                  <c:v>21687802.299827714</c:v>
                </c:pt>
                <c:pt idx="336">
                  <c:v>21791802.521005124</c:v>
                </c:pt>
                <c:pt idx="337">
                  <c:v>21894943.21184396</c:v>
                </c:pt>
                <c:pt idx="338">
                  <c:v>21999621.558465559</c:v>
                </c:pt>
                <c:pt idx="339">
                  <c:v>22169642.59475483</c:v>
                </c:pt>
                <c:pt idx="340">
                  <c:v>22275220.235674411</c:v>
                </c:pt>
                <c:pt idx="341">
                  <c:v>22381143.51031718</c:v>
                </c:pt>
                <c:pt idx="342">
                  <c:v>22431656.550198007</c:v>
                </c:pt>
                <c:pt idx="343">
                  <c:v>22538091.956627015</c:v>
                </c:pt>
                <c:pt idx="344">
                  <c:v>22644875.804880284</c:v>
                </c:pt>
                <c:pt idx="345">
                  <c:v>22752009.235665675</c:v>
                </c:pt>
                <c:pt idx="346">
                  <c:v>22926160.060092099</c:v>
                </c:pt>
                <c:pt idx="347">
                  <c:v>22978457.342333883</c:v>
                </c:pt>
                <c:pt idx="348">
                  <c:v>23086682.832269043</c:v>
                </c:pt>
                <c:pt idx="349">
                  <c:v>23194062.624296051</c:v>
                </c:pt>
                <c:pt idx="350">
                  <c:v>23302993.949820023</c:v>
                </c:pt>
                <c:pt idx="351">
                  <c:v>23477281.888157889</c:v>
                </c:pt>
                <c:pt idx="352">
                  <c:v>23587140.399853051</c:v>
                </c:pt>
                <c:pt idx="353">
                  <c:v>23697358.559728362</c:v>
                </c:pt>
                <c:pt idx="354">
                  <c:v>23752180.545178376</c:v>
                </c:pt>
                <c:pt idx="355">
                  <c:v>23862939.003543098</c:v>
                </c:pt>
                <c:pt idx="356">
                  <c:v>23974060.056279182</c:v>
                </c:pt>
                <c:pt idx="357">
                  <c:v>24085544.890426248</c:v>
                </c:pt>
                <c:pt idx="358">
                  <c:v>24264061.363576643</c:v>
                </c:pt>
                <c:pt idx="359">
                  <c:v>24320738.5865403</c:v>
                </c:pt>
                <c:pt idx="360">
                  <c:v>24363358.355983518</c:v>
                </c:pt>
                <c:pt idx="361">
                  <c:v>24404917.651461471</c:v>
                </c:pt>
                <c:pt idx="362">
                  <c:v>24447813.001258347</c:v>
                </c:pt>
                <c:pt idx="363">
                  <c:v>24490848.779268328</c:v>
                </c:pt>
                <c:pt idx="364">
                  <c:v>24534025.445216838</c:v>
                </c:pt>
                <c:pt idx="365">
                  <c:v>24577343.460334323</c:v>
                </c:pt>
                <c:pt idx="366">
                  <c:v>24565046.287361186</c:v>
                </c:pt>
                <c:pt idx="367">
                  <c:v>24608465.856643677</c:v>
                </c:pt>
                <c:pt idx="368">
                  <c:v>24652027.570297454</c:v>
                </c:pt>
                <c:pt idx="369">
                  <c:v>24695731.8936662</c:v>
                </c:pt>
                <c:pt idx="370">
                  <c:v>24739579.293617014</c:v>
                </c:pt>
                <c:pt idx="371">
                  <c:v>24727813.238545392</c:v>
                </c:pt>
                <c:pt idx="372">
                  <c:v>24781765.664471202</c:v>
                </c:pt>
                <c:pt idx="373">
                  <c:v>24834694.716600113</c:v>
                </c:pt>
                <c:pt idx="374">
                  <c:v>24888997.044672612</c:v>
                </c:pt>
                <c:pt idx="375">
                  <c:v>24943477.144436788</c:v>
                </c:pt>
                <c:pt idx="376">
                  <c:v>24998135.597870901</c:v>
                </c:pt>
                <c:pt idx="377">
                  <c:v>25052972.988858454</c:v>
                </c:pt>
                <c:pt idx="378">
                  <c:v>25052232.903194435</c:v>
                </c:pt>
                <c:pt idx="379">
                  <c:v>25107247.394682534</c:v>
                </c:pt>
                <c:pt idx="380">
                  <c:v>25162441.989300016</c:v>
                </c:pt>
                <c:pt idx="381">
                  <c:v>25217817.27665766</c:v>
                </c:pt>
                <c:pt idx="382">
                  <c:v>25273373.848296478</c:v>
                </c:pt>
                <c:pt idx="383">
                  <c:v>25273355.297694031</c:v>
                </c:pt>
                <c:pt idx="384">
                  <c:v>25329093.686361741</c:v>
                </c:pt>
                <c:pt idx="385">
                  <c:v>25383814.548009828</c:v>
                </c:pt>
                <c:pt idx="386">
                  <c:v>25439914.551519606</c:v>
                </c:pt>
                <c:pt idx="387">
                  <c:v>25496198.211842656</c:v>
                </c:pt>
                <c:pt idx="388">
                  <c:v>25552666.130223595</c:v>
                </c:pt>
                <c:pt idx="389">
                  <c:v>25609318.909875356</c:v>
                </c:pt>
                <c:pt idx="390">
                  <c:v>25610400.155985635</c:v>
                </c:pt>
                <c:pt idx="391">
                  <c:v>25667241.941814318</c:v>
                </c:pt>
                <c:pt idx="392">
                  <c:v>25724269.812858559</c:v>
                </c:pt>
                <c:pt idx="393">
                  <c:v>25781484.378312934</c:v>
                </c:pt>
                <c:pt idx="394">
                  <c:v>25838886.249366358</c:v>
                </c:pt>
                <c:pt idx="395">
                  <c:v>25840719.039208621</c:v>
                </c:pt>
                <c:pt idx="396">
                  <c:v>25898314.829127904</c:v>
                </c:pt>
                <c:pt idx="397">
                  <c:v>25954899.172675934</c:v>
                </c:pt>
                <c:pt idx="398">
                  <c:v>26012868.758640483</c:v>
                </c:pt>
                <c:pt idx="399">
                  <c:v>26071028.121944763</c:v>
                </c:pt>
                <c:pt idx="400">
                  <c:v>26129377.8838704</c:v>
                </c:pt>
                <c:pt idx="401">
                  <c:v>26187918.667732935</c:v>
                </c:pt>
                <c:pt idx="402">
                  <c:v>26190894.098888483</c:v>
                </c:pt>
                <c:pt idx="403">
                  <c:v>26249636.270831373</c:v>
                </c:pt>
                <c:pt idx="404">
                  <c:v>26308570.749359444</c:v>
                </c:pt>
                <c:pt idx="405">
                  <c:v>26367698.164034415</c:v>
                </c:pt>
                <c:pt idx="406">
                  <c:v>26427019.146479029</c:v>
                </c:pt>
                <c:pt idx="407">
                  <c:v>26430777.330383789</c:v>
                </c:pt>
                <c:pt idx="408">
                  <c:v>26490304.817604706</c:v>
                </c:pt>
                <c:pt idx="409">
                  <c:v>26548827.182328675</c:v>
                </c:pt>
                <c:pt idx="410">
                  <c:v>26608741.134046189</c:v>
                </c:pt>
                <c:pt idx="411">
                  <c:v>26668851.22845095</c:v>
                </c:pt>
                <c:pt idx="412">
                  <c:v>26729158.107663073</c:v>
                </c:pt>
                <c:pt idx="413">
                  <c:v>26789662.415904813</c:v>
                </c:pt>
                <c:pt idx="414">
                  <c:v>26794607.799507439</c:v>
                </c:pt>
                <c:pt idx="415">
                  <c:v>26855326.373009104</c:v>
                </c:pt>
                <c:pt idx="416">
                  <c:v>26916243.723320361</c:v>
                </c:pt>
                <c:pt idx="417">
                  <c:v>26977360.501184758</c:v>
                </c:pt>
                <c:pt idx="418">
                  <c:v>27038677.359476209</c:v>
                </c:pt>
                <c:pt idx="419">
                  <c:v>27044437.953205965</c:v>
                </c:pt>
                <c:pt idx="420">
                  <c:v>27105974.405620586</c:v>
                </c:pt>
                <c:pt idx="421">
                  <c:v>27166512.312367532</c:v>
                </c:pt>
                <c:pt idx="422">
                  <c:v>27228448.404468127</c:v>
                </c:pt>
                <c:pt idx="423">
                  <c:v>27290587.259217385</c:v>
                </c:pt>
                <c:pt idx="424">
                  <c:v>27352929.540407456</c:v>
                </c:pt>
                <c:pt idx="425">
                  <c:v>27415475.914003573</c:v>
                </c:pt>
                <c:pt idx="426">
                  <c:v>27422470.048151162</c:v>
                </c:pt>
                <c:pt idx="427">
                  <c:v>27485244.07927395</c:v>
                </c:pt>
                <c:pt idx="428">
                  <c:v>27548223.616239715</c:v>
                </c:pt>
                <c:pt idx="429">
                  <c:v>27611409.33182111</c:v>
                </c:pt>
                <c:pt idx="430">
                  <c:v>27674801.900993273</c:v>
                </c:pt>
                <c:pt idx="431">
                  <c:v>27682645.000941027</c:v>
                </c:pt>
                <c:pt idx="432">
                  <c:v>27746270.777157098</c:v>
                </c:pt>
                <c:pt idx="433">
                  <c:v>27808904.84760794</c:v>
                </c:pt>
                <c:pt idx="434">
                  <c:v>27872943.965706937</c:v>
                </c:pt>
                <c:pt idx="435">
                  <c:v>27937192.731214471</c:v>
                </c:pt>
                <c:pt idx="436">
                  <c:v>28001651.830461606</c:v>
                </c:pt>
                <c:pt idx="437">
                  <c:v>28066321.95202627</c:v>
                </c:pt>
                <c:pt idx="438">
                  <c:v>28075446.78674062</c:v>
                </c:pt>
                <c:pt idx="439">
                  <c:v>28140358.493789382</c:v>
                </c:pt>
                <c:pt idx="440">
                  <c:v>28205482.704875838</c:v>
                </c:pt>
                <c:pt idx="441">
                  <c:v>28270820.115682915</c:v>
                </c:pt>
                <c:pt idx="442">
                  <c:v>28336371.424171016</c:v>
                </c:pt>
                <c:pt idx="443">
                  <c:v>28346380.330585487</c:v>
                </c:pt>
                <c:pt idx="444">
                  <c:v>28412179.003555067</c:v>
                </c:pt>
                <c:pt idx="445">
                  <c:v>28476993.08425796</c:v>
                </c:pt>
                <c:pt idx="446">
                  <c:v>28543219.349395297</c:v>
                </c:pt>
                <c:pt idx="447">
                  <c:v>28609662.422091443</c:v>
                </c:pt>
                <c:pt idx="448">
                  <c:v>28676323.012117926</c:v>
                </c:pt>
                <c:pt idx="449">
                  <c:v>28743201.831569884</c:v>
                </c:pt>
                <c:pt idx="450">
                  <c:v>28754542.594873667</c:v>
                </c:pt>
                <c:pt idx="451">
                  <c:v>28821677.484885439</c:v>
                </c:pt>
                <c:pt idx="452">
                  <c:v>28889032.157057416</c:v>
                </c:pt>
                <c:pt idx="453">
                  <c:v>28956607.330899198</c:v>
                </c:pt>
                <c:pt idx="454">
                  <c:v>29024403.728275876</c:v>
                </c:pt>
                <c:pt idx="455">
                  <c:v>29036665.073415734</c:v>
                </c:pt>
                <c:pt idx="456">
                  <c:v>29104723.55900896</c:v>
                </c:pt>
                <c:pt idx="457">
                  <c:v>29171804.850373991</c:v>
                </c:pt>
                <c:pt idx="458">
                  <c:v>29240305.748431202</c:v>
                </c:pt>
                <c:pt idx="459">
                  <c:v>29309030.900603499</c:v>
                </c:pt>
                <c:pt idx="460">
                  <c:v>29377981.041040502</c:v>
                </c:pt>
                <c:pt idx="461">
                  <c:v>29447156.906295244</c:v>
                </c:pt>
                <c:pt idx="462">
                  <c:v>29460802.235332035</c:v>
                </c:pt>
                <c:pt idx="463">
                  <c:v>29530249.235625334</c:v>
                </c:pt>
                <c:pt idx="464">
                  <c:v>29599923.587326251</c:v>
                </c:pt>
                <c:pt idx="465">
                  <c:v>29669826.034724128</c:v>
                </c:pt>
                <c:pt idx="466">
                  <c:v>29739957.324544925</c:v>
                </c:pt>
                <c:pt idx="467">
                  <c:v>29754561.205959186</c:v>
                </c:pt>
                <c:pt idx="468">
                  <c:v>29824969.896681007</c:v>
                </c:pt>
                <c:pt idx="469">
                  <c:v>29894409.087134656</c:v>
                </c:pt>
                <c:pt idx="470">
                  <c:v>29965275.603428535</c:v>
                </c:pt>
                <c:pt idx="471">
                  <c:v>30036374.118256032</c:v>
                </c:pt>
                <c:pt idx="472">
                  <c:v>30107705.391119976</c:v>
                </c:pt>
                <c:pt idx="473">
                  <c:v>30179270.184009612</c:v>
                </c:pt>
                <c:pt idx="474">
                  <c:v>30195312.261408735</c:v>
                </c:pt>
                <c:pt idx="475">
                  <c:v>30267163.856394827</c:v>
                </c:pt>
                <c:pt idx="476">
                  <c:v>30339250.674805839</c:v>
                </c:pt>
                <c:pt idx="477">
                  <c:v>30411573.486702055</c:v>
                </c:pt>
                <c:pt idx="478">
                  <c:v>30484133.064664736</c:v>
                </c:pt>
                <c:pt idx="479">
                  <c:v>30501173.183804374</c:v>
                </c:pt>
                <c:pt idx="480">
                  <c:v>30574026.087859932</c:v>
                </c:pt>
                <c:pt idx="481">
                  <c:v>30645917.493365746</c:v>
                </c:pt>
                <c:pt idx="482">
                  <c:v>30719244.252625763</c:v>
                </c:pt>
                <c:pt idx="483">
                  <c:v>30792811.064614668</c:v>
                </c:pt>
                <c:pt idx="484">
                  <c:v>30866618.715202633</c:v>
                </c:pt>
                <c:pt idx="485">
                  <c:v>30940667.992832556</c:v>
                </c:pt>
                <c:pt idx="486">
                  <c:v>30959202.6885285</c:v>
                </c:pt>
                <c:pt idx="487">
                  <c:v>31033555.061995097</c:v>
                </c:pt>
                <c:pt idx="488">
                  <c:v>31108150.845784612</c:v>
                </c:pt>
                <c:pt idx="489">
                  <c:v>31182990.836759102</c:v>
                </c:pt>
                <c:pt idx="490">
                  <c:v>31258075.834389344</c:v>
                </c:pt>
                <c:pt idx="491">
                  <c:v>31277649.640763376</c:v>
                </c:pt>
                <c:pt idx="492">
                  <c:v>31353044.526686024</c:v>
                </c:pt>
                <c:pt idx="493">
                  <c:v>31427486.235846091</c:v>
                </c:pt>
                <c:pt idx="494">
                  <c:v>31503371.64779089</c:v>
                </c:pt>
                <c:pt idx="495">
                  <c:v>31579505.488827661</c:v>
                </c:pt>
                <c:pt idx="496">
                  <c:v>31655888.572248604</c:v>
                </c:pt>
                <c:pt idx="497">
                  <c:v>31732521.714008432</c:v>
                </c:pt>
                <c:pt idx="498">
                  <c:v>31753648.732733071</c:v>
                </c:pt>
                <c:pt idx="499">
                  <c:v>31830601.915819388</c:v>
                </c:pt>
                <c:pt idx="500">
                  <c:v>31907807.023602542</c:v>
                </c:pt>
                <c:pt idx="501">
                  <c:v>31985264.880818434</c:v>
                </c:pt>
                <c:pt idx="502">
                  <c:v>32062976.314902939</c:v>
                </c:pt>
                <c:pt idx="503">
                  <c:v>32085185.156000737</c:v>
                </c:pt>
                <c:pt idx="504">
                  <c:v>32163223.703065153</c:v>
                </c:pt>
                <c:pt idx="505">
                  <c:v>32240317.728025641</c:v>
                </c:pt>
                <c:pt idx="506">
                  <c:v>32318864.138762612</c:v>
                </c:pt>
                <c:pt idx="507">
                  <c:v>32397667.690009162</c:v>
                </c:pt>
                <c:pt idx="508">
                  <c:v>32476729.223576404</c:v>
                </c:pt>
                <c:pt idx="509">
                  <c:v>32556049.584031329</c:v>
                </c:pt>
                <c:pt idx="510">
                  <c:v>32579872.618705813</c:v>
                </c:pt>
                <c:pt idx="511">
                  <c:v>32659530.643796641</c:v>
                </c:pt>
                <c:pt idx="512">
                  <c:v>32739449.448533185</c:v>
                </c:pt>
                <c:pt idx="513">
                  <c:v>32819629.886640139</c:v>
                </c:pt>
                <c:pt idx="514">
                  <c:v>32900072.814637076</c:v>
                </c:pt>
                <c:pt idx="515">
                  <c:v>32925022.091847595</c:v>
                </c:pt>
                <c:pt idx="516">
                  <c:v>33005810.046499453</c:v>
                </c:pt>
                <c:pt idx="517">
                  <c:v>33085662.479892381</c:v>
                </c:pt>
                <c:pt idx="518">
                  <c:v>33166976.329373211</c:v>
                </c:pt>
                <c:pt idx="519">
                  <c:v>33248556.379237931</c:v>
                </c:pt>
                <c:pt idx="520">
                  <c:v>33330403.500957325</c:v>
                </c:pt>
                <c:pt idx="521">
                  <c:v>33412518.568855152</c:v>
                </c:pt>
                <c:pt idx="522">
                  <c:v>33439145.460117474</c:v>
                </c:pt>
                <c:pt idx="523">
                  <c:v>33521616.520892996</c:v>
                </c:pt>
                <c:pt idx="524">
                  <c:v>33604357.570461057</c:v>
                </c:pt>
                <c:pt idx="525">
                  <c:v>33687369.492694713</c:v>
                </c:pt>
                <c:pt idx="526">
                  <c:v>33770653.174360581</c:v>
                </c:pt>
                <c:pt idx="527">
                  <c:v>33798452.505128324</c:v>
                </c:pt>
                <c:pt idx="528">
                  <c:v>33882099.843671121</c:v>
                </c:pt>
                <c:pt idx="529">
                  <c:v>33964821.021833785</c:v>
                </c:pt>
                <c:pt idx="530">
                  <c:v>34049013.007608227</c:v>
                </c:pt>
                <c:pt idx="531">
                  <c:v>34133480.616035841</c:v>
                </c:pt>
                <c:pt idx="532">
                  <c:v>34218224.749433473</c:v>
                </c:pt>
                <c:pt idx="533">
                  <c:v>34303246.313071914</c:v>
                </c:pt>
                <c:pt idx="534">
                  <c:v>34332789.215185583</c:v>
                </c:pt>
                <c:pt idx="535">
                  <c:v>34418185.833073184</c:v>
                </c:pt>
                <c:pt idx="536">
                  <c:v>34503862.017266028</c:v>
                </c:pt>
                <c:pt idx="537">
                  <c:v>34589818.682991453</c:v>
                </c:pt>
                <c:pt idx="538">
                  <c:v>34676056.748473011</c:v>
                </c:pt>
                <c:pt idx="539">
                  <c:v>34706820.134940274</c:v>
                </c:pt>
                <c:pt idx="540">
                  <c:v>34793441.232729651</c:v>
                </c:pt>
                <c:pt idx="541">
                  <c:v>34879145.90545284</c:v>
                </c:pt>
                <c:pt idx="542">
                  <c:v>34966331.152972639</c:v>
                </c:pt>
                <c:pt idx="543">
                  <c:v>35053801.822305664</c:v>
                </c:pt>
                <c:pt idx="544">
                  <c:v>35141558.847848661</c:v>
                </c:pt>
                <c:pt idx="545">
                  <c:v>35229603.16705735</c:v>
                </c:pt>
                <c:pt idx="546">
                  <c:v>35262178.720456429</c:v>
                </c:pt>
                <c:pt idx="547">
                  <c:v>35350617.917740598</c:v>
                </c:pt>
                <c:pt idx="548">
                  <c:v>35439346.641943216</c:v>
                </c:pt>
                <c:pt idx="549">
                  <c:v>35528365.840900086</c:v>
                </c:pt>
                <c:pt idx="550">
                  <c:v>35617676.465549961</c:v>
                </c:pt>
                <c:pt idx="551">
                  <c:v>35651522.469944723</c:v>
                </c:pt>
                <c:pt idx="552">
                  <c:v>35741236.277350537</c:v>
                </c:pt>
                <c:pt idx="553">
                  <c:v>35830043.784416668</c:v>
                </c:pt>
                <c:pt idx="554">
                  <c:v>35920342.024151646</c:v>
                </c:pt>
                <c:pt idx="555">
                  <c:v>36010935.876826301</c:v>
                </c:pt>
                <c:pt idx="556">
                  <c:v>36101826.310200483</c:v>
                </c:pt>
                <c:pt idx="557">
                  <c:v>36193014.295202218</c:v>
                </c:pt>
                <c:pt idx="558">
                  <c:v>36228743.805938117</c:v>
                </c:pt>
                <c:pt idx="559">
                  <c:v>36320347.285794713</c:v>
                </c:pt>
                <c:pt idx="560">
                  <c:v>36412250.651607499</c:v>
                </c:pt>
                <c:pt idx="561">
                  <c:v>36504454.885125063</c:v>
                </c:pt>
                <c:pt idx="562">
                  <c:v>36596960.971309982</c:v>
                </c:pt>
                <c:pt idx="563">
                  <c:v>36634012.898349337</c:v>
                </c:pt>
                <c:pt idx="564">
                  <c:v>36726943.123756252</c:v>
                </c:pt>
                <c:pt idx="565">
                  <c:v>36818977.578539051</c:v>
                </c:pt>
                <c:pt idx="566">
                  <c:v>36912513.330177806</c:v>
                </c:pt>
                <c:pt idx="567">
                  <c:v>37006355.29352776</c:v>
                </c:pt>
                <c:pt idx="568">
                  <c:v>37100504.471046366</c:v>
                </c:pt>
                <c:pt idx="569">
                  <c:v>37194961.868472882</c:v>
                </c:pt>
                <c:pt idx="570">
                  <c:v>37233971.494839072</c:v>
                </c:pt>
                <c:pt idx="571">
                  <c:v>37328865.828570984</c:v>
                </c:pt>
                <c:pt idx="572">
                  <c:v>37424070.821658343</c:v>
                </c:pt>
                <c:pt idx="573">
                  <c:v>37519587.491119035</c:v>
                </c:pt>
                <c:pt idx="574">
                  <c:v>37615416.857300401</c:v>
                </c:pt>
                <c:pt idx="575">
                  <c:v>37655802.943890139</c:v>
                </c:pt>
                <c:pt idx="576">
                  <c:v>37752078.244018197</c:v>
                </c:pt>
                <c:pt idx="577">
                  <c:v>37847468.724426329</c:v>
                </c:pt>
                <c:pt idx="578">
                  <c:v>37944371.488445014</c:v>
                </c:pt>
                <c:pt idx="579">
                  <c:v>38041591.486897267</c:v>
                </c:pt>
                <c:pt idx="580">
                  <c:v>38139129.758326083</c:v>
                </c:pt>
                <c:pt idx="581">
                  <c:v>38236987.344674364</c:v>
                </c:pt>
                <c:pt idx="582">
                  <c:v>38279408.291296057</c:v>
                </c:pt>
                <c:pt idx="583">
                  <c:v>38377725.113058306</c:v>
                </c:pt>
                <c:pt idx="584">
                  <c:v>38476363.798511222</c:v>
                </c:pt>
                <c:pt idx="585">
                  <c:v>38575325.401352763</c:v>
                </c:pt>
                <c:pt idx="586">
                  <c:v>38674610.97873044</c:v>
                </c:pt>
                <c:pt idx="587">
                  <c:v>38718464.59125258</c:v>
                </c:pt>
                <c:pt idx="588">
                  <c:v>38818218.769090623</c:v>
                </c:pt>
                <c:pt idx="589">
                  <c:v>38917099.516149096</c:v>
                </c:pt>
                <c:pt idx="590">
                  <c:v>39017503.973042905</c:v>
                </c:pt>
                <c:pt idx="591">
                  <c:v>39118237.128001563</c:v>
                </c:pt>
                <c:pt idx="592">
                  <c:v>39219300.057096995</c:v>
                </c:pt>
                <c:pt idx="593">
                  <c:v>39320693.839923911</c:v>
                </c:pt>
                <c:pt idx="594">
                  <c:v>39366662.559611335</c:v>
                </c:pt>
                <c:pt idx="595">
                  <c:v>39468538.768925138</c:v>
                </c:pt>
                <c:pt idx="596">
                  <c:v>39570748.494438231</c:v>
                </c:pt>
                <c:pt idx="597">
                  <c:v>39673292.827995859</c:v>
                </c:pt>
                <c:pt idx="598">
                  <c:v>39776172.865017697</c:v>
                </c:pt>
                <c:pt idx="599">
                  <c:v>39823632.704509526</c:v>
                </c:pt>
                <c:pt idx="600">
                  <c:v>39927004.915165961</c:v>
                </c:pt>
                <c:pt idx="601">
                  <c:v>40029515.53954079</c:v>
                </c:pt>
                <c:pt idx="602">
                  <c:v>40133561.757024735</c:v>
                </c:pt>
                <c:pt idx="603">
                  <c:v>40237948.594750047</c:v>
                </c:pt>
                <c:pt idx="604">
                  <c:v>40342677.167818755</c:v>
                </c:pt>
                <c:pt idx="605">
                  <c:v>40447748.594983451</c:v>
                </c:pt>
                <c:pt idx="606">
                  <c:v>40497406.998659231</c:v>
                </c:pt>
                <c:pt idx="607">
                  <c:v>40602984.971026644</c:v>
                </c:pt>
                <c:pt idx="608">
                  <c:v>40708908.578202322</c:v>
                </c:pt>
                <c:pt idx="609">
                  <c:v>40815178.951704681</c:v>
                </c:pt>
                <c:pt idx="610">
                  <c:v>40921797.226756446</c:v>
                </c:pt>
                <c:pt idx="611">
                  <c:v>40973007.542296752</c:v>
                </c:pt>
                <c:pt idx="612">
                  <c:v>41080142.507084303</c:v>
                </c:pt>
                <c:pt idx="613">
                  <c:v>41186428.203868143</c:v>
                </c:pt>
                <c:pt idx="614">
                  <c:v>41294261.852365829</c:v>
                </c:pt>
                <c:pt idx="615">
                  <c:v>41402448.520168461</c:v>
                </c:pt>
                <c:pt idx="616">
                  <c:v>41510989.362969376</c:v>
                </c:pt>
                <c:pt idx="617">
                  <c:v>41619885.540245362</c:v>
                </c:pt>
                <c:pt idx="618">
                  <c:v>41673381.215269029</c:v>
                </c:pt>
                <c:pt idx="619">
                  <c:v>41782809.021212198</c:v>
                </c:pt>
                <c:pt idx="620">
                  <c:v>41892595.06531696</c:v>
                </c:pt>
                <c:pt idx="621">
                  <c:v>42002740.520361841</c:v>
                </c:pt>
                <c:pt idx="622">
                  <c:v>42113246.56296473</c:v>
                </c:pt>
                <c:pt idx="623">
                  <c:v>42168357.373595461</c:v>
                </c:pt>
                <c:pt idx="624">
                  <c:v>42279405.602679379</c:v>
                </c:pt>
                <c:pt idx="625">
                  <c:v>42389617.374768592</c:v>
                </c:pt>
                <c:pt idx="626">
                  <c:v>42501389.951520562</c:v>
                </c:pt>
                <c:pt idx="627">
                  <c:v>42613528.442603603</c:v>
                </c:pt>
                <c:pt idx="628">
                  <c:v>42726034.04592602</c:v>
                </c:pt>
                <c:pt idx="629">
                  <c:v>42838907.963317752</c:v>
                </c:pt>
                <c:pt idx="630">
                  <c:v>42896394.40054322</c:v>
                </c:pt>
                <c:pt idx="631">
                  <c:v>43009826.03340517</c:v>
                </c:pt>
                <c:pt idx="632">
                  <c:v>43123629.011916183</c:v>
                </c:pt>
                <c:pt idx="633">
                  <c:v>43237804.551765278</c:v>
                </c:pt>
                <c:pt idx="634">
                  <c:v>43352353.872621335</c:v>
                </c:pt>
                <c:pt idx="635">
                  <c:v>43411521.198146097</c:v>
                </c:pt>
                <c:pt idx="636">
                  <c:v>43526639.222098239</c:v>
                </c:pt>
                <c:pt idx="637">
                  <c:v>43640934.112505041</c:v>
                </c:pt>
                <c:pt idx="638">
                  <c:v>43756803.174641468</c:v>
                </c:pt>
                <c:pt idx="639">
                  <c:v>43873051.56193614</c:v>
                </c:pt>
                <c:pt idx="640">
                  <c:v>43989680.516200915</c:v>
                </c:pt>
                <c:pt idx="641">
                  <c:v>44106691.283313021</c:v>
                </c:pt>
                <c:pt idx="642">
                  <c:v>44168328.113228366</c:v>
                </c:pt>
                <c:pt idx="643">
                  <c:v>44285923.726085857</c:v>
                </c:pt>
                <c:pt idx="644">
                  <c:v>44403904.316379368</c:v>
                </c:pt>
                <c:pt idx="645">
                  <c:v>44522271.144424856</c:v>
                </c:pt>
                <c:pt idx="646">
                  <c:v>44641025.474664204</c:v>
                </c:pt>
                <c:pt idx="647">
                  <c:v>44704411.575678766</c:v>
                </c:pt>
                <c:pt idx="648">
                  <c:v>44823762.186293855</c:v>
                </c:pt>
                <c:pt idx="649">
                  <c:v>44942303.519750945</c:v>
                </c:pt>
                <c:pt idx="650">
                  <c:v>45062432.926687211</c:v>
                </c:pt>
                <c:pt idx="651">
                  <c:v>45182955.606041975</c:v>
                </c:pt>
                <c:pt idx="652">
                  <c:v>45303872.845286801</c:v>
                </c:pt>
                <c:pt idx="653">
                  <c:v>45425185.936108097</c:v>
                </c:pt>
                <c:pt idx="654">
                  <c:v>45491139.174420916</c:v>
                </c:pt>
                <c:pt idx="655">
                  <c:v>45613065.326473765</c:v>
                </c:pt>
                <c:pt idx="656">
                  <c:v>45735390.633021079</c:v>
                </c:pt>
                <c:pt idx="657">
                  <c:v>45858116.400790811</c:v>
                </c:pt>
                <c:pt idx="658">
                  <c:v>45981243.940788791</c:v>
                </c:pt>
                <c:pt idx="659">
                  <c:v>46049017.568312742</c:v>
                </c:pt>
                <c:pt idx="660">
                  <c:v>46172770.069057301</c:v>
                </c:pt>
                <c:pt idx="661">
                  <c:v>46295727.7032867</c:v>
                </c:pt>
                <c:pt idx="662">
                  <c:v>46420287.868814796</c:v>
                </c:pt>
                <c:pt idx="663">
                  <c:v>46545255.81191206</c:v>
                </c:pt>
                <c:pt idx="664">
                  <c:v>46670632.867536142</c:v>
                </c:pt>
                <c:pt idx="665">
                  <c:v>46796420.375014998</c:v>
                </c:pt>
                <c:pt idx="666">
                  <c:v>46866862.678061187</c:v>
                </c:pt>
                <c:pt idx="667">
                  <c:v>46993292.590877213</c:v>
                </c:pt>
                <c:pt idx="668">
                  <c:v>47120136.402328484</c:v>
                </c:pt>
                <c:pt idx="669">
                  <c:v>47247395.467411429</c:v>
                </c:pt>
                <c:pt idx="670">
                  <c:v>47375071.14555838</c:v>
                </c:pt>
                <c:pt idx="671">
                  <c:v>47447407.800652102</c:v>
                </c:pt>
                <c:pt idx="672">
                  <c:v>47575738.267131314</c:v>
                </c:pt>
                <c:pt idx="673">
                  <c:v>47703288.854163907</c:v>
                </c:pt>
                <c:pt idx="674">
                  <c:v>47832457.008627512</c:v>
                </c:pt>
                <c:pt idx="675">
                  <c:v>47962048.026016973</c:v>
                </c:pt>
                <c:pt idx="676">
                  <c:v>48092063.290675476</c:v>
                </c:pt>
                <c:pt idx="677">
                  <c:v>48222504.191478185</c:v>
                </c:pt>
                <c:pt idx="678">
                  <c:v>48297615.121847078</c:v>
                </c:pt>
                <c:pt idx="679">
                  <c:v>48428728.945856802</c:v>
                </c:pt>
                <c:pt idx="680">
                  <c:v>48560272.002408184</c:v>
                </c:pt>
                <c:pt idx="681">
                  <c:v>48692245.69669687</c:v>
                </c:pt>
                <c:pt idx="682">
                  <c:v>48824651.438518748</c:v>
                </c:pt>
                <c:pt idx="683">
                  <c:v>48901733.642285019</c:v>
                </c:pt>
                <c:pt idx="684">
                  <c:v>49034825.193128265</c:v>
                </c:pt>
                <c:pt idx="685">
                  <c:v>49167152.45107618</c:v>
                </c:pt>
                <c:pt idx="686">
                  <c:v>49301112.914032705</c:v>
                </c:pt>
                <c:pt idx="687">
                  <c:v>49435511.928686053</c:v>
                </c:pt>
                <c:pt idx="688">
                  <c:v>49570350.930740364</c:v>
                </c:pt>
                <c:pt idx="689">
                  <c:v>49705631.36059989</c:v>
                </c:pt>
                <c:pt idx="690">
                  <c:v>49785597.6633844</c:v>
                </c:pt>
                <c:pt idx="691">
                  <c:v>49921582.755035572</c:v>
                </c:pt>
                <c:pt idx="692">
                  <c:v>50058013.026491068</c:v>
                </c:pt>
                <c:pt idx="693">
                  <c:v>50194889.935153723</c:v>
                </c:pt>
                <c:pt idx="694">
                  <c:v>50332214.943197533</c:v>
                </c:pt>
                <c:pt idx="695">
                  <c:v>50414232.517583266</c:v>
                </c:pt>
                <c:pt idx="696">
                  <c:v>50552275.596165106</c:v>
                </c:pt>
                <c:pt idx="697">
                  <c:v>50689570.591864958</c:v>
                </c:pt>
                <c:pt idx="698">
                  <c:v>50828515.055654123</c:v>
                </c:pt>
                <c:pt idx="699">
                  <c:v>50967914.387461916</c:v>
                </c:pt>
                <c:pt idx="700">
                  <c:v>51107770.076407857</c:v>
                </c:pt>
                <c:pt idx="701">
                  <c:v>51248083.616486467</c:v>
                </c:pt>
                <c:pt idx="702">
                  <c:v>51333099.506583214</c:v>
                </c:pt>
                <c:pt idx="703">
                  <c:v>51474150.716581494</c:v>
                </c:pt>
                <c:pt idx="704">
                  <c:v>51615663.691537268</c:v>
                </c:pt>
                <c:pt idx="705">
                  <c:v>51757639.943148851</c:v>
                </c:pt>
                <c:pt idx="706">
                  <c:v>51900080.988063462</c:v>
                </c:pt>
                <c:pt idx="707">
                  <c:v>51987231.347893432</c:v>
                </c:pt>
                <c:pt idx="708">
                  <c:v>52130424.015323408</c:v>
                </c:pt>
                <c:pt idx="709">
                  <c:v>52272885.458285272</c:v>
                </c:pt>
                <c:pt idx="710">
                  <c:v>52417013.282940388</c:v>
                </c:pt>
                <c:pt idx="711">
                  <c:v>52561612.944588795</c:v>
                </c:pt>
                <c:pt idx="712">
                  <c:v>52706685.987902038</c:v>
                </c:pt>
                <c:pt idx="713">
                  <c:v>52852233.962608501</c:v>
                </c:pt>
                <c:pt idx="714">
                  <c:v>52942501.423509978</c:v>
                </c:pt>
                <c:pt idx="715">
                  <c:v>53088821.396589242</c:v>
                </c:pt>
                <c:pt idx="716">
                  <c:v>53235620.383185312</c:v>
                </c:pt>
                <c:pt idx="717">
                  <c:v>53382899.951463789</c:v>
                </c:pt>
                <c:pt idx="718">
                  <c:v>53530661.674724042</c:v>
                </c:pt>
                <c:pt idx="719">
                  <c:v>53623150.131416015</c:v>
                </c:pt>
                <c:pt idx="720">
                  <c:v>53771698.371248059</c:v>
                </c:pt>
                <c:pt idx="721">
                  <c:v>53919532.919362411</c:v>
                </c:pt>
                <c:pt idx="722">
                  <c:v>54069051.439318113</c:v>
                </c:pt>
                <c:pt idx="723">
                  <c:v>54219059.444000766</c:v>
                </c:pt>
                <c:pt idx="724">
                  <c:v>54369558.535856001</c:v>
                </c:pt>
                <c:pt idx="725">
                  <c:v>54520550.322575428</c:v>
                </c:pt>
                <c:pt idx="726">
                  <c:v>54616279.417113818</c:v>
                </c:pt>
                <c:pt idx="727">
                  <c:v>54768078.903797314</c:v>
                </c:pt>
                <c:pt idx="728">
                  <c:v>54920375.342499286</c:v>
                </c:pt>
                <c:pt idx="729">
                  <c:v>55073170.360111319</c:v>
                </c:pt>
                <c:pt idx="730">
                  <c:v>55226465.588851035</c:v>
                </c:pt>
                <c:pt idx="731">
                  <c:v>55324505.666279495</c:v>
                </c:pt>
                <c:pt idx="732">
                  <c:v>55478623.701409683</c:v>
                </c:pt>
                <c:pt idx="733">
                  <c:v>55632046.27888263</c:v>
                </c:pt>
                <c:pt idx="734">
                  <c:v>55787171.121950939</c:v>
                </c:pt>
                <c:pt idx="735">
                  <c:v>55942803.803389207</c:v>
                </c:pt>
                <c:pt idx="736">
                  <c:v>56098945.985728107</c:v>
                </c:pt>
                <c:pt idx="737">
                  <c:v>56255599.336941011</c:v>
                </c:pt>
                <c:pt idx="738">
                  <c:v>56357008.530461796</c:v>
                </c:pt>
                <c:pt idx="739">
                  <c:v>56514506.71129369</c:v>
                </c:pt>
                <c:pt idx="740">
                  <c:v>56672520.500185803</c:v>
                </c:pt>
                <c:pt idx="741">
                  <c:v>56831051.585104741</c:v>
                </c:pt>
                <c:pt idx="742">
                  <c:v>56990101.659543097</c:v>
                </c:pt>
                <c:pt idx="743">
                  <c:v>57093915.422537506</c:v>
                </c:pt>
                <c:pt idx="744">
                  <c:v>57253826.044777766</c:v>
                </c:pt>
                <c:pt idx="745">
                  <c:v>57413060.17278365</c:v>
                </c:pt>
                <c:pt idx="746">
                  <c:v>57574015.591889076</c:v>
                </c:pt>
                <c:pt idx="747">
                  <c:v>57735497.937153183</c:v>
                </c:pt>
                <c:pt idx="748">
                  <c:v>57897508.933595106</c:v>
                </c:pt>
                <c:pt idx="749">
                  <c:v>58060050.311881237</c:v>
                </c:pt>
                <c:pt idx="750">
                  <c:v>58167366.808343716</c:v>
                </c:pt>
                <c:pt idx="751">
                  <c:v>58330791.631089948</c:v>
                </c:pt>
                <c:pt idx="752">
                  <c:v>58494751.464179806</c:v>
                </c:pt>
                <c:pt idx="753">
                  <c:v>58659248.059097931</c:v>
                </c:pt>
                <c:pt idx="754">
                  <c:v>58824283.173062876</c:v>
                </c:pt>
                <c:pt idx="755">
                  <c:v>58934101.569045864</c:v>
                </c:pt>
                <c:pt idx="756">
                  <c:v>59100036.481880598</c:v>
                </c:pt>
                <c:pt idx="757">
                  <c:v>59265314.62244074</c:v>
                </c:pt>
                <c:pt idx="758">
                  <c:v>59432333.840624757</c:v>
                </c:pt>
                <c:pt idx="759">
                  <c:v>59599899.83626774</c:v>
                </c:pt>
                <c:pt idx="760">
                  <c:v>59768014.399376802</c:v>
                </c:pt>
                <c:pt idx="761">
                  <c:v>59936679.325819083</c:v>
                </c:pt>
                <c:pt idx="762">
                  <c:v>60050139.417340919</c:v>
                </c:pt>
                <c:pt idx="763">
                  <c:v>60219727.947678059</c:v>
                </c:pt>
                <c:pt idx="764">
                  <c:v>60389871.66673357</c:v>
                </c:pt>
                <c:pt idx="765">
                  <c:v>60560572.39205084</c:v>
                </c:pt>
                <c:pt idx="766">
                  <c:v>60731831.947123431</c:v>
                </c:pt>
                <c:pt idx="767">
                  <c:v>60847895.161414549</c:v>
                </c:pt>
                <c:pt idx="768">
                  <c:v>61020095.336467542</c:v>
                </c:pt>
                <c:pt idx="769">
                  <c:v>61191659.25008411</c:v>
                </c:pt>
                <c:pt idx="770">
                  <c:v>61364984.819309868</c:v>
                </c:pt>
                <c:pt idx="771">
                  <c:v>61538877.811346874</c:v>
                </c:pt>
                <c:pt idx="772">
                  <c:v>61713340.083789758</c:v>
                </c:pt>
                <c:pt idx="773">
                  <c:v>61888373.500314429</c:v>
                </c:pt>
                <c:pt idx="774">
                  <c:v>62008222.930697992</c:v>
                </c:pt>
                <c:pt idx="775">
                  <c:v>62184221.716929674</c:v>
                </c:pt>
                <c:pt idx="776">
                  <c:v>62360796.677389465</c:v>
                </c:pt>
                <c:pt idx="777">
                  <c:v>62537949.698321857</c:v>
                </c:pt>
                <c:pt idx="778">
                  <c:v>62715682.67214641</c:v>
                </c:pt>
                <c:pt idx="779">
                  <c:v>62838240.497477978</c:v>
                </c:pt>
                <c:pt idx="780">
                  <c:v>63016956.545237958</c:v>
                </c:pt>
                <c:pt idx="781">
                  <c:v>63195057.662833206</c:v>
                </c:pt>
                <c:pt idx="782">
                  <c:v>63374941.837142378</c:v>
                </c:pt>
                <c:pt idx="783">
                  <c:v>63555414.905429177</c:v>
                </c:pt>
                <c:pt idx="784">
                  <c:v>63736478.79557924</c:v>
                </c:pt>
                <c:pt idx="785">
                  <c:v>63918135.441789605</c:v>
                </c:pt>
                <c:pt idx="786">
                  <c:v>64044629.784589373</c:v>
                </c:pt>
                <c:pt idx="787">
                  <c:v>64227295.236951381</c:v>
                </c:pt>
                <c:pt idx="788">
                  <c:v>64410558.688471623</c:v>
                </c:pt>
                <c:pt idx="789">
                  <c:v>64594422.096843727</c:v>
                </c:pt>
                <c:pt idx="790">
                  <c:v>64778887.426170312</c:v>
                </c:pt>
                <c:pt idx="791">
                  <c:v>64908199.646983951</c:v>
                </c:pt>
                <c:pt idx="792">
                  <c:v>65093692.202359192</c:v>
                </c:pt>
                <c:pt idx="793">
                  <c:v>65278592.01209227</c:v>
                </c:pt>
                <c:pt idx="794">
                  <c:v>65465297.135688186</c:v>
                </c:pt>
                <c:pt idx="795">
                  <c:v>65652613.483274758</c:v>
                </c:pt>
                <c:pt idx="796">
                  <c:v>65840543.055840284</c:v>
                </c:pt>
                <c:pt idx="797">
                  <c:v>66029087.860923767</c:v>
                </c:pt>
                <c:pt idx="798">
                  <c:v>66162492.912636384</c:v>
                </c:pt>
                <c:pt idx="799">
                  <c:v>66352091.697773933</c:v>
                </c:pt>
                <c:pt idx="800">
                  <c:v>66542311.179997049</c:v>
                </c:pt>
                <c:pt idx="801">
                  <c:v>66733153.391306467</c:v>
                </c:pt>
                <c:pt idx="802">
                  <c:v>66924620.370355166</c:v>
                </c:pt>
                <c:pt idx="803">
                  <c:v>67060957.162470154</c:v>
                </c:pt>
                <c:pt idx="804">
                  <c:v>67253497.285765275</c:v>
                </c:pt>
                <c:pt idx="805">
                  <c:v>67445467.735321686</c:v>
                </c:pt>
                <c:pt idx="806">
                  <c:v>67639266.646175817</c:v>
                </c:pt>
                <c:pt idx="807">
                  <c:v>67833700.004234165</c:v>
                </c:pt>
                <c:pt idx="808">
                  <c:v>68028769.886511773</c:v>
                </c:pt>
                <c:pt idx="809">
                  <c:v>68224478.376823306</c:v>
                </c:pt>
                <c:pt idx="810">
                  <c:v>68365070.565805286</c:v>
                </c:pt>
                <c:pt idx="811">
                  <c:v>68561880.017029405</c:v>
                </c:pt>
                <c:pt idx="812">
                  <c:v>68759333.771183506</c:v>
                </c:pt>
                <c:pt idx="813">
                  <c:v>68957433.937547728</c:v>
                </c:pt>
                <c:pt idx="814">
                  <c:v>69156182.632307425</c:v>
                </c:pt>
                <c:pt idx="815">
                  <c:v>69299824.978575826</c:v>
                </c:pt>
                <c:pt idx="816">
                  <c:v>69499694.572507605</c:v>
                </c:pt>
                <c:pt idx="817">
                  <c:v>69699018.487480298</c:v>
                </c:pt>
                <c:pt idx="818">
                  <c:v>69900194.937082976</c:v>
                </c:pt>
                <c:pt idx="819">
                  <c:v>70102029.986031964</c:v>
                </c:pt>
                <c:pt idx="820">
                  <c:v>70304525.790410131</c:v>
                </c:pt>
                <c:pt idx="821">
                  <c:v>70507684.513358831</c:v>
                </c:pt>
                <c:pt idx="822">
                  <c:v>70655751.325100943</c:v>
                </c:pt>
                <c:pt idx="823">
                  <c:v>70860059.869055077</c:v>
                </c:pt>
                <c:pt idx="824">
                  <c:v>71065037.266017407</c:v>
                </c:pt>
                <c:pt idx="825">
                  <c:v>71270685.705638617</c:v>
                </c:pt>
                <c:pt idx="826">
                  <c:v>71477007.38473776</c:v>
                </c:pt>
                <c:pt idx="827">
                  <c:v>71628247.507325709</c:v>
                </c:pt>
                <c:pt idx="828">
                  <c:v>71835739.750719637</c:v>
                </c:pt>
                <c:pt idx="829">
                  <c:v>72042711.269725248</c:v>
                </c:pt>
                <c:pt idx="830">
                  <c:v>72251560.359626412</c:v>
                </c:pt>
                <c:pt idx="831">
                  <c:v>72461093.167101666</c:v>
                </c:pt>
                <c:pt idx="832">
                  <c:v>72671311.930464432</c:v>
                </c:pt>
                <c:pt idx="833">
                  <c:v>72882218.895355776</c:v>
                </c:pt>
                <c:pt idx="834">
                  <c:v>73038059.314768434</c:v>
                </c:pt>
                <c:pt idx="835">
                  <c:v>73250166.915161788</c:v>
                </c:pt>
                <c:pt idx="836">
                  <c:v>73462968.90064466</c:v>
                </c:pt>
                <c:pt idx="837">
                  <c:v>73676467.544453144</c:v>
                </c:pt>
                <c:pt idx="838">
                  <c:v>73890665.127265304</c:v>
                </c:pt>
                <c:pt idx="839">
                  <c:v>74049806.937225565</c:v>
                </c:pt>
                <c:pt idx="840">
                  <c:v>74265226.736060113</c:v>
                </c:pt>
                <c:pt idx="841">
                  <c:v>74480151.763259977</c:v>
                </c:pt>
                <c:pt idx="842">
                  <c:v>74696980.399071574</c:v>
                </c:pt>
                <c:pt idx="843">
                  <c:v>74914518.875414148</c:v>
                </c:pt>
                <c:pt idx="844">
                  <c:v>75132769.516120881</c:v>
                </c:pt>
                <c:pt idx="845">
                  <c:v>75351734.652632594</c:v>
                </c:pt>
                <c:pt idx="846">
                  <c:v>75515659.624022618</c:v>
                </c:pt>
                <c:pt idx="847">
                  <c:v>75735878.243112773</c:v>
                </c:pt>
                <c:pt idx="848">
                  <c:v>75956817.800657019</c:v>
                </c:pt>
                <c:pt idx="849">
                  <c:v>76178480.656820267</c:v>
                </c:pt>
                <c:pt idx="850">
                  <c:v>76400869.179493964</c:v>
                </c:pt>
                <c:pt idx="851">
                  <c:v>76568228.744321451</c:v>
                </c:pt>
                <c:pt idx="852">
                  <c:v>76818893.200814247</c:v>
                </c:pt>
                <c:pt idx="853">
                  <c:v>77070378.267510235</c:v>
                </c:pt>
                <c:pt idx="854">
                  <c:v>77322686.630873695</c:v>
                </c:pt>
                <c:pt idx="855">
                  <c:v>77575820.986163691</c:v>
                </c:pt>
                <c:pt idx="856">
                  <c:v>77829784.037462831</c:v>
                </c:pt>
                <c:pt idx="857">
                  <c:v>78084578.49770622</c:v>
                </c:pt>
                <c:pt idx="858">
                  <c:v>78340207.088710397</c:v>
                </c:pt>
                <c:pt idx="859">
                  <c:v>78596672.541202411</c:v>
                </c:pt>
                <c:pt idx="860">
                  <c:v>78853977.594849005</c:v>
                </c:pt>
                <c:pt idx="861">
                  <c:v>79112124.99828589</c:v>
                </c:pt>
                <c:pt idx="862">
                  <c:v>79371117.509147078</c:v>
                </c:pt>
                <c:pt idx="863">
                  <c:v>79630957.894094363</c:v>
                </c:pt>
                <c:pt idx="864">
                  <c:v>79891648.928846866</c:v>
                </c:pt>
                <c:pt idx="865">
                  <c:v>80153193.398210704</c:v>
                </c:pt>
                <c:pt idx="866">
                  <c:v>80415594.096108705</c:v>
                </c:pt>
                <c:pt idx="867">
                  <c:v>80678853.825610295</c:v>
                </c:pt>
                <c:pt idx="868">
                  <c:v>80942975.39896141</c:v>
                </c:pt>
                <c:pt idx="869">
                  <c:v>81207961.637614533</c:v>
                </c:pt>
                <c:pt idx="870">
                  <c:v>81473815.372258872</c:v>
                </c:pt>
                <c:pt idx="871">
                  <c:v>81740539.44285056</c:v>
                </c:pt>
                <c:pt idx="872">
                  <c:v>82008136.698643014</c:v>
                </c:pt>
                <c:pt idx="873">
                  <c:v>82276609.998217374</c:v>
                </c:pt>
                <c:pt idx="874">
                  <c:v>82545962.209513009</c:v>
                </c:pt>
                <c:pt idx="875">
                  <c:v>82816196.209858179</c:v>
                </c:pt>
                <c:pt idx="876">
                  <c:v>83087314.886000782</c:v>
                </c:pt>
                <c:pt idx="877">
                  <c:v>83359321.134139165</c:v>
                </c:pt>
                <c:pt idx="878">
                  <c:v>83632217.859953091</c:v>
                </c:pt>
                <c:pt idx="879">
                  <c:v>83906007.978634745</c:v>
                </c:pt>
                <c:pt idx="880">
                  <c:v>84180694.414919898</c:v>
                </c:pt>
                <c:pt idx="881">
                  <c:v>84456280.10311915</c:v>
                </c:pt>
                <c:pt idx="882">
                  <c:v>84732767.987149268</c:v>
                </c:pt>
                <c:pt idx="883">
                  <c:v>85010161.020564631</c:v>
                </c:pt>
                <c:pt idx="884">
                  <c:v>85288462.166588783</c:v>
                </c:pt>
                <c:pt idx="885">
                  <c:v>85567674.398146108</c:v>
                </c:pt>
                <c:pt idx="886">
                  <c:v>85847800.69789356</c:v>
                </c:pt>
                <c:pt idx="887">
                  <c:v>86128844.058252543</c:v>
                </c:pt>
                <c:pt idx="888">
                  <c:v>86410807.481440857</c:v>
                </c:pt>
                <c:pt idx="889">
                  <c:v>86693693.979504779</c:v>
                </c:pt>
                <c:pt idx="890">
                  <c:v>86977506.574351266</c:v>
                </c:pt>
                <c:pt idx="891">
                  <c:v>87262248.297780186</c:v>
                </c:pt>
                <c:pt idx="892">
                  <c:v>87547922.191516742</c:v>
                </c:pt>
                <c:pt idx="893">
                  <c:v>87834531.307243973</c:v>
                </c:pt>
                <c:pt idx="894">
                  <c:v>88122078.706635296</c:v>
                </c:pt>
                <c:pt idx="895">
                  <c:v>88410567.461387277</c:v>
                </c:pt>
                <c:pt idx="896">
                  <c:v>88700000.653252408</c:v>
                </c:pt>
                <c:pt idx="897">
                  <c:v>88990381.37407203</c:v>
                </c:pt>
                <c:pt idx="898">
                  <c:v>89281712.72580938</c:v>
                </c:pt>
                <c:pt idx="899">
                  <c:v>89573997.820582718</c:v>
                </c:pt>
                <c:pt idx="900">
                  <c:v>89867239.780698553</c:v>
                </c:pt>
                <c:pt idx="901">
                  <c:v>90161441.738685042</c:v>
                </c:pt>
                <c:pt idx="902">
                  <c:v>90456606.837325379</c:v>
                </c:pt>
                <c:pt idx="903">
                  <c:v>90752738.229691461</c:v>
                </c:pt>
                <c:pt idx="904">
                  <c:v>91049839.079177484</c:v>
                </c:pt>
                <c:pt idx="905">
                  <c:v>91347912.55953379</c:v>
                </c:pt>
                <c:pt idx="906">
                  <c:v>91646961.854900762</c:v>
                </c:pt>
                <c:pt idx="907">
                  <c:v>91946990.159842819</c:v>
                </c:pt>
                <c:pt idx="908">
                  <c:v>92248000.679382548</c:v>
                </c:pt>
                <c:pt idx="909">
                  <c:v>92549996.629034951</c:v>
                </c:pt>
                <c:pt idx="910">
                  <c:v>92852981.234841794</c:v>
                </c:pt>
                <c:pt idx="911">
                  <c:v>93156957.733406067</c:v>
                </c:pt>
                <c:pt idx="912">
                  <c:v>93461929.371926546</c:v>
                </c:pt>
                <c:pt idx="913">
                  <c:v>93767899.40823248</c:v>
                </c:pt>
                <c:pt idx="914">
                  <c:v>94074871.110818431</c:v>
                </c:pt>
                <c:pt idx="915">
                  <c:v>94382847.758879155</c:v>
                </c:pt>
                <c:pt idx="916">
                  <c:v>94691832.642344624</c:v>
                </c:pt>
                <c:pt idx="917">
                  <c:v>95001829.061915189</c:v>
                </c:pt>
                <c:pt idx="918">
                  <c:v>95312840.329096839</c:v>
                </c:pt>
                <c:pt idx="919">
                  <c:v>95624869.766236573</c:v>
                </c:pt>
                <c:pt idx="920">
                  <c:v>95937920.7065579</c:v>
                </c:pt>
                <c:pt idx="921">
                  <c:v>96251996.4941964</c:v>
                </c:pt>
                <c:pt idx="922">
                  <c:v>96567100.484235525</c:v>
                </c:pt>
                <c:pt idx="923">
                  <c:v>96883236.042742372</c:v>
                </c:pt>
                <c:pt idx="924">
                  <c:v>97200406.546803668</c:v>
                </c:pt>
                <c:pt idx="925">
                  <c:v>97518615.384561852</c:v>
                </c:pt>
                <c:pt idx="926">
                  <c:v>97837865.955251247</c:v>
                </c:pt>
                <c:pt idx="927">
                  <c:v>98158161.669234395</c:v>
                </c:pt>
                <c:pt idx="928">
                  <c:v>98479505.948038474</c:v>
                </c:pt>
                <c:pt idx="929">
                  <c:v>98801902.224391863</c:v>
                </c:pt>
                <c:pt idx="930">
                  <c:v>99125353.942260787</c:v>
                </c:pt>
                <c:pt idx="931">
                  <c:v>99449864.556886107</c:v>
                </c:pt>
                <c:pt idx="932">
                  <c:v>99775437.534820274</c:v>
                </c:pt>
                <c:pt idx="933">
                  <c:v>100102076.35396431</c:v>
                </c:pt>
                <c:pt idx="934">
                  <c:v>100429784.50360499</c:v>
                </c:pt>
                <c:pt idx="935">
                  <c:v>100758565.48445211</c:v>
                </c:pt>
                <c:pt idx="936">
                  <c:v>101088422.80867586</c:v>
                </c:pt>
                <c:pt idx="937">
                  <c:v>101419359.99994436</c:v>
                </c:pt>
                <c:pt idx="938">
                  <c:v>101751380.59346133</c:v>
                </c:pt>
                <c:pt idx="939">
                  <c:v>102084488.13600381</c:v>
                </c:pt>
                <c:pt idx="940">
                  <c:v>102418686.18596005</c:v>
                </c:pt>
                <c:pt idx="941">
                  <c:v>102753978.31336758</c:v>
                </c:pt>
                <c:pt idx="942">
                  <c:v>103090368.09995125</c:v>
                </c:pt>
                <c:pt idx="943">
                  <c:v>103427859.13916159</c:v>
                </c:pt>
                <c:pt idx="944">
                  <c:v>103766455.03621313</c:v>
                </c:pt>
                <c:pt idx="945">
                  <c:v>104106159.40812294</c:v>
                </c:pt>
                <c:pt idx="946">
                  <c:v>104446975.88374926</c:v>
                </c:pt>
                <c:pt idx="947">
                  <c:v>104788908.10383026</c:v>
                </c:pt>
                <c:pt idx="948">
                  <c:v>105131959.72102296</c:v>
                </c:pt>
                <c:pt idx="949">
                  <c:v>105476134.3999422</c:v>
                </c:pt>
                <c:pt idx="950">
                  <c:v>105821435.81719986</c:v>
                </c:pt>
                <c:pt idx="951">
                  <c:v>106167867.66144404</c:v>
                </c:pt>
                <c:pt idx="952">
                  <c:v>106515433.63339853</c:v>
                </c:pt>
                <c:pt idx="953">
                  <c:v>106864137.44590236</c:v>
                </c:pt>
                <c:pt idx="954">
                  <c:v>107213982.82394938</c:v>
                </c:pt>
                <c:pt idx="955">
                  <c:v>107564973.50472814</c:v>
                </c:pt>
                <c:pt idx="956">
                  <c:v>107917113.23766173</c:v>
                </c:pt>
                <c:pt idx="957">
                  <c:v>108270405.78444794</c:v>
                </c:pt>
                <c:pt idx="958">
                  <c:v>108624854.9190993</c:v>
                </c:pt>
                <c:pt idx="959">
                  <c:v>108980464.42798354</c:v>
                </c:pt>
                <c:pt idx="960">
                  <c:v>109337238.10986394</c:v>
                </c:pt>
                <c:pt idx="961">
                  <c:v>109695179.77593996</c:v>
                </c:pt>
                <c:pt idx="962">
                  <c:v>110054293.24988791</c:v>
                </c:pt>
                <c:pt idx="963">
                  <c:v>110414582.36790186</c:v>
                </c:pt>
                <c:pt idx="964">
                  <c:v>110776050.97873454</c:v>
                </c:pt>
                <c:pt idx="965">
                  <c:v>111138702.94373852</c:v>
                </c:pt>
                <c:pt idx="966">
                  <c:v>111502542.13690743</c:v>
                </c:pt>
                <c:pt idx="967">
                  <c:v>111867572.44491734</c:v>
                </c:pt>
                <c:pt idx="968">
                  <c:v>112233797.76716828</c:v>
                </c:pt>
                <c:pt idx="969">
                  <c:v>112601222.01582593</c:v>
                </c:pt>
                <c:pt idx="970">
                  <c:v>112969849.11586335</c:v>
                </c:pt>
                <c:pt idx="971">
                  <c:v>113339683.00510296</c:v>
                </c:pt>
                <c:pt idx="972">
                  <c:v>113710727.63425858</c:v>
                </c:pt>
                <c:pt idx="973">
                  <c:v>114082986.96697764</c:v>
                </c:pt>
                <c:pt idx="974">
                  <c:v>114456464.97988352</c:v>
                </c:pt>
                <c:pt idx="975">
                  <c:v>114831165.66261803</c:v>
                </c:pt>
                <c:pt idx="976">
                  <c:v>115207093.01788402</c:v>
                </c:pt>
                <c:pt idx="977">
                  <c:v>115584251.06148815</c:v>
                </c:pt>
                <c:pt idx="978">
                  <c:v>115962643.82238381</c:v>
                </c:pt>
                <c:pt idx="979">
                  <c:v>116342275.3427141</c:v>
                </c:pt>
                <c:pt idx="980">
                  <c:v>116723149.67785509</c:v>
                </c:pt>
                <c:pt idx="981">
                  <c:v>117105270.89645904</c:v>
                </c:pt>
                <c:pt idx="982">
                  <c:v>117488643.08049797</c:v>
                </c:pt>
                <c:pt idx="983">
                  <c:v>117873270.32530716</c:v>
                </c:pt>
                <c:pt idx="984">
                  <c:v>118259156.739629</c:v>
                </c:pt>
                <c:pt idx="985">
                  <c:v>118646306.44565682</c:v>
                </c:pt>
                <c:pt idx="986">
                  <c:v>119034723.57907893</c:v>
                </c:pt>
                <c:pt idx="987">
                  <c:v>119424412.2891228</c:v>
                </c:pt>
                <c:pt idx="988">
                  <c:v>119815376.73859943</c:v>
                </c:pt>
                <c:pt idx="989">
                  <c:v>120207621.10394774</c:v>
                </c:pt>
                <c:pt idx="990">
                  <c:v>120601149.57527924</c:v>
                </c:pt>
                <c:pt idx="991">
                  <c:v>120995966.35642275</c:v>
                </c:pt>
                <c:pt idx="992">
                  <c:v>121392075.66496937</c:v>
                </c:pt>
                <c:pt idx="993">
                  <c:v>121789481.73231748</c:v>
                </c:pt>
                <c:pt idx="994">
                  <c:v>122188188.80371796</c:v>
                </c:pt>
                <c:pt idx="995">
                  <c:v>122588201.13831952</c:v>
                </c:pt>
                <c:pt idx="996">
                  <c:v>122989523.00921424</c:v>
                </c:pt>
                <c:pt idx="997">
                  <c:v>123392158.70348316</c:v>
                </c:pt>
                <c:pt idx="998">
                  <c:v>123796112.52224216</c:v>
                </c:pt>
                <c:pt idx="999">
                  <c:v>124201388.78068779</c:v>
                </c:pt>
                <c:pt idx="1000">
                  <c:v>124607991.80814348</c:v>
                </c:pt>
                <c:pt idx="1001">
                  <c:v>125015925.94810572</c:v>
                </c:pt>
                <c:pt idx="1002">
                  <c:v>125425195.55829047</c:v>
                </c:pt>
                <c:pt idx="1003">
                  <c:v>125835805.01067972</c:v>
                </c:pt>
                <c:pt idx="1004">
                  <c:v>126247758.69156821</c:v>
                </c:pt>
                <c:pt idx="1005">
                  <c:v>126661061.00161025</c:v>
                </c:pt>
                <c:pt idx="1006">
                  <c:v>127075716.35586675</c:v>
                </c:pt>
                <c:pt idx="1007">
                  <c:v>127491729.18385237</c:v>
                </c:pt>
                <c:pt idx="1008">
                  <c:v>127909103.92958288</c:v>
                </c:pt>
                <c:pt idx="1009">
                  <c:v>128327845.05162257</c:v>
                </c:pt>
                <c:pt idx="1010">
                  <c:v>128747957.02313192</c:v>
                </c:pt>
                <c:pt idx="1011">
                  <c:v>129169444.33191538</c:v>
                </c:pt>
                <c:pt idx="1012">
                  <c:v>129592311.4804693</c:v>
                </c:pt>
                <c:pt idx="1013">
                  <c:v>130016562.98603003</c:v>
                </c:pt>
                <c:pt idx="1014">
                  <c:v>130442203.38062216</c:v>
                </c:pt>
                <c:pt idx="1015">
                  <c:v>130869237.21110699</c:v>
                </c:pt>
                <c:pt idx="1016">
                  <c:v>131297669.03923102</c:v>
                </c:pt>
                <c:pt idx="1017">
                  <c:v>131727503.44167474</c:v>
                </c:pt>
                <c:pt idx="1018">
                  <c:v>132158745.0101015</c:v>
                </c:pt>
                <c:pt idx="1019">
                  <c:v>132591398.35120656</c:v>
                </c:pt>
                <c:pt idx="1020">
                  <c:v>133025468.08676629</c:v>
                </c:pt>
                <c:pt idx="1021">
                  <c:v>133460958.85368757</c:v>
                </c:pt>
                <c:pt idx="1022">
                  <c:v>133897875.3040573</c:v>
                </c:pt>
                <c:pt idx="1023">
                  <c:v>134336222.1051921</c:v>
                </c:pt>
                <c:pt idx="1024">
                  <c:v>134776003.93968818</c:v>
                </c:pt>
                <c:pt idx="1025">
                  <c:v>135217225.50547132</c:v>
                </c:pt>
                <c:pt idx="1026">
                  <c:v>135659891.51584715</c:v>
                </c:pt>
                <c:pt idx="1027">
                  <c:v>136104006.69955137</c:v>
                </c:pt>
                <c:pt idx="1028">
                  <c:v>136549575.80080035</c:v>
                </c:pt>
                <c:pt idx="1029">
                  <c:v>136996603.57934183</c:v>
                </c:pt>
                <c:pt idx="1030">
                  <c:v>137445094.81050566</c:v>
                </c:pt>
                <c:pt idx="1031">
                  <c:v>137895054.28525493</c:v>
                </c:pt>
                <c:pt idx="1032">
                  <c:v>138346486.81023705</c:v>
                </c:pt>
                <c:pt idx="1033">
                  <c:v>138799397.20783517</c:v>
                </c:pt>
                <c:pt idx="1034">
                  <c:v>139253790.31621969</c:v>
                </c:pt>
                <c:pt idx="1035">
                  <c:v>139709670.98939988</c:v>
                </c:pt>
                <c:pt idx="1036">
                  <c:v>140167044.09727579</c:v>
                </c:pt>
                <c:pt idx="1037">
                  <c:v>140625914.52569029</c:v>
                </c:pt>
                <c:pt idx="1038">
                  <c:v>141086287.17648116</c:v>
                </c:pt>
                <c:pt idx="1039">
                  <c:v>141548166.96753356</c:v>
                </c:pt>
                <c:pt idx="1040">
                  <c:v>142011558.83283252</c:v>
                </c:pt>
                <c:pt idx="1041">
                  <c:v>142476467.72251564</c:v>
                </c:pt>
                <c:pt idx="1042">
                  <c:v>142942898.60292602</c:v>
                </c:pt>
                <c:pt idx="1043">
                  <c:v>143410856.45666525</c:v>
                </c:pt>
                <c:pt idx="1044">
                  <c:v>143880346.28264666</c:v>
                </c:pt>
                <c:pt idx="1045">
                  <c:v>144351373.0961487</c:v>
                </c:pt>
                <c:pt idx="1046">
                  <c:v>144823941.92886859</c:v>
                </c:pt>
                <c:pt idx="1047">
                  <c:v>145298057.82897601</c:v>
                </c:pt>
                <c:pt idx="1048">
                  <c:v>145773725.86116695</c:v>
                </c:pt>
                <c:pt idx="1049">
                  <c:v>146250951.106718</c:v>
                </c:pt>
                <c:pt idx="1050">
                  <c:v>146729738.66354048</c:v>
                </c:pt>
                <c:pt idx="1051">
                  <c:v>147210093.64623496</c:v>
                </c:pt>
                <c:pt idx="1052">
                  <c:v>147692021.18614587</c:v>
                </c:pt>
                <c:pt idx="1053">
                  <c:v>148175526.43141633</c:v>
                </c:pt>
                <c:pt idx="1054">
                  <c:v>148660614.54704311</c:v>
                </c:pt>
                <c:pt idx="1055">
                  <c:v>149147290.71493191</c:v>
                </c:pt>
                <c:pt idx="1056">
                  <c:v>149635560.13395256</c:v>
                </c:pt>
                <c:pt idx="1057">
                  <c:v>150125428.01999471</c:v>
                </c:pt>
                <c:pt idx="1058">
                  <c:v>150616899.6060234</c:v>
                </c:pt>
                <c:pt idx="1059">
                  <c:v>151109980.14213511</c:v>
                </c:pt>
                <c:pt idx="1060">
                  <c:v>151604674.8956137</c:v>
                </c:pt>
                <c:pt idx="1061">
                  <c:v>152100989.15098679</c:v>
                </c:pt>
                <c:pt idx="1062">
                  <c:v>152598928.21008217</c:v>
                </c:pt>
                <c:pt idx="1063">
                  <c:v>153098497.39208445</c:v>
                </c:pt>
                <c:pt idx="1064">
                  <c:v>153599702.03359181</c:v>
                </c:pt>
                <c:pt idx="1065">
                  <c:v>154102547.48867306</c:v>
                </c:pt>
                <c:pt idx="1066">
                  <c:v>154607039.12892494</c:v>
                </c:pt>
                <c:pt idx="1067">
                  <c:v>155113182.34352928</c:v>
                </c:pt>
                <c:pt idx="1068">
                  <c:v>155620982.53931078</c:v>
                </c:pt>
                <c:pt idx="1069">
                  <c:v>156130445.14079461</c:v>
                </c:pt>
                <c:pt idx="1070">
                  <c:v>156641575.59026444</c:v>
                </c:pt>
                <c:pt idx="1071">
                  <c:v>157154379.34782061</c:v>
                </c:pt>
                <c:pt idx="1072">
                  <c:v>157668861.89143834</c:v>
                </c:pt>
                <c:pt idx="1073">
                  <c:v>158185028.71702635</c:v>
                </c:pt>
                <c:pt idx="1074">
                  <c:v>158702885.33848557</c:v>
                </c:pt>
                <c:pt idx="1075">
                  <c:v>159222437.28776792</c:v>
                </c:pt>
                <c:pt idx="1076">
                  <c:v>159743690.11493555</c:v>
                </c:pt>
                <c:pt idx="1077">
                  <c:v>160266649.38822007</c:v>
                </c:pt>
                <c:pt idx="1078">
                  <c:v>160791320.69408202</c:v>
                </c:pt>
                <c:pt idx="1079">
                  <c:v>161317709.63727054</c:v>
                </c:pt>
                <c:pt idx="1080">
                  <c:v>161845821.84088328</c:v>
                </c:pt>
                <c:pt idx="1081">
                  <c:v>162375662.94642645</c:v>
                </c:pt>
                <c:pt idx="1082">
                  <c:v>162907238.61387509</c:v>
                </c:pt>
                <c:pt idx="1083">
                  <c:v>163440554.52173349</c:v>
                </c:pt>
                <c:pt idx="1084">
                  <c:v>163975616.36709595</c:v>
                </c:pt>
                <c:pt idx="1085">
                  <c:v>164512429.86570749</c:v>
                </c:pt>
                <c:pt idx="1086">
                  <c:v>165051000.75202507</c:v>
                </c:pt>
                <c:pt idx="1087">
                  <c:v>165591334.77927873</c:v>
                </c:pt>
                <c:pt idx="1088">
                  <c:v>166133437.71953306</c:v>
                </c:pt>
                <c:pt idx="1089">
                  <c:v>166677315.36374897</c:v>
                </c:pt>
                <c:pt idx="1090">
                  <c:v>167222973.5218454</c:v>
                </c:pt>
                <c:pt idx="1091">
                  <c:v>167770418.02276146</c:v>
                </c:pt>
                <c:pt idx="1092">
                  <c:v>168319654.71451873</c:v>
                </c:pt>
                <c:pt idx="1093">
                  <c:v>168870689.46428365</c:v>
                </c:pt>
                <c:pt idx="1094">
                  <c:v>169423528.15843022</c:v>
                </c:pt>
                <c:pt idx="1095">
                  <c:v>169978176.70260298</c:v>
                </c:pt>
                <c:pt idx="1096">
                  <c:v>170534641.02177992</c:v>
                </c:pt>
                <c:pt idx="1097">
                  <c:v>171092927.06033593</c:v>
                </c:pt>
                <c:pt idx="1098">
                  <c:v>171653040.78210622</c:v>
                </c:pt>
                <c:pt idx="1099">
                  <c:v>172214988.17045</c:v>
                </c:pt>
                <c:pt idx="1100">
                  <c:v>172778775.22831452</c:v>
                </c:pt>
                <c:pt idx="1101">
                  <c:v>173344407.97829905</c:v>
                </c:pt>
                <c:pt idx="1102">
                  <c:v>173911892.46271932</c:v>
                </c:pt>
                <c:pt idx="1103">
                  <c:v>174481234.74367201</c:v>
                </c:pt>
                <c:pt idx="1104">
                  <c:v>175052440.90309957</c:v>
                </c:pt>
                <c:pt idx="1105">
                  <c:v>175625517.04285505</c:v>
                </c:pt>
                <c:pt idx="1106">
                  <c:v>176200469.28476751</c:v>
                </c:pt>
                <c:pt idx="1107">
                  <c:v>176777303.77070716</c:v>
                </c:pt>
                <c:pt idx="1108">
                  <c:v>177356026.66265118</c:v>
                </c:pt>
                <c:pt idx="1109">
                  <c:v>177936644.14274943</c:v>
                </c:pt>
                <c:pt idx="1110">
                  <c:v>178519162.41339052</c:v>
                </c:pt>
                <c:pt idx="1111">
                  <c:v>179103587.69726807</c:v>
                </c:pt>
                <c:pt idx="1112">
                  <c:v>179689926.23744717</c:v>
                </c:pt>
                <c:pt idx="1113">
                  <c:v>180278184.29743108</c:v>
                </c:pt>
                <c:pt idx="1114">
                  <c:v>180868368.16122818</c:v>
                </c:pt>
                <c:pt idx="1115">
                  <c:v>181460484.13341898</c:v>
                </c:pt>
                <c:pt idx="1116">
                  <c:v>182054538.53922361</c:v>
                </c:pt>
                <c:pt idx="1117">
                  <c:v>182650537.72456932</c:v>
                </c:pt>
                <c:pt idx="1118">
                  <c:v>183248488.05615827</c:v>
                </c:pt>
                <c:pt idx="1119">
                  <c:v>183848395.92153552</c:v>
                </c:pt>
                <c:pt idx="1120">
                  <c:v>184450267.7291573</c:v>
                </c:pt>
                <c:pt idx="1121">
                  <c:v>185054109.90845948</c:v>
                </c:pt>
                <c:pt idx="1122">
                  <c:v>185659928.90992621</c:v>
                </c:pt>
                <c:pt idx="1123">
                  <c:v>186267731.20515886</c:v>
                </c:pt>
                <c:pt idx="1124">
                  <c:v>186877523.28694513</c:v>
                </c:pt>
                <c:pt idx="1125">
                  <c:v>187489311.66932842</c:v>
                </c:pt>
                <c:pt idx="1126">
                  <c:v>188103102.8876774</c:v>
                </c:pt>
                <c:pt idx="1127">
                  <c:v>188718903.49875584</c:v>
                </c:pt>
                <c:pt idx="1128">
                  <c:v>189336720.08079267</c:v>
                </c:pt>
                <c:pt idx="1129">
                  <c:v>189956559.23355222</c:v>
                </c:pt>
                <c:pt idx="1130">
                  <c:v>190578427.57840472</c:v>
                </c:pt>
                <c:pt idx="1131">
                  <c:v>191202331.75839707</c:v>
                </c:pt>
                <c:pt idx="1132">
                  <c:v>191828278.43832374</c:v>
                </c:pt>
                <c:pt idx="1133">
                  <c:v>192456274.30479801</c:v>
                </c:pt>
                <c:pt idx="1134">
                  <c:v>193086326.0663234</c:v>
                </c:pt>
                <c:pt idx="1135">
                  <c:v>193718440.45336536</c:v>
                </c:pt>
                <c:pt idx="1136">
                  <c:v>194352624.21842307</c:v>
                </c:pt>
                <c:pt idx="1137">
                  <c:v>194988884.13610166</c:v>
                </c:pt>
                <c:pt idx="1138">
                  <c:v>195627227.00318459</c:v>
                </c:pt>
                <c:pt idx="1139">
                  <c:v>196267659.63870618</c:v>
                </c:pt>
                <c:pt idx="1140">
                  <c:v>196910188.8840245</c:v>
                </c:pt>
                <c:pt idx="1141">
                  <c:v>197554821.60289443</c:v>
                </c:pt>
                <c:pt idx="1142">
                  <c:v>198201564.68154103</c:v>
                </c:pt>
                <c:pt idx="1143">
                  <c:v>198850425.02873304</c:v>
                </c:pt>
                <c:pt idx="1144">
                  <c:v>199501409.57585678</c:v>
                </c:pt>
                <c:pt idx="1145">
                  <c:v>200154525.27699003</c:v>
                </c:pt>
                <c:pt idx="1146">
                  <c:v>200809779.10897645</c:v>
                </c:pt>
                <c:pt idx="1147">
                  <c:v>201467178.07150009</c:v>
                </c:pt>
                <c:pt idx="1148">
                  <c:v>202126729.1871601</c:v>
                </c:pt>
                <c:pt idx="1149">
                  <c:v>202788439.50154585</c:v>
                </c:pt>
                <c:pt idx="1150">
                  <c:v>203452316.08331209</c:v>
                </c:pt>
                <c:pt idx="1151">
                  <c:v>204118366.02425453</c:v>
                </c:pt>
                <c:pt idx="1152">
                  <c:v>204786596.43938556</c:v>
                </c:pt>
                <c:pt idx="1153">
                  <c:v>205457014.46701029</c:v>
                </c:pt>
                <c:pt idx="1154">
                  <c:v>206129627.26880276</c:v>
                </c:pt>
                <c:pt idx="1155">
                  <c:v>206804442.02988249</c:v>
                </c:pt>
                <c:pt idx="1156">
                  <c:v>207481465.95889115</c:v>
                </c:pt>
                <c:pt idx="1157">
                  <c:v>208160706.28806973</c:v>
                </c:pt>
                <c:pt idx="1158">
                  <c:v>208842170.27333561</c:v>
                </c:pt>
                <c:pt idx="1159">
                  <c:v>209525865.1943602</c:v>
                </c:pt>
                <c:pt idx="1160">
                  <c:v>210211798.35464662</c:v>
                </c:pt>
                <c:pt idx="1161">
                  <c:v>210899977.08160782</c:v>
                </c:pt>
                <c:pt idx="1162">
                  <c:v>211590408.72664472</c:v>
                </c:pt>
                <c:pt idx="1163">
                  <c:v>212283100.66522488</c:v>
                </c:pt>
                <c:pt idx="1164">
                  <c:v>212978060.29696116</c:v>
                </c:pt>
                <c:pt idx="1165">
                  <c:v>213675295.04569089</c:v>
                </c:pt>
                <c:pt idx="1166">
                  <c:v>214374812.35955507</c:v>
                </c:pt>
                <c:pt idx="1167">
                  <c:v>215076619.71107796</c:v>
                </c:pt>
                <c:pt idx="1168">
                  <c:v>215780724.59724697</c:v>
                </c:pt>
                <c:pt idx="1169">
                  <c:v>216487134.53959268</c:v>
                </c:pt>
                <c:pt idx="1170">
                  <c:v>217195857.0842692</c:v>
                </c:pt>
                <c:pt idx="1171">
                  <c:v>217906899.80213475</c:v>
                </c:pt>
                <c:pt idx="1172">
                  <c:v>218620270.28883263</c:v>
                </c:pt>
                <c:pt idx="1173">
                  <c:v>219335976.16487226</c:v>
                </c:pt>
                <c:pt idx="1174">
                  <c:v>220054025.07571062</c:v>
                </c:pt>
                <c:pt idx="1175">
                  <c:v>220774424.69183397</c:v>
                </c:pt>
                <c:pt idx="1176">
                  <c:v>221497182.70883971</c:v>
                </c:pt>
                <c:pt idx="1177">
                  <c:v>222222306.84751862</c:v>
                </c:pt>
                <c:pt idx="1178">
                  <c:v>222949804.85393736</c:v>
                </c:pt>
                <c:pt idx="1179">
                  <c:v>223679684.49952117</c:v>
                </c:pt>
                <c:pt idx="1180">
                  <c:v>224411953.58113694</c:v>
                </c:pt>
                <c:pt idx="1181">
                  <c:v>225146619.92117649</c:v>
                </c:pt>
                <c:pt idx="1182">
                  <c:v>225883691.36764008</c:v>
                </c:pt>
                <c:pt idx="1183">
                  <c:v>226623175.79422027</c:v>
                </c:pt>
                <c:pt idx="1184">
                  <c:v>227365081.10038605</c:v>
                </c:pt>
                <c:pt idx="1185">
                  <c:v>228109415.21146727</c:v>
                </c:pt>
                <c:pt idx="1186">
                  <c:v>228856186.07873917</c:v>
                </c:pt>
                <c:pt idx="1187">
                  <c:v>229605401.67950746</c:v>
                </c:pt>
                <c:pt idx="1188">
                  <c:v>230357070.01719344</c:v>
                </c:pt>
                <c:pt idx="1189">
                  <c:v>231111199.12141949</c:v>
                </c:pt>
                <c:pt idx="1190">
                  <c:v>231867797.04809499</c:v>
                </c:pt>
                <c:pt idx="1191">
                  <c:v>232626871.87950215</c:v>
                </c:pt>
                <c:pt idx="1192">
                  <c:v>233388431.72438255</c:v>
                </c:pt>
                <c:pt idx="1193">
                  <c:v>234152484.71802369</c:v>
                </c:pt>
                <c:pt idx="1194">
                  <c:v>234919039.02234581</c:v>
                </c:pt>
                <c:pt idx="1195">
                  <c:v>235688102.82598922</c:v>
                </c:pt>
                <c:pt idx="1196">
                  <c:v>236459684.34440166</c:v>
                </c:pt>
                <c:pt idx="1197">
                  <c:v>237233791.81992611</c:v>
                </c:pt>
                <c:pt idx="1198">
                  <c:v>238010433.52188891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6E-9A48-BEC9-A713981C4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5276624"/>
        <c:axId val="1005278336"/>
      </c:lineChart>
      <c:dateAx>
        <c:axId val="10052766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5278336"/>
        <c:crosses val="autoZero"/>
        <c:auto val="1"/>
        <c:lblOffset val="100"/>
        <c:baseTimeUnit val="months"/>
      </c:dateAx>
      <c:valAx>
        <c:axId val="10052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527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0</xdr:row>
      <xdr:rowOff>31750</xdr:rowOff>
    </xdr:from>
    <xdr:to>
      <xdr:col>20</xdr:col>
      <xdr:colOff>0</xdr:colOff>
      <xdr:row>32</xdr:row>
      <xdr:rowOff>12700</xdr:rowOff>
    </xdr:to>
    <xdr:graphicFrame macro="">
      <xdr:nvGraphicFramePr>
        <xdr:cNvPr id="2" name="Gráfico 3">
          <a:extLst>
            <a:ext uri="{FF2B5EF4-FFF2-40B4-BE49-F238E27FC236}">
              <a16:creationId xmlns:a16="http://schemas.microsoft.com/office/drawing/2014/main" id="{0BA511BF-66CA-6F30-F195-18665AD6E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pedroorlandi/Library/Mobile%20Documents/com~apple~CloudDocs/Profissional/Ciklus/AppCiklus/APP_Ciklus_2025.xlsx" TargetMode="External"/><Relationship Id="rId1" Type="http://schemas.openxmlformats.org/officeDocument/2006/relationships/externalLinkPath" Target="APP_Ciklus_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suários"/>
      <sheetName val="Planejamento"/>
      <sheetName val="Membros"/>
      <sheetName val="Receitas"/>
      <sheetName val="Despesas"/>
      <sheetName val="Dependente 1"/>
      <sheetName val="Dependente 2"/>
      <sheetName val="Dependente 3"/>
      <sheetName val="Imóvel 1"/>
      <sheetName val="Imóvel 2"/>
      <sheetName val="Imóvel 3"/>
      <sheetName val="Projetos"/>
      <sheetName val="Seguros"/>
      <sheetName val="Dados"/>
      <sheetName val="DadosBI"/>
      <sheetName val="Gráfico"/>
      <sheetName val="Listas"/>
      <sheetName val="Indicadores_Econom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01">
          <cell r="CW1201">
            <v>87984896.410454199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">
      <keyFlags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core">
      <keyFlags>
        <key name="%EntityServiceId">
          <flag name="ShowInCardView" value="0"/>
          <flag name="ShowInDotNotation" value="0"/>
          <flag name="ShowInAutoComplete" value="0"/>
        </key>
        <key name="%EntitySubDomain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</types>
</rvTypesInfo>
</file>

<file path=xl/richData/rdarray.xml><?xml version="1.0" encoding="utf-8"?>
<arrayData xmlns="http://schemas.microsoft.com/office/spreadsheetml/2017/richdata2" count="2">
  <a r="1" c="2">
    <v t="i">0</v>
    <v t="i">1</v>
  </a>
  <a r="1" c="2">
    <v>5.5757000000000003</v>
    <v>5.5312999999999999</v>
  </a>
</arrayData>
</file>

<file path=xl/richData/rdrichvalue.xml><?xml version="1.0" encoding="utf-8"?>
<rvData xmlns="http://schemas.microsoft.com/office/spreadsheetml/2017/richdata" count="9">
  <rv s="0">
    <fb>5.5757000000000003</fb>
    <v>0</v>
  </rv>
  <rv s="1">
    <v>1</v>
    <v>2</v>
    <v>USD/BRL</v>
    <v>4</v>
    <v>5</v>
    <v>Finance</v>
    <v>6</v>
    <v>pt-BR</v>
    <v>avylgh</v>
    <v>268435456</v>
    <v>1</v>
    <v>Da plataforma Refinitiv</v>
    <v>6.3139000000000003</v>
    <v>5.3696000000000002</v>
    <v>5.5917000000000003</v>
    <v>5.5296000000000003</v>
    <v>USD</v>
    <v>5.5312999999999999</v>
    <v>45849.781527777777</v>
    <v>BRL</v>
    <v>US Dollar/Brazilian Real FX Spot Rate</v>
    <v>5.5316000000000001</v>
    <v>5.5456000000000003</v>
    <v>USDBRL</v>
    <v>Par de Moedas</v>
    <v>USD/BRL</v>
    <v>1.43E-2</v>
    <v>2.5850000000000001E-3</v>
  </rv>
  <rv s="2">
    <v>1</v>
  </rv>
  <rv s="1">
    <v>1</v>
    <v>2</v>
    <v>BRL/USD</v>
    <v>4</v>
    <v>7</v>
    <v>Finance</v>
    <v>6</v>
    <v>pt-BR</v>
    <v>av2elh</v>
    <v>268435456</v>
    <v>1</v>
    <v>Da plataforma Refinitiv</v>
    <v>0.1862</v>
    <v>0.15840000000000001</v>
    <v>0.18079999999999999</v>
    <v>0.17879999999999999</v>
    <v>BRL</v>
    <v>0.1807</v>
    <v>45849.781527777777</v>
    <v>USD</v>
    <v>Brazilian Real/US Dollar FX Cross Rate</v>
    <v>0.18079999999999999</v>
    <v>0.18029999999999999</v>
    <v>BRLUSD</v>
    <v>Par de Moedas</v>
    <v>BRL/USD</v>
    <v>-4.6999999999999999E-4</v>
    <v>-2.5999999999999999E-3</v>
  </rv>
  <rv s="2">
    <v>3</v>
  </rv>
  <rv s="0">
    <fb>45847</fb>
    <v>8</v>
  </rv>
  <rv s="0">
    <fb>45848</fb>
    <v>8</v>
  </rv>
  <rv s="0">
    <fb>5.5312999999999999</fb>
    <v>0</v>
  </rv>
  <rv s="3">
    <v>9</v>
    <v>avylgh</v>
    <v>Daily</v>
    <v>45847</v>
    <v>45848</v>
    <v>0</v>
    <v>1</v>
    <v>638877024000000000,638878563242659434,0</v>
    <v>0</v>
    <v>avylgh</v>
    <v>USDBRL</v>
    <v>1</v>
  </rv>
</rvData>
</file>

<file path=xl/richData/rdrichvaluestructure.xml><?xml version="1.0" encoding="utf-8"?>
<rvStructures xmlns="http://schemas.microsoft.com/office/spreadsheetml/2017/richdata" count="4">
  <s t="_formattednumber">
    <k n="_Format" t="spb"/>
  </s>
  <s t="_linkedentitycore">
    <k n="_CanonicalPropertyNames" t="spb"/>
    <k n="_Display" t="spb"/>
    <k n="_DisplayString" t="s"/>
    <k n="_Flags" t="spb"/>
    <k n="_Format" t="spb"/>
    <k n="_Icon" t="s"/>
    <k n="_SubLabel" t="spb"/>
    <k n="%EntityCulture" t="s"/>
    <k n="%EntityId" t="s"/>
    <k n="%EntityServiceId"/>
    <k n="%IsRefreshable" t="b"/>
    <k n="%ProviderInfo" t="s"/>
    <k n="52 semanas de alta"/>
    <k n="52 semanas de baixa"/>
    <k n="Alto"/>
    <k n="Baixo"/>
    <k n="Da moeda" t="s"/>
    <k n="Fechamento anterior"/>
    <k n="Hora da última transação"/>
    <k n="Moeda" t="s"/>
    <k n="Nome" t="s"/>
    <k n="Pendência"/>
    <k n="Preço"/>
    <k n="Símbolo do ticker" t="s"/>
    <k n="Tipo de instrumento" t="s"/>
    <k n="UniqueName" t="s"/>
    <k n="Variação"/>
    <k n="Variação (%)"/>
  </s>
  <s t="_linkedentity">
    <k n="%cvi" t="r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</s>
</rvStructures>
</file>

<file path=xl/richData/rdsupportingpropertybag.xml><?xml version="1.0" encoding="utf-8"?>
<supportingPropertyBags xmlns="http://schemas.microsoft.com/office/spreadsheetml/2017/richdata2">
  <spbArrays count="1">
    <a count="28">
      <v t="s">%EntityServiceId</v>
      <v t="s">_Format</v>
      <v t="s">%IsRefreshable</v>
      <v t="s">_CanonicalPropertyNames</v>
      <v t="s">%EntityCulture</v>
      <v t="s">%EntityId</v>
      <v t="s">_Icon</v>
      <v t="s">_Display</v>
      <v t="s">Nome</v>
      <v t="s">Preço</v>
      <v t="s">_SubLabel</v>
      <v t="s">Hora da última transação</v>
      <v t="s">Símbolo do ticker</v>
      <v t="s">Variação</v>
      <v t="s">Variação (%)</v>
      <v t="s">Moeda</v>
      <v t="s">Da moeda</v>
      <v t="s">Fechamento anterior</v>
      <v t="s">Pendência</v>
      <v t="s">Alto</v>
      <v t="s">Baixo</v>
      <v t="s">52 semanas de alta</v>
      <v t="s">52 semanas de baixa</v>
      <v t="s">Tipo de instrumento</v>
      <v t="s">_Flags</v>
      <v t="s">UniqueName</v>
      <v t="s">_DisplayString</v>
      <v t="s">%ProviderInfo</v>
    </a>
  </spbArrays>
  <spbData count="10">
    <spb s="0">
      <v>1</v>
    </spb>
    <spb s="1">
      <v>High</v>
      <v>Name</v>
      <v>Low</v>
      <v>Currency</v>
      <v>Price</v>
      <v>From currency</v>
      <v>Change</v>
      <v>Open</v>
      <v>UniqueName</v>
      <v>Change (%)</v>
      <v>%ProviderInfo</v>
      <v>Ticker symbol</v>
      <v>52 week high</v>
      <v>52 week low</v>
      <v>Previous close</v>
      <v>Instrument type</v>
      <v>Last trade time</v>
    </spb>
    <spb s="2">
      <v>0</v>
      <v>Name</v>
    </spb>
    <spb s="3">
      <v>0</v>
      <v>0</v>
      <v>0</v>
    </spb>
    <spb s="4">
      <v>3</v>
      <v>3</v>
    </spb>
    <spb s="5">
      <v>1</v>
      <v>2</v>
      <v>1</v>
      <v>1</v>
      <v>1</v>
      <v>1</v>
      <v>3</v>
      <v>4</v>
      <v>1</v>
      <v>1</v>
      <v>1</v>
      <v>5</v>
    </spb>
    <spb s="6">
      <v>GMT</v>
    </spb>
    <spb s="5">
      <v>6</v>
      <v>2</v>
      <v>6</v>
      <v>6</v>
      <v>6</v>
      <v>6</v>
      <v>3</v>
      <v>4</v>
      <v>6</v>
      <v>6</v>
      <v>6</v>
      <v>5</v>
    </spb>
    <spb s="0">
      <v>7</v>
    </spb>
    <spb s="7">
      <v>7</v>
      <v>1</v>
    </spb>
  </spbData>
</supportingPropertyBags>
</file>

<file path=xl/richData/rdsupportingpropertybagstructure.xml><?xml version="1.0" encoding="utf-8"?>
<spbStructures xmlns="http://schemas.microsoft.com/office/spreadsheetml/2017/richdata2" count="8">
  <s>
    <k n="_Self" t="i"/>
  </s>
  <s>
    <k n="Alto" t="s"/>
    <k n="Nome" t="s"/>
    <k n="Baixo" t="s"/>
    <k n="Moeda" t="s"/>
    <k n="Preço" t="s"/>
    <k n="Da moeda" t="s"/>
    <k n="Variação" t="s"/>
    <k n="Pendência" t="s"/>
    <k n="UniqueName" t="s"/>
    <k n="Variação (%)" t="s"/>
    <k n="%ProviderInfo" t="s"/>
    <k n="Símbolo do ticker" t="s"/>
    <k n="52 semanas de alta" t="s"/>
    <k n="52 semanas de baixa" t="s"/>
    <k n="Fechamento anterior" t="s"/>
    <k n="Tipo de instrumento" t="s"/>
    <k n="Hora da última transação" t="s"/>
  </s>
  <s>
    <k n="^Order" t="spba"/>
    <k n="TitleProperty" t="s"/>
  </s>
  <s>
    <k n="ShowInCardView" t="b"/>
    <k n="ShowInDotNotation" t="b"/>
    <k n="ShowInAutoComplete" t="b"/>
  </s>
  <s>
    <k n="UniqueName" t="spb"/>
    <k n="`%ProviderInfo" t="spb"/>
  </s>
  <s>
    <k n="Alto" t="i"/>
    <k n="Nome" t="i"/>
    <k n="Baixo" t="i"/>
    <k n="Preço" t="i"/>
    <k n="Variação" t="i"/>
    <k n="Pendência" t="i"/>
    <k n="Variação (%)" t="i"/>
    <k n="`%EntityServiceId" t="i"/>
    <k n="52 semanas de alta" t="i"/>
    <k n="52 semanas de baixa" t="i"/>
    <k n="Fechamento anterior" t="i"/>
    <k n="Hora da última transação" t="i"/>
  </s>
  <s>
    <k n="Hora da última transação" t="s"/>
  </s>
  <s>
    <k n="Date" t="i"/>
    <k n="Clos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5">
    <x:dxf>
      <x:numFmt numFmtId="2" formatCode="0.00"/>
    </x:dxf>
    <x:dxf>
      <x:numFmt numFmtId="0" formatCode="General"/>
    </x:dxf>
    <x:dxf>
      <x:numFmt numFmtId="27" formatCode="dd/mm/yyyy\ hh:mm"/>
    </x:dxf>
    <x:dxf>
      <x:numFmt numFmtId="14" formatCode="0.00%"/>
    </x:dxf>
    <x:dxf>
      <x:numFmt numFmtId="19" formatCode="dd/mm/yyyy"/>
    </x:dxf>
  </dxfs>
  <richProperties>
    <rPr n="NumberFormat" t="s"/>
    <rPr n="IsTitleField" t="b"/>
  </richProperties>
  <richStyles>
    <rSty dxfid="1">
      <rpv i="0">_-[$R$-pt-BR] * #,##0.00_-;-[$R$-pt-BR] * #,##0.00_-;_-[$R$-pt-BR] * "-"??_-;_-@_-</rpv>
    </rSty>
    <rSty>
      <rpv i="1">1</rpv>
    </rSty>
    <rSty dxfid="3"/>
    <rSty dxfid="0">
      <rpv i="0">0.00</rpv>
    </rSty>
    <rSty dxfid="2"/>
    <rSty dxfid="1">
      <rpv i="0">_([$$-en-US]* #,##0.00_);_([$$-en-US]* (#,##0.00);_([$$-en-US]* "-"??_);_(@_)</rpv>
    </rSty>
    <rSty dxfid="4"/>
  </richStyles>
</richStyleShee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3C722F-F75B-CB4D-AA6A-711FAAC18142}" name="Tabela3" displayName="Tabela3" ref="A1:K6" totalsRowShown="0" headerRowDxfId="115">
  <autoFilter ref="A1:K6" xr:uid="{9E3C722F-F75B-CB4D-AA6A-711FAAC18142}"/>
  <tableColumns count="11">
    <tableColumn id="1" xr3:uid="{C1214A06-5127-F347-BF1E-F09F7F3BFA1E}" name="Membro" dataDxfId="114" totalsRowDxfId="113"/>
    <tableColumn id="2" xr3:uid="{98D5B973-F643-D449-B4B3-B62B6883327C}" name="Tipo" dataDxfId="112" totalsRowDxfId="111"/>
    <tableColumn id="3" xr3:uid="{7571BC32-FEC9-B44E-A481-702F6F8333D3}" name="Data de Nascimento" dataDxfId="110" totalsRowDxfId="109"/>
    <tableColumn id="4" xr3:uid="{57D05E24-2E26-3046-97D7-D0EE0C268AA2}" name="Expec Vida ou Dependência (A)" dataDxfId="108" totalsRowDxfId="107"/>
    <tableColumn id="5" xr3:uid="{9396DE20-25E4-3E47-8ACE-DB01CF0BD43A}" name="Expectativa de Vida (Data)" dataDxfId="106" totalsRowDxfId="105"/>
    <tableColumn id="6" xr3:uid="{1D9723F1-8429-AD4B-A431-CC06B4C8F509}" name="Simulação Seguro" dataDxfId="104" totalsRowDxfId="103"/>
    <tableColumn id="7" xr3:uid="{33972CFC-3B0B-6142-A584-F6F84EAE70CD}" name="CS" dataDxfId="102" totalsRowDxfId="101">
      <calculatedColumnFormula>IFERROR(IF(F2="Não",0,(-NPV(Indicadores_Economicos!$D$3,Dados!X:X,)/COUNTIFS(Tabela3[Tipo],"Provedor",Tabela3[Simulação Seguro],"Sim"))-IF(COUNTIFS(Tabela3[Tipo],"Provedor",Tabela3[Simulação Seguro],"Sim")&lt;2,#REF!,#REF!/2)),0)</calculatedColumnFormula>
    </tableColumn>
    <tableColumn id="8" xr3:uid="{5146E28D-CE72-F241-A311-DAC3B7C2696F}" name="Tem Seguro" dataDxfId="100" totalsRowDxfId="99"/>
    <tableColumn id="9" xr3:uid="{F683EB53-BCB7-5D42-BAFC-31345C816936}" name="INSS Idade" totalsRowDxfId="98"/>
    <tableColumn id="10" xr3:uid="{4A3F9AD4-BB01-0B49-ADCD-8D5F7DC76DE3}" name="INSS Data" dataDxfId="97" totalsRowDxfId="96"/>
    <tableColumn id="11" xr3:uid="{B2909A96-9922-3C42-940D-B0CE79C51A8A}" name="INSS Valo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3021876-ED8F-8F40-84F6-AF0CA013A2FD}" name="Tabela4" displayName="Tabela4" ref="A1:Z6" totalsRowShown="0" headerRowDxfId="95" dataDxfId="93" headerRowBorderDxfId="94" tableBorderDxfId="92">
  <autoFilter ref="A1:Z6" xr:uid="{A3021876-ED8F-8F40-84F6-AF0CA013A2FD}"/>
  <sortState xmlns:xlrd2="http://schemas.microsoft.com/office/spreadsheetml/2017/richdata2" ref="A2:Z6">
    <sortCondition ref="A2:A6"/>
  </sortState>
  <tableColumns count="26">
    <tableColumn id="1" xr3:uid="{161869CE-3F87-AF49-B041-B8326BDF936F}" name="Nome" dataDxfId="91"/>
    <tableColumn id="2" xr3:uid="{69493629-B453-FF4F-AB51-3E7C042B6B9A}" name="Moeda" dataDxfId="90"/>
    <tableColumn id="3" xr3:uid="{30DD3D05-6695-D74D-B80E-012E8B7D3D70}" name="Valor_Patrimonial" dataDxfId="89"/>
    <tableColumn id="4" xr3:uid="{0670D325-2C9D-4F44-921B-F14A0AC55185}" name="Taxa_Valorizacao" dataDxfId="88"/>
    <tableColumn id="5" xr3:uid="{ADF0C1A3-42A2-BF49-8A40-92C0516E9348}" name="Data_Venda" dataDxfId="87"/>
    <tableColumn id="6" xr3:uid="{F34E464E-C98C-DD46-8BED-6778983FBD0F}" name="Financiamento" dataDxfId="86"/>
    <tableColumn id="7" xr3:uid="{24441EB3-EDED-1B4B-92A2-29F73ACC3032}" name="Renda%1" dataDxfId="85"/>
    <tableColumn id="8" xr3:uid="{8B97B265-DD29-A14F-BCC0-E1BD8C5CC424}" name="Renda%2" dataDxfId="84"/>
    <tableColumn id="9" xr3:uid="{79358EDA-D54B-E841-AF94-77349BA645D0}" name="Seguro" dataDxfId="83" dataCellStyle="Porcentagem">
      <calculatedColumnFormula>IF(VLOOKUP(Membros!$A$2,Membros!$A$2:$F$6,6,FALSE)="Não",G2,0)+IF(VLOOKUP(Membros!$A$3,Membros!$A$2:$F$6,6,FALSE)="Não",H2,0)</calculatedColumnFormula>
    </tableColumn>
    <tableColumn id="10" xr3:uid="{3117C54F-E2F2-D84A-9A46-B85BF029A9C0}" name="Valor_Aquisição" dataDxfId="82"/>
    <tableColumn id="11" xr3:uid="{F44EB799-E743-DB48-B157-4BDCA37AE81C}" name="Entrada" dataDxfId="81"/>
    <tableColumn id="12" xr3:uid="{70E09494-2A1F-364E-975B-5837CB5B921F}" name="Valor Financiado" dataDxfId="80">
      <calculatedColumnFormula>J2-K2</calculatedColumnFormula>
    </tableColumn>
    <tableColumn id="13" xr3:uid="{21A383B9-DA3B-3540-A200-87E65A02C556}" name="Taxa_Cambio" dataDxfId="79">
      <calculatedColumnFormula>IFERROR(HLOOKUP(B2,Indicadores_Economicos!$A$1:$B$2,2,FALSE),0)</calculatedColumnFormula>
    </tableColumn>
    <tableColumn id="14" xr3:uid="{A094CF01-3C8A-AE40-AE37-812DE99297F7}" name="Valor Financiado BRL" dataDxfId="78">
      <calculatedColumnFormula>IF(B2="BRL",L2,L2*M2)*Tabela4[[#This Row],[Seguro]]</calculatedColumnFormula>
    </tableColumn>
    <tableColumn id="15" xr3:uid="{C1256A59-AB61-C84B-A8A1-C3336AE18916}" name="Juros (Ano)" dataDxfId="77"/>
    <tableColumn id="16" xr3:uid="{F0DB464D-9063-874A-9027-2342B8709719}" name="Juros (Mês)" dataDxfId="76">
      <calculatedColumnFormula>(O2+1)^(1/12)-1</calculatedColumnFormula>
    </tableColumn>
    <tableColumn id="17" xr3:uid="{5B7F3D64-3995-8E48-BBE4-50B4752430C2}" name="Data _Inicio" dataDxfId="75"/>
    <tableColumn id="18" xr3:uid="{1672043A-64B7-504B-AA87-1296BB26BE58}" name="Prazo (Anos)" dataDxfId="74"/>
    <tableColumn id="19" xr3:uid="{85458CB4-4E70-9E40-ADBD-7B9F7C381DE2}" name="Prazo (Meses)" dataDxfId="73">
      <calculatedColumnFormula>R2*12</calculatedColumnFormula>
    </tableColumn>
    <tableColumn id="20" xr3:uid="{9396B657-E789-3641-ACC6-603F7139E16E}" name="Data Fim Vitalício" dataDxfId="72">
      <calculatedColumnFormula>IF(R2&gt;0,DATE(YEAR(Q2)+R2,MONTH(12)-1,DAY(1)),MAX(Membros!$E$2:$E$5))</calculatedColumnFormula>
    </tableColumn>
    <tableColumn id="21" xr3:uid="{E0FD4A86-E757-4A47-83D4-1E0413DD1C13}" name="1ª Parcela" dataDxfId="71">
      <calculatedColumnFormula>IFERROR(IF(F2="PRICE",PMT((O2+1)^(1/12)-1,S2,N2,0,0)*-1,N2/S2+N2*P2),0)</calculatedColumnFormula>
    </tableColumn>
    <tableColumn id="22" xr3:uid="{97BB09A1-9556-FA42-87F7-9ACCD38417E6}" name="Última_Parcela" dataDxfId="70">
      <calculatedColumnFormula>IFERROR(IF(F2="PRICE",U2,N2/S2+(N2/S2*P2)),0)</calculatedColumnFormula>
    </tableColumn>
    <tableColumn id="23" xr3:uid="{7A554D63-2CE9-8747-8C45-C59B5DA32347}" name="Saldo Devedor Price" dataDxfId="69">
      <calculatedColumnFormula>IFERROR(-FV(P2,DATEDIF(Q2,$E2,"m"),-U2,N2),0)*IF(E2&gt;T2,0,1)</calculatedColumnFormula>
    </tableColumn>
    <tableColumn id="24" xr3:uid="{7B2F35FE-732E-9A43-86CB-46A083F35726}" name="Saldo Devedor SAC" dataDxfId="68">
      <calculatedColumnFormula>IFERROR(N2/S2*(S2-DATEDIF(Q2,$E2,"m")),0)*IF(E2&gt;T2,0,1)</calculatedColumnFormula>
    </tableColumn>
    <tableColumn id="25" xr3:uid="{218DD2CC-D1F3-3A4E-94DE-3EBB79CAC865}" name="Saldo Devedor Considerado" dataDxfId="67">
      <calculatedColumnFormula>IF(F2="Price",W2,X2)</calculatedColumnFormula>
    </tableColumn>
    <tableColumn id="26" xr3:uid="{33ED708D-4DD7-5B42-8376-F54152F8F3AE}" name="Valor Patrimonial Valorizado" dataDxfId="66">
      <calculatedColumnFormula>IFERROR(-FV(D2,DATEDIF(Q2,E2,"m"),0,C2)*IF(B2="USD",M2,1),0)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871C6E-32B7-C64B-80F4-10108FEFCEAD}" name="Tabela1" displayName="Tabela1" ref="A1:N13" totalsRowShown="0" headerRowDxfId="65">
  <autoFilter ref="A1:N13" xr:uid="{A8871C6E-32B7-C64B-80F4-10108FEFCEAD}"/>
  <tableColumns count="14">
    <tableColumn id="1" xr3:uid="{93231062-614D-3E45-BD5F-7F022C097CAC}" name="ID_Receita"/>
    <tableColumn id="2" xr3:uid="{CFFC4A2D-986E-DC48-BD9C-B3D0E278C197}" name="Descricao" dataDxfId="64"/>
    <tableColumn id="13" xr3:uid="{E03ACBE5-A7AF-DA43-8C46-9DE9DD91C0DB}" name="Categoria" dataDxfId="63"/>
    <tableColumn id="12" xr3:uid="{483D6614-0DE4-C94C-BAB3-82C5CBAFDC27}" name="Valor" dataDxfId="62"/>
    <tableColumn id="5" xr3:uid="{57396925-87F4-6644-AA2E-FBA09A0D2464}" name="Moeda" dataDxfId="61"/>
    <tableColumn id="3" xr3:uid="{F060FC64-C746-7F49-96B4-193BE380B4E1}" name="Valor_BRL" dataDxfId="60">
      <calculatedColumnFormula>IF(E2="BRL",D2,D2*HLOOKUP(E2,Indicadores_Economicos!$A$1:$B$2,2,FALSE))*IF(Tabela1[[#This Row],[Segurada]]="Sim",0,1)</calculatedColumnFormula>
    </tableColumn>
    <tableColumn id="4" xr3:uid="{E0EE9924-EA8F-3649-ADA5-D5A1BDD70499}" name="Valor_USD" dataDxfId="59">
      <calculatedColumnFormula>IF(E2="USD",D2,D2*HLOOKUP(E2,Indicadores_Economicos!$A$1:$B$2,2,FALSE))</calculatedColumnFormula>
    </tableColumn>
    <tableColumn id="6" xr3:uid="{4E0C52AC-6584-044E-98C9-D9FC07C800B3}" name="Membro"/>
    <tableColumn id="14" xr3:uid="{5D6DC4B6-F71B-774E-9354-55AAB0B235B3}" name="Propriedade" dataDxfId="58"/>
    <tableColumn id="7" xr3:uid="{B1D60AA6-0F57-5B49-86A8-DA6B35E28D7D}" name="Data_Inicio" dataDxfId="57"/>
    <tableColumn id="10" xr3:uid="{E5538C92-81FB-9E4B-A5D6-D95A2990D717}" name="Prazo (A)" dataDxfId="56"/>
    <tableColumn id="8" xr3:uid="{2BE296A4-B559-BD4E-BDDD-5FCFA39326B3}" name="Data_Fim" dataDxfId="55">
      <calculatedColumnFormula>IF(K2&gt;0,DATE(YEAR(J2)+K2,MONTH(12)-1,DAY(1)),IF(I2=0,MAX(Membros!$E$2:$E$5),IF(VLOOKUP(I2,Imóveis!A:E,5,FALSE)&gt;0,VLOOKUP(I2,Imóveis!A:E,5,FALSE),MAX(Membros!$E$2:$E$5))))</calculatedColumnFormula>
    </tableColumn>
    <tableColumn id="9" xr3:uid="{D419E838-E18A-0742-A75B-E3C0F86109C9}" name="Periodicidade" dataDxfId="54"/>
    <tableColumn id="11" xr3:uid="{0818569B-D0A6-724E-8333-EFAE15BE26A5}" name="Segurada" dataDxfId="53">
      <calculatedColumnFormula>IFERROR(VLOOKUP(H2,Membros!$A$2:$F$6,6,FALSE),"")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9C39938-2B17-7340-B13A-C4862B4039D1}" name="Tabela6" displayName="Tabela6" ref="A1:N40" totalsRowShown="0" headerRowDxfId="52" dataDxfId="51">
  <autoFilter ref="A1:N40" xr:uid="{F9C39938-2B17-7340-B13A-C4862B4039D1}"/>
  <tableColumns count="14">
    <tableColumn id="1" xr3:uid="{DCED8796-85CA-C049-9068-A8176AE6A495}" name="ID_Receita" dataDxfId="50"/>
    <tableColumn id="2" xr3:uid="{15017F17-1BFD-8C4E-AB80-73E849940149}" name="Descricao" dataDxfId="49"/>
    <tableColumn id="13" xr3:uid="{530F1ED2-0D2C-C640-97F5-3648DB386CA8}" name="Categoria" dataDxfId="48"/>
    <tableColumn id="3" xr3:uid="{8BADD740-E6F3-CD40-A665-3488E6ED7111}" name="Valor" dataDxfId="47"/>
    <tableColumn id="4" xr3:uid="{C8E8FDAD-3690-D446-B251-5888C2DDE998}" name="Moeda" dataDxfId="46"/>
    <tableColumn id="5" xr3:uid="{791AE686-3313-DC47-81B1-7037FE9AEDBE}" name="Valor_BRL" dataDxfId="45"/>
    <tableColumn id="6" xr3:uid="{1ED51BDE-53A4-5F4F-9E97-18CAE72BB031}" name="Valor_USD" dataDxfId="44">
      <calculatedColumnFormula>IF(E2="USD",D2,D2*HLOOKUP(E2,Indicadores_Economicos!$A$1:$B$2,2,FALSE))</calculatedColumnFormula>
    </tableColumn>
    <tableColumn id="7" xr3:uid="{0712EB83-6B20-9A4B-AA35-CDB02FD003DE}" name="Membro" dataDxfId="43"/>
    <tableColumn id="14" xr3:uid="{74D77C38-145C-DC4A-8562-51670B76B931}" name="Propriedade" dataDxfId="42"/>
    <tableColumn id="8" xr3:uid="{59367696-7113-2B4B-9CA7-124D0C07DEF6}" name="Data_Inicio" dataDxfId="41"/>
    <tableColumn id="9" xr3:uid="{993FF1CC-2094-EB4E-955B-5BCD8C7AB7C6}" name="Prazo (A)" dataDxfId="40"/>
    <tableColumn id="10" xr3:uid="{4D1EDFED-73B8-4241-83B2-D50EE1CDA752}" name="Data_Fim" dataDxfId="39">
      <calculatedColumnFormula array="1">IF(K2&gt;0,DATE(YEAR(J2)+K2,MONTH(12)-1,DAY(1)),IF(I2=0,IF(COUNTIFS(Tabela3[Tipo],"Provedor",Tabela3[Simulação Seguro],"Sim")=2,MAX(IF(Tabela3[Tipo]="Dependente",Tabela3[Expectativa de Vida (Data)])),MAX(Membros!$E$2:$E$5)),IF(VLOOKUP(I2,Imóveis!A:E,5,FALSE)&gt;0,VLOOKUP(I2,Imóveis!A:E,5,FALSE),MAX(Membros!$E$2:$E$5))))</calculatedColumnFormula>
    </tableColumn>
    <tableColumn id="11" xr3:uid="{ED7D4725-8113-0D4A-9A63-E8A9F4858AA7}" name="Periodicidade" dataDxfId="38"/>
    <tableColumn id="12" xr3:uid="{66DC1D9B-4E60-9048-B773-60C038D92B61}" name="Segurada" dataDxfId="37">
      <calculatedColumnFormula>IFERROR(VLOOKUP(H2,Membros!$A$2:$F$6,6,FALSE),"")</calculatedColumnFormula>
    </tableColumn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29A1C58-DC9E-4B4B-8868-8CC093E53008}" name="Tabela2" displayName="Tabela2" ref="G1:G4" totalsRowShown="0">
  <autoFilter ref="G1:G4" xr:uid="{029A1C58-DC9E-4B4B-8868-8CC093E53008}"/>
  <tableColumns count="1">
    <tableColumn id="1" xr3:uid="{21152A1C-4C05-624A-8290-128893B27AA2}" name="MOEDA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8F8FFFC-09DB-C849-AAA5-0351C975AF07}" name="Tabela5" displayName="Tabela5" ref="A1:A6" totalsRowShown="0">
  <autoFilter ref="A1:A6" xr:uid="{98F8FFFC-09DB-C849-AAA5-0351C975AF07}"/>
  <sortState xmlns:xlrd2="http://schemas.microsoft.com/office/spreadsheetml/2017/richdata2" ref="A2:A6">
    <sortCondition ref="A4:A6"/>
  </sortState>
  <tableColumns count="1">
    <tableColumn id="1" xr3:uid="{C2C3DDC1-F0A2-4142-8F1E-9D32F10B09CD}" name="Categoria_Despesa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030408B-C2E3-BF4F-9C78-C26D2404C931}" name="Tabela9" displayName="Tabela9" ref="C1:C4" totalsRowShown="0">
  <autoFilter ref="C1:C4" xr:uid="{E030408B-C2E3-BF4F-9C78-C26D2404C931}"/>
  <tableColumns count="1">
    <tableColumn id="1" xr3:uid="{3031E02C-F4B5-BE4A-AE96-C46E2E097079}" name="Categoria_Receita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3DAA830-45A3-3043-9502-D0BDEE59E9A3}" name="Tabela7" displayName="Tabela7" ref="E1:E14" totalsRowShown="0">
  <autoFilter ref="E1:E14" xr:uid="{23DAA830-45A3-3043-9502-D0BDEE59E9A3}"/>
  <tableColumns count="1">
    <tableColumn id="1" xr3:uid="{2B41C894-765E-B346-BF41-B62D5888CEFC}" name="Mese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CB43756-D7BE-0346-940D-10DF4C2B30D7}" name="Tabela16" displayName="Tabela16" ref="I1:I3" totalsRowShown="0" dataDxfId="36">
  <autoFilter ref="I1:I3" xr:uid="{6CB43756-D7BE-0346-940D-10DF4C2B30D7}"/>
  <tableColumns count="1">
    <tableColumn id="1" xr3:uid="{0B48CE65-1EE2-E84F-AD14-A85EF123ACF4}" name="CAMBIOS" dataDxfId="3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F1787CB-F743-3C48-A4FB-C1CF51D1BFDE}" name="Tabela17" displayName="Tabela17" ref="K1:K3" totalsRowShown="0">
  <autoFilter ref="K1:K3" xr:uid="{5F1787CB-F743-3C48-A4FB-C1CF51D1BFDE}"/>
  <tableColumns count="1">
    <tableColumn id="1" xr3:uid="{6387E4D1-ED15-C94C-B08A-CB705ED06EAF}" name="Coberturas Seguros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92F566A-C635-CE4D-8592-1DBA876232B2}" name="Tabela18" displayName="Tabela18" ref="M1:M3" totalsRowShown="0">
  <autoFilter ref="M1:M3" xr:uid="{692F566A-C635-CE4D-8592-1DBA876232B2}"/>
  <tableColumns count="1">
    <tableColumn id="1" xr3:uid="{55BD4361-55C0-064F-9299-F69486FA362C}" name="Sinistro Seguro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AB503C2-D7F1-644E-8F54-C99960924E06}" name="Tabela121" displayName="Tabela121" ref="S1:S5" totalsRowShown="0">
  <autoFilter ref="S1:S5" xr:uid="{4AB503C2-D7F1-644E-8F54-C99960924E06}"/>
  <sortState xmlns:xlrd2="http://schemas.microsoft.com/office/spreadsheetml/2017/richdata2" ref="S2:S4">
    <sortCondition ref="S4"/>
  </sortState>
  <tableColumns count="1">
    <tableColumn id="1" xr3:uid="{5FA5D5AD-1051-2841-8289-E478F686F553}" name="Frequenc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09518AF-4C24-1240-BB99-C6110AB231B8}" name="Tabela222" displayName="Tabela222" ref="U1:U3" totalsRowShown="0" headerRowDxfId="34">
  <autoFilter ref="U1:U3" xr:uid="{B09518AF-4C24-1240-BB99-C6110AB231B8}"/>
  <tableColumns count="1">
    <tableColumn id="1" xr3:uid="{BC897BBF-580B-724A-BF3D-E1C9BD3E335A}" name="SeriesType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87A4218-FA30-344D-A143-2310885F0D23}" name="Tabela22" displayName="Tabela22" ref="O1:Q262" totalsRowShown="0">
  <autoFilter ref="O1:Q262" xr:uid="{287A4218-FA30-344D-A143-2310885F0D23}"/>
  <tableColumns count="3">
    <tableColumn id="1" xr3:uid="{1F986802-5EB5-7F42-A1A4-0AE4DE31B243}" name="Security ID"/>
    <tableColumn id="2" xr3:uid="{C504A40D-2B15-3F40-B84E-CCE26A477D0C}" name="Security Name"/>
    <tableColumn id="3" xr3:uid="{D7024DB5-19FB-2D48-AB07-07F9C0800A0A}" name="Class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382D2D1-3799-E041-AE05-1D376F1F57A0}" name="Tabela520" displayName="Tabela520" ref="A1:K44" dataDxfId="33" tableBorderDxfId="32" dataCellStyle="Porcentagem">
  <autoFilter ref="A1:K44" xr:uid="{7A78BB5A-B7F2-7E48-A9AD-B5D3062D90A3}"/>
  <sortState xmlns:xlrd2="http://schemas.microsoft.com/office/spreadsheetml/2017/richdata2" ref="A2:K27">
    <sortCondition ref="A2:A27"/>
  </sortState>
  <tableColumns count="11">
    <tableColumn id="1" xr3:uid="{3894679D-876F-894B-8C79-8F37DF0AC7B9}" name="Seq" totalsRowLabel="Total" dataDxfId="31" totalsRowDxfId="30"/>
    <tableColumn id="15" xr3:uid="{8D430FA1-FE3B-A348-816F-106A3143A38B}" name="Portfolio" dataDxfId="29" totalsRowDxfId="28"/>
    <tableColumn id="14" xr3:uid="{2960DFF5-F64C-DF4E-8805-C42E5B6A9813}" name="Security ID2" dataDxfId="27" totalsRowDxfId="26"/>
    <tableColumn id="2" xr3:uid="{D4389DE7-3502-8143-826A-A1E8FB46A15F}" name="ATIVO" dataDxfId="25" totalsRowDxfId="24"/>
    <tableColumn id="3" xr3:uid="{795292DF-416E-4C40-AF48-3096A2FD4BC5}" name="Asset Class AZFLOW" dataDxfId="23" totalsRowDxfId="22"/>
    <tableColumn id="4" xr3:uid="{F04135DD-3AD8-924D-BAFE-66E7D6067AC9}" name="MOEDA" dataDxfId="21" totalsRowDxfId="20"/>
    <tableColumn id="19" xr3:uid="{9B82BD71-C793-4844-AE82-DEF46D9F67CA}" name="% MOEDA" dataDxfId="19" totalsRowDxfId="18"/>
    <tableColumn id="5" xr3:uid="{99F25CA2-DC81-F64B-9C41-4420EA96313D}" name="ALOC MOEDA" dataDxfId="17" totalsRowDxfId="16"/>
    <tableColumn id="9" xr3:uid="{B385CF82-2FCF-7448-BFAF-9ED5C851C7D1}" name="PESO GLOBAL MIN" dataDxfId="15" totalsRowDxfId="14" dataCellStyle="Porcentagem">
      <calculatedColumnFormula>J2*0.8</calculatedColumnFormula>
    </tableColumn>
    <tableColumn id="10" xr3:uid="{4C7B3DC2-C6EC-AB47-965F-6D4BAB530AD6}" name="PESO GLOBAL ALVO" dataDxfId="13" totalsRowDxfId="12" dataCellStyle="Porcentagem">
      <calculatedColumnFormula>Tabela520[[#This Row],[% MOEDA]]*Tabela520[[#This Row],[ALOC MOEDA]]</calculatedColumnFormula>
    </tableColumn>
    <tableColumn id="11" xr3:uid="{C6B87E87-AA31-AC40-9A4F-F1B1F39D23A1}" name="PESO GLOBAL MAX" dataDxfId="11" totalsRowDxfId="10" dataCellStyle="Porcentagem">
      <calculatedColumnFormula>J2*1.2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570858B-083A-1147-8DB8-5747D60F1C9C}">
  <we:reference id="wa200005506" version="1.13.1.0" store="pt-BR" storeType="OMEX"/>
  <we:alternateReferences>
    <we:reference id="wa200005506" version="1.13.1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_xldudf_CORE_BENCHMARKS_LIST</we:customFunctionIds>
        <we:customFunctionIds>_xldudf_CORE_BENCHMARKS</we:customFunctionIds>
        <we:customFunctionIds>_xldudf_CORE_BROKERS_LIST</we:customFunctionIds>
        <we:customFunctionIds>_xldudf_CORE_BROKERS_READ</we:customFunctionIds>
        <we:customFunctionIds>_xldudf_CORE_ECONOMIC_GROUPS_LIST</we:customFunctionIds>
        <we:customFunctionIds>_xldudf_CORE_ECONOMIC_GROUPS_PNL</we:customFunctionIds>
        <we:customFunctionIds>_xldudf_CORE_ECONOMIC_GROUPS_TWR</we:customFunctionIds>
        <we:customFunctionIds>_xldudf_CORE_ECONOMIC_GROUPS_NAV</we:customFunctionIds>
        <we:customFunctionIds>_xldudf_CORE_ECONOMIC_GROUPS_SECURITY_EVENTS</we:customFunctionIds>
        <we:customFunctionIds>_xldudf_CORE_ECONOMIC_GROUPS_TRANSACTIONS</we:customFunctionIds>
        <we:customFunctionIds>_xldudf_CORE_ECONOMIC_GROUPS_INVESTED_AMOUNT</we:customFunctionIds>
        <we:customFunctionIds>_xldudf_CORE_ECONOMIC_GROUPS_POSITIONS_LIST</we:customFunctionIds>
        <we:customFunctionIds>_xldudf_CORE_ECONOMIC_GROUPS_POSITIONS_AVERAGE_PRICES</we:customFunctionIds>
        <we:customFunctionIds>_xldudf_CORE_ECONOMIC_GROUPS_POSITIONS_IRR</we:customFunctionIds>
        <we:customFunctionIds>_xldudf_CORE_ECONOMIC_GROUPS_POSITIONS_MARKET_VALUES</we:customFunctionIds>
        <we:customFunctionIds>_xldudf_CORE_ECONOMIC_GROUPS_POSITIONS_PNL</we:customFunctionIds>
        <we:customFunctionIds>_xldudf_CORE_ECONOMIC_GROUPS_POSITIONS_TWR</we:customFunctionIds>
        <we:customFunctionIds>_xldudf_CORE_ECONOMIC_GROUPS_POSITIONS_SECURITY_PRICES</we:customFunctionIds>
        <we:customFunctionIds>_xldudf_CORE_ECONOMIC_GROUPS_POSITIONS_INVESTED_AMOUNT</we:customFunctionIds>
        <we:customFunctionIds>_xldudf_CORE_ISSUERS_LIST</we:customFunctionIds>
        <we:customFunctionIds>_xldudf_CORE_ISSUERS_READ</we:customFunctionIds>
        <we:customFunctionIds>_xldudf_CORE_PORTFOLIOS_READ</we:customFunctionIds>
        <we:customFunctionIds>_xldudf_CORE_PORTFOLIOS_LIST</we:customFunctionIds>
        <we:customFunctionIds>_xldudf_CORE_PORTFOLIOS_NAV</we:customFunctionIds>
        <we:customFunctionIds>_xldudf_CORE_PORTFOLIOS_PNL</we:customFunctionIds>
        <we:customFunctionIds>_xldudf_CORE_PORTFOLIOS_TWR</we:customFunctionIds>
        <we:customFunctionIds>_xldudf_CORE_PORTFOLIOS_SECURITY_EVENTS</we:customFunctionIds>
        <we:customFunctionIds>_xldudf_CORE_PORTFOLIOS_INVESTED_AMOUNT</we:customFunctionIds>
        <we:customFunctionIds>_xldudf_CORE_POSITIONS_LIST</we:customFunctionIds>
        <we:customFunctionIds>_xldudf_CORE_POSITIONS_MARKETVALUES</we:customFunctionIds>
        <we:customFunctionIds>_xldudf_CORE_POSITIONS_PNL</we:customFunctionIds>
        <we:customFunctionIds>_xldudf_CORE_POSITIONS_IRR</we:customFunctionIds>
        <we:customFunctionIds>_xldudf_CORE_POSITIONS_TWR</we:customFunctionIds>
        <we:customFunctionIds>_xldudf_CORE_POSITIONS_SECURITYPRICES</we:customFunctionIds>
        <we:customFunctionIds>_xldudf_CORE_POSITIONS_AVERAGEPRICES</we:customFunctionIds>
        <we:customFunctionIds>_xldudf_CORE_POSITIONS_INVESTED_AMOUNT</we:customFunctionIds>
        <we:customFunctionIds>_xldudf_CORE_POSITIONS_DIVIDEND_YIELD</we:customFunctionIds>
        <we:customFunctionIds>_xldudf_CORE_SECURITIES_LIST</we:customFunctionIds>
        <we:customFunctionIds>_xldudf_CORE_SECURITIES_READ</we:customFunctionIds>
        <we:customFunctionIds>_xldudf_CORE_TRANSACTIONS_LIST</we:customFunctionIds>
        <we:customFunctionIds>_xldudf_CORE_SECURITIES_PRICES_LIST</we:customFunctionIds>
        <we:customFunctionIds>_xldudf_CORE_SECURITIES_PRICE_CONVERSIONS</we:customFunctionIds>
      </we:customFunctionIdList>
    </a:ext>
  </we:extLst>
</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10" Type="http://schemas.openxmlformats.org/officeDocument/2006/relationships/table" Target="../tables/table14.xml"/><Relationship Id="rId4" Type="http://schemas.openxmlformats.org/officeDocument/2006/relationships/table" Target="../tables/table8.xml"/><Relationship Id="rId9" Type="http://schemas.openxmlformats.org/officeDocument/2006/relationships/table" Target="../tables/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27EC0-40B4-2442-A4F3-EB21E04C8099}">
  <dimension ref="A1:D4"/>
  <sheetViews>
    <sheetView zoomScale="213" workbookViewId="0">
      <selection activeCell="D9" sqref="D9"/>
    </sheetView>
  </sheetViews>
  <sheetFormatPr baseColWidth="10" defaultRowHeight="16" x14ac:dyDescent="0.2"/>
  <cols>
    <col min="2" max="2" width="14.5" bestFit="1" customWidth="1"/>
    <col min="3" max="3" width="13.6640625" bestFit="1" customWidth="1"/>
  </cols>
  <sheetData>
    <row r="1" spans="1:4" x14ac:dyDescent="0.2">
      <c r="A1" s="35" t="s">
        <v>138</v>
      </c>
      <c r="B1" s="35" t="s">
        <v>0</v>
      </c>
      <c r="C1" s="35" t="s">
        <v>128</v>
      </c>
      <c r="D1" s="35" t="s">
        <v>130</v>
      </c>
    </row>
    <row r="2" spans="1:4" x14ac:dyDescent="0.2">
      <c r="A2" t="s">
        <v>139</v>
      </c>
      <c r="B2" t="s">
        <v>129</v>
      </c>
      <c r="C2" t="s">
        <v>131</v>
      </c>
    </row>
    <row r="3" spans="1:4" x14ac:dyDescent="0.2">
      <c r="A3" t="s">
        <v>140</v>
      </c>
      <c r="B3" t="s">
        <v>132</v>
      </c>
      <c r="C3" t="s">
        <v>133</v>
      </c>
    </row>
    <row r="4" spans="1:4" x14ac:dyDescent="0.2">
      <c r="A4" t="s">
        <v>141</v>
      </c>
      <c r="B4" t="s">
        <v>134</v>
      </c>
      <c r="C4" t="s">
        <v>135</v>
      </c>
    </row>
  </sheetData>
  <phoneticPr fontId="2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38A9B-C41C-DD44-A093-698FFDECFF5F}">
  <dimension ref="A1:C2"/>
  <sheetViews>
    <sheetView zoomScale="231" workbookViewId="0">
      <selection activeCell="C9" sqref="C9"/>
    </sheetView>
  </sheetViews>
  <sheetFormatPr baseColWidth="10" defaultRowHeight="16" x14ac:dyDescent="0.2"/>
  <cols>
    <col min="1" max="1" width="15.33203125" bestFit="1" customWidth="1"/>
    <col min="2" max="2" width="15.5" bestFit="1" customWidth="1"/>
    <col min="3" max="3" width="40" bestFit="1" customWidth="1"/>
  </cols>
  <sheetData>
    <row r="1" spans="1:3" x14ac:dyDescent="0.2">
      <c r="A1" s="35" t="s">
        <v>142</v>
      </c>
      <c r="B1" s="35" t="s">
        <v>0</v>
      </c>
      <c r="C1" s="35" t="s">
        <v>136</v>
      </c>
    </row>
    <row r="2" spans="1:3" x14ac:dyDescent="0.2">
      <c r="A2" t="s">
        <v>193</v>
      </c>
      <c r="B2" t="s">
        <v>137</v>
      </c>
      <c r="C2" t="s">
        <v>194</v>
      </c>
    </row>
  </sheetData>
  <phoneticPr fontId="2" type="noConversion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9A927-0EB9-7D4B-87D1-C83323442B4F}">
  <sheetPr codeName="Planilha1"/>
  <dimension ref="A1:K6"/>
  <sheetViews>
    <sheetView topLeftCell="D1" zoomScale="241" workbookViewId="0">
      <selection activeCell="F10" sqref="F10"/>
    </sheetView>
  </sheetViews>
  <sheetFormatPr baseColWidth="10" defaultRowHeight="16" x14ac:dyDescent="0.2"/>
  <cols>
    <col min="1" max="2" width="10.83203125" style="3"/>
    <col min="3" max="3" width="13.83203125" style="3" customWidth="1"/>
    <col min="4" max="4" width="26.83203125" style="3" customWidth="1"/>
    <col min="5" max="5" width="22.83203125" style="3" customWidth="1"/>
    <col min="6" max="6" width="16.33203125" style="3" customWidth="1"/>
    <col min="7" max="7" width="11.1640625" style="3" customWidth="1"/>
    <col min="8" max="8" width="11.5" style="3" customWidth="1"/>
    <col min="9" max="9" width="10.5" style="3" customWidth="1"/>
    <col min="10" max="10" width="10.83203125" customWidth="1"/>
    <col min="11" max="11" width="10.1640625" customWidth="1"/>
  </cols>
  <sheetData>
    <row r="1" spans="1:11" s="31" customFormat="1" ht="32" customHeight="1" x14ac:dyDescent="0.2">
      <c r="A1" s="37" t="s">
        <v>4</v>
      </c>
      <c r="B1" s="35" t="s">
        <v>14</v>
      </c>
      <c r="C1" s="36" t="s">
        <v>1</v>
      </c>
      <c r="D1" s="36" t="s">
        <v>126</v>
      </c>
      <c r="E1" s="36" t="s">
        <v>125</v>
      </c>
      <c r="F1" s="36" t="s">
        <v>118</v>
      </c>
      <c r="G1" s="35" t="s">
        <v>119</v>
      </c>
      <c r="H1" s="35" t="s">
        <v>124</v>
      </c>
      <c r="I1" s="35" t="s">
        <v>122</v>
      </c>
      <c r="J1" s="35" t="s">
        <v>120</v>
      </c>
      <c r="K1" s="35" t="s">
        <v>121</v>
      </c>
    </row>
    <row r="2" spans="1:11" x14ac:dyDescent="0.2">
      <c r="A2" s="3" t="s">
        <v>11</v>
      </c>
      <c r="B2" s="13" t="s">
        <v>23</v>
      </c>
      <c r="C2" s="6">
        <v>32874</v>
      </c>
      <c r="D2" s="18">
        <v>100</v>
      </c>
      <c r="E2" s="16">
        <f>DATE(YEAR(C2)+D2,12,28)</f>
        <v>69760</v>
      </c>
      <c r="F2" s="13" t="s">
        <v>113</v>
      </c>
      <c r="G2" s="19">
        <f>IFERROR(IF(F2="Não",0,(-NPV(Indicadores_Economicos!$D$3,Dados!X:X,)/COUNTIFS(Tabela3[Tipo],"Provedor",Tabela3[Simulação Seguro],"Sim"))-IF(COUNTIFS(Tabela3[Tipo],"Provedor",Tabela3[Simulação Seguro],"Sim")&lt;2,#REF!,#REF!/2)),0)</f>
        <v>0</v>
      </c>
      <c r="H2" s="13" t="s">
        <v>112</v>
      </c>
      <c r="I2" s="3">
        <v>65</v>
      </c>
      <c r="J2" s="32">
        <f>DATE(YEAR(C2)+I2,12,28)</f>
        <v>56976</v>
      </c>
      <c r="K2" s="5">
        <v>5000</v>
      </c>
    </row>
    <row r="3" spans="1:11" x14ac:dyDescent="0.2">
      <c r="A3" s="3" t="s">
        <v>12</v>
      </c>
      <c r="B3" s="13" t="s">
        <v>23</v>
      </c>
      <c r="C3" s="6">
        <v>34700</v>
      </c>
      <c r="D3" s="18">
        <v>100</v>
      </c>
      <c r="E3" s="16">
        <f>DATE(YEAR(C3)+D3,12,28)</f>
        <v>71586</v>
      </c>
      <c r="F3" s="13" t="s">
        <v>113</v>
      </c>
      <c r="G3" s="19">
        <f>IFERROR(IF(F3="Não",0,(-NPV(Indicadores_Economicos!$D$3,Dados!X:X,)/COUNTIFS(Tabela3[Tipo],"Provedor",Tabela3[Simulação Seguro],"Sim"))-IF(COUNTIFS(Tabela3[Tipo],"Provedor",Tabela3[Simulação Seguro],"Sim")&lt;2,#REF!,#REF!/2)),0)</f>
        <v>0</v>
      </c>
      <c r="H3" s="13" t="s">
        <v>112</v>
      </c>
      <c r="I3" s="3">
        <v>60</v>
      </c>
      <c r="J3" s="32">
        <f>DATE(YEAR(C3)+I3,12,28)</f>
        <v>56976</v>
      </c>
      <c r="K3" s="5">
        <v>5000</v>
      </c>
    </row>
    <row r="4" spans="1:11" x14ac:dyDescent="0.2">
      <c r="A4" s="3" t="s">
        <v>76</v>
      </c>
      <c r="B4" s="13" t="s">
        <v>24</v>
      </c>
      <c r="C4" s="6">
        <v>43831</v>
      </c>
      <c r="D4" s="18">
        <v>25</v>
      </c>
      <c r="E4" s="16">
        <f>DATE(YEAR(C4)+D4,12,28)</f>
        <v>53324</v>
      </c>
      <c r="F4" s="13" t="s">
        <v>113</v>
      </c>
      <c r="G4" s="19">
        <f>IFERROR(IF(F4="Não",0,(-NPV(Indicadores_Economicos!$D$3,Dados!X:X,)/COUNTIFS(Tabela3[Tipo],"Provedor",Tabela3[Simulação Seguro],"Sim"))-IF(COUNTIFS(Tabela3[Tipo],"Provedor",Tabela3[Simulação Seguro],"Sim")&lt;2,#REF!,#REF!/2)),0)</f>
        <v>0</v>
      </c>
      <c r="H4" s="13" t="s">
        <v>113</v>
      </c>
      <c r="I4"/>
      <c r="J4" s="32">
        <f>DATE(YEAR(C4)+21,12,28)</f>
        <v>51863</v>
      </c>
    </row>
    <row r="5" spans="1:11" x14ac:dyDescent="0.2">
      <c r="A5" s="3" t="s">
        <v>77</v>
      </c>
      <c r="B5" s="13" t="s">
        <v>24</v>
      </c>
      <c r="C5" s="6">
        <v>40544</v>
      </c>
      <c r="D5" s="18">
        <v>25</v>
      </c>
      <c r="E5" s="16">
        <f>DATE(YEAR(C5)+D5,12,28)</f>
        <v>50037</v>
      </c>
      <c r="F5" s="13" t="s">
        <v>113</v>
      </c>
      <c r="G5" s="19">
        <f>IFERROR(IF(F5="Não",0,(-NPV(Indicadores_Economicos!$D$3,Dados!X:X,)/COUNTIFS(Tabela3[Tipo],"Provedor",Tabela3[Simulação Seguro],"Sim"))-IF(COUNTIFS(Tabela3[Tipo],"Provedor",Tabela3[Simulação Seguro],"Sim")&lt;2,#REF!,#REF!/2)),0)</f>
        <v>0</v>
      </c>
      <c r="H5" s="13" t="s">
        <v>113</v>
      </c>
      <c r="I5"/>
      <c r="J5" s="32">
        <f>DATE(YEAR(C5)+21,12,28)</f>
        <v>48576</v>
      </c>
    </row>
    <row r="6" spans="1:11" x14ac:dyDescent="0.2">
      <c r="A6" s="3" t="s">
        <v>100</v>
      </c>
      <c r="B6" s="13" t="s">
        <v>24</v>
      </c>
      <c r="C6" s="6">
        <v>41275</v>
      </c>
      <c r="D6" s="18">
        <v>25</v>
      </c>
      <c r="E6" s="16">
        <f>DATE(YEAR(C6)+D6,12,28)</f>
        <v>50767</v>
      </c>
      <c r="F6" s="13" t="s">
        <v>113</v>
      </c>
      <c r="G6" s="19">
        <f>IFERROR(IF(F6="Não",0,(-NPV(Indicadores_Economicos!$D$3,Dados!X:X,)/COUNTIFS(Tabela3[Tipo],"Provedor",Tabela3[Simulação Seguro],"Sim"))-IF(COUNTIFS(Tabela3[Tipo],"Provedor",Tabela3[Simulação Seguro],"Sim")&lt;2,#REF!,#REF!/2)),0)</f>
        <v>0</v>
      </c>
      <c r="H6" s="13" t="s">
        <v>113</v>
      </c>
      <c r="I6"/>
      <c r="J6" s="32">
        <f>DATE(YEAR(C6)+21,12,28)</f>
        <v>49306</v>
      </c>
    </row>
  </sheetData>
  <conditionalFormatting sqref="F2:F6 H2:H6">
    <cfRule type="containsText" dxfId="9" priority="2" operator="containsText" text="Sim">
      <formula>NOT(ISERROR(SEARCH("Sim",F2)))</formula>
    </cfRule>
  </conditionalFormatting>
  <dataValidations count="1">
    <dataValidation type="list" allowBlank="1" showInputMessage="1" showErrorMessage="1" sqref="B2:B6" xr:uid="{C4262473-88B7-7445-A960-90AB20E515B3}">
      <formula1>"Provedor,Dependente"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B3FB084-2B9C-7A4F-96ED-28946811A806}">
          <x14:formula1>
            <xm:f>Listas!$M$2:$M$3</xm:f>
          </x14:formula1>
          <xm:sqref>H2:H6 F2:F6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9ABBF-4504-E249-81FD-C6BFAB789ADD}">
  <sheetPr>
    <tabColor rgb="FFFFFBCA"/>
  </sheetPr>
  <dimension ref="A1:AB23"/>
  <sheetViews>
    <sheetView zoomScale="150" zoomScaleNormal="150" workbookViewId="0">
      <pane xSplit="1" topLeftCell="B1" activePane="topRight" state="frozen"/>
      <selection pane="topRight" activeCell="E13" sqref="E13"/>
    </sheetView>
  </sheetViews>
  <sheetFormatPr baseColWidth="10" defaultColWidth="16.1640625" defaultRowHeight="16" x14ac:dyDescent="0.2"/>
  <cols>
    <col min="1" max="1" width="15.6640625" customWidth="1"/>
    <col min="2" max="2" width="9" customWidth="1"/>
    <col min="3" max="3" width="18.33203125" customWidth="1"/>
    <col min="4" max="4" width="17.6640625" customWidth="1"/>
    <col min="5" max="5" width="13.5" customWidth="1"/>
    <col min="6" max="6" width="15.83203125" customWidth="1"/>
    <col min="7" max="7" width="13.33203125" bestFit="1" customWidth="1"/>
    <col min="8" max="8" width="12.83203125" bestFit="1" customWidth="1"/>
    <col min="9" max="9" width="9.1640625" customWidth="1"/>
    <col min="10" max="10" width="16.83203125" customWidth="1"/>
    <col min="11" max="11" width="10.1640625" bestFit="1" customWidth="1"/>
    <col min="12" max="12" width="17.1640625" customWidth="1"/>
    <col min="13" max="13" width="14.5" customWidth="1"/>
    <col min="14" max="14" width="20.83203125" customWidth="1"/>
    <col min="15" max="15" width="13.33203125" bestFit="1" customWidth="1"/>
    <col min="16" max="16" width="13" customWidth="1"/>
    <col min="17" max="17" width="13.1640625" customWidth="1"/>
    <col min="18" max="18" width="14" customWidth="1"/>
    <col min="19" max="19" width="15.33203125" customWidth="1"/>
    <col min="20" max="20" width="18.1640625" customWidth="1"/>
    <col min="21" max="21" width="12" customWidth="1"/>
    <col min="22" max="22" width="16.1640625" customWidth="1"/>
    <col min="23" max="23" width="19.83203125" customWidth="1"/>
    <col min="24" max="24" width="19" customWidth="1"/>
    <col min="25" max="25" width="26" customWidth="1"/>
    <col min="26" max="26" width="26.83203125" customWidth="1"/>
  </cols>
  <sheetData>
    <row r="1" spans="1:28" s="42" customFormat="1" ht="32" customHeight="1" x14ac:dyDescent="0.2">
      <c r="A1" s="43" t="s">
        <v>0</v>
      </c>
      <c r="B1" s="43" t="s">
        <v>16</v>
      </c>
      <c r="C1" s="43" t="s">
        <v>203</v>
      </c>
      <c r="D1" s="43" t="s">
        <v>202</v>
      </c>
      <c r="E1" s="43" t="s">
        <v>201</v>
      </c>
      <c r="F1" s="43" t="s">
        <v>82</v>
      </c>
      <c r="G1" s="43" t="s">
        <v>212</v>
      </c>
      <c r="H1" s="43" t="s">
        <v>213</v>
      </c>
      <c r="I1" s="43" t="s">
        <v>205</v>
      </c>
      <c r="J1" s="43" t="s">
        <v>204</v>
      </c>
      <c r="K1" s="43" t="s">
        <v>53</v>
      </c>
      <c r="L1" s="43" t="s">
        <v>54</v>
      </c>
      <c r="M1" s="43" t="s">
        <v>49</v>
      </c>
      <c r="N1" s="43" t="s">
        <v>75</v>
      </c>
      <c r="O1" s="43" t="s">
        <v>56</v>
      </c>
      <c r="P1" s="43" t="s">
        <v>55</v>
      </c>
      <c r="Q1" s="43" t="s">
        <v>52</v>
      </c>
      <c r="R1" s="43" t="s">
        <v>83</v>
      </c>
      <c r="S1" s="43" t="s">
        <v>51</v>
      </c>
      <c r="T1" s="43" t="s">
        <v>50</v>
      </c>
      <c r="U1" s="43" t="s">
        <v>86</v>
      </c>
      <c r="V1" s="44" t="s">
        <v>214</v>
      </c>
      <c r="W1" s="43" t="s">
        <v>89</v>
      </c>
      <c r="X1" s="43" t="s">
        <v>90</v>
      </c>
      <c r="Y1" s="43" t="s">
        <v>95</v>
      </c>
      <c r="Z1" s="43" t="s">
        <v>94</v>
      </c>
    </row>
    <row r="2" spans="1:28" x14ac:dyDescent="0.2">
      <c r="A2" s="3" t="s">
        <v>81</v>
      </c>
      <c r="B2" s="15" t="s">
        <v>20</v>
      </c>
      <c r="C2" s="18">
        <v>3000000</v>
      </c>
      <c r="D2" s="10">
        <v>0</v>
      </c>
      <c r="E2" s="6"/>
      <c r="F2" s="3" t="s">
        <v>127</v>
      </c>
      <c r="G2" s="8">
        <v>0.5</v>
      </c>
      <c r="H2" s="8">
        <v>0.5</v>
      </c>
      <c r="I2" s="27">
        <f>IF(VLOOKUP(Membros!$A$2,Membros!$A$2:$F$6,6,FALSE)="Não",G2,0)+IF(VLOOKUP(Membros!$A$3,Membros!$A$2:$F$6,6,FALSE)="Não",H2,0)</f>
        <v>1</v>
      </c>
      <c r="J2" s="18">
        <v>2000000</v>
      </c>
      <c r="K2" s="18">
        <v>600000</v>
      </c>
      <c r="L2" s="19">
        <f>J2-K2</f>
        <v>1400000</v>
      </c>
      <c r="M2" s="14">
        <f ca="1">IFERROR(HLOOKUP(B2,Indicadores_Economicos!$A$1:$B$2,2,FALSE),0)</f>
        <v>0.18029999999999999</v>
      </c>
      <c r="N2" s="19">
        <f>IF(B2="BRL",L2,L2*M2)*Tabela4[[#This Row],[Seguro]]</f>
        <v>1400000</v>
      </c>
      <c r="O2" s="8">
        <v>0.1</v>
      </c>
      <c r="P2" s="17">
        <f>(O2+1)^(1/12)-1</f>
        <v>7.9741404289037643E-3</v>
      </c>
      <c r="Q2" s="6">
        <v>45658</v>
      </c>
      <c r="R2" s="5">
        <v>15</v>
      </c>
      <c r="S2" s="11">
        <f>R2*12</f>
        <v>180</v>
      </c>
      <c r="T2" s="16">
        <f>IF(R2&gt;0,DATE(YEAR(Q2)+R2,MONTH(12)-1,DAY(1)),MAX(Membros!$E$2:$E$5))</f>
        <v>51105</v>
      </c>
      <c r="U2" s="14">
        <f>IFERROR(IF(F2="PRICE",PMT((O2+1)^(1/12)-1,S2,N2,0,0)*-1,N2/S2+N2*P2),0)</f>
        <v>18941.574378243047</v>
      </c>
      <c r="V2" s="14">
        <f>IFERROR(IF(F2="PRICE",U2,N2/S2+(N2/S2*P2)),0)</f>
        <v>7839.7988700025844</v>
      </c>
      <c r="W2" s="19">
        <f>IFERROR(-FV(P2,DATEDIF(Q2,$E2,"m"),-U2,N2),0)*IF(E2&gt;T2,0,1)</f>
        <v>0</v>
      </c>
      <c r="X2" s="19">
        <f>IFERROR(N2/S2*(S2-DATEDIF(Q2,$E2,"m")),0)*IF(E2&gt;T2,0,1)</f>
        <v>0</v>
      </c>
      <c r="Y2" s="19">
        <f>IF(F2="Price",W2,X2)</f>
        <v>0</v>
      </c>
      <c r="Z2" s="19">
        <f>IFERROR(-FV(D2,DATEDIF(Q2,E2,"m"),0,C2)*IF(B2="USD",M2,1),0)</f>
        <v>0</v>
      </c>
    </row>
    <row r="3" spans="1:28" x14ac:dyDescent="0.2">
      <c r="A3" s="3" t="s">
        <v>87</v>
      </c>
      <c r="B3" s="15" t="s">
        <v>21</v>
      </c>
      <c r="C3" s="18">
        <v>250000</v>
      </c>
      <c r="D3" s="10">
        <v>0</v>
      </c>
      <c r="E3" s="6">
        <v>49310</v>
      </c>
      <c r="F3" s="3" t="s">
        <v>66</v>
      </c>
      <c r="G3" s="8">
        <v>0.5</v>
      </c>
      <c r="H3" s="8">
        <v>0.5</v>
      </c>
      <c r="I3" s="27">
        <f>IF(VLOOKUP(Membros!$A$2,Membros!$A$2:$F$6,6,FALSE)="Não",G3,0)+IF(VLOOKUP(Membros!$A$3,Membros!$A$2:$F$6,6,FALSE)="Não",H3,0)</f>
        <v>1</v>
      </c>
      <c r="J3" s="5">
        <v>250000</v>
      </c>
      <c r="K3" s="18">
        <v>50000</v>
      </c>
      <c r="L3" s="19">
        <f>J3-K3</f>
        <v>200000</v>
      </c>
      <c r="M3" s="14" vm="1">
        <f ca="1">IFERROR(HLOOKUP(B3,Indicadores_Economicos!$A$1:$B$2,2,FALSE),0)</f>
        <v>5.5757000000000003</v>
      </c>
      <c r="N3" s="19">
        <f ca="1">IF(B3="BRL",L3,L3*M3)*Tabela4[[#This Row],[Seguro]]</f>
        <v>1115140</v>
      </c>
      <c r="O3" s="8">
        <v>0.06</v>
      </c>
      <c r="P3" s="17">
        <f>(O3+1)^(1/12)-1</f>
        <v>4.8675505653430484E-3</v>
      </c>
      <c r="Q3" s="6">
        <v>46023</v>
      </c>
      <c r="R3" s="5">
        <v>15</v>
      </c>
      <c r="S3" s="11">
        <f>R3*12</f>
        <v>180</v>
      </c>
      <c r="T3" s="16">
        <f>IF(R3&gt;0,DATE(YEAR(Q3)+R3,MONTH(12)-1,DAY(1)),MAX(Membros!$E$2:$E$5))</f>
        <v>51471</v>
      </c>
      <c r="U3" s="14">
        <f ca="1">IFERROR(IF(F3="PRICE",PMT((O3+1)^(1/12)-1,S3,N3,0,0)*-1,N3/S3+N3*P3),0)</f>
        <v>9314.6986248807771</v>
      </c>
      <c r="V3" s="14">
        <f ca="1">IFERROR(IF(F3="PRICE",U3,N3/S3+(N3/S3*P3)),0)</f>
        <v>9314.6986248807771</v>
      </c>
      <c r="W3" s="19">
        <f ca="1">IFERROR(-FV(P3,DATEDIF(Q3,$E3,"m"),-U3,N3),0)*IF(E3&gt;T3,0,1)</f>
        <v>564596.8359978192</v>
      </c>
      <c r="X3" s="19">
        <f ca="1">IFERROR(N3/S3*(S3-DATEDIF(Q3,$E3,"m")),0)*IF(E3&gt;T3,0,1)</f>
        <v>446056</v>
      </c>
      <c r="Y3" s="19">
        <f ca="1">IF(F3="Price",W3,X3)</f>
        <v>564596.8359978192</v>
      </c>
      <c r="Z3" s="19">
        <f ca="1">IFERROR(-FV(D3,DATEDIF(Q3,E3,"m"),0,C3)*IF(B3="USD",M3,1),0)</f>
        <v>1393925</v>
      </c>
    </row>
    <row r="4" spans="1:28" x14ac:dyDescent="0.2">
      <c r="A4" s="3" t="s">
        <v>88</v>
      </c>
      <c r="B4" s="15" t="s">
        <v>20</v>
      </c>
      <c r="C4" s="18">
        <v>600000</v>
      </c>
      <c r="D4" s="10">
        <v>0</v>
      </c>
      <c r="E4" s="6">
        <v>49675</v>
      </c>
      <c r="F4" s="3" t="s">
        <v>66</v>
      </c>
      <c r="G4" s="8">
        <v>0.5</v>
      </c>
      <c r="H4" s="8">
        <v>0.5</v>
      </c>
      <c r="I4" s="27">
        <f>IF(VLOOKUP(Membros!$A$2,Membros!$A$2:$F$6,6,FALSE)="Não",G4,0)+IF(VLOOKUP(Membros!$A$3,Membros!$A$2:$F$6,6,FALSE)="Não",H4,0)</f>
        <v>1</v>
      </c>
      <c r="J4" s="5">
        <v>600000</v>
      </c>
      <c r="K4" s="18">
        <v>200000</v>
      </c>
      <c r="L4" s="19">
        <f>J4-K4</f>
        <v>400000</v>
      </c>
      <c r="M4" s="14">
        <f ca="1">IFERROR(HLOOKUP(B4,Indicadores_Economicos!$A$1:$B$2,2,FALSE),0)</f>
        <v>0.18029999999999999</v>
      </c>
      <c r="N4" s="19">
        <f>IF(B4="BRL",L4,L4*M4)*Tabela4[[#This Row],[Seguro]]</f>
        <v>400000</v>
      </c>
      <c r="O4" s="8">
        <v>0.12</v>
      </c>
      <c r="P4" s="17">
        <f>(O4+1)^(1/12)-1</f>
        <v>9.4887929345830457E-3</v>
      </c>
      <c r="Q4" s="6">
        <v>45292</v>
      </c>
      <c r="R4" s="5">
        <v>15</v>
      </c>
      <c r="S4" s="11">
        <f>R4*12</f>
        <v>180</v>
      </c>
      <c r="T4" s="16">
        <f>IF(R4&gt;0,DATE(YEAR(Q4)+R4,MONTH(12)-1,DAY(1)),MAX(Membros!$E$2:$E$5))</f>
        <v>50740</v>
      </c>
      <c r="U4" s="14">
        <f>IFERROR(IF(F4="PRICE",PMT((O4+1)^(1/12)-1,S4,N4,0,0)*-1,N4/S4+N4*P4),0)</f>
        <v>4643.949359272583</v>
      </c>
      <c r="V4" s="14">
        <f>IFERROR(IF(F4="PRICE",U4,N4/S4+(N4/S4*P4)),0)</f>
        <v>4643.949359272583</v>
      </c>
      <c r="W4" s="19">
        <f>IFERROR(-FV(P4,DATEDIF(Q4,$E4,"m"),-U4,N4),0)*IF(E4&gt;T4,0,1)</f>
        <v>141058.81988617964</v>
      </c>
      <c r="X4" s="19">
        <f>IFERROR(N4/S4*(S4-DATEDIF(Q4,$E4,"m")),0)*IF(E4&gt;T4,0,1)</f>
        <v>80000</v>
      </c>
      <c r="Y4" s="19">
        <f>IF(F4="Price",W4,X4)</f>
        <v>141058.81988617964</v>
      </c>
      <c r="Z4" s="19">
        <f>IFERROR(-FV(D4,DATEDIF(Q4,E4,"m"),0,C4)*IF(B4="USD",M4,1),0)</f>
        <v>600000</v>
      </c>
      <c r="AB4" s="45"/>
    </row>
    <row r="5" spans="1:28" x14ac:dyDescent="0.2">
      <c r="A5" s="3"/>
      <c r="B5" s="15"/>
      <c r="C5" s="18"/>
      <c r="D5" s="10">
        <v>0</v>
      </c>
      <c r="E5" s="6"/>
      <c r="F5" s="3" t="s">
        <v>66</v>
      </c>
      <c r="G5" s="8">
        <v>0.5</v>
      </c>
      <c r="H5" s="8">
        <v>0.5</v>
      </c>
      <c r="I5" s="27">
        <f>IF(VLOOKUP(Membros!$A$2,Membros!$A$2:$F$6,6,FALSE)="Não",G5,0)+IF(VLOOKUP(Membros!$A$3,Membros!$A$2:$F$6,6,FALSE)="Não",H5,0)</f>
        <v>1</v>
      </c>
      <c r="J5" s="5"/>
      <c r="K5" s="18">
        <v>0</v>
      </c>
      <c r="L5" s="19">
        <f>J5-K5</f>
        <v>0</v>
      </c>
      <c r="M5" s="14">
        <f>IFERROR(HLOOKUP(B5,Indicadores_Economicos!$A$1:$B$2,2,FALSE),0)</f>
        <v>0</v>
      </c>
      <c r="N5" s="19">
        <f>IF(B5="BRL",L5,L5*M5)*Tabela4[[#This Row],[Seguro]]</f>
        <v>0</v>
      </c>
      <c r="O5" s="8"/>
      <c r="P5" s="17">
        <f>(O5+1)^(1/12)-1</f>
        <v>0</v>
      </c>
      <c r="Q5" s="6"/>
      <c r="R5" s="5"/>
      <c r="S5" s="11">
        <f>R5*12</f>
        <v>0</v>
      </c>
      <c r="T5" s="16">
        <f>IF(R5&gt;0,DATE(YEAR(Q5)+R5,MONTH(12)-1,DAY(1)),MAX(Membros!$E$2:$E$5))</f>
        <v>71586</v>
      </c>
      <c r="U5" s="14">
        <f>IFERROR(IF(F5="PRICE",PMT((O5+1)^(1/12)-1,S5,N5,0,0)*-1,N5/S5+N5*P5),0)</f>
        <v>0</v>
      </c>
      <c r="V5" s="14">
        <f>IFERROR(IF(F5="PRICE",U5,N5/S5+(N5/S5*P5)),0)</f>
        <v>0</v>
      </c>
      <c r="W5" s="19">
        <f>IFERROR(-FV(P5,DATEDIF(Q5,$E5,"m"),-U5,N5),0)*IF(E5&gt;T5,0,1)</f>
        <v>0</v>
      </c>
      <c r="X5" s="19">
        <f>IFERROR(N5/S5*(S5-DATEDIF(Q5,$E5,"m")),0)*IF(E5&gt;T5,0,1)</f>
        <v>0</v>
      </c>
      <c r="Y5" s="19">
        <f>IF(F5="Price",W5,X5)</f>
        <v>0</v>
      </c>
      <c r="Z5" s="19">
        <f>IFERROR(-FV(D5,DATEDIF(Q5,E5,"m"),0,C5)*IF(B5="USD",M5,1),0)</f>
        <v>0</v>
      </c>
    </row>
    <row r="6" spans="1:28" x14ac:dyDescent="0.2">
      <c r="A6" s="3"/>
      <c r="B6" s="15"/>
      <c r="C6" s="18"/>
      <c r="D6" s="10">
        <v>0</v>
      </c>
      <c r="E6" s="6"/>
      <c r="F6" s="3" t="s">
        <v>66</v>
      </c>
      <c r="G6" s="8">
        <v>0.5</v>
      </c>
      <c r="H6" s="8">
        <v>0.5</v>
      </c>
      <c r="I6" s="27">
        <f>IF(VLOOKUP(Membros!$A$2,Membros!$A$2:$F$6,6,FALSE)="Não",G6,0)+IF(VLOOKUP(Membros!$A$3,Membros!$A$2:$F$6,6,FALSE)="Não",H6,0)</f>
        <v>1</v>
      </c>
      <c r="J6" s="5"/>
      <c r="K6" s="18">
        <v>0</v>
      </c>
      <c r="L6" s="19">
        <f>J6-K6</f>
        <v>0</v>
      </c>
      <c r="M6" s="14">
        <f>IFERROR(HLOOKUP(B6,Indicadores_Economicos!$A$1:$B$2,2,FALSE),0)</f>
        <v>0</v>
      </c>
      <c r="N6" s="19">
        <f>IF(B6="BRL",L6,L6*M6)*Tabela4[[#This Row],[Seguro]]</f>
        <v>0</v>
      </c>
      <c r="O6" s="8"/>
      <c r="P6" s="17">
        <f>(O6+1)^(1/12)-1</f>
        <v>0</v>
      </c>
      <c r="Q6" s="6"/>
      <c r="R6" s="5"/>
      <c r="S6" s="11">
        <f>R6*12</f>
        <v>0</v>
      </c>
      <c r="T6" s="16">
        <f>IF(R6&gt;0,DATE(YEAR(Q6)+R6,MONTH(12)-1,DAY(1)),MAX(Membros!$E$2:$E$5))</f>
        <v>71586</v>
      </c>
      <c r="U6" s="14">
        <f>IFERROR(IF(F6="PRICE",PMT((O6+1)^(1/12)-1,S6,N6,0,0)*-1,N6/S6+N6*P6),0)</f>
        <v>0</v>
      </c>
      <c r="V6" s="14">
        <f>IFERROR(IF(F6="PRICE",U6,N6/S6+(N6/S6*P6)),0)</f>
        <v>0</v>
      </c>
      <c r="W6" s="19">
        <f>IFERROR(-FV(P6,DATEDIF(Q6,$E6,"m"),-U6,N6),0)*IF(E6&gt;T6,0,1)</f>
        <v>0</v>
      </c>
      <c r="X6" s="19">
        <f>IFERROR(N6/S6*(S6-DATEDIF(Q6,$E6,"m")),0)*IF(E6&gt;T6,0,1)</f>
        <v>0</v>
      </c>
      <c r="Y6" s="19">
        <f>IF(F6="Price",W6,X6)</f>
        <v>0</v>
      </c>
      <c r="Z6" s="19">
        <f>IFERROR(-FV(D6,DATEDIF(Q6,E6,"m"),0,C6)*IF(B6="USD",M6,1),0)</f>
        <v>0</v>
      </c>
    </row>
    <row r="7" spans="1:28" x14ac:dyDescent="0.2">
      <c r="C7" s="18"/>
      <c r="D7" s="10"/>
      <c r="E7" s="6"/>
      <c r="F7" s="3"/>
    </row>
    <row r="8" spans="1:28" x14ac:dyDescent="0.2">
      <c r="C8" s="18"/>
      <c r="D8" s="10"/>
      <c r="E8" s="6"/>
      <c r="F8" s="3"/>
      <c r="O8" s="3"/>
      <c r="P8" s="3"/>
      <c r="Q8" s="3"/>
      <c r="S8" s="3"/>
      <c r="U8" s="3"/>
    </row>
    <row r="9" spans="1:28" x14ac:dyDescent="0.2">
      <c r="C9" s="18"/>
      <c r="D9" s="10"/>
      <c r="E9" s="6"/>
      <c r="F9" s="3"/>
      <c r="O9" s="3"/>
      <c r="P9" s="3"/>
      <c r="Q9" s="3"/>
      <c r="W9" s="3"/>
    </row>
    <row r="10" spans="1:28" x14ac:dyDescent="0.2">
      <c r="C10" s="18"/>
      <c r="D10" s="10"/>
      <c r="E10" s="6"/>
      <c r="F10" s="3"/>
      <c r="O10" s="3"/>
      <c r="P10" s="3"/>
      <c r="Q10" s="3"/>
      <c r="T10" s="2"/>
      <c r="U10" s="2"/>
    </row>
    <row r="11" spans="1:28" x14ac:dyDescent="0.2">
      <c r="C11" s="18"/>
      <c r="D11" s="10"/>
      <c r="E11" s="6"/>
      <c r="F11" s="3"/>
      <c r="P11" s="3"/>
      <c r="W11" s="3"/>
    </row>
    <row r="12" spans="1:28" x14ac:dyDescent="0.2">
      <c r="C12" s="18"/>
      <c r="D12" s="10"/>
      <c r="E12" s="6"/>
      <c r="F12" s="3"/>
      <c r="P12" s="3"/>
      <c r="S12" s="3"/>
      <c r="W12" s="3"/>
    </row>
    <row r="13" spans="1:28" x14ac:dyDescent="0.2">
      <c r="C13" s="18"/>
      <c r="D13" s="10"/>
      <c r="E13" s="6"/>
      <c r="F13" s="3"/>
      <c r="P13" s="3"/>
      <c r="S13" s="3"/>
      <c r="W13" s="3"/>
    </row>
    <row r="14" spans="1:28" x14ac:dyDescent="0.2">
      <c r="C14" s="18"/>
      <c r="D14" s="10"/>
      <c r="E14" s="6"/>
      <c r="F14" s="3"/>
      <c r="O14" s="3"/>
      <c r="P14" s="5"/>
      <c r="S14" s="6"/>
      <c r="W14" s="5"/>
    </row>
    <row r="15" spans="1:28" x14ac:dyDescent="0.2">
      <c r="C15" s="18"/>
      <c r="D15" s="10"/>
      <c r="E15" s="6"/>
      <c r="F15" s="3"/>
    </row>
    <row r="23" spans="18:18" x14ac:dyDescent="0.2">
      <c r="R23" s="1"/>
    </row>
  </sheetData>
  <phoneticPr fontId="2" type="noConversion"/>
  <dataValidations count="2">
    <dataValidation type="list" allowBlank="1" showInputMessage="1" showErrorMessage="1" sqref="B2:B4" xr:uid="{539C071E-E936-1240-BE5C-67773D48C25A}">
      <formula1>INDIRECT("Tabela2[Moedas]")</formula1>
    </dataValidation>
    <dataValidation type="list" allowBlank="1" showInputMessage="1" showErrorMessage="1" sqref="F2:F15" xr:uid="{1F4F7DD5-944D-7547-9F0D-E06AFC2C8FE5}">
      <formula1>"PRICE,SAC"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AD6E76B-3C36-314E-A973-2A42C3E6C0E4}">
          <x14:formula1>
            <xm:f>Listas!$A$2:$A$21</xm:f>
          </x14:formula1>
          <xm:sqref>U8 P8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8B3E-ED7B-7B43-B5A7-C1A9D7D64B6E}">
  <dimension ref="A1:BU103"/>
  <sheetViews>
    <sheetView showGridLines="0" tabSelected="1" zoomScale="125" zoomScaleNormal="100" workbookViewId="0">
      <selection activeCell="C2" sqref="C2"/>
    </sheetView>
  </sheetViews>
  <sheetFormatPr baseColWidth="10" defaultRowHeight="19" x14ac:dyDescent="0.25"/>
  <cols>
    <col min="1" max="1" width="3.83203125" style="63" customWidth="1"/>
    <col min="2" max="2" width="17.6640625" style="118" customWidth="1"/>
    <col min="3" max="3" width="21.1640625" style="118" customWidth="1"/>
    <col min="4" max="4" width="4.1640625" style="118" customWidth="1"/>
    <col min="5" max="5" width="15.33203125" style="118" bestFit="1" customWidth="1"/>
    <col min="6" max="6" width="10.83203125" style="118" bestFit="1" customWidth="1"/>
    <col min="7" max="7" width="9.83203125" style="118" bestFit="1" customWidth="1"/>
    <col min="8" max="8" width="7.33203125" style="118" customWidth="1"/>
    <col min="9" max="9" width="8.83203125" style="118" bestFit="1" customWidth="1"/>
    <col min="10" max="10" width="7.33203125" style="118" customWidth="1"/>
    <col min="11" max="11" width="8.33203125" style="118" bestFit="1" customWidth="1"/>
    <col min="12" max="13" width="4.1640625" style="118" customWidth="1"/>
    <col min="14" max="14" width="17.1640625" style="63" customWidth="1"/>
    <col min="15" max="15" width="12.83203125" style="63" customWidth="1"/>
    <col min="16" max="16" width="9.1640625" style="63" customWidth="1"/>
    <col min="17" max="17" width="4.1640625" style="118" customWidth="1"/>
    <col min="18" max="18" width="3.83203125" style="119" customWidth="1"/>
    <col min="19" max="19" width="4.1640625" style="118" customWidth="1"/>
    <col min="20" max="20" width="19.1640625" style="120" customWidth="1"/>
    <col min="21" max="21" width="0" style="118" hidden="1" customWidth="1"/>
    <col min="22" max="22" width="24.1640625" style="121" customWidth="1"/>
    <col min="23" max="23" width="10.83203125" style="118" customWidth="1"/>
    <col min="24" max="24" width="41" style="121" customWidth="1"/>
    <col min="25" max="28" width="10.83203125" style="118" hidden="1" customWidth="1"/>
    <col min="29" max="29" width="13.83203125" style="122" bestFit="1" customWidth="1"/>
    <col min="30" max="30" width="10.83203125" style="118"/>
    <col min="31" max="31" width="4.1640625" style="63" customWidth="1"/>
    <col min="32" max="32" width="10.83203125" style="63"/>
    <col min="33" max="33" width="10.83203125" style="63" hidden="1" customWidth="1"/>
    <col min="34" max="35" width="10.83203125" style="63"/>
    <col min="36" max="36" width="13.6640625" style="63" bestFit="1" customWidth="1"/>
    <col min="37" max="16384" width="10.83203125" style="63"/>
  </cols>
  <sheetData>
    <row r="1" spans="1:73" ht="20" thickBot="1" x14ac:dyDescent="0.25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</row>
    <row r="2" spans="1:73" ht="20" thickBot="1" x14ac:dyDescent="0.25">
      <c r="A2" s="62"/>
      <c r="B2" s="64" t="s">
        <v>560</v>
      </c>
      <c r="C2" s="65" t="s">
        <v>578</v>
      </c>
      <c r="D2" s="62"/>
      <c r="E2" s="66" t="s">
        <v>561</v>
      </c>
      <c r="F2" s="67" t="s">
        <v>562</v>
      </c>
      <c r="G2" s="68" t="s">
        <v>563</v>
      </c>
      <c r="H2" s="123" t="s">
        <v>577</v>
      </c>
      <c r="I2" s="68" t="s">
        <v>564</v>
      </c>
      <c r="J2" s="123" t="s">
        <v>565</v>
      </c>
      <c r="K2" s="68" t="s">
        <v>566</v>
      </c>
      <c r="L2" s="69"/>
      <c r="M2" s="62"/>
      <c r="N2" s="66" t="s">
        <v>297</v>
      </c>
      <c r="O2" s="68" t="s">
        <v>576</v>
      </c>
      <c r="P2" s="68" t="s">
        <v>564</v>
      </c>
      <c r="Q2" s="69"/>
      <c r="R2" s="62"/>
      <c r="S2" s="66"/>
      <c r="T2" s="68" t="str" cm="1">
        <f t="array" aca="1" ref="T2:AD34" ca="1">_xldudf_CORE_POSITIONS_MARKETVALUES(Listas!AC1,TODAY())</f>
        <v>Reference Date</v>
      </c>
      <c r="U2" s="68" t="str">
        <f ca="1"/>
        <v>Broker ID</v>
      </c>
      <c r="V2" s="68" t="str">
        <f ca="1"/>
        <v>Broker Name</v>
      </c>
      <c r="W2" s="68" t="str">
        <f ca="1"/>
        <v>Security ID</v>
      </c>
      <c r="X2" s="68" t="str">
        <f ca="1"/>
        <v>Security Name</v>
      </c>
      <c r="Y2" s="68" t="str">
        <f ca="1"/>
        <v>Security CNPJ</v>
      </c>
      <c r="Z2" s="68" t="str">
        <f ca="1"/>
        <v>Security Type</v>
      </c>
      <c r="AA2" s="68" t="str">
        <f ca="1"/>
        <v>Asset Class</v>
      </c>
      <c r="AB2" s="68" t="str">
        <f ca="1"/>
        <v>Security Issuer</v>
      </c>
      <c r="AC2" s="68" t="str">
        <f ca="1"/>
        <v>Market Value</v>
      </c>
      <c r="AD2" s="68" t="str">
        <f ca="1"/>
        <v>Currency</v>
      </c>
      <c r="AE2" s="79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</row>
    <row r="3" spans="1:73" ht="20" thickBot="1" x14ac:dyDescent="0.25">
      <c r="A3" s="62"/>
      <c r="B3" s="62"/>
      <c r="C3" s="62"/>
      <c r="D3" s="62"/>
      <c r="E3" s="80" t="s">
        <v>261</v>
      </c>
      <c r="F3" s="81">
        <f t="shared" ref="F3:F11" ca="1" si="0">SUMIF(AG:AG,E3,AC:AC)</f>
        <v>3719680.7757449923</v>
      </c>
      <c r="G3" s="82">
        <f ca="1">IFERROR(F3/$F$12,0)</f>
        <v>0.82292719824025595</v>
      </c>
      <c r="H3" s="124">
        <f ca="1">I3*0.8</f>
        <v>0.37972105581438775</v>
      </c>
      <c r="I3" s="82">
        <f ca="1">SUMIF($N:$N,$E3,$O:$O)/$F$12</f>
        <v>0.47465131976798469</v>
      </c>
      <c r="J3" s="128">
        <f ca="1">I3*1.2</f>
        <v>0.56958158372158163</v>
      </c>
      <c r="K3" s="83" t="str">
        <f ca="1">IF(G3&gt;J3,"ALTO",IF(G3&lt;H3,"BAIXO","OK"))</f>
        <v>ALTO</v>
      </c>
      <c r="L3" s="84"/>
      <c r="M3" s="62"/>
      <c r="N3" s="80" t="s">
        <v>261</v>
      </c>
      <c r="O3" s="85">
        <f>P3*$O$4</f>
        <v>300000</v>
      </c>
      <c r="P3" s="86">
        <f>SUMIFS(Parametros_Portfolio!J:J,Parametros_Portfolio!$B:$B,Investimentos!$N$2,Parametros_Portfolio!$E:$E,Investimentos!$N3)</f>
        <v>1</v>
      </c>
      <c r="Q3" s="84"/>
      <c r="R3" s="62"/>
      <c r="S3" s="80"/>
      <c r="T3" s="70">
        <f ca="1"/>
        <v>45849</v>
      </c>
      <c r="U3" s="71" t="str">
        <f ca="1"/>
        <v>02332886001178</v>
      </c>
      <c r="V3" s="72" t="str">
        <f ca="1"/>
        <v>XP INVESTIMENTOS CCTVM</v>
      </c>
      <c r="W3" s="71">
        <f ca="1"/>
        <v>5918628</v>
      </c>
      <c r="X3" s="72" t="str">
        <f ca="1"/>
        <v>HASH11</v>
      </c>
      <c r="Y3" s="71" t="str">
        <f ca="1"/>
        <v/>
      </c>
      <c r="Z3" s="71" t="str">
        <f ca="1"/>
        <v>STOCK_ETF</v>
      </c>
      <c r="AA3" s="71" t="str">
        <f ca="1"/>
        <v>STOCKS</v>
      </c>
      <c r="AB3" s="71" t="str">
        <f ca="1"/>
        <v/>
      </c>
      <c r="AC3" s="73">
        <f ca="1"/>
        <v>63297.4</v>
      </c>
      <c r="AD3" s="74" t="str">
        <f ca="1"/>
        <v>BRL</v>
      </c>
      <c r="AE3" s="87"/>
      <c r="AF3" s="62"/>
      <c r="AG3" s="62" t="str">
        <f ca="1">_xlfn.XLOOKUP(Investimentos!W3,Listas!O:O,Listas!Q:Q,0)</f>
        <v>CRYPTO_BRL</v>
      </c>
      <c r="AH3" s="62"/>
      <c r="AI3" s="62"/>
      <c r="AJ3" s="77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</row>
    <row r="4" spans="1:73" ht="20" thickBot="1" x14ac:dyDescent="0.25">
      <c r="A4" s="62"/>
      <c r="B4" s="88" t="s">
        <v>567</v>
      </c>
      <c r="C4" s="89" t="s">
        <v>308</v>
      </c>
      <c r="D4" s="62"/>
      <c r="E4" s="80" t="s">
        <v>270</v>
      </c>
      <c r="F4" s="90">
        <f t="shared" ca="1" si="0"/>
        <v>466086.94674699998</v>
      </c>
      <c r="G4" s="91">
        <f t="shared" ref="G4:G11" ca="1" si="1">IFERROR(F4/$F$12,0)</f>
        <v>0.10311519948806469</v>
      </c>
      <c r="H4" s="125">
        <f t="shared" ref="H4:H11" ca="1" si="2">I4*0.8</f>
        <v>8.3529117167043532E-2</v>
      </c>
      <c r="I4" s="91">
        <f t="shared" ref="I4:I11" ca="1" si="3">SUMIF($N:$N,$E4,$O:$O)/$F$12</f>
        <v>0.10441139645880441</v>
      </c>
      <c r="J4" s="129">
        <f t="shared" ref="J4:J11" ca="1" si="4">I4*1.2</f>
        <v>0.1252936757505653</v>
      </c>
      <c r="K4" s="92" t="str">
        <f t="shared" ref="K4" ca="1" si="5">IF(G4&gt;J4,"ALTO",IF(G4&lt;H4,"BAIXO","OK"))</f>
        <v>OK</v>
      </c>
      <c r="L4" s="84"/>
      <c r="M4" s="62"/>
      <c r="N4" s="93" t="s">
        <v>568</v>
      </c>
      <c r="O4" s="94">
        <f>C14</f>
        <v>300000</v>
      </c>
      <c r="P4" s="95">
        <f>SUM(P2:P3)</f>
        <v>1</v>
      </c>
      <c r="Q4" s="96"/>
      <c r="R4" s="62"/>
      <c r="S4" s="80"/>
      <c r="T4" s="75">
        <f ca="1"/>
        <v>45849</v>
      </c>
      <c r="U4" s="62" t="str">
        <f ca="1"/>
        <v>AVENUE</v>
      </c>
      <c r="V4" s="76" t="str">
        <f ca="1"/>
        <v>AVENUE</v>
      </c>
      <c r="W4" s="62">
        <f ca="1"/>
        <v>132887</v>
      </c>
      <c r="X4" s="76" t="str">
        <f ca="1"/>
        <v>RSP</v>
      </c>
      <c r="Y4" s="62" t="str">
        <f ca="1"/>
        <v/>
      </c>
      <c r="Z4" s="62" t="str">
        <f ca="1"/>
        <v>OFFSHORE_ETF</v>
      </c>
      <c r="AA4" s="62" t="str">
        <f ca="1"/>
        <v>OFFSHORE</v>
      </c>
      <c r="AB4" s="62" t="str">
        <f ca="1"/>
        <v/>
      </c>
      <c r="AC4" s="77">
        <f ca="1"/>
        <v>9147.7809940589796</v>
      </c>
      <c r="AD4" s="78" t="str">
        <f ca="1"/>
        <v>BRL</v>
      </c>
      <c r="AE4" s="87"/>
      <c r="AF4" s="62"/>
      <c r="AG4" s="62" t="str">
        <f ca="1">_xlfn.XLOOKUP(Investimentos!W4,Listas!O:O,Listas!Q:Q,0)</f>
        <v>RV_USD</v>
      </c>
      <c r="AH4" s="62"/>
      <c r="AI4" s="62"/>
      <c r="AJ4" s="77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</row>
    <row r="5" spans="1:73" ht="20" thickBot="1" x14ac:dyDescent="0.25">
      <c r="A5" s="62"/>
      <c r="B5" s="97" t="s">
        <v>569</v>
      </c>
      <c r="C5" s="98" t="s">
        <v>305</v>
      </c>
      <c r="D5" s="62"/>
      <c r="E5" s="80" t="s">
        <v>273</v>
      </c>
      <c r="F5" s="90">
        <f t="shared" ca="1" si="0"/>
        <v>118102.49426199999</v>
      </c>
      <c r="G5" s="91">
        <f t="shared" ca="1" si="1"/>
        <v>2.6128520313345442E-2</v>
      </c>
      <c r="H5" s="125">
        <f t="shared" ca="1" si="2"/>
        <v>2.5528789026459744E-2</v>
      </c>
      <c r="I5" s="91">
        <f t="shared" ca="1" si="3"/>
        <v>3.1910986283074677E-2</v>
      </c>
      <c r="J5" s="129">
        <f t="shared" ca="1" si="4"/>
        <v>3.8293183539689614E-2</v>
      </c>
      <c r="K5" s="92" t="str">
        <f ca="1">IF(G5&gt;J5,"ALTO",IF(G5&lt;H5,"BAIXO","OK"))</f>
        <v>OK</v>
      </c>
      <c r="L5" s="84"/>
      <c r="M5" s="62"/>
      <c r="N5" s="62"/>
      <c r="O5" s="99"/>
      <c r="P5" s="62"/>
      <c r="Q5" s="62"/>
      <c r="R5" s="62"/>
      <c r="S5" s="80"/>
      <c r="T5" s="75">
        <f ca="1"/>
        <v>45849</v>
      </c>
      <c r="U5" s="62" t="str">
        <f ca="1"/>
        <v>02332886001178</v>
      </c>
      <c r="V5" s="76" t="str">
        <f ca="1"/>
        <v>XP INVESTIMENTOS CCTVM</v>
      </c>
      <c r="W5" s="62">
        <f ca="1"/>
        <v>74974</v>
      </c>
      <c r="X5" s="76" t="str">
        <f ca="1"/>
        <v>MGSP12</v>
      </c>
      <c r="Y5" s="62" t="str">
        <f ca="1"/>
        <v/>
      </c>
      <c r="Z5" s="62" t="str">
        <f ca="1"/>
        <v>CORPORATE_BONDS_DEBENTURE</v>
      </c>
      <c r="AA5" s="62" t="str">
        <f ca="1"/>
        <v>FIXED_INCOME</v>
      </c>
      <c r="AB5" s="62" t="str">
        <f ca="1"/>
        <v/>
      </c>
      <c r="AC5" s="77">
        <f ca="1"/>
        <v>51883.263660999997</v>
      </c>
      <c r="AD5" s="78" t="str">
        <f ca="1"/>
        <v>BRL</v>
      </c>
      <c r="AE5" s="87"/>
      <c r="AF5" s="62"/>
      <c r="AG5" s="62" t="str">
        <f ca="1">_xlfn.XLOOKUP(Investimentos!W5,Listas!O:O,Listas!Q:Q,0)</f>
        <v>RF_IPCA_BRL</v>
      </c>
      <c r="AH5" s="62"/>
      <c r="AI5" s="62"/>
      <c r="AJ5" s="77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62"/>
      <c r="BI5" s="62"/>
      <c r="BJ5" s="62"/>
      <c r="BK5" s="62"/>
      <c r="BL5" s="62"/>
      <c r="BM5" s="62"/>
      <c r="BN5" s="62"/>
      <c r="BO5" s="62"/>
      <c r="BP5" s="62"/>
      <c r="BQ5" s="62"/>
      <c r="BR5" s="62"/>
      <c r="BS5" s="62"/>
      <c r="BT5" s="62"/>
      <c r="BU5" s="62"/>
    </row>
    <row r="6" spans="1:73" ht="20" thickBot="1" x14ac:dyDescent="0.25">
      <c r="A6" s="62"/>
      <c r="B6" s="62"/>
      <c r="C6" s="62"/>
      <c r="D6" s="62"/>
      <c r="E6" s="80" t="s">
        <v>275</v>
      </c>
      <c r="F6" s="90">
        <f t="shared" ca="1" si="0"/>
        <v>78941.045087748993</v>
      </c>
      <c r="G6" s="91">
        <f t="shared" ca="1" si="1"/>
        <v>1.7464598974143958E-2</v>
      </c>
      <c r="H6" s="125">
        <f t="shared" ca="1" si="2"/>
        <v>7.6586367079379228E-2</v>
      </c>
      <c r="I6" s="91">
        <f t="shared" ca="1" si="3"/>
        <v>9.5732958849224031E-2</v>
      </c>
      <c r="J6" s="129">
        <f t="shared" ca="1" si="4"/>
        <v>0.11487955061906883</v>
      </c>
      <c r="K6" s="92" t="str">
        <f t="shared" ref="K6:K11" ca="1" si="6">IF(G6&gt;J6,"ALTO",IF(G6&lt;H6,"BAIXO","OK"))</f>
        <v>BAIXO</v>
      </c>
      <c r="L6" s="84"/>
      <c r="M6" s="62"/>
      <c r="N6" s="66" t="s">
        <v>570</v>
      </c>
      <c r="O6" s="68" t="s">
        <v>576</v>
      </c>
      <c r="P6" s="68" t="s">
        <v>564</v>
      </c>
      <c r="Q6" s="69"/>
      <c r="R6" s="62"/>
      <c r="S6" s="80"/>
      <c r="T6" s="75">
        <f ca="1"/>
        <v>45849</v>
      </c>
      <c r="U6" s="62" t="str">
        <f ca="1"/>
        <v>02332886001178</v>
      </c>
      <c r="V6" s="76" t="str">
        <f ca="1"/>
        <v>XP INVESTIMENTOS CCTVM</v>
      </c>
      <c r="W6" s="62">
        <f ca="1"/>
        <v>58045201</v>
      </c>
      <c r="X6" s="76" t="str">
        <f ca="1"/>
        <v>RIZA LOTUS PLUS ADVISORY FI FINANCEIRO EM COTAS DE</v>
      </c>
      <c r="Y6" s="62" t="str">
        <f ca="1"/>
        <v>43917493000131</v>
      </c>
      <c r="Z6" s="62" t="str">
        <f ca="1"/>
        <v>FUNDQUOTE</v>
      </c>
      <c r="AA6" s="62" t="str">
        <f ca="1"/>
        <v>FIXED_INCOME</v>
      </c>
      <c r="AB6" s="62" t="str">
        <f ca="1"/>
        <v/>
      </c>
      <c r="AC6" s="77">
        <f ca="1"/>
        <v>89155.619921677498</v>
      </c>
      <c r="AD6" s="78" t="str">
        <f ca="1"/>
        <v>BRL</v>
      </c>
      <c r="AE6" s="87"/>
      <c r="AF6" s="62"/>
      <c r="AG6" s="62" t="str">
        <f ca="1">_xlfn.XLOOKUP(Investimentos!W6,Listas!O:O,Listas!Q:Q,0)</f>
        <v>RF_POS_BRL</v>
      </c>
      <c r="AH6" s="62"/>
      <c r="AI6" s="62"/>
      <c r="AJ6" s="77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62"/>
      <c r="BU6" s="62"/>
    </row>
    <row r="7" spans="1:73" x14ac:dyDescent="0.2">
      <c r="A7" s="62"/>
      <c r="B7" s="88" t="s">
        <v>571</v>
      </c>
      <c r="C7" s="100">
        <v>45809</v>
      </c>
      <c r="D7" s="62"/>
      <c r="E7" s="80" t="s">
        <v>279</v>
      </c>
      <c r="F7" s="90">
        <f t="shared" ca="1" si="0"/>
        <v>30693.436557317771</v>
      </c>
      <c r="G7" s="91">
        <f t="shared" ca="1" si="1"/>
        <v>6.7904923226697316E-3</v>
      </c>
      <c r="H7" s="125">
        <f t="shared" ca="1" si="2"/>
        <v>5.1057578052919474E-2</v>
      </c>
      <c r="I7" s="91">
        <f t="shared" ca="1" si="3"/>
        <v>6.382197256614934E-2</v>
      </c>
      <c r="J7" s="129">
        <f t="shared" ca="1" si="4"/>
        <v>7.65863670793792E-2</v>
      </c>
      <c r="K7" s="92" t="str">
        <f t="shared" ca="1" si="6"/>
        <v>BAIXO</v>
      </c>
      <c r="L7" s="84"/>
      <c r="M7" s="62"/>
      <c r="N7" s="80" t="s">
        <v>261</v>
      </c>
      <c r="O7" s="81">
        <f ca="1">P7*$O$9</f>
        <v>287665.1330338578</v>
      </c>
      <c r="P7" s="101">
        <f>SUMIFS(Parametros_Portfolio!J:J,Parametros_Portfolio!B:B,Investimentos!$N$6,Parametros_Portfolio!E:E,Investimentos!N7)</f>
        <v>0.88000000000000012</v>
      </c>
      <c r="Q7" s="84"/>
      <c r="R7" s="62"/>
      <c r="S7" s="80"/>
      <c r="T7" s="75">
        <f ca="1"/>
        <v>45849</v>
      </c>
      <c r="U7" s="62" t="str">
        <f ca="1"/>
        <v>02332886001178</v>
      </c>
      <c r="V7" s="76" t="str">
        <f ca="1"/>
        <v>XP INVESTIMENTOS CCTVM</v>
      </c>
      <c r="W7" s="62">
        <f ca="1"/>
        <v>59692703</v>
      </c>
      <c r="X7" s="76" t="str">
        <f ca="1"/>
        <v>DEBB11</v>
      </c>
      <c r="Y7" s="62" t="str">
        <f ca="1"/>
        <v/>
      </c>
      <c r="Z7" s="62" t="str">
        <f ca="1"/>
        <v>STOCK_ETF_RATE</v>
      </c>
      <c r="AA7" s="62" t="str">
        <f ca="1"/>
        <v>FIXED_INCOME</v>
      </c>
      <c r="AB7" s="62" t="str">
        <f ca="1"/>
        <v/>
      </c>
      <c r="AC7" s="77">
        <f ca="1"/>
        <v>120731.96</v>
      </c>
      <c r="AD7" s="78" t="str">
        <f ca="1"/>
        <v>BRL</v>
      </c>
      <c r="AE7" s="87"/>
      <c r="AF7" s="62"/>
      <c r="AG7" s="62" t="str">
        <f ca="1">_xlfn.XLOOKUP(Investimentos!W7,Listas!O:O,Listas!Q:Q,0)</f>
        <v>RF_POS_BRL</v>
      </c>
      <c r="AH7" s="62"/>
      <c r="AI7" s="62"/>
      <c r="AJ7" s="77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</row>
    <row r="8" spans="1:73" ht="20" thickBot="1" x14ac:dyDescent="0.25">
      <c r="A8" s="62"/>
      <c r="B8" s="97" t="s">
        <v>572</v>
      </c>
      <c r="C8" s="102">
        <v>45838</v>
      </c>
      <c r="D8" s="62"/>
      <c r="E8" s="80" t="s">
        <v>284</v>
      </c>
      <c r="F8" s="90">
        <f t="shared" ca="1" si="0"/>
        <v>63297.4</v>
      </c>
      <c r="G8" s="91">
        <f t="shared" ca="1" si="1"/>
        <v>1.4003661921085193E-2</v>
      </c>
      <c r="H8" s="125">
        <f t="shared" ca="1" si="2"/>
        <v>5.1057578052919475E-3</v>
      </c>
      <c r="I8" s="91">
        <f t="shared" ca="1" si="3"/>
        <v>6.3821972566149342E-3</v>
      </c>
      <c r="J8" s="129">
        <f t="shared" ca="1" si="4"/>
        <v>7.6586367079379209E-3</v>
      </c>
      <c r="K8" s="92" t="str">
        <f t="shared" ca="1" si="6"/>
        <v>ALTO</v>
      </c>
      <c r="L8" s="84"/>
      <c r="M8" s="62"/>
      <c r="N8" s="80" t="s">
        <v>270</v>
      </c>
      <c r="O8" s="103">
        <f ca="1">P8*$O$9</f>
        <v>39227.063595526059</v>
      </c>
      <c r="P8" s="104">
        <f>SUMIFS(Parametros_Portfolio!J:J,Parametros_Portfolio!B:B,Investimentos!$N$6,Parametros_Portfolio!E:E,Investimentos!N8)</f>
        <v>0.12</v>
      </c>
      <c r="Q8" s="84"/>
      <c r="R8" s="62"/>
      <c r="S8" s="80"/>
      <c r="T8" s="75">
        <f ca="1"/>
        <v>45849</v>
      </c>
      <c r="U8" s="62" t="str">
        <f ca="1"/>
        <v>AVENUE</v>
      </c>
      <c r="V8" s="76" t="str">
        <f ca="1"/>
        <v>AVENUE</v>
      </c>
      <c r="W8" s="62">
        <f ca="1"/>
        <v>132486</v>
      </c>
      <c r="X8" s="76" t="str">
        <f ca="1"/>
        <v>IVV</v>
      </c>
      <c r="Y8" s="62" t="str">
        <f ca="1"/>
        <v/>
      </c>
      <c r="Z8" s="62" t="str">
        <f ca="1"/>
        <v>OFFSHORE_ETF</v>
      </c>
      <c r="AA8" s="62" t="str">
        <f ca="1"/>
        <v>OFFSHORE</v>
      </c>
      <c r="AB8" s="62" t="str">
        <f ca="1"/>
        <v/>
      </c>
      <c r="AC8" s="77">
        <f ca="1"/>
        <v>15011.732727454049</v>
      </c>
      <c r="AD8" s="78" t="str">
        <f ca="1"/>
        <v>BRL</v>
      </c>
      <c r="AE8" s="87"/>
      <c r="AF8" s="62"/>
      <c r="AG8" s="62" t="str">
        <f ca="1">_xlfn.XLOOKUP(Investimentos!W8,Listas!O:O,Listas!Q:Q,0)</f>
        <v>RV_USD</v>
      </c>
      <c r="AH8" s="62"/>
      <c r="AI8" s="62"/>
      <c r="AJ8" s="77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</row>
    <row r="9" spans="1:73" ht="20" thickBot="1" x14ac:dyDescent="0.25">
      <c r="A9" s="62"/>
      <c r="B9" s="62"/>
      <c r="C9" s="62"/>
      <c r="D9" s="62"/>
      <c r="E9" s="80" t="s">
        <v>285</v>
      </c>
      <c r="F9" s="90">
        <f t="shared" ca="1" si="0"/>
        <v>0</v>
      </c>
      <c r="G9" s="91">
        <f t="shared" ca="1" si="1"/>
        <v>0</v>
      </c>
      <c r="H9" s="125">
        <f t="shared" ca="1" si="2"/>
        <v>9.8101687247309888E-2</v>
      </c>
      <c r="I9" s="91">
        <f t="shared" ca="1" si="3"/>
        <v>0.12262710905913735</v>
      </c>
      <c r="J9" s="129">
        <f t="shared" ca="1" si="4"/>
        <v>0.1471525308709648</v>
      </c>
      <c r="K9" s="92" t="str">
        <f t="shared" ca="1" si="6"/>
        <v>BAIXO</v>
      </c>
      <c r="L9" s="84"/>
      <c r="M9" s="62"/>
      <c r="N9" s="93" t="s">
        <v>568</v>
      </c>
      <c r="O9" s="94">
        <f ca="1">C15</f>
        <v>326892.19662938383</v>
      </c>
      <c r="P9" s="95">
        <f>SUM(P7:P8)</f>
        <v>1</v>
      </c>
      <c r="Q9" s="96"/>
      <c r="R9" s="62"/>
      <c r="S9" s="80"/>
      <c r="T9" s="75">
        <f ca="1"/>
        <v>45849</v>
      </c>
      <c r="U9" s="62" t="str">
        <f ca="1"/>
        <v>02332886001178</v>
      </c>
      <c r="V9" s="76" t="str">
        <f ca="1"/>
        <v>XP INVESTIMENTOS CCTVM</v>
      </c>
      <c r="W9" s="62">
        <f ca="1"/>
        <v>74879</v>
      </c>
      <c r="X9" s="76" t="str">
        <f ca="1"/>
        <v>PETR17</v>
      </c>
      <c r="Y9" s="62" t="str">
        <f ca="1"/>
        <v/>
      </c>
      <c r="Z9" s="62" t="str">
        <f ca="1"/>
        <v>CORPORATE_BONDS_DEBENTURE</v>
      </c>
      <c r="AA9" s="62" t="str">
        <f ca="1"/>
        <v>FIXED_INCOME</v>
      </c>
      <c r="AB9" s="62" t="str">
        <f ca="1"/>
        <v/>
      </c>
      <c r="AC9" s="77">
        <f ca="1"/>
        <v>47715.389281999996</v>
      </c>
      <c r="AD9" s="78" t="str">
        <f ca="1"/>
        <v>BRL</v>
      </c>
      <c r="AE9" s="87"/>
      <c r="AF9" s="62"/>
      <c r="AG9" s="62" t="str">
        <f ca="1">_xlfn.XLOOKUP(Investimentos!W9,Listas!O:O,Listas!Q:Q,0)</f>
        <v>RF_IPCA_BRL</v>
      </c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</row>
    <row r="10" spans="1:73" ht="20" thickBot="1" x14ac:dyDescent="0.25">
      <c r="A10" s="62"/>
      <c r="B10" s="66" t="str" cm="1">
        <f t="array" ref="B10:C11">_xldudf_CORE_PORTFOLIOS_TWR(Listas!AC1,C4,C5,,C7,C8)</f>
        <v>Reference Date</v>
      </c>
      <c r="C10" s="69" t="str">
        <v>TWR</v>
      </c>
      <c r="D10" s="62"/>
      <c r="E10" s="80" t="s">
        <v>287</v>
      </c>
      <c r="F10" s="90">
        <f t="shared" ca="1" si="0"/>
        <v>43258.465523412931</v>
      </c>
      <c r="G10" s="91">
        <f t="shared" ca="1" si="1"/>
        <v>9.570328740434746E-3</v>
      </c>
      <c r="H10" s="125">
        <f t="shared" ca="1" si="2"/>
        <v>7.9093208355885181E-2</v>
      </c>
      <c r="I10" s="91">
        <f t="shared" ca="1" si="3"/>
        <v>9.8866510444856462E-2</v>
      </c>
      <c r="J10" s="129">
        <f t="shared" ca="1" si="4"/>
        <v>0.11863981253382774</v>
      </c>
      <c r="K10" s="92" t="str">
        <f t="shared" ca="1" si="6"/>
        <v>BAIXO</v>
      </c>
      <c r="L10" s="84"/>
      <c r="M10" s="62"/>
      <c r="N10" s="62"/>
      <c r="O10" s="99"/>
      <c r="P10" s="62"/>
      <c r="Q10" s="62"/>
      <c r="R10" s="62"/>
      <c r="S10" s="80"/>
      <c r="T10" s="75">
        <f ca="1"/>
        <v>45849</v>
      </c>
      <c r="U10" s="62" t="str">
        <f ca="1"/>
        <v>02332886001178</v>
      </c>
      <c r="V10" s="76" t="str">
        <f ca="1"/>
        <v>XP INVESTIMENTOS CCTVM</v>
      </c>
      <c r="W10" s="62">
        <f ca="1"/>
        <v>62294989</v>
      </c>
      <c r="X10" s="76" t="str">
        <f ca="1"/>
        <v>V8 SPEEDWAY LONG SHORT FC FIF MULT</v>
      </c>
      <c r="Y10" s="62" t="str">
        <f ca="1"/>
        <v>39354762000121</v>
      </c>
      <c r="Z10" s="62" t="str">
        <f ca="1"/>
        <v>FUNDQUOTE</v>
      </c>
      <c r="AA10" s="62" t="str">
        <f ca="1"/>
        <v>MULTIMARKET</v>
      </c>
      <c r="AB10" s="62" t="str">
        <f ca="1"/>
        <v/>
      </c>
      <c r="AC10" s="77">
        <f ca="1"/>
        <v>19864.636634112081</v>
      </c>
      <c r="AD10" s="78" t="str">
        <f ca="1"/>
        <v>BRL</v>
      </c>
      <c r="AE10" s="87"/>
      <c r="AF10" s="62"/>
      <c r="AG10" s="62" t="str">
        <f ca="1">_xlfn.XLOOKUP(Investimentos!W10,Listas!O:O,Listas!Q:Q,0)</f>
        <v>MM_BRL</v>
      </c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</row>
    <row r="11" spans="1:73" ht="20" thickBot="1" x14ac:dyDescent="0.25">
      <c r="A11" s="62"/>
      <c r="B11" s="93">
        <v>45838</v>
      </c>
      <c r="C11" s="105">
        <v>1.188982183608803E-2</v>
      </c>
      <c r="D11" s="62"/>
      <c r="E11" s="80" t="s">
        <v>292</v>
      </c>
      <c r="F11" s="103">
        <f t="shared" ca="1" si="0"/>
        <v>0</v>
      </c>
      <c r="G11" s="106">
        <f t="shared" ca="1" si="1"/>
        <v>0</v>
      </c>
      <c r="H11" s="126">
        <f t="shared" ca="1" si="2"/>
        <v>1.2764394513229869E-3</v>
      </c>
      <c r="I11" s="106">
        <f t="shared" ca="1" si="3"/>
        <v>1.5955493141537336E-3</v>
      </c>
      <c r="J11" s="130">
        <f t="shared" ca="1" si="4"/>
        <v>1.9146591769844802E-3</v>
      </c>
      <c r="K11" s="107" t="str">
        <f t="shared" ca="1" si="6"/>
        <v>BAIXO</v>
      </c>
      <c r="L11" s="84"/>
      <c r="M11" s="62"/>
      <c r="N11" s="66" t="s">
        <v>573</v>
      </c>
      <c r="O11" s="68" t="s">
        <v>576</v>
      </c>
      <c r="P11" s="68" t="s">
        <v>564</v>
      </c>
      <c r="Q11" s="69"/>
      <c r="R11" s="62"/>
      <c r="S11" s="80"/>
      <c r="T11" s="75">
        <f ca="1"/>
        <v>45849</v>
      </c>
      <c r="U11" s="62" t="str">
        <f ca="1"/>
        <v>AVENUE</v>
      </c>
      <c r="V11" s="76" t="str">
        <f ca="1"/>
        <v>AVENUE</v>
      </c>
      <c r="W11" s="62">
        <f ca="1"/>
        <v>137390</v>
      </c>
      <c r="X11" s="76" t="str">
        <f ca="1"/>
        <v>QQQ</v>
      </c>
      <c r="Y11" s="62" t="str">
        <f ca="1"/>
        <v/>
      </c>
      <c r="Z11" s="62" t="str">
        <f ca="1"/>
        <v>OFFSHORE_ETF</v>
      </c>
      <c r="AA11" s="62" t="str">
        <f ca="1"/>
        <v>OFFSHORE</v>
      </c>
      <c r="AB11" s="62" t="str">
        <f ca="1"/>
        <v/>
      </c>
      <c r="AC11" s="77">
        <f ca="1"/>
        <v>11886.702976131901</v>
      </c>
      <c r="AD11" s="78" t="str">
        <f ca="1"/>
        <v>BRL</v>
      </c>
      <c r="AE11" s="87"/>
      <c r="AF11" s="62"/>
      <c r="AG11" s="62" t="str">
        <f ca="1">_xlfn.XLOOKUP(Investimentos!W11,Listas!O:O,Listas!Q:Q,0)</f>
        <v>RV_USD</v>
      </c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</row>
    <row r="12" spans="1:73" ht="20" thickBot="1" x14ac:dyDescent="0.25">
      <c r="A12" s="62"/>
      <c r="B12" s="62"/>
      <c r="C12" s="62"/>
      <c r="D12" s="62"/>
      <c r="E12" s="93" t="s">
        <v>568</v>
      </c>
      <c r="F12" s="94">
        <f ca="1">SUM(F3:F11)</f>
        <v>4520060.5639224732</v>
      </c>
      <c r="G12" s="95">
        <f ca="1">SUM(G3:G10)</f>
        <v>0.99999999999999967</v>
      </c>
      <c r="H12" s="127">
        <f t="shared" ref="H12:J12" ca="1" si="7">SUM(H3:H10)</f>
        <v>0.79872356054867677</v>
      </c>
      <c r="I12" s="95">
        <f t="shared" ca="1" si="7"/>
        <v>0.99840445068584582</v>
      </c>
      <c r="J12" s="127">
        <f t="shared" ca="1" si="7"/>
        <v>1.198085340823015</v>
      </c>
      <c r="K12" s="95"/>
      <c r="L12" s="96"/>
      <c r="M12" s="62"/>
      <c r="N12" s="80" t="s">
        <v>285</v>
      </c>
      <c r="O12" s="81">
        <f ca="1">P12*$O$14</f>
        <v>229742.88075453416</v>
      </c>
      <c r="P12" s="101">
        <f>SUMIFS(Parametros_Portfolio!J:J,Parametros_Portfolio!B:B,Investimentos!$N$11,Parametros_Portfolio!E:E,Investimentos!N12)</f>
        <v>0.8</v>
      </c>
      <c r="Q12" s="84"/>
      <c r="R12" s="62"/>
      <c r="S12" s="80"/>
      <c r="T12" s="75">
        <f ca="1"/>
        <v>45849</v>
      </c>
      <c r="U12" s="62" t="str">
        <f ca="1"/>
        <v>AVENUE</v>
      </c>
      <c r="V12" s="76" t="str">
        <f ca="1"/>
        <v>AVENUE</v>
      </c>
      <c r="W12" s="62">
        <f ca="1"/>
        <v>79669870</v>
      </c>
      <c r="X12" s="76" t="str">
        <f ca="1"/>
        <v>PIMCO FDS GLOBAL INVS SER</v>
      </c>
      <c r="Y12" s="62" t="str">
        <f ca="1"/>
        <v/>
      </c>
      <c r="Z12" s="62" t="str">
        <f ca="1"/>
        <v>CUSTOM</v>
      </c>
      <c r="AA12" s="62" t="str">
        <f ca="1"/>
        <v>FIXED_INCOME</v>
      </c>
      <c r="AB12" s="62" t="str">
        <f ca="1"/>
        <v/>
      </c>
      <c r="AC12" s="77">
        <f ca="1"/>
        <v>95444.602199999994</v>
      </c>
      <c r="AD12" s="78" t="str">
        <f ca="1"/>
        <v>BRL</v>
      </c>
      <c r="AE12" s="87"/>
      <c r="AF12" s="62"/>
      <c r="AG12" s="62" t="str">
        <f ca="1">_xlfn.XLOOKUP(Investimentos!W12,Listas!O:O,Listas!Q:Q,0)</f>
        <v>RF_PRE_BRL</v>
      </c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</row>
    <row r="13" spans="1:73" ht="20" thickBot="1" x14ac:dyDescent="0.25">
      <c r="A13" s="62"/>
      <c r="B13" s="66" t="s">
        <v>574</v>
      </c>
      <c r="C13" s="108">
        <f ca="1">SUM(AC:AC)</f>
        <v>4520060.5639224714</v>
      </c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80" t="s">
        <v>287</v>
      </c>
      <c r="O13" s="103">
        <f ca="1">P13*$O$14</f>
        <v>57435.720188633539</v>
      </c>
      <c r="P13" s="104">
        <f>SUMIFS(Parametros_Portfolio!J:J,Parametros_Portfolio!B:B,Investimentos!$N$11,Parametros_Portfolio!E:E,Investimentos!N13)</f>
        <v>0.2</v>
      </c>
      <c r="Q13" s="84"/>
      <c r="R13" s="62"/>
      <c r="S13" s="80"/>
      <c r="T13" s="75">
        <f ca="1"/>
        <v>45849</v>
      </c>
      <c r="U13" s="62" t="str">
        <f ca="1"/>
        <v>02332886001178</v>
      </c>
      <c r="V13" s="76" t="str">
        <f ca="1"/>
        <v>XP INVESTIMENTOS CCTVM</v>
      </c>
      <c r="W13" s="62">
        <f ca="1"/>
        <v>57983646</v>
      </c>
      <c r="X13" s="76" t="str">
        <f ca="1"/>
        <v>CRI REDE D'OR SÃO LUIZ MAI/2036 21D0862572</v>
      </c>
      <c r="Y13" s="62" t="str">
        <f ca="1"/>
        <v/>
      </c>
      <c r="Z13" s="62" t="str">
        <f ca="1"/>
        <v>CORPORATE_BONDS_CRI</v>
      </c>
      <c r="AA13" s="62" t="str">
        <f ca="1"/>
        <v>FIXED_INCOME</v>
      </c>
      <c r="AB13" s="62" t="str">
        <f ca="1"/>
        <v>02773542000122</v>
      </c>
      <c r="AC13" s="77">
        <f ca="1"/>
        <v>52929.018912</v>
      </c>
      <c r="AD13" s="78" t="str">
        <f ca="1"/>
        <v>BRL</v>
      </c>
      <c r="AE13" s="87"/>
      <c r="AF13" s="62"/>
      <c r="AG13" s="62" t="str">
        <f ca="1">_xlfn.XLOOKUP(Investimentos!W13,Listas!O:O,Listas!Q:Q,0)</f>
        <v>RF_IPCA_BRL</v>
      </c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</row>
    <row r="14" spans="1:73" ht="20" thickBot="1" x14ac:dyDescent="0.25">
      <c r="A14" s="62"/>
      <c r="B14" s="80" t="s">
        <v>297</v>
      </c>
      <c r="C14" s="109">
        <v>300000</v>
      </c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93" t="s">
        <v>568</v>
      </c>
      <c r="O14" s="94">
        <f ca="1">C16</f>
        <v>287178.60094316769</v>
      </c>
      <c r="P14" s="95">
        <f>SUM(P12:P13)</f>
        <v>1</v>
      </c>
      <c r="Q14" s="96"/>
      <c r="R14" s="62"/>
      <c r="S14" s="80"/>
      <c r="T14" s="75">
        <f ca="1"/>
        <v>45849</v>
      </c>
      <c r="U14" s="62" t="str">
        <f ca="1"/>
        <v>02332886001178</v>
      </c>
      <c r="V14" s="76" t="str">
        <f ca="1"/>
        <v>XP INVESTIMENTOS CCTVM</v>
      </c>
      <c r="W14" s="62">
        <f ca="1"/>
        <v>118692</v>
      </c>
      <c r="X14" s="76" t="str">
        <f ca="1"/>
        <v>LFT - 01/09/2026</v>
      </c>
      <c r="Y14" s="62" t="str">
        <f ca="1"/>
        <v/>
      </c>
      <c r="Z14" s="62" t="str">
        <f ca="1"/>
        <v>TREASURY_LOCAL_LFT</v>
      </c>
      <c r="AA14" s="62" t="str">
        <f ca="1"/>
        <v>FIXED_INCOME</v>
      </c>
      <c r="AB14" s="62" t="str">
        <f ca="1"/>
        <v/>
      </c>
      <c r="AC14" s="77">
        <f ca="1"/>
        <v>2653348.8120849999</v>
      </c>
      <c r="AD14" s="78" t="str">
        <f ca="1"/>
        <v>BRL</v>
      </c>
      <c r="AE14" s="87"/>
      <c r="AF14" s="62"/>
      <c r="AG14" s="62" t="str">
        <f ca="1">_xlfn.XLOOKUP(Investimentos!W14,Listas!O:O,Listas!Q:Q,0)</f>
        <v>RF_POS_BRL</v>
      </c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</row>
    <row r="15" spans="1:73" ht="20" thickBot="1" x14ac:dyDescent="0.25">
      <c r="A15" s="62"/>
      <c r="B15" s="80" t="s">
        <v>570</v>
      </c>
      <c r="C15" s="109">
        <f ca="1">SUMIF(Projetos!$D$2:$D$11,"BRL",Projetos!$S$2:$S$11)</f>
        <v>326892.19662938383</v>
      </c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80"/>
      <c r="T15" s="75">
        <f ca="1"/>
        <v>45849</v>
      </c>
      <c r="U15" s="62" t="str">
        <f ca="1"/>
        <v>02332886001178</v>
      </c>
      <c r="V15" s="76" t="str">
        <f ca="1"/>
        <v>XP INVESTIMENTOS CCTVM</v>
      </c>
      <c r="W15" s="62">
        <f ca="1"/>
        <v>2367965</v>
      </c>
      <c r="X15" s="76" t="str">
        <f ca="1"/>
        <v>ABSOLUTE VERTEX ADVISORY FC FIF MULT</v>
      </c>
      <c r="Y15" s="62" t="str">
        <f ca="1"/>
        <v>28947266000165</v>
      </c>
      <c r="Z15" s="62" t="str">
        <f ca="1"/>
        <v>FUNDQUOTE</v>
      </c>
      <c r="AA15" s="62" t="str">
        <f ca="1"/>
        <v>MULTIMARKET</v>
      </c>
      <c r="AB15" s="62" t="str">
        <f ca="1"/>
        <v/>
      </c>
      <c r="AC15" s="77">
        <f ca="1"/>
        <v>3347.808453636922</v>
      </c>
      <c r="AD15" s="78" t="str">
        <f ca="1"/>
        <v>BRL</v>
      </c>
      <c r="AE15" s="87"/>
      <c r="AF15" s="62"/>
      <c r="AG15" s="62" t="str">
        <f ca="1">_xlfn.XLOOKUP(Investimentos!W15,Listas!O:O,Listas!Q:Q,0)</f>
        <v>MM_BRL</v>
      </c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</row>
    <row r="16" spans="1:73" ht="20" thickBot="1" x14ac:dyDescent="0.25">
      <c r="A16" s="62"/>
      <c r="B16" s="80" t="s">
        <v>573</v>
      </c>
      <c r="C16" s="109">
        <f ca="1">SUMIF(Projetos!$D$2:$D$11,"USD",Projetos!$S$2:$S$11)</f>
        <v>287178.60094316769</v>
      </c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6" t="s">
        <v>575</v>
      </c>
      <c r="O16" s="67" t="s">
        <v>576</v>
      </c>
      <c r="P16" s="68" t="s">
        <v>564</v>
      </c>
      <c r="Q16" s="69"/>
      <c r="R16" s="62"/>
      <c r="S16" s="80"/>
      <c r="T16" s="75">
        <f ca="1"/>
        <v>45849</v>
      </c>
      <c r="U16" s="62" t="str">
        <f ca="1"/>
        <v>02332886001178</v>
      </c>
      <c r="V16" s="76" t="str">
        <f ca="1"/>
        <v>XP INVESTIMENTOS CCTVM</v>
      </c>
      <c r="W16" s="62">
        <f ca="1"/>
        <v>142557</v>
      </c>
      <c r="X16" s="76" t="str">
        <f ca="1"/>
        <v>BNP PARIBAS MATCH CLASSE DE INVESTIMENTO DE RF REF</v>
      </c>
      <c r="Y16" s="62" t="str">
        <f ca="1"/>
        <v>09636393000107</v>
      </c>
      <c r="Z16" s="62" t="str">
        <f ca="1"/>
        <v>FUNDQUOTE</v>
      </c>
      <c r="AA16" s="62" t="str">
        <f ca="1"/>
        <v>FIXED_INCOME</v>
      </c>
      <c r="AB16" s="62" t="str">
        <f ca="1"/>
        <v/>
      </c>
      <c r="AC16" s="77">
        <f ca="1"/>
        <v>68289.581688328399</v>
      </c>
      <c r="AD16" s="78" t="str">
        <f ca="1"/>
        <v>BRL</v>
      </c>
      <c r="AE16" s="87"/>
      <c r="AF16" s="62"/>
      <c r="AG16" s="62" t="str">
        <f ca="1">_xlfn.XLOOKUP(Investimentos!W16,Listas!O:O,Listas!Q:Q,0)</f>
        <v>RF_POS_BRL</v>
      </c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</row>
    <row r="17" spans="1:73" ht="20" thickBot="1" x14ac:dyDescent="0.25">
      <c r="A17" s="62"/>
      <c r="B17" s="93" t="s">
        <v>575</v>
      </c>
      <c r="C17" s="110">
        <f ca="1">C13-SUM(C14:C16)</f>
        <v>3605989.7663499201</v>
      </c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80" t="s">
        <v>261</v>
      </c>
      <c r="O17" s="81">
        <f ca="1">P17*$O$26</f>
        <v>1557787.5790631655</v>
      </c>
      <c r="P17" s="111">
        <f>SUMIFS(Parametros_Portfolio!J:J,Parametros_Portfolio!B:B,Investimentos!$N$16,Parametros_Portfolio!E:E,Investimentos!N17)</f>
        <v>0.432</v>
      </c>
      <c r="Q17" s="84"/>
      <c r="R17" s="62"/>
      <c r="S17" s="80"/>
      <c r="T17" s="75">
        <f ca="1"/>
        <v>45849</v>
      </c>
      <c r="U17" s="62" t="str">
        <f ca="1"/>
        <v>02332886001178</v>
      </c>
      <c r="V17" s="76" t="str">
        <f ca="1"/>
        <v>XP INVESTIMENTOS CCTVM</v>
      </c>
      <c r="W17" s="62">
        <f ca="1"/>
        <v>2332336</v>
      </c>
      <c r="X17" s="76" t="str">
        <f ca="1"/>
        <v>AZ QUEST BAYES SISTEMATICO FIF - CI EM ACOES - RES</v>
      </c>
      <c r="Y17" s="62" t="str">
        <f ca="1"/>
        <v>37569846000157</v>
      </c>
      <c r="Z17" s="62" t="str">
        <f ca="1"/>
        <v>FUNDQUOTE</v>
      </c>
      <c r="AA17" s="62" t="str">
        <f ca="1"/>
        <v>STOCKS</v>
      </c>
      <c r="AB17" s="62" t="str">
        <f ca="1"/>
        <v/>
      </c>
      <c r="AC17" s="77">
        <f ca="1"/>
        <v>13738.476917276899</v>
      </c>
      <c r="AD17" s="78" t="str">
        <f ca="1"/>
        <v>BRL</v>
      </c>
      <c r="AE17" s="87"/>
      <c r="AF17" s="62"/>
      <c r="AG17" s="62" t="str">
        <f ca="1">_xlfn.XLOOKUP(Investimentos!W17,Listas!O:O,Listas!Q:Q,0)</f>
        <v>RV_BRL</v>
      </c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</row>
    <row r="18" spans="1:73" x14ac:dyDescent="0.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80" t="s">
        <v>270</v>
      </c>
      <c r="O18" s="90">
        <f t="shared" ref="O18:O25" ca="1" si="8">P18*$O$26</f>
        <v>432718.77196199039</v>
      </c>
      <c r="P18" s="112">
        <f>SUMIFS(Parametros_Portfolio!J:J,Parametros_Portfolio!B:B,Investimentos!$N$16,Parametros_Portfolio!E:E,Investimentos!N18)</f>
        <v>0.12</v>
      </c>
      <c r="Q18" s="84"/>
      <c r="R18" s="62"/>
      <c r="S18" s="80"/>
      <c r="T18" s="75">
        <f ca="1"/>
        <v>45849</v>
      </c>
      <c r="U18" s="62" t="str">
        <f ca="1"/>
        <v>02332886001178</v>
      </c>
      <c r="V18" s="76" t="str">
        <f ca="1"/>
        <v>XP INVESTIMENTOS CCTVM</v>
      </c>
      <c r="W18" s="62">
        <f ca="1"/>
        <v>2316944</v>
      </c>
      <c r="X18" s="76" t="str">
        <f ca="1"/>
        <v>CLASSE UNICA DO WESTERN ASSET TOTAL CREDIT ADVISOR</v>
      </c>
      <c r="Y18" s="62" t="str">
        <f ca="1"/>
        <v>28320756000137</v>
      </c>
      <c r="Z18" s="62" t="str">
        <f ca="1"/>
        <v>FUNDQUOTE</v>
      </c>
      <c r="AA18" s="62" t="str">
        <f ca="1"/>
        <v>FIXED_INCOME</v>
      </c>
      <c r="AB18" s="62" t="str">
        <f ca="1"/>
        <v/>
      </c>
      <c r="AC18" s="77">
        <f ca="1"/>
        <v>155318.7434072867</v>
      </c>
      <c r="AD18" s="78" t="str">
        <f ca="1"/>
        <v>BRL</v>
      </c>
      <c r="AE18" s="87"/>
      <c r="AF18" s="62"/>
      <c r="AG18" s="62" t="str">
        <f ca="1">_xlfn.XLOOKUP(Investimentos!W18,Listas!O:O,Listas!Q:Q,0)</f>
        <v>RF_POS_BRL</v>
      </c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</row>
    <row r="19" spans="1:73" x14ac:dyDescent="0.2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80" t="s">
        <v>273</v>
      </c>
      <c r="O19" s="90">
        <f t="shared" ca="1" si="8"/>
        <v>144239.59065399683</v>
      </c>
      <c r="P19" s="112">
        <f>SUMIFS(Parametros_Portfolio!J:J,Parametros_Portfolio!B:B,Investimentos!$N$16,Parametros_Portfolio!E:E,Investimentos!N19)</f>
        <v>4.0000000000000008E-2</v>
      </c>
      <c r="Q19" s="84"/>
      <c r="R19" s="62"/>
      <c r="S19" s="80"/>
      <c r="T19" s="75">
        <f ca="1"/>
        <v>45849</v>
      </c>
      <c r="U19" s="62" t="str">
        <f ca="1"/>
        <v>02332886001178</v>
      </c>
      <c r="V19" s="76" t="str">
        <f ca="1"/>
        <v>XP INVESTIMENTOS CCTVM</v>
      </c>
      <c r="W19" s="62">
        <f ca="1"/>
        <v>62294975</v>
      </c>
      <c r="X19" s="76" t="str">
        <f ca="1"/>
        <v>TREND CASH CLASSE DE INVESTIMENTO EM COTAS DE CLAS</v>
      </c>
      <c r="Y19" s="62" t="str">
        <f ca="1"/>
        <v>45823918000179</v>
      </c>
      <c r="Z19" s="62" t="str">
        <f ca="1"/>
        <v>FUNDQUOTE</v>
      </c>
      <c r="AA19" s="62" t="str">
        <f ca="1"/>
        <v>FIXED_INCOME</v>
      </c>
      <c r="AB19" s="62" t="str">
        <f ca="1"/>
        <v/>
      </c>
      <c r="AC19" s="77">
        <f ca="1"/>
        <v>42232.654443962281</v>
      </c>
      <c r="AD19" s="78" t="str">
        <f ca="1"/>
        <v>BRL</v>
      </c>
      <c r="AE19" s="87"/>
      <c r="AF19" s="62"/>
      <c r="AG19" s="62" t="str">
        <f ca="1">_xlfn.XLOOKUP(Investimentos!W19,Listas!O:O,Listas!Q:Q,0)</f>
        <v>RF_POS_BRL</v>
      </c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</row>
    <row r="20" spans="1:73" x14ac:dyDescent="0.2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80" t="s">
        <v>275</v>
      </c>
      <c r="O20" s="90">
        <f t="shared" ca="1" si="8"/>
        <v>432718.77196199051</v>
      </c>
      <c r="P20" s="112">
        <f>SUMIFS(Parametros_Portfolio!J:J,Parametros_Portfolio!B:B,Investimentos!$N$16,Parametros_Portfolio!E:E,Investimentos!N20)</f>
        <v>0.12000000000000002</v>
      </c>
      <c r="Q20" s="84"/>
      <c r="R20" s="62"/>
      <c r="S20" s="80"/>
      <c r="T20" s="75">
        <f ca="1"/>
        <v>45849</v>
      </c>
      <c r="U20" s="62" t="str">
        <f ca="1"/>
        <v>02332886001178</v>
      </c>
      <c r="V20" s="76" t="str">
        <f ca="1"/>
        <v>XP INVESTIMENTOS CCTVM</v>
      </c>
      <c r="W20" s="62">
        <f ca="1"/>
        <v>774381</v>
      </c>
      <c r="X20" s="76" t="str">
        <f ca="1"/>
        <v>NTNB - 15/05/2055</v>
      </c>
      <c r="Y20" s="62" t="str">
        <f ca="1"/>
        <v/>
      </c>
      <c r="Z20" s="62" t="str">
        <f ca="1"/>
        <v>TREASURY_LOCAL_NTNB</v>
      </c>
      <c r="AA20" s="62" t="str">
        <f ca="1"/>
        <v>FIXED_INCOME</v>
      </c>
      <c r="AB20" s="62" t="str">
        <f ca="1"/>
        <v/>
      </c>
      <c r="AC20" s="77">
        <f ca="1"/>
        <v>36001.892339999999</v>
      </c>
      <c r="AD20" s="78" t="str">
        <f ca="1"/>
        <v>BRL</v>
      </c>
      <c r="AE20" s="87"/>
      <c r="AF20" s="62"/>
      <c r="AG20" s="62" t="str">
        <f ca="1">_xlfn.XLOOKUP(Investimentos!W20,Listas!O:O,Listas!Q:Q,0)</f>
        <v>RF_IPCA_BRL</v>
      </c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</row>
    <row r="21" spans="1:73" x14ac:dyDescent="0.2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80" t="s">
        <v>279</v>
      </c>
      <c r="O21" s="90">
        <f t="shared" ca="1" si="8"/>
        <v>288479.1813079936</v>
      </c>
      <c r="P21" s="112">
        <f>SUMIFS(Parametros_Portfolio!J:J,Parametros_Portfolio!B:B,Investimentos!$N$16,Parametros_Portfolio!E:E,Investimentos!N21)</f>
        <v>0.08</v>
      </c>
      <c r="Q21" s="84"/>
      <c r="R21" s="62"/>
      <c r="S21" s="80"/>
      <c r="T21" s="75">
        <f ca="1"/>
        <v>45849</v>
      </c>
      <c r="U21" s="62" t="str">
        <f ca="1"/>
        <v>02332886001178</v>
      </c>
      <c r="V21" s="76" t="str">
        <f ca="1"/>
        <v>XP INVESTIMENTOS CCTVM</v>
      </c>
      <c r="W21" s="62">
        <f ca="1"/>
        <v>118705</v>
      </c>
      <c r="X21" s="76" t="str">
        <f ca="1"/>
        <v>NTNB - 15/08/2050</v>
      </c>
      <c r="Y21" s="62" t="str">
        <f ca="1"/>
        <v/>
      </c>
      <c r="Z21" s="62" t="str">
        <f ca="1"/>
        <v>TREASURY_LOCAL_NTNB</v>
      </c>
      <c r="AA21" s="62" t="str">
        <f ca="1"/>
        <v>FIXED_INCOME</v>
      </c>
      <c r="AB21" s="62" t="str">
        <f ca="1"/>
        <v/>
      </c>
      <c r="AC21" s="77">
        <f ca="1"/>
        <v>16370.227532000001</v>
      </c>
      <c r="AD21" s="78" t="str">
        <f ca="1"/>
        <v>BRL</v>
      </c>
      <c r="AE21" s="87"/>
      <c r="AF21" s="62"/>
      <c r="AG21" s="62" t="str">
        <f ca="1">_xlfn.XLOOKUP(Investimentos!W21,Listas!O:O,Listas!Q:Q,0)</f>
        <v>RF_IPCA_BRL</v>
      </c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</row>
    <row r="22" spans="1:73" x14ac:dyDescent="0.2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80" t="s">
        <v>284</v>
      </c>
      <c r="O22" s="90">
        <f t="shared" ca="1" si="8"/>
        <v>28847.91813079936</v>
      </c>
      <c r="P22" s="112">
        <f>SUMIFS(Parametros_Portfolio!J:J,Parametros_Portfolio!B:B,Investimentos!$N$16,Parametros_Portfolio!E:E,Investimentos!N22)</f>
        <v>8.0000000000000002E-3</v>
      </c>
      <c r="Q22" s="84"/>
      <c r="R22" s="62"/>
      <c r="S22" s="80"/>
      <c r="T22" s="75">
        <f ca="1"/>
        <v>45849</v>
      </c>
      <c r="U22" s="62" t="str">
        <f ca="1"/>
        <v>02332886001178</v>
      </c>
      <c r="V22" s="76" t="str">
        <f ca="1"/>
        <v>XP INVESTIMENTOS CCTVM</v>
      </c>
      <c r="W22" s="62">
        <f ca="1"/>
        <v>2330131</v>
      </c>
      <c r="X22" s="76" t="str">
        <f ca="1"/>
        <v>AZ QUEST SUPRA FC FIF MULT CRED PRIV</v>
      </c>
      <c r="Y22" s="62" t="str">
        <f ca="1"/>
        <v>36352498000107</v>
      </c>
      <c r="Z22" s="62" t="str">
        <f ca="1"/>
        <v>FUNDQUOTE</v>
      </c>
      <c r="AA22" s="62" t="str">
        <f ca="1"/>
        <v>MULTIMARKET</v>
      </c>
      <c r="AB22" s="62" t="str">
        <f ca="1"/>
        <v/>
      </c>
      <c r="AC22" s="77">
        <f ca="1"/>
        <v>13850.14313716775</v>
      </c>
      <c r="AD22" s="78" t="str">
        <f ca="1"/>
        <v>BRL</v>
      </c>
      <c r="AE22" s="87"/>
      <c r="AF22" s="62"/>
      <c r="AG22" s="62" t="str">
        <f ca="1">_xlfn.XLOOKUP(Investimentos!W22,Listas!O:O,Listas!Q:Q,0)</f>
        <v>RF_POS_BRL</v>
      </c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</row>
    <row r="23" spans="1:73" x14ac:dyDescent="0.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80" t="s">
        <v>285</v>
      </c>
      <c r="O23" s="90">
        <f t="shared" ca="1" si="8"/>
        <v>324539.07897149283</v>
      </c>
      <c r="P23" s="112">
        <f>SUMIFS(Parametros_Portfolio!J:J,Parametros_Portfolio!B:B,Investimentos!$N$16,Parametros_Portfolio!E:E,Investimentos!N23)</f>
        <v>9.0000000000000011E-2</v>
      </c>
      <c r="Q23" s="84"/>
      <c r="R23" s="62"/>
      <c r="S23" s="80"/>
      <c r="T23" s="75">
        <f ca="1"/>
        <v>45849</v>
      </c>
      <c r="U23" s="62" t="str">
        <f ca="1"/>
        <v>02332886001178</v>
      </c>
      <c r="V23" s="76" t="str">
        <f ca="1"/>
        <v>XP INVESTIMENTOS CCTVM</v>
      </c>
      <c r="W23" s="62">
        <f ca="1"/>
        <v>2438005</v>
      </c>
      <c r="X23" s="76" t="str">
        <f ca="1"/>
        <v>ARTESANAL CRED PRIV FIC FIM</v>
      </c>
      <c r="Y23" s="62" t="str">
        <f ca="1"/>
        <v>20441301000168</v>
      </c>
      <c r="Z23" s="62" t="str">
        <f ca="1"/>
        <v>FUNDQUOTE</v>
      </c>
      <c r="AA23" s="62" t="str">
        <f ca="1"/>
        <v>MULTIMARKET</v>
      </c>
      <c r="AB23" s="62" t="str">
        <f ca="1"/>
        <v/>
      </c>
      <c r="AC23" s="77">
        <f ca="1"/>
        <v>64716.722006279299</v>
      </c>
      <c r="AD23" s="78" t="str">
        <f ca="1"/>
        <v>BRL</v>
      </c>
      <c r="AE23" s="87"/>
      <c r="AF23" s="62"/>
      <c r="AG23" s="62" t="str">
        <f ca="1">_xlfn.XLOOKUP(Investimentos!W23,Listas!O:O,Listas!Q:Q,0)</f>
        <v>RF_POS_BRL</v>
      </c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</row>
    <row r="24" spans="1:73" x14ac:dyDescent="0.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80" t="s">
        <v>287</v>
      </c>
      <c r="O24" s="90">
        <f t="shared" ca="1" si="8"/>
        <v>389446.89476579143</v>
      </c>
      <c r="P24" s="112">
        <f>SUMIFS(Parametros_Portfolio!J:J,Parametros_Portfolio!B:B,Investimentos!$N$16,Parametros_Portfolio!E:E,Investimentos!N24)</f>
        <v>0.10800000000000001</v>
      </c>
      <c r="Q24" s="84"/>
      <c r="R24" s="62"/>
      <c r="S24" s="80"/>
      <c r="T24" s="75">
        <f ca="1"/>
        <v>45849</v>
      </c>
      <c r="U24" s="62" t="str">
        <f ca="1"/>
        <v>02332886001178</v>
      </c>
      <c r="V24" s="76" t="str">
        <f ca="1"/>
        <v>XP INVESTIMENTOS CCTVM</v>
      </c>
      <c r="W24" s="62">
        <f ca="1"/>
        <v>62817583</v>
      </c>
      <c r="X24" s="76" t="str">
        <f ca="1"/>
        <v>CDII11</v>
      </c>
      <c r="Y24" s="62" t="str">
        <f ca="1"/>
        <v/>
      </c>
      <c r="Z24" s="62" t="str">
        <f ca="1"/>
        <v>FII</v>
      </c>
      <c r="AA24" s="62" t="str">
        <f ca="1"/>
        <v>STOCKS</v>
      </c>
      <c r="AB24" s="62" t="str">
        <f ca="1"/>
        <v/>
      </c>
      <c r="AC24" s="77">
        <f ca="1"/>
        <v>273603.15000000002</v>
      </c>
      <c r="AD24" s="78" t="str">
        <f ca="1"/>
        <v>BRL</v>
      </c>
      <c r="AE24" s="87"/>
      <c r="AF24" s="62"/>
      <c r="AG24" s="62" t="str">
        <f ca="1">_xlfn.XLOOKUP(Investimentos!W24,Listas!O:O,Listas!Q:Q,0)</f>
        <v>RF_POS_BRL</v>
      </c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</row>
    <row r="25" spans="1:73" ht="20" thickBot="1" x14ac:dyDescent="0.25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80" t="s">
        <v>292</v>
      </c>
      <c r="O25" s="103">
        <f t="shared" ca="1" si="8"/>
        <v>7211.9795326998401</v>
      </c>
      <c r="P25" s="106">
        <f>SUMIFS(Parametros_Portfolio!J:J,Parametros_Portfolio!B:B,Investimentos!$N$16,Parametros_Portfolio!E:E,Investimentos!N25)</f>
        <v>2E-3</v>
      </c>
      <c r="Q25" s="84"/>
      <c r="R25" s="62"/>
      <c r="S25" s="80"/>
      <c r="T25" s="75">
        <f ca="1"/>
        <v>45849</v>
      </c>
      <c r="U25" s="62" t="str">
        <f ca="1"/>
        <v>02332886001178</v>
      </c>
      <c r="V25" s="76" t="str">
        <f ca="1"/>
        <v>XP INVESTIMENTOS CCTVM</v>
      </c>
      <c r="W25" s="62">
        <f ca="1"/>
        <v>58422506</v>
      </c>
      <c r="X25" s="76" t="str">
        <f ca="1"/>
        <v>CRA BRF MAI/2031 CRA0210013B</v>
      </c>
      <c r="Y25" s="62" t="str">
        <f ca="1"/>
        <v/>
      </c>
      <c r="Z25" s="62" t="str">
        <f ca="1"/>
        <v>CORPORATE_BONDS_CRA</v>
      </c>
      <c r="AA25" s="62" t="str">
        <f ca="1"/>
        <v>FIXED_INCOME</v>
      </c>
      <c r="AB25" s="62" t="str">
        <f ca="1"/>
        <v>25005683000109</v>
      </c>
      <c r="AC25" s="77">
        <f ca="1"/>
        <v>55729.498800000001</v>
      </c>
      <c r="AD25" s="78" t="str">
        <f ca="1"/>
        <v>BRL</v>
      </c>
      <c r="AE25" s="87"/>
      <c r="AF25" s="62"/>
      <c r="AG25" s="62" t="str">
        <f ca="1">_xlfn.XLOOKUP(Investimentos!W25,Listas!O:O,Listas!Q:Q,0)</f>
        <v>RF_IPCA_BRL</v>
      </c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</row>
    <row r="26" spans="1:73" ht="20" thickBot="1" x14ac:dyDescent="0.25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93" t="s">
        <v>568</v>
      </c>
      <c r="O26" s="94">
        <f ca="1">C17</f>
        <v>3605989.7663499201</v>
      </c>
      <c r="P26" s="95">
        <f>SUM(P17:P25)</f>
        <v>1</v>
      </c>
      <c r="Q26" s="96"/>
      <c r="R26" s="62"/>
      <c r="S26" s="80"/>
      <c r="T26" s="75">
        <f ca="1"/>
        <v>45849</v>
      </c>
      <c r="U26" s="62" t="str">
        <f ca="1"/>
        <v>02332886001178</v>
      </c>
      <c r="V26" s="76" t="str">
        <f ca="1"/>
        <v>XP INVESTIMENTOS CCTVM</v>
      </c>
      <c r="W26" s="62">
        <f ca="1"/>
        <v>2330402</v>
      </c>
      <c r="X26" s="76" t="str">
        <f ca="1"/>
        <v>CLASSE UNICA DE COTAS DO RIZA LOTUS FI</v>
      </c>
      <c r="Y26" s="62" t="str">
        <f ca="1"/>
        <v>36498670000127</v>
      </c>
      <c r="Z26" s="62" t="str">
        <f ca="1"/>
        <v>FUNDQUOTE</v>
      </c>
      <c r="AA26" s="62" t="str">
        <f ca="1"/>
        <v>FIXED_INCOME</v>
      </c>
      <c r="AB26" s="62" t="str">
        <f ca="1"/>
        <v/>
      </c>
      <c r="AC26" s="77">
        <f ca="1"/>
        <v>115303.85905529041</v>
      </c>
      <c r="AD26" s="78" t="str">
        <f ca="1"/>
        <v>BRL</v>
      </c>
      <c r="AE26" s="87"/>
      <c r="AF26" s="62"/>
      <c r="AG26" s="62" t="str">
        <f ca="1">_xlfn.XLOOKUP(Investimentos!W26,Listas!O:O,Listas!Q:Q,0)</f>
        <v>RF_POS_BRL</v>
      </c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</row>
    <row r="27" spans="1:73" x14ac:dyDescent="0.2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80"/>
      <c r="T27" s="75">
        <f ca="1"/>
        <v>45849</v>
      </c>
      <c r="U27" s="62" t="str">
        <f ca="1"/>
        <v>02332886001178</v>
      </c>
      <c r="V27" s="76" t="str">
        <f ca="1"/>
        <v>XP INVESTIMENTOS CCTVM</v>
      </c>
      <c r="W27" s="62">
        <f ca="1"/>
        <v>58065287</v>
      </c>
      <c r="X27" s="76" t="str">
        <f ca="1"/>
        <v>JURO11</v>
      </c>
      <c r="Y27" s="62" t="str">
        <f ca="1"/>
        <v/>
      </c>
      <c r="Z27" s="62" t="str">
        <f ca="1"/>
        <v>FII</v>
      </c>
      <c r="AA27" s="62" t="str">
        <f ca="1"/>
        <v>STOCKS</v>
      </c>
      <c r="AB27" s="62" t="str">
        <f ca="1"/>
        <v/>
      </c>
      <c r="AC27" s="77">
        <f ca="1"/>
        <v>125653.85</v>
      </c>
      <c r="AD27" s="78" t="str">
        <f ca="1"/>
        <v>BRL</v>
      </c>
      <c r="AE27" s="87"/>
      <c r="AF27" s="62"/>
      <c r="AG27" s="62" t="str">
        <f ca="1">_xlfn.XLOOKUP(Investimentos!W27,Listas!O:O,Listas!Q:Q,0)</f>
        <v>RF_IPCA_BRL</v>
      </c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</row>
    <row r="28" spans="1:73" x14ac:dyDescent="0.2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80"/>
      <c r="T28" s="75">
        <f ca="1"/>
        <v>45849</v>
      </c>
      <c r="U28" s="62" t="str">
        <f ca="1"/>
        <v>02332886001178</v>
      </c>
      <c r="V28" s="76" t="str">
        <f ca="1"/>
        <v>XP INVESTIMENTOS CCTVM</v>
      </c>
      <c r="W28" s="62">
        <f ca="1"/>
        <v>62657342</v>
      </c>
      <c r="X28" s="76" t="str">
        <f ca="1"/>
        <v>CRAA11</v>
      </c>
      <c r="Y28" s="62" t="str">
        <f ca="1"/>
        <v/>
      </c>
      <c r="Z28" s="62" t="str">
        <f ca="1"/>
        <v>FII</v>
      </c>
      <c r="AA28" s="62" t="str">
        <f ca="1"/>
        <v>STOCKS</v>
      </c>
      <c r="AB28" s="62" t="str">
        <f ca="1"/>
        <v/>
      </c>
      <c r="AC28" s="77">
        <f ca="1"/>
        <v>55728.6</v>
      </c>
      <c r="AD28" s="78" t="str">
        <f ca="1"/>
        <v>BRL</v>
      </c>
      <c r="AE28" s="87"/>
      <c r="AF28" s="62"/>
      <c r="AG28" s="62" t="str">
        <f ca="1">_xlfn.XLOOKUP(Investimentos!W28,Listas!O:O,Listas!Q:Q,0)</f>
        <v>MM_BRL</v>
      </c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</row>
    <row r="29" spans="1:73" x14ac:dyDescent="0.2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80"/>
      <c r="T29" s="75">
        <f ca="1"/>
        <v>45849</v>
      </c>
      <c r="U29" s="62" t="str">
        <f ca="1"/>
        <v>AVENUE</v>
      </c>
      <c r="V29" s="76" t="str">
        <f ca="1"/>
        <v>AVENUE</v>
      </c>
      <c r="W29" s="62">
        <f ca="1"/>
        <v>132069</v>
      </c>
      <c r="X29" s="76" t="str">
        <f ca="1"/>
        <v>IWM</v>
      </c>
      <c r="Y29" s="62" t="str">
        <f ca="1"/>
        <v/>
      </c>
      <c r="Z29" s="62" t="str">
        <f ca="1"/>
        <v>OFFSHORE_ETF</v>
      </c>
      <c r="AA29" s="62" t="str">
        <f ca="1"/>
        <v>OFFSHORE</v>
      </c>
      <c r="AB29" s="62" t="str">
        <f ca="1"/>
        <v/>
      </c>
      <c r="AC29" s="77">
        <f ca="1"/>
        <v>7212.2488257679997</v>
      </c>
      <c r="AD29" s="78" t="str">
        <f ca="1"/>
        <v>BRL</v>
      </c>
      <c r="AE29" s="87"/>
      <c r="AF29" s="62"/>
      <c r="AG29" s="62" t="str">
        <f ca="1">_xlfn.XLOOKUP(Investimentos!W29,Listas!O:O,Listas!Q:Q,0)</f>
        <v>RV_USD</v>
      </c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</row>
    <row r="30" spans="1:73" x14ac:dyDescent="0.2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80"/>
      <c r="T30" s="75">
        <f ca="1"/>
        <v>45849</v>
      </c>
      <c r="U30" s="62" t="str">
        <f ca="1"/>
        <v>02332886001178</v>
      </c>
      <c r="V30" s="76" t="str">
        <f ca="1"/>
        <v>XP INVESTIMENTOS CCTVM</v>
      </c>
      <c r="W30" s="62">
        <f ca="1"/>
        <v>2330426</v>
      </c>
      <c r="X30" s="76" t="str">
        <f ca="1"/>
        <v>CLASSE UNICA DE COTAS DO AZ QUEST BAYES LONG BIASE</v>
      </c>
      <c r="Y30" s="62" t="str">
        <f ca="1"/>
        <v>36499625000197</v>
      </c>
      <c r="Z30" s="62" t="str">
        <f ca="1"/>
        <v>FUNDQUOTE</v>
      </c>
      <c r="AA30" s="62" t="str">
        <f ca="1"/>
        <v>STOCKS</v>
      </c>
      <c r="AB30" s="62" t="str">
        <f ca="1"/>
        <v/>
      </c>
      <c r="AC30" s="77">
        <f ca="1"/>
        <v>16954.95964004087</v>
      </c>
      <c r="AD30" s="78" t="str">
        <f ca="1"/>
        <v>BRL</v>
      </c>
      <c r="AE30" s="87"/>
      <c r="AF30" s="62"/>
      <c r="AG30" s="62" t="str">
        <f ca="1">_xlfn.XLOOKUP(Investimentos!W30,Listas!O:O,Listas!Q:Q,0)</f>
        <v>RV_BRL</v>
      </c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</row>
    <row r="31" spans="1:73" x14ac:dyDescent="0.2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80"/>
      <c r="T31" s="75">
        <f ca="1"/>
        <v>45849</v>
      </c>
      <c r="U31" s="62" t="str">
        <f ca="1"/>
        <v>02332886001178</v>
      </c>
      <c r="V31" s="76" t="str">
        <f ca="1"/>
        <v>XP INVESTIMENTOS CCTVM</v>
      </c>
      <c r="W31" s="62">
        <f ca="1"/>
        <v>5558135</v>
      </c>
      <c r="X31" s="76" t="str">
        <f ca="1"/>
        <v>CRA VAMOS NOV/2030 CRA020003PY</v>
      </c>
      <c r="Y31" s="62" t="str">
        <f ca="1"/>
        <v/>
      </c>
      <c r="Z31" s="62" t="str">
        <f ca="1"/>
        <v>CORPORATE_BONDS_CRA</v>
      </c>
      <c r="AA31" s="62" t="str">
        <f ca="1"/>
        <v>FIXED_INCOME</v>
      </c>
      <c r="AB31" s="62" t="str">
        <f ca="1"/>
        <v>10753164000143</v>
      </c>
      <c r="AC31" s="77">
        <f ca="1"/>
        <v>53247.818339999998</v>
      </c>
      <c r="AD31" s="78" t="str">
        <f ca="1"/>
        <v>BRL</v>
      </c>
      <c r="AE31" s="87"/>
      <c r="AF31" s="62"/>
      <c r="AG31" s="62" t="str">
        <f ca="1">_xlfn.XLOOKUP(Investimentos!W31,Listas!O:O,Listas!Q:Q,0)</f>
        <v>RF_IPCA_BRL</v>
      </c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</row>
    <row r="32" spans="1:73" x14ac:dyDescent="0.2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80"/>
      <c r="T32" s="75">
        <f ca="1"/>
        <v>45849</v>
      </c>
      <c r="U32" s="62" t="str">
        <f ca="1"/>
        <v>02332886001178</v>
      </c>
      <c r="V32" s="76" t="str">
        <f ca="1"/>
        <v>XP INVESTIMENTOS CCTVM</v>
      </c>
      <c r="W32" s="62">
        <f ca="1"/>
        <v>122979</v>
      </c>
      <c r="X32" s="76" t="str">
        <f ca="1"/>
        <v>KNCR11</v>
      </c>
      <c r="Y32" s="62" t="str">
        <f ca="1"/>
        <v/>
      </c>
      <c r="Z32" s="62" t="str">
        <f ca="1"/>
        <v>FII</v>
      </c>
      <c r="AA32" s="62" t="str">
        <f ca="1"/>
        <v>STOCKS</v>
      </c>
      <c r="AB32" s="62" t="str">
        <f ca="1"/>
        <v/>
      </c>
      <c r="AC32" s="77">
        <f ca="1"/>
        <v>123129.53</v>
      </c>
      <c r="AD32" s="78" t="str">
        <f ca="1"/>
        <v>BRL</v>
      </c>
      <c r="AE32" s="87"/>
      <c r="AF32" s="62"/>
      <c r="AG32" s="62" t="str">
        <f ca="1">_xlfn.XLOOKUP(Investimentos!W32,Listas!O:O,Listas!Q:Q,0)</f>
        <v>RF_POS_BRL</v>
      </c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</row>
    <row r="33" spans="1:73" x14ac:dyDescent="0.2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80"/>
      <c r="T33" s="75">
        <f ca="1"/>
        <v>45849</v>
      </c>
      <c r="U33" s="62" t="str">
        <f ca="1"/>
        <v>02332886001178</v>
      </c>
      <c r="V33" s="76" t="str">
        <f ca="1"/>
        <v>XP INVESTIMENTOS CCTVM</v>
      </c>
      <c r="W33" s="62">
        <f ca="1"/>
        <v>5926123</v>
      </c>
      <c r="X33" s="76" t="str">
        <f ca="1"/>
        <v>ELPLA5</v>
      </c>
      <c r="Y33" s="62" t="str">
        <f ca="1"/>
        <v/>
      </c>
      <c r="Z33" s="62" t="str">
        <f ca="1"/>
        <v>CORPORATE_BONDS_DEBENTURE</v>
      </c>
      <c r="AA33" s="62" t="str">
        <f ca="1"/>
        <v>FIXED_INCOME</v>
      </c>
      <c r="AB33" s="62" t="str">
        <f ca="1"/>
        <v/>
      </c>
      <c r="AC33" s="77">
        <f ca="1"/>
        <v>26555.987880000001</v>
      </c>
      <c r="AD33" s="78" t="str">
        <f ca="1"/>
        <v>BRL</v>
      </c>
      <c r="AE33" s="87"/>
      <c r="AF33" s="62"/>
      <c r="AG33" s="62" t="str">
        <f ca="1">_xlfn.XLOOKUP(Investimentos!W33,Listas!O:O,Listas!Q:Q,0)</f>
        <v>RF_IPCA_BRL</v>
      </c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</row>
    <row r="34" spans="1:73" x14ac:dyDescent="0.2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80"/>
      <c r="T34" s="75">
        <f ca="1"/>
        <v>45849</v>
      </c>
      <c r="U34" s="62" t="str">
        <f ca="1"/>
        <v>02332886001178</v>
      </c>
      <c r="V34" s="76" t="str">
        <f ca="1"/>
        <v>XP INVESTIMENTOS CCTVM</v>
      </c>
      <c r="W34" s="62">
        <f ca="1"/>
        <v>118689</v>
      </c>
      <c r="X34" s="76" t="str">
        <f ca="1"/>
        <v>NTNF - 01/01/2031</v>
      </c>
      <c r="Y34" s="62" t="str">
        <f ca="1"/>
        <v/>
      </c>
      <c r="Z34" s="62" t="str">
        <f ca="1"/>
        <v>TREASURY_LOCAL_NTNF</v>
      </c>
      <c r="AA34" s="62" t="str">
        <f ca="1"/>
        <v>FIXED_INCOME</v>
      </c>
      <c r="AB34" s="62" t="str">
        <f ca="1"/>
        <v/>
      </c>
      <c r="AC34" s="77">
        <f ca="1"/>
        <v>22657.892061999999</v>
      </c>
      <c r="AD34" s="78" t="str">
        <f ca="1"/>
        <v>BRL</v>
      </c>
      <c r="AE34" s="87"/>
      <c r="AF34" s="62"/>
      <c r="AG34" s="62" t="str">
        <f ca="1">_xlfn.XLOOKUP(Investimentos!W34,Listas!O:O,Listas!Q:Q,0)</f>
        <v>RF_PRE_BRL</v>
      </c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</row>
    <row r="35" spans="1:73" x14ac:dyDescent="0.2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80"/>
      <c r="T35" s="75"/>
      <c r="U35" s="62"/>
      <c r="V35" s="76"/>
      <c r="W35" s="62"/>
      <c r="X35" s="76"/>
      <c r="Y35" s="62"/>
      <c r="Z35" s="62"/>
      <c r="AA35" s="62"/>
      <c r="AB35" s="62"/>
      <c r="AC35" s="77"/>
      <c r="AD35" s="78"/>
      <c r="AE35" s="87"/>
      <c r="AF35" s="62"/>
      <c r="AG35" s="62">
        <f>_xlfn.XLOOKUP(Investimentos!W35,Listas!O:O,Listas!Q:Q,0)</f>
        <v>0</v>
      </c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</row>
    <row r="36" spans="1:73" x14ac:dyDescent="0.2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80"/>
      <c r="T36" s="75"/>
      <c r="U36" s="62"/>
      <c r="V36" s="76"/>
      <c r="W36" s="62"/>
      <c r="X36" s="76"/>
      <c r="Y36" s="62"/>
      <c r="Z36" s="62"/>
      <c r="AA36" s="62"/>
      <c r="AB36" s="62"/>
      <c r="AC36" s="77"/>
      <c r="AD36" s="78"/>
      <c r="AE36" s="87"/>
      <c r="AF36" s="62"/>
      <c r="AG36" s="62">
        <f>_xlfn.XLOOKUP(Investimentos!W36,Listas!O:O,Listas!Q:Q,0)</f>
        <v>0</v>
      </c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</row>
    <row r="37" spans="1:73" x14ac:dyDescent="0.2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80"/>
      <c r="T37" s="75"/>
      <c r="U37" s="62"/>
      <c r="V37" s="76"/>
      <c r="W37" s="62"/>
      <c r="X37" s="76"/>
      <c r="Y37" s="62"/>
      <c r="Z37" s="62"/>
      <c r="AA37" s="62"/>
      <c r="AB37" s="62"/>
      <c r="AC37" s="77"/>
      <c r="AD37" s="78"/>
      <c r="AE37" s="87"/>
      <c r="AF37" s="62"/>
      <c r="AG37" s="62">
        <f>_xlfn.XLOOKUP(Investimentos!W37,Listas!O:O,Listas!Q:Q,0)</f>
        <v>0</v>
      </c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</row>
    <row r="38" spans="1:73" x14ac:dyDescent="0.2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80"/>
      <c r="T38" s="75"/>
      <c r="U38" s="62"/>
      <c r="V38" s="76"/>
      <c r="W38" s="62"/>
      <c r="X38" s="76"/>
      <c r="Y38" s="62"/>
      <c r="Z38" s="62"/>
      <c r="AA38" s="62"/>
      <c r="AB38" s="62"/>
      <c r="AC38" s="77"/>
      <c r="AD38" s="78"/>
      <c r="AE38" s="87"/>
      <c r="AF38" s="62"/>
      <c r="AG38" s="62">
        <f>_xlfn.XLOOKUP(Investimentos!W38,Listas!O:O,Listas!Q:Q,0)</f>
        <v>0</v>
      </c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</row>
    <row r="39" spans="1:73" x14ac:dyDescent="0.2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80"/>
      <c r="T39" s="75"/>
      <c r="U39" s="62"/>
      <c r="V39" s="76"/>
      <c r="W39" s="62"/>
      <c r="X39" s="76"/>
      <c r="Y39" s="62"/>
      <c r="Z39" s="62"/>
      <c r="AA39" s="62"/>
      <c r="AB39" s="62"/>
      <c r="AC39" s="77"/>
      <c r="AD39" s="78"/>
      <c r="AE39" s="87"/>
      <c r="AF39" s="62"/>
      <c r="AG39" s="62">
        <f>_xlfn.XLOOKUP(Investimentos!W39,Listas!O:O,Listas!Q:Q,0)</f>
        <v>0</v>
      </c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</row>
    <row r="40" spans="1:73" x14ac:dyDescent="0.2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80"/>
      <c r="T40" s="75"/>
      <c r="U40" s="62"/>
      <c r="V40" s="76"/>
      <c r="W40" s="62"/>
      <c r="X40" s="76"/>
      <c r="Y40" s="62"/>
      <c r="Z40" s="62"/>
      <c r="AA40" s="62"/>
      <c r="AB40" s="62"/>
      <c r="AC40" s="77"/>
      <c r="AD40" s="78"/>
      <c r="AE40" s="87"/>
      <c r="AF40" s="62"/>
      <c r="AG40" s="62">
        <f>_xlfn.XLOOKUP(Investimentos!W40,Listas!O:O,Listas!Q:Q,0)</f>
        <v>0</v>
      </c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</row>
    <row r="41" spans="1:73" x14ac:dyDescent="0.2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80"/>
      <c r="T41" s="75"/>
      <c r="U41" s="62"/>
      <c r="V41" s="76"/>
      <c r="W41" s="62"/>
      <c r="X41" s="76"/>
      <c r="Y41" s="62"/>
      <c r="Z41" s="62"/>
      <c r="AA41" s="62"/>
      <c r="AB41" s="62"/>
      <c r="AC41" s="77"/>
      <c r="AD41" s="78"/>
      <c r="AE41" s="87"/>
      <c r="AF41" s="62"/>
      <c r="AG41" s="62">
        <f>_xlfn.XLOOKUP(Investimentos!W41,Listas!O:O,Listas!Q:Q,0)</f>
        <v>0</v>
      </c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</row>
    <row r="42" spans="1:73" x14ac:dyDescent="0.2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80"/>
      <c r="T42" s="75"/>
      <c r="U42" s="62"/>
      <c r="V42" s="76"/>
      <c r="W42" s="62"/>
      <c r="X42" s="76"/>
      <c r="Y42" s="62"/>
      <c r="Z42" s="62"/>
      <c r="AA42" s="62"/>
      <c r="AB42" s="62"/>
      <c r="AC42" s="77"/>
      <c r="AD42" s="78"/>
      <c r="AE42" s="87"/>
      <c r="AF42" s="62"/>
      <c r="AG42" s="62">
        <f>_xlfn.XLOOKUP(Investimentos!W42,Listas!O:O,Listas!Q:Q,0)</f>
        <v>0</v>
      </c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</row>
    <row r="43" spans="1:73" x14ac:dyDescent="0.2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80"/>
      <c r="T43" s="75"/>
      <c r="U43" s="62"/>
      <c r="V43" s="76"/>
      <c r="W43" s="62"/>
      <c r="X43" s="76"/>
      <c r="Y43" s="62"/>
      <c r="Z43" s="62"/>
      <c r="AA43" s="62"/>
      <c r="AB43" s="62"/>
      <c r="AC43" s="77"/>
      <c r="AD43" s="78"/>
      <c r="AE43" s="87"/>
      <c r="AF43" s="62"/>
      <c r="AG43" s="62">
        <f>_xlfn.XLOOKUP(Investimentos!W43,Listas!O:O,Listas!Q:Q,0)</f>
        <v>0</v>
      </c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</row>
    <row r="44" spans="1:73" x14ac:dyDescent="0.2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80"/>
      <c r="T44" s="75"/>
      <c r="U44" s="62"/>
      <c r="V44" s="76"/>
      <c r="W44" s="62"/>
      <c r="X44" s="76"/>
      <c r="Y44" s="62"/>
      <c r="Z44" s="62"/>
      <c r="AA44" s="62"/>
      <c r="AB44" s="62"/>
      <c r="AC44" s="77"/>
      <c r="AD44" s="78"/>
      <c r="AE44" s="87"/>
      <c r="AF44" s="62"/>
      <c r="AG44" s="62">
        <f>_xlfn.XLOOKUP(Investimentos!W44,Listas!O:O,Listas!Q:Q,0)</f>
        <v>0</v>
      </c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</row>
    <row r="45" spans="1:73" x14ac:dyDescent="0.2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80"/>
      <c r="T45" s="75"/>
      <c r="U45" s="62"/>
      <c r="V45" s="76"/>
      <c r="W45" s="62"/>
      <c r="X45" s="76"/>
      <c r="Y45" s="62"/>
      <c r="Z45" s="62"/>
      <c r="AA45" s="62"/>
      <c r="AB45" s="62"/>
      <c r="AC45" s="77"/>
      <c r="AD45" s="78"/>
      <c r="AE45" s="87"/>
      <c r="AF45" s="62"/>
      <c r="AG45" s="62">
        <f>_xlfn.XLOOKUP(Investimentos!W45,Listas!O:O,Listas!Q:Q,0)</f>
        <v>0</v>
      </c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</row>
    <row r="46" spans="1:73" x14ac:dyDescent="0.2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80"/>
      <c r="T46" s="75"/>
      <c r="U46" s="62"/>
      <c r="V46" s="76"/>
      <c r="W46" s="62"/>
      <c r="X46" s="76"/>
      <c r="Y46" s="62"/>
      <c r="Z46" s="62"/>
      <c r="AA46" s="62"/>
      <c r="AB46" s="62"/>
      <c r="AC46" s="77"/>
      <c r="AD46" s="78"/>
      <c r="AE46" s="87"/>
      <c r="AF46" s="62"/>
      <c r="AG46" s="62">
        <f>_xlfn.XLOOKUP(Investimentos!W46,Listas!O:O,Listas!Q:Q,0)</f>
        <v>0</v>
      </c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</row>
    <row r="47" spans="1:73" x14ac:dyDescent="0.2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80"/>
      <c r="T47" s="75"/>
      <c r="U47" s="62"/>
      <c r="V47" s="76"/>
      <c r="W47" s="62"/>
      <c r="X47" s="76"/>
      <c r="Y47" s="62"/>
      <c r="Z47" s="62"/>
      <c r="AA47" s="62"/>
      <c r="AB47" s="62"/>
      <c r="AC47" s="77"/>
      <c r="AD47" s="78"/>
      <c r="AE47" s="87"/>
      <c r="AF47" s="62"/>
      <c r="AG47" s="62">
        <f>_xlfn.XLOOKUP(Investimentos!W47,Listas!O:O,Listas!Q:Q,0)</f>
        <v>0</v>
      </c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</row>
    <row r="48" spans="1:73" x14ac:dyDescent="0.2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80"/>
      <c r="T48" s="75"/>
      <c r="U48" s="62"/>
      <c r="V48" s="76"/>
      <c r="W48" s="62"/>
      <c r="X48" s="76"/>
      <c r="Y48" s="62"/>
      <c r="Z48" s="62"/>
      <c r="AA48" s="62"/>
      <c r="AB48" s="62"/>
      <c r="AC48" s="77"/>
      <c r="AD48" s="78"/>
      <c r="AE48" s="87"/>
      <c r="AF48" s="62"/>
      <c r="AG48" s="62">
        <f>_xlfn.XLOOKUP(Investimentos!W48,Listas!O:O,Listas!Q:Q,0)</f>
        <v>0</v>
      </c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</row>
    <row r="49" spans="1:73" x14ac:dyDescent="0.2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80"/>
      <c r="T49" s="75"/>
      <c r="U49" s="62"/>
      <c r="V49" s="76"/>
      <c r="W49" s="62"/>
      <c r="X49" s="76"/>
      <c r="Y49" s="62"/>
      <c r="Z49" s="62"/>
      <c r="AA49" s="62"/>
      <c r="AB49" s="62"/>
      <c r="AC49" s="77"/>
      <c r="AD49" s="78"/>
      <c r="AE49" s="87"/>
      <c r="AF49" s="62"/>
      <c r="AG49" s="62">
        <f>_xlfn.XLOOKUP(Investimentos!W49,Listas!O:O,Listas!Q:Q,0)</f>
        <v>0</v>
      </c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</row>
    <row r="50" spans="1:73" x14ac:dyDescent="0.2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80"/>
      <c r="T50" s="75"/>
      <c r="U50" s="62"/>
      <c r="V50" s="76"/>
      <c r="W50" s="62"/>
      <c r="X50" s="76"/>
      <c r="Y50" s="62"/>
      <c r="Z50" s="62"/>
      <c r="AA50" s="62"/>
      <c r="AB50" s="62"/>
      <c r="AC50" s="77"/>
      <c r="AD50" s="78"/>
      <c r="AE50" s="87"/>
      <c r="AF50" s="62"/>
      <c r="AG50" s="62">
        <f>_xlfn.XLOOKUP(Investimentos!W50,Listas!O:O,Listas!Q:Q,0)</f>
        <v>0</v>
      </c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</row>
    <row r="51" spans="1:73" x14ac:dyDescent="0.2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80"/>
      <c r="T51" s="75"/>
      <c r="U51" s="62"/>
      <c r="V51" s="76"/>
      <c r="W51" s="62"/>
      <c r="X51" s="76"/>
      <c r="Y51" s="62"/>
      <c r="Z51" s="62"/>
      <c r="AA51" s="62"/>
      <c r="AB51" s="62"/>
      <c r="AC51" s="77"/>
      <c r="AD51" s="78"/>
      <c r="AE51" s="87"/>
      <c r="AF51" s="62"/>
      <c r="AG51" s="62">
        <f>_xlfn.XLOOKUP(Investimentos!W51,Listas!O:O,Listas!Q:Q,0)</f>
        <v>0</v>
      </c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</row>
    <row r="52" spans="1:73" x14ac:dyDescent="0.2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80"/>
      <c r="T52" s="75"/>
      <c r="U52" s="62"/>
      <c r="V52" s="76"/>
      <c r="W52" s="62"/>
      <c r="X52" s="76"/>
      <c r="Y52" s="62"/>
      <c r="Z52" s="62"/>
      <c r="AA52" s="62"/>
      <c r="AB52" s="62"/>
      <c r="AC52" s="77"/>
      <c r="AD52" s="78"/>
      <c r="AE52" s="87"/>
      <c r="AF52" s="62"/>
      <c r="AG52" s="62">
        <f>_xlfn.XLOOKUP(Investimentos!W52,Listas!O:O,Listas!Q:Q,0)</f>
        <v>0</v>
      </c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</row>
    <row r="53" spans="1:73" x14ac:dyDescent="0.2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80"/>
      <c r="T53" s="75"/>
      <c r="U53" s="62"/>
      <c r="V53" s="76"/>
      <c r="W53" s="62"/>
      <c r="X53" s="76"/>
      <c r="Y53" s="62"/>
      <c r="Z53" s="62"/>
      <c r="AA53" s="62"/>
      <c r="AB53" s="62"/>
      <c r="AC53" s="77"/>
      <c r="AD53" s="78"/>
      <c r="AE53" s="87"/>
      <c r="AF53" s="62"/>
      <c r="AG53" s="62">
        <f>_xlfn.XLOOKUP(Investimentos!W53,Listas!O:O,Listas!Q:Q,0)</f>
        <v>0</v>
      </c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</row>
    <row r="54" spans="1:73" x14ac:dyDescent="0.2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80"/>
      <c r="T54" s="75"/>
      <c r="U54" s="62"/>
      <c r="V54" s="76"/>
      <c r="W54" s="62"/>
      <c r="X54" s="76"/>
      <c r="Y54" s="62"/>
      <c r="Z54" s="62"/>
      <c r="AA54" s="62"/>
      <c r="AB54" s="62"/>
      <c r="AC54" s="77"/>
      <c r="AD54" s="78"/>
      <c r="AE54" s="87"/>
      <c r="AF54" s="62"/>
      <c r="AG54" s="62">
        <f>_xlfn.XLOOKUP(Investimentos!W54,Listas!O:O,Listas!Q:Q,0)</f>
        <v>0</v>
      </c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</row>
    <row r="55" spans="1:73" x14ac:dyDescent="0.2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80"/>
      <c r="T55" s="75"/>
      <c r="U55" s="62"/>
      <c r="V55" s="76"/>
      <c r="W55" s="62"/>
      <c r="X55" s="76"/>
      <c r="Y55" s="62"/>
      <c r="Z55" s="62"/>
      <c r="AA55" s="62"/>
      <c r="AB55" s="62"/>
      <c r="AC55" s="77"/>
      <c r="AD55" s="78"/>
      <c r="AE55" s="87"/>
      <c r="AF55" s="62"/>
      <c r="AG55" s="62">
        <f>_xlfn.XLOOKUP(Investimentos!W55,Listas!O:O,Listas!Q:Q,0)</f>
        <v>0</v>
      </c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</row>
    <row r="56" spans="1:73" x14ac:dyDescent="0.2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80"/>
      <c r="T56" s="75"/>
      <c r="U56" s="62"/>
      <c r="V56" s="76"/>
      <c r="W56" s="62"/>
      <c r="X56" s="76"/>
      <c r="Y56" s="62"/>
      <c r="Z56" s="62"/>
      <c r="AA56" s="62"/>
      <c r="AB56" s="62"/>
      <c r="AC56" s="77"/>
      <c r="AD56" s="78"/>
      <c r="AE56" s="87"/>
      <c r="AF56" s="62"/>
      <c r="AG56" s="62">
        <f>_xlfn.XLOOKUP(Investimentos!W56,Listas!O:O,Listas!Q:Q,0)</f>
        <v>0</v>
      </c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</row>
    <row r="57" spans="1:73" x14ac:dyDescent="0.2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80"/>
      <c r="T57" s="75"/>
      <c r="U57" s="62"/>
      <c r="V57" s="76"/>
      <c r="W57" s="62"/>
      <c r="X57" s="76"/>
      <c r="Y57" s="62"/>
      <c r="Z57" s="62"/>
      <c r="AA57" s="62"/>
      <c r="AB57" s="62"/>
      <c r="AC57" s="77"/>
      <c r="AD57" s="78"/>
      <c r="AE57" s="87"/>
      <c r="AF57" s="62"/>
      <c r="AG57" s="62">
        <f>_xlfn.XLOOKUP(Investimentos!W57,Listas!O:O,Listas!Q:Q,0)</f>
        <v>0</v>
      </c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</row>
    <row r="58" spans="1:73" x14ac:dyDescent="0.2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80"/>
      <c r="T58" s="75"/>
      <c r="U58" s="62"/>
      <c r="V58" s="76"/>
      <c r="W58" s="62"/>
      <c r="X58" s="76"/>
      <c r="Y58" s="62"/>
      <c r="Z58" s="62"/>
      <c r="AA58" s="62"/>
      <c r="AB58" s="62"/>
      <c r="AC58" s="77"/>
      <c r="AD58" s="78"/>
      <c r="AE58" s="87"/>
      <c r="AF58" s="62"/>
      <c r="AG58" s="62">
        <f>_xlfn.XLOOKUP(Investimentos!W58,Listas!O:O,Listas!Q:Q,0)</f>
        <v>0</v>
      </c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</row>
    <row r="59" spans="1:73" x14ac:dyDescent="0.2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80"/>
      <c r="T59" s="75"/>
      <c r="U59" s="62"/>
      <c r="V59" s="76"/>
      <c r="W59" s="62"/>
      <c r="X59" s="76"/>
      <c r="Y59" s="62"/>
      <c r="Z59" s="62"/>
      <c r="AA59" s="62"/>
      <c r="AB59" s="62"/>
      <c r="AC59" s="77"/>
      <c r="AD59" s="78"/>
      <c r="AE59" s="87"/>
      <c r="AF59" s="62"/>
      <c r="AG59" s="62">
        <f>_xlfn.XLOOKUP(Investimentos!W59,Listas!O:O,Listas!Q:Q,0)</f>
        <v>0</v>
      </c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</row>
    <row r="60" spans="1:73" x14ac:dyDescent="0.2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80"/>
      <c r="T60" s="75"/>
      <c r="U60" s="62"/>
      <c r="V60" s="76"/>
      <c r="W60" s="62"/>
      <c r="X60" s="76"/>
      <c r="Y60" s="62"/>
      <c r="Z60" s="62"/>
      <c r="AA60" s="62"/>
      <c r="AB60" s="62"/>
      <c r="AC60" s="77"/>
      <c r="AD60" s="78"/>
      <c r="AE60" s="87"/>
      <c r="AF60" s="62"/>
      <c r="AG60" s="62">
        <f>_xlfn.XLOOKUP(Investimentos!W60,Listas!O:O,Listas!Q:Q,0)</f>
        <v>0</v>
      </c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</row>
    <row r="61" spans="1:73" x14ac:dyDescent="0.2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80"/>
      <c r="T61" s="75"/>
      <c r="U61" s="62"/>
      <c r="V61" s="76"/>
      <c r="W61" s="62"/>
      <c r="X61" s="76"/>
      <c r="Y61" s="62"/>
      <c r="Z61" s="62"/>
      <c r="AA61" s="62"/>
      <c r="AB61" s="62"/>
      <c r="AC61" s="77"/>
      <c r="AD61" s="78"/>
      <c r="AE61" s="87"/>
      <c r="AF61" s="62"/>
      <c r="AG61" s="62">
        <f>_xlfn.XLOOKUP(Investimentos!W61,Listas!O:O,Listas!Q:Q,0)</f>
        <v>0</v>
      </c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</row>
    <row r="62" spans="1:73" x14ac:dyDescent="0.2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80"/>
      <c r="T62" s="75"/>
      <c r="U62" s="62"/>
      <c r="V62" s="76"/>
      <c r="W62" s="62"/>
      <c r="X62" s="76"/>
      <c r="Y62" s="62"/>
      <c r="Z62" s="62"/>
      <c r="AA62" s="62"/>
      <c r="AB62" s="62"/>
      <c r="AC62" s="77"/>
      <c r="AD62" s="78"/>
      <c r="AE62" s="87"/>
      <c r="AF62" s="62"/>
      <c r="AG62" s="62">
        <f>_xlfn.XLOOKUP(Investimentos!W62,Listas!O:O,Listas!Q:Q,0)</f>
        <v>0</v>
      </c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</row>
    <row r="63" spans="1:73" x14ac:dyDescent="0.2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80"/>
      <c r="T63" s="75"/>
      <c r="U63" s="62"/>
      <c r="V63" s="76"/>
      <c r="W63" s="62"/>
      <c r="X63" s="76"/>
      <c r="Y63" s="62"/>
      <c r="Z63" s="62"/>
      <c r="AA63" s="62"/>
      <c r="AB63" s="62"/>
      <c r="AC63" s="77"/>
      <c r="AD63" s="78"/>
      <c r="AE63" s="87"/>
      <c r="AF63" s="62"/>
      <c r="AG63" s="62">
        <f>_xlfn.XLOOKUP(Investimentos!W63,Listas!O:O,Listas!Q:Q,0)</f>
        <v>0</v>
      </c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</row>
    <row r="64" spans="1:73" x14ac:dyDescent="0.2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80"/>
      <c r="T64" s="75"/>
      <c r="U64" s="62"/>
      <c r="V64" s="76"/>
      <c r="W64" s="62"/>
      <c r="X64" s="76"/>
      <c r="Y64" s="62"/>
      <c r="Z64" s="62"/>
      <c r="AA64" s="62"/>
      <c r="AB64" s="62"/>
      <c r="AC64" s="77"/>
      <c r="AD64" s="78"/>
      <c r="AE64" s="87"/>
      <c r="AF64" s="62"/>
      <c r="AG64" s="62">
        <f>_xlfn.XLOOKUP(Investimentos!W64,Listas!O:O,Listas!Q:Q,0)</f>
        <v>0</v>
      </c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</row>
    <row r="65" spans="1:73" x14ac:dyDescent="0.2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80"/>
      <c r="T65" s="75"/>
      <c r="U65" s="62"/>
      <c r="V65" s="76"/>
      <c r="W65" s="62"/>
      <c r="X65" s="76"/>
      <c r="Y65" s="62"/>
      <c r="Z65" s="62"/>
      <c r="AA65" s="62"/>
      <c r="AB65" s="62"/>
      <c r="AC65" s="77"/>
      <c r="AD65" s="78"/>
      <c r="AE65" s="87"/>
      <c r="AF65" s="62"/>
      <c r="AG65" s="62">
        <f>_xlfn.XLOOKUP(Investimentos!W65,Listas!O:O,Listas!Q:Q,0)</f>
        <v>0</v>
      </c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</row>
    <row r="66" spans="1:73" x14ac:dyDescent="0.2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80"/>
      <c r="T66" s="75"/>
      <c r="U66" s="62"/>
      <c r="V66" s="76"/>
      <c r="W66" s="62"/>
      <c r="X66" s="76"/>
      <c r="Y66" s="62"/>
      <c r="Z66" s="62"/>
      <c r="AA66" s="62"/>
      <c r="AB66" s="62"/>
      <c r="AC66" s="77"/>
      <c r="AD66" s="78"/>
      <c r="AE66" s="87"/>
      <c r="AF66" s="62"/>
      <c r="AG66" s="62">
        <f>_xlfn.XLOOKUP(Investimentos!W66,Listas!O:O,Listas!Q:Q,0)</f>
        <v>0</v>
      </c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</row>
    <row r="67" spans="1:73" x14ac:dyDescent="0.2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80"/>
      <c r="T67" s="75"/>
      <c r="U67" s="62"/>
      <c r="V67" s="76"/>
      <c r="W67" s="62"/>
      <c r="X67" s="76"/>
      <c r="Y67" s="62"/>
      <c r="Z67" s="62"/>
      <c r="AA67" s="62"/>
      <c r="AB67" s="62"/>
      <c r="AC67" s="77"/>
      <c r="AD67" s="78"/>
      <c r="AE67" s="87"/>
      <c r="AF67" s="62"/>
      <c r="AG67" s="62">
        <f>_xlfn.XLOOKUP(Investimentos!W67,Listas!O:O,Listas!Q:Q,0)</f>
        <v>0</v>
      </c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</row>
    <row r="68" spans="1:73" x14ac:dyDescent="0.2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80"/>
      <c r="T68" s="75"/>
      <c r="U68" s="62"/>
      <c r="V68" s="76"/>
      <c r="W68" s="62"/>
      <c r="X68" s="76"/>
      <c r="Y68" s="62"/>
      <c r="Z68" s="62"/>
      <c r="AA68" s="62"/>
      <c r="AB68" s="62"/>
      <c r="AC68" s="77"/>
      <c r="AD68" s="78"/>
      <c r="AE68" s="87"/>
      <c r="AF68" s="62"/>
      <c r="AG68" s="62">
        <f>_xlfn.XLOOKUP(Investimentos!W68,Listas!O:O,Listas!Q:Q,0)</f>
        <v>0</v>
      </c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</row>
    <row r="69" spans="1:73" x14ac:dyDescent="0.2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80"/>
      <c r="T69" s="75"/>
      <c r="U69" s="62"/>
      <c r="V69" s="76"/>
      <c r="W69" s="62"/>
      <c r="X69" s="76"/>
      <c r="Y69" s="62"/>
      <c r="Z69" s="62"/>
      <c r="AA69" s="62"/>
      <c r="AB69" s="62"/>
      <c r="AC69" s="77"/>
      <c r="AD69" s="78"/>
      <c r="AE69" s="87"/>
      <c r="AF69" s="62"/>
      <c r="AG69" s="62">
        <f>_xlfn.XLOOKUP(Investimentos!W69,Listas!O:O,Listas!Q:Q,0)</f>
        <v>0</v>
      </c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</row>
    <row r="70" spans="1:73" x14ac:dyDescent="0.2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80"/>
      <c r="T70" s="75"/>
      <c r="U70" s="62"/>
      <c r="V70" s="76"/>
      <c r="W70" s="62"/>
      <c r="X70" s="76"/>
      <c r="Y70" s="62"/>
      <c r="Z70" s="62"/>
      <c r="AA70" s="62"/>
      <c r="AB70" s="62"/>
      <c r="AC70" s="77"/>
      <c r="AD70" s="78"/>
      <c r="AE70" s="87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</row>
    <row r="71" spans="1:73" x14ac:dyDescent="0.2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80"/>
      <c r="T71" s="75"/>
      <c r="U71" s="62"/>
      <c r="V71" s="76"/>
      <c r="W71" s="62"/>
      <c r="X71" s="76"/>
      <c r="Y71" s="62"/>
      <c r="Z71" s="62"/>
      <c r="AA71" s="62"/>
      <c r="AB71" s="62"/>
      <c r="AC71" s="77"/>
      <c r="AD71" s="78"/>
      <c r="AE71" s="87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</row>
    <row r="72" spans="1:73" x14ac:dyDescent="0.2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80"/>
      <c r="T72" s="75"/>
      <c r="U72" s="62"/>
      <c r="V72" s="76"/>
      <c r="W72" s="62"/>
      <c r="X72" s="76"/>
      <c r="Y72" s="62"/>
      <c r="Z72" s="62"/>
      <c r="AA72" s="62"/>
      <c r="AB72" s="62"/>
      <c r="AC72" s="77"/>
      <c r="AD72" s="78"/>
      <c r="AE72" s="87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</row>
    <row r="73" spans="1:73" x14ac:dyDescent="0.2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80"/>
      <c r="T73" s="75"/>
      <c r="U73" s="62"/>
      <c r="V73" s="76"/>
      <c r="W73" s="62"/>
      <c r="X73" s="76"/>
      <c r="Y73" s="62"/>
      <c r="Z73" s="62"/>
      <c r="AA73" s="62"/>
      <c r="AB73" s="62"/>
      <c r="AC73" s="77"/>
      <c r="AD73" s="78"/>
      <c r="AE73" s="87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</row>
    <row r="74" spans="1:73" x14ac:dyDescent="0.2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80"/>
      <c r="T74" s="75"/>
      <c r="U74" s="62"/>
      <c r="V74" s="76"/>
      <c r="W74" s="62"/>
      <c r="X74" s="76"/>
      <c r="Y74" s="62"/>
      <c r="Z74" s="62"/>
      <c r="AA74" s="62"/>
      <c r="AB74" s="62"/>
      <c r="AC74" s="77"/>
      <c r="AD74" s="78"/>
      <c r="AE74" s="87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</row>
    <row r="75" spans="1:73" x14ac:dyDescent="0.2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80"/>
      <c r="T75" s="75"/>
      <c r="U75" s="62"/>
      <c r="V75" s="76"/>
      <c r="W75" s="62"/>
      <c r="X75" s="76"/>
      <c r="Y75" s="62"/>
      <c r="Z75" s="62"/>
      <c r="AA75" s="62"/>
      <c r="AB75" s="62"/>
      <c r="AC75" s="77"/>
      <c r="AD75" s="78"/>
      <c r="AE75" s="87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</row>
    <row r="76" spans="1:73" x14ac:dyDescent="0.2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80"/>
      <c r="T76" s="75"/>
      <c r="U76" s="62"/>
      <c r="V76" s="76"/>
      <c r="W76" s="62"/>
      <c r="X76" s="76"/>
      <c r="Y76" s="62"/>
      <c r="Z76" s="62"/>
      <c r="AA76" s="62"/>
      <c r="AB76" s="62"/>
      <c r="AC76" s="77"/>
      <c r="AD76" s="78"/>
      <c r="AE76" s="87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</row>
    <row r="77" spans="1:73" x14ac:dyDescent="0.2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80"/>
      <c r="T77" s="113"/>
      <c r="U77" s="62"/>
      <c r="V77" s="62"/>
      <c r="W77" s="62"/>
      <c r="X77" s="62"/>
      <c r="Y77" s="62"/>
      <c r="Z77" s="62"/>
      <c r="AA77" s="62"/>
      <c r="AB77" s="62"/>
      <c r="AC77" s="62"/>
      <c r="AD77" s="78"/>
      <c r="AE77" s="87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</row>
    <row r="78" spans="1:73" x14ac:dyDescent="0.2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80"/>
      <c r="T78" s="113"/>
      <c r="U78" s="62"/>
      <c r="V78" s="62"/>
      <c r="W78" s="62"/>
      <c r="X78" s="62"/>
      <c r="Y78" s="62"/>
      <c r="Z78" s="62"/>
      <c r="AA78" s="62"/>
      <c r="AB78" s="62"/>
      <c r="AC78" s="62"/>
      <c r="AD78" s="78"/>
      <c r="AE78" s="87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</row>
    <row r="79" spans="1:73" x14ac:dyDescent="0.2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80"/>
      <c r="T79" s="113"/>
      <c r="U79" s="62"/>
      <c r="V79" s="62"/>
      <c r="W79" s="62"/>
      <c r="X79" s="62"/>
      <c r="Y79" s="62"/>
      <c r="Z79" s="62"/>
      <c r="AA79" s="62"/>
      <c r="AB79" s="62"/>
      <c r="AC79" s="62"/>
      <c r="AD79" s="78"/>
      <c r="AE79" s="87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</row>
    <row r="80" spans="1:73" x14ac:dyDescent="0.2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80"/>
      <c r="T80" s="113"/>
      <c r="U80" s="62"/>
      <c r="V80" s="62"/>
      <c r="W80" s="62"/>
      <c r="X80" s="62"/>
      <c r="Y80" s="62"/>
      <c r="Z80" s="62"/>
      <c r="AA80" s="62"/>
      <c r="AB80" s="62"/>
      <c r="AC80" s="62"/>
      <c r="AD80" s="78"/>
      <c r="AE80" s="87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</row>
    <row r="81" spans="1:73" x14ac:dyDescent="0.2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80"/>
      <c r="T81" s="113"/>
      <c r="U81" s="62"/>
      <c r="V81" s="62"/>
      <c r="W81" s="62"/>
      <c r="X81" s="62"/>
      <c r="Y81" s="62"/>
      <c r="Z81" s="62"/>
      <c r="AA81" s="62"/>
      <c r="AB81" s="62"/>
      <c r="AC81" s="62"/>
      <c r="AD81" s="78"/>
      <c r="AE81" s="87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</row>
    <row r="82" spans="1:73" x14ac:dyDescent="0.2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80"/>
      <c r="T82" s="113"/>
      <c r="U82" s="62"/>
      <c r="V82" s="62"/>
      <c r="W82" s="62"/>
      <c r="X82" s="62"/>
      <c r="Y82" s="62"/>
      <c r="Z82" s="62"/>
      <c r="AA82" s="62"/>
      <c r="AB82" s="62"/>
      <c r="AC82" s="62"/>
      <c r="AD82" s="78"/>
      <c r="AE82" s="87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</row>
    <row r="83" spans="1:73" x14ac:dyDescent="0.2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80"/>
      <c r="T83" s="113"/>
      <c r="U83" s="62"/>
      <c r="V83" s="62"/>
      <c r="W83" s="62"/>
      <c r="X83" s="62"/>
      <c r="Y83" s="62"/>
      <c r="Z83" s="62"/>
      <c r="AA83" s="62"/>
      <c r="AB83" s="62"/>
      <c r="AC83" s="62"/>
      <c r="AD83" s="78"/>
      <c r="AE83" s="87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  <c r="BS83" s="62"/>
      <c r="BT83" s="62"/>
      <c r="BU83" s="62"/>
    </row>
    <row r="84" spans="1:73" x14ac:dyDescent="0.2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80"/>
      <c r="T84" s="113"/>
      <c r="U84" s="62"/>
      <c r="V84" s="62"/>
      <c r="W84" s="62"/>
      <c r="X84" s="62"/>
      <c r="Y84" s="62"/>
      <c r="Z84" s="62"/>
      <c r="AA84" s="62"/>
      <c r="AB84" s="62"/>
      <c r="AC84" s="62"/>
      <c r="AD84" s="78"/>
      <c r="AE84" s="87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</row>
    <row r="85" spans="1:73" x14ac:dyDescent="0.2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80"/>
      <c r="T85" s="113"/>
      <c r="U85" s="62"/>
      <c r="V85" s="62"/>
      <c r="W85" s="62"/>
      <c r="X85" s="62"/>
      <c r="Y85" s="62"/>
      <c r="Z85" s="62"/>
      <c r="AA85" s="62"/>
      <c r="AB85" s="62"/>
      <c r="AC85" s="62"/>
      <c r="AD85" s="78"/>
      <c r="AE85" s="87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  <c r="BR85" s="62"/>
      <c r="BS85" s="62"/>
      <c r="BT85" s="62"/>
      <c r="BU85" s="62"/>
    </row>
    <row r="86" spans="1:73" x14ac:dyDescent="0.2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80"/>
      <c r="T86" s="113"/>
      <c r="U86" s="62"/>
      <c r="V86" s="62"/>
      <c r="W86" s="62"/>
      <c r="X86" s="62"/>
      <c r="Y86" s="62"/>
      <c r="Z86" s="62"/>
      <c r="AA86" s="62"/>
      <c r="AB86" s="62"/>
      <c r="AC86" s="62"/>
      <c r="AD86" s="78"/>
      <c r="AE86" s="87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</row>
    <row r="87" spans="1:73" x14ac:dyDescent="0.2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80"/>
      <c r="T87" s="113"/>
      <c r="U87" s="62"/>
      <c r="V87" s="62"/>
      <c r="W87" s="62"/>
      <c r="X87" s="62"/>
      <c r="Y87" s="62"/>
      <c r="Z87" s="62"/>
      <c r="AA87" s="62"/>
      <c r="AB87" s="62"/>
      <c r="AC87" s="62"/>
      <c r="AD87" s="78"/>
      <c r="AE87" s="87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</row>
    <row r="88" spans="1:73" x14ac:dyDescent="0.2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80"/>
      <c r="T88" s="113"/>
      <c r="U88" s="62"/>
      <c r="V88" s="62"/>
      <c r="W88" s="62"/>
      <c r="X88" s="62"/>
      <c r="Y88" s="62"/>
      <c r="Z88" s="62"/>
      <c r="AA88" s="62"/>
      <c r="AB88" s="62"/>
      <c r="AC88" s="62"/>
      <c r="AD88" s="78"/>
      <c r="AE88" s="87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  <c r="BR88" s="62"/>
      <c r="BS88" s="62"/>
      <c r="BT88" s="62"/>
      <c r="BU88" s="62"/>
    </row>
    <row r="89" spans="1:73" x14ac:dyDescent="0.2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80"/>
      <c r="T89" s="113"/>
      <c r="U89" s="62"/>
      <c r="V89" s="62"/>
      <c r="W89" s="62"/>
      <c r="X89" s="62"/>
      <c r="Y89" s="62"/>
      <c r="Z89" s="62"/>
      <c r="AA89" s="62"/>
      <c r="AB89" s="62"/>
      <c r="AC89" s="62"/>
      <c r="AD89" s="78"/>
      <c r="AE89" s="87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</row>
    <row r="90" spans="1:73" x14ac:dyDescent="0.2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80"/>
      <c r="T90" s="113"/>
      <c r="U90" s="62"/>
      <c r="V90" s="62"/>
      <c r="W90" s="62"/>
      <c r="X90" s="62"/>
      <c r="Y90" s="62"/>
      <c r="Z90" s="62"/>
      <c r="AA90" s="62"/>
      <c r="AB90" s="62"/>
      <c r="AC90" s="62"/>
      <c r="AD90" s="78"/>
      <c r="AE90" s="87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</row>
    <row r="91" spans="1:73" x14ac:dyDescent="0.2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80"/>
      <c r="T91" s="113"/>
      <c r="U91" s="62"/>
      <c r="V91" s="62"/>
      <c r="W91" s="62"/>
      <c r="X91" s="62"/>
      <c r="Y91" s="62"/>
      <c r="Z91" s="62"/>
      <c r="AA91" s="62"/>
      <c r="AB91" s="62"/>
      <c r="AC91" s="62"/>
      <c r="AD91" s="78"/>
      <c r="AE91" s="87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</row>
    <row r="92" spans="1:73" x14ac:dyDescent="0.2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80"/>
      <c r="T92" s="113"/>
      <c r="U92" s="62"/>
      <c r="V92" s="62"/>
      <c r="W92" s="62"/>
      <c r="X92" s="62"/>
      <c r="Y92" s="62"/>
      <c r="Z92" s="62"/>
      <c r="AA92" s="62"/>
      <c r="AB92" s="62"/>
      <c r="AC92" s="62"/>
      <c r="AD92" s="78"/>
      <c r="AE92" s="87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</row>
    <row r="93" spans="1:73" x14ac:dyDescent="0.2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80"/>
      <c r="T93" s="113"/>
      <c r="U93" s="62"/>
      <c r="V93" s="62"/>
      <c r="W93" s="62"/>
      <c r="X93" s="62"/>
      <c r="Y93" s="62"/>
      <c r="Z93" s="62"/>
      <c r="AA93" s="62"/>
      <c r="AB93" s="62"/>
      <c r="AC93" s="62"/>
      <c r="AD93" s="78"/>
      <c r="AE93" s="87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</row>
    <row r="94" spans="1:73" x14ac:dyDescent="0.2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80"/>
      <c r="T94" s="113"/>
      <c r="U94" s="62"/>
      <c r="V94" s="62"/>
      <c r="W94" s="62"/>
      <c r="X94" s="62"/>
      <c r="Y94" s="62"/>
      <c r="Z94" s="62"/>
      <c r="AA94" s="62"/>
      <c r="AB94" s="62"/>
      <c r="AC94" s="62"/>
      <c r="AD94" s="78"/>
      <c r="AE94" s="87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</row>
    <row r="95" spans="1:73" x14ac:dyDescent="0.2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80"/>
      <c r="T95" s="113"/>
      <c r="U95" s="62"/>
      <c r="V95" s="62"/>
      <c r="W95" s="62"/>
      <c r="X95" s="62"/>
      <c r="Y95" s="62"/>
      <c r="Z95" s="62"/>
      <c r="AA95" s="62"/>
      <c r="AB95" s="62"/>
      <c r="AC95" s="62"/>
      <c r="AD95" s="78"/>
      <c r="AE95" s="87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</row>
    <row r="96" spans="1:73" x14ac:dyDescent="0.2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80"/>
      <c r="T96" s="113"/>
      <c r="U96" s="62"/>
      <c r="V96" s="62"/>
      <c r="W96" s="62"/>
      <c r="X96" s="62"/>
      <c r="Y96" s="62"/>
      <c r="Z96" s="62"/>
      <c r="AA96" s="62"/>
      <c r="AB96" s="62"/>
      <c r="AC96" s="62"/>
      <c r="AD96" s="78"/>
      <c r="AE96" s="87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</row>
    <row r="97" spans="1:73" x14ac:dyDescent="0.2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80"/>
      <c r="T97" s="113"/>
      <c r="U97" s="62"/>
      <c r="V97" s="62"/>
      <c r="W97" s="62"/>
      <c r="X97" s="62"/>
      <c r="Y97" s="62"/>
      <c r="Z97" s="62"/>
      <c r="AA97" s="62"/>
      <c r="AB97" s="62"/>
      <c r="AC97" s="62"/>
      <c r="AD97" s="78"/>
      <c r="AE97" s="87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</row>
    <row r="98" spans="1:73" x14ac:dyDescent="0.2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80"/>
      <c r="T98" s="113"/>
      <c r="U98" s="62"/>
      <c r="V98" s="62"/>
      <c r="W98" s="62"/>
      <c r="X98" s="62"/>
      <c r="Y98" s="62"/>
      <c r="Z98" s="62"/>
      <c r="AA98" s="62"/>
      <c r="AB98" s="62"/>
      <c r="AC98" s="62"/>
      <c r="AD98" s="78"/>
      <c r="AE98" s="87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</row>
    <row r="99" spans="1:73" x14ac:dyDescent="0.2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80"/>
      <c r="T99" s="113"/>
      <c r="U99" s="62"/>
      <c r="V99" s="62"/>
      <c r="W99" s="62"/>
      <c r="X99" s="62"/>
      <c r="Y99" s="62"/>
      <c r="Z99" s="62"/>
      <c r="AA99" s="62"/>
      <c r="AB99" s="62"/>
      <c r="AC99" s="62"/>
      <c r="AD99" s="78"/>
      <c r="AE99" s="87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</row>
    <row r="100" spans="1:73" ht="20" thickBot="1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93"/>
      <c r="T100" s="114"/>
      <c r="U100" s="115"/>
      <c r="V100" s="115"/>
      <c r="W100" s="115"/>
      <c r="X100" s="115"/>
      <c r="Y100" s="115"/>
      <c r="Z100" s="115"/>
      <c r="AA100" s="115"/>
      <c r="AB100" s="115"/>
      <c r="AC100" s="115"/>
      <c r="AD100" s="116"/>
      <c r="AE100" s="117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</row>
    <row r="101" spans="1:73" x14ac:dyDescent="0.25"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</row>
    <row r="102" spans="1:73" x14ac:dyDescent="0.25"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</row>
    <row r="103" spans="1:73" x14ac:dyDescent="0.25"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</row>
  </sheetData>
  <conditionalFormatting sqref="K3:K11">
    <cfRule type="containsText" dxfId="8" priority="1" operator="containsText" text="OK">
      <formula>NOT(ISERROR(SEARCH("OK",K3)))</formula>
    </cfRule>
    <cfRule type="containsText" dxfId="7" priority="2" operator="containsText" text="ALTO">
      <formula>NOT(ISERROR(SEARCH("ALTO",K3)))</formula>
    </cfRule>
    <cfRule type="containsText" dxfId="6" priority="3" operator="containsText" text="Baixo">
      <formula>NOT(ISERROR(SEARCH("Baixo",K3)))</formula>
    </cfRule>
  </conditionalFormatting>
  <dataValidations count="2">
    <dataValidation type="list" allowBlank="1" showInputMessage="1" showErrorMessage="1" sqref="C5" xr:uid="{66FE63EF-5CA2-0043-8823-27E3D6FB2F0B}">
      <formula1>INDIRECT("Tabela2[SeriesType]")</formula1>
    </dataValidation>
    <dataValidation type="list" allowBlank="1" showInputMessage="1" showErrorMessage="1" sqref="C4" xr:uid="{30A71693-B1B5-9642-8D33-597B94CF6F87}">
      <formula1>INDIRECT("Tabela1[Frequency]")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C115DCE-3564-F948-8632-DE4EF934C5C7}">
          <x14:formula1>
            <xm:f>Listas!$X$2:$X$49</xm:f>
          </x14:formula1>
          <xm:sqref>C2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C3D99-DD6C-5B41-A585-FDEEBE53EF42}">
  <sheetPr codeName="Planilha2"/>
  <dimension ref="A1:P13"/>
  <sheetViews>
    <sheetView zoomScale="150" zoomScaleNormal="15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7" sqref="E17"/>
    </sheetView>
  </sheetViews>
  <sheetFormatPr baseColWidth="10" defaultRowHeight="16" x14ac:dyDescent="0.2"/>
  <cols>
    <col min="1" max="1" width="15.1640625" bestFit="1" customWidth="1"/>
    <col min="2" max="2" width="14.6640625" style="3" bestFit="1" customWidth="1"/>
    <col min="3" max="3" width="14.6640625" style="3" customWidth="1"/>
    <col min="4" max="4" width="10.5" style="3" bestFit="1" customWidth="1"/>
    <col min="5" max="5" width="11.6640625" style="3" bestFit="1" customWidth="1"/>
    <col min="6" max="6" width="14.6640625" style="3" bestFit="1" customWidth="1"/>
    <col min="7" max="7" width="14.83203125" style="3" bestFit="1" customWidth="1"/>
    <col min="8" max="8" width="13" style="3" bestFit="1" customWidth="1"/>
    <col min="9" max="9" width="13" style="3" customWidth="1"/>
    <col min="10" max="10" width="15.5" style="3" bestFit="1" customWidth="1"/>
    <col min="11" max="11" width="13.6640625" style="3" bestFit="1" customWidth="1"/>
    <col min="12" max="12" width="14.1640625" style="3" bestFit="1" customWidth="1"/>
    <col min="13" max="13" width="17.5" style="3" bestFit="1" customWidth="1"/>
    <col min="14" max="14" width="13.83203125" style="3" bestFit="1" customWidth="1"/>
    <col min="15" max="15" width="12" bestFit="1" customWidth="1"/>
    <col min="16" max="16" width="12.5" bestFit="1" customWidth="1"/>
    <col min="18" max="18" width="6.83203125" bestFit="1" customWidth="1"/>
  </cols>
  <sheetData>
    <row r="1" spans="1:16" s="3" customFormat="1" x14ac:dyDescent="0.2">
      <c r="A1" s="38" t="s">
        <v>143</v>
      </c>
      <c r="B1" s="38" t="s">
        <v>6</v>
      </c>
      <c r="C1" s="39" t="s">
        <v>3</v>
      </c>
      <c r="D1" s="39" t="s">
        <v>2</v>
      </c>
      <c r="E1" s="38" t="s">
        <v>16</v>
      </c>
      <c r="F1" s="38" t="s">
        <v>17</v>
      </c>
      <c r="G1" s="38" t="s">
        <v>18</v>
      </c>
      <c r="H1" s="38" t="s">
        <v>4</v>
      </c>
      <c r="I1" s="39" t="s">
        <v>211</v>
      </c>
      <c r="J1" s="38" t="s">
        <v>5</v>
      </c>
      <c r="K1" s="39" t="s">
        <v>147</v>
      </c>
      <c r="L1" s="38" t="s">
        <v>7</v>
      </c>
      <c r="M1" s="38" t="s">
        <v>15</v>
      </c>
      <c r="N1" s="39" t="s">
        <v>148</v>
      </c>
    </row>
    <row r="2" spans="1:16" x14ac:dyDescent="0.2">
      <c r="A2" t="s">
        <v>150</v>
      </c>
      <c r="B2" s="3" t="s">
        <v>61</v>
      </c>
      <c r="C2" s="3" t="s">
        <v>199</v>
      </c>
      <c r="D2" s="5">
        <v>25000</v>
      </c>
      <c r="E2" s="3" t="s">
        <v>20</v>
      </c>
      <c r="F2" s="5">
        <f>IF(E2="BRL",D2,D2*HLOOKUP(E2,Indicadores_Economicos!$A$1:$B$2,2,FALSE))*IF(Tabela1[[#This Row],[Segurada]]="Sim",0,1)</f>
        <v>25000</v>
      </c>
      <c r="G2" s="5">
        <f ca="1">IF(E2="USD",D2,D2*HLOOKUP(E2,Indicadores_Economicos!$A$1:$B$2,2,FALSE))</f>
        <v>4507.5</v>
      </c>
      <c r="H2" s="3" t="s">
        <v>11</v>
      </c>
      <c r="J2" s="6">
        <v>45658</v>
      </c>
      <c r="K2" s="18">
        <v>30</v>
      </c>
      <c r="L2" s="6">
        <f>IF(K2&gt;0,DATE(YEAR(J2)+K2,MONTH(12)-1,DAY(1)),IF(I2=0,MAX(Membros!$E$2:$E$5),IF(VLOOKUP(I2,Imóveis!A:E,5,FALSE)&gt;0,VLOOKUP(I2,Imóveis!A:E,5,FALSE),MAX(Membros!$E$2:$E$5))))</f>
        <v>56584</v>
      </c>
      <c r="M2" s="3" t="s">
        <v>13</v>
      </c>
      <c r="N2" s="3" t="str">
        <f>IFERROR(VLOOKUP(H2,Membros!$A$2:$F$6,6,FALSE),"")</f>
        <v>Não</v>
      </c>
      <c r="P2" s="3"/>
    </row>
    <row r="3" spans="1:16" x14ac:dyDescent="0.2">
      <c r="A3" t="s">
        <v>151</v>
      </c>
      <c r="B3" s="3" t="s">
        <v>78</v>
      </c>
      <c r="C3" s="3" t="s">
        <v>200</v>
      </c>
      <c r="D3" s="5">
        <v>10000</v>
      </c>
      <c r="E3" s="3" t="s">
        <v>20</v>
      </c>
      <c r="F3" s="5">
        <f>IF(E3="BRL",D3,D3*HLOOKUP(E3,Indicadores_Economicos!$A$1:$B$2,2,FALSE))*IF(Tabela1[[#This Row],[Segurada]]="Sim",0,1)</f>
        <v>10000</v>
      </c>
      <c r="G3" s="5">
        <f ca="1">IF(E3="USD",D3,D3*HLOOKUP(E3,Indicadores_Economicos!$A$1:$B$2,2,FALSE))</f>
        <v>1802.9999999999998</v>
      </c>
      <c r="H3" s="3" t="s">
        <v>11</v>
      </c>
      <c r="J3" s="6">
        <v>45658</v>
      </c>
      <c r="K3" s="18">
        <v>30</v>
      </c>
      <c r="L3" s="6">
        <f>IF(K3&gt;0,DATE(YEAR(J3)+K3,MONTH(12)-1,DAY(1)),IF(I3=0,MAX(Membros!$E$2:$E$5),IF(VLOOKUP(I3,Imóveis!A:E,5,FALSE)&gt;0,VLOOKUP(I3,Imóveis!A:E,5,FALSE),MAX(Membros!$E$2:$E$5))))</f>
        <v>56584</v>
      </c>
      <c r="M3" s="3" t="s">
        <v>13</v>
      </c>
      <c r="N3" s="3" t="str">
        <f>IFERROR(VLOOKUP(H3,Membros!$A$2:$F$6,6,FALSE),"")</f>
        <v>Não</v>
      </c>
      <c r="P3" s="3"/>
    </row>
    <row r="4" spans="1:16" x14ac:dyDescent="0.2">
      <c r="A4" t="s">
        <v>152</v>
      </c>
      <c r="B4" s="3" t="s">
        <v>67</v>
      </c>
      <c r="C4" s="3" t="s">
        <v>200</v>
      </c>
      <c r="D4" s="5">
        <v>15000</v>
      </c>
      <c r="E4" s="3" t="s">
        <v>20</v>
      </c>
      <c r="F4" s="5">
        <f>IF(E4="BRL",D4,D4*HLOOKUP(E4,Indicadores_Economicos!$A$1:$B$2,2,FALSE))*IF(Tabela1[[#This Row],[Segurada]]="Sim",0,1)</f>
        <v>15000</v>
      </c>
      <c r="G4" s="5">
        <f ca="1">IF(E4="USD",D4,D4*HLOOKUP(E4,Indicadores_Economicos!$A$1:$B$2,2,FALSE))</f>
        <v>2704.5</v>
      </c>
      <c r="H4" s="3" t="s">
        <v>11</v>
      </c>
      <c r="J4" s="6">
        <v>45658</v>
      </c>
      <c r="K4" s="18">
        <v>30</v>
      </c>
      <c r="L4" s="6">
        <f>IF(K4&gt;0,DATE(YEAR(J4)+K4,MONTH(12)-1,DAY(1)),IF(I4=0,MAX(Membros!$E$2:$E$5),IF(VLOOKUP(I4,Imóveis!A:E,5,FALSE)&gt;0,VLOOKUP(I4,Imóveis!A:E,5,FALSE),MAX(Membros!$E$2:$E$5))))</f>
        <v>56584</v>
      </c>
      <c r="M4" s="3" t="s">
        <v>28</v>
      </c>
      <c r="N4" s="3" t="str">
        <f>IFERROR(VLOOKUP(H4,Membros!$A$2:$F$6,6,FALSE),"")</f>
        <v>Não</v>
      </c>
      <c r="P4" s="3"/>
    </row>
    <row r="5" spans="1:16" x14ac:dyDescent="0.2">
      <c r="A5" t="s">
        <v>153</v>
      </c>
      <c r="B5" s="3" t="s">
        <v>79</v>
      </c>
      <c r="C5" s="3" t="s">
        <v>200</v>
      </c>
      <c r="D5" s="5">
        <v>25000</v>
      </c>
      <c r="E5" s="3" t="s">
        <v>20</v>
      </c>
      <c r="F5" s="5">
        <f>IF(E5="BRL",D5,D5*HLOOKUP(E5,Indicadores_Economicos!$A$1:$B$2,2,FALSE))*IF(Tabela1[[#This Row],[Segurada]]="Sim",0,1)</f>
        <v>25000</v>
      </c>
      <c r="G5" s="5">
        <f ca="1">IF(E5="USD",D5,D5*HLOOKUP(E5,Indicadores_Economicos!$A$1:$B$2,2,FALSE))</f>
        <v>4507.5</v>
      </c>
      <c r="H5" s="3" t="s">
        <v>11</v>
      </c>
      <c r="J5" s="6">
        <v>45658</v>
      </c>
      <c r="K5" s="18">
        <v>30</v>
      </c>
      <c r="L5" s="6">
        <f>IF(K5&gt;0,DATE(YEAR(J5)+K5,MONTH(12)-1,DAY(1)),IF(I5=0,MAX(Membros!$E$2:$E$5),IF(VLOOKUP(I5,Imóveis!A:E,5,FALSE)&gt;0,VLOOKUP(I5,Imóveis!A:E,5,FALSE),MAX(Membros!$E$2:$E$5))))</f>
        <v>56584</v>
      </c>
      <c r="M5" s="3" t="s">
        <v>35</v>
      </c>
      <c r="N5" s="3" t="str">
        <f>IFERROR(VLOOKUP(H5,Membros!$A$2:$F$6,6,FALSE),"")</f>
        <v>Não</v>
      </c>
      <c r="P5" s="3"/>
    </row>
    <row r="6" spans="1:16" x14ac:dyDescent="0.2">
      <c r="A6" t="s">
        <v>154</v>
      </c>
      <c r="B6" s="3" t="s">
        <v>115</v>
      </c>
      <c r="C6" s="3" t="s">
        <v>200</v>
      </c>
      <c r="D6" s="5">
        <f>D2/3</f>
        <v>8333.3333333333339</v>
      </c>
      <c r="E6" s="3" t="s">
        <v>20</v>
      </c>
      <c r="F6" s="5">
        <f>IF(E6="BRL",D6,D6*HLOOKUP(E6,Indicadores_Economicos!$A$1:$B$2,2,FALSE))*IF(Tabela1[[#This Row],[Segurada]]="Sim",0,1)</f>
        <v>8333.3333333333339</v>
      </c>
      <c r="G6" s="5">
        <f ca="1">IF(E6="USD",D6,D6*HLOOKUP(E6,Indicadores_Economicos!$A$1:$B$2,2,FALSE))</f>
        <v>1502.5</v>
      </c>
      <c r="H6" s="3" t="s">
        <v>11</v>
      </c>
      <c r="J6" s="6">
        <v>45658</v>
      </c>
      <c r="K6" s="18">
        <v>30</v>
      </c>
      <c r="L6" s="6">
        <f>IF(K6&gt;0,DATE(YEAR(J6)+K6,MONTH(12)-1,DAY(1)),IF(I6=0,MAX(Membros!$E$2:$E$5),IF(VLOOKUP(I6,Imóveis!A:E,5,FALSE)&gt;0,VLOOKUP(I6,Imóveis!A:E,5,FALSE),MAX(Membros!$E$2:$E$5))))</f>
        <v>56584</v>
      </c>
      <c r="M6" s="3" t="s">
        <v>35</v>
      </c>
      <c r="N6" s="3" t="str">
        <f>IFERROR(VLOOKUP(H6,Membros!$A$2:$F$6,6,FALSE),"")</f>
        <v>Não</v>
      </c>
      <c r="P6" s="3"/>
    </row>
    <row r="7" spans="1:16" x14ac:dyDescent="0.2">
      <c r="A7" t="s">
        <v>155</v>
      </c>
      <c r="B7" s="3" t="s">
        <v>62</v>
      </c>
      <c r="C7" s="3" t="s">
        <v>199</v>
      </c>
      <c r="D7" s="5">
        <v>25000</v>
      </c>
      <c r="E7" s="3" t="s">
        <v>20</v>
      </c>
      <c r="F7" s="5">
        <f>IF(E7="BRL",D7,D7*HLOOKUP(E7,Indicadores_Economicos!$A$1:$B$2,2,FALSE))*IF(Tabela1[[#This Row],[Segurada]]="Sim",0,1)</f>
        <v>25000</v>
      </c>
      <c r="G7" s="5">
        <f ca="1">IF(E7="USD",D7,D7*HLOOKUP(E7,Indicadores_Economicos!$A$1:$B$2,2,FALSE))</f>
        <v>4507.5</v>
      </c>
      <c r="H7" s="3" t="s">
        <v>12</v>
      </c>
      <c r="J7" s="6">
        <v>45658</v>
      </c>
      <c r="K7" s="18">
        <v>30</v>
      </c>
      <c r="L7" s="6">
        <f>IF(K7&gt;0,DATE(YEAR(J7)+K7,MONTH(12)-1,DAY(1)),IF(I7=0,MAX(Membros!$E$2:$E$5),IF(VLOOKUP(I7,Imóveis!A:E,5,FALSE)&gt;0,VLOOKUP(I7,Imóveis!A:E,5,FALSE),MAX(Membros!$E$2:$E$5))))</f>
        <v>56584</v>
      </c>
      <c r="M7" s="3" t="s">
        <v>13</v>
      </c>
      <c r="N7" s="3" t="str">
        <f>IFERROR(VLOOKUP(H7,Membros!$A$2:$F$6,6,FALSE),"")</f>
        <v>Não</v>
      </c>
      <c r="O7" s="3"/>
      <c r="P7" s="3"/>
    </row>
    <row r="8" spans="1:16" x14ac:dyDescent="0.2">
      <c r="A8" t="s">
        <v>156</v>
      </c>
      <c r="B8" s="3" t="s">
        <v>80</v>
      </c>
      <c r="C8" s="3" t="s">
        <v>200</v>
      </c>
      <c r="D8" s="5">
        <v>10000</v>
      </c>
      <c r="E8" s="3" t="s">
        <v>20</v>
      </c>
      <c r="F8" s="5">
        <f>IF(E8="BRL",D8,D8*HLOOKUP(E8,Indicadores_Economicos!$A$1:$B$2,2,FALSE))*IF(Tabela1[[#This Row],[Segurada]]="Sim",0,1)</f>
        <v>10000</v>
      </c>
      <c r="G8" s="5">
        <f ca="1">IF(E8="USD",D8,D8*HLOOKUP(E8,Indicadores_Economicos!$A$1:$B$2,2,FALSE))</f>
        <v>1802.9999999999998</v>
      </c>
      <c r="H8" s="3" t="s">
        <v>12</v>
      </c>
      <c r="J8" s="6">
        <v>45658</v>
      </c>
      <c r="K8" s="18">
        <v>30</v>
      </c>
      <c r="L8" s="6">
        <f>IF(K8&gt;0,DATE(YEAR(J8)+K8,MONTH(12)-1,DAY(1)),IF(I8=0,MAX(Membros!$E$2:$E$5),IF(VLOOKUP(I8,Imóveis!A:E,5,FALSE)&gt;0,VLOOKUP(I8,Imóveis!A:E,5,FALSE),MAX(Membros!$E$2:$E$5))))</f>
        <v>56584</v>
      </c>
      <c r="M8" s="3" t="s">
        <v>13</v>
      </c>
      <c r="N8" s="3" t="str">
        <f>IFERROR(VLOOKUP(H8,Membros!$A$2:$F$6,6,FALSE),"")</f>
        <v>Não</v>
      </c>
      <c r="O8" s="3"/>
      <c r="P8" s="3"/>
    </row>
    <row r="9" spans="1:16" x14ac:dyDescent="0.2">
      <c r="A9" t="s">
        <v>157</v>
      </c>
      <c r="B9" s="3" t="s">
        <v>68</v>
      </c>
      <c r="C9" s="3" t="s">
        <v>200</v>
      </c>
      <c r="D9" s="5">
        <v>50000</v>
      </c>
      <c r="E9" s="3" t="s">
        <v>20</v>
      </c>
      <c r="F9" s="5">
        <f>IF(E9="BRL",D9,D9*HLOOKUP(E9,Indicadores_Economicos!$A$1:$B$2,2,FALSE))*IF(Tabela1[[#This Row],[Segurada]]="Sim",0,1)</f>
        <v>50000</v>
      </c>
      <c r="G9" s="5">
        <f ca="1">IF(E9="USD",D9,D9*HLOOKUP(E9,Indicadores_Economicos!$A$1:$B$2,2,FALSE))</f>
        <v>9015</v>
      </c>
      <c r="H9" s="3" t="s">
        <v>12</v>
      </c>
      <c r="J9" s="6">
        <v>45658</v>
      </c>
      <c r="K9" s="18">
        <v>30</v>
      </c>
      <c r="L9" s="6">
        <f>IF(K9&gt;0,DATE(YEAR(J9)+K9,MONTH(12)-1,DAY(1)),IF(I9=0,MAX(Membros!$E$2:$E$5),IF(VLOOKUP(I9,Imóveis!A:E,5,FALSE)&gt;0,VLOOKUP(I9,Imóveis!A:E,5,FALSE),MAX(Membros!$E$2:$E$5))))</f>
        <v>56584</v>
      </c>
      <c r="M9" s="3" t="s">
        <v>28</v>
      </c>
      <c r="N9" s="3" t="str">
        <f>IFERROR(VLOOKUP(H9,Membros!$A$2:$F$6,6,FALSE),"")</f>
        <v>Não</v>
      </c>
      <c r="O9" s="3"/>
      <c r="P9" s="3"/>
    </row>
    <row r="10" spans="1:16" x14ac:dyDescent="0.2">
      <c r="A10" t="s">
        <v>158</v>
      </c>
      <c r="B10" s="3" t="s">
        <v>69</v>
      </c>
      <c r="C10" s="3" t="s">
        <v>200</v>
      </c>
      <c r="D10" s="5">
        <v>25000</v>
      </c>
      <c r="E10" s="3" t="s">
        <v>20</v>
      </c>
      <c r="F10" s="5">
        <f>IF(E10="BRL",D10,D10*HLOOKUP(E10,Indicadores_Economicos!$A$1:$B$2,2,FALSE))*IF(Tabela1[[#This Row],[Segurada]]="Sim",0,1)</f>
        <v>25000</v>
      </c>
      <c r="G10" s="5">
        <f ca="1">IF(E10="USD",D10,D10*HLOOKUP(E10,Indicadores_Economicos!$A$1:$B$2,2,FALSE))</f>
        <v>4507.5</v>
      </c>
      <c r="H10" s="3" t="s">
        <v>12</v>
      </c>
      <c r="J10" s="6">
        <v>45658</v>
      </c>
      <c r="K10" s="18">
        <v>30</v>
      </c>
      <c r="L10" s="6">
        <f>IF(K10&gt;0,DATE(YEAR(J10)+K10,MONTH(12)-1,DAY(1)),IF(I10=0,MAX(Membros!$E$2:$E$5),IF(VLOOKUP(I10,Imóveis!A:E,5,FALSE)&gt;0,VLOOKUP(I10,Imóveis!A:E,5,FALSE),MAX(Membros!$E$2:$E$5))))</f>
        <v>56584</v>
      </c>
      <c r="M10" s="3" t="s">
        <v>35</v>
      </c>
      <c r="N10" s="3" t="str">
        <f>IFERROR(VLOOKUP(H10,Membros!$A$2:$F$6,6,FALSE),"")</f>
        <v>Não</v>
      </c>
      <c r="O10" s="3"/>
      <c r="P10" s="3"/>
    </row>
    <row r="11" spans="1:16" x14ac:dyDescent="0.2">
      <c r="A11" t="s">
        <v>159</v>
      </c>
      <c r="B11" s="3" t="s">
        <v>116</v>
      </c>
      <c r="C11" s="3" t="s">
        <v>200</v>
      </c>
      <c r="D11" s="5">
        <f>D7/3</f>
        <v>8333.3333333333339</v>
      </c>
      <c r="E11" s="3" t="s">
        <v>20</v>
      </c>
      <c r="F11" s="5">
        <f>IF(E11="BRL",D11,D11*HLOOKUP(E11,Indicadores_Economicos!$A$1:$B$2,2,FALSE))*IF(Tabela1[[#This Row],[Segurada]]="Sim",0,1)</f>
        <v>8333.3333333333339</v>
      </c>
      <c r="G11" s="5">
        <f ca="1">IF(E11="USD",D11,D11*HLOOKUP(E11,Indicadores_Economicos!$A$1:$B$2,2,FALSE))</f>
        <v>1502.5</v>
      </c>
      <c r="H11" s="3" t="s">
        <v>12</v>
      </c>
      <c r="J11" s="6">
        <v>45658</v>
      </c>
      <c r="K11" s="18">
        <v>30</v>
      </c>
      <c r="L11" s="6">
        <f>IF(K11&gt;0,DATE(YEAR(J11)+K11,MONTH(12)-1,DAY(1)),IF(I11=0,MAX(Membros!$E$2:$E$5),IF(VLOOKUP(I11,Imóveis!A:E,5,FALSE)&gt;0,VLOOKUP(I11,Imóveis!A:E,5,FALSE),MAX(Membros!$E$2:$E$5))))</f>
        <v>56584</v>
      </c>
      <c r="M11" s="3" t="s">
        <v>35</v>
      </c>
      <c r="N11" s="3" t="str">
        <f>IFERROR(VLOOKUP(H11,Membros!$A$2:$F$6,6,FALSE),"")</f>
        <v>Não</v>
      </c>
      <c r="O11" s="3"/>
      <c r="P11" s="3"/>
    </row>
    <row r="12" spans="1:16" x14ac:dyDescent="0.2">
      <c r="A12" t="s">
        <v>225</v>
      </c>
      <c r="B12" s="3" t="s">
        <v>227</v>
      </c>
      <c r="C12" s="3" t="s">
        <v>229</v>
      </c>
      <c r="D12" s="5">
        <v>2000</v>
      </c>
      <c r="E12" s="5" t="s">
        <v>21</v>
      </c>
      <c r="F12" s="5">
        <f ca="1">IF(E12="BRL",D12,D12*HLOOKUP(E12,Indicadores_Economicos!$A$1:$B$2,2,FALSE))*IF(Tabela1[[#This Row],[Segurada]]="Sim",0,1)</f>
        <v>11151.400000000001</v>
      </c>
      <c r="G12" s="5">
        <f>IF(E12="USD",D12,D12*HLOOKUP(E12,Indicadores_Economicos!$A$1:$B$2,2,FALSE))</f>
        <v>2000</v>
      </c>
      <c r="I12" s="3" t="s">
        <v>87</v>
      </c>
      <c r="J12" s="6">
        <v>46023</v>
      </c>
      <c r="K12" s="6"/>
      <c r="L12" s="6">
        <f>IF(K12&gt;0,DATE(YEAR(J12)+K12,MONTH(12)-1,DAY(1)),IF(I12=0,MAX(Membros!$E$2:$E$5),IF(VLOOKUP(I12,Imóveis!A:E,5,FALSE)&gt;0,VLOOKUP(I12,Imóveis!A:E,5,FALSE),MAX(Membros!$E$2:$E$5))))</f>
        <v>49310</v>
      </c>
      <c r="M12" s="3" t="s">
        <v>13</v>
      </c>
      <c r="N12" s="3" t="str">
        <f>IFERROR(VLOOKUP(H12,Membros!$A$2:$F$6,6,FALSE),"")</f>
        <v/>
      </c>
      <c r="P12" s="3"/>
    </row>
    <row r="13" spans="1:16" x14ac:dyDescent="0.2">
      <c r="A13" t="s">
        <v>226</v>
      </c>
      <c r="B13" s="3" t="s">
        <v>228</v>
      </c>
      <c r="C13" s="3" t="s">
        <v>229</v>
      </c>
      <c r="D13" s="5">
        <v>3950</v>
      </c>
      <c r="E13" s="5" t="s">
        <v>20</v>
      </c>
      <c r="F13" s="5">
        <f>IF(E13="BRL",D13,D13*HLOOKUP(E13,Indicadores_Economicos!$A$1:$B$2,2,FALSE))*IF(Tabela1[[#This Row],[Segurada]]="Sim",0,1)</f>
        <v>3950</v>
      </c>
      <c r="G13" s="5">
        <f ca="1">IF(E13="USD",D13,D13*HLOOKUP(E13,Indicadores_Economicos!$A$1:$B$2,2,FALSE))</f>
        <v>712.18499999999995</v>
      </c>
      <c r="I13" s="3" t="s">
        <v>88</v>
      </c>
      <c r="J13" s="6">
        <v>45658</v>
      </c>
      <c r="K13" s="6"/>
      <c r="L13" s="6">
        <f>IF(K13&gt;0,DATE(YEAR(J13)+K13,MONTH(12)-1,DAY(1)),IF(I13=0,MAX(Membros!$E$2:$E$5),IF(VLOOKUP(I13,Imóveis!A:E,5,FALSE)&gt;0,VLOOKUP(I13,Imóveis!A:E,5,FALSE),MAX(Membros!$E$2:$E$5))))</f>
        <v>49675</v>
      </c>
      <c r="M13" s="3" t="s">
        <v>13</v>
      </c>
      <c r="N13" s="3" t="str">
        <f>IFERROR(VLOOKUP(H13,Membros!$A$2:$F$6,6,FALSE),"")</f>
        <v/>
      </c>
    </row>
  </sheetData>
  <phoneticPr fontId="2" type="noConversion"/>
  <dataValidations count="5">
    <dataValidation type="list" allowBlank="1" showInputMessage="1" showErrorMessage="1" sqref="E2:E13" xr:uid="{B5D5DAF6-F4B2-BD41-B027-6A5CF61F3619}">
      <formula1>INDIRECT("Tabela2[Moedas]")</formula1>
    </dataValidation>
    <dataValidation type="list" allowBlank="1" showInputMessage="1" showErrorMessage="1" sqref="H2:H13" xr:uid="{C10CD5A4-0189-9140-8835-45D6A6EB9FCF}">
      <formula1>INDIRECT("Tabela3[Membro]")</formula1>
    </dataValidation>
    <dataValidation type="list" allowBlank="1" showInputMessage="1" showErrorMessage="1" sqref="C2:C13" xr:uid="{2879B612-AC02-BB4B-8B9D-A9DD5F815763}">
      <formula1>INDIRECT("Tabela9[Categoria_Receitas]")</formula1>
    </dataValidation>
    <dataValidation type="list" allowBlank="1" showInputMessage="1" showErrorMessage="1" sqref="I2:I13" xr:uid="{9761AC74-FC90-934B-89E5-87716A77197D}">
      <formula1>INDIRECT("Tabela4[Nome]")</formula1>
    </dataValidation>
    <dataValidation type="list" allowBlank="1" showInputMessage="1" showErrorMessage="1" sqref="M2:M13" xr:uid="{E2B61F7F-7DE7-4047-A0B0-16DFD483B916}">
      <formula1>INDIRECT("Tabela7[Meses]")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D2FFE-8F69-0B45-BFBA-AECB54FC556E}">
  <sheetPr codeName="Planilha9"/>
  <dimension ref="A1:Q40"/>
  <sheetViews>
    <sheetView zoomScale="150" zoomScaleNormal="15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P3" sqref="P3"/>
    </sheetView>
  </sheetViews>
  <sheetFormatPr baseColWidth="10" defaultRowHeight="16" x14ac:dyDescent="0.2"/>
  <cols>
    <col min="1" max="1" width="12.6640625" style="3" bestFit="1" customWidth="1"/>
    <col min="2" max="2" width="17.6640625" style="3" bestFit="1" customWidth="1"/>
    <col min="3" max="3" width="14.33203125" style="3" bestFit="1" customWidth="1"/>
    <col min="4" max="4" width="10.5" style="3" bestFit="1" customWidth="1"/>
    <col min="5" max="5" width="9.5" style="3" customWidth="1"/>
    <col min="6" max="6" width="11.83203125" style="3" customWidth="1"/>
    <col min="7" max="7" width="11.6640625" style="3" customWidth="1"/>
    <col min="8" max="8" width="13" style="3" bestFit="1" customWidth="1"/>
    <col min="9" max="9" width="13" style="3" customWidth="1"/>
    <col min="10" max="10" width="15.5" style="3" bestFit="1" customWidth="1"/>
    <col min="11" max="11" width="10.33203125" style="3" customWidth="1"/>
    <col min="12" max="12" width="11.6640625" style="3" bestFit="1" customWidth="1"/>
    <col min="13" max="13" width="13.33203125" style="3" customWidth="1"/>
    <col min="14" max="14" width="10.5" style="3" bestFit="1" customWidth="1"/>
    <col min="15" max="16384" width="10.83203125" style="3"/>
  </cols>
  <sheetData>
    <row r="1" spans="1:17" x14ac:dyDescent="0.2">
      <c r="A1" s="3" t="s">
        <v>143</v>
      </c>
      <c r="B1" s="3" t="s">
        <v>6</v>
      </c>
      <c r="C1" s="3" t="s">
        <v>3</v>
      </c>
      <c r="D1" s="6" t="s">
        <v>2</v>
      </c>
      <c r="E1" s="3" t="s">
        <v>16</v>
      </c>
      <c r="F1" s="3" t="s">
        <v>17</v>
      </c>
      <c r="G1" s="3" t="s">
        <v>18</v>
      </c>
      <c r="H1" s="3" t="s">
        <v>4</v>
      </c>
      <c r="I1" s="3" t="s">
        <v>211</v>
      </c>
      <c r="J1" s="3" t="s">
        <v>5</v>
      </c>
      <c r="K1" s="3" t="s">
        <v>147</v>
      </c>
      <c r="L1" s="3" t="s">
        <v>7</v>
      </c>
      <c r="M1" s="3" t="s">
        <v>15</v>
      </c>
      <c r="N1" s="3" t="s">
        <v>148</v>
      </c>
    </row>
    <row r="2" spans="1:17" x14ac:dyDescent="0.2">
      <c r="A2" s="3" t="s">
        <v>149</v>
      </c>
      <c r="B2" s="3" t="s">
        <v>37</v>
      </c>
      <c r="C2" s="3" t="s">
        <v>191</v>
      </c>
      <c r="D2" s="5">
        <v>10000</v>
      </c>
      <c r="E2" s="3" t="s">
        <v>21</v>
      </c>
      <c r="F2" s="5">
        <f ca="1">IF(E2="BRL",D2,D2*HLOOKUP(E2,Indicadores_Economicos!$A$1:$B$2,2,FALSE))*IF(Tabela6[[#This Row],[Segurada]]="Sim",0,1)</f>
        <v>55757</v>
      </c>
      <c r="G2" s="5">
        <f>IF(E2="USD",D2,D2*HLOOKUP(E2,Indicadores_Economicos!$A$1:$B$2,2,FALSE))</f>
        <v>10000</v>
      </c>
      <c r="J2" s="6">
        <v>45658</v>
      </c>
      <c r="L2" s="6" cm="1">
        <f t="array" ref="L2">IF(K2&gt;0,DATE(YEAR(J2)+K2,MONTH(12)-1,DAY(1)),IF(I2=0,IF(COUNTIFS(Tabela3[Tipo],"Provedor",Tabela3[Simulação Seguro],"Sim")=2,MAX(IF(Tabela3[Tipo]="Dependente",Tabela3[Expectativa de Vida (Data)])),MAX(Membros!$E$2:$E$5)),IF(VLOOKUP(I2,Imóveis!A:E,5,FALSE)&gt;0,VLOOKUP(I2,Imóveis!A:E,5,FALSE),MAX(Membros!$E$2:$E$5))))</f>
        <v>71586</v>
      </c>
      <c r="M2" s="3" t="s">
        <v>31</v>
      </c>
      <c r="N2" s="3" t="str">
        <f>IFERROR(VLOOKUP(H2,Membros!$A$2:$F$6,6,FALSE),"")</f>
        <v/>
      </c>
      <c r="P2" s="6" cm="1">
        <f t="array" ref="P2">MAX(IF(Tabela3[Tipo]="Dependente",Tabela3[Expectativa de Vida (Data)]))</f>
        <v>53324</v>
      </c>
      <c r="Q2" s="6"/>
    </row>
    <row r="3" spans="1:17" x14ac:dyDescent="0.2">
      <c r="A3" s="3" t="s">
        <v>160</v>
      </c>
      <c r="B3" s="3" t="s">
        <v>38</v>
      </c>
      <c r="C3" s="3" t="s">
        <v>191</v>
      </c>
      <c r="D3" s="5">
        <v>10000</v>
      </c>
      <c r="E3" s="3" t="s">
        <v>21</v>
      </c>
      <c r="F3" s="5">
        <f ca="1">IF(E3="BRL",D3,D3*HLOOKUP(E3,Indicadores_Economicos!$A$1:$B$2,2,FALSE))*IF(Tabela6[[#This Row],[Segurada]]="Sim",0,1)</f>
        <v>55757</v>
      </c>
      <c r="G3" s="5">
        <f>IF(E3="USD",D3,D3*HLOOKUP(E3,Indicadores_Economicos!$A$1:$B$2,2,FALSE))</f>
        <v>10000</v>
      </c>
      <c r="J3" s="6">
        <v>45658</v>
      </c>
      <c r="L3" s="6" cm="1">
        <f t="array" ref="L3">IF(K3&gt;0,DATE(YEAR(J3)+K3,MONTH(12)-1,DAY(1)),IF(I3=0,IF(COUNTIFS(Tabela3[Tipo],"Provedor",Tabela3[Simulação Seguro],"Sim")=2,MAX(IF(Tabela3[Tipo]="Dependente",Tabela3[Expectativa de Vida (Data)])),MAX(Membros!$E$2:$E$5)),IF(VLOOKUP(I3,Imóveis!A:E,5,FALSE)&gt;0,VLOOKUP(I3,Imóveis!A:E,5,FALSE),MAX(Membros!$E$2:$E$5))))</f>
        <v>71586</v>
      </c>
      <c r="M3" s="3" t="s">
        <v>36</v>
      </c>
      <c r="N3" s="3" t="str">
        <f>IFERROR(VLOOKUP(H3,Membros!$A$2:$F$6,6,FALSE),"")</f>
        <v/>
      </c>
    </row>
    <row r="4" spans="1:17" x14ac:dyDescent="0.2">
      <c r="A4" s="3" t="s">
        <v>161</v>
      </c>
      <c r="B4" s="3" t="s">
        <v>22</v>
      </c>
      <c r="C4" s="3" t="s">
        <v>174</v>
      </c>
      <c r="D4" s="5">
        <v>23000</v>
      </c>
      <c r="E4" s="3" t="s">
        <v>20</v>
      </c>
      <c r="F4" s="5">
        <f>IF(E4="BRL",D4,D4*HLOOKUP(E4,Indicadores_Economicos!$A$1:$B$2,2,FALSE))*IF(Tabela6[[#This Row],[Segurada]]="Sim",0,1)</f>
        <v>23000</v>
      </c>
      <c r="G4" s="5">
        <f ca="1">IF(E4="USD",D4,D4*HLOOKUP(E4,Indicadores_Economicos!$A$1:$B$2,2,FALSE))</f>
        <v>4146.8999999999996</v>
      </c>
      <c r="J4" s="6">
        <v>45658</v>
      </c>
      <c r="L4" s="6" cm="1">
        <f t="array" ref="L4">IF(K4&gt;0,DATE(YEAR(J4)+K4,MONTH(12)-1,DAY(1)),IF(I4=0,IF(COUNTIFS(Tabela3[Tipo],"Provedor",Tabela3[Simulação Seguro],"Sim")=2,MAX(IF(Tabela3[Tipo]="Dependente",Tabela3[Expectativa de Vida (Data)])),MAX(Membros!$E$2:$E$5)),IF(VLOOKUP(I4,Imóveis!A:E,5,FALSE)&gt;0,VLOOKUP(I4,Imóveis!A:E,5,FALSE),MAX(Membros!$E$2:$E$5))))</f>
        <v>71586</v>
      </c>
      <c r="M4" s="3" t="s">
        <v>13</v>
      </c>
      <c r="N4" s="3" t="str">
        <f>IFERROR(VLOOKUP(H4,Membros!$A$2:$F$6,6,FALSE),"")</f>
        <v/>
      </c>
    </row>
    <row r="5" spans="1:17" x14ac:dyDescent="0.2">
      <c r="A5" s="3" t="s">
        <v>162</v>
      </c>
      <c r="B5" s="3" t="s">
        <v>70</v>
      </c>
      <c r="C5" s="3" t="s">
        <v>192</v>
      </c>
      <c r="D5" s="5">
        <v>3500</v>
      </c>
      <c r="E5" s="3" t="s">
        <v>20</v>
      </c>
      <c r="F5" s="5">
        <f>IF(E5="BRL",D5,D5*HLOOKUP(E5,Indicadores_Economicos!$A$1:$B$2,2,FALSE))*IF(Tabela6[[#This Row],[Segurada]]="Sim",0,1)</f>
        <v>3500</v>
      </c>
      <c r="G5" s="5">
        <f ca="1">IF(E5="USD",D5,D5*HLOOKUP(E5,Indicadores_Economicos!$A$1:$B$2,2,FALSE))</f>
        <v>631.04999999999995</v>
      </c>
      <c r="H5" s="3" t="s">
        <v>11</v>
      </c>
      <c r="J5" s="6">
        <v>45658</v>
      </c>
      <c r="L5" s="6" cm="1">
        <f t="array" ref="L5">IF(K5&gt;0,DATE(YEAR(J5)+K5,MONTH(12)-1,DAY(1)),IF(I5=0,IF(COUNTIFS(Tabela3[Tipo],"Provedor",Tabela3[Simulação Seguro],"Sim")=2,MAX(IF(Tabela3[Tipo]="Dependente",Tabela3[Expectativa de Vida (Data)])),MAX(Membros!$E$2:$E$5)),IF(VLOOKUP(I5,Imóveis!A:E,5,FALSE)&gt;0,VLOOKUP(I5,Imóveis!A:E,5,FALSE),MAX(Membros!$E$2:$E$5))))</f>
        <v>71586</v>
      </c>
      <c r="M5" s="3" t="s">
        <v>13</v>
      </c>
      <c r="N5" s="3" t="str">
        <f>IFERROR(VLOOKUP(H5,Membros!$A$2:$F$6,6,FALSE),"")</f>
        <v>Não</v>
      </c>
    </row>
    <row r="6" spans="1:17" x14ac:dyDescent="0.2">
      <c r="A6" s="3" t="s">
        <v>163</v>
      </c>
      <c r="B6" s="3" t="s">
        <v>71</v>
      </c>
      <c r="C6" s="3" t="s">
        <v>192</v>
      </c>
      <c r="D6" s="5">
        <v>3500</v>
      </c>
      <c r="E6" s="3" t="s">
        <v>20</v>
      </c>
      <c r="F6" s="5">
        <f>IF(E6="BRL",D6,D6*HLOOKUP(E6,Indicadores_Economicos!$A$1:$B$2,2,FALSE))*IF(Tabela6[[#This Row],[Segurada]]="Sim",0,1)</f>
        <v>3500</v>
      </c>
      <c r="G6" s="5">
        <f ca="1">IF(E6="USD",D6,D6*HLOOKUP(E6,Indicadores_Economicos!$A$1:$B$2,2,FALSE))</f>
        <v>631.04999999999995</v>
      </c>
      <c r="H6" s="3" t="s">
        <v>12</v>
      </c>
      <c r="J6" s="6">
        <v>45658</v>
      </c>
      <c r="L6" s="6" cm="1">
        <f t="array" ref="L6">IF(K6&gt;0,DATE(YEAR(J6)+K6,MONTH(12)-1,DAY(1)),IF(I6=0,IF(COUNTIFS(Tabela3[Tipo],"Provedor",Tabela3[Simulação Seguro],"Sim")=2,MAX(IF(Tabela3[Tipo]="Dependente",Tabela3[Expectativa de Vida (Data)])),MAX(Membros!$E$2:$E$5)),IF(VLOOKUP(I6,Imóveis!A:E,5,FALSE)&gt;0,VLOOKUP(I6,Imóveis!A:E,5,FALSE),MAX(Membros!$E$2:$E$5))))</f>
        <v>71586</v>
      </c>
      <c r="M6" s="3" t="s">
        <v>13</v>
      </c>
      <c r="N6" s="3" t="str">
        <f>IFERROR(VLOOKUP(H6,Membros!$A$2:$F$6,6,FALSE),"")</f>
        <v>Não</v>
      </c>
    </row>
    <row r="7" spans="1:17" x14ac:dyDescent="0.2">
      <c r="A7" s="3" t="s">
        <v>164</v>
      </c>
      <c r="B7" s="3" t="s">
        <v>72</v>
      </c>
      <c r="C7" s="3" t="s">
        <v>192</v>
      </c>
      <c r="D7" s="5">
        <v>3500</v>
      </c>
      <c r="E7" s="3" t="s">
        <v>20</v>
      </c>
      <c r="F7" s="5">
        <f>IF(E7="BRL",D7,D7*HLOOKUP(E7,Indicadores_Economicos!$A$1:$B$2,2,FALSE))*IF(Tabela6[[#This Row],[Segurada]]="Sim",0,1)</f>
        <v>3500</v>
      </c>
      <c r="G7" s="5">
        <f ca="1">IF(E7="USD",D7,D7*HLOOKUP(E7,Indicadores_Economicos!$A$1:$B$2,2,FALSE))</f>
        <v>631.04999999999995</v>
      </c>
      <c r="H7" s="3" t="s">
        <v>74</v>
      </c>
      <c r="J7" s="6">
        <v>45658</v>
      </c>
      <c r="L7" s="6" cm="1">
        <f t="array" ref="L7">IF(K7&gt;0,DATE(YEAR(J7)+K7,MONTH(12)-1,DAY(1)),IF(I7=0,IF(COUNTIFS(Tabela3[Tipo],"Provedor",Tabela3[Simulação Seguro],"Sim")=2,MAX(IF(Tabela3[Tipo]="Dependente",Tabela3[Expectativa de Vida (Data)])),MAX(Membros!$E$2:$E$5)),IF(VLOOKUP(I7,Imóveis!A:E,5,FALSE)&gt;0,VLOOKUP(I7,Imóveis!A:E,5,FALSE),MAX(Membros!$E$2:$E$5))))</f>
        <v>71586</v>
      </c>
      <c r="M7" s="3" t="s">
        <v>13</v>
      </c>
      <c r="N7" s="3" t="str">
        <f>IFERROR(VLOOKUP(H7,Membros!$A$2:$F$6,6,FALSE),"")</f>
        <v/>
      </c>
    </row>
    <row r="8" spans="1:17" x14ac:dyDescent="0.2">
      <c r="A8" s="3" t="s">
        <v>165</v>
      </c>
      <c r="B8" s="3" t="s">
        <v>73</v>
      </c>
      <c r="C8" s="3" t="s">
        <v>192</v>
      </c>
      <c r="D8" s="5">
        <v>2500</v>
      </c>
      <c r="E8" s="3" t="s">
        <v>20</v>
      </c>
      <c r="F8" s="5">
        <f>IF(E8="BRL",D8,D8*HLOOKUP(E8,Indicadores_Economicos!$A$1:$B$2,2,FALSE))*IF(Tabela6[[#This Row],[Segurada]]="Sim",0,1)</f>
        <v>2500</v>
      </c>
      <c r="G8" s="5">
        <f ca="1">IF(E8="USD",D8,D8*HLOOKUP(E8,Indicadores_Economicos!$A$1:$B$2,2,FALSE))</f>
        <v>450.74999999999994</v>
      </c>
      <c r="H8" s="3" t="s">
        <v>74</v>
      </c>
      <c r="J8" s="6">
        <v>45658</v>
      </c>
      <c r="L8" s="6" cm="1">
        <f t="array" ref="L8">IF(K8&gt;0,DATE(YEAR(J8)+K8,MONTH(12)-1,DAY(1)),IF(I8=0,IF(COUNTIFS(Tabela3[Tipo],"Provedor",Tabela3[Simulação Seguro],"Sim")=2,MAX(IF(Tabela3[Tipo]="Dependente",Tabela3[Expectativa de Vida (Data)])),MAX(Membros!$E$2:$E$5)),IF(VLOOKUP(I8,Imóveis!A:E,5,FALSE)&gt;0,VLOOKUP(I8,Imóveis!A:E,5,FALSE),MAX(Membros!$E$2:$E$5))))</f>
        <v>71586</v>
      </c>
      <c r="M8" s="3" t="s">
        <v>13</v>
      </c>
      <c r="N8" s="3" t="str">
        <f>IFERROR(VLOOKUP(H8,Membros!$A$2:$F$6,6,FALSE),"")</f>
        <v/>
      </c>
    </row>
    <row r="9" spans="1:17" x14ac:dyDescent="0.2">
      <c r="A9" s="3" t="s">
        <v>166</v>
      </c>
      <c r="B9" s="3" t="s">
        <v>39</v>
      </c>
      <c r="C9" s="3" t="s">
        <v>175</v>
      </c>
      <c r="D9" s="5">
        <v>3000</v>
      </c>
      <c r="E9" s="3" t="s">
        <v>20</v>
      </c>
      <c r="F9" s="5">
        <f>IF(E9="BRL",D9,D9*HLOOKUP(E9,Indicadores_Economicos!$A$1:$B$2,2,FALSE))*IF(Tabela6[[#This Row],[Segurada]]="Sim",0,1)</f>
        <v>3000</v>
      </c>
      <c r="G9" s="5">
        <f ca="1">IF(E9="USD",D9,D9*HLOOKUP(E9,Indicadores_Economicos!$A$1:$B$2,2,FALSE))</f>
        <v>540.9</v>
      </c>
      <c r="H9" s="3" t="s">
        <v>76</v>
      </c>
      <c r="J9" s="6">
        <v>45658</v>
      </c>
      <c r="K9" s="3">
        <v>1</v>
      </c>
      <c r="L9" s="6" cm="1">
        <f t="array" ref="L9">IF(K9&gt;0,DATE(YEAR(J9)+K9,MONTH(12)-1,DAY(1)),IF(I9=0,IF(COUNTIFS(Tabela3[Tipo],"Provedor",Tabela3[Simulação Seguro],"Sim")=2,MAX(IF(Tabela3[Tipo]="Dependente",Tabela3[Expectativa de Vida (Data)])),MAX(Membros!$E$2:$E$5)),IF(VLOOKUP(I9,Imóveis!A:E,5,FALSE)&gt;0,VLOOKUP(I9,Imóveis!A:E,5,FALSE),MAX(Membros!$E$2:$E$5))))</f>
        <v>45992</v>
      </c>
      <c r="M9" s="3" t="s">
        <v>13</v>
      </c>
      <c r="N9" s="3" t="str">
        <f>IFERROR(VLOOKUP(H9,Membros!$A$2:$F$6,6,FALSE),"")</f>
        <v>Não</v>
      </c>
    </row>
    <row r="10" spans="1:17" x14ac:dyDescent="0.2">
      <c r="A10" s="3" t="s">
        <v>167</v>
      </c>
      <c r="B10" s="3" t="s">
        <v>40</v>
      </c>
      <c r="C10" s="3" t="s">
        <v>175</v>
      </c>
      <c r="D10" s="5">
        <v>4000</v>
      </c>
      <c r="E10" s="3" t="s">
        <v>20</v>
      </c>
      <c r="F10" s="5">
        <f>IF(E10="BRL",D10,D10*HLOOKUP(E10,Indicadores_Economicos!$A$1:$B$2,2,FALSE))*IF(Tabela6[[#This Row],[Segurada]]="Sim",0,1)</f>
        <v>4000</v>
      </c>
      <c r="G10" s="5">
        <f ca="1">IF(E10="USD",D10,D10*HLOOKUP(E10,Indicadores_Economicos!$A$1:$B$2,2,FALSE))</f>
        <v>721.19999999999993</v>
      </c>
      <c r="H10" s="3" t="s">
        <v>76</v>
      </c>
      <c r="J10" s="6">
        <v>46023</v>
      </c>
      <c r="K10" s="3">
        <v>5</v>
      </c>
      <c r="L10" s="6" cm="1">
        <f t="array" ref="L10">IF(K10&gt;0,DATE(YEAR(J10)+K10,MONTH(12)-1,DAY(1)),IF(I10=0,IF(COUNTIFS(Tabela3[Tipo],"Provedor",Tabela3[Simulação Seguro],"Sim")=2,MAX(IF(Tabela3[Tipo]="Dependente",Tabela3[Expectativa de Vida (Data)])),MAX(Membros!$E$2:$E$5)),IF(VLOOKUP(I10,Imóveis!A:E,5,FALSE)&gt;0,VLOOKUP(I10,Imóveis!A:E,5,FALSE),MAX(Membros!$E$2:$E$5))))</f>
        <v>47818</v>
      </c>
      <c r="M10" s="3" t="s">
        <v>13</v>
      </c>
      <c r="N10" s="3" t="str">
        <f>IFERROR(VLOOKUP(H10,Membros!$A$2:$F$6,6,FALSE),"")</f>
        <v>Não</v>
      </c>
    </row>
    <row r="11" spans="1:17" x14ac:dyDescent="0.2">
      <c r="A11" s="3" t="s">
        <v>168</v>
      </c>
      <c r="B11" s="3" t="s">
        <v>41</v>
      </c>
      <c r="C11" s="3" t="s">
        <v>175</v>
      </c>
      <c r="D11" s="5">
        <v>4000</v>
      </c>
      <c r="E11" s="3" t="s">
        <v>20</v>
      </c>
      <c r="F11" s="5">
        <f>IF(E11="BRL",D11,D11*HLOOKUP(E11,Indicadores_Economicos!$A$1:$B$2,2,FALSE))*IF(Tabela6[[#This Row],[Segurada]]="Sim",0,1)</f>
        <v>4000</v>
      </c>
      <c r="G11" s="5">
        <f ca="1">IF(E11="USD",D11,D11*HLOOKUP(E11,Indicadores_Economicos!$A$1:$B$2,2,FALSE))</f>
        <v>721.19999999999993</v>
      </c>
      <c r="H11" s="3" t="s">
        <v>76</v>
      </c>
      <c r="J11" s="6">
        <v>47849</v>
      </c>
      <c r="K11" s="3">
        <v>4</v>
      </c>
      <c r="L11" s="6" cm="1">
        <f t="array" ref="L11">IF(K11&gt;0,DATE(YEAR(J11)+K11,MONTH(12)-1,DAY(1)),IF(I11=0,IF(COUNTIFS(Tabela3[Tipo],"Provedor",Tabela3[Simulação Seguro],"Sim")=2,MAX(IF(Tabela3[Tipo]="Dependente",Tabela3[Expectativa de Vida (Data)])),MAX(Membros!$E$2:$E$5)),IF(VLOOKUP(I11,Imóveis!A:E,5,FALSE)&gt;0,VLOOKUP(I11,Imóveis!A:E,5,FALSE),MAX(Membros!$E$2:$E$5))))</f>
        <v>49279</v>
      </c>
      <c r="M11" s="3" t="s">
        <v>13</v>
      </c>
      <c r="N11" s="3" t="str">
        <f>IFERROR(VLOOKUP(H11,Membros!$A$2:$F$6,6,FALSE),"")</f>
        <v>Não</v>
      </c>
    </row>
    <row r="12" spans="1:17" x14ac:dyDescent="0.2">
      <c r="A12" s="3" t="s">
        <v>169</v>
      </c>
      <c r="B12" s="3" t="s">
        <v>42</v>
      </c>
      <c r="C12" s="3" t="s">
        <v>175</v>
      </c>
      <c r="D12" s="5">
        <v>5000</v>
      </c>
      <c r="E12" s="3" t="s">
        <v>20</v>
      </c>
      <c r="F12" s="5">
        <f>IF(E12="BRL",D12,D12*HLOOKUP(E12,Indicadores_Economicos!$A$1:$B$2,2,FALSE))*IF(Tabela6[[#This Row],[Segurada]]="Sim",0,1)</f>
        <v>5000</v>
      </c>
      <c r="G12" s="5">
        <f ca="1">IF(E12="USD",D12,D12*HLOOKUP(E12,Indicadores_Economicos!$A$1:$B$2,2,FALSE))</f>
        <v>901.49999999999989</v>
      </c>
      <c r="H12" s="3" t="s">
        <v>76</v>
      </c>
      <c r="J12" s="6">
        <v>49310</v>
      </c>
      <c r="K12" s="3">
        <v>3</v>
      </c>
      <c r="L12" s="6" cm="1">
        <f t="array" ref="L12">IF(K12&gt;0,DATE(YEAR(J12)+K12,MONTH(12)-1,DAY(1)),IF(I12=0,IF(COUNTIFS(Tabela3[Tipo],"Provedor",Tabela3[Simulação Seguro],"Sim")=2,MAX(IF(Tabela3[Tipo]="Dependente",Tabela3[Expectativa de Vida (Data)])),MAX(Membros!$E$2:$E$5)),IF(VLOOKUP(I12,Imóveis!A:E,5,FALSE)&gt;0,VLOOKUP(I12,Imóveis!A:E,5,FALSE),MAX(Membros!$E$2:$E$5))))</f>
        <v>50375</v>
      </c>
      <c r="M12" s="3" t="s">
        <v>13</v>
      </c>
      <c r="N12" s="3" t="str">
        <f>IFERROR(VLOOKUP(H12,Membros!$A$2:$F$6,6,FALSE),"")</f>
        <v>Não</v>
      </c>
    </row>
    <row r="13" spans="1:17" x14ac:dyDescent="0.2">
      <c r="A13" s="3" t="s">
        <v>170</v>
      </c>
      <c r="B13" s="3" t="s">
        <v>45</v>
      </c>
      <c r="C13" s="3" t="s">
        <v>175</v>
      </c>
      <c r="D13" s="5">
        <v>2000</v>
      </c>
      <c r="E13" s="3" t="s">
        <v>21</v>
      </c>
      <c r="F13" s="5">
        <f ca="1">IF(E13="BRL",D13,D13*HLOOKUP(E13,Indicadores_Economicos!$A$1:$B$2,2,FALSE))*IF(Tabela6[[#This Row],[Segurada]]="Sim",0,1)</f>
        <v>11151.400000000001</v>
      </c>
      <c r="G13" s="5">
        <f>IF(E13="USD",D13,D13*HLOOKUP(E13,Indicadores_Economicos!$A$1:$B$2,2,FALSE))</f>
        <v>2000</v>
      </c>
      <c r="H13" s="3" t="s">
        <v>76</v>
      </c>
      <c r="J13" s="6">
        <v>50406</v>
      </c>
      <c r="K13" s="3">
        <v>1</v>
      </c>
      <c r="L13" s="6" cm="1">
        <f t="array" ref="L13">IF(K13&gt;0,DATE(YEAR(J13)+K13,MONTH(12)-1,DAY(1)),IF(I13=0,IF(COUNTIFS(Tabela3[Tipo],"Provedor",Tabela3[Simulação Seguro],"Sim")=2,MAX(IF(Tabela3[Tipo]="Dependente",Tabela3[Expectativa de Vida (Data)])),MAX(Membros!$E$2:$E$5)),IF(VLOOKUP(I13,Imóveis!A:E,5,FALSE)&gt;0,VLOOKUP(I13,Imóveis!A:E,5,FALSE),MAX(Membros!$E$2:$E$5))))</f>
        <v>50740</v>
      </c>
      <c r="M13" s="3" t="s">
        <v>13</v>
      </c>
      <c r="N13" s="3" t="str">
        <f>IFERROR(VLOOKUP(H13,Membros!$A$2:$F$6,6,FALSE),"")</f>
        <v>Não</v>
      </c>
    </row>
    <row r="14" spans="1:17" x14ac:dyDescent="0.2">
      <c r="A14" s="3" t="s">
        <v>171</v>
      </c>
      <c r="B14" s="3" t="s">
        <v>43</v>
      </c>
      <c r="C14" s="3" t="s">
        <v>175</v>
      </c>
      <c r="D14" s="5">
        <v>6000</v>
      </c>
      <c r="E14" s="3" t="s">
        <v>20</v>
      </c>
      <c r="F14" s="5">
        <f>IF(E14="BRL",D14,D14*HLOOKUP(E14,Indicadores_Economicos!$A$1:$B$2,2,FALSE))*IF(Tabela6[[#This Row],[Segurada]]="Sim",0,1)</f>
        <v>6000</v>
      </c>
      <c r="G14" s="5">
        <f ca="1">IF(E14="USD",D14,D14*HLOOKUP(E14,Indicadores_Economicos!$A$1:$B$2,2,FALSE))</f>
        <v>1081.8</v>
      </c>
      <c r="H14" s="3" t="s">
        <v>76</v>
      </c>
      <c r="J14" s="6">
        <v>50771</v>
      </c>
      <c r="K14" s="3">
        <v>5</v>
      </c>
      <c r="L14" s="6" cm="1">
        <f t="array" ref="L14">IF(K14&gt;0,DATE(YEAR(J14)+K14,MONTH(12)-1,DAY(1)),IF(I14=0,IF(COUNTIFS(Tabela3[Tipo],"Provedor",Tabela3[Simulação Seguro],"Sim")=2,MAX(IF(Tabela3[Tipo]="Dependente",Tabela3[Expectativa de Vida (Data)])),MAX(Membros!$E$2:$E$5)),IF(VLOOKUP(I14,Imóveis!A:E,5,FALSE)&gt;0,VLOOKUP(I14,Imóveis!A:E,5,FALSE),MAX(Membros!$E$2:$E$5))))</f>
        <v>52566</v>
      </c>
      <c r="M14" s="3" t="s">
        <v>13</v>
      </c>
      <c r="N14" s="3" t="str">
        <f>IFERROR(VLOOKUP(H14,Membros!$A$2:$F$6,6,FALSE),"")</f>
        <v>Não</v>
      </c>
    </row>
    <row r="15" spans="1:17" x14ac:dyDescent="0.2">
      <c r="A15" s="3" t="s">
        <v>172</v>
      </c>
      <c r="B15" s="3" t="s">
        <v>44</v>
      </c>
      <c r="C15" s="3" t="s">
        <v>175</v>
      </c>
      <c r="D15" s="5">
        <v>500</v>
      </c>
      <c r="E15" s="3" t="s">
        <v>20</v>
      </c>
      <c r="F15" s="5">
        <f>IF(E15="BRL",D15,D15*HLOOKUP(E15,Indicadores_Economicos!$A$1:$B$2,2,FALSE))*IF(Tabela6[[#This Row],[Segurada]]="Sim",0,1)</f>
        <v>500</v>
      </c>
      <c r="G15" s="5">
        <f ca="1">IF(E15="USD",D15,D15*HLOOKUP(E15,Indicadores_Economicos!$A$1:$B$2,2,FALSE))</f>
        <v>90.149999999999991</v>
      </c>
      <c r="H15" s="3" t="s">
        <v>76</v>
      </c>
      <c r="J15" s="6">
        <v>48214</v>
      </c>
      <c r="K15" s="3">
        <v>7</v>
      </c>
      <c r="L15" s="6" cm="1">
        <f t="array" ref="L15">IF(K15&gt;0,DATE(YEAR(J15)+K15,MONTH(12)-1,DAY(1)),IF(I15=0,IF(COUNTIFS(Tabela3[Tipo],"Provedor",Tabela3[Simulação Seguro],"Sim")=2,MAX(IF(Tabela3[Tipo]="Dependente",Tabela3[Expectativa de Vida (Data)])),MAX(Membros!$E$2:$E$5)),IF(VLOOKUP(I15,Imóveis!A:E,5,FALSE)&gt;0,VLOOKUP(I15,Imóveis!A:E,5,FALSE),MAX(Membros!$E$2:$E$5))))</f>
        <v>50740</v>
      </c>
      <c r="M15" s="3" t="s">
        <v>13</v>
      </c>
      <c r="N15" s="3" t="str">
        <f>IFERROR(VLOOKUP(H15,Membros!$A$2:$F$6,6,FALSE),"")</f>
        <v>Não</v>
      </c>
    </row>
    <row r="16" spans="1:17" x14ac:dyDescent="0.2">
      <c r="A16" s="3" t="s">
        <v>173</v>
      </c>
      <c r="B16" s="3" t="s">
        <v>64</v>
      </c>
      <c r="C16" s="3" t="s">
        <v>175</v>
      </c>
      <c r="D16" s="5">
        <v>500</v>
      </c>
      <c r="E16" s="3" t="s">
        <v>20</v>
      </c>
      <c r="F16" s="5">
        <f>IF(E16="BRL",D16,D16*HLOOKUP(E16,Indicadores_Economicos!$A$1:$B$2,2,FALSE))*IF(Tabela6[[#This Row],[Segurada]]="Sim",0,1)</f>
        <v>500</v>
      </c>
      <c r="G16" s="5">
        <f ca="1">IF(E16="USD",D16,D16*HLOOKUP(E16,Indicadores_Economicos!$A$1:$B$2,2,FALSE))</f>
        <v>90.149999999999991</v>
      </c>
      <c r="H16" s="3" t="s">
        <v>76</v>
      </c>
      <c r="J16" s="6">
        <v>48214</v>
      </c>
      <c r="K16" s="3">
        <v>7</v>
      </c>
      <c r="L16" s="6" cm="1">
        <f t="array" ref="L16">IF(K16&gt;0,DATE(YEAR(J16)+K16,MONTH(12)-1,DAY(1)),IF(I16=0,IF(COUNTIFS(Tabela3[Tipo],"Provedor",Tabela3[Simulação Seguro],"Sim")=2,MAX(IF(Tabela3[Tipo]="Dependente",Tabela3[Expectativa de Vida (Data)])),MAX(Membros!$E$2:$E$5)),IF(VLOOKUP(I16,Imóveis!A:E,5,FALSE)&gt;0,VLOOKUP(I16,Imóveis!A:E,5,FALSE),MAX(Membros!$E$2:$E$5))))</f>
        <v>50740</v>
      </c>
      <c r="M16" s="3" t="s">
        <v>13</v>
      </c>
      <c r="N16" s="3" t="str">
        <f>IFERROR(VLOOKUP(H16,Membros!$A$2:$F$6,6,FALSE),"")</f>
        <v>Não</v>
      </c>
    </row>
    <row r="17" spans="1:14" x14ac:dyDescent="0.2">
      <c r="A17" s="3" t="s">
        <v>176</v>
      </c>
      <c r="B17" s="3" t="s">
        <v>65</v>
      </c>
      <c r="C17" s="3" t="s">
        <v>175</v>
      </c>
      <c r="D17" s="5">
        <v>1000</v>
      </c>
      <c r="E17" s="3" t="s">
        <v>20</v>
      </c>
      <c r="F17" s="5">
        <f>IF(E17="BRL",D17,D17*HLOOKUP(E17,Indicadores_Economicos!$A$1:$B$2,2,FALSE))*IF(Tabela6[[#This Row],[Segurada]]="Sim",0,1)</f>
        <v>1000</v>
      </c>
      <c r="G17" s="5">
        <f ca="1">IF(E17="USD",D17,D17*HLOOKUP(E17,Indicadores_Economicos!$A$1:$B$2,2,FALSE))</f>
        <v>180.29999999999998</v>
      </c>
      <c r="H17" s="3" t="s">
        <v>76</v>
      </c>
      <c r="J17" s="6">
        <v>48214</v>
      </c>
      <c r="K17" s="3">
        <v>7</v>
      </c>
      <c r="L17" s="6" cm="1">
        <f t="array" ref="L17">IF(K17&gt;0,DATE(YEAR(J17)+K17,MONTH(12)-1,DAY(1)),IF(I17=0,IF(COUNTIFS(Tabela3[Tipo],"Provedor",Tabela3[Simulação Seguro],"Sim")=2,MAX(IF(Tabela3[Tipo]="Dependente",Tabela3[Expectativa de Vida (Data)])),MAX(Membros!$E$2:$E$5)),IF(VLOOKUP(I17,Imóveis!A:E,5,FALSE)&gt;0,VLOOKUP(I17,Imóveis!A:E,5,FALSE),MAX(Membros!$E$2:$E$5))))</f>
        <v>50740</v>
      </c>
      <c r="M17" s="3" t="s">
        <v>13</v>
      </c>
      <c r="N17" s="3" t="str">
        <f>IFERROR(VLOOKUP(H17,Membros!$A$2:$F$6,6,FALSE),"")</f>
        <v>Não</v>
      </c>
    </row>
    <row r="18" spans="1:14" x14ac:dyDescent="0.2">
      <c r="A18" s="3" t="s">
        <v>177</v>
      </c>
      <c r="B18" s="3" t="s">
        <v>41</v>
      </c>
      <c r="C18" s="3" t="s">
        <v>175</v>
      </c>
      <c r="D18" s="5">
        <v>4000</v>
      </c>
      <c r="E18" s="3" t="s">
        <v>20</v>
      </c>
      <c r="F18" s="5">
        <f>IF(E18="BRL",D18,D18*HLOOKUP(E18,Indicadores_Economicos!$A$1:$B$2,2,FALSE))*IF(Tabela6[[#This Row],[Segurada]]="Sim",0,1)</f>
        <v>4000</v>
      </c>
      <c r="G18" s="5">
        <f ca="1">IF(E18="USD",D18,D18*HLOOKUP(E18,Indicadores_Economicos!$A$1:$B$2,2,FALSE))</f>
        <v>721.19999999999993</v>
      </c>
      <c r="H18" s="3" t="s">
        <v>77</v>
      </c>
      <c r="J18" s="6">
        <v>45658</v>
      </c>
      <c r="K18" s="3">
        <v>2</v>
      </c>
      <c r="L18" s="6" cm="1">
        <f t="array" ref="L18">IF(K18&gt;0,DATE(YEAR(J18)+K18,MONTH(12)-1,DAY(1)),IF(I18=0,IF(COUNTIFS(Tabela3[Tipo],"Provedor",Tabela3[Simulação Seguro],"Sim")=2,MAX(IF(Tabela3[Tipo]="Dependente",Tabela3[Expectativa de Vida (Data)])),MAX(Membros!$E$2:$E$5)),IF(VLOOKUP(I18,Imóveis!A:E,5,FALSE)&gt;0,VLOOKUP(I18,Imóveis!A:E,5,FALSE),MAX(Membros!$E$2:$E$5))))</f>
        <v>46357</v>
      </c>
      <c r="M18" s="3" t="s">
        <v>13</v>
      </c>
      <c r="N18" s="3" t="str">
        <f>IFERROR(VLOOKUP(H18,Membros!$A$2:$F$6,6,FALSE),"")</f>
        <v>Não</v>
      </c>
    </row>
    <row r="19" spans="1:14" x14ac:dyDescent="0.2">
      <c r="A19" s="3" t="s">
        <v>178</v>
      </c>
      <c r="B19" s="3" t="s">
        <v>42</v>
      </c>
      <c r="C19" s="3" t="s">
        <v>175</v>
      </c>
      <c r="D19" s="5">
        <v>5000</v>
      </c>
      <c r="E19" s="3" t="s">
        <v>20</v>
      </c>
      <c r="F19" s="5">
        <f>IF(E19="BRL",D19,D19*HLOOKUP(E19,Indicadores_Economicos!$A$1:$B$2,2,FALSE))*IF(Tabela6[[#This Row],[Segurada]]="Sim",0,1)</f>
        <v>5000</v>
      </c>
      <c r="G19" s="5">
        <f ca="1">IF(E19="USD",D19,D19*HLOOKUP(E19,Indicadores_Economicos!$A$1:$B$2,2,FALSE))</f>
        <v>901.49999999999989</v>
      </c>
      <c r="H19" s="3" t="s">
        <v>77</v>
      </c>
      <c r="J19" s="6">
        <v>46388</v>
      </c>
      <c r="K19" s="3">
        <v>3</v>
      </c>
      <c r="L19" s="6" cm="1">
        <f t="array" ref="L19">IF(K19&gt;0,DATE(YEAR(J19)+K19,MONTH(12)-1,DAY(1)),IF(I19=0,IF(COUNTIFS(Tabela3[Tipo],"Provedor",Tabela3[Simulação Seguro],"Sim")=2,MAX(IF(Tabela3[Tipo]="Dependente",Tabela3[Expectativa de Vida (Data)])),MAX(Membros!$E$2:$E$5)),IF(VLOOKUP(I19,Imóveis!A:E,5,FALSE)&gt;0,VLOOKUP(I19,Imóveis!A:E,5,FALSE),MAX(Membros!$E$2:$E$5))))</f>
        <v>47453</v>
      </c>
      <c r="M19" s="3" t="s">
        <v>13</v>
      </c>
      <c r="N19" s="3" t="str">
        <f>IFERROR(VLOOKUP(H19,Membros!$A$2:$F$6,6,FALSE),"")</f>
        <v>Não</v>
      </c>
    </row>
    <row r="20" spans="1:14" x14ac:dyDescent="0.2">
      <c r="A20" s="3" t="s">
        <v>179</v>
      </c>
      <c r="B20" s="3" t="s">
        <v>45</v>
      </c>
      <c r="C20" s="3" t="s">
        <v>175</v>
      </c>
      <c r="D20" s="5">
        <v>2000</v>
      </c>
      <c r="E20" s="3" t="s">
        <v>21</v>
      </c>
      <c r="F20" s="5">
        <f ca="1">IF(E20="BRL",D20,D20*HLOOKUP(E20,Indicadores_Economicos!$A$1:$B$2,2,FALSE))*IF(Tabela6[[#This Row],[Segurada]]="Sim",0,1)</f>
        <v>11151.400000000001</v>
      </c>
      <c r="G20" s="5">
        <f>IF(E20="USD",D20,D20*HLOOKUP(E20,Indicadores_Economicos!$A$1:$B$2,2,FALSE))</f>
        <v>2000</v>
      </c>
      <c r="H20" s="3" t="s">
        <v>77</v>
      </c>
      <c r="J20" s="6">
        <v>47484</v>
      </c>
      <c r="K20" s="3">
        <v>1</v>
      </c>
      <c r="L20" s="6" cm="1">
        <f t="array" ref="L20">IF(K20&gt;0,DATE(YEAR(J20)+K20,MONTH(12)-1,DAY(1)),IF(I20=0,IF(COUNTIFS(Tabela3[Tipo],"Provedor",Tabela3[Simulação Seguro],"Sim")=2,MAX(IF(Tabela3[Tipo]="Dependente",Tabela3[Expectativa de Vida (Data)])),MAX(Membros!$E$2:$E$5)),IF(VLOOKUP(I20,Imóveis!A:E,5,FALSE)&gt;0,VLOOKUP(I20,Imóveis!A:E,5,FALSE),MAX(Membros!$E$2:$E$5))))</f>
        <v>47818</v>
      </c>
      <c r="M20" s="3" t="s">
        <v>13</v>
      </c>
      <c r="N20" s="3" t="str">
        <f>IFERROR(VLOOKUP(H20,Membros!$A$2:$F$6,6,FALSE),"")</f>
        <v>Não</v>
      </c>
    </row>
    <row r="21" spans="1:14" x14ac:dyDescent="0.2">
      <c r="A21" s="3" t="s">
        <v>180</v>
      </c>
      <c r="B21" s="3" t="s">
        <v>43</v>
      </c>
      <c r="C21" s="3" t="s">
        <v>175</v>
      </c>
      <c r="D21" s="5">
        <v>6000</v>
      </c>
      <c r="E21" s="3" t="s">
        <v>20</v>
      </c>
      <c r="F21" s="5">
        <f>IF(E21="BRL",D21,D21*HLOOKUP(E21,Indicadores_Economicos!$A$1:$B$2,2,FALSE))*IF(Tabela6[[#This Row],[Segurada]]="Sim",0,1)</f>
        <v>6000</v>
      </c>
      <c r="G21" s="5">
        <f ca="1">IF(E21="USD",D21,D21*HLOOKUP(E21,Indicadores_Economicos!$A$1:$B$2,2,FALSE))</f>
        <v>1081.8</v>
      </c>
      <c r="H21" s="3" t="s">
        <v>77</v>
      </c>
      <c r="J21" s="6">
        <v>47849</v>
      </c>
      <c r="K21" s="3">
        <v>5</v>
      </c>
      <c r="L21" s="6" cm="1">
        <f t="array" ref="L21">IF(K21&gt;0,DATE(YEAR(J21)+K21,MONTH(12)-1,DAY(1)),IF(I21=0,IF(COUNTIFS(Tabela3[Tipo],"Provedor",Tabela3[Simulação Seguro],"Sim")=2,MAX(IF(Tabela3[Tipo]="Dependente",Tabela3[Expectativa de Vida (Data)])),MAX(Membros!$E$2:$E$5)),IF(VLOOKUP(I21,Imóveis!A:E,5,FALSE)&gt;0,VLOOKUP(I21,Imóveis!A:E,5,FALSE),MAX(Membros!$E$2:$E$5))))</f>
        <v>49644</v>
      </c>
      <c r="M21" s="3" t="s">
        <v>13</v>
      </c>
      <c r="N21" s="3" t="str">
        <f>IFERROR(VLOOKUP(H21,Membros!$A$2:$F$6,6,FALSE),"")</f>
        <v>Não</v>
      </c>
    </row>
    <row r="22" spans="1:14" x14ac:dyDescent="0.2">
      <c r="A22" s="3" t="s">
        <v>181</v>
      </c>
      <c r="B22" s="3" t="s">
        <v>44</v>
      </c>
      <c r="C22" s="3" t="s">
        <v>175</v>
      </c>
      <c r="D22" s="5">
        <v>500</v>
      </c>
      <c r="E22" s="3" t="s">
        <v>20</v>
      </c>
      <c r="F22" s="5">
        <f>IF(E22="BRL",D22,D22*HLOOKUP(E22,Indicadores_Economicos!$A$1:$B$2,2,FALSE))*IF(Tabela6[[#This Row],[Segurada]]="Sim",0,1)</f>
        <v>500</v>
      </c>
      <c r="G22" s="5">
        <f ca="1">IF(E22="USD",D22,D22*HLOOKUP(E22,Indicadores_Economicos!$A$1:$B$2,2,FALSE))</f>
        <v>90.149999999999991</v>
      </c>
      <c r="H22" s="3" t="s">
        <v>77</v>
      </c>
      <c r="J22" s="6">
        <v>45658</v>
      </c>
      <c r="K22" s="3">
        <v>5</v>
      </c>
      <c r="L22" s="6" cm="1">
        <f t="array" ref="L22">IF(K22&gt;0,DATE(YEAR(J22)+K22,MONTH(12)-1,DAY(1)),IF(I22=0,IF(COUNTIFS(Tabela3[Tipo],"Provedor",Tabela3[Simulação Seguro],"Sim")=2,MAX(IF(Tabela3[Tipo]="Dependente",Tabela3[Expectativa de Vida (Data)])),MAX(Membros!$E$2:$E$5)),IF(VLOOKUP(I22,Imóveis!A:E,5,FALSE)&gt;0,VLOOKUP(I22,Imóveis!A:E,5,FALSE),MAX(Membros!$E$2:$E$5))))</f>
        <v>47453</v>
      </c>
      <c r="M22" s="3" t="s">
        <v>13</v>
      </c>
      <c r="N22" s="3" t="str">
        <f>IFERROR(VLOOKUP(H22,Membros!$A$2:$F$6,6,FALSE),"")</f>
        <v>Não</v>
      </c>
    </row>
    <row r="23" spans="1:14" x14ac:dyDescent="0.2">
      <c r="A23" s="3" t="s">
        <v>182</v>
      </c>
      <c r="B23" s="3" t="s">
        <v>64</v>
      </c>
      <c r="C23" s="3" t="s">
        <v>175</v>
      </c>
      <c r="D23" s="5">
        <v>500</v>
      </c>
      <c r="E23" s="3" t="s">
        <v>20</v>
      </c>
      <c r="F23" s="5">
        <f>IF(E23="BRL",D23,D23*HLOOKUP(E23,Indicadores_Economicos!$A$1:$B$2,2,FALSE))*IF(Tabela6[[#This Row],[Segurada]]="Sim",0,1)</f>
        <v>500</v>
      </c>
      <c r="G23" s="5">
        <f ca="1">IF(E23="USD",D23,D23*HLOOKUP(E23,Indicadores_Economicos!$A$1:$B$2,2,FALSE))</f>
        <v>90.149999999999991</v>
      </c>
      <c r="H23" s="3" t="s">
        <v>77</v>
      </c>
      <c r="J23" s="6">
        <v>45658</v>
      </c>
      <c r="K23" s="3">
        <v>5</v>
      </c>
      <c r="L23" s="6" cm="1">
        <f t="array" ref="L23">IF(K23&gt;0,DATE(YEAR(J23)+K23,MONTH(12)-1,DAY(1)),IF(I23=0,IF(COUNTIFS(Tabela3[Tipo],"Provedor",Tabela3[Simulação Seguro],"Sim")=2,MAX(IF(Tabela3[Tipo]="Dependente",Tabela3[Expectativa de Vida (Data)])),MAX(Membros!$E$2:$E$5)),IF(VLOOKUP(I23,Imóveis!A:E,5,FALSE)&gt;0,VLOOKUP(I23,Imóveis!A:E,5,FALSE),MAX(Membros!$E$2:$E$5))))</f>
        <v>47453</v>
      </c>
      <c r="M23" s="3" t="s">
        <v>13</v>
      </c>
      <c r="N23" s="3" t="str">
        <f>IFERROR(VLOOKUP(H23,Membros!$A$2:$F$6,6,FALSE),"")</f>
        <v>Não</v>
      </c>
    </row>
    <row r="24" spans="1:14" x14ac:dyDescent="0.2">
      <c r="A24" s="3" t="s">
        <v>183</v>
      </c>
      <c r="B24" s="3" t="s">
        <v>65</v>
      </c>
      <c r="C24" s="3" t="s">
        <v>175</v>
      </c>
      <c r="D24" s="5">
        <v>1000</v>
      </c>
      <c r="E24" s="3" t="s">
        <v>20</v>
      </c>
      <c r="F24" s="5">
        <f>IF(E24="BRL",D24,D24*HLOOKUP(E24,Indicadores_Economicos!$A$1:$B$2,2,FALSE))*IF(Tabela6[[#This Row],[Segurada]]="Sim",0,1)</f>
        <v>1000</v>
      </c>
      <c r="G24" s="5">
        <f ca="1">IF(E24="USD",D24,D24*HLOOKUP(E24,Indicadores_Economicos!$A$1:$B$2,2,FALSE))</f>
        <v>180.29999999999998</v>
      </c>
      <c r="H24" s="3" t="s">
        <v>77</v>
      </c>
      <c r="J24" s="6">
        <v>45658</v>
      </c>
      <c r="K24" s="3">
        <v>5</v>
      </c>
      <c r="L24" s="6" cm="1">
        <f t="array" ref="L24">IF(K24&gt;0,DATE(YEAR(J24)+K24,MONTH(12)-1,DAY(1)),IF(I24=0,IF(COUNTIFS(Tabela3[Tipo],"Provedor",Tabela3[Simulação Seguro],"Sim")=2,MAX(IF(Tabela3[Tipo]="Dependente",Tabela3[Expectativa de Vida (Data)])),MAX(Membros!$E$2:$E$5)),IF(VLOOKUP(I24,Imóveis!A:E,5,FALSE)&gt;0,VLOOKUP(I24,Imóveis!A:E,5,FALSE),MAX(Membros!$E$2:$E$5))))</f>
        <v>47453</v>
      </c>
      <c r="M24" s="3" t="s">
        <v>13</v>
      </c>
      <c r="N24" s="3" t="str">
        <f>IFERROR(VLOOKUP(H24,Membros!$A$2:$F$6,6,FALSE),"")</f>
        <v>Não</v>
      </c>
    </row>
    <row r="25" spans="1:14" x14ac:dyDescent="0.2">
      <c r="A25" s="3" t="s">
        <v>184</v>
      </c>
      <c r="B25" s="3" t="s">
        <v>41</v>
      </c>
      <c r="C25" s="3" t="s">
        <v>175</v>
      </c>
      <c r="D25" s="5">
        <v>4000</v>
      </c>
      <c r="E25" s="3" t="s">
        <v>20</v>
      </c>
      <c r="F25" s="5">
        <f>IF(E25="BRL",D25,D25*HLOOKUP(E25,Indicadores_Economicos!$A$1:$B$2,2,FALSE))*IF(Tabela6[[#This Row],[Segurada]]="Sim",0,1)</f>
        <v>4000</v>
      </c>
      <c r="G25" s="5">
        <f ca="1">IF(E25="USD",D25,D25*HLOOKUP(E25,Indicadores_Economicos!$A$1:$B$2,2,FALSE))</f>
        <v>721.19999999999993</v>
      </c>
      <c r="H25" s="3" t="s">
        <v>100</v>
      </c>
      <c r="J25" s="6">
        <v>45658</v>
      </c>
      <c r="K25" s="3">
        <v>3</v>
      </c>
      <c r="L25" s="6" cm="1">
        <f t="array" ref="L25">IF(K25&gt;0,DATE(YEAR(J25)+K25,MONTH(12)-1,DAY(1)),IF(I25=0,IF(COUNTIFS(Tabela3[Tipo],"Provedor",Tabela3[Simulação Seguro],"Sim")=2,MAX(IF(Tabela3[Tipo]="Dependente",Tabela3[Expectativa de Vida (Data)])),MAX(Membros!$E$2:$E$5)),IF(VLOOKUP(I25,Imóveis!A:E,5,FALSE)&gt;0,VLOOKUP(I25,Imóveis!A:E,5,FALSE),MAX(Membros!$E$2:$E$5))))</f>
        <v>46722</v>
      </c>
      <c r="M25" s="3" t="s">
        <v>13</v>
      </c>
      <c r="N25" s="3" t="str">
        <f>IFERROR(VLOOKUP(H25,Membros!$A$2:$F$6,6,FALSE),"")</f>
        <v>Não</v>
      </c>
    </row>
    <row r="26" spans="1:14" x14ac:dyDescent="0.2">
      <c r="A26" s="3" t="s">
        <v>185</v>
      </c>
      <c r="B26" s="3" t="s">
        <v>42</v>
      </c>
      <c r="C26" s="3" t="s">
        <v>175</v>
      </c>
      <c r="D26" s="5">
        <v>5000</v>
      </c>
      <c r="E26" s="3" t="s">
        <v>20</v>
      </c>
      <c r="F26" s="5">
        <f>IF(E26="BRL",D26,D26*HLOOKUP(E26,Indicadores_Economicos!$A$1:$B$2,2,FALSE))*IF(Tabela6[[#This Row],[Segurada]]="Sim",0,1)</f>
        <v>5000</v>
      </c>
      <c r="G26" s="5">
        <f ca="1">IF(E26="USD",D26,D26*HLOOKUP(E26,Indicadores_Economicos!$A$1:$B$2,2,FALSE))</f>
        <v>901.49999999999989</v>
      </c>
      <c r="H26" s="3" t="s">
        <v>100</v>
      </c>
      <c r="J26" s="6">
        <v>46753</v>
      </c>
      <c r="K26" s="3">
        <v>3</v>
      </c>
      <c r="L26" s="6" cm="1">
        <f t="array" ref="L26">IF(K26&gt;0,DATE(YEAR(J26)+K26,MONTH(12)-1,DAY(1)),IF(I26=0,IF(COUNTIFS(Tabela3[Tipo],"Provedor",Tabela3[Simulação Seguro],"Sim")=2,MAX(IF(Tabela3[Tipo]="Dependente",Tabela3[Expectativa de Vida (Data)])),MAX(Membros!$E$2:$E$5)),IF(VLOOKUP(I26,Imóveis!A:E,5,FALSE)&gt;0,VLOOKUP(I26,Imóveis!A:E,5,FALSE),MAX(Membros!$E$2:$E$5))))</f>
        <v>47818</v>
      </c>
      <c r="M26" s="3" t="s">
        <v>13</v>
      </c>
      <c r="N26" s="3" t="str">
        <f>IFERROR(VLOOKUP(H26,Membros!$A$2:$F$6,6,FALSE),"")</f>
        <v>Não</v>
      </c>
    </row>
    <row r="27" spans="1:14" x14ac:dyDescent="0.2">
      <c r="A27" s="3" t="s">
        <v>186</v>
      </c>
      <c r="B27" s="3" t="s">
        <v>45</v>
      </c>
      <c r="C27" s="3" t="s">
        <v>175</v>
      </c>
      <c r="D27" s="5">
        <v>2000</v>
      </c>
      <c r="E27" s="3" t="s">
        <v>21</v>
      </c>
      <c r="F27" s="5">
        <f ca="1">IF(E27="BRL",D27,D27*HLOOKUP(E27,Indicadores_Economicos!$A$1:$B$2,2,FALSE))*IF(Tabela6[[#This Row],[Segurada]]="Sim",0,1)</f>
        <v>11151.400000000001</v>
      </c>
      <c r="G27" s="5">
        <f>IF(E27="USD",D27,D27*HLOOKUP(E27,Indicadores_Economicos!$A$1:$B$2,2,FALSE))</f>
        <v>2000</v>
      </c>
      <c r="H27" s="3" t="s">
        <v>100</v>
      </c>
      <c r="J27" s="6">
        <v>47849</v>
      </c>
      <c r="K27" s="3">
        <v>1</v>
      </c>
      <c r="L27" s="6" cm="1">
        <f t="array" ref="L27">IF(K27&gt;0,DATE(YEAR(J27)+K27,MONTH(12)-1,DAY(1)),IF(I27=0,IF(COUNTIFS(Tabela3[Tipo],"Provedor",Tabela3[Simulação Seguro],"Sim")=2,MAX(IF(Tabela3[Tipo]="Dependente",Tabela3[Expectativa de Vida (Data)])),MAX(Membros!$E$2:$E$5)),IF(VLOOKUP(I27,Imóveis!A:E,5,FALSE)&gt;0,VLOOKUP(I27,Imóveis!A:E,5,FALSE),MAX(Membros!$E$2:$E$5))))</f>
        <v>48183</v>
      </c>
      <c r="M27" s="3" t="s">
        <v>13</v>
      </c>
      <c r="N27" s="3" t="str">
        <f>IFERROR(VLOOKUP(H27,Membros!$A$2:$F$6,6,FALSE),"")</f>
        <v>Não</v>
      </c>
    </row>
    <row r="28" spans="1:14" x14ac:dyDescent="0.2">
      <c r="A28" s="3" t="s">
        <v>187</v>
      </c>
      <c r="B28" s="3" t="s">
        <v>43</v>
      </c>
      <c r="C28" s="3" t="s">
        <v>175</v>
      </c>
      <c r="D28" s="5">
        <v>6000</v>
      </c>
      <c r="E28" s="3" t="s">
        <v>20</v>
      </c>
      <c r="F28" s="5">
        <f>IF(E28="BRL",D28,D28*HLOOKUP(E28,Indicadores_Economicos!$A$1:$B$2,2,FALSE))*IF(Tabela6[[#This Row],[Segurada]]="Sim",0,1)</f>
        <v>6000</v>
      </c>
      <c r="G28" s="5">
        <f ca="1">IF(E28="USD",D28,D28*HLOOKUP(E28,Indicadores_Economicos!$A$1:$B$2,2,FALSE))</f>
        <v>1081.8</v>
      </c>
      <c r="H28" s="3" t="s">
        <v>100</v>
      </c>
      <c r="J28" s="6">
        <v>48214</v>
      </c>
      <c r="K28" s="3">
        <v>5</v>
      </c>
      <c r="L28" s="6" cm="1">
        <f t="array" ref="L28">IF(K28&gt;0,DATE(YEAR(J28)+K28,MONTH(12)-1,DAY(1)),IF(I28=0,IF(COUNTIFS(Tabela3[Tipo],"Provedor",Tabela3[Simulação Seguro],"Sim")=2,MAX(IF(Tabela3[Tipo]="Dependente",Tabela3[Expectativa de Vida (Data)])),MAX(Membros!$E$2:$E$5)),IF(VLOOKUP(I28,Imóveis!A:E,5,FALSE)&gt;0,VLOOKUP(I28,Imóveis!A:E,5,FALSE),MAX(Membros!$E$2:$E$5))))</f>
        <v>50010</v>
      </c>
      <c r="M28" s="3" t="s">
        <v>13</v>
      </c>
      <c r="N28" s="3" t="str">
        <f>IFERROR(VLOOKUP(H28,Membros!$A$2:$F$6,6,FALSE),"")</f>
        <v>Não</v>
      </c>
    </row>
    <row r="29" spans="1:14" x14ac:dyDescent="0.2">
      <c r="A29" s="3" t="s">
        <v>188</v>
      </c>
      <c r="B29" s="3" t="s">
        <v>44</v>
      </c>
      <c r="C29" s="3" t="s">
        <v>175</v>
      </c>
      <c r="D29" s="5">
        <v>500</v>
      </c>
      <c r="E29" s="3" t="s">
        <v>20</v>
      </c>
      <c r="F29" s="5">
        <f>IF(E29="BRL",D29,D29*HLOOKUP(E29,Indicadores_Economicos!$A$1:$B$2,2,FALSE))*IF(Tabela6[[#This Row],[Segurada]]="Sim",0,1)</f>
        <v>500</v>
      </c>
      <c r="G29" s="5">
        <f ca="1">IF(E29="USD",D29,D29*HLOOKUP(E29,Indicadores_Economicos!$A$1:$B$2,2,FALSE))</f>
        <v>90.149999999999991</v>
      </c>
      <c r="H29" s="3" t="s">
        <v>100</v>
      </c>
      <c r="J29" s="6">
        <v>45658</v>
      </c>
      <c r="K29" s="3">
        <v>7</v>
      </c>
      <c r="L29" s="6" cm="1">
        <f t="array" ref="L29">IF(K29&gt;0,DATE(YEAR(J29)+K29,MONTH(12)-1,DAY(1)),IF(I29=0,IF(COUNTIFS(Tabela3[Tipo],"Provedor",Tabela3[Simulação Seguro],"Sim")=2,MAX(IF(Tabela3[Tipo]="Dependente",Tabela3[Expectativa de Vida (Data)])),MAX(Membros!$E$2:$E$5)),IF(VLOOKUP(I29,Imóveis!A:E,5,FALSE)&gt;0,VLOOKUP(I29,Imóveis!A:E,5,FALSE),MAX(Membros!$E$2:$E$5))))</f>
        <v>48183</v>
      </c>
      <c r="M29" s="3" t="s">
        <v>13</v>
      </c>
      <c r="N29" s="3" t="str">
        <f>IFERROR(VLOOKUP(H29,Membros!$A$2:$F$6,6,FALSE),"")</f>
        <v>Não</v>
      </c>
    </row>
    <row r="30" spans="1:14" x14ac:dyDescent="0.2">
      <c r="A30" s="3" t="s">
        <v>189</v>
      </c>
      <c r="B30" s="3" t="s">
        <v>64</v>
      </c>
      <c r="C30" s="3" t="s">
        <v>175</v>
      </c>
      <c r="D30" s="5">
        <v>500</v>
      </c>
      <c r="E30" s="3" t="s">
        <v>20</v>
      </c>
      <c r="F30" s="5">
        <f>IF(E30="BRL",D30,D30*HLOOKUP(E30,Indicadores_Economicos!$A$1:$B$2,2,FALSE))*IF(Tabela6[[#This Row],[Segurada]]="Sim",0,1)</f>
        <v>500</v>
      </c>
      <c r="G30" s="5">
        <f ca="1">IF(E30="USD",D30,D30*HLOOKUP(E30,Indicadores_Economicos!$A$1:$B$2,2,FALSE))</f>
        <v>90.149999999999991</v>
      </c>
      <c r="H30" s="3" t="s">
        <v>100</v>
      </c>
      <c r="J30" s="6">
        <v>45658</v>
      </c>
      <c r="K30" s="3">
        <v>7</v>
      </c>
      <c r="L30" s="6" cm="1">
        <f t="array" ref="L30">IF(K30&gt;0,DATE(YEAR(J30)+K30,MONTH(12)-1,DAY(1)),IF(I30=0,IF(COUNTIFS(Tabela3[Tipo],"Provedor",Tabela3[Simulação Seguro],"Sim")=2,MAX(IF(Tabela3[Tipo]="Dependente",Tabela3[Expectativa de Vida (Data)])),MAX(Membros!$E$2:$E$5)),IF(VLOOKUP(I30,Imóveis!A:E,5,FALSE)&gt;0,VLOOKUP(I30,Imóveis!A:E,5,FALSE),MAX(Membros!$E$2:$E$5))))</f>
        <v>48183</v>
      </c>
      <c r="M30" s="3" t="s">
        <v>13</v>
      </c>
      <c r="N30" s="3" t="str">
        <f>IFERROR(VLOOKUP(H30,Membros!$A$2:$F$6,6,FALSE),"")</f>
        <v>Não</v>
      </c>
    </row>
    <row r="31" spans="1:14" x14ac:dyDescent="0.2">
      <c r="A31" s="3" t="s">
        <v>190</v>
      </c>
      <c r="B31" s="3" t="s">
        <v>65</v>
      </c>
      <c r="C31" s="3" t="s">
        <v>175</v>
      </c>
      <c r="D31" s="5">
        <v>1000</v>
      </c>
      <c r="E31" s="3" t="s">
        <v>20</v>
      </c>
      <c r="F31" s="5">
        <f>IF(E31="BRL",D31,D31*HLOOKUP(E31,Indicadores_Economicos!$A$1:$B$2,2,FALSE))*IF(Tabela6[[#This Row],[Segurada]]="Sim",0,1)</f>
        <v>1000</v>
      </c>
      <c r="G31" s="5">
        <f ca="1">IF(E31="USD",D31,D31*HLOOKUP(E31,Indicadores_Economicos!$A$1:$B$2,2,FALSE))</f>
        <v>180.29999999999998</v>
      </c>
      <c r="H31" s="3" t="s">
        <v>100</v>
      </c>
      <c r="J31" s="6">
        <v>45658</v>
      </c>
      <c r="K31" s="3">
        <v>7</v>
      </c>
      <c r="L31" s="6" cm="1">
        <f t="array" ref="L31">IF(K31&gt;0,DATE(YEAR(J31)+K31,MONTH(12)-1,DAY(1)),IF(I31=0,IF(COUNTIFS(Tabela3[Tipo],"Provedor",Tabela3[Simulação Seguro],"Sim")=2,MAX(IF(Tabela3[Tipo]="Dependente",Tabela3[Expectativa de Vida (Data)])),MAX(Membros!$E$2:$E$5)),IF(VLOOKUP(I31,Imóveis!A:E,5,FALSE)&gt;0,VLOOKUP(I31,Imóveis!A:E,5,FALSE),MAX(Membros!$E$2:$E$5))))</f>
        <v>48183</v>
      </c>
      <c r="M31" s="3" t="s">
        <v>13</v>
      </c>
      <c r="N31" s="3" t="str">
        <f>IFERROR(VLOOKUP(H31,Membros!$A$2:$F$6,6,FALSE),"")</f>
        <v>Não</v>
      </c>
    </row>
    <row r="32" spans="1:14" x14ac:dyDescent="0.2">
      <c r="A32" s="3" t="s">
        <v>215</v>
      </c>
      <c r="B32" s="3" t="s">
        <v>85</v>
      </c>
      <c r="C32" s="3" t="s">
        <v>218</v>
      </c>
      <c r="D32" s="5">
        <v>1000</v>
      </c>
      <c r="E32" s="3" t="s">
        <v>20</v>
      </c>
      <c r="F32" s="5">
        <f>IF(E32="BRL",D32,D32*HLOOKUP(E32,Indicadores_Economicos!$A$1:$B$2,2,FALSE))*IF(Tabela6[[#This Row],[Segurada]]="Sim",0,1)</f>
        <v>1000</v>
      </c>
      <c r="G32" s="5">
        <f ca="1">IF(E32="USD",D32,D32*HLOOKUP(E32,Indicadores_Economicos!$A$1:$B$2,2,FALSE))</f>
        <v>180.29999999999998</v>
      </c>
      <c r="I32" s="3" t="s">
        <v>81</v>
      </c>
      <c r="J32" s="6">
        <v>45658</v>
      </c>
      <c r="L32" s="6" cm="1">
        <f t="array" ref="L32">IF(K32&gt;0,DATE(YEAR(J32)+K32,MONTH(12)-1,DAY(1)),IF(I32=0,IF(COUNTIFS(Tabela3[Tipo],"Provedor",Tabela3[Simulação Seguro],"Sim")=2,MAX(IF(Tabela3[Tipo]="Dependente",Tabela3[Expectativa de Vida (Data)])),MAX(Membros!$E$2:$E$5)),IF(VLOOKUP(I32,Imóveis!A:E,5,FALSE)&gt;0,VLOOKUP(I32,Imóveis!A:E,5,FALSE),MAX(Membros!$E$2:$E$5))))</f>
        <v>71586</v>
      </c>
      <c r="M32" s="3" t="s">
        <v>13</v>
      </c>
      <c r="N32" s="3" t="str">
        <f>IFERROR(VLOOKUP(H32,Membros!$A$2:$F$6,6,FALSE),"")</f>
        <v/>
      </c>
    </row>
    <row r="33" spans="1:14" x14ac:dyDescent="0.2">
      <c r="A33" s="3" t="s">
        <v>216</v>
      </c>
      <c r="B33" s="3" t="s">
        <v>84</v>
      </c>
      <c r="C33" s="3" t="s">
        <v>218</v>
      </c>
      <c r="D33" s="5">
        <v>1200</v>
      </c>
      <c r="E33" s="3" t="s">
        <v>20</v>
      </c>
      <c r="F33" s="5">
        <f>IF(E33="BRL",D33,D33*HLOOKUP(E33,Indicadores_Economicos!$A$1:$B$2,2,FALSE))*IF(Tabela6[[#This Row],[Segurada]]="Sim",0,1)</f>
        <v>1200</v>
      </c>
      <c r="G33" s="5">
        <f ca="1">IF(E33="USD",D33,D33*HLOOKUP(E33,Indicadores_Economicos!$A$1:$B$2,2,FALSE))</f>
        <v>216.35999999999999</v>
      </c>
      <c r="I33" s="3" t="s">
        <v>81</v>
      </c>
      <c r="J33" s="6">
        <v>45658</v>
      </c>
      <c r="L33" s="6" cm="1">
        <f t="array" ref="L33">IF(K33&gt;0,DATE(YEAR(J33)+K33,MONTH(12)-1,DAY(1)),IF(I33=0,IF(COUNTIFS(Tabela3[Tipo],"Provedor",Tabela3[Simulação Seguro],"Sim")=2,MAX(IF(Tabela3[Tipo]="Dependente",Tabela3[Expectativa de Vida (Data)])),MAX(Membros!$E$2:$E$5)),IF(VLOOKUP(I33,Imóveis!A:E,5,FALSE)&gt;0,VLOOKUP(I33,Imóveis!A:E,5,FALSE),MAX(Membros!$E$2:$E$5))))</f>
        <v>71586</v>
      </c>
      <c r="M33" s="3" t="s">
        <v>26</v>
      </c>
      <c r="N33" s="3" t="str">
        <f>IFERROR(VLOOKUP(H33,Membros!$A$2:$F$6,6,FALSE),"")</f>
        <v/>
      </c>
    </row>
    <row r="34" spans="1:14" x14ac:dyDescent="0.2">
      <c r="A34" s="3" t="s">
        <v>217</v>
      </c>
      <c r="B34" s="3" t="s">
        <v>91</v>
      </c>
      <c r="C34" s="3" t="s">
        <v>218</v>
      </c>
      <c r="D34" s="5">
        <v>2500</v>
      </c>
      <c r="E34" s="3" t="s">
        <v>20</v>
      </c>
      <c r="F34" s="5">
        <f>IF(E34="BRL",D34,D34*HLOOKUP(E34,Indicadores_Economicos!$A$1:$B$2,2,FALSE))*IF(Tabela6[[#This Row],[Segurada]]="Sim",0,1)</f>
        <v>2500</v>
      </c>
      <c r="G34" s="5">
        <f ca="1">IF(E34="USD",D34,D34*HLOOKUP(E34,Indicadores_Economicos!$A$1:$B$2,2,FALSE))</f>
        <v>450.74999999999994</v>
      </c>
      <c r="I34" s="3" t="s">
        <v>81</v>
      </c>
      <c r="J34" s="6">
        <v>45658</v>
      </c>
      <c r="K34" s="3">
        <v>3</v>
      </c>
      <c r="L34" s="6" cm="1">
        <f t="array" ref="L34">IF(K34&gt;0,DATE(YEAR(J34)+K34,MONTH(12)-1,DAY(1)),IF(I34=0,IF(COUNTIFS(Tabela3[Tipo],"Provedor",Tabela3[Simulação Seguro],"Sim")=2,MAX(IF(Tabela3[Tipo]="Dependente",Tabela3[Expectativa de Vida (Data)])),MAX(Membros!$E$2:$E$5)),IF(VLOOKUP(I34,Imóveis!A:E,5,FALSE)&gt;0,VLOOKUP(I34,Imóveis!A:E,5,FALSE),MAX(Membros!$E$2:$E$5))))</f>
        <v>46722</v>
      </c>
      <c r="M34" s="3" t="s">
        <v>13</v>
      </c>
      <c r="N34" s="3" t="str">
        <f>IFERROR(VLOOKUP(H34,Membros!$A$2:$F$6,6,FALSE),"")</f>
        <v/>
      </c>
    </row>
    <row r="35" spans="1:14" x14ac:dyDescent="0.2">
      <c r="A35" s="3" t="s">
        <v>219</v>
      </c>
      <c r="B35" s="3" t="s">
        <v>85</v>
      </c>
      <c r="C35" s="3" t="s">
        <v>218</v>
      </c>
      <c r="D35" s="5">
        <v>150</v>
      </c>
      <c r="E35" s="3" t="s">
        <v>21</v>
      </c>
      <c r="F35" s="5">
        <f ca="1">IF(E35="BRL",D35,D35*HLOOKUP(E35,Indicadores_Economicos!$A$1:$B$2,2,FALSE))*IF(Tabela6[[#This Row],[Segurada]]="Sim",0,1)</f>
        <v>836.35500000000002</v>
      </c>
      <c r="G35" s="5">
        <f>IF(E35="USD",D35,D35*HLOOKUP(E35,Indicadores_Economicos!$A$1:$B$2,2,FALSE))</f>
        <v>150</v>
      </c>
      <c r="I35" s="3" t="s">
        <v>87</v>
      </c>
      <c r="J35" s="6">
        <v>46023</v>
      </c>
      <c r="L35" s="6" cm="1">
        <f t="array" ref="L35">IF(K35&gt;0,DATE(YEAR(J35)+K35,MONTH(12)-1,DAY(1)),IF(I35=0,IF(COUNTIFS(Tabela3[Tipo],"Provedor",Tabela3[Simulação Seguro],"Sim")=2,MAX(IF(Tabela3[Tipo]="Dependente",Tabela3[Expectativa de Vida (Data)])),MAX(Membros!$E$2:$E$5)),IF(VLOOKUP(I35,Imóveis!A:E,5,FALSE)&gt;0,VLOOKUP(I35,Imóveis!A:E,5,FALSE),MAX(Membros!$E$2:$E$5))))</f>
        <v>49310</v>
      </c>
      <c r="M35" s="3" t="s">
        <v>13</v>
      </c>
      <c r="N35" s="3" t="str">
        <f>IFERROR(VLOOKUP(H35,Membros!$A$2:$F$6,6,FALSE),"")</f>
        <v/>
      </c>
    </row>
    <row r="36" spans="1:14" x14ac:dyDescent="0.2">
      <c r="A36" s="3" t="s">
        <v>220</v>
      </c>
      <c r="B36" s="3" t="s">
        <v>84</v>
      </c>
      <c r="C36" s="3" t="s">
        <v>218</v>
      </c>
      <c r="D36" s="5">
        <v>100</v>
      </c>
      <c r="E36" s="3" t="s">
        <v>21</v>
      </c>
      <c r="F36" s="5">
        <f ca="1">IF(E36="BRL",D36,D36*HLOOKUP(E36,Indicadores_Economicos!$A$1:$B$2,2,FALSE))*IF(Tabela6[[#This Row],[Segurada]]="Sim",0,1)</f>
        <v>557.57000000000005</v>
      </c>
      <c r="G36" s="5">
        <f>IF(E36="USD",D36,D36*HLOOKUP(E36,Indicadores_Economicos!$A$1:$B$2,2,FALSE))</f>
        <v>100</v>
      </c>
      <c r="I36" s="3" t="s">
        <v>87</v>
      </c>
      <c r="J36" s="6">
        <v>46023</v>
      </c>
      <c r="L36" s="6" cm="1">
        <f t="array" ref="L36">IF(K36&gt;0,DATE(YEAR(J36)+K36,MONTH(12)-1,DAY(1)),IF(I36=0,IF(COUNTIFS(Tabela3[Tipo],"Provedor",Tabela3[Simulação Seguro],"Sim")=2,MAX(IF(Tabela3[Tipo]="Dependente",Tabela3[Expectativa de Vida (Data)])),MAX(Membros!$E$2:$E$5)),IF(VLOOKUP(I36,Imóveis!A:E,5,FALSE)&gt;0,VLOOKUP(I36,Imóveis!A:E,5,FALSE),MAX(Membros!$E$2:$E$5))))</f>
        <v>49310</v>
      </c>
      <c r="M36" s="3" t="s">
        <v>26</v>
      </c>
      <c r="N36" s="3" t="str">
        <f>IFERROR(VLOOKUP(H36,Membros!$A$2:$F$6,6,FALSE),"")</f>
        <v/>
      </c>
    </row>
    <row r="37" spans="1:14" x14ac:dyDescent="0.2">
      <c r="A37" s="3" t="s">
        <v>221</v>
      </c>
      <c r="B37" s="3" t="s">
        <v>91</v>
      </c>
      <c r="C37" s="3" t="s">
        <v>218</v>
      </c>
      <c r="D37" s="5">
        <v>1000</v>
      </c>
      <c r="E37" s="3" t="s">
        <v>21</v>
      </c>
      <c r="F37" s="5">
        <f ca="1">IF(E37="BRL",D37,D37*HLOOKUP(E37,Indicadores_Economicos!$A$1:$B$2,2,FALSE))*IF(Tabela6[[#This Row],[Segurada]]="Sim",0,1)</f>
        <v>5575.7000000000007</v>
      </c>
      <c r="G37" s="5">
        <f>IF(E37="USD",D37,D37*HLOOKUP(E37,Indicadores_Economicos!$A$1:$B$2,2,FALSE))</f>
        <v>1000</v>
      </c>
      <c r="I37" s="3" t="s">
        <v>87</v>
      </c>
      <c r="J37" s="6">
        <v>46023</v>
      </c>
      <c r="K37" s="3">
        <v>2</v>
      </c>
      <c r="L37" s="6" cm="1">
        <f t="array" ref="L37">IF(K37&gt;0,DATE(YEAR(J37)+K37,MONTH(12)-1,DAY(1)),IF(I37=0,IF(COUNTIFS(Tabela3[Tipo],"Provedor",Tabela3[Simulação Seguro],"Sim")=2,MAX(IF(Tabela3[Tipo]="Dependente",Tabela3[Expectativa de Vida (Data)])),MAX(Membros!$E$2:$E$5)),IF(VLOOKUP(I37,Imóveis!A:E,5,FALSE)&gt;0,VLOOKUP(I37,Imóveis!A:E,5,FALSE),MAX(Membros!$E$2:$E$5))))</f>
        <v>46722</v>
      </c>
      <c r="M37" s="3" t="s">
        <v>13</v>
      </c>
      <c r="N37" s="3" t="str">
        <f>IFERROR(VLOOKUP(H37,Membros!$A$2:$F$6,6,FALSE),"")</f>
        <v/>
      </c>
    </row>
    <row r="38" spans="1:14" x14ac:dyDescent="0.2">
      <c r="A38" s="3" t="s">
        <v>222</v>
      </c>
      <c r="B38" s="3" t="s">
        <v>85</v>
      </c>
      <c r="C38" s="3" t="s">
        <v>218</v>
      </c>
      <c r="D38" s="5">
        <v>850</v>
      </c>
      <c r="E38" s="3" t="s">
        <v>20</v>
      </c>
      <c r="F38" s="5">
        <f>IF(E38="BRL",D38,D38*HLOOKUP(E38,Indicadores_Economicos!$A$1:$B$2,2,FALSE))*IF(Tabela6[[#This Row],[Segurada]]="Sim",0,1)</f>
        <v>850</v>
      </c>
      <c r="G38" s="5">
        <f ca="1">IF(E38="USD",D38,D38*HLOOKUP(E38,Indicadores_Economicos!$A$1:$B$2,2,FALSE))</f>
        <v>153.255</v>
      </c>
      <c r="I38" s="3" t="s">
        <v>88</v>
      </c>
      <c r="J38" s="6">
        <v>45292</v>
      </c>
      <c r="L38" s="6" cm="1">
        <f t="array" ref="L38">IF(K38&gt;0,DATE(YEAR(J38)+K38,MONTH(12)-1,DAY(1)),IF(I38=0,IF(COUNTIFS(Tabela3[Tipo],"Provedor",Tabela3[Simulação Seguro],"Sim")=2,MAX(IF(Tabela3[Tipo]="Dependente",Tabela3[Expectativa de Vida (Data)])),MAX(Membros!$E$2:$E$5)),IF(VLOOKUP(I38,Imóveis!A:E,5,FALSE)&gt;0,VLOOKUP(I38,Imóveis!A:E,5,FALSE),MAX(Membros!$E$2:$E$5))))</f>
        <v>49675</v>
      </c>
      <c r="M38" s="3" t="s">
        <v>13</v>
      </c>
      <c r="N38" s="3" t="str">
        <f>IFERROR(VLOOKUP(H38,Membros!$A$2:$F$6,6,FALSE),"")</f>
        <v/>
      </c>
    </row>
    <row r="39" spans="1:14" x14ac:dyDescent="0.2">
      <c r="A39" s="3" t="s">
        <v>223</v>
      </c>
      <c r="B39" s="3" t="s">
        <v>84</v>
      </c>
      <c r="C39" s="3" t="s">
        <v>218</v>
      </c>
      <c r="D39" s="5">
        <v>100</v>
      </c>
      <c r="E39" s="3" t="s">
        <v>20</v>
      </c>
      <c r="F39" s="5">
        <f>IF(E39="BRL",D39,D39*HLOOKUP(E39,Indicadores_Economicos!$A$1:$B$2,2,FALSE))*IF(Tabela6[[#This Row],[Segurada]]="Sim",0,1)</f>
        <v>100</v>
      </c>
      <c r="G39" s="5">
        <f ca="1">IF(E39="USD",D39,D39*HLOOKUP(E39,Indicadores_Economicos!$A$1:$B$2,2,FALSE))</f>
        <v>18.029999999999998</v>
      </c>
      <c r="I39" s="3" t="s">
        <v>88</v>
      </c>
      <c r="J39" s="6">
        <v>45292</v>
      </c>
      <c r="L39" s="6" cm="1">
        <f t="array" ref="L39">IF(K39&gt;0,DATE(YEAR(J39)+K39,MONTH(12)-1,DAY(1)),IF(I39=0,IF(COUNTIFS(Tabela3[Tipo],"Provedor",Tabela3[Simulação Seguro],"Sim")=2,MAX(IF(Tabela3[Tipo]="Dependente",Tabela3[Expectativa de Vida (Data)])),MAX(Membros!$E$2:$E$5)),IF(VLOOKUP(I39,Imóveis!A:E,5,FALSE)&gt;0,VLOOKUP(I39,Imóveis!A:E,5,FALSE),MAX(Membros!$E$2:$E$5))))</f>
        <v>49675</v>
      </c>
      <c r="M39" s="3" t="s">
        <v>26</v>
      </c>
      <c r="N39" s="3" t="str">
        <f>IFERROR(VLOOKUP(H39,Membros!$A$2:$F$6,6,FALSE),"")</f>
        <v/>
      </c>
    </row>
    <row r="40" spans="1:14" x14ac:dyDescent="0.2">
      <c r="A40" s="3" t="s">
        <v>224</v>
      </c>
      <c r="B40" s="3" t="s">
        <v>91</v>
      </c>
      <c r="C40" s="3" t="s">
        <v>218</v>
      </c>
      <c r="D40" s="5">
        <v>1000</v>
      </c>
      <c r="E40" s="3" t="s">
        <v>20</v>
      </c>
      <c r="F40" s="5">
        <f>IF(E40="BRL",D40,D40*HLOOKUP(E40,Indicadores_Economicos!$A$1:$B$2,2,FALSE))*IF(Tabela6[[#This Row],[Segurada]]="Sim",0,1)</f>
        <v>1000</v>
      </c>
      <c r="G40" s="5">
        <f ca="1">IF(E40="USD",D40,D40*HLOOKUP(E40,Indicadores_Economicos!$A$1:$B$2,2,FALSE))</f>
        <v>180.29999999999998</v>
      </c>
      <c r="I40" s="3" t="s">
        <v>88</v>
      </c>
      <c r="J40" s="6">
        <v>45292</v>
      </c>
      <c r="K40" s="3">
        <v>2</v>
      </c>
      <c r="L40" s="6" cm="1">
        <f t="array" ref="L40">IF(K40&gt;0,DATE(YEAR(J40)+K40,MONTH(12)-1,DAY(1)),IF(I40=0,IF(COUNTIFS(Tabela3[Tipo],"Provedor",Tabela3[Simulação Seguro],"Sim")=2,MAX(IF(Tabela3[Tipo]="Dependente",Tabela3[Expectativa de Vida (Data)])),MAX(Membros!$E$2:$E$5)),IF(VLOOKUP(I40,Imóveis!A:E,5,FALSE)&gt;0,VLOOKUP(I40,Imóveis!A:E,5,FALSE),MAX(Membros!$E$2:$E$5))))</f>
        <v>45992</v>
      </c>
      <c r="M40" s="3" t="s">
        <v>13</v>
      </c>
      <c r="N40" s="3" t="str">
        <f>IFERROR(VLOOKUP(H40,Membros!$A$2:$F$6,6,FALSE),"")</f>
        <v/>
      </c>
    </row>
  </sheetData>
  <phoneticPr fontId="2" type="noConversion"/>
  <dataValidations count="4">
    <dataValidation type="list" allowBlank="1" showInputMessage="1" showErrorMessage="1" sqref="H2:H40" xr:uid="{2FF0BF83-7BC1-9045-920F-68B4FFA89F8C}">
      <formula1>INDIRECT("Tabela3[Membro]")</formula1>
    </dataValidation>
    <dataValidation type="list" allowBlank="1" showInputMessage="1" showErrorMessage="1" sqref="E2:E40" xr:uid="{C0599443-CF5F-9442-B99C-53A0568DEC7D}">
      <formula1>INDIRECT("Tabela2[Moedas]")</formula1>
    </dataValidation>
    <dataValidation type="list" allowBlank="1" showInputMessage="1" showErrorMessage="1" sqref="C2:C40" xr:uid="{058B816F-4D59-A647-A469-BC5C81CF95A7}">
      <formula1>INDIRECT("Tabela5[Categoria_Despesas]")</formula1>
    </dataValidation>
    <dataValidation type="list" allowBlank="1" showInputMessage="1" showErrorMessage="1" sqref="I2:I40" xr:uid="{08CB9AD9-D7EB-C54F-B9DB-61837AC71F55}">
      <formula1>INDIRECT("Tabela4[Nome]")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946F495-1613-9F40-A090-C07A43047172}">
          <x14:formula1>
            <xm:f>Listas!$E$2:$E$14</xm:f>
          </x14:formula1>
          <xm:sqref>M2:M40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54AF7-C4F7-2340-8A80-03280B4613FC}">
  <sheetPr codeName="Planilha6"/>
  <dimension ref="A1:T12"/>
  <sheetViews>
    <sheetView topLeftCell="F1" zoomScale="116" zoomScaleNormal="150" workbookViewId="0">
      <selection activeCell="R2" sqref="R2"/>
    </sheetView>
  </sheetViews>
  <sheetFormatPr baseColWidth="10" defaultColWidth="19.33203125" defaultRowHeight="16" x14ac:dyDescent="0.2"/>
  <cols>
    <col min="2" max="2" width="14" style="3" bestFit="1" customWidth="1"/>
    <col min="3" max="3" width="12" style="3" bestFit="1" customWidth="1"/>
    <col min="4" max="4" width="6.6640625" style="3" bestFit="1" customWidth="1"/>
    <col min="5" max="5" width="12.1640625" style="3" bestFit="1" customWidth="1"/>
    <col min="6" max="6" width="13.5" style="3" bestFit="1" customWidth="1"/>
    <col min="7" max="7" width="13.6640625" style="3" bestFit="1" customWidth="1"/>
    <col min="8" max="9" width="10.1640625" style="3" bestFit="1" customWidth="1"/>
    <col min="10" max="10" width="7.83203125" style="3" bestFit="1" customWidth="1"/>
    <col min="11" max="11" width="10.5" style="3" bestFit="1" customWidth="1"/>
    <col min="12" max="12" width="11.1640625" style="3" bestFit="1" customWidth="1"/>
    <col min="13" max="13" width="8.83203125" style="3" bestFit="1" customWidth="1"/>
    <col min="14" max="14" width="14.6640625" style="3" bestFit="1" customWidth="1"/>
    <col min="15" max="15" width="12.6640625" style="3" customWidth="1"/>
    <col min="16" max="16" width="13.1640625" style="3" bestFit="1" customWidth="1"/>
    <col min="17" max="17" width="4.1640625" style="3" customWidth="1"/>
    <col min="18" max="18" width="10.33203125" style="3" bestFit="1" customWidth="1"/>
    <col min="19" max="20" width="13.5" style="3" bestFit="1" customWidth="1"/>
  </cols>
  <sheetData>
    <row r="1" spans="1:20" x14ac:dyDescent="0.2">
      <c r="A1" s="37" t="s">
        <v>249</v>
      </c>
      <c r="B1" s="37" t="s">
        <v>6</v>
      </c>
      <c r="C1" s="37" t="s">
        <v>8</v>
      </c>
      <c r="D1" s="37" t="s">
        <v>16</v>
      </c>
      <c r="E1" s="37" t="s">
        <v>19</v>
      </c>
      <c r="F1" s="37" t="s">
        <v>107</v>
      </c>
      <c r="G1" s="37" t="s">
        <v>236</v>
      </c>
      <c r="H1" s="37" t="s">
        <v>234</v>
      </c>
      <c r="I1" s="37" t="s">
        <v>235</v>
      </c>
      <c r="J1" s="37" t="s">
        <v>4</v>
      </c>
      <c r="K1" s="37" t="s">
        <v>5</v>
      </c>
      <c r="L1" s="37" t="s">
        <v>9</v>
      </c>
      <c r="M1" s="37" t="s">
        <v>97</v>
      </c>
      <c r="N1" s="37" t="s">
        <v>10</v>
      </c>
      <c r="O1" s="37" t="s">
        <v>96</v>
      </c>
      <c r="P1" s="37" t="s">
        <v>117</v>
      </c>
      <c r="Q1" s="37"/>
      <c r="R1" s="37" t="s">
        <v>101</v>
      </c>
      <c r="S1" s="37" t="s">
        <v>102</v>
      </c>
      <c r="T1" s="37" t="s">
        <v>105</v>
      </c>
    </row>
    <row r="2" spans="1:20" x14ac:dyDescent="0.2">
      <c r="A2">
        <v>1</v>
      </c>
      <c r="B2" s="3" t="s">
        <v>99</v>
      </c>
      <c r="C2" s="5">
        <v>150000</v>
      </c>
      <c r="D2" s="15" t="s">
        <v>20</v>
      </c>
      <c r="E2" s="51">
        <f ca="1">HLOOKUP(D2,Indicadores_Economicos!$A$1:$B$2,2,FALSE)</f>
        <v>0.18029999999999999</v>
      </c>
      <c r="F2" s="14">
        <f t="shared" ref="F2:F11" si="0">IFERROR(IF(D2="BRL",C2,C2*E2),0)*IF(P2="Não",1,0)</f>
        <v>150000</v>
      </c>
      <c r="G2" s="14">
        <f t="shared" ref="G2:G11" ca="1" si="1">-IFERROR(PMT((O2+1)^(1/12)-1,M2,-L2,F2),0)</f>
        <v>-8.5750530822523376E-13</v>
      </c>
      <c r="H2" s="14">
        <f t="shared" ref="H2:H11" ca="1" si="2">G2</f>
        <v>-8.5750530822523376E-13</v>
      </c>
      <c r="I2" s="14">
        <f t="shared" ref="I2:I11" ca="1" si="3">IFERROR(IF(D2="BRL",G2*E2,G2/E2),0)</f>
        <v>-1.5460820707300963E-13</v>
      </c>
      <c r="J2" s="3" t="s">
        <v>100</v>
      </c>
      <c r="K2" s="6">
        <v>45658</v>
      </c>
      <c r="L2" s="14">
        <f t="shared" ref="L2:L11" ca="1" si="4">S2</f>
        <v>131617.44667012419</v>
      </c>
      <c r="M2" s="11">
        <f t="shared" ref="M2:M11" si="5">DATEDIF(K2,N2,"m")</f>
        <v>40</v>
      </c>
      <c r="N2" s="6">
        <v>46874</v>
      </c>
      <c r="O2" s="52">
        <v>0.04</v>
      </c>
      <c r="P2" s="11" t="str">
        <f>IFERROR(VLOOKUP(J2,Membros!$A$2:$F$6,6,FALSE),"Não")</f>
        <v>Não</v>
      </c>
      <c r="Q2" s="37"/>
      <c r="R2" s="14">
        <f>-PV((O2+1)^(1/12)-1,M2,0,F2)</f>
        <v>131617.44667012419</v>
      </c>
      <c r="S2" s="14">
        <f ca="1">IF(Investimentos!C13&gt;=R2,R2,Investimentos!C13)</f>
        <v>131617.44667012419</v>
      </c>
      <c r="T2" s="14">
        <f ca="1">IF(Investimentos!C13&gt;S2,Investimentos!C13-S2,0)</f>
        <v>4388443.1172523471</v>
      </c>
    </row>
    <row r="3" spans="1:20" x14ac:dyDescent="0.2">
      <c r="A3">
        <v>2</v>
      </c>
      <c r="B3" s="3" t="s">
        <v>233</v>
      </c>
      <c r="C3" s="5">
        <v>100000</v>
      </c>
      <c r="D3" s="15" t="s">
        <v>20</v>
      </c>
      <c r="E3" s="51">
        <f ca="1">HLOOKUP(D3,Indicadores_Economicos!$A$1:$B$2,2,FALSE)</f>
        <v>0.18029999999999999</v>
      </c>
      <c r="F3" s="14">
        <f t="shared" si="0"/>
        <v>100000</v>
      </c>
      <c r="G3" s="14">
        <f t="shared" ca="1" si="1"/>
        <v>-3.3347428653203535E-13</v>
      </c>
      <c r="H3" s="14">
        <f t="shared" ca="1" si="2"/>
        <v>-3.3347428653203535E-13</v>
      </c>
      <c r="I3" s="14">
        <f t="shared" ca="1" si="3"/>
        <v>-6.0125413861725971E-14</v>
      </c>
      <c r="K3" s="6">
        <v>45658</v>
      </c>
      <c r="L3" s="14">
        <f t="shared" ca="1" si="4"/>
        <v>51505.389626982746</v>
      </c>
      <c r="M3" s="11">
        <f t="shared" si="5"/>
        <v>203</v>
      </c>
      <c r="N3" s="6">
        <v>51836</v>
      </c>
      <c r="O3" s="52">
        <v>0.04</v>
      </c>
      <c r="P3" s="11" t="str">
        <f>IFERROR(VLOOKUP(J3,Membros!$A$2:$F$6,6,FALSE),"Não")</f>
        <v>Não</v>
      </c>
      <c r="Q3" s="37"/>
      <c r="R3" s="14">
        <f t="shared" ref="R3:R11" si="6">-PV((O3+1)^(1/12)-1,M3,0,F3)</f>
        <v>51505.389626982746</v>
      </c>
      <c r="S3" s="14">
        <f ca="1">IF(T2&gt;=R3,R3,T2)</f>
        <v>51505.389626982746</v>
      </c>
      <c r="T3" s="14">
        <f ca="1">IF(T2&gt;S3,T2-S3,0)</f>
        <v>4336937.7276253644</v>
      </c>
    </row>
    <row r="4" spans="1:20" x14ac:dyDescent="0.2">
      <c r="A4">
        <v>3</v>
      </c>
      <c r="B4" s="3" t="s">
        <v>231</v>
      </c>
      <c r="C4" s="5">
        <v>100000</v>
      </c>
      <c r="D4" s="15" t="s">
        <v>20</v>
      </c>
      <c r="E4" s="51">
        <f ca="1">HLOOKUP(D4,Indicadores_Economicos!$A$1:$B$2,2,FALSE)</f>
        <v>0.18029999999999999</v>
      </c>
      <c r="F4" s="14">
        <f t="shared" si="0"/>
        <v>100000</v>
      </c>
      <c r="G4" s="14">
        <f t="shared" ca="1" si="1"/>
        <v>-3.8111347032232611E-13</v>
      </c>
      <c r="H4" s="14">
        <f t="shared" ca="1" si="2"/>
        <v>-3.8111347032232611E-13</v>
      </c>
      <c r="I4" s="14">
        <f t="shared" ca="1" si="3"/>
        <v>-6.87147586991154E-14</v>
      </c>
      <c r="K4" s="6">
        <v>45658</v>
      </c>
      <c r="L4" s="14">
        <f t="shared" ca="1" si="4"/>
        <v>75991.78132020605</v>
      </c>
      <c r="M4" s="11">
        <f t="shared" si="5"/>
        <v>84</v>
      </c>
      <c r="N4" s="6">
        <v>48214</v>
      </c>
      <c r="O4" s="52">
        <v>0.04</v>
      </c>
      <c r="P4" s="11" t="str">
        <f>IFERROR(VLOOKUP(J4,Membros!$A$2:$F$6,6,FALSE),"Não")</f>
        <v>Não</v>
      </c>
      <c r="Q4" s="37"/>
      <c r="R4" s="14">
        <f t="shared" si="6"/>
        <v>75991.78132020605</v>
      </c>
      <c r="S4" s="14">
        <f ca="1">IF(T3&gt;=R4,R4,T3)</f>
        <v>75991.78132020605</v>
      </c>
      <c r="T4" s="14">
        <f ca="1">IF(T3&gt;S4,T3-S4,0)</f>
        <v>4260945.9463051585</v>
      </c>
    </row>
    <row r="5" spans="1:20" x14ac:dyDescent="0.2">
      <c r="A5">
        <v>4</v>
      </c>
      <c r="B5" s="3" t="s">
        <v>232</v>
      </c>
      <c r="C5" s="5">
        <v>100000</v>
      </c>
      <c r="D5" s="15" t="s">
        <v>20</v>
      </c>
      <c r="E5" s="51">
        <f ca="1">HLOOKUP(D5,Indicadores_Economicos!$A$1:$B$2,2,FALSE)</f>
        <v>0.18029999999999999</v>
      </c>
      <c r="F5" s="14">
        <f t="shared" si="0"/>
        <v>100000</v>
      </c>
      <c r="G5" s="14">
        <f t="shared" ca="1" si="1"/>
        <v>-4.2875265411261688E-13</v>
      </c>
      <c r="H5" s="14">
        <f t="shared" ca="1" si="2"/>
        <v>-4.2875265411261688E-13</v>
      </c>
      <c r="I5" s="14">
        <f t="shared" ca="1" si="3"/>
        <v>-7.7304103536504815E-14</v>
      </c>
      <c r="K5" s="6">
        <v>45658</v>
      </c>
      <c r="L5" s="14">
        <f t="shared" ca="1" si="4"/>
        <v>67777.579012070841</v>
      </c>
      <c r="M5" s="11">
        <f t="shared" si="5"/>
        <v>119</v>
      </c>
      <c r="N5" s="6">
        <v>49279</v>
      </c>
      <c r="O5" s="52">
        <v>0.04</v>
      </c>
      <c r="P5" s="11" t="str">
        <f>IFERROR(VLOOKUP(J5,Membros!$A$2:$F$6,6,FALSE),"Não")</f>
        <v>Não</v>
      </c>
      <c r="Q5" s="37"/>
      <c r="R5" s="14">
        <f t="shared" si="6"/>
        <v>67777.579012070841</v>
      </c>
      <c r="S5" s="14">
        <f ca="1">IF(T4&gt;=R5,R5,T4)</f>
        <v>67777.579012070841</v>
      </c>
      <c r="T5" s="14">
        <f ca="1">IF(T4&gt;S5,T4-S5,0)</f>
        <v>4193168.3672930878</v>
      </c>
    </row>
    <row r="6" spans="1:20" x14ac:dyDescent="0.2">
      <c r="A6">
        <v>5</v>
      </c>
      <c r="B6" s="3" t="s">
        <v>98</v>
      </c>
      <c r="C6" s="5">
        <v>100000</v>
      </c>
      <c r="D6" s="15" t="s">
        <v>21</v>
      </c>
      <c r="E6" s="51" vm="1">
        <f ca="1">HLOOKUP(D6,Indicadores_Economicos!$A$1:$B$2,2,FALSE)</f>
        <v>5.5757000000000003</v>
      </c>
      <c r="F6" s="14">
        <f t="shared" ca="1" si="0"/>
        <v>557570</v>
      </c>
      <c r="G6" s="14">
        <f t="shared" ca="1" si="1"/>
        <v>-1.9055673516116306E-12</v>
      </c>
      <c r="H6" s="14">
        <f t="shared" ca="1" si="2"/>
        <v>-1.9055673516116306E-12</v>
      </c>
      <c r="I6" s="14">
        <f t="shared" ca="1" si="3"/>
        <v>-3.4176289104715651E-13</v>
      </c>
      <c r="J6" s="3" t="s">
        <v>11</v>
      </c>
      <c r="K6" s="6">
        <v>45658</v>
      </c>
      <c r="L6" s="14">
        <f t="shared" ca="1" si="4"/>
        <v>287178.60094316769</v>
      </c>
      <c r="M6" s="11">
        <f t="shared" si="5"/>
        <v>203</v>
      </c>
      <c r="N6" s="6">
        <v>51836</v>
      </c>
      <c r="O6" s="52">
        <v>0.04</v>
      </c>
      <c r="P6" s="11" t="str">
        <f>IFERROR(VLOOKUP(J6,Membros!$A$2:$F$6,6,FALSE),"Não")</f>
        <v>Não</v>
      </c>
      <c r="Q6" s="37"/>
      <c r="R6" s="14">
        <f t="shared" ca="1" si="6"/>
        <v>287178.60094316769</v>
      </c>
      <c r="S6" s="14">
        <f ca="1">IF(T5&gt;=R6,R6,T5)</f>
        <v>287178.60094316769</v>
      </c>
      <c r="T6" s="14">
        <f ca="1">IF(T5&gt;S6,T5-S6,0)</f>
        <v>3905989.7663499201</v>
      </c>
    </row>
    <row r="7" spans="1:20" x14ac:dyDescent="0.2">
      <c r="C7" s="5"/>
      <c r="D7" s="15"/>
      <c r="E7" s="51">
        <f>IFERROR(HLOOKUP(D7,Indicadores_Economicos!$A$1:$B$2,2,FALSE),0)</f>
        <v>0</v>
      </c>
      <c r="F7" s="14">
        <f t="shared" si="0"/>
        <v>0</v>
      </c>
      <c r="G7" s="14">
        <f t="shared" ca="1" si="1"/>
        <v>0</v>
      </c>
      <c r="H7" s="14">
        <f t="shared" ca="1" si="2"/>
        <v>0</v>
      </c>
      <c r="I7" s="14">
        <f t="shared" ca="1" si="3"/>
        <v>0</v>
      </c>
      <c r="K7" s="6"/>
      <c r="L7" s="14">
        <f t="shared" ca="1" si="4"/>
        <v>0</v>
      </c>
      <c r="M7" s="11">
        <f t="shared" si="5"/>
        <v>0</v>
      </c>
      <c r="N7" s="6"/>
      <c r="O7" s="52">
        <v>0.04</v>
      </c>
      <c r="P7" s="11" t="str">
        <f>IFERROR(VLOOKUP(J7,Membros!$A$2:$F$6,6,FALSE),"Não")</f>
        <v>Não</v>
      </c>
      <c r="Q7" s="37"/>
      <c r="R7" s="14">
        <f t="shared" si="6"/>
        <v>0</v>
      </c>
      <c r="S7" s="14">
        <f t="shared" ref="S7:S11" ca="1" si="7">IF(T6&gt;=R7,R7,T6)</f>
        <v>0</v>
      </c>
      <c r="T7" s="14">
        <f t="shared" ref="T7:T11" ca="1" si="8">IF(T6&gt;S7,T6-S7,0)</f>
        <v>3905989.7663499201</v>
      </c>
    </row>
    <row r="8" spans="1:20" x14ac:dyDescent="0.2">
      <c r="C8" s="5"/>
      <c r="D8" s="15"/>
      <c r="E8" s="51">
        <f>IFERROR(HLOOKUP(D8,Indicadores_Economicos!$A$1:$B$2,2,FALSE),0)</f>
        <v>0</v>
      </c>
      <c r="F8" s="14">
        <f t="shared" si="0"/>
        <v>0</v>
      </c>
      <c r="G8" s="14">
        <f t="shared" ca="1" si="1"/>
        <v>0</v>
      </c>
      <c r="H8" s="14">
        <f t="shared" ca="1" si="2"/>
        <v>0</v>
      </c>
      <c r="I8" s="14">
        <f t="shared" ca="1" si="3"/>
        <v>0</v>
      </c>
      <c r="K8" s="6"/>
      <c r="L8" s="14">
        <f t="shared" ca="1" si="4"/>
        <v>0</v>
      </c>
      <c r="M8" s="11">
        <f t="shared" si="5"/>
        <v>0</v>
      </c>
      <c r="N8" s="6"/>
      <c r="O8" s="52">
        <v>0.04</v>
      </c>
      <c r="P8" s="11" t="str">
        <f>IFERROR(VLOOKUP(J8,Membros!$A$2:$F$6,6,FALSE),"Não")</f>
        <v>Não</v>
      </c>
      <c r="Q8" s="37"/>
      <c r="R8" s="14">
        <f t="shared" si="6"/>
        <v>0</v>
      </c>
      <c r="S8" s="14">
        <f t="shared" ca="1" si="7"/>
        <v>0</v>
      </c>
      <c r="T8" s="14">
        <f t="shared" ca="1" si="8"/>
        <v>3905989.7663499201</v>
      </c>
    </row>
    <row r="9" spans="1:20" x14ac:dyDescent="0.2">
      <c r="D9" s="15"/>
      <c r="E9" s="51">
        <f>IFERROR(HLOOKUP(D9,Indicadores_Economicos!$A$1:$B$2,2,FALSE),0)</f>
        <v>0</v>
      </c>
      <c r="F9" s="14">
        <f t="shared" si="0"/>
        <v>0</v>
      </c>
      <c r="G9" s="14">
        <f t="shared" ca="1" si="1"/>
        <v>0</v>
      </c>
      <c r="H9" s="14">
        <f t="shared" ca="1" si="2"/>
        <v>0</v>
      </c>
      <c r="I9" s="14">
        <f t="shared" ca="1" si="3"/>
        <v>0</v>
      </c>
      <c r="K9" s="6"/>
      <c r="L9" s="14">
        <f t="shared" ca="1" si="4"/>
        <v>0</v>
      </c>
      <c r="M9" s="11">
        <f t="shared" si="5"/>
        <v>0</v>
      </c>
      <c r="N9" s="6"/>
      <c r="O9" s="52">
        <v>0.04</v>
      </c>
      <c r="P9" s="11" t="str">
        <f>IFERROR(VLOOKUP(J9,Membros!$A$2:$F$6,6,FALSE),"Não")</f>
        <v>Não</v>
      </c>
      <c r="Q9" s="37"/>
      <c r="R9" s="14">
        <f t="shared" si="6"/>
        <v>0</v>
      </c>
      <c r="S9" s="14">
        <f t="shared" ca="1" si="7"/>
        <v>0</v>
      </c>
      <c r="T9" s="14">
        <f t="shared" ca="1" si="8"/>
        <v>3905989.7663499201</v>
      </c>
    </row>
    <row r="10" spans="1:20" x14ac:dyDescent="0.2">
      <c r="D10" s="15"/>
      <c r="E10" s="51">
        <f>IFERROR(HLOOKUP(D10,Indicadores_Economicos!$A$1:$B$2,2,FALSE),0)</f>
        <v>0</v>
      </c>
      <c r="F10" s="14">
        <f t="shared" si="0"/>
        <v>0</v>
      </c>
      <c r="G10" s="14">
        <f t="shared" ca="1" si="1"/>
        <v>0</v>
      </c>
      <c r="H10" s="14">
        <f t="shared" ca="1" si="2"/>
        <v>0</v>
      </c>
      <c r="I10" s="14">
        <f t="shared" ca="1" si="3"/>
        <v>0</v>
      </c>
      <c r="K10" s="6"/>
      <c r="L10" s="14">
        <f t="shared" ca="1" si="4"/>
        <v>0</v>
      </c>
      <c r="M10" s="11">
        <f t="shared" si="5"/>
        <v>0</v>
      </c>
      <c r="N10" s="6"/>
      <c r="O10" s="52">
        <v>0.04</v>
      </c>
      <c r="P10" s="11" t="str">
        <f>IFERROR(VLOOKUP(J10,Membros!$A$2:$F$6,6,FALSE),"Não")</f>
        <v>Não</v>
      </c>
      <c r="Q10" s="37"/>
      <c r="R10" s="14">
        <f t="shared" si="6"/>
        <v>0</v>
      </c>
      <c r="S10" s="14">
        <f t="shared" ca="1" si="7"/>
        <v>0</v>
      </c>
      <c r="T10" s="14">
        <f t="shared" ca="1" si="8"/>
        <v>3905989.7663499201</v>
      </c>
    </row>
    <row r="11" spans="1:20" x14ac:dyDescent="0.2">
      <c r="D11" s="15"/>
      <c r="E11" s="51">
        <f>IFERROR(HLOOKUP(D11,Indicadores_Economicos!$A$1:$B$2,2,FALSE),0)</f>
        <v>0</v>
      </c>
      <c r="F11" s="14">
        <f t="shared" si="0"/>
        <v>0</v>
      </c>
      <c r="G11" s="14">
        <f t="shared" ca="1" si="1"/>
        <v>0</v>
      </c>
      <c r="H11" s="14">
        <f t="shared" ca="1" si="2"/>
        <v>0</v>
      </c>
      <c r="I11" s="14">
        <f t="shared" ca="1" si="3"/>
        <v>0</v>
      </c>
      <c r="K11" s="6"/>
      <c r="L11" s="14">
        <f t="shared" ca="1" si="4"/>
        <v>0</v>
      </c>
      <c r="M11" s="11">
        <f t="shared" si="5"/>
        <v>0</v>
      </c>
      <c r="N11" s="6"/>
      <c r="O11" s="52">
        <v>0.04</v>
      </c>
      <c r="P11" s="11" t="str">
        <f>IFERROR(VLOOKUP(J11,Membros!$A$2:$F$6,6,FALSE),"Não")</f>
        <v>Não</v>
      </c>
      <c r="Q11" s="37"/>
      <c r="R11" s="14">
        <f t="shared" si="6"/>
        <v>0</v>
      </c>
      <c r="S11" s="14">
        <f t="shared" ca="1" si="7"/>
        <v>0</v>
      </c>
      <c r="T11" s="14">
        <f t="shared" ca="1" si="8"/>
        <v>3905989.7663499201</v>
      </c>
    </row>
    <row r="12" spans="1:20" x14ac:dyDescent="0.2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</row>
  </sheetData>
  <sortState xmlns:xlrd2="http://schemas.microsoft.com/office/spreadsheetml/2017/richdata2" ref="A2:P11">
    <sortCondition ref="A2:A11"/>
  </sortState>
  <phoneticPr fontId="2" type="noConversion"/>
  <dataValidations count="1">
    <dataValidation type="list" allowBlank="1" showInputMessage="1" showErrorMessage="1" sqref="D2:D11" xr:uid="{E5C2AA4F-AC4C-A94A-B747-57E8D5C3E94B}">
      <formula1>"BRL,USD"</formula1>
    </dataValidation>
  </dataValidations>
  <pageMargins left="0.511811024" right="0.511811024" top="0.78740157499999996" bottom="0.78740157499999996" header="0.31496062000000002" footer="0.3149606200000000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D7297B8-A426-4042-B321-C921D07DDE93}">
          <x14:formula1>
            <xm:f>Membros!$A$2:$A$6</xm:f>
          </x14:formula1>
          <xm:sqref>J2:J11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FD1B7-2E65-0C44-B0E5-AF9DC27D945A}">
  <dimension ref="A1:K1201"/>
  <sheetViews>
    <sheetView workbookViewId="0">
      <selection activeCell="E2" sqref="E2"/>
    </sheetView>
  </sheetViews>
  <sheetFormatPr baseColWidth="10" defaultRowHeight="16" x14ac:dyDescent="0.2"/>
  <cols>
    <col min="1" max="1" width="15.1640625" customWidth="1"/>
    <col min="2" max="2" width="15.1640625" style="3" customWidth="1"/>
    <col min="3" max="3" width="15.1640625" style="2" customWidth="1"/>
    <col min="4" max="5" width="15.1640625" style="3" customWidth="1"/>
    <col min="7" max="7" width="12.1640625" bestFit="1" customWidth="1"/>
    <col min="8" max="8" width="16.6640625" bestFit="1" customWidth="1"/>
    <col min="9" max="9" width="16.5" bestFit="1" customWidth="1"/>
    <col min="10" max="10" width="15.6640625" bestFit="1" customWidth="1"/>
    <col min="11" max="11" width="13.33203125" bestFit="1" customWidth="1"/>
  </cols>
  <sheetData>
    <row r="1" spans="1:11" x14ac:dyDescent="0.2">
      <c r="A1" s="46" t="s">
        <v>239</v>
      </c>
      <c r="B1" s="46" t="s">
        <v>240</v>
      </c>
      <c r="C1" s="47" t="s">
        <v>241</v>
      </c>
      <c r="D1" s="46" t="s">
        <v>242</v>
      </c>
      <c r="E1" s="46" t="s">
        <v>243</v>
      </c>
      <c r="G1" s="46" t="s">
        <v>244</v>
      </c>
      <c r="H1" s="46" t="s">
        <v>245</v>
      </c>
      <c r="I1" s="47" t="s">
        <v>246</v>
      </c>
      <c r="J1" s="46" t="s">
        <v>247</v>
      </c>
      <c r="K1" s="46" t="s">
        <v>248</v>
      </c>
    </row>
    <row r="2" spans="1:11" x14ac:dyDescent="0.2">
      <c r="A2" s="48">
        <f ca="1">SUMIF(Projetos!$D$2:$D$11,"BRL",Projetos!$S$2:$S$11)</f>
        <v>326892.19662938383</v>
      </c>
      <c r="B2" s="18">
        <f>-SUMIFS(Projetos!$F$2:$F$11,Projetos!$D$2:$D$11,"BRL",Projetos!$N$2:$N$11,Dados!$A2)</f>
        <v>0</v>
      </c>
      <c r="C2" s="45">
        <f ca="1">(A2+B2)*((Indicadores_Economicos!D$2+1)^(1/12)-1)</f>
        <v>1070.1599885960038</v>
      </c>
      <c r="D2" s="18">
        <f ca="1">SUMIFS(Projetos!$G$2:$G$11,Projetos!$K$2:$K$11,"&lt;="&amp;Dados!$A2,Projetos!$N$2:$N$11,"&gt;"&amp;Dados!A2,Projetos!$D$2:$D$11,"BRL")</f>
        <v>-2.0008457191922121E-12</v>
      </c>
      <c r="E2" s="18">
        <f t="shared" ref="E2:E65" ca="1" si="0">A2+B2+C2+D2</f>
        <v>327962.35661797982</v>
      </c>
      <c r="G2" s="48">
        <f ca="1">SUMIF(Projetos!$D$2:$D$11,"USD",Projetos!$S$2:$S$11)</f>
        <v>287178.60094316769</v>
      </c>
      <c r="H2" s="18">
        <f>-SUMIFS(Projetos!$F$2:$F$11,Projetos!$D$2:$D$11,"USD",Projetos!$N$2:$N$11,Dados!$A2)</f>
        <v>0</v>
      </c>
      <c r="I2" s="45">
        <f ca="1">(G2+H2)*((Indicadores_Economicos!D$2+1)^(1/12)-1)</f>
        <v>940.14801050387473</v>
      </c>
      <c r="J2" s="18">
        <f ca="1">SUMIFS(Projetos!$G$2:$G$11,Projetos!$K$2:$K$11,"&lt;="&amp;Dados!$A2,Projetos!$N$2:$N$11,"&gt;"&amp;Dados!$A2,Projetos!$D$2:$D$11,"USD")</f>
        <v>-1.9055673516116306E-12</v>
      </c>
      <c r="K2" s="18">
        <f t="shared" ref="K2:K65" ca="1" si="1">G2+H2+I2+J2</f>
        <v>288118.74895367154</v>
      </c>
    </row>
    <row r="3" spans="1:11" x14ac:dyDescent="0.2">
      <c r="A3" s="45">
        <f ca="1">E2</f>
        <v>327962.35661797982</v>
      </c>
      <c r="B3" s="18">
        <f>-SUMIFS(Projetos!$F$2:$F$11,Projetos!$D$2:$D$11,"BRL",Projetos!$N$2:$N$11,Dados!$A3)</f>
        <v>0</v>
      </c>
      <c r="C3" s="45">
        <f ca="1">(A3+B3)*((Indicadores_Economicos!D$2+1)^(1/12)-1)</f>
        <v>1073.6634139239879</v>
      </c>
      <c r="D3" s="18">
        <f ca="1">SUMIFS(Projetos!$G$2:$G$11,Projetos!$K$2:$K$11,"&lt;="&amp;Dados!$A3,Projetos!$N$2:$N$11,"&gt;"&amp;Dados!A3,Projetos!$D$2:$D$11,"BRL")</f>
        <v>-2.0008457191922121E-12</v>
      </c>
      <c r="E3" s="18">
        <f t="shared" ca="1" si="0"/>
        <v>329036.02003190381</v>
      </c>
      <c r="G3" s="45">
        <f ca="1">K2</f>
        <v>288118.74895367154</v>
      </c>
      <c r="H3" s="18">
        <f>-SUMIFS(Projetos!$F$2:$F$11,Projetos!$D$2:$D$11,"USD",Projetos!$N$2:$N$11,Dados!$A3)</f>
        <v>0</v>
      </c>
      <c r="I3" s="45">
        <f ca="1">(G3+H3)*((Indicadores_Economicos!D$2+1)^(1/12)-1)</f>
        <v>943.22581044701644</v>
      </c>
      <c r="J3" s="18">
        <f ca="1">SUMIFS(Projetos!$G$2:$G$11,Projetos!$K$2:$K$11,"&lt;="&amp;Dados!$A3,Projetos!$N$2:$N$11,"&gt;"&amp;Dados!$A3,Projetos!$D$2:$D$11,"USD")</f>
        <v>-1.9055673516116306E-12</v>
      </c>
      <c r="K3" s="18">
        <f t="shared" ca="1" si="1"/>
        <v>289061.97476411855</v>
      </c>
    </row>
    <row r="4" spans="1:11" x14ac:dyDescent="0.2">
      <c r="A4" s="45">
        <f t="shared" ref="A4:A67" ca="1" si="2">E3</f>
        <v>329036.02003190381</v>
      </c>
      <c r="B4" s="18">
        <f>-SUMIFS(Projetos!$F$2:$F$11,Projetos!$D$2:$D$11,"BRL",Projetos!$N$2:$N$11,Dados!$A4)</f>
        <v>0</v>
      </c>
      <c r="C4" s="45">
        <f ca="1">(A4+B4)*((Indicadores_Economicos!D$2+1)^(1/12)-1)</f>
        <v>1077.1783085548425</v>
      </c>
      <c r="D4" s="18">
        <f ca="1">SUMIFS(Projetos!$G$2:$G$11,Projetos!$K$2:$K$11,"&lt;="&amp;Dados!$A4,Projetos!$N$2:$N$11,"&gt;"&amp;Dados!A4,Projetos!$D$2:$D$11,"BRL")</f>
        <v>-2.0008457191922121E-12</v>
      </c>
      <c r="E4" s="18">
        <f t="shared" ca="1" si="0"/>
        <v>330113.19834045868</v>
      </c>
      <c r="G4" s="45">
        <f t="shared" ref="G4:G67" ca="1" si="3">K3</f>
        <v>289061.97476411855</v>
      </c>
      <c r="H4" s="18">
        <f>-SUMIFS(Projetos!$F$2:$F$11,Projetos!$D$2:$D$11,"USD",Projetos!$N$2:$N$11,Dados!$A4)</f>
        <v>0</v>
      </c>
      <c r="I4" s="45">
        <f ca="1">(G4+H4)*((Indicadores_Economicos!D$2+1)^(1/12)-1)</f>
        <v>946.31368630627355</v>
      </c>
      <c r="J4" s="18">
        <f ca="1">SUMIFS(Projetos!$G$2:$G$11,Projetos!$K$2:$K$11,"&lt;="&amp;Dados!$A4,Projetos!$N$2:$N$11,"&gt;"&amp;Dados!$A4,Projetos!$D$2:$D$11,"USD")</f>
        <v>-1.9055673516116306E-12</v>
      </c>
      <c r="K4" s="18">
        <f t="shared" ca="1" si="1"/>
        <v>290008.28845042485</v>
      </c>
    </row>
    <row r="5" spans="1:11" x14ac:dyDescent="0.2">
      <c r="A5" s="45">
        <f t="shared" ca="1" si="2"/>
        <v>330113.19834045868</v>
      </c>
      <c r="B5" s="18">
        <f>-SUMIFS(Projetos!$F$2:$F$11,Projetos!$D$2:$D$11,"BRL",Projetos!$N$2:$N$11,Dados!$A5)</f>
        <v>0</v>
      </c>
      <c r="C5" s="45">
        <f ca="1">(A5+B5)*((Indicadores_Economicos!D$2+1)^(1/12)-1)</f>
        <v>1080.7047100360803</v>
      </c>
      <c r="D5" s="18">
        <f ca="1">SUMIFS(Projetos!$G$2:$G$11,Projetos!$K$2:$K$11,"&lt;="&amp;Dados!$A5,Projetos!$N$2:$N$11,"&gt;"&amp;Dados!A5,Projetos!$D$2:$D$11,"BRL")</f>
        <v>-2.0008457191922121E-12</v>
      </c>
      <c r="E5" s="18">
        <f t="shared" ca="1" si="0"/>
        <v>331193.90305049479</v>
      </c>
      <c r="G5" s="45">
        <f t="shared" ca="1" si="3"/>
        <v>290008.28845042485</v>
      </c>
      <c r="H5" s="18">
        <f>-SUMIFS(Projetos!$F$2:$F$11,Projetos!$D$2:$D$11,"USD",Projetos!$N$2:$N$11,Dados!$A5)</f>
        <v>0</v>
      </c>
      <c r="I5" s="45">
        <f ca="1">(G5+H5)*((Indicadores_Economicos!D$2+1)^(1/12)-1)</f>
        <v>949.41167106757382</v>
      </c>
      <c r="J5" s="18">
        <f ca="1">SUMIFS(Projetos!$G$2:$G$11,Projetos!$K$2:$K$11,"&lt;="&amp;Dados!$A5,Projetos!$N$2:$N$11,"&gt;"&amp;Dados!$A5,Projetos!$D$2:$D$11,"USD")</f>
        <v>-1.9055673516116306E-12</v>
      </c>
      <c r="K5" s="18">
        <f t="shared" ca="1" si="1"/>
        <v>290957.70012149244</v>
      </c>
    </row>
    <row r="6" spans="1:11" x14ac:dyDescent="0.2">
      <c r="A6" s="45">
        <f t="shared" ca="1" si="2"/>
        <v>331193.90305049479</v>
      </c>
      <c r="B6" s="18">
        <f>-SUMIFS(Projetos!$F$2:$F$11,Projetos!$D$2:$D$11,"BRL",Projetos!$N$2:$N$11,Dados!$A6)</f>
        <v>0</v>
      </c>
      <c r="C6" s="45">
        <f ca="1">(A6+B6)*((Indicadores_Economicos!D$2+1)^(1/12)-1)</f>
        <v>1084.2426560381352</v>
      </c>
      <c r="D6" s="18">
        <f ca="1">SUMIFS(Projetos!$G$2:$G$11,Projetos!$K$2:$K$11,"&lt;="&amp;Dados!$A6,Projetos!$N$2:$N$11,"&gt;"&amp;Dados!A6,Projetos!$D$2:$D$11,"BRL")</f>
        <v>-2.0008457191922121E-12</v>
      </c>
      <c r="E6" s="18">
        <f t="shared" ca="1" si="0"/>
        <v>332278.14570653293</v>
      </c>
      <c r="G6" s="45">
        <f t="shared" ca="1" si="3"/>
        <v>290957.70012149244</v>
      </c>
      <c r="H6" s="18">
        <f>-SUMIFS(Projetos!$F$2:$F$11,Projetos!$D$2:$D$11,"USD",Projetos!$N$2:$N$11,Dados!$A6)</f>
        <v>0</v>
      </c>
      <c r="I6" s="45">
        <f ca="1">(G6+H6)*((Indicadores_Economicos!D$2+1)^(1/12)-1)</f>
        <v>952.5197978248317</v>
      </c>
      <c r="J6" s="18">
        <f ca="1">SUMIFS(Projetos!$G$2:$G$11,Projetos!$K$2:$K$11,"&lt;="&amp;Dados!$A6,Projetos!$N$2:$N$11,"&gt;"&amp;Dados!$A6,Projetos!$D$2:$D$11,"USD")</f>
        <v>-1.9055673516116306E-12</v>
      </c>
      <c r="K6" s="18">
        <f t="shared" ca="1" si="1"/>
        <v>291910.21991931729</v>
      </c>
    </row>
    <row r="7" spans="1:11" x14ac:dyDescent="0.2">
      <c r="A7" s="45">
        <f t="shared" ca="1" si="2"/>
        <v>332278.14570653293</v>
      </c>
      <c r="B7" s="18">
        <f>-SUMIFS(Projetos!$F$2:$F$11,Projetos!$D$2:$D$11,"BRL",Projetos!$N$2:$N$11,Dados!$A7)</f>
        <v>0</v>
      </c>
      <c r="C7" s="45">
        <f ca="1">(A7+B7)*((Indicadores_Economicos!D$2+1)^(1/12)-1)</f>
        <v>1087.7921843547642</v>
      </c>
      <c r="D7" s="18">
        <f ca="1">SUMIFS(Projetos!$G$2:$G$11,Projetos!$K$2:$K$11,"&lt;="&amp;Dados!$A7,Projetos!$N$2:$N$11,"&gt;"&amp;Dados!A7,Projetos!$D$2:$D$11,"BRL")</f>
        <v>-2.0008457191922121E-12</v>
      </c>
      <c r="E7" s="18">
        <f t="shared" ca="1" si="0"/>
        <v>333365.93789088767</v>
      </c>
      <c r="G7" s="45">
        <f t="shared" ca="1" si="3"/>
        <v>291910.21991931729</v>
      </c>
      <c r="H7" s="18">
        <f>-SUMIFS(Projetos!$F$2:$F$11,Projetos!$D$2:$D$11,"USD",Projetos!$N$2:$N$11,Dados!$A7)</f>
        <v>0</v>
      </c>
      <c r="I7" s="45">
        <f ca="1">(G7+H7)*((Indicadores_Economicos!D$2+1)^(1/12)-1)</f>
        <v>955.63809978030304</v>
      </c>
      <c r="J7" s="18">
        <f ca="1">SUMIFS(Projetos!$G$2:$G$11,Projetos!$K$2:$K$11,"&lt;="&amp;Dados!$A7,Projetos!$N$2:$N$11,"&gt;"&amp;Dados!$A7,Projetos!$D$2:$D$11,"USD")</f>
        <v>-1.9055673516116306E-12</v>
      </c>
      <c r="K7" s="18">
        <f t="shared" ca="1" si="1"/>
        <v>292865.85801909759</v>
      </c>
    </row>
    <row r="8" spans="1:11" x14ac:dyDescent="0.2">
      <c r="A8" s="45">
        <f t="shared" ca="1" si="2"/>
        <v>333365.93789088767</v>
      </c>
      <c r="B8" s="18">
        <f>-SUMIFS(Projetos!$F$2:$F$11,Projetos!$D$2:$D$11,"BRL",Projetos!$N$2:$N$11,Dados!$A8)</f>
        <v>0</v>
      </c>
      <c r="C8" s="45">
        <f ca="1">(A8+B8)*((Indicadores_Economicos!D$2+1)^(1/12)-1)</f>
        <v>1091.3533329034515</v>
      </c>
      <c r="D8" s="18">
        <f ca="1">SUMIFS(Projetos!$G$2:$G$11,Projetos!$K$2:$K$11,"&lt;="&amp;Dados!$A8,Projetos!$N$2:$N$11,"&gt;"&amp;Dados!A8,Projetos!$D$2:$D$11,"BRL")</f>
        <v>-2.0008457191922121E-12</v>
      </c>
      <c r="E8" s="18">
        <f t="shared" ca="1" si="0"/>
        <v>334457.29122379114</v>
      </c>
      <c r="G8" s="45">
        <f t="shared" ca="1" si="3"/>
        <v>292865.85801909759</v>
      </c>
      <c r="H8" s="18">
        <f>-SUMIFS(Projetos!$F$2:$F$11,Projetos!$D$2:$D$11,"USD",Projetos!$N$2:$N$11,Dados!$A8)</f>
        <v>0</v>
      </c>
      <c r="I8" s="45">
        <f ca="1">(G8+H8)*((Indicadores_Economicos!D$2+1)^(1/12)-1)</f>
        <v>958.76661024493876</v>
      </c>
      <c r="J8" s="18">
        <f ca="1">SUMIFS(Projetos!$G$2:$G$11,Projetos!$K$2:$K$11,"&lt;="&amp;Dados!$A8,Projetos!$N$2:$N$11,"&gt;"&amp;Dados!$A8,Projetos!$D$2:$D$11,"USD")</f>
        <v>-1.9055673516116306E-12</v>
      </c>
      <c r="K8" s="18">
        <f t="shared" ca="1" si="1"/>
        <v>293824.62462934252</v>
      </c>
    </row>
    <row r="9" spans="1:11" x14ac:dyDescent="0.2">
      <c r="A9" s="45">
        <f t="shared" ca="1" si="2"/>
        <v>334457.29122379114</v>
      </c>
      <c r="B9" s="18">
        <f>-SUMIFS(Projetos!$F$2:$F$11,Projetos!$D$2:$D$11,"BRL",Projetos!$N$2:$N$11,Dados!$A9)</f>
        <v>0</v>
      </c>
      <c r="C9" s="45">
        <f ca="1">(A9+B9)*((Indicadores_Economicos!D$2+1)^(1/12)-1)</f>
        <v>1094.9261397258128</v>
      </c>
      <c r="D9" s="18">
        <f ca="1">SUMIFS(Projetos!$G$2:$G$11,Projetos!$K$2:$K$11,"&lt;="&amp;Dados!$A9,Projetos!$N$2:$N$11,"&gt;"&amp;Dados!A9,Projetos!$D$2:$D$11,"BRL")</f>
        <v>-2.0008457191922121E-12</v>
      </c>
      <c r="E9" s="18">
        <f t="shared" ca="1" si="0"/>
        <v>335552.21736351697</v>
      </c>
      <c r="G9" s="45">
        <f t="shared" ca="1" si="3"/>
        <v>293824.62462934252</v>
      </c>
      <c r="H9" s="18">
        <f>-SUMIFS(Projetos!$F$2:$F$11,Projetos!$D$2:$D$11,"USD",Projetos!$N$2:$N$11,Dados!$A9)</f>
        <v>0</v>
      </c>
      <c r="I9" s="45">
        <f ca="1">(G9+H9)*((Indicadores_Economicos!D$2+1)^(1/12)-1)</f>
        <v>961.90536263874162</v>
      </c>
      <c r="J9" s="18">
        <f ca="1">SUMIFS(Projetos!$G$2:$G$11,Projetos!$K$2:$K$11,"&lt;="&amp;Dados!$A9,Projetos!$N$2:$N$11,"&gt;"&amp;Dados!$A9,Projetos!$D$2:$D$11,"USD")</f>
        <v>-1.9055673516116306E-12</v>
      </c>
      <c r="K9" s="18">
        <f t="shared" ca="1" si="1"/>
        <v>294786.52999198128</v>
      </c>
    </row>
    <row r="10" spans="1:11" x14ac:dyDescent="0.2">
      <c r="A10" s="45">
        <f t="shared" ca="1" si="2"/>
        <v>335552.21736351697</v>
      </c>
      <c r="B10" s="18">
        <f>-SUMIFS(Projetos!$F$2:$F$11,Projetos!$D$2:$D$11,"BRL",Projetos!$N$2:$N$11,Dados!$A10)</f>
        <v>0</v>
      </c>
      <c r="C10" s="45">
        <f ca="1">(A10+B10)*((Indicadores_Economicos!D$2+1)^(1/12)-1)</f>
        <v>1098.5106429880029</v>
      </c>
      <c r="D10" s="18">
        <f ca="1">SUMIFS(Projetos!$G$2:$G$11,Projetos!$K$2:$K$11,"&lt;="&amp;Dados!$A10,Projetos!$N$2:$N$11,"&gt;"&amp;Dados!A10,Projetos!$D$2:$D$11,"BRL")</f>
        <v>-2.0008457191922121E-12</v>
      </c>
      <c r="E10" s="18">
        <f t="shared" ca="1" si="0"/>
        <v>336650.728006505</v>
      </c>
      <c r="G10" s="45">
        <f t="shared" ca="1" si="3"/>
        <v>294786.52999198128</v>
      </c>
      <c r="H10" s="18">
        <f>-SUMIFS(Projetos!$F$2:$F$11,Projetos!$D$2:$D$11,"USD",Projetos!$N$2:$N$11,Dados!$A10)</f>
        <v>0</v>
      </c>
      <c r="I10" s="45">
        <f ca="1">(G10+H10)*((Indicadores_Economicos!D$2+1)^(1/12)-1)</f>
        <v>965.0543904911226</v>
      </c>
      <c r="J10" s="18">
        <f ca="1">SUMIFS(Projetos!$G$2:$G$11,Projetos!$K$2:$K$11,"&lt;="&amp;Dados!$A10,Projetos!$N$2:$N$11,"&gt;"&amp;Dados!$A10,Projetos!$D$2:$D$11,"USD")</f>
        <v>-1.9055673516116306E-12</v>
      </c>
      <c r="K10" s="18">
        <f t="shared" ca="1" si="1"/>
        <v>295751.58438247239</v>
      </c>
    </row>
    <row r="11" spans="1:11" x14ac:dyDescent="0.2">
      <c r="A11" s="45">
        <f t="shared" ca="1" si="2"/>
        <v>336650.728006505</v>
      </c>
      <c r="B11" s="18">
        <f>-SUMIFS(Projetos!$F$2:$F$11,Projetos!$D$2:$D$11,"BRL",Projetos!$N$2:$N$11,Dados!$A11)</f>
        <v>0</v>
      </c>
      <c r="C11" s="45">
        <f ca="1">(A11+B11)*((Indicadores_Economicos!D$2+1)^(1/12)-1)</f>
        <v>1102.1068809811218</v>
      </c>
      <c r="D11" s="18">
        <f ca="1">SUMIFS(Projetos!$G$2:$G$11,Projetos!$K$2:$K$11,"&lt;="&amp;Dados!$A11,Projetos!$N$2:$N$11,"&gt;"&amp;Dados!A11,Projetos!$D$2:$D$11,"BRL")</f>
        <v>-2.0008457191922121E-12</v>
      </c>
      <c r="E11" s="18">
        <f t="shared" ca="1" si="0"/>
        <v>337752.83488748613</v>
      </c>
      <c r="G11" s="45">
        <f t="shared" ca="1" si="3"/>
        <v>295751.58438247239</v>
      </c>
      <c r="H11" s="18">
        <f>-SUMIFS(Projetos!$F$2:$F$11,Projetos!$D$2:$D$11,"USD",Projetos!$N$2:$N$11,Dados!$A11)</f>
        <v>0</v>
      </c>
      <c r="I11" s="45">
        <f ca="1">(G11+H11)*((Indicadores_Economicos!D$2+1)^(1/12)-1)</f>
        <v>968.21372744125904</v>
      </c>
      <c r="J11" s="18">
        <f ca="1">SUMIFS(Projetos!$G$2:$G$11,Projetos!$K$2:$K$11,"&lt;="&amp;Dados!$A11,Projetos!$N$2:$N$11,"&gt;"&amp;Dados!$A11,Projetos!$D$2:$D$11,"USD")</f>
        <v>-1.9055673516116306E-12</v>
      </c>
      <c r="K11" s="18">
        <f t="shared" ca="1" si="1"/>
        <v>296719.79810991365</v>
      </c>
    </row>
    <row r="12" spans="1:11" x14ac:dyDescent="0.2">
      <c r="A12" s="45">
        <f t="shared" ca="1" si="2"/>
        <v>337752.83488748613</v>
      </c>
      <c r="B12" s="18">
        <f>-SUMIFS(Projetos!$F$2:$F$11,Projetos!$D$2:$D$11,"BRL",Projetos!$N$2:$N$11,Dados!$A12)</f>
        <v>0</v>
      </c>
      <c r="C12" s="45">
        <f ca="1">(A12+B12)*((Indicadores_Economicos!D$2+1)^(1/12)-1)</f>
        <v>1105.7148921216246</v>
      </c>
      <c r="D12" s="18">
        <f ca="1">SUMIFS(Projetos!$G$2:$G$11,Projetos!$K$2:$K$11,"&lt;="&amp;Dados!$A12,Projetos!$N$2:$N$11,"&gt;"&amp;Dados!A12,Projetos!$D$2:$D$11,"BRL")</f>
        <v>-2.0008457191922121E-12</v>
      </c>
      <c r="E12" s="18">
        <f t="shared" ca="1" si="0"/>
        <v>338858.54977960774</v>
      </c>
      <c r="G12" s="45">
        <f t="shared" ca="1" si="3"/>
        <v>296719.79810991365</v>
      </c>
      <c r="H12" s="18">
        <f>-SUMIFS(Projetos!$F$2:$F$11,Projetos!$D$2:$D$11,"USD",Projetos!$N$2:$N$11,Dados!$A12)</f>
        <v>0</v>
      </c>
      <c r="I12" s="45">
        <f ca="1">(G12+H12)*((Indicadores_Economicos!D$2+1)^(1/12)-1)</f>
        <v>971.38340723845465</v>
      </c>
      <c r="J12" s="18">
        <f ca="1">SUMIFS(Projetos!$G$2:$G$11,Projetos!$K$2:$K$11,"&lt;="&amp;Dados!$A12,Projetos!$N$2:$N$11,"&gt;"&amp;Dados!$A12,Projetos!$D$2:$D$11,"USD")</f>
        <v>-1.9055673516116306E-12</v>
      </c>
      <c r="K12" s="18">
        <f t="shared" ca="1" si="1"/>
        <v>297691.18151715212</v>
      </c>
    </row>
    <row r="13" spans="1:11" x14ac:dyDescent="0.2">
      <c r="A13" s="45">
        <f t="shared" ca="1" si="2"/>
        <v>338858.54977960774</v>
      </c>
      <c r="B13" s="18">
        <f>-SUMIFS(Projetos!$F$2:$F$11,Projetos!$D$2:$D$11,"BRL",Projetos!$N$2:$N$11,Dados!$A13)</f>
        <v>0</v>
      </c>
      <c r="C13" s="45">
        <f ca="1">(A13+B13)*((Indicadores_Economicos!D$2+1)^(1/12)-1)</f>
        <v>1109.3347149517331</v>
      </c>
      <c r="D13" s="18">
        <f ca="1">SUMIFS(Projetos!$G$2:$G$11,Projetos!$K$2:$K$11,"&lt;="&amp;Dados!$A13,Projetos!$N$2:$N$11,"&gt;"&amp;Dados!A13,Projetos!$D$2:$D$11,"BRL")</f>
        <v>-2.0008457191922121E-12</v>
      </c>
      <c r="E13" s="18">
        <f t="shared" ca="1" si="0"/>
        <v>339967.88449455949</v>
      </c>
      <c r="G13" s="45">
        <f t="shared" ca="1" si="3"/>
        <v>297691.18151715212</v>
      </c>
      <c r="H13" s="18">
        <f>-SUMIFS(Projetos!$F$2:$F$11,Projetos!$D$2:$D$11,"USD",Projetos!$N$2:$N$11,Dados!$A13)</f>
        <v>0</v>
      </c>
      <c r="I13" s="45">
        <f ca="1">(G13+H13)*((Indicadores_Economicos!D$2+1)^(1/12)-1)</f>
        <v>974.56346374249904</v>
      </c>
      <c r="J13" s="18">
        <f ca="1">SUMIFS(Projetos!$G$2:$G$11,Projetos!$K$2:$K$11,"&lt;="&amp;Dados!$A13,Projetos!$N$2:$N$11,"&gt;"&amp;Dados!$A13,Projetos!$D$2:$D$11,"USD")</f>
        <v>-1.9055673516116306E-12</v>
      </c>
      <c r="K13" s="18">
        <f t="shared" ca="1" si="1"/>
        <v>298665.74498089461</v>
      </c>
    </row>
    <row r="14" spans="1:11" x14ac:dyDescent="0.2">
      <c r="A14" s="45">
        <f t="shared" ca="1" si="2"/>
        <v>339967.88449455949</v>
      </c>
      <c r="B14" s="18">
        <f>-SUMIFS(Projetos!$F$2:$F$11,Projetos!$D$2:$D$11,"BRL",Projetos!$N$2:$N$11,Dados!$A14)</f>
        <v>0</v>
      </c>
      <c r="C14" s="45">
        <f ca="1">(A14+B14)*((Indicadores_Economicos!D$2+1)^(1/12)-1)</f>
        <v>1112.9663881398449</v>
      </c>
      <c r="D14" s="18">
        <f ca="1">SUMIFS(Projetos!$G$2:$G$11,Projetos!$K$2:$K$11,"&lt;="&amp;Dados!$A14,Projetos!$N$2:$N$11,"&gt;"&amp;Dados!A14,Projetos!$D$2:$D$11,"BRL")</f>
        <v>-2.0008457191922121E-12</v>
      </c>
      <c r="E14" s="18">
        <f t="shared" ca="1" si="0"/>
        <v>341080.85088269936</v>
      </c>
      <c r="G14" s="45">
        <f t="shared" ca="1" si="3"/>
        <v>298665.74498089461</v>
      </c>
      <c r="H14" s="18">
        <f>-SUMIFS(Projetos!$F$2:$F$11,Projetos!$D$2:$D$11,"USD",Projetos!$N$2:$N$11,Dados!$A14)</f>
        <v>0</v>
      </c>
      <c r="I14" s="45">
        <f ca="1">(G14+H14)*((Indicadores_Economicos!D$2+1)^(1/12)-1)</f>
        <v>977.75393092403044</v>
      </c>
      <c r="J14" s="18">
        <f ca="1">SUMIFS(Projetos!$G$2:$G$11,Projetos!$K$2:$K$11,"&lt;="&amp;Dados!$A14,Projetos!$N$2:$N$11,"&gt;"&amp;Dados!$A14,Projetos!$D$2:$D$11,"USD")</f>
        <v>-1.9055673516116306E-12</v>
      </c>
      <c r="K14" s="18">
        <f t="shared" ca="1" si="1"/>
        <v>299643.49891181866</v>
      </c>
    </row>
    <row r="15" spans="1:11" x14ac:dyDescent="0.2">
      <c r="A15" s="45">
        <f t="shared" ca="1" si="2"/>
        <v>341080.85088269936</v>
      </c>
      <c r="B15" s="18">
        <f>-SUMIFS(Projetos!$F$2:$F$11,Projetos!$D$2:$D$11,"BRL",Projetos!$N$2:$N$11,Dados!$A15)</f>
        <v>0</v>
      </c>
      <c r="C15" s="45">
        <f ca="1">(A15+B15)*((Indicadores_Economicos!D$2+1)^(1/12)-1)</f>
        <v>1116.6099504809486</v>
      </c>
      <c r="D15" s="18">
        <f ca="1">SUMIFS(Projetos!$G$2:$G$11,Projetos!$K$2:$K$11,"&lt;="&amp;Dados!$A15,Projetos!$N$2:$N$11,"&gt;"&amp;Dados!A15,Projetos!$D$2:$D$11,"BRL")</f>
        <v>-2.0008457191922121E-12</v>
      </c>
      <c r="E15" s="18">
        <f t="shared" ca="1" si="0"/>
        <v>342197.46083318029</v>
      </c>
      <c r="G15" s="45">
        <f t="shared" ca="1" si="3"/>
        <v>299643.49891181866</v>
      </c>
      <c r="H15" s="18">
        <f>-SUMIFS(Projetos!$F$2:$F$11,Projetos!$D$2:$D$11,"USD",Projetos!$N$2:$N$11,Dados!$A15)</f>
        <v>0</v>
      </c>
      <c r="I15" s="45">
        <f ca="1">(G15+H15)*((Indicadores_Economicos!D$2+1)^(1/12)-1)</f>
        <v>980.95484286489796</v>
      </c>
      <c r="J15" s="18">
        <f ca="1">SUMIFS(Projetos!$G$2:$G$11,Projetos!$K$2:$K$11,"&lt;="&amp;Dados!$A15,Projetos!$N$2:$N$11,"&gt;"&amp;Dados!$A15,Projetos!$D$2:$D$11,"USD")</f>
        <v>-1.9055673516116306E-12</v>
      </c>
      <c r="K15" s="18">
        <f t="shared" ca="1" si="1"/>
        <v>300624.45375468355</v>
      </c>
    </row>
    <row r="16" spans="1:11" x14ac:dyDescent="0.2">
      <c r="A16" s="45">
        <f t="shared" ca="1" si="2"/>
        <v>342197.46083318029</v>
      </c>
      <c r="B16" s="18">
        <f>-SUMIFS(Projetos!$F$2:$F$11,Projetos!$D$2:$D$11,"BRL",Projetos!$N$2:$N$11,Dados!$A16)</f>
        <v>0</v>
      </c>
      <c r="C16" s="45">
        <f ca="1">(A16+B16)*((Indicadores_Economicos!D$2+1)^(1/12)-1)</f>
        <v>1120.2654408970373</v>
      </c>
      <c r="D16" s="18">
        <f ca="1">SUMIFS(Projetos!$G$2:$G$11,Projetos!$K$2:$K$11,"&lt;="&amp;Dados!$A16,Projetos!$N$2:$N$11,"&gt;"&amp;Dados!A16,Projetos!$D$2:$D$11,"BRL")</f>
        <v>-2.0008457191922121E-12</v>
      </c>
      <c r="E16" s="18">
        <f t="shared" ca="1" si="0"/>
        <v>343317.72627407731</v>
      </c>
      <c r="G16" s="45">
        <f t="shared" ca="1" si="3"/>
        <v>300624.45375468355</v>
      </c>
      <c r="H16" s="18">
        <f>-SUMIFS(Projetos!$F$2:$F$11,Projetos!$D$2:$D$11,"USD",Projetos!$N$2:$N$11,Dados!$A16)</f>
        <v>0</v>
      </c>
      <c r="I16" s="45">
        <f ca="1">(G16+H16)*((Indicadores_Economicos!D$2+1)^(1/12)-1)</f>
        <v>984.16623375852532</v>
      </c>
      <c r="J16" s="18">
        <f ca="1">SUMIFS(Projetos!$G$2:$G$11,Projetos!$K$2:$K$11,"&lt;="&amp;Dados!$A16,Projetos!$N$2:$N$11,"&gt;"&amp;Dados!$A16,Projetos!$D$2:$D$11,"USD")</f>
        <v>-1.9055673516116306E-12</v>
      </c>
      <c r="K16" s="18">
        <f t="shared" ca="1" si="1"/>
        <v>301608.61998844205</v>
      </c>
    </row>
    <row r="17" spans="1:11" x14ac:dyDescent="0.2">
      <c r="A17" s="45">
        <f t="shared" ca="1" si="2"/>
        <v>343317.72627407731</v>
      </c>
      <c r="B17" s="18">
        <f>-SUMIFS(Projetos!$F$2:$F$11,Projetos!$D$2:$D$11,"BRL",Projetos!$N$2:$N$11,Dados!$A17)</f>
        <v>0</v>
      </c>
      <c r="C17" s="45">
        <f ca="1">(A17+B17)*((Indicadores_Economicos!D$2+1)^(1/12)-1)</f>
        <v>1123.9328984375245</v>
      </c>
      <c r="D17" s="18">
        <f ca="1">SUMIFS(Projetos!$G$2:$G$11,Projetos!$K$2:$K$11,"&lt;="&amp;Dados!$A17,Projetos!$N$2:$N$11,"&gt;"&amp;Dados!A17,Projetos!$D$2:$D$11,"BRL")</f>
        <v>-2.0008457191922121E-12</v>
      </c>
      <c r="E17" s="18">
        <f t="shared" ca="1" si="0"/>
        <v>344441.65917251486</v>
      </c>
      <c r="G17" s="45">
        <f t="shared" ca="1" si="3"/>
        <v>301608.61998844205</v>
      </c>
      <c r="H17" s="18">
        <f>-SUMIFS(Projetos!$F$2:$F$11,Projetos!$D$2:$D$11,"USD",Projetos!$N$2:$N$11,Dados!$A17)</f>
        <v>0</v>
      </c>
      <c r="I17" s="45">
        <f ca="1">(G17+H17)*((Indicadores_Economicos!D$2+1)^(1/12)-1)</f>
        <v>987.38813791027746</v>
      </c>
      <c r="J17" s="18">
        <f ca="1">SUMIFS(Projetos!$G$2:$G$11,Projetos!$K$2:$K$11,"&lt;="&amp;Dados!$A17,Projetos!$N$2:$N$11,"&gt;"&amp;Dados!$A17,Projetos!$D$2:$D$11,"USD")</f>
        <v>-1.9055673516116306E-12</v>
      </c>
      <c r="K17" s="18">
        <f t="shared" ca="1" si="1"/>
        <v>302596.00812635233</v>
      </c>
    </row>
    <row r="18" spans="1:11" x14ac:dyDescent="0.2">
      <c r="A18" s="45">
        <f t="shared" ca="1" si="2"/>
        <v>344441.65917251486</v>
      </c>
      <c r="B18" s="18">
        <f>-SUMIFS(Projetos!$F$2:$F$11,Projetos!$D$2:$D$11,"BRL",Projetos!$N$2:$N$11,Dados!$A18)</f>
        <v>0</v>
      </c>
      <c r="C18" s="45">
        <f ca="1">(A18+B18)*((Indicadores_Economicos!D$2+1)^(1/12)-1)</f>
        <v>1127.6123622796615</v>
      </c>
      <c r="D18" s="18">
        <f ca="1">SUMIFS(Projetos!$G$2:$G$11,Projetos!$K$2:$K$11,"&lt;="&amp;Dados!$A18,Projetos!$N$2:$N$11,"&gt;"&amp;Dados!A18,Projetos!$D$2:$D$11,"BRL")</f>
        <v>-2.0008457191922121E-12</v>
      </c>
      <c r="E18" s="18">
        <f t="shared" ca="1" si="0"/>
        <v>345569.27153479453</v>
      </c>
      <c r="G18" s="45">
        <f t="shared" ca="1" si="3"/>
        <v>302596.00812635233</v>
      </c>
      <c r="H18" s="18">
        <f>-SUMIFS(Projetos!$F$2:$F$11,Projetos!$D$2:$D$11,"USD",Projetos!$N$2:$N$11,Dados!$A18)</f>
        <v>0</v>
      </c>
      <c r="I18" s="45">
        <f ca="1">(G18+H18)*((Indicadores_Economicos!D$2+1)^(1/12)-1)</f>
        <v>990.62058973782564</v>
      </c>
      <c r="J18" s="18">
        <f ca="1">SUMIFS(Projetos!$G$2:$G$11,Projetos!$K$2:$K$11,"&lt;="&amp;Dados!$A18,Projetos!$N$2:$N$11,"&gt;"&amp;Dados!$A18,Projetos!$D$2:$D$11,"USD")</f>
        <v>-1.9055673516116306E-12</v>
      </c>
      <c r="K18" s="18">
        <f t="shared" ca="1" si="1"/>
        <v>303586.62871609017</v>
      </c>
    </row>
    <row r="19" spans="1:11" x14ac:dyDescent="0.2">
      <c r="A19" s="45">
        <f t="shared" ca="1" si="2"/>
        <v>345569.27153479453</v>
      </c>
      <c r="B19" s="18">
        <f>-SUMIFS(Projetos!$F$2:$F$11,Projetos!$D$2:$D$11,"BRL",Projetos!$N$2:$N$11,Dados!$A19)</f>
        <v>0</v>
      </c>
      <c r="C19" s="45">
        <f ca="1">(A19+B19)*((Indicadores_Economicos!D$2+1)^(1/12)-1)</f>
        <v>1131.3038717289558</v>
      </c>
      <c r="D19" s="18">
        <f ca="1">SUMIFS(Projetos!$G$2:$G$11,Projetos!$K$2:$K$11,"&lt;="&amp;Dados!$A19,Projetos!$N$2:$N$11,"&gt;"&amp;Dados!A19,Projetos!$D$2:$D$11,"BRL")</f>
        <v>-2.0008457191922121E-12</v>
      </c>
      <c r="E19" s="18">
        <f t="shared" ca="1" si="0"/>
        <v>346700.57540652348</v>
      </c>
      <c r="G19" s="45">
        <f t="shared" ca="1" si="3"/>
        <v>303586.62871609017</v>
      </c>
      <c r="H19" s="18">
        <f>-SUMIFS(Projetos!$F$2:$F$11,Projetos!$D$2:$D$11,"USD",Projetos!$N$2:$N$11,Dados!$A19)</f>
        <v>0</v>
      </c>
      <c r="I19" s="45">
        <f ca="1">(G19+H19)*((Indicadores_Economicos!D$2+1)^(1/12)-1)</f>
        <v>993.86362377151579</v>
      </c>
      <c r="J19" s="18">
        <f ca="1">SUMIFS(Projetos!$G$2:$G$11,Projetos!$K$2:$K$11,"&lt;="&amp;Dados!$A19,Projetos!$N$2:$N$11,"&gt;"&amp;Dados!$A19,Projetos!$D$2:$D$11,"USD")</f>
        <v>-1.9055673516116306E-12</v>
      </c>
      <c r="K19" s="18">
        <f t="shared" ca="1" si="1"/>
        <v>304580.4923398617</v>
      </c>
    </row>
    <row r="20" spans="1:11" x14ac:dyDescent="0.2">
      <c r="A20" s="45">
        <f t="shared" ca="1" si="2"/>
        <v>346700.57540652348</v>
      </c>
      <c r="B20" s="18">
        <f>-SUMIFS(Projetos!$F$2:$F$11,Projetos!$D$2:$D$11,"BRL",Projetos!$N$2:$N$11,Dados!$A20)</f>
        <v>0</v>
      </c>
      <c r="C20" s="45">
        <f ca="1">(A20+B20)*((Indicadores_Economicos!D$2+1)^(1/12)-1)</f>
        <v>1135.0074662195905</v>
      </c>
      <c r="D20" s="18">
        <f ca="1">SUMIFS(Projetos!$G$2:$G$11,Projetos!$K$2:$K$11,"&lt;="&amp;Dados!$A20,Projetos!$N$2:$N$11,"&gt;"&amp;Dados!A20,Projetos!$D$2:$D$11,"BRL")</f>
        <v>-2.0008457191922121E-12</v>
      </c>
      <c r="E20" s="18">
        <f t="shared" ca="1" si="0"/>
        <v>347835.58287274308</v>
      </c>
      <c r="G20" s="45">
        <f t="shared" ca="1" si="3"/>
        <v>304580.4923398617</v>
      </c>
      <c r="H20" s="18">
        <f>-SUMIFS(Projetos!$F$2:$F$11,Projetos!$D$2:$D$11,"USD",Projetos!$N$2:$N$11,Dados!$A20)</f>
        <v>0</v>
      </c>
      <c r="I20" s="45">
        <f ca="1">(G20+H20)*((Indicadores_Economicos!D$2+1)^(1/12)-1)</f>
        <v>997.117274654737</v>
      </c>
      <c r="J20" s="18">
        <f ca="1">SUMIFS(Projetos!$G$2:$G$11,Projetos!$K$2:$K$11,"&lt;="&amp;Dados!$A20,Projetos!$N$2:$N$11,"&gt;"&amp;Dados!$A20,Projetos!$D$2:$D$11,"USD")</f>
        <v>-1.9055673516116306E-12</v>
      </c>
      <c r="K20" s="18">
        <f t="shared" ca="1" si="1"/>
        <v>305577.60961451643</v>
      </c>
    </row>
    <row r="21" spans="1:11" x14ac:dyDescent="0.2">
      <c r="A21" s="45">
        <f t="shared" ca="1" si="2"/>
        <v>347835.58287274308</v>
      </c>
      <c r="B21" s="18">
        <f>-SUMIFS(Projetos!$F$2:$F$11,Projetos!$D$2:$D$11,"BRL",Projetos!$N$2:$N$11,Dados!$A21)</f>
        <v>0</v>
      </c>
      <c r="C21" s="45">
        <f ca="1">(A21+B21)*((Indicadores_Economicos!D$2+1)^(1/12)-1)</f>
        <v>1138.7231853148464</v>
      </c>
      <c r="D21" s="18">
        <f ca="1">SUMIFS(Projetos!$G$2:$G$11,Projetos!$K$2:$K$11,"&lt;="&amp;Dados!$A21,Projetos!$N$2:$N$11,"&gt;"&amp;Dados!A21,Projetos!$D$2:$D$11,"BRL")</f>
        <v>-2.0008457191922121E-12</v>
      </c>
      <c r="E21" s="18">
        <f t="shared" ca="1" si="0"/>
        <v>348974.30605805793</v>
      </c>
      <c r="G21" s="45">
        <f t="shared" ca="1" si="3"/>
        <v>305577.60961451643</v>
      </c>
      <c r="H21" s="18">
        <f>-SUMIFS(Projetos!$F$2:$F$11,Projetos!$D$2:$D$11,"USD",Projetos!$N$2:$N$11,Dados!$A21)</f>
        <v>0</v>
      </c>
      <c r="I21" s="45">
        <f ca="1">(G21+H21)*((Indicadores_Economicos!D$2+1)^(1/12)-1)</f>
        <v>1000.3815771442919</v>
      </c>
      <c r="J21" s="18">
        <f ca="1">SUMIFS(Projetos!$G$2:$G$11,Projetos!$K$2:$K$11,"&lt;="&amp;Dados!$A21,Projetos!$N$2:$N$11,"&gt;"&amp;Dados!$A21,Projetos!$D$2:$D$11,"USD")</f>
        <v>-1.9055673516116306E-12</v>
      </c>
      <c r="K21" s="18">
        <f t="shared" ca="1" si="1"/>
        <v>306577.99119166075</v>
      </c>
    </row>
    <row r="22" spans="1:11" x14ac:dyDescent="0.2">
      <c r="A22" s="45">
        <f t="shared" ca="1" si="2"/>
        <v>348974.30605805793</v>
      </c>
      <c r="B22" s="18">
        <f>-SUMIFS(Projetos!$F$2:$F$11,Projetos!$D$2:$D$11,"BRL",Projetos!$N$2:$N$11,Dados!$A22)</f>
        <v>0</v>
      </c>
      <c r="C22" s="45">
        <f ca="1">(A22+B22)*((Indicadores_Economicos!D$2+1)^(1/12)-1)</f>
        <v>1142.451068707524</v>
      </c>
      <c r="D22" s="18">
        <f ca="1">SUMIFS(Projetos!$G$2:$G$11,Projetos!$K$2:$K$11,"&lt;="&amp;Dados!$A22,Projetos!$N$2:$N$11,"&gt;"&amp;Dados!A22,Projetos!$D$2:$D$11,"BRL")</f>
        <v>-2.0008457191922121E-12</v>
      </c>
      <c r="E22" s="18">
        <f t="shared" ca="1" si="0"/>
        <v>350116.75712676544</v>
      </c>
      <c r="G22" s="45">
        <f t="shared" ca="1" si="3"/>
        <v>306577.99119166075</v>
      </c>
      <c r="H22" s="18">
        <f>-SUMIFS(Projetos!$F$2:$F$11,Projetos!$D$2:$D$11,"USD",Projetos!$N$2:$N$11,Dados!$A22)</f>
        <v>0</v>
      </c>
      <c r="I22" s="45">
        <f ca="1">(G22+H22)*((Indicadores_Economicos!D$2+1)^(1/12)-1)</f>
        <v>1003.6565661107682</v>
      </c>
      <c r="J22" s="18">
        <f ca="1">SUMIFS(Projetos!$G$2:$G$11,Projetos!$K$2:$K$11,"&lt;="&amp;Dados!$A22,Projetos!$N$2:$N$11,"&gt;"&amp;Dados!$A22,Projetos!$D$2:$D$11,"USD")</f>
        <v>-1.9055673516116306E-12</v>
      </c>
      <c r="K22" s="18">
        <f t="shared" ca="1" si="1"/>
        <v>307581.64775777154</v>
      </c>
    </row>
    <row r="23" spans="1:11" x14ac:dyDescent="0.2">
      <c r="A23" s="45">
        <f t="shared" ca="1" si="2"/>
        <v>350116.75712676544</v>
      </c>
      <c r="B23" s="18">
        <f>-SUMIFS(Projetos!$F$2:$F$11,Projetos!$D$2:$D$11,"BRL",Projetos!$N$2:$N$11,Dados!$A23)</f>
        <v>0</v>
      </c>
      <c r="C23" s="45">
        <f ca="1">(A23+B23)*((Indicadores_Economicos!D$2+1)^(1/12)-1)</f>
        <v>1146.1911562203672</v>
      </c>
      <c r="D23" s="18">
        <f ca="1">SUMIFS(Projetos!$G$2:$G$11,Projetos!$K$2:$K$11,"&lt;="&amp;Dados!$A23,Projetos!$N$2:$N$11,"&gt;"&amp;Dados!A23,Projetos!$D$2:$D$11,"BRL")</f>
        <v>-2.0008457191922121E-12</v>
      </c>
      <c r="E23" s="18">
        <f t="shared" ca="1" si="0"/>
        <v>351262.94828298583</v>
      </c>
      <c r="G23" s="45">
        <f t="shared" ca="1" si="3"/>
        <v>307581.64775777154</v>
      </c>
      <c r="H23" s="18">
        <f>-SUMIFS(Projetos!$F$2:$F$11,Projetos!$D$2:$D$11,"USD",Projetos!$N$2:$N$11,Dados!$A23)</f>
        <v>0</v>
      </c>
      <c r="I23" s="45">
        <f ca="1">(G23+H23)*((Indicadores_Economicos!D$2+1)^(1/12)-1)</f>
        <v>1006.9422765389103</v>
      </c>
      <c r="J23" s="18">
        <f ca="1">SUMIFS(Projetos!$G$2:$G$11,Projetos!$K$2:$K$11,"&lt;="&amp;Dados!$A23,Projetos!$N$2:$N$11,"&gt;"&amp;Dados!$A23,Projetos!$D$2:$D$11,"USD")</f>
        <v>-1.9055673516116306E-12</v>
      </c>
      <c r="K23" s="18">
        <f t="shared" ca="1" si="1"/>
        <v>308588.59003431047</v>
      </c>
    </row>
    <row r="24" spans="1:11" x14ac:dyDescent="0.2">
      <c r="A24" s="45">
        <f t="shared" ca="1" si="2"/>
        <v>351262.94828298583</v>
      </c>
      <c r="B24" s="18">
        <f>-SUMIFS(Projetos!$F$2:$F$11,Projetos!$D$2:$D$11,"BRL",Projetos!$N$2:$N$11,Dados!$A24)</f>
        <v>0</v>
      </c>
      <c r="C24" s="45">
        <f ca="1">(A24+B24)*((Indicadores_Economicos!D$2+1)^(1/12)-1)</f>
        <v>1149.9434878064906</v>
      </c>
      <c r="D24" s="18">
        <f ca="1">SUMIFS(Projetos!$G$2:$G$11,Projetos!$K$2:$K$11,"&lt;="&amp;Dados!$A24,Projetos!$N$2:$N$11,"&gt;"&amp;Dados!A24,Projetos!$D$2:$D$11,"BRL")</f>
        <v>-2.0008457191922121E-12</v>
      </c>
      <c r="E24" s="18">
        <f t="shared" ca="1" si="0"/>
        <v>352412.89177079231</v>
      </c>
      <c r="G24" s="45">
        <f t="shared" ca="1" si="3"/>
        <v>308588.59003431047</v>
      </c>
      <c r="H24" s="18">
        <f>-SUMIFS(Projetos!$F$2:$F$11,Projetos!$D$2:$D$11,"USD",Projetos!$N$2:$N$11,Dados!$A24)</f>
        <v>0</v>
      </c>
      <c r="I24" s="45">
        <f ca="1">(G24+H24)*((Indicadores_Economicos!D$2+1)^(1/12)-1)</f>
        <v>1010.2387435279937</v>
      </c>
      <c r="J24" s="18">
        <f ca="1">SUMIFS(Projetos!$G$2:$G$11,Projetos!$K$2:$K$11,"&lt;="&amp;Dados!$A24,Projetos!$N$2:$N$11,"&gt;"&amp;Dados!$A24,Projetos!$D$2:$D$11,"USD")</f>
        <v>-1.9055673516116306E-12</v>
      </c>
      <c r="K24" s="18">
        <f t="shared" ca="1" si="1"/>
        <v>309598.82877783844</v>
      </c>
    </row>
    <row r="25" spans="1:11" x14ac:dyDescent="0.2">
      <c r="A25" s="45">
        <f t="shared" ca="1" si="2"/>
        <v>352412.89177079231</v>
      </c>
      <c r="B25" s="18">
        <f>-SUMIFS(Projetos!$F$2:$F$11,Projetos!$D$2:$D$11,"BRL",Projetos!$N$2:$N$11,Dados!$A25)</f>
        <v>0</v>
      </c>
      <c r="C25" s="45">
        <f ca="1">(A25+B25)*((Indicadores_Economicos!D$2+1)^(1/12)-1)</f>
        <v>1153.7081035498031</v>
      </c>
      <c r="D25" s="18">
        <f ca="1">SUMIFS(Projetos!$G$2:$G$11,Projetos!$K$2:$K$11,"&lt;="&amp;Dados!$A25,Projetos!$N$2:$N$11,"&gt;"&amp;Dados!A25,Projetos!$D$2:$D$11,"BRL")</f>
        <v>-2.0008457191922121E-12</v>
      </c>
      <c r="E25" s="18">
        <f t="shared" ca="1" si="0"/>
        <v>353566.59987434209</v>
      </c>
      <c r="G25" s="45">
        <f t="shared" ca="1" si="3"/>
        <v>309598.82877783844</v>
      </c>
      <c r="H25" s="18">
        <f>-SUMIFS(Projetos!$F$2:$F$11,Projetos!$D$2:$D$11,"USD",Projetos!$N$2:$N$11,Dados!$A25)</f>
        <v>0</v>
      </c>
      <c r="I25" s="45">
        <f ca="1">(G25+H25)*((Indicadores_Economicos!D$2+1)^(1/12)-1)</f>
        <v>1013.5460022921999</v>
      </c>
      <c r="J25" s="18">
        <f ca="1">SUMIFS(Projetos!$G$2:$G$11,Projetos!$K$2:$K$11,"&lt;="&amp;Dados!$A25,Projetos!$N$2:$N$11,"&gt;"&amp;Dados!$A25,Projetos!$D$2:$D$11,"USD")</f>
        <v>-1.9055673516116306E-12</v>
      </c>
      <c r="K25" s="18">
        <f t="shared" ca="1" si="1"/>
        <v>310612.37478013063</v>
      </c>
    </row>
    <row r="26" spans="1:11" x14ac:dyDescent="0.2">
      <c r="A26" s="45">
        <f t="shared" ca="1" si="2"/>
        <v>353566.59987434209</v>
      </c>
      <c r="B26" s="18">
        <f>-SUMIFS(Projetos!$F$2:$F$11,Projetos!$D$2:$D$11,"BRL",Projetos!$N$2:$N$11,Dados!$A26)</f>
        <v>0</v>
      </c>
      <c r="C26" s="45">
        <f ca="1">(A26+B26)*((Indicadores_Economicos!D$2+1)^(1/12)-1)</f>
        <v>1157.4850436654394</v>
      </c>
      <c r="D26" s="18">
        <f ca="1">SUMIFS(Projetos!$G$2:$G$11,Projetos!$K$2:$K$11,"&lt;="&amp;Dados!$A26,Projetos!$N$2:$N$11,"&gt;"&amp;Dados!A26,Projetos!$D$2:$D$11,"BRL")</f>
        <v>-2.0008457191922121E-12</v>
      </c>
      <c r="E26" s="18">
        <f t="shared" ca="1" si="0"/>
        <v>354724.08491800755</v>
      </c>
      <c r="G26" s="45">
        <f t="shared" ca="1" si="3"/>
        <v>310612.37478013063</v>
      </c>
      <c r="H26" s="18">
        <f>-SUMIFS(Projetos!$F$2:$F$11,Projetos!$D$2:$D$11,"USD",Projetos!$N$2:$N$11,Dados!$A26)</f>
        <v>0</v>
      </c>
      <c r="I26" s="45">
        <f ca="1">(G26+H26)*((Indicadores_Economicos!D$2+1)^(1/12)-1)</f>
        <v>1016.8640881609924</v>
      </c>
      <c r="J26" s="18">
        <f ca="1">SUMIFS(Projetos!$G$2:$G$11,Projetos!$K$2:$K$11,"&lt;="&amp;Dados!$A26,Projetos!$N$2:$N$11,"&gt;"&amp;Dados!$A26,Projetos!$D$2:$D$11,"USD")</f>
        <v>-1.9055673516116306E-12</v>
      </c>
      <c r="K26" s="18">
        <f t="shared" ca="1" si="1"/>
        <v>311629.23886829161</v>
      </c>
    </row>
    <row r="27" spans="1:11" x14ac:dyDescent="0.2">
      <c r="A27" s="45">
        <f t="shared" ca="1" si="2"/>
        <v>354724.08491800755</v>
      </c>
      <c r="B27" s="18">
        <f>-SUMIFS(Projetos!$F$2:$F$11,Projetos!$D$2:$D$11,"BRL",Projetos!$N$2:$N$11,Dados!$A27)</f>
        <v>0</v>
      </c>
      <c r="C27" s="45">
        <f ca="1">(A27+B27)*((Indicadores_Economicos!D$2+1)^(1/12)-1)</f>
        <v>1161.2743485001872</v>
      </c>
      <c r="D27" s="18">
        <f ca="1">SUMIFS(Projetos!$G$2:$G$11,Projetos!$K$2:$K$11,"&lt;="&amp;Dados!$A27,Projetos!$N$2:$N$11,"&gt;"&amp;Dados!A27,Projetos!$D$2:$D$11,"BRL")</f>
        <v>-2.0008457191922121E-12</v>
      </c>
      <c r="E27" s="18">
        <f t="shared" ca="1" si="0"/>
        <v>355885.35926650773</v>
      </c>
      <c r="G27" s="45">
        <f t="shared" ca="1" si="3"/>
        <v>311629.23886829161</v>
      </c>
      <c r="H27" s="18">
        <f>-SUMIFS(Projetos!$F$2:$F$11,Projetos!$D$2:$D$11,"USD",Projetos!$N$2:$N$11,Dados!$A27)</f>
        <v>0</v>
      </c>
      <c r="I27" s="45">
        <f ca="1">(G27+H27)*((Indicadores_Economicos!D$2+1)^(1/12)-1)</f>
        <v>1020.1930365794944</v>
      </c>
      <c r="J27" s="18">
        <f ca="1">SUMIFS(Projetos!$G$2:$G$11,Projetos!$K$2:$K$11,"&lt;="&amp;Dados!$A27,Projetos!$N$2:$N$11,"&gt;"&amp;Dados!$A27,Projetos!$D$2:$D$11,"USD")</f>
        <v>-1.9055673516116306E-12</v>
      </c>
      <c r="K27" s="18">
        <f t="shared" ca="1" si="1"/>
        <v>312649.43190487107</v>
      </c>
    </row>
    <row r="28" spans="1:11" x14ac:dyDescent="0.2">
      <c r="A28" s="45">
        <f t="shared" ca="1" si="2"/>
        <v>355885.35926650773</v>
      </c>
      <c r="B28" s="18">
        <f>-SUMIFS(Projetos!$F$2:$F$11,Projetos!$D$2:$D$11,"BRL",Projetos!$N$2:$N$11,Dados!$A28)</f>
        <v>0</v>
      </c>
      <c r="C28" s="45">
        <f ca="1">(A28+B28)*((Indicadores_Economicos!D$2+1)^(1/12)-1)</f>
        <v>1165.0760585329194</v>
      </c>
      <c r="D28" s="18">
        <f ca="1">SUMIFS(Projetos!$G$2:$G$11,Projetos!$K$2:$K$11,"&lt;="&amp;Dados!$A28,Projetos!$N$2:$N$11,"&gt;"&amp;Dados!A28,Projetos!$D$2:$D$11,"BRL")</f>
        <v>-2.0008457191922121E-12</v>
      </c>
      <c r="E28" s="18">
        <f t="shared" ca="1" si="0"/>
        <v>357050.43532504066</v>
      </c>
      <c r="G28" s="45">
        <f t="shared" ca="1" si="3"/>
        <v>312649.43190487107</v>
      </c>
      <c r="H28" s="18">
        <f>-SUMIFS(Projetos!$F$2:$F$11,Projetos!$D$2:$D$11,"USD",Projetos!$N$2:$N$11,Dados!$A28)</f>
        <v>0</v>
      </c>
      <c r="I28" s="45">
        <f ca="1">(G28+H28)*((Indicadores_Economicos!D$2+1)^(1/12)-1)</f>
        <v>1023.5328831088669</v>
      </c>
      <c r="J28" s="18">
        <f ca="1">SUMIFS(Projetos!$G$2:$G$11,Projetos!$K$2:$K$11,"&lt;="&amp;Dados!$A28,Projetos!$N$2:$N$11,"&gt;"&amp;Dados!$A28,Projetos!$D$2:$D$11,"USD")</f>
        <v>-1.9055673516116306E-12</v>
      </c>
      <c r="K28" s="18">
        <f t="shared" ca="1" si="1"/>
        <v>313672.96478797996</v>
      </c>
    </row>
    <row r="29" spans="1:11" x14ac:dyDescent="0.2">
      <c r="A29" s="45">
        <f t="shared" ca="1" si="2"/>
        <v>357050.43532504066</v>
      </c>
      <c r="B29" s="18">
        <f>-SUMIFS(Projetos!$F$2:$F$11,Projetos!$D$2:$D$11,"BRL",Projetos!$N$2:$N$11,Dados!$A29)</f>
        <v>0</v>
      </c>
      <c r="C29" s="45">
        <f ca="1">(A29+B29)*((Indicadores_Economicos!D$2+1)^(1/12)-1)</f>
        <v>1168.8902143750263</v>
      </c>
      <c r="D29" s="18">
        <f ca="1">SUMIFS(Projetos!$G$2:$G$11,Projetos!$K$2:$K$11,"&lt;="&amp;Dados!$A29,Projetos!$N$2:$N$11,"&gt;"&amp;Dados!A29,Projetos!$D$2:$D$11,"BRL")</f>
        <v>-2.0008457191922121E-12</v>
      </c>
      <c r="E29" s="18">
        <f t="shared" ca="1" si="0"/>
        <v>358219.3255394157</v>
      </c>
      <c r="G29" s="45">
        <f t="shared" ca="1" si="3"/>
        <v>313672.96478797996</v>
      </c>
      <c r="H29" s="18">
        <f>-SUMIFS(Projetos!$F$2:$F$11,Projetos!$D$2:$D$11,"USD",Projetos!$N$2:$N$11,Dados!$A29)</f>
        <v>0</v>
      </c>
      <c r="I29" s="45">
        <f ca="1">(G29+H29)*((Indicadores_Economicos!D$2+1)^(1/12)-1)</f>
        <v>1026.8836634266893</v>
      </c>
      <c r="J29" s="18">
        <f ca="1">SUMIFS(Projetos!$G$2:$G$11,Projetos!$K$2:$K$11,"&lt;="&amp;Dados!$A29,Projetos!$N$2:$N$11,"&gt;"&amp;Dados!$A29,Projetos!$D$2:$D$11,"USD")</f>
        <v>-1.9055673516116306E-12</v>
      </c>
      <c r="K29" s="18">
        <f t="shared" ca="1" si="1"/>
        <v>314699.84845140664</v>
      </c>
    </row>
    <row r="30" spans="1:11" x14ac:dyDescent="0.2">
      <c r="A30" s="45">
        <f t="shared" ca="1" si="2"/>
        <v>358219.3255394157</v>
      </c>
      <c r="B30" s="18">
        <f>-SUMIFS(Projetos!$F$2:$F$11,Projetos!$D$2:$D$11,"BRL",Projetos!$N$2:$N$11,Dados!$A30)</f>
        <v>0</v>
      </c>
      <c r="C30" s="45">
        <f ca="1">(A30+B30)*((Indicadores_Economicos!D$2+1)^(1/12)-1)</f>
        <v>1172.7168567708488</v>
      </c>
      <c r="D30" s="18">
        <f ca="1">SUMIFS(Projetos!$G$2:$G$11,Projetos!$K$2:$K$11,"&lt;="&amp;Dados!$A30,Projetos!$N$2:$N$11,"&gt;"&amp;Dados!A30,Projetos!$D$2:$D$11,"BRL")</f>
        <v>-2.0008457191922121E-12</v>
      </c>
      <c r="E30" s="18">
        <f t="shared" ca="1" si="0"/>
        <v>359392.04239618656</v>
      </c>
      <c r="G30" s="45">
        <f t="shared" ca="1" si="3"/>
        <v>314699.84845140664</v>
      </c>
      <c r="H30" s="18">
        <f>-SUMIFS(Projetos!$F$2:$F$11,Projetos!$D$2:$D$11,"USD",Projetos!$N$2:$N$11,Dados!$A30)</f>
        <v>0</v>
      </c>
      <c r="I30" s="45">
        <f ca="1">(G30+H30)*((Indicadores_Economicos!D$2+1)^(1/12)-1)</f>
        <v>1030.2454133273393</v>
      </c>
      <c r="J30" s="18">
        <f ca="1">SUMIFS(Projetos!$G$2:$G$11,Projetos!$K$2:$K$11,"&lt;="&amp;Dados!$A30,Projetos!$N$2:$N$11,"&gt;"&amp;Dados!$A30,Projetos!$D$2:$D$11,"USD")</f>
        <v>-1.9055673516116306E-12</v>
      </c>
      <c r="K30" s="18">
        <f t="shared" ca="1" si="1"/>
        <v>315730.09386473399</v>
      </c>
    </row>
    <row r="31" spans="1:11" x14ac:dyDescent="0.2">
      <c r="A31" s="45">
        <f t="shared" ca="1" si="2"/>
        <v>359392.04239618656</v>
      </c>
      <c r="B31" s="18">
        <f>-SUMIFS(Projetos!$F$2:$F$11,Projetos!$D$2:$D$11,"BRL",Projetos!$N$2:$N$11,Dados!$A31)</f>
        <v>0</v>
      </c>
      <c r="C31" s="45">
        <f ca="1">(A31+B31)*((Indicadores_Economicos!D$2+1)^(1/12)-1)</f>
        <v>1176.5560265981148</v>
      </c>
      <c r="D31" s="18">
        <f ca="1">SUMIFS(Projetos!$G$2:$G$11,Projetos!$K$2:$K$11,"&lt;="&amp;Dados!$A31,Projetos!$N$2:$N$11,"&gt;"&amp;Dados!A31,Projetos!$D$2:$D$11,"BRL")</f>
        <v>-2.0008457191922121E-12</v>
      </c>
      <c r="E31" s="18">
        <f t="shared" ca="1" si="0"/>
        <v>360568.59842278465</v>
      </c>
      <c r="G31" s="45">
        <f t="shared" ca="1" si="3"/>
        <v>315730.09386473399</v>
      </c>
      <c r="H31" s="18">
        <f>-SUMIFS(Projetos!$F$2:$F$11,Projetos!$D$2:$D$11,"USD",Projetos!$N$2:$N$11,Dados!$A31)</f>
        <v>0</v>
      </c>
      <c r="I31" s="45">
        <f ca="1">(G31+H31)*((Indicadores_Economicos!D$2+1)^(1/12)-1)</f>
        <v>1033.618168722377</v>
      </c>
      <c r="J31" s="18">
        <f ca="1">SUMIFS(Projetos!$G$2:$G$11,Projetos!$K$2:$K$11,"&lt;="&amp;Dados!$A31,Projetos!$N$2:$N$11,"&gt;"&amp;Dados!$A31,Projetos!$D$2:$D$11,"USD")</f>
        <v>-1.9055673516116306E-12</v>
      </c>
      <c r="K31" s="18">
        <f t="shared" ca="1" si="1"/>
        <v>316763.71203345637</v>
      </c>
    </row>
    <row r="32" spans="1:11" x14ac:dyDescent="0.2">
      <c r="A32" s="45">
        <f t="shared" ca="1" si="2"/>
        <v>360568.59842278465</v>
      </c>
      <c r="B32" s="18">
        <f>-SUMIFS(Projetos!$F$2:$F$11,Projetos!$D$2:$D$11,"BRL",Projetos!$N$2:$N$11,Dados!$A32)</f>
        <v>0</v>
      </c>
      <c r="C32" s="45">
        <f ca="1">(A32+B32)*((Indicadores_Economicos!D$2+1)^(1/12)-1)</f>
        <v>1180.4077648683749</v>
      </c>
      <c r="D32" s="18">
        <f ca="1">SUMIFS(Projetos!$G$2:$G$11,Projetos!$K$2:$K$11,"&lt;="&amp;Dados!$A32,Projetos!$N$2:$N$11,"&gt;"&amp;Dados!A32,Projetos!$D$2:$D$11,"BRL")</f>
        <v>-2.0008457191922121E-12</v>
      </c>
      <c r="E32" s="18">
        <f t="shared" ca="1" si="0"/>
        <v>361749.00618765305</v>
      </c>
      <c r="G32" s="45">
        <f t="shared" ca="1" si="3"/>
        <v>316763.71203345637</v>
      </c>
      <c r="H32" s="18">
        <f>-SUMIFS(Projetos!$F$2:$F$11,Projetos!$D$2:$D$11,"USD",Projetos!$N$2:$N$11,Dados!$A32)</f>
        <v>0</v>
      </c>
      <c r="I32" s="45">
        <f ca="1">(G32+H32)*((Indicadores_Economicos!D$2+1)^(1/12)-1)</f>
        <v>1037.0019656409272</v>
      </c>
      <c r="J32" s="18">
        <f ca="1">SUMIFS(Projetos!$G$2:$G$11,Projetos!$K$2:$K$11,"&lt;="&amp;Dados!$A32,Projetos!$N$2:$N$11,"&gt;"&amp;Dados!$A32,Projetos!$D$2:$D$11,"USD")</f>
        <v>-1.9055673516116306E-12</v>
      </c>
      <c r="K32" s="18">
        <f t="shared" ca="1" si="1"/>
        <v>317800.71399909729</v>
      </c>
    </row>
    <row r="33" spans="1:11" x14ac:dyDescent="0.2">
      <c r="A33" s="45">
        <f t="shared" ca="1" si="2"/>
        <v>361749.00618765305</v>
      </c>
      <c r="B33" s="18">
        <f>-SUMIFS(Projetos!$F$2:$F$11,Projetos!$D$2:$D$11,"BRL",Projetos!$N$2:$N$11,Dados!$A33)</f>
        <v>0</v>
      </c>
      <c r="C33" s="45">
        <f ca="1">(A33+B33)*((Indicadores_Economicos!D$2+1)^(1/12)-1)</f>
        <v>1184.272112727441</v>
      </c>
      <c r="D33" s="18">
        <f ca="1">SUMIFS(Projetos!$G$2:$G$11,Projetos!$K$2:$K$11,"&lt;="&amp;Dados!$A33,Projetos!$N$2:$N$11,"&gt;"&amp;Dados!A33,Projetos!$D$2:$D$11,"BRL")</f>
        <v>-2.0008457191922121E-12</v>
      </c>
      <c r="E33" s="18">
        <f t="shared" ca="1" si="0"/>
        <v>362933.27830038051</v>
      </c>
      <c r="G33" s="45">
        <f t="shared" ca="1" si="3"/>
        <v>317800.71399909729</v>
      </c>
      <c r="H33" s="18">
        <f>-SUMIFS(Projetos!$F$2:$F$11,Projetos!$D$2:$D$11,"USD",Projetos!$N$2:$N$11,Dados!$A33)</f>
        <v>0</v>
      </c>
      <c r="I33" s="45">
        <f ca="1">(G33+H33)*((Indicadores_Economicos!D$2+1)^(1/12)-1)</f>
        <v>1040.3968402300643</v>
      </c>
      <c r="J33" s="18">
        <f ca="1">SUMIFS(Projetos!$G$2:$G$11,Projetos!$K$2:$K$11,"&lt;="&amp;Dados!$A33,Projetos!$N$2:$N$11,"&gt;"&amp;Dados!$A33,Projetos!$D$2:$D$11,"USD")</f>
        <v>-1.9055673516116306E-12</v>
      </c>
      <c r="K33" s="18">
        <f t="shared" ca="1" si="1"/>
        <v>318841.11083932733</v>
      </c>
    </row>
    <row r="34" spans="1:11" x14ac:dyDescent="0.2">
      <c r="A34" s="45">
        <f t="shared" ca="1" si="2"/>
        <v>362933.27830038051</v>
      </c>
      <c r="B34" s="18">
        <f>-SUMIFS(Projetos!$F$2:$F$11,Projetos!$D$2:$D$11,"BRL",Projetos!$N$2:$N$11,Dados!$A34)</f>
        <v>0</v>
      </c>
      <c r="C34" s="45">
        <f ca="1">(A34+B34)*((Indicadores_Economicos!D$2+1)^(1/12)-1)</f>
        <v>1188.1491114558257</v>
      </c>
      <c r="D34" s="18">
        <f ca="1">SUMIFS(Projetos!$G$2:$G$11,Projetos!$K$2:$K$11,"&lt;="&amp;Dados!$A34,Projetos!$N$2:$N$11,"&gt;"&amp;Dados!A34,Projetos!$D$2:$D$11,"BRL")</f>
        <v>-2.0008457191922121E-12</v>
      </c>
      <c r="E34" s="18">
        <f t="shared" ca="1" si="0"/>
        <v>364121.42741183634</v>
      </c>
      <c r="G34" s="45">
        <f t="shared" ca="1" si="3"/>
        <v>318841.11083932733</v>
      </c>
      <c r="H34" s="18">
        <f>-SUMIFS(Projetos!$F$2:$F$11,Projetos!$D$2:$D$11,"USD",Projetos!$N$2:$N$11,Dados!$A34)</f>
        <v>0</v>
      </c>
      <c r="I34" s="45">
        <f ca="1">(G34+H34)*((Indicadores_Economicos!D$2+1)^(1/12)-1)</f>
        <v>1043.8028287551995</v>
      </c>
      <c r="J34" s="18">
        <f ca="1">SUMIFS(Projetos!$G$2:$G$11,Projetos!$K$2:$K$11,"&lt;="&amp;Dados!$A34,Projetos!$N$2:$N$11,"&gt;"&amp;Dados!$A34,Projetos!$D$2:$D$11,"USD")</f>
        <v>-1.9055673516116306E-12</v>
      </c>
      <c r="K34" s="18">
        <f t="shared" ca="1" si="1"/>
        <v>319884.9136680825</v>
      </c>
    </row>
    <row r="35" spans="1:11" x14ac:dyDescent="0.2">
      <c r="A35" s="45">
        <f t="shared" ca="1" si="2"/>
        <v>364121.42741183634</v>
      </c>
      <c r="B35" s="18">
        <f>-SUMIFS(Projetos!$F$2:$F$11,Projetos!$D$2:$D$11,"BRL",Projetos!$N$2:$N$11,Dados!$A35)</f>
        <v>0</v>
      </c>
      <c r="C35" s="45">
        <f ca="1">(A35+B35)*((Indicadores_Economicos!D$2+1)^(1/12)-1)</f>
        <v>1192.0388024691829</v>
      </c>
      <c r="D35" s="18">
        <f ca="1">SUMIFS(Projetos!$G$2:$G$11,Projetos!$K$2:$K$11,"&lt;="&amp;Dados!$A35,Projetos!$N$2:$N$11,"&gt;"&amp;Dados!A35,Projetos!$D$2:$D$11,"BRL")</f>
        <v>-2.0008457191922121E-12</v>
      </c>
      <c r="E35" s="18">
        <f t="shared" ca="1" si="0"/>
        <v>365313.46621430555</v>
      </c>
      <c r="G35" s="45">
        <f t="shared" ca="1" si="3"/>
        <v>319884.9136680825</v>
      </c>
      <c r="H35" s="18">
        <f>-SUMIFS(Projetos!$F$2:$F$11,Projetos!$D$2:$D$11,"USD",Projetos!$N$2:$N$11,Dados!$A35)</f>
        <v>0</v>
      </c>
      <c r="I35" s="45">
        <f ca="1">(G35+H35)*((Indicadores_Economicos!D$2+1)^(1/12)-1)</f>
        <v>1047.219967600467</v>
      </c>
      <c r="J35" s="18">
        <f ca="1">SUMIFS(Projetos!$G$2:$G$11,Projetos!$K$2:$K$11,"&lt;="&amp;Dados!$A35,Projetos!$N$2:$N$11,"&gt;"&amp;Dados!$A35,Projetos!$D$2:$D$11,"USD")</f>
        <v>-1.9055673516116306E-12</v>
      </c>
      <c r="K35" s="18">
        <f t="shared" ca="1" si="1"/>
        <v>320932.13363568299</v>
      </c>
    </row>
    <row r="36" spans="1:11" x14ac:dyDescent="0.2">
      <c r="A36" s="45">
        <f t="shared" ca="1" si="2"/>
        <v>365313.46621430555</v>
      </c>
      <c r="B36" s="18">
        <f>-SUMIFS(Projetos!$F$2:$F$11,Projetos!$D$2:$D$11,"BRL",Projetos!$N$2:$N$11,Dados!$A36)</f>
        <v>0</v>
      </c>
      <c r="C36" s="45">
        <f ca="1">(A36+B36)*((Indicadores_Economicos!D$2+1)^(1/12)-1)</f>
        <v>1195.9412273187511</v>
      </c>
      <c r="D36" s="18">
        <f ca="1">SUMIFS(Projetos!$G$2:$G$11,Projetos!$K$2:$K$11,"&lt;="&amp;Dados!$A36,Projetos!$N$2:$N$11,"&gt;"&amp;Dados!A36,Projetos!$D$2:$D$11,"BRL")</f>
        <v>-2.0008457191922121E-12</v>
      </c>
      <c r="E36" s="18">
        <f t="shared" ca="1" si="0"/>
        <v>366509.40744162432</v>
      </c>
      <c r="G36" s="45">
        <f t="shared" ca="1" si="3"/>
        <v>320932.13363568299</v>
      </c>
      <c r="H36" s="18">
        <f>-SUMIFS(Projetos!$F$2:$F$11,Projetos!$D$2:$D$11,"USD",Projetos!$N$2:$N$11,Dados!$A36)</f>
        <v>0</v>
      </c>
      <c r="I36" s="45">
        <f ca="1">(G36+H36)*((Indicadores_Economicos!D$2+1)^(1/12)-1)</f>
        <v>1050.6482932691138</v>
      </c>
      <c r="J36" s="18">
        <f ca="1">SUMIFS(Projetos!$G$2:$G$11,Projetos!$K$2:$K$11,"&lt;="&amp;Dados!$A36,Projetos!$N$2:$N$11,"&gt;"&amp;Dados!$A36,Projetos!$D$2:$D$11,"USD")</f>
        <v>-1.9055673516116306E-12</v>
      </c>
      <c r="K36" s="18">
        <f t="shared" ca="1" si="1"/>
        <v>321982.78192895208</v>
      </c>
    </row>
    <row r="37" spans="1:11" x14ac:dyDescent="0.2">
      <c r="A37" s="45">
        <f t="shared" ca="1" si="2"/>
        <v>366509.40744162432</v>
      </c>
      <c r="B37" s="18">
        <f>-SUMIFS(Projetos!$F$2:$F$11,Projetos!$D$2:$D$11,"BRL",Projetos!$N$2:$N$11,Dados!$A37)</f>
        <v>0</v>
      </c>
      <c r="C37" s="45">
        <f ca="1">(A37+B37)*((Indicadores_Economicos!D$2+1)^(1/12)-1)</f>
        <v>1199.8564276917964</v>
      </c>
      <c r="D37" s="18">
        <f ca="1">SUMIFS(Projetos!$G$2:$G$11,Projetos!$K$2:$K$11,"&lt;="&amp;Dados!$A37,Projetos!$N$2:$N$11,"&gt;"&amp;Dados!A37,Projetos!$D$2:$D$11,"BRL")</f>
        <v>-2.0008457191922121E-12</v>
      </c>
      <c r="E37" s="18">
        <f t="shared" ca="1" si="0"/>
        <v>367709.26386931614</v>
      </c>
      <c r="G37" s="45">
        <f t="shared" ca="1" si="3"/>
        <v>321982.78192895208</v>
      </c>
      <c r="H37" s="18">
        <f>-SUMIFS(Projetos!$F$2:$F$11,Projetos!$D$2:$D$11,"USD",Projetos!$N$2:$N$11,Dados!$A37)</f>
        <v>0</v>
      </c>
      <c r="I37" s="45">
        <f ca="1">(G37+H37)*((Indicadores_Economicos!D$2+1)^(1/12)-1)</f>
        <v>1054.0878423838881</v>
      </c>
      <c r="J37" s="18">
        <f ca="1">SUMIFS(Projetos!$G$2:$G$11,Projetos!$K$2:$K$11,"&lt;="&amp;Dados!$A37,Projetos!$N$2:$N$11,"&gt;"&amp;Dados!$A37,Projetos!$D$2:$D$11,"USD")</f>
        <v>-1.9055673516116306E-12</v>
      </c>
      <c r="K37" s="18">
        <f t="shared" ca="1" si="1"/>
        <v>323036.86977133597</v>
      </c>
    </row>
    <row r="38" spans="1:11" x14ac:dyDescent="0.2">
      <c r="A38" s="45">
        <f t="shared" ca="1" si="2"/>
        <v>367709.26386931614</v>
      </c>
      <c r="B38" s="18">
        <f>-SUMIFS(Projetos!$F$2:$F$11,Projetos!$D$2:$D$11,"BRL",Projetos!$N$2:$N$11,Dados!$A38)</f>
        <v>0</v>
      </c>
      <c r="C38" s="45">
        <f ca="1">(A38+B38)*((Indicadores_Economicos!D$2+1)^(1/12)-1)</f>
        <v>1203.7844454120582</v>
      </c>
      <c r="D38" s="18">
        <f ca="1">SUMIFS(Projetos!$G$2:$G$11,Projetos!$K$2:$K$11,"&lt;="&amp;Dados!$A38,Projetos!$N$2:$N$11,"&gt;"&amp;Dados!A38,Projetos!$D$2:$D$11,"BRL")</f>
        <v>-2.0008457191922121E-12</v>
      </c>
      <c r="E38" s="18">
        <f t="shared" ca="1" si="0"/>
        <v>368913.04831472819</v>
      </c>
      <c r="G38" s="45">
        <f t="shared" ca="1" si="3"/>
        <v>323036.86977133597</v>
      </c>
      <c r="H38" s="18">
        <f>-SUMIFS(Projetos!$F$2:$F$11,Projetos!$D$2:$D$11,"USD",Projetos!$N$2:$N$11,Dados!$A38)</f>
        <v>0</v>
      </c>
      <c r="I38" s="45">
        <f ca="1">(G38+H38)*((Indicadores_Economicos!D$2+1)^(1/12)-1)</f>
        <v>1057.5386516874325</v>
      </c>
      <c r="J38" s="18">
        <f ca="1">SUMIFS(Projetos!$G$2:$G$11,Projetos!$K$2:$K$11,"&lt;="&amp;Dados!$A38,Projetos!$N$2:$N$11,"&gt;"&amp;Dados!$A38,Projetos!$D$2:$D$11,"USD")</f>
        <v>-1.9055673516116306E-12</v>
      </c>
      <c r="K38" s="18">
        <f t="shared" ca="1" si="1"/>
        <v>324094.40842302341</v>
      </c>
    </row>
    <row r="39" spans="1:11" x14ac:dyDescent="0.2">
      <c r="A39" s="45">
        <f t="shared" ca="1" si="2"/>
        <v>368913.04831472819</v>
      </c>
      <c r="B39" s="18">
        <f>-SUMIFS(Projetos!$F$2:$F$11,Projetos!$D$2:$D$11,"BRL",Projetos!$N$2:$N$11,Dados!$A39)</f>
        <v>0</v>
      </c>
      <c r="C39" s="45">
        <f ca="1">(A39+B39)*((Indicadores_Economicos!D$2+1)^(1/12)-1)</f>
        <v>1207.7253224401959</v>
      </c>
      <c r="D39" s="18">
        <f ca="1">SUMIFS(Projetos!$G$2:$G$11,Projetos!$K$2:$K$11,"&lt;="&amp;Dados!$A39,Projetos!$N$2:$N$11,"&gt;"&amp;Dados!A39,Projetos!$D$2:$D$11,"BRL")</f>
        <v>-2.0008457191922121E-12</v>
      </c>
      <c r="E39" s="18">
        <f t="shared" ca="1" si="0"/>
        <v>370120.7736371684</v>
      </c>
      <c r="G39" s="45">
        <f t="shared" ca="1" si="3"/>
        <v>324094.40842302341</v>
      </c>
      <c r="H39" s="18">
        <f>-SUMIFS(Projetos!$F$2:$F$11,Projetos!$D$2:$D$11,"USD",Projetos!$N$2:$N$11,Dados!$A39)</f>
        <v>0</v>
      </c>
      <c r="I39" s="45">
        <f ca="1">(G39+H39)*((Indicadores_Economicos!D$2+1)^(1/12)-1)</f>
        <v>1061.0007580426748</v>
      </c>
      <c r="J39" s="18">
        <f ca="1">SUMIFS(Projetos!$G$2:$G$11,Projetos!$K$2:$K$11,"&lt;="&amp;Dados!$A39,Projetos!$N$2:$N$11,"&gt;"&amp;Dados!$A39,Projetos!$D$2:$D$11,"USD")</f>
        <v>-1.9055673516116306E-12</v>
      </c>
      <c r="K39" s="18">
        <f t="shared" ca="1" si="1"/>
        <v>325155.40918106609</v>
      </c>
    </row>
    <row r="40" spans="1:11" x14ac:dyDescent="0.2">
      <c r="A40" s="45">
        <f t="shared" ca="1" si="2"/>
        <v>370120.7736371684</v>
      </c>
      <c r="B40" s="18">
        <f>-SUMIFS(Projetos!$F$2:$F$11,Projetos!$D$2:$D$11,"BRL",Projetos!$N$2:$N$11,Dados!$A40)</f>
        <v>0</v>
      </c>
      <c r="C40" s="45">
        <f ca="1">(A40+B40)*((Indicadores_Economicos!D$2+1)^(1/12)-1)</f>
        <v>1211.6791008742375</v>
      </c>
      <c r="D40" s="18">
        <f ca="1">SUMIFS(Projetos!$G$2:$G$11,Projetos!$K$2:$K$11,"&lt;="&amp;Dados!$A40,Projetos!$N$2:$N$11,"&gt;"&amp;Dados!A40,Projetos!$D$2:$D$11,"BRL")</f>
        <v>-2.0008457191922121E-12</v>
      </c>
      <c r="E40" s="18">
        <f t="shared" ca="1" si="0"/>
        <v>371332.45273804263</v>
      </c>
      <c r="G40" s="45">
        <f t="shared" ca="1" si="3"/>
        <v>325155.40918106609</v>
      </c>
      <c r="H40" s="18">
        <f>-SUMIFS(Projetos!$F$2:$F$11,Projetos!$D$2:$D$11,"USD",Projetos!$N$2:$N$11,Dados!$A40)</f>
        <v>0</v>
      </c>
      <c r="I40" s="45">
        <f ca="1">(G40+H40)*((Indicadores_Economicos!D$2+1)^(1/12)-1)</f>
        <v>1064.4741984332222</v>
      </c>
      <c r="J40" s="18">
        <f ca="1">SUMIFS(Projetos!$G$2:$G$11,Projetos!$K$2:$K$11,"&lt;="&amp;Dados!$A40,Projetos!$N$2:$N$11,"&gt;"&amp;Dados!$A40,Projetos!$D$2:$D$11,"USD")</f>
        <v>-1.9055673516116306E-12</v>
      </c>
      <c r="K40" s="18">
        <f t="shared" ca="1" si="1"/>
        <v>326219.88337949931</v>
      </c>
    </row>
    <row r="41" spans="1:11" x14ac:dyDescent="0.2">
      <c r="A41" s="45">
        <f t="shared" ca="1" si="2"/>
        <v>371332.45273804263</v>
      </c>
      <c r="B41" s="18">
        <f>-SUMIFS(Projetos!$F$2:$F$11,Projetos!$D$2:$D$11,"BRL",Projetos!$N$2:$N$11,Dados!$A41)</f>
        <v>0</v>
      </c>
      <c r="C41" s="45">
        <f ca="1">(A41+B41)*((Indicadores_Economicos!D$2+1)^(1/12)-1)</f>
        <v>1215.6458229500283</v>
      </c>
      <c r="D41" s="18">
        <f ca="1">SUMIFS(Projetos!$G$2:$G$11,Projetos!$K$2:$K$11,"&lt;="&amp;Dados!$A41,Projetos!$N$2:$N$11,"&gt;"&amp;Dados!A41,Projetos!$D$2:$D$11,"BRL")</f>
        <v>-2.0008457191922121E-12</v>
      </c>
      <c r="E41" s="18">
        <f t="shared" ca="1" si="0"/>
        <v>372548.09856099269</v>
      </c>
      <c r="G41" s="45">
        <f t="shared" ca="1" si="3"/>
        <v>326219.88337949931</v>
      </c>
      <c r="H41" s="18">
        <f>-SUMIFS(Projetos!$F$2:$F$11,Projetos!$D$2:$D$11,"USD",Projetos!$N$2:$N$11,Dados!$A41)</f>
        <v>0</v>
      </c>
      <c r="I41" s="45">
        <f ca="1">(G41+H41)*((Indicadores_Economicos!D$2+1)^(1/12)-1)</f>
        <v>1067.9590099637574</v>
      </c>
      <c r="J41" s="18">
        <f ca="1">SUMIFS(Projetos!$G$2:$G$11,Projetos!$K$2:$K$11,"&lt;="&amp;Dados!$A41,Projetos!$N$2:$N$11,"&gt;"&amp;Dados!$A41,Projetos!$D$2:$D$11,"USD")</f>
        <v>-1.9055673516116306E-12</v>
      </c>
      <c r="K41" s="18">
        <f t="shared" ca="1" si="1"/>
        <v>327287.8423894631</v>
      </c>
    </row>
    <row r="42" spans="1:11" x14ac:dyDescent="0.2">
      <c r="A42" s="45">
        <f t="shared" ca="1" si="2"/>
        <v>372548.09856099269</v>
      </c>
      <c r="B42" s="18">
        <f>-SUMIFS(Projetos!$F$2:$F$11,Projetos!$D$2:$D$11,"BRL",Projetos!$N$2:$N$11,Dados!$A42)</f>
        <v>-150000</v>
      </c>
      <c r="C42" s="45">
        <f ca="1">(A42+B42)*((Indicadores_Economicos!D$2+1)^(1/12)-1)</f>
        <v>728.56456371184674</v>
      </c>
      <c r="D42" s="18">
        <f ca="1">SUMIFS(Projetos!$G$2:$G$11,Projetos!$K$2:$K$11,"&lt;="&amp;Dados!$A42,Projetos!$N$2:$N$11,"&gt;"&amp;Dados!A42,Projetos!$D$2:$D$11,"BRL")</f>
        <v>-1.1433404109669783E-12</v>
      </c>
      <c r="E42" s="18">
        <f t="shared" ca="1" si="0"/>
        <v>223276.66312470453</v>
      </c>
      <c r="G42" s="45">
        <f t="shared" ca="1" si="3"/>
        <v>327287.8423894631</v>
      </c>
      <c r="H42" s="18">
        <f>-SUMIFS(Projetos!$F$2:$F$11,Projetos!$D$2:$D$11,"USD",Projetos!$N$2:$N$11,Dados!$A42)</f>
        <v>0</v>
      </c>
      <c r="I42" s="45">
        <f ca="1">(G42+H42)*((Indicadores_Economicos!D$2+1)^(1/12)-1)</f>
        <v>1071.4552298604335</v>
      </c>
      <c r="J42" s="18">
        <f ca="1">SUMIFS(Projetos!$G$2:$G$11,Projetos!$K$2:$K$11,"&lt;="&amp;Dados!$A42,Projetos!$N$2:$N$11,"&gt;"&amp;Dados!$A42,Projetos!$D$2:$D$11,"USD")</f>
        <v>-1.9055673516116306E-12</v>
      </c>
      <c r="K42" s="18">
        <f t="shared" ca="1" si="1"/>
        <v>328359.29761932354</v>
      </c>
    </row>
    <row r="43" spans="1:11" x14ac:dyDescent="0.2">
      <c r="A43" s="45">
        <f t="shared" ca="1" si="2"/>
        <v>223276.66312470453</v>
      </c>
      <c r="B43" s="18">
        <f>-SUMIFS(Projetos!$F$2:$F$11,Projetos!$D$2:$D$11,"BRL",Projetos!$N$2:$N$11,Dados!$A43)</f>
        <v>0</v>
      </c>
      <c r="C43" s="45">
        <f ca="1">(A43+B43)*((Indicadores_Economicos!D$2+1)^(1/12)-1)</f>
        <v>730.94969450797066</v>
      </c>
      <c r="D43" s="18">
        <f ca="1">SUMIFS(Projetos!$G$2:$G$11,Projetos!$K$2:$K$11,"&lt;="&amp;Dados!$A43,Projetos!$N$2:$N$11,"&gt;"&amp;Dados!A43,Projetos!$D$2:$D$11,"BRL")</f>
        <v>-1.1433404109669783E-12</v>
      </c>
      <c r="E43" s="18">
        <f t="shared" ca="1" si="0"/>
        <v>224007.61281921249</v>
      </c>
      <c r="G43" s="45">
        <f t="shared" ca="1" si="3"/>
        <v>328359.29761932354</v>
      </c>
      <c r="H43" s="18">
        <f>-SUMIFS(Projetos!$F$2:$F$11,Projetos!$D$2:$D$11,"USD",Projetos!$N$2:$N$11,Dados!$A43)</f>
        <v>0</v>
      </c>
      <c r="I43" s="45">
        <f ca="1">(G43+H43)*((Indicadores_Economicos!D$2+1)^(1/12)-1)</f>
        <v>1074.9628954712728</v>
      </c>
      <c r="J43" s="18">
        <f ca="1">SUMIFS(Projetos!$G$2:$G$11,Projetos!$K$2:$K$11,"&lt;="&amp;Dados!$A43,Projetos!$N$2:$N$11,"&gt;"&amp;Dados!$A43,Projetos!$D$2:$D$11,"USD")</f>
        <v>-1.9055673516116306E-12</v>
      </c>
      <c r="K43" s="18">
        <f t="shared" ca="1" si="1"/>
        <v>329434.26051479479</v>
      </c>
    </row>
    <row r="44" spans="1:11" x14ac:dyDescent="0.2">
      <c r="A44" s="45">
        <f t="shared" ca="1" si="2"/>
        <v>224007.61281921249</v>
      </c>
      <c r="B44" s="18">
        <f>-SUMIFS(Projetos!$F$2:$F$11,Projetos!$D$2:$D$11,"BRL",Projetos!$N$2:$N$11,Dados!$A44)</f>
        <v>0</v>
      </c>
      <c r="C44" s="45">
        <f ca="1">(A44+B44)*((Indicadores_Economicos!D$2+1)^(1/12)-1)</f>
        <v>733.34263360166744</v>
      </c>
      <c r="D44" s="18">
        <f ca="1">SUMIFS(Projetos!$G$2:$G$11,Projetos!$K$2:$K$11,"&lt;="&amp;Dados!$A44,Projetos!$N$2:$N$11,"&gt;"&amp;Dados!A44,Projetos!$D$2:$D$11,"BRL")</f>
        <v>-1.1433404109669783E-12</v>
      </c>
      <c r="E44" s="18">
        <f t="shared" ca="1" si="0"/>
        <v>224740.95545281415</v>
      </c>
      <c r="G44" s="45">
        <f t="shared" ca="1" si="3"/>
        <v>329434.26051479479</v>
      </c>
      <c r="H44" s="18">
        <f>-SUMIFS(Projetos!$F$2:$F$11,Projetos!$D$2:$D$11,"USD",Projetos!$N$2:$N$11,Dados!$A44)</f>
        <v>0</v>
      </c>
      <c r="I44" s="45">
        <f ca="1">(G44+H44)*((Indicadores_Economicos!D$2+1)^(1/12)-1)</f>
        <v>1078.4820442665648</v>
      </c>
      <c r="J44" s="18">
        <f ca="1">SUMIFS(Projetos!$G$2:$G$11,Projetos!$K$2:$K$11,"&lt;="&amp;Dados!$A44,Projetos!$N$2:$N$11,"&gt;"&amp;Dados!$A44,Projetos!$D$2:$D$11,"USD")</f>
        <v>-1.9055673516116306E-12</v>
      </c>
      <c r="K44" s="18">
        <f t="shared" ca="1" si="1"/>
        <v>330512.74255906133</v>
      </c>
    </row>
    <row r="45" spans="1:11" x14ac:dyDescent="0.2">
      <c r="A45" s="45">
        <f t="shared" ca="1" si="2"/>
        <v>224740.95545281415</v>
      </c>
      <c r="B45" s="18">
        <f>-SUMIFS(Projetos!$F$2:$F$11,Projetos!$D$2:$D$11,"BRL",Projetos!$N$2:$N$11,Dados!$A45)</f>
        <v>0</v>
      </c>
      <c r="C45" s="45">
        <f ca="1">(A45+B45)*((Indicadores_Economicos!D$2+1)^(1/12)-1)</f>
        <v>735.74340655527169</v>
      </c>
      <c r="D45" s="18">
        <f ca="1">SUMIFS(Projetos!$G$2:$G$11,Projetos!$K$2:$K$11,"&lt;="&amp;Dados!$A45,Projetos!$N$2:$N$11,"&gt;"&amp;Dados!A45,Projetos!$D$2:$D$11,"BRL")</f>
        <v>-1.1433404109669783E-12</v>
      </c>
      <c r="E45" s="18">
        <f t="shared" ca="1" si="0"/>
        <v>225476.69885936941</v>
      </c>
      <c r="G45" s="45">
        <f t="shared" ca="1" si="3"/>
        <v>330512.74255906133</v>
      </c>
      <c r="H45" s="18">
        <f>-SUMIFS(Projetos!$F$2:$F$11,Projetos!$D$2:$D$11,"USD",Projetos!$N$2:$N$11,Dados!$A45)</f>
        <v>0</v>
      </c>
      <c r="I45" s="45">
        <f ca="1">(G45+H45)*((Indicadores_Economicos!D$2+1)^(1/12)-1)</f>
        <v>1082.0127138392672</v>
      </c>
      <c r="J45" s="18">
        <f ca="1">SUMIFS(Projetos!$G$2:$G$11,Projetos!$K$2:$K$11,"&lt;="&amp;Dados!$A45,Projetos!$N$2:$N$11,"&gt;"&amp;Dados!$A45,Projetos!$D$2:$D$11,"USD")</f>
        <v>-1.9055673516116306E-12</v>
      </c>
      <c r="K45" s="18">
        <f t="shared" ca="1" si="1"/>
        <v>331594.75527290057</v>
      </c>
    </row>
    <row r="46" spans="1:11" x14ac:dyDescent="0.2">
      <c r="A46" s="45">
        <f t="shared" ca="1" si="2"/>
        <v>225476.69885936941</v>
      </c>
      <c r="B46" s="18">
        <f>-SUMIFS(Projetos!$F$2:$F$11,Projetos!$D$2:$D$11,"BRL",Projetos!$N$2:$N$11,Dados!$A46)</f>
        <v>0</v>
      </c>
      <c r="C46" s="45">
        <f ca="1">(A46+B46)*((Indicadores_Economicos!D$2+1)^(1/12)-1)</f>
        <v>738.1520390148022</v>
      </c>
      <c r="D46" s="18">
        <f ca="1">SUMIFS(Projetos!$G$2:$G$11,Projetos!$K$2:$K$11,"&lt;="&amp;Dados!$A46,Projetos!$N$2:$N$11,"&gt;"&amp;Dados!A46,Projetos!$D$2:$D$11,"BRL")</f>
        <v>-1.1433404109669783E-12</v>
      </c>
      <c r="E46" s="18">
        <f t="shared" ca="1" si="0"/>
        <v>226214.8508983842</v>
      </c>
      <c r="G46" s="45">
        <f t="shared" ca="1" si="3"/>
        <v>331594.75527290057</v>
      </c>
      <c r="H46" s="18">
        <f>-SUMIFS(Projetos!$F$2:$F$11,Projetos!$D$2:$D$11,"USD",Projetos!$N$2:$N$11,Dados!$A46)</f>
        <v>0</v>
      </c>
      <c r="I46" s="45">
        <f ca="1">(G46+H46)*((Indicadores_Economicos!D$2+1)^(1/12)-1)</f>
        <v>1085.5549419054078</v>
      </c>
      <c r="J46" s="18">
        <f ca="1">SUMIFS(Projetos!$G$2:$G$11,Projetos!$K$2:$K$11,"&lt;="&amp;Dados!$A46,Projetos!$N$2:$N$11,"&gt;"&amp;Dados!$A46,Projetos!$D$2:$D$11,"USD")</f>
        <v>-1.9055673516116306E-12</v>
      </c>
      <c r="K46" s="18">
        <f t="shared" ca="1" si="1"/>
        <v>332680.310214806</v>
      </c>
    </row>
    <row r="47" spans="1:11" x14ac:dyDescent="0.2">
      <c r="A47" s="45">
        <f t="shared" ca="1" si="2"/>
        <v>226214.8508983842</v>
      </c>
      <c r="B47" s="18">
        <f>-SUMIFS(Projetos!$F$2:$F$11,Projetos!$D$2:$D$11,"BRL",Projetos!$N$2:$N$11,Dados!$A47)</f>
        <v>0</v>
      </c>
      <c r="C47" s="45">
        <f ca="1">(A47+B47)*((Indicadores_Economicos!D$2+1)^(1/12)-1)</f>
        <v>740.56855671023618</v>
      </c>
      <c r="D47" s="18">
        <f ca="1">SUMIFS(Projetos!$G$2:$G$11,Projetos!$K$2:$K$11,"&lt;="&amp;Dados!$A47,Projetos!$N$2:$N$11,"&gt;"&amp;Dados!A47,Projetos!$D$2:$D$11,"BRL")</f>
        <v>-1.1433404109669783E-12</v>
      </c>
      <c r="E47" s="18">
        <f t="shared" ca="1" si="0"/>
        <v>226955.41945509444</v>
      </c>
      <c r="G47" s="45">
        <f t="shared" ca="1" si="3"/>
        <v>332680.310214806</v>
      </c>
      <c r="H47" s="18">
        <f>-SUMIFS(Projetos!$F$2:$F$11,Projetos!$D$2:$D$11,"USD",Projetos!$N$2:$N$11,Dados!$A47)</f>
        <v>0</v>
      </c>
      <c r="I47" s="45">
        <f ca="1">(G47+H47)*((Indicadores_Economicos!D$2+1)^(1/12)-1)</f>
        <v>1089.1087663044864</v>
      </c>
      <c r="J47" s="18">
        <f ca="1">SUMIFS(Projetos!$G$2:$G$11,Projetos!$K$2:$K$11,"&lt;="&amp;Dados!$A47,Projetos!$N$2:$N$11,"&gt;"&amp;Dados!$A47,Projetos!$D$2:$D$11,"USD")</f>
        <v>-1.9055673516116306E-12</v>
      </c>
      <c r="K47" s="18">
        <f t="shared" ca="1" si="1"/>
        <v>333769.4189811105</v>
      </c>
    </row>
    <row r="48" spans="1:11" x14ac:dyDescent="0.2">
      <c r="A48" s="45">
        <f t="shared" ca="1" si="2"/>
        <v>226955.41945509444</v>
      </c>
      <c r="B48" s="18">
        <f>-SUMIFS(Projetos!$F$2:$F$11,Projetos!$D$2:$D$11,"BRL",Projetos!$N$2:$N$11,Dados!$A48)</f>
        <v>0</v>
      </c>
      <c r="C48" s="45">
        <f ca="1">(A48+B48)*((Indicadores_Economicos!D$2+1)^(1/12)-1)</f>
        <v>742.99298545578415</v>
      </c>
      <c r="D48" s="18">
        <f ca="1">SUMIFS(Projetos!$G$2:$G$11,Projetos!$K$2:$K$11,"&lt;="&amp;Dados!$A48,Projetos!$N$2:$N$11,"&gt;"&amp;Dados!A48,Projetos!$D$2:$D$11,"BRL")</f>
        <v>-1.1433404109669783E-12</v>
      </c>
      <c r="E48" s="18">
        <f t="shared" ca="1" si="0"/>
        <v>227698.41244055022</v>
      </c>
      <c r="G48" s="45">
        <f t="shared" ca="1" si="3"/>
        <v>333769.4189811105</v>
      </c>
      <c r="H48" s="18">
        <f>-SUMIFS(Projetos!$F$2:$F$11,Projetos!$D$2:$D$11,"USD",Projetos!$N$2:$N$11,Dados!$A48)</f>
        <v>0</v>
      </c>
      <c r="I48" s="45">
        <f ca="1">(G48+H48)*((Indicadores_Economicos!D$2+1)^(1/12)-1)</f>
        <v>1092.674224999879</v>
      </c>
      <c r="J48" s="18">
        <f ca="1">SUMIFS(Projetos!$G$2:$G$11,Projetos!$K$2:$K$11,"&lt;="&amp;Dados!$A48,Projetos!$N$2:$N$11,"&gt;"&amp;Dados!$A48,Projetos!$D$2:$D$11,"USD")</f>
        <v>-1.9055673516116306E-12</v>
      </c>
      <c r="K48" s="18">
        <f t="shared" ca="1" si="1"/>
        <v>334862.09320611041</v>
      </c>
    </row>
    <row r="49" spans="1:11" x14ac:dyDescent="0.2">
      <c r="A49" s="45">
        <f t="shared" ca="1" si="2"/>
        <v>227698.41244055022</v>
      </c>
      <c r="B49" s="18">
        <f>-SUMIFS(Projetos!$F$2:$F$11,Projetos!$D$2:$D$11,"BRL",Projetos!$N$2:$N$11,Dados!$A49)</f>
        <v>0</v>
      </c>
      <c r="C49" s="45">
        <f ca="1">(A49+B49)*((Indicadores_Economicos!D$2+1)^(1/12)-1)</f>
        <v>745.42535115016551</v>
      </c>
      <c r="D49" s="18">
        <f ca="1">SUMIFS(Projetos!$G$2:$G$11,Projetos!$K$2:$K$11,"&lt;="&amp;Dados!$A49,Projetos!$N$2:$N$11,"&gt;"&amp;Dados!A49,Projetos!$D$2:$D$11,"BRL")</f>
        <v>-1.1433404109669783E-12</v>
      </c>
      <c r="E49" s="18">
        <f t="shared" ca="1" si="0"/>
        <v>228443.83779170038</v>
      </c>
      <c r="G49" s="45">
        <f t="shared" ca="1" si="3"/>
        <v>334862.09320611041</v>
      </c>
      <c r="H49" s="18">
        <f>-SUMIFS(Projetos!$F$2:$F$11,Projetos!$D$2:$D$11,"USD",Projetos!$N$2:$N$11,Dados!$A49)</f>
        <v>0</v>
      </c>
      <c r="I49" s="45">
        <f ca="1">(G49+H49)*((Indicadores_Economicos!D$2+1)^(1/12)-1)</f>
        <v>1096.2513560792445</v>
      </c>
      <c r="J49" s="18">
        <f ca="1">SUMIFS(Projetos!$G$2:$G$11,Projetos!$K$2:$K$11,"&lt;="&amp;Dados!$A49,Projetos!$N$2:$N$11,"&gt;"&amp;Dados!$A49,Projetos!$D$2:$D$11,"USD")</f>
        <v>-1.9055673516116306E-12</v>
      </c>
      <c r="K49" s="18">
        <f t="shared" ca="1" si="1"/>
        <v>335958.34456218965</v>
      </c>
    </row>
    <row r="50" spans="1:11" x14ac:dyDescent="0.2">
      <c r="A50" s="45">
        <f t="shared" ca="1" si="2"/>
        <v>228443.83779170038</v>
      </c>
      <c r="B50" s="18">
        <f>-SUMIFS(Projetos!$F$2:$F$11,Projetos!$D$2:$D$11,"BRL",Projetos!$N$2:$N$11,Dados!$A50)</f>
        <v>0</v>
      </c>
      <c r="C50" s="45">
        <f ca="1">(A50+B50)*((Indicadores_Economicos!D$2+1)^(1/12)-1)</f>
        <v>747.86567977688537</v>
      </c>
      <c r="D50" s="18">
        <f ca="1">SUMIFS(Projetos!$G$2:$G$11,Projetos!$K$2:$K$11,"&lt;="&amp;Dados!$A50,Projetos!$N$2:$N$11,"&gt;"&amp;Dados!A50,Projetos!$D$2:$D$11,"BRL")</f>
        <v>-1.1433404109669783E-12</v>
      </c>
      <c r="E50" s="18">
        <f t="shared" ca="1" si="0"/>
        <v>229191.70347147726</v>
      </c>
      <c r="G50" s="45">
        <f t="shared" ca="1" si="3"/>
        <v>335958.34456218965</v>
      </c>
      <c r="H50" s="18">
        <f>-SUMIFS(Projetos!$F$2:$F$11,Projetos!$D$2:$D$11,"USD",Projetos!$N$2:$N$11,Dados!$A50)</f>
        <v>0</v>
      </c>
      <c r="I50" s="45">
        <f ca="1">(G50+H50)*((Indicadores_Economicos!D$2+1)^(1/12)-1)</f>
        <v>1099.8401977549306</v>
      </c>
      <c r="J50" s="18">
        <f ca="1">SUMIFS(Projetos!$G$2:$G$11,Projetos!$K$2:$K$11,"&lt;="&amp;Dados!$A50,Projetos!$N$2:$N$11,"&gt;"&amp;Dados!$A50,Projetos!$D$2:$D$11,"USD")</f>
        <v>-1.9055673516116306E-12</v>
      </c>
      <c r="K50" s="18">
        <f t="shared" ca="1" si="1"/>
        <v>337058.18475994456</v>
      </c>
    </row>
    <row r="51" spans="1:11" x14ac:dyDescent="0.2">
      <c r="A51" s="45">
        <f t="shared" ca="1" si="2"/>
        <v>229191.70347147726</v>
      </c>
      <c r="B51" s="18">
        <f>-SUMIFS(Projetos!$F$2:$F$11,Projetos!$D$2:$D$11,"BRL",Projetos!$N$2:$N$11,Dados!$A51)</f>
        <v>0</v>
      </c>
      <c r="C51" s="45">
        <f ca="1">(A51+B51)*((Indicadores_Economicos!D$2+1)^(1/12)-1)</f>
        <v>750.31399740451218</v>
      </c>
      <c r="D51" s="18">
        <f ca="1">SUMIFS(Projetos!$G$2:$G$11,Projetos!$K$2:$K$11,"&lt;="&amp;Dados!$A51,Projetos!$N$2:$N$11,"&gt;"&amp;Dados!A51,Projetos!$D$2:$D$11,"BRL")</f>
        <v>-1.1433404109669783E-12</v>
      </c>
      <c r="E51" s="18">
        <f t="shared" ca="1" si="0"/>
        <v>229942.01746888176</v>
      </c>
      <c r="G51" s="45">
        <f t="shared" ca="1" si="3"/>
        <v>337058.18475994456</v>
      </c>
      <c r="H51" s="18">
        <f>-SUMIFS(Projetos!$F$2:$F$11,Projetos!$D$2:$D$11,"USD",Projetos!$N$2:$N$11,Dados!$A51)</f>
        <v>0</v>
      </c>
      <c r="I51" s="45">
        <f ca="1">(G51+H51)*((Indicadores_Economicos!D$2+1)^(1/12)-1)</f>
        <v>1103.4407883643823</v>
      </c>
      <c r="J51" s="18">
        <f ca="1">SUMIFS(Projetos!$G$2:$G$11,Projetos!$K$2:$K$11,"&lt;="&amp;Dados!$A51,Projetos!$N$2:$N$11,"&gt;"&amp;Dados!$A51,Projetos!$D$2:$D$11,"USD")</f>
        <v>-1.9055673516116306E-12</v>
      </c>
      <c r="K51" s="18">
        <f t="shared" ca="1" si="1"/>
        <v>338161.62554830895</v>
      </c>
    </row>
    <row r="52" spans="1:11" x14ac:dyDescent="0.2">
      <c r="A52" s="45">
        <f t="shared" ca="1" si="2"/>
        <v>229942.01746888176</v>
      </c>
      <c r="B52" s="18">
        <f>-SUMIFS(Projetos!$F$2:$F$11,Projetos!$D$2:$D$11,"BRL",Projetos!$N$2:$N$11,Dados!$A52)</f>
        <v>0</v>
      </c>
      <c r="C52" s="45">
        <f ca="1">(A52+B52)*((Indicadores_Economicos!D$2+1)^(1/12)-1)</f>
        <v>752.77033018695602</v>
      </c>
      <c r="D52" s="18">
        <f ca="1">SUMIFS(Projetos!$G$2:$G$11,Projetos!$K$2:$K$11,"&lt;="&amp;Dados!$A52,Projetos!$N$2:$N$11,"&gt;"&amp;Dados!A52,Projetos!$D$2:$D$11,"BRL")</f>
        <v>-1.1433404109669783E-12</v>
      </c>
      <c r="E52" s="18">
        <f t="shared" ca="1" si="0"/>
        <v>230694.78779906873</v>
      </c>
      <c r="G52" s="45">
        <f t="shared" ca="1" si="3"/>
        <v>338161.62554830895</v>
      </c>
      <c r="H52" s="18">
        <f>-SUMIFS(Projetos!$F$2:$F$11,Projetos!$D$2:$D$11,"USD",Projetos!$N$2:$N$11,Dados!$A52)</f>
        <v>0</v>
      </c>
      <c r="I52" s="45">
        <f ca="1">(G52+H52)*((Indicadores_Economicos!D$2+1)^(1/12)-1)</f>
        <v>1107.0531663705517</v>
      </c>
      <c r="J52" s="18">
        <f ca="1">SUMIFS(Projetos!$G$2:$G$11,Projetos!$K$2:$K$11,"&lt;="&amp;Dados!$A52,Projetos!$N$2:$N$11,"&gt;"&amp;Dados!$A52,Projetos!$D$2:$D$11,"USD")</f>
        <v>-1.9055673516116306E-12</v>
      </c>
      <c r="K52" s="18">
        <f t="shared" ca="1" si="1"/>
        <v>339268.6787146795</v>
      </c>
    </row>
    <row r="53" spans="1:11" x14ac:dyDescent="0.2">
      <c r="A53" s="45">
        <f t="shared" ca="1" si="2"/>
        <v>230694.78779906873</v>
      </c>
      <c r="B53" s="18">
        <f>-SUMIFS(Projetos!$F$2:$F$11,Projetos!$D$2:$D$11,"BRL",Projetos!$N$2:$N$11,Dados!$A53)</f>
        <v>0</v>
      </c>
      <c r="C53" s="45">
        <f ca="1">(A53+B53)*((Indicadores_Economicos!D$2+1)^(1/12)-1)</f>
        <v>755.23470436374805</v>
      </c>
      <c r="D53" s="18">
        <f ca="1">SUMIFS(Projetos!$G$2:$G$11,Projetos!$K$2:$K$11,"&lt;="&amp;Dados!$A53,Projetos!$N$2:$N$11,"&gt;"&amp;Dados!A53,Projetos!$D$2:$D$11,"BRL")</f>
        <v>-1.1433404109669783E-12</v>
      </c>
      <c r="E53" s="18">
        <f t="shared" ca="1" si="0"/>
        <v>231450.02250343247</v>
      </c>
      <c r="G53" s="45">
        <f t="shared" ca="1" si="3"/>
        <v>339268.6787146795</v>
      </c>
      <c r="H53" s="18">
        <f>-SUMIFS(Projetos!$F$2:$F$11,Projetos!$D$2:$D$11,"USD",Projetos!$N$2:$N$11,Dados!$A53)</f>
        <v>0</v>
      </c>
      <c r="I53" s="45">
        <f ca="1">(G53+H53)*((Indicadores_Economicos!D$2+1)^(1/12)-1)</f>
        <v>1110.6773703623082</v>
      </c>
      <c r="J53" s="18">
        <f ca="1">SUMIFS(Projetos!$G$2:$G$11,Projetos!$K$2:$K$11,"&lt;="&amp;Dados!$A53,Projetos!$N$2:$N$11,"&gt;"&amp;Dados!$A53,Projetos!$D$2:$D$11,"USD")</f>
        <v>-1.9055673516116306E-12</v>
      </c>
      <c r="K53" s="18">
        <f t="shared" ca="1" si="1"/>
        <v>340379.35608504183</v>
      </c>
    </row>
    <row r="54" spans="1:11" x14ac:dyDescent="0.2">
      <c r="A54" s="45">
        <f t="shared" ca="1" si="2"/>
        <v>231450.02250343247</v>
      </c>
      <c r="B54" s="18">
        <f>-SUMIFS(Projetos!$F$2:$F$11,Projetos!$D$2:$D$11,"BRL",Projetos!$N$2:$N$11,Dados!$A54)</f>
        <v>0</v>
      </c>
      <c r="C54" s="45">
        <f ca="1">(A54+B54)*((Indicadores_Economicos!D$2+1)^(1/12)-1)</f>
        <v>757.70714626032088</v>
      </c>
      <c r="D54" s="18">
        <f ca="1">SUMIFS(Projetos!$G$2:$G$11,Projetos!$K$2:$K$11,"&lt;="&amp;Dados!$A54,Projetos!$N$2:$N$11,"&gt;"&amp;Dados!A54,Projetos!$D$2:$D$11,"BRL")</f>
        <v>-1.1433404109669783E-12</v>
      </c>
      <c r="E54" s="18">
        <f t="shared" ca="1" si="0"/>
        <v>232207.7296496928</v>
      </c>
      <c r="G54" s="45">
        <f t="shared" ca="1" si="3"/>
        <v>340379.35608504183</v>
      </c>
      <c r="H54" s="18">
        <f>-SUMIFS(Projetos!$F$2:$F$11,Projetos!$D$2:$D$11,"USD",Projetos!$N$2:$N$11,Dados!$A54)</f>
        <v>0</v>
      </c>
      <c r="I54" s="45">
        <f ca="1">(G54+H54)*((Indicadores_Economicos!D$2+1)^(1/12)-1)</f>
        <v>1114.3134390548516</v>
      </c>
      <c r="J54" s="18">
        <f ca="1">SUMIFS(Projetos!$G$2:$G$11,Projetos!$K$2:$K$11,"&lt;="&amp;Dados!$A54,Projetos!$N$2:$N$11,"&gt;"&amp;Dados!$A54,Projetos!$D$2:$D$11,"USD")</f>
        <v>-1.9055673516116306E-12</v>
      </c>
      <c r="K54" s="18">
        <f t="shared" ca="1" si="1"/>
        <v>341493.66952409671</v>
      </c>
    </row>
    <row r="55" spans="1:11" x14ac:dyDescent="0.2">
      <c r="A55" s="45">
        <f t="shared" ca="1" si="2"/>
        <v>232207.7296496928</v>
      </c>
      <c r="B55" s="18">
        <f>-SUMIFS(Projetos!$F$2:$F$11,Projetos!$D$2:$D$11,"BRL",Projetos!$N$2:$N$11,Dados!$A55)</f>
        <v>0</v>
      </c>
      <c r="C55" s="45">
        <f ca="1">(A55+B55)*((Indicadores_Economicos!D$2+1)^(1/12)-1)</f>
        <v>760.18768228828969</v>
      </c>
      <c r="D55" s="18">
        <f ca="1">SUMIFS(Projetos!$G$2:$G$11,Projetos!$K$2:$K$11,"&lt;="&amp;Dados!$A55,Projetos!$N$2:$N$11,"&gt;"&amp;Dados!A55,Projetos!$D$2:$D$11,"BRL")</f>
        <v>-1.1433404109669783E-12</v>
      </c>
      <c r="E55" s="18">
        <f t="shared" ca="1" si="0"/>
        <v>232967.91733198109</v>
      </c>
      <c r="G55" s="45">
        <f t="shared" ca="1" si="3"/>
        <v>341493.66952409671</v>
      </c>
      <c r="H55" s="18">
        <f>-SUMIFS(Projetos!$F$2:$F$11,Projetos!$D$2:$D$11,"USD",Projetos!$N$2:$N$11,Dados!$A55)</f>
        <v>0</v>
      </c>
      <c r="I55" s="45">
        <f ca="1">(G55+H55)*((Indicadores_Economicos!D$2+1)^(1/12)-1)</f>
        <v>1117.9614112901245</v>
      </c>
      <c r="J55" s="18">
        <f ca="1">SUMIFS(Projetos!$G$2:$G$11,Projetos!$K$2:$K$11,"&lt;="&amp;Dados!$A55,Projetos!$N$2:$N$11,"&gt;"&amp;Dados!$A55,Projetos!$D$2:$D$11,"USD")</f>
        <v>-1.9055673516116306E-12</v>
      </c>
      <c r="K55" s="18">
        <f t="shared" ca="1" si="1"/>
        <v>342611.63093538681</v>
      </c>
    </row>
    <row r="56" spans="1:11" x14ac:dyDescent="0.2">
      <c r="A56" s="45">
        <f t="shared" ca="1" si="2"/>
        <v>232967.91733198109</v>
      </c>
      <c r="B56" s="18">
        <f>-SUMIFS(Projetos!$F$2:$F$11,Projetos!$D$2:$D$11,"BRL",Projetos!$N$2:$N$11,Dados!$A56)</f>
        <v>0</v>
      </c>
      <c r="C56" s="45">
        <f ca="1">(A56+B56)*((Indicadores_Economicos!D$2+1)^(1/12)-1)</f>
        <v>762.67633894573453</v>
      </c>
      <c r="D56" s="18">
        <f ca="1">SUMIFS(Projetos!$G$2:$G$11,Projetos!$K$2:$K$11,"&lt;="&amp;Dados!$A56,Projetos!$N$2:$N$11,"&gt;"&amp;Dados!A56,Projetos!$D$2:$D$11,"BRL")</f>
        <v>-1.1433404109669783E-12</v>
      </c>
      <c r="E56" s="18">
        <f t="shared" ca="1" si="0"/>
        <v>233730.59367092684</v>
      </c>
      <c r="G56" s="45">
        <f t="shared" ca="1" si="3"/>
        <v>342611.63093538681</v>
      </c>
      <c r="H56" s="18">
        <f>-SUMIFS(Projetos!$F$2:$F$11,Projetos!$D$2:$D$11,"USD",Projetos!$N$2:$N$11,Dados!$A56)</f>
        <v>0</v>
      </c>
      <c r="I56" s="45">
        <f ca="1">(G56+H56)*((Indicadores_Economicos!D$2+1)^(1/12)-1)</f>
        <v>1121.6213260372281</v>
      </c>
      <c r="J56" s="18">
        <f ca="1">SUMIFS(Projetos!$G$2:$G$11,Projetos!$K$2:$K$11,"&lt;="&amp;Dados!$A56,Projetos!$N$2:$N$11,"&gt;"&amp;Dados!$A56,Projetos!$D$2:$D$11,"USD")</f>
        <v>-1.9055673516116306E-12</v>
      </c>
      <c r="K56" s="18">
        <f t="shared" ca="1" si="1"/>
        <v>343733.25226142403</v>
      </c>
    </row>
    <row r="57" spans="1:11" x14ac:dyDescent="0.2">
      <c r="A57" s="45">
        <f t="shared" ca="1" si="2"/>
        <v>233730.59367092684</v>
      </c>
      <c r="B57" s="18">
        <f>-SUMIFS(Projetos!$F$2:$F$11,Projetos!$D$2:$D$11,"BRL",Projetos!$N$2:$N$11,Dados!$A57)</f>
        <v>0</v>
      </c>
      <c r="C57" s="45">
        <f ca="1">(A57+B57)*((Indicadores_Economicos!D$2+1)^(1/12)-1)</f>
        <v>765.17314281748304</v>
      </c>
      <c r="D57" s="18">
        <f ca="1">SUMIFS(Projetos!$G$2:$G$11,Projetos!$K$2:$K$11,"&lt;="&amp;Dados!$A57,Projetos!$N$2:$N$11,"&gt;"&amp;Dados!A57,Projetos!$D$2:$D$11,"BRL")</f>
        <v>-1.1433404109669783E-12</v>
      </c>
      <c r="E57" s="18">
        <f t="shared" ca="1" si="0"/>
        <v>234495.76681374433</v>
      </c>
      <c r="G57" s="45">
        <f t="shared" ca="1" si="3"/>
        <v>343733.25226142403</v>
      </c>
      <c r="H57" s="18">
        <f>-SUMIFS(Projetos!$F$2:$F$11,Projetos!$D$2:$D$11,"USD",Projetos!$N$2:$N$11,Dados!$A57)</f>
        <v>0</v>
      </c>
      <c r="I57" s="45">
        <f ca="1">(G57+H57)*((Indicadores_Economicos!D$2+1)^(1/12)-1)</f>
        <v>1125.2932223928387</v>
      </c>
      <c r="J57" s="18">
        <f ca="1">SUMIFS(Projetos!$G$2:$G$11,Projetos!$K$2:$K$11,"&lt;="&amp;Dados!$A57,Projetos!$N$2:$N$11,"&gt;"&amp;Dados!$A57,Projetos!$D$2:$D$11,"USD")</f>
        <v>-1.9055673516116306E-12</v>
      </c>
      <c r="K57" s="18">
        <f t="shared" ca="1" si="1"/>
        <v>344858.54548381688</v>
      </c>
    </row>
    <row r="58" spans="1:11" x14ac:dyDescent="0.2">
      <c r="A58" s="45">
        <f t="shared" ca="1" si="2"/>
        <v>234495.76681374433</v>
      </c>
      <c r="B58" s="18">
        <f>-SUMIFS(Projetos!$F$2:$F$11,Projetos!$D$2:$D$11,"BRL",Projetos!$N$2:$N$11,Dados!$A58)</f>
        <v>0</v>
      </c>
      <c r="C58" s="45">
        <f ca="1">(A58+B58)*((Indicadores_Economicos!D$2+1)^(1/12)-1)</f>
        <v>767.67812057539481</v>
      </c>
      <c r="D58" s="18">
        <f ca="1">SUMIFS(Projetos!$G$2:$G$11,Projetos!$K$2:$K$11,"&lt;="&amp;Dados!$A58,Projetos!$N$2:$N$11,"&gt;"&amp;Dados!A58,Projetos!$D$2:$D$11,"BRL")</f>
        <v>-1.1433404109669783E-12</v>
      </c>
      <c r="E58" s="18">
        <f t="shared" ca="1" si="0"/>
        <v>235263.44493431973</v>
      </c>
      <c r="G58" s="45">
        <f t="shared" ca="1" si="3"/>
        <v>344858.54548381688</v>
      </c>
      <c r="H58" s="18">
        <f>-SUMIFS(Projetos!$F$2:$F$11,Projetos!$D$2:$D$11,"USD",Projetos!$N$2:$N$11,Dados!$A58)</f>
        <v>0</v>
      </c>
      <c r="I58" s="45">
        <f ca="1">(G58+H58)*((Indicadores_Economicos!D$2+1)^(1/12)-1)</f>
        <v>1128.9771395816251</v>
      </c>
      <c r="J58" s="18">
        <f ca="1">SUMIFS(Projetos!$G$2:$G$11,Projetos!$K$2:$K$11,"&lt;="&amp;Dados!$A58,Projetos!$N$2:$N$11,"&gt;"&amp;Dados!$A58,Projetos!$D$2:$D$11,"USD")</f>
        <v>-1.9055673516116306E-12</v>
      </c>
      <c r="K58" s="18">
        <f t="shared" ca="1" si="1"/>
        <v>345987.52262339852</v>
      </c>
    </row>
    <row r="59" spans="1:11" x14ac:dyDescent="0.2">
      <c r="A59" s="45">
        <f t="shared" ca="1" si="2"/>
        <v>235263.44493431973</v>
      </c>
      <c r="B59" s="18">
        <f>-SUMIFS(Projetos!$F$2:$F$11,Projetos!$D$2:$D$11,"BRL",Projetos!$N$2:$N$11,Dados!$A59)</f>
        <v>0</v>
      </c>
      <c r="C59" s="45">
        <f ca="1">(A59+B59)*((Indicadores_Economicos!D$2+1)^(1/12)-1)</f>
        <v>770.19129897864616</v>
      </c>
      <c r="D59" s="18">
        <f ca="1">SUMIFS(Projetos!$G$2:$G$11,Projetos!$K$2:$K$11,"&lt;="&amp;Dados!$A59,Projetos!$N$2:$N$11,"&gt;"&amp;Dados!A59,Projetos!$D$2:$D$11,"BRL")</f>
        <v>-1.1433404109669783E-12</v>
      </c>
      <c r="E59" s="18">
        <f t="shared" ca="1" si="0"/>
        <v>236033.63623329837</v>
      </c>
      <c r="G59" s="45">
        <f t="shared" ca="1" si="3"/>
        <v>345987.52262339852</v>
      </c>
      <c r="H59" s="18">
        <f>-SUMIFS(Projetos!$F$2:$F$11,Projetos!$D$2:$D$11,"USD",Projetos!$N$2:$N$11,Dados!$A59)</f>
        <v>0</v>
      </c>
      <c r="I59" s="45">
        <f ca="1">(G59+H59)*((Indicadores_Economicos!D$2+1)^(1/12)-1)</f>
        <v>1132.6731169566667</v>
      </c>
      <c r="J59" s="18">
        <f ca="1">SUMIFS(Projetos!$G$2:$G$11,Projetos!$K$2:$K$11,"&lt;="&amp;Dados!$A59,Projetos!$N$2:$N$11,"&gt;"&amp;Dados!$A59,Projetos!$D$2:$D$11,"USD")</f>
        <v>-1.9055673516116306E-12</v>
      </c>
      <c r="K59" s="18">
        <f t="shared" ca="1" si="1"/>
        <v>347120.19574035518</v>
      </c>
    </row>
    <row r="60" spans="1:11" x14ac:dyDescent="0.2">
      <c r="A60" s="45">
        <f t="shared" ca="1" si="2"/>
        <v>236033.63623329837</v>
      </c>
      <c r="B60" s="18">
        <f>-SUMIFS(Projetos!$F$2:$F$11,Projetos!$D$2:$D$11,"BRL",Projetos!$N$2:$N$11,Dados!$A60)</f>
        <v>0</v>
      </c>
      <c r="C60" s="45">
        <f ca="1">(A60+B60)*((Indicadores_Economicos!D$2+1)^(1/12)-1)</f>
        <v>772.71270487401603</v>
      </c>
      <c r="D60" s="18">
        <f ca="1">SUMIFS(Projetos!$G$2:$G$11,Projetos!$K$2:$K$11,"&lt;="&amp;Dados!$A60,Projetos!$N$2:$N$11,"&gt;"&amp;Dados!A60,Projetos!$D$2:$D$11,"BRL")</f>
        <v>-1.1433404109669783E-12</v>
      </c>
      <c r="E60" s="18">
        <f t="shared" ca="1" si="0"/>
        <v>236806.34893817239</v>
      </c>
      <c r="G60" s="45">
        <f t="shared" ca="1" si="3"/>
        <v>347120.19574035518</v>
      </c>
      <c r="H60" s="18">
        <f>-SUMIFS(Projetos!$F$2:$F$11,Projetos!$D$2:$D$11,"USD",Projetos!$N$2:$N$11,Dados!$A60)</f>
        <v>0</v>
      </c>
      <c r="I60" s="45">
        <f ca="1">(G60+H60)*((Indicadores_Economicos!D$2+1)^(1/12)-1)</f>
        <v>1136.381193999875</v>
      </c>
      <c r="J60" s="18">
        <f ca="1">SUMIFS(Projetos!$G$2:$G$11,Projetos!$K$2:$K$11,"&lt;="&amp;Dados!$A60,Projetos!$N$2:$N$11,"&gt;"&amp;Dados!$A60,Projetos!$D$2:$D$11,"USD")</f>
        <v>-1.9055673516116306E-12</v>
      </c>
      <c r="K60" s="18">
        <f t="shared" ca="1" si="1"/>
        <v>348256.57693435508</v>
      </c>
    </row>
    <row r="61" spans="1:11" x14ac:dyDescent="0.2">
      <c r="A61" s="45">
        <f t="shared" ca="1" si="2"/>
        <v>236806.34893817239</v>
      </c>
      <c r="B61" s="18">
        <f>-SUMIFS(Projetos!$F$2:$F$11,Projetos!$D$2:$D$11,"BRL",Projetos!$N$2:$N$11,Dados!$A61)</f>
        <v>0</v>
      </c>
      <c r="C61" s="45">
        <f ca="1">(A61+B61)*((Indicadores_Economicos!D$2+1)^(1/12)-1)</f>
        <v>775.24236519617261</v>
      </c>
      <c r="D61" s="18">
        <f ca="1">SUMIFS(Projetos!$G$2:$G$11,Projetos!$K$2:$K$11,"&lt;="&amp;Dados!$A61,Projetos!$N$2:$N$11,"&gt;"&amp;Dados!A61,Projetos!$D$2:$D$11,"BRL")</f>
        <v>-1.1433404109669783E-12</v>
      </c>
      <c r="E61" s="18">
        <f t="shared" ca="1" si="0"/>
        <v>237581.59130336856</v>
      </c>
      <c r="G61" s="45">
        <f t="shared" ca="1" si="3"/>
        <v>348256.57693435508</v>
      </c>
      <c r="H61" s="18">
        <f>-SUMIFS(Projetos!$F$2:$F$11,Projetos!$D$2:$D$11,"USD",Projetos!$N$2:$N$11,Dados!$A61)</f>
        <v>0</v>
      </c>
      <c r="I61" s="45">
        <f ca="1">(G61+H61)*((Indicadores_Economicos!D$2+1)^(1/12)-1)</f>
        <v>1140.1014103224152</v>
      </c>
      <c r="J61" s="18">
        <f ca="1">SUMIFS(Projetos!$G$2:$G$11,Projetos!$K$2:$K$11,"&lt;="&amp;Dados!$A61,Projetos!$N$2:$N$11,"&gt;"&amp;Dados!$A61,Projetos!$D$2:$D$11,"USD")</f>
        <v>-1.9055673516116306E-12</v>
      </c>
      <c r="K61" s="18">
        <f t="shared" ca="1" si="1"/>
        <v>349396.67834467749</v>
      </c>
    </row>
    <row r="62" spans="1:11" x14ac:dyDescent="0.2">
      <c r="A62" s="45">
        <f t="shared" ca="1" si="2"/>
        <v>237581.59130336856</v>
      </c>
      <c r="B62" s="18">
        <f>-SUMIFS(Projetos!$F$2:$F$11,Projetos!$D$2:$D$11,"BRL",Projetos!$N$2:$N$11,Dados!$A62)</f>
        <v>0</v>
      </c>
      <c r="C62" s="45">
        <f ca="1">(A62+B62)*((Indicadores_Economicos!D$2+1)^(1/12)-1)</f>
        <v>777.78030696796134</v>
      </c>
      <c r="D62" s="18">
        <f ca="1">SUMIFS(Projetos!$G$2:$G$11,Projetos!$K$2:$K$11,"&lt;="&amp;Dados!$A62,Projetos!$N$2:$N$11,"&gt;"&amp;Dados!A62,Projetos!$D$2:$D$11,"BRL")</f>
        <v>-1.1433404109669783E-12</v>
      </c>
      <c r="E62" s="18">
        <f t="shared" ca="1" si="0"/>
        <v>238359.37161033653</v>
      </c>
      <c r="G62" s="45">
        <f t="shared" ca="1" si="3"/>
        <v>349396.67834467749</v>
      </c>
      <c r="H62" s="18">
        <f>-SUMIFS(Projetos!$F$2:$F$11,Projetos!$D$2:$D$11,"USD",Projetos!$N$2:$N$11,Dados!$A62)</f>
        <v>0</v>
      </c>
      <c r="I62" s="45">
        <f ca="1">(G62+H62)*((Indicadores_Economicos!D$2+1)^(1/12)-1)</f>
        <v>1143.8338056651287</v>
      </c>
      <c r="J62" s="18">
        <f ca="1">SUMIFS(Projetos!$G$2:$G$11,Projetos!$K$2:$K$11,"&lt;="&amp;Dados!$A62,Projetos!$N$2:$N$11,"&gt;"&amp;Dados!$A62,Projetos!$D$2:$D$11,"USD")</f>
        <v>-1.9055673516116306E-12</v>
      </c>
      <c r="K62" s="18">
        <f t="shared" ca="1" si="1"/>
        <v>350540.51215034263</v>
      </c>
    </row>
    <row r="63" spans="1:11" x14ac:dyDescent="0.2">
      <c r="A63" s="45">
        <f t="shared" ca="1" si="2"/>
        <v>238359.37161033653</v>
      </c>
      <c r="B63" s="18">
        <f>-SUMIFS(Projetos!$F$2:$F$11,Projetos!$D$2:$D$11,"BRL",Projetos!$N$2:$N$11,Dados!$A63)</f>
        <v>0</v>
      </c>
      <c r="C63" s="45">
        <f ca="1">(A63+B63)*((Indicadores_Economicos!D$2+1)^(1/12)-1)</f>
        <v>780.32655730069325</v>
      </c>
      <c r="D63" s="18">
        <f ca="1">SUMIFS(Projetos!$G$2:$G$11,Projetos!$K$2:$K$11,"&lt;="&amp;Dados!$A63,Projetos!$N$2:$N$11,"&gt;"&amp;Dados!A63,Projetos!$D$2:$D$11,"BRL")</f>
        <v>-1.1433404109669783E-12</v>
      </c>
      <c r="E63" s="18">
        <f t="shared" ca="1" si="0"/>
        <v>239139.69816763722</v>
      </c>
      <c r="G63" s="45">
        <f t="shared" ca="1" si="3"/>
        <v>350540.51215034263</v>
      </c>
      <c r="H63" s="18">
        <f>-SUMIFS(Projetos!$F$2:$F$11,Projetos!$D$2:$D$11,"USD",Projetos!$N$2:$N$11,Dados!$A63)</f>
        <v>0</v>
      </c>
      <c r="I63" s="45">
        <f ca="1">(G63+H63)*((Indicadores_Economicos!D$2+1)^(1/12)-1)</f>
        <v>1147.5784198989586</v>
      </c>
      <c r="J63" s="18">
        <f ca="1">SUMIFS(Projetos!$G$2:$G$11,Projetos!$K$2:$K$11,"&lt;="&amp;Dados!$A63,Projetos!$N$2:$N$11,"&gt;"&amp;Dados!$A63,Projetos!$D$2:$D$11,"USD")</f>
        <v>-1.9055673516116306E-12</v>
      </c>
      <c r="K63" s="18">
        <f t="shared" ca="1" si="1"/>
        <v>351688.09057024162</v>
      </c>
    </row>
    <row r="64" spans="1:11" x14ac:dyDescent="0.2">
      <c r="A64" s="45">
        <f t="shared" ca="1" si="2"/>
        <v>239139.69816763722</v>
      </c>
      <c r="B64" s="18">
        <f>-SUMIFS(Projetos!$F$2:$F$11,Projetos!$D$2:$D$11,"BRL",Projetos!$N$2:$N$11,Dados!$A64)</f>
        <v>0</v>
      </c>
      <c r="C64" s="45">
        <f ca="1">(A64+B64)*((Indicadores_Economicos!D$2+1)^(1/12)-1)</f>
        <v>782.88114339443484</v>
      </c>
      <c r="D64" s="18">
        <f ca="1">SUMIFS(Projetos!$G$2:$G$11,Projetos!$K$2:$K$11,"&lt;="&amp;Dados!$A64,Projetos!$N$2:$N$11,"&gt;"&amp;Dados!A64,Projetos!$D$2:$D$11,"BRL")</f>
        <v>-1.1433404109669783E-12</v>
      </c>
      <c r="E64" s="18">
        <f t="shared" ca="1" si="0"/>
        <v>239922.57931103164</v>
      </c>
      <c r="G64" s="45">
        <f t="shared" ca="1" si="3"/>
        <v>351688.09057024162</v>
      </c>
      <c r="H64" s="18">
        <f>-SUMIFS(Projetos!$F$2:$F$11,Projetos!$D$2:$D$11,"USD",Projetos!$N$2:$N$11,Dados!$A64)</f>
        <v>0</v>
      </c>
      <c r="I64" s="45">
        <f ca="1">(G64+H64)*((Indicadores_Economicos!D$2+1)^(1/12)-1)</f>
        <v>1151.335293025375</v>
      </c>
      <c r="J64" s="18">
        <f ca="1">SUMIFS(Projetos!$G$2:$G$11,Projetos!$K$2:$K$11,"&lt;="&amp;Dados!$A64,Projetos!$N$2:$N$11,"&gt;"&amp;Dados!$A64,Projetos!$D$2:$D$11,"USD")</f>
        <v>-1.9055673516116306E-12</v>
      </c>
      <c r="K64" s="18">
        <f t="shared" ca="1" si="1"/>
        <v>352839.42586326698</v>
      </c>
    </row>
    <row r="65" spans="1:11" x14ac:dyDescent="0.2">
      <c r="A65" s="45">
        <f t="shared" ca="1" si="2"/>
        <v>239922.57931103164</v>
      </c>
      <c r="B65" s="18">
        <f>-SUMIFS(Projetos!$F$2:$F$11,Projetos!$D$2:$D$11,"BRL",Projetos!$N$2:$N$11,Dados!$A65)</f>
        <v>0</v>
      </c>
      <c r="C65" s="45">
        <f ca="1">(A65+B65)*((Indicadores_Economicos!D$2+1)^(1/12)-1)</f>
        <v>785.44409253829849</v>
      </c>
      <c r="D65" s="18">
        <f ca="1">SUMIFS(Projetos!$G$2:$G$11,Projetos!$K$2:$K$11,"&lt;="&amp;Dados!$A65,Projetos!$N$2:$N$11,"&gt;"&amp;Dados!A65,Projetos!$D$2:$D$11,"BRL")</f>
        <v>-1.1433404109669783E-12</v>
      </c>
      <c r="E65" s="18">
        <f t="shared" ca="1" si="0"/>
        <v>240708.02340356994</v>
      </c>
      <c r="G65" s="45">
        <f t="shared" ca="1" si="3"/>
        <v>352839.42586326698</v>
      </c>
      <c r="H65" s="18">
        <f>-SUMIFS(Projetos!$F$2:$F$11,Projetos!$D$2:$D$11,"USD",Projetos!$N$2:$N$11,Dados!$A65)</f>
        <v>0</v>
      </c>
      <c r="I65" s="45">
        <f ca="1">(G65+H65)*((Indicadores_Economicos!D$2+1)^(1/12)-1)</f>
        <v>1155.1044651768016</v>
      </c>
      <c r="J65" s="18">
        <f ca="1">SUMIFS(Projetos!$G$2:$G$11,Projetos!$K$2:$K$11,"&lt;="&amp;Dados!$A65,Projetos!$N$2:$N$11,"&gt;"&amp;Dados!$A65,Projetos!$D$2:$D$11,"USD")</f>
        <v>-1.9055673516116306E-12</v>
      </c>
      <c r="K65" s="18">
        <f t="shared" ca="1" si="1"/>
        <v>353994.5303284438</v>
      </c>
    </row>
    <row r="66" spans="1:11" x14ac:dyDescent="0.2">
      <c r="A66" s="45">
        <f t="shared" ca="1" si="2"/>
        <v>240708.02340356994</v>
      </c>
      <c r="B66" s="18">
        <f>-SUMIFS(Projetos!$F$2:$F$11,Projetos!$D$2:$D$11,"BRL",Projetos!$N$2:$N$11,Dados!$A66)</f>
        <v>0</v>
      </c>
      <c r="C66" s="45">
        <f ca="1">(A66+B66)*((Indicadores_Economicos!D$2+1)^(1/12)-1)</f>
        <v>788.01543211073431</v>
      </c>
      <c r="D66" s="18">
        <f ca="1">SUMIFS(Projetos!$G$2:$G$11,Projetos!$K$2:$K$11,"&lt;="&amp;Dados!$A66,Projetos!$N$2:$N$11,"&gt;"&amp;Dados!A66,Projetos!$D$2:$D$11,"BRL")</f>
        <v>-1.1433404109669783E-12</v>
      </c>
      <c r="E66" s="18">
        <f t="shared" ref="E66:E129" ca="1" si="4">A66+B66+C66+D66</f>
        <v>241496.03883568067</v>
      </c>
      <c r="G66" s="45">
        <f t="shared" ca="1" si="3"/>
        <v>353994.5303284438</v>
      </c>
      <c r="H66" s="18">
        <f>-SUMIFS(Projetos!$F$2:$F$11,Projetos!$D$2:$D$11,"USD",Projetos!$N$2:$N$11,Dados!$A66)</f>
        <v>0</v>
      </c>
      <c r="I66" s="45">
        <f ca="1">(G66+H66)*((Indicadores_Economicos!D$2+1)^(1/12)-1)</f>
        <v>1158.8859766170467</v>
      </c>
      <c r="J66" s="18">
        <f ca="1">SUMIFS(Projetos!$G$2:$G$11,Projetos!$K$2:$K$11,"&lt;="&amp;Dados!$A66,Projetos!$N$2:$N$11,"&gt;"&amp;Dados!$A66,Projetos!$D$2:$D$11,"USD")</f>
        <v>-1.9055673516116306E-12</v>
      </c>
      <c r="K66" s="18">
        <f t="shared" ref="K66:K129" ca="1" si="5">G66+H66+I66+J66</f>
        <v>355153.41630506085</v>
      </c>
    </row>
    <row r="67" spans="1:11" x14ac:dyDescent="0.2">
      <c r="A67" s="45">
        <f t="shared" ca="1" si="2"/>
        <v>241496.03883568067</v>
      </c>
      <c r="B67" s="18">
        <f>-SUMIFS(Projetos!$F$2:$F$11,Projetos!$D$2:$D$11,"BRL",Projetos!$N$2:$N$11,Dados!$A67)</f>
        <v>0</v>
      </c>
      <c r="C67" s="45">
        <f ca="1">(A67+B67)*((Indicadores_Economicos!D$2+1)^(1/12)-1)</f>
        <v>790.59518957982186</v>
      </c>
      <c r="D67" s="18">
        <f ca="1">SUMIFS(Projetos!$G$2:$G$11,Projetos!$K$2:$K$11,"&lt;="&amp;Dados!$A67,Projetos!$N$2:$N$11,"&gt;"&amp;Dados!A67,Projetos!$D$2:$D$11,"BRL")</f>
        <v>-1.1433404109669783E-12</v>
      </c>
      <c r="E67" s="18">
        <f t="shared" ca="1" si="4"/>
        <v>242286.63402526049</v>
      </c>
      <c r="G67" s="45">
        <f t="shared" ca="1" si="3"/>
        <v>355153.41630506085</v>
      </c>
      <c r="H67" s="18">
        <f>-SUMIFS(Projetos!$F$2:$F$11,Projetos!$D$2:$D$11,"USD",Projetos!$N$2:$N$11,Dados!$A67)</f>
        <v>0</v>
      </c>
      <c r="I67" s="45">
        <f ca="1">(G67+H67)*((Indicadores_Economicos!D$2+1)^(1/12)-1)</f>
        <v>1162.6798677417303</v>
      </c>
      <c r="J67" s="18">
        <f ca="1">SUMIFS(Projetos!$G$2:$G$11,Projetos!$K$2:$K$11,"&lt;="&amp;Dados!$A67,Projetos!$N$2:$N$11,"&gt;"&amp;Dados!$A67,Projetos!$D$2:$D$11,"USD")</f>
        <v>-1.9055673516116306E-12</v>
      </c>
      <c r="K67" s="18">
        <f t="shared" ca="1" si="5"/>
        <v>356316.09617280256</v>
      </c>
    </row>
    <row r="68" spans="1:11" x14ac:dyDescent="0.2">
      <c r="A68" s="45">
        <f t="shared" ref="A68:A131" ca="1" si="6">E67</f>
        <v>242286.63402526049</v>
      </c>
      <c r="B68" s="18">
        <f>-SUMIFS(Projetos!$F$2:$F$11,Projetos!$D$2:$D$11,"BRL",Projetos!$N$2:$N$11,Dados!$A68)</f>
        <v>0</v>
      </c>
      <c r="C68" s="45">
        <f ca="1">(A68+B68)*((Indicadores_Economicos!D$2+1)^(1/12)-1)</f>
        <v>793.18339250356439</v>
      </c>
      <c r="D68" s="18">
        <f ca="1">SUMIFS(Projetos!$G$2:$G$11,Projetos!$K$2:$K$11,"&lt;="&amp;Dados!$A68,Projetos!$N$2:$N$11,"&gt;"&amp;Dados!A68,Projetos!$D$2:$D$11,"BRL")</f>
        <v>-1.1433404109669783E-12</v>
      </c>
      <c r="E68" s="18">
        <f t="shared" ca="1" si="4"/>
        <v>243079.81741776405</v>
      </c>
      <c r="G68" s="45">
        <f t="shared" ref="G68:G131" ca="1" si="7">K67</f>
        <v>356316.09617280256</v>
      </c>
      <c r="H68" s="18">
        <f>-SUMIFS(Projetos!$F$2:$F$11,Projetos!$D$2:$D$11,"USD",Projetos!$N$2:$N$11,Dados!$A68)</f>
        <v>0</v>
      </c>
      <c r="I68" s="45">
        <f ca="1">(G68+H68)*((Indicadores_Economicos!D$2+1)^(1/12)-1)</f>
        <v>1166.4861790787181</v>
      </c>
      <c r="J68" s="18">
        <f ca="1">SUMIFS(Projetos!$G$2:$G$11,Projetos!$K$2:$K$11,"&lt;="&amp;Dados!$A68,Projetos!$N$2:$N$11,"&gt;"&amp;Dados!$A68,Projetos!$D$2:$D$11,"USD")</f>
        <v>-1.9055673516116306E-12</v>
      </c>
      <c r="K68" s="18">
        <f t="shared" ca="1" si="5"/>
        <v>357482.58235188125</v>
      </c>
    </row>
    <row r="69" spans="1:11" x14ac:dyDescent="0.2">
      <c r="A69" s="45">
        <f t="shared" ca="1" si="6"/>
        <v>243079.81741776405</v>
      </c>
      <c r="B69" s="18">
        <f>-SUMIFS(Projetos!$F$2:$F$11,Projetos!$D$2:$D$11,"BRL",Projetos!$N$2:$N$11,Dados!$A69)</f>
        <v>0</v>
      </c>
      <c r="C69" s="45">
        <f ca="1">(A69+B69)*((Indicadores_Economicos!D$2+1)^(1/12)-1)</f>
        <v>795.7800685301828</v>
      </c>
      <c r="D69" s="18">
        <f ca="1">SUMIFS(Projetos!$G$2:$G$11,Projetos!$K$2:$K$11,"&lt;="&amp;Dados!$A69,Projetos!$N$2:$N$11,"&gt;"&amp;Dados!A69,Projetos!$D$2:$D$11,"BRL")</f>
        <v>-1.1433404109669783E-12</v>
      </c>
      <c r="E69" s="18">
        <f t="shared" ca="1" si="4"/>
        <v>243875.59748629422</v>
      </c>
      <c r="G69" s="45">
        <f t="shared" ca="1" si="7"/>
        <v>357482.58235188125</v>
      </c>
      <c r="H69" s="18">
        <f>-SUMIFS(Projetos!$F$2:$F$11,Projetos!$D$2:$D$11,"USD",Projetos!$N$2:$N$11,Dados!$A69)</f>
        <v>0</v>
      </c>
      <c r="I69" s="45">
        <f ca="1">(G69+H69)*((Indicadores_Economicos!D$2+1)^(1/12)-1)</f>
        <v>1170.3049512885532</v>
      </c>
      <c r="J69" s="18">
        <f ca="1">SUMIFS(Projetos!$G$2:$G$11,Projetos!$K$2:$K$11,"&lt;="&amp;Dados!$A69,Projetos!$N$2:$N$11,"&gt;"&amp;Dados!$A69,Projetos!$D$2:$D$11,"USD")</f>
        <v>-1.9055673516116306E-12</v>
      </c>
      <c r="K69" s="18">
        <f t="shared" ca="1" si="5"/>
        <v>358652.88730316982</v>
      </c>
    </row>
    <row r="70" spans="1:11" x14ac:dyDescent="0.2">
      <c r="A70" s="45">
        <f t="shared" ca="1" si="6"/>
        <v>243875.59748629422</v>
      </c>
      <c r="B70" s="18">
        <f>-SUMIFS(Projetos!$F$2:$F$11,Projetos!$D$2:$D$11,"BRL",Projetos!$N$2:$N$11,Dados!$A70)</f>
        <v>0</v>
      </c>
      <c r="C70" s="45">
        <f ca="1">(A70+B70)*((Indicadores_Economicos!D$2+1)^(1/12)-1)</f>
        <v>798.38524539841103</v>
      </c>
      <c r="D70" s="18">
        <f ca="1">SUMIFS(Projetos!$G$2:$G$11,Projetos!$K$2:$K$11,"&lt;="&amp;Dados!$A70,Projetos!$N$2:$N$11,"&gt;"&amp;Dados!A70,Projetos!$D$2:$D$11,"BRL")</f>
        <v>-1.1433404109669783E-12</v>
      </c>
      <c r="E70" s="18">
        <f t="shared" ca="1" si="4"/>
        <v>244673.98273169264</v>
      </c>
      <c r="G70" s="45">
        <f t="shared" ca="1" si="7"/>
        <v>358652.88730316982</v>
      </c>
      <c r="H70" s="18">
        <f>-SUMIFS(Projetos!$F$2:$F$11,Projetos!$D$2:$D$11,"USD",Projetos!$N$2:$N$11,Dados!$A70)</f>
        <v>0</v>
      </c>
      <c r="I70" s="45">
        <f ca="1">(G70+H70)*((Indicadores_Economicos!D$2+1)^(1/12)-1)</f>
        <v>1174.1362251648909</v>
      </c>
      <c r="J70" s="18">
        <f ca="1">SUMIFS(Projetos!$G$2:$G$11,Projetos!$K$2:$K$11,"&lt;="&amp;Dados!$A70,Projetos!$N$2:$N$11,"&gt;"&amp;Dados!$A70,Projetos!$D$2:$D$11,"USD")</f>
        <v>-1.9055673516116306E-12</v>
      </c>
      <c r="K70" s="18">
        <f t="shared" ca="1" si="5"/>
        <v>359827.02352833468</v>
      </c>
    </row>
    <row r="71" spans="1:11" x14ac:dyDescent="0.2">
      <c r="A71" s="45">
        <f t="shared" ca="1" si="6"/>
        <v>244673.98273169264</v>
      </c>
      <c r="B71" s="18">
        <f>-SUMIFS(Projetos!$F$2:$F$11,Projetos!$D$2:$D$11,"BRL",Projetos!$N$2:$N$11,Dados!$A71)</f>
        <v>0</v>
      </c>
      <c r="C71" s="45">
        <f ca="1">(A71+B71)*((Indicadores_Economicos!D$2+1)^(1/12)-1)</f>
        <v>800.99895093779242</v>
      </c>
      <c r="D71" s="18">
        <f ca="1">SUMIFS(Projetos!$G$2:$G$11,Projetos!$K$2:$K$11,"&lt;="&amp;Dados!$A71,Projetos!$N$2:$N$11,"&gt;"&amp;Dados!A71,Projetos!$D$2:$D$11,"BRL")</f>
        <v>-1.1433404109669783E-12</v>
      </c>
      <c r="E71" s="18">
        <f t="shared" ca="1" si="4"/>
        <v>245474.98168263043</v>
      </c>
      <c r="G71" s="45">
        <f t="shared" ca="1" si="7"/>
        <v>359827.02352833468</v>
      </c>
      <c r="H71" s="18">
        <f>-SUMIFS(Projetos!$F$2:$F$11,Projetos!$D$2:$D$11,"USD",Projetos!$N$2:$N$11,Dados!$A71)</f>
        <v>0</v>
      </c>
      <c r="I71" s="45">
        <f ca="1">(G71+H71)*((Indicadores_Economicos!D$2+1)^(1/12)-1)</f>
        <v>1177.980041634934</v>
      </c>
      <c r="J71" s="18">
        <f ca="1">SUMIFS(Projetos!$G$2:$G$11,Projetos!$K$2:$K$11,"&lt;="&amp;Dados!$A71,Projetos!$N$2:$N$11,"&gt;"&amp;Dados!$A71,Projetos!$D$2:$D$11,"USD")</f>
        <v>-1.9055673516116306E-12</v>
      </c>
      <c r="K71" s="18">
        <f t="shared" ca="1" si="5"/>
        <v>361005.00356996962</v>
      </c>
    </row>
    <row r="72" spans="1:11" x14ac:dyDescent="0.2">
      <c r="A72" s="45">
        <f t="shared" ca="1" si="6"/>
        <v>245474.98168263043</v>
      </c>
      <c r="B72" s="18">
        <f>-SUMIFS(Projetos!$F$2:$F$11,Projetos!$D$2:$D$11,"BRL",Projetos!$N$2:$N$11,Dados!$A72)</f>
        <v>0</v>
      </c>
      <c r="C72" s="45">
        <f ca="1">(A72+B72)*((Indicadores_Economicos!D$2+1)^(1/12)-1)</f>
        <v>803.62121306897711</v>
      </c>
      <c r="D72" s="18">
        <f ca="1">SUMIFS(Projetos!$G$2:$G$11,Projetos!$K$2:$K$11,"&lt;="&amp;Dados!$A72,Projetos!$N$2:$N$11,"&gt;"&amp;Dados!A72,Projetos!$D$2:$D$11,"BRL")</f>
        <v>-1.1433404109669783E-12</v>
      </c>
      <c r="E72" s="18">
        <f t="shared" ca="1" si="4"/>
        <v>246278.60289569941</v>
      </c>
      <c r="G72" s="45">
        <f t="shared" ca="1" si="7"/>
        <v>361005.00356996962</v>
      </c>
      <c r="H72" s="18">
        <f>-SUMIFS(Projetos!$F$2:$F$11,Projetos!$D$2:$D$11,"USD",Projetos!$N$2:$N$11,Dados!$A72)</f>
        <v>0</v>
      </c>
      <c r="I72" s="45">
        <f ca="1">(G72+H72)*((Indicadores_Economicos!D$2+1)^(1/12)-1)</f>
        <v>1181.8364417598707</v>
      </c>
      <c r="J72" s="18">
        <f ca="1">SUMIFS(Projetos!$G$2:$G$11,Projetos!$K$2:$K$11,"&lt;="&amp;Dados!$A72,Projetos!$N$2:$N$11,"&gt;"&amp;Dados!$A72,Projetos!$D$2:$D$11,"USD")</f>
        <v>-1.9055673516116306E-12</v>
      </c>
      <c r="K72" s="18">
        <f t="shared" ca="1" si="5"/>
        <v>362186.84001172951</v>
      </c>
    </row>
    <row r="73" spans="1:11" x14ac:dyDescent="0.2">
      <c r="A73" s="45">
        <f t="shared" ca="1" si="6"/>
        <v>246278.60289569941</v>
      </c>
      <c r="B73" s="18">
        <f>-SUMIFS(Projetos!$F$2:$F$11,Projetos!$D$2:$D$11,"BRL",Projetos!$N$2:$N$11,Dados!$A73)</f>
        <v>0</v>
      </c>
      <c r="C73" s="45">
        <f ca="1">(A73+B73)*((Indicadores_Economicos!D$2+1)^(1/12)-1)</f>
        <v>806.25205980401995</v>
      </c>
      <c r="D73" s="18">
        <f ca="1">SUMIFS(Projetos!$G$2:$G$11,Projetos!$K$2:$K$11,"&lt;="&amp;Dados!$A73,Projetos!$N$2:$N$11,"&gt;"&amp;Dados!A73,Projetos!$D$2:$D$11,"BRL")</f>
        <v>-1.1433404109669783E-12</v>
      </c>
      <c r="E73" s="18">
        <f t="shared" ca="1" si="4"/>
        <v>247084.85495550343</v>
      </c>
      <c r="G73" s="45">
        <f t="shared" ca="1" si="7"/>
        <v>362186.84001172951</v>
      </c>
      <c r="H73" s="18">
        <f>-SUMIFS(Projetos!$F$2:$F$11,Projetos!$D$2:$D$11,"USD",Projetos!$N$2:$N$11,Dados!$A73)</f>
        <v>0</v>
      </c>
      <c r="I73" s="45">
        <f ca="1">(G73+H73)*((Indicadores_Economicos!D$2+1)^(1/12)-1)</f>
        <v>1185.7054667353125</v>
      </c>
      <c r="J73" s="18">
        <f ca="1">SUMIFS(Projetos!$G$2:$G$11,Projetos!$K$2:$K$11,"&lt;="&amp;Dados!$A73,Projetos!$N$2:$N$11,"&gt;"&amp;Dados!$A73,Projetos!$D$2:$D$11,"USD")</f>
        <v>-1.9055673516116306E-12</v>
      </c>
      <c r="K73" s="18">
        <f t="shared" ca="1" si="5"/>
        <v>363372.5454784648</v>
      </c>
    </row>
    <row r="74" spans="1:11" x14ac:dyDescent="0.2">
      <c r="A74" s="45">
        <f t="shared" ca="1" si="6"/>
        <v>247084.85495550343</v>
      </c>
      <c r="B74" s="18">
        <f>-SUMIFS(Projetos!$F$2:$F$11,Projetos!$D$2:$D$11,"BRL",Projetos!$N$2:$N$11,Dados!$A74)</f>
        <v>0</v>
      </c>
      <c r="C74" s="45">
        <f ca="1">(A74+B74)*((Indicadores_Economicos!D$2+1)^(1/12)-1)</f>
        <v>808.89151924668022</v>
      </c>
      <c r="D74" s="18">
        <f ca="1">SUMIFS(Projetos!$G$2:$G$11,Projetos!$K$2:$K$11,"&lt;="&amp;Dados!$A74,Projetos!$N$2:$N$11,"&gt;"&amp;Dados!A74,Projetos!$D$2:$D$11,"BRL")</f>
        <v>-1.1433404109669783E-12</v>
      </c>
      <c r="E74" s="18">
        <f t="shared" ca="1" si="4"/>
        <v>247893.74647475011</v>
      </c>
      <c r="G74" s="45">
        <f t="shared" ca="1" si="7"/>
        <v>363372.5454784648</v>
      </c>
      <c r="H74" s="18">
        <f>-SUMIFS(Projetos!$F$2:$F$11,Projetos!$D$2:$D$11,"USD",Projetos!$N$2:$N$11,Dados!$A74)</f>
        <v>0</v>
      </c>
      <c r="I74" s="45">
        <f ca="1">(G74+H74)*((Indicadores_Economicos!D$2+1)^(1/12)-1)</f>
        <v>1189.5871578917345</v>
      </c>
      <c r="J74" s="18">
        <f ca="1">SUMIFS(Projetos!$G$2:$G$11,Projetos!$K$2:$K$11,"&lt;="&amp;Dados!$A74,Projetos!$N$2:$N$11,"&gt;"&amp;Dados!$A74,Projetos!$D$2:$D$11,"USD")</f>
        <v>-1.9055673516116306E-12</v>
      </c>
      <c r="K74" s="18">
        <f t="shared" ca="1" si="5"/>
        <v>364562.13263635652</v>
      </c>
    </row>
    <row r="75" spans="1:11" x14ac:dyDescent="0.2">
      <c r="A75" s="45">
        <f t="shared" ca="1" si="6"/>
        <v>247893.74647475011</v>
      </c>
      <c r="B75" s="18">
        <f>-SUMIFS(Projetos!$F$2:$F$11,Projetos!$D$2:$D$11,"BRL",Projetos!$N$2:$N$11,Dados!$A75)</f>
        <v>0</v>
      </c>
      <c r="C75" s="45">
        <f ca="1">(A75+B75)*((Indicadores_Economicos!D$2+1)^(1/12)-1)</f>
        <v>811.53961959272135</v>
      </c>
      <c r="D75" s="18">
        <f ca="1">SUMIFS(Projetos!$G$2:$G$11,Projetos!$K$2:$K$11,"&lt;="&amp;Dados!$A75,Projetos!$N$2:$N$11,"&gt;"&amp;Dados!A75,Projetos!$D$2:$D$11,"BRL")</f>
        <v>-1.1433404109669783E-12</v>
      </c>
      <c r="E75" s="18">
        <f t="shared" ca="1" si="4"/>
        <v>248705.28609434282</v>
      </c>
      <c r="G75" s="45">
        <f t="shared" ca="1" si="7"/>
        <v>364562.13263635652</v>
      </c>
      <c r="H75" s="18">
        <f>-SUMIFS(Projetos!$F$2:$F$11,Projetos!$D$2:$D$11,"USD",Projetos!$N$2:$N$11,Dados!$A75)</f>
        <v>0</v>
      </c>
      <c r="I75" s="45">
        <f ca="1">(G75+H75)*((Indicadores_Economicos!D$2+1)^(1/12)-1)</f>
        <v>1193.4815566949176</v>
      </c>
      <c r="J75" s="18">
        <f ca="1">SUMIFS(Projetos!$G$2:$G$11,Projetos!$K$2:$K$11,"&lt;="&amp;Dados!$A75,Projetos!$N$2:$N$11,"&gt;"&amp;Dados!$A75,Projetos!$D$2:$D$11,"USD")</f>
        <v>-1.9055673516116306E-12</v>
      </c>
      <c r="K75" s="18">
        <f t="shared" ca="1" si="5"/>
        <v>365755.61419305141</v>
      </c>
    </row>
    <row r="76" spans="1:11" x14ac:dyDescent="0.2">
      <c r="A76" s="45">
        <f t="shared" ca="1" si="6"/>
        <v>248705.28609434282</v>
      </c>
      <c r="B76" s="18">
        <f>-SUMIFS(Projetos!$F$2:$F$11,Projetos!$D$2:$D$11,"BRL",Projetos!$N$2:$N$11,Dados!$A76)</f>
        <v>0</v>
      </c>
      <c r="C76" s="45">
        <f ca="1">(A76+B76)*((Indicadores_Economicos!D$2+1)^(1/12)-1)</f>
        <v>814.19638913021254</v>
      </c>
      <c r="D76" s="18">
        <f ca="1">SUMIFS(Projetos!$G$2:$G$11,Projetos!$K$2:$K$11,"&lt;="&amp;Dados!$A76,Projetos!$N$2:$N$11,"&gt;"&amp;Dados!A76,Projetos!$D$2:$D$11,"BRL")</f>
        <v>-1.1433404109669783E-12</v>
      </c>
      <c r="E76" s="18">
        <f t="shared" ca="1" si="4"/>
        <v>249519.48248347302</v>
      </c>
      <c r="G76" s="45">
        <f t="shared" ca="1" si="7"/>
        <v>365755.61419305141</v>
      </c>
      <c r="H76" s="18">
        <f>-SUMIFS(Projetos!$F$2:$F$11,Projetos!$D$2:$D$11,"USD",Projetos!$N$2:$N$11,Dados!$A76)</f>
        <v>0</v>
      </c>
      <c r="I76" s="45">
        <f ca="1">(G76+H76)*((Indicadores_Economicos!D$2+1)^(1/12)-1)</f>
        <v>1197.3887047463904</v>
      </c>
      <c r="J76" s="18">
        <f ca="1">SUMIFS(Projetos!$G$2:$G$11,Projetos!$K$2:$K$11,"&lt;="&amp;Dados!$A76,Projetos!$N$2:$N$11,"&gt;"&amp;Dados!$A76,Projetos!$D$2:$D$11,"USD")</f>
        <v>-1.9055673516116306E-12</v>
      </c>
      <c r="K76" s="18">
        <f t="shared" ca="1" si="5"/>
        <v>366953.00289779779</v>
      </c>
    </row>
    <row r="77" spans="1:11" x14ac:dyDescent="0.2">
      <c r="A77" s="45">
        <f t="shared" ca="1" si="6"/>
        <v>249519.48248347302</v>
      </c>
      <c r="B77" s="18">
        <f>-SUMIFS(Projetos!$F$2:$F$11,Projetos!$D$2:$D$11,"BRL",Projetos!$N$2:$N$11,Dados!$A77)</f>
        <v>0</v>
      </c>
      <c r="C77" s="45">
        <f ca="1">(A77+B77)*((Indicadores_Economicos!D$2+1)^(1/12)-1)</f>
        <v>816.86185623983079</v>
      </c>
      <c r="D77" s="18">
        <f ca="1">SUMIFS(Projetos!$G$2:$G$11,Projetos!$K$2:$K$11,"&lt;="&amp;Dados!$A77,Projetos!$N$2:$N$11,"&gt;"&amp;Dados!A77,Projetos!$D$2:$D$11,"BRL")</f>
        <v>-1.1433404109669783E-12</v>
      </c>
      <c r="E77" s="18">
        <f t="shared" ca="1" si="4"/>
        <v>250336.34433971284</v>
      </c>
      <c r="G77" s="45">
        <f t="shared" ca="1" si="7"/>
        <v>366953.00289779779</v>
      </c>
      <c r="H77" s="18">
        <f>-SUMIFS(Projetos!$F$2:$F$11,Projetos!$D$2:$D$11,"USD",Projetos!$N$2:$N$11,Dados!$A77)</f>
        <v>0</v>
      </c>
      <c r="I77" s="45">
        <f ca="1">(G77+H77)*((Indicadores_Economicos!D$2+1)^(1/12)-1)</f>
        <v>1201.3086437838742</v>
      </c>
      <c r="J77" s="18">
        <f ca="1">SUMIFS(Projetos!$G$2:$G$11,Projetos!$K$2:$K$11,"&lt;="&amp;Dados!$A77,Projetos!$N$2:$N$11,"&gt;"&amp;Dados!$A77,Projetos!$D$2:$D$11,"USD")</f>
        <v>-1.9055673516116306E-12</v>
      </c>
      <c r="K77" s="18">
        <f t="shared" ca="1" si="5"/>
        <v>368154.31154158164</v>
      </c>
    </row>
    <row r="78" spans="1:11" x14ac:dyDescent="0.2">
      <c r="A78" s="45">
        <f t="shared" ca="1" si="6"/>
        <v>250336.34433971284</v>
      </c>
      <c r="B78" s="18">
        <f>-SUMIFS(Projetos!$F$2:$F$11,Projetos!$D$2:$D$11,"BRL",Projetos!$N$2:$N$11,Dados!$A78)</f>
        <v>0</v>
      </c>
      <c r="C78" s="45">
        <f ca="1">(A78+B78)*((Indicadores_Economicos!D$2+1)^(1/12)-1)</f>
        <v>819.53604939516401</v>
      </c>
      <c r="D78" s="18">
        <f ca="1">SUMIFS(Projetos!$G$2:$G$11,Projetos!$K$2:$K$11,"&lt;="&amp;Dados!$A78,Projetos!$N$2:$N$11,"&gt;"&amp;Dados!A78,Projetos!$D$2:$D$11,"BRL")</f>
        <v>-1.1433404109669783E-12</v>
      </c>
      <c r="E78" s="18">
        <f t="shared" ca="1" si="4"/>
        <v>251155.880389108</v>
      </c>
      <c r="G78" s="45">
        <f t="shared" ca="1" si="7"/>
        <v>368154.31154158164</v>
      </c>
      <c r="H78" s="18">
        <f>-SUMIFS(Projetos!$F$2:$F$11,Projetos!$D$2:$D$11,"USD",Projetos!$N$2:$N$11,Dados!$A78)</f>
        <v>0</v>
      </c>
      <c r="I78" s="45">
        <f ca="1">(G78+H78)*((Indicadores_Economicos!D$2+1)^(1/12)-1)</f>
        <v>1205.2414156817288</v>
      </c>
      <c r="J78" s="18">
        <f ca="1">SUMIFS(Projetos!$G$2:$G$11,Projetos!$K$2:$K$11,"&lt;="&amp;Dados!$A78,Projetos!$N$2:$N$11,"&gt;"&amp;Dados!$A78,Projetos!$D$2:$D$11,"USD")</f>
        <v>-1.9055673516116306E-12</v>
      </c>
      <c r="K78" s="18">
        <f t="shared" ca="1" si="5"/>
        <v>369359.55295726337</v>
      </c>
    </row>
    <row r="79" spans="1:11" x14ac:dyDescent="0.2">
      <c r="A79" s="45">
        <f t="shared" ca="1" si="6"/>
        <v>251155.880389108</v>
      </c>
      <c r="B79" s="18">
        <f>-SUMIFS(Projetos!$F$2:$F$11,Projetos!$D$2:$D$11,"BRL",Projetos!$N$2:$N$11,Dados!$A79)</f>
        <v>0</v>
      </c>
      <c r="C79" s="45">
        <f ca="1">(A79+B79)*((Indicadores_Economicos!D$2+1)^(1/12)-1)</f>
        <v>822.21899716301505</v>
      </c>
      <c r="D79" s="18">
        <f ca="1">SUMIFS(Projetos!$G$2:$G$11,Projetos!$K$2:$K$11,"&lt;="&amp;Dados!$A79,Projetos!$N$2:$N$11,"&gt;"&amp;Dados!A79,Projetos!$D$2:$D$11,"BRL")</f>
        <v>-1.1433404109669783E-12</v>
      </c>
      <c r="E79" s="18">
        <f t="shared" ca="1" si="4"/>
        <v>251978.09938627103</v>
      </c>
      <c r="G79" s="45">
        <f t="shared" ca="1" si="7"/>
        <v>369359.55295726337</v>
      </c>
      <c r="H79" s="18">
        <f>-SUMIFS(Projetos!$F$2:$F$11,Projetos!$D$2:$D$11,"USD",Projetos!$N$2:$N$11,Dados!$A79)</f>
        <v>0</v>
      </c>
      <c r="I79" s="45">
        <f ca="1">(G79+H79)*((Indicadores_Economicos!D$2+1)^(1/12)-1)</f>
        <v>1209.1870624513997</v>
      </c>
      <c r="J79" s="18">
        <f ca="1">SUMIFS(Projetos!$G$2:$G$11,Projetos!$K$2:$K$11,"&lt;="&amp;Dados!$A79,Projetos!$N$2:$N$11,"&gt;"&amp;Dados!$A79,Projetos!$D$2:$D$11,"USD")</f>
        <v>-1.9055673516116306E-12</v>
      </c>
      <c r="K79" s="18">
        <f t="shared" ca="1" si="5"/>
        <v>370568.74001971475</v>
      </c>
    </row>
    <row r="80" spans="1:11" x14ac:dyDescent="0.2">
      <c r="A80" s="45">
        <f t="shared" ca="1" si="6"/>
        <v>251978.09938627103</v>
      </c>
      <c r="B80" s="18">
        <f>-SUMIFS(Projetos!$F$2:$F$11,Projetos!$D$2:$D$11,"BRL",Projetos!$N$2:$N$11,Dados!$A80)</f>
        <v>0</v>
      </c>
      <c r="C80" s="45">
        <f ca="1">(A80+B80)*((Indicadores_Economicos!D$2+1)^(1/12)-1)</f>
        <v>824.91072820370732</v>
      </c>
      <c r="D80" s="18">
        <f ca="1">SUMIFS(Projetos!$G$2:$G$11,Projetos!$K$2:$K$11,"&lt;="&amp;Dados!$A80,Projetos!$N$2:$N$11,"&gt;"&amp;Dados!A80,Projetos!$D$2:$D$11,"BRL")</f>
        <v>-1.1433404109669783E-12</v>
      </c>
      <c r="E80" s="18">
        <f t="shared" ca="1" si="4"/>
        <v>252803.01011447475</v>
      </c>
      <c r="G80" s="45">
        <f t="shared" ca="1" si="7"/>
        <v>370568.74001971475</v>
      </c>
      <c r="H80" s="18">
        <f>-SUMIFS(Projetos!$F$2:$F$11,Projetos!$D$2:$D$11,"USD",Projetos!$N$2:$N$11,Dados!$A80)</f>
        <v>0</v>
      </c>
      <c r="I80" s="45">
        <f ca="1">(G80+H80)*((Indicadores_Economicos!D$2+1)^(1/12)-1)</f>
        <v>1213.1456262418671</v>
      </c>
      <c r="J80" s="18">
        <f ca="1">SUMIFS(Projetos!$G$2:$G$11,Projetos!$K$2:$K$11,"&lt;="&amp;Dados!$A80,Projetos!$N$2:$N$11,"&gt;"&amp;Dados!$A80,Projetos!$D$2:$D$11,"USD")</f>
        <v>-1.9055673516116306E-12</v>
      </c>
      <c r="K80" s="18">
        <f t="shared" ca="1" si="5"/>
        <v>371781.88564595662</v>
      </c>
    </row>
    <row r="81" spans="1:11" x14ac:dyDescent="0.2">
      <c r="A81" s="45">
        <f t="shared" ca="1" si="6"/>
        <v>252803.01011447475</v>
      </c>
      <c r="B81" s="18">
        <f>-SUMIFS(Projetos!$F$2:$F$11,Projetos!$D$2:$D$11,"BRL",Projetos!$N$2:$N$11,Dados!$A81)</f>
        <v>0</v>
      </c>
      <c r="C81" s="45">
        <f ca="1">(A81+B81)*((Indicadores_Economicos!D$2+1)^(1/12)-1)</f>
        <v>827.61127127139048</v>
      </c>
      <c r="D81" s="18">
        <f ca="1">SUMIFS(Projetos!$G$2:$G$11,Projetos!$K$2:$K$11,"&lt;="&amp;Dados!$A81,Projetos!$N$2:$N$11,"&gt;"&amp;Dados!A81,Projetos!$D$2:$D$11,"BRL")</f>
        <v>-1.1433404109669783E-12</v>
      </c>
      <c r="E81" s="18">
        <f t="shared" ca="1" si="4"/>
        <v>253630.62138574614</v>
      </c>
      <c r="G81" s="45">
        <f t="shared" ca="1" si="7"/>
        <v>371781.88564595662</v>
      </c>
      <c r="H81" s="18">
        <f>-SUMIFS(Projetos!$F$2:$F$11,Projetos!$D$2:$D$11,"USD",Projetos!$N$2:$N$11,Dados!$A81)</f>
        <v>0</v>
      </c>
      <c r="I81" s="45">
        <f ca="1">(G81+H81)*((Indicadores_Economicos!D$2+1)^(1/12)-1)</f>
        <v>1217.1171493400957</v>
      </c>
      <c r="J81" s="18">
        <f ca="1">SUMIFS(Projetos!$G$2:$G$11,Projetos!$K$2:$K$11,"&lt;="&amp;Dados!$A81,Projetos!$N$2:$N$11,"&gt;"&amp;Dados!$A81,Projetos!$D$2:$D$11,"USD")</f>
        <v>-1.9055673516116306E-12</v>
      </c>
      <c r="K81" s="18">
        <f t="shared" ca="1" si="5"/>
        <v>372999.00279529672</v>
      </c>
    </row>
    <row r="82" spans="1:11" x14ac:dyDescent="0.2">
      <c r="A82" s="45">
        <f t="shared" ca="1" si="6"/>
        <v>253630.62138574614</v>
      </c>
      <c r="B82" s="18">
        <f>-SUMIFS(Projetos!$F$2:$F$11,Projetos!$D$2:$D$11,"BRL",Projetos!$N$2:$N$11,Dados!$A82)</f>
        <v>0</v>
      </c>
      <c r="C82" s="45">
        <f ca="1">(A82+B82)*((Indicadores_Economicos!D$2+1)^(1/12)-1)</f>
        <v>830.32065521434788</v>
      </c>
      <c r="D82" s="18">
        <f ca="1">SUMIFS(Projetos!$G$2:$G$11,Projetos!$K$2:$K$11,"&lt;="&amp;Dados!$A82,Projetos!$N$2:$N$11,"&gt;"&amp;Dados!A82,Projetos!$D$2:$D$11,"BRL")</f>
        <v>-1.1433404109669783E-12</v>
      </c>
      <c r="E82" s="18">
        <f t="shared" ca="1" si="4"/>
        <v>254460.94204096048</v>
      </c>
      <c r="G82" s="45">
        <f t="shared" ca="1" si="7"/>
        <v>372999.00279529672</v>
      </c>
      <c r="H82" s="18">
        <f>-SUMIFS(Projetos!$F$2:$F$11,Projetos!$D$2:$D$11,"USD",Projetos!$N$2:$N$11,Dados!$A82)</f>
        <v>0</v>
      </c>
      <c r="I82" s="45">
        <f ca="1">(G82+H82)*((Indicadores_Economicos!D$2+1)^(1/12)-1)</f>
        <v>1221.101674171487</v>
      </c>
      <c r="J82" s="18">
        <f ca="1">SUMIFS(Projetos!$G$2:$G$11,Projetos!$K$2:$K$11,"&lt;="&amp;Dados!$A82,Projetos!$N$2:$N$11,"&gt;"&amp;Dados!$A82,Projetos!$D$2:$D$11,"USD")</f>
        <v>-1.9055673516116306E-12</v>
      </c>
      <c r="K82" s="18">
        <f t="shared" ca="1" si="5"/>
        <v>374220.10446946824</v>
      </c>
    </row>
    <row r="83" spans="1:11" x14ac:dyDescent="0.2">
      <c r="A83" s="45">
        <f t="shared" ca="1" si="6"/>
        <v>254460.94204096048</v>
      </c>
      <c r="B83" s="18">
        <f>-SUMIFS(Projetos!$F$2:$F$11,Projetos!$D$2:$D$11,"BRL",Projetos!$N$2:$N$11,Dados!$A83)</f>
        <v>0</v>
      </c>
      <c r="C83" s="45">
        <f ca="1">(A83+B83)*((Indicadores_Economicos!D$2+1)^(1/12)-1)</f>
        <v>833.03890897530459</v>
      </c>
      <c r="D83" s="18">
        <f ca="1">SUMIFS(Projetos!$G$2:$G$11,Projetos!$K$2:$K$11,"&lt;="&amp;Dados!$A83,Projetos!$N$2:$N$11,"&gt;"&amp;Dados!A83,Projetos!$D$2:$D$11,"BRL")</f>
        <v>-1.1433404109669783E-12</v>
      </c>
      <c r="E83" s="18">
        <f t="shared" ca="1" si="4"/>
        <v>255293.98094993579</v>
      </c>
      <c r="G83" s="45">
        <f t="shared" ca="1" si="7"/>
        <v>374220.10446946824</v>
      </c>
      <c r="H83" s="18">
        <f>-SUMIFS(Projetos!$F$2:$F$11,Projetos!$D$2:$D$11,"USD",Projetos!$N$2:$N$11,Dados!$A83)</f>
        <v>0</v>
      </c>
      <c r="I83" s="45">
        <f ca="1">(G83+H83)*((Indicadores_Economicos!D$2+1)^(1/12)-1)</f>
        <v>1225.0992433003319</v>
      </c>
      <c r="J83" s="18">
        <f ca="1">SUMIFS(Projetos!$G$2:$G$11,Projetos!$K$2:$K$11,"&lt;="&amp;Dados!$A83,Projetos!$N$2:$N$11,"&gt;"&amp;Dados!$A83,Projetos!$D$2:$D$11,"USD")</f>
        <v>-1.9055673516116306E-12</v>
      </c>
      <c r="K83" s="18">
        <f t="shared" ca="1" si="5"/>
        <v>375445.20371276856</v>
      </c>
    </row>
    <row r="84" spans="1:11" x14ac:dyDescent="0.2">
      <c r="A84" s="45">
        <f t="shared" ca="1" si="6"/>
        <v>255293.98094993579</v>
      </c>
      <c r="B84" s="18">
        <f>-SUMIFS(Projetos!$F$2:$F$11,Projetos!$D$2:$D$11,"BRL",Projetos!$N$2:$N$11,Dados!$A84)</f>
        <v>0</v>
      </c>
      <c r="C84" s="45">
        <f ca="1">(A84+B84)*((Indicadores_Economicos!D$2+1)^(1/12)-1)</f>
        <v>835.76606159173662</v>
      </c>
      <c r="D84" s="18">
        <f ca="1">SUMIFS(Projetos!$G$2:$G$11,Projetos!$K$2:$K$11,"&lt;="&amp;Dados!$A84,Projetos!$N$2:$N$11,"&gt;"&amp;Dados!A84,Projetos!$D$2:$D$11,"BRL")</f>
        <v>-1.1433404109669783E-12</v>
      </c>
      <c r="E84" s="18">
        <f t="shared" ca="1" si="4"/>
        <v>256129.74701152754</v>
      </c>
      <c r="G84" s="45">
        <f t="shared" ca="1" si="7"/>
        <v>375445.20371276856</v>
      </c>
      <c r="H84" s="18">
        <f>-SUMIFS(Projetos!$F$2:$F$11,Projetos!$D$2:$D$11,"USD",Projetos!$N$2:$N$11,Dados!$A84)</f>
        <v>0</v>
      </c>
      <c r="I84" s="45">
        <f ca="1">(G84+H84)*((Indicadores_Economicos!D$2+1)^(1/12)-1)</f>
        <v>1229.1098994302661</v>
      </c>
      <c r="J84" s="18">
        <f ca="1">SUMIFS(Projetos!$G$2:$G$11,Projetos!$K$2:$K$11,"&lt;="&amp;Dados!$A84,Projetos!$N$2:$N$11,"&gt;"&amp;Dados!$A84,Projetos!$D$2:$D$11,"USD")</f>
        <v>-1.9055673516116306E-12</v>
      </c>
      <c r="K84" s="18">
        <f t="shared" ca="1" si="5"/>
        <v>376674.31361219881</v>
      </c>
    </row>
    <row r="85" spans="1:11" x14ac:dyDescent="0.2">
      <c r="A85" s="45">
        <f t="shared" ca="1" si="6"/>
        <v>256129.74701152754</v>
      </c>
      <c r="B85" s="18">
        <f>-SUMIFS(Projetos!$F$2:$F$11,Projetos!$D$2:$D$11,"BRL",Projetos!$N$2:$N$11,Dados!$A85)</f>
        <v>0</v>
      </c>
      <c r="C85" s="45">
        <f ca="1">(A85+B85)*((Indicadores_Economicos!D$2+1)^(1/12)-1)</f>
        <v>838.50214219618124</v>
      </c>
      <c r="D85" s="18">
        <f ca="1">SUMIFS(Projetos!$G$2:$G$11,Projetos!$K$2:$K$11,"&lt;="&amp;Dados!$A85,Projetos!$N$2:$N$11,"&gt;"&amp;Dados!A85,Projetos!$D$2:$D$11,"BRL")</f>
        <v>-1.1433404109669783E-12</v>
      </c>
      <c r="E85" s="18">
        <f t="shared" ca="1" si="4"/>
        <v>256968.24915372371</v>
      </c>
      <c r="G85" s="45">
        <f t="shared" ca="1" si="7"/>
        <v>376674.31361219881</v>
      </c>
      <c r="H85" s="18">
        <f>-SUMIFS(Projetos!$F$2:$F$11,Projetos!$D$2:$D$11,"USD",Projetos!$N$2:$N$11,Dados!$A85)</f>
        <v>0</v>
      </c>
      <c r="I85" s="45">
        <f ca="1">(G85+H85)*((Indicadores_Economicos!D$2+1)^(1/12)-1)</f>
        <v>1233.1336854047254</v>
      </c>
      <c r="J85" s="18">
        <f ca="1">SUMIFS(Projetos!$G$2:$G$11,Projetos!$K$2:$K$11,"&lt;="&amp;Dados!$A85,Projetos!$N$2:$N$11,"&gt;"&amp;Dados!$A85,Projetos!$D$2:$D$11,"USD")</f>
        <v>-1.9055673516116306E-12</v>
      </c>
      <c r="K85" s="18">
        <f t="shared" ca="1" si="5"/>
        <v>377907.44729760353</v>
      </c>
    </row>
    <row r="86" spans="1:11" x14ac:dyDescent="0.2">
      <c r="A86" s="45">
        <f t="shared" ca="1" si="6"/>
        <v>256968.24915372371</v>
      </c>
      <c r="B86" s="18">
        <f>-SUMIFS(Projetos!$F$2:$F$11,Projetos!$D$2:$D$11,"BRL",Projetos!$N$2:$N$11,Dados!$A86)</f>
        <v>-100000</v>
      </c>
      <c r="C86" s="45">
        <f ca="1">(A86+B86)*((Indicadores_Economicos!D$2+1)^(1/12)-1)</f>
        <v>513.87320179665642</v>
      </c>
      <c r="D86" s="18">
        <f ca="1">SUMIFS(Projetos!$G$2:$G$11,Projetos!$K$2:$K$11,"&lt;="&amp;Dados!$A86,Projetos!$N$2:$N$11,"&gt;"&amp;Dados!A86,Projetos!$D$2:$D$11,"BRL")</f>
        <v>-7.6222694064465223E-13</v>
      </c>
      <c r="E86" s="18">
        <f t="shared" ca="1" si="4"/>
        <v>157482.12235552038</v>
      </c>
      <c r="G86" s="45">
        <f t="shared" ca="1" si="7"/>
        <v>377907.44729760353</v>
      </c>
      <c r="H86" s="18">
        <f>-SUMIFS(Projetos!$F$2:$F$11,Projetos!$D$2:$D$11,"USD",Projetos!$N$2:$N$11,Dados!$A86)</f>
        <v>0</v>
      </c>
      <c r="I86" s="45">
        <f ca="1">(G86+H86)*((Indicadores_Economicos!D$2+1)^(1/12)-1)</f>
        <v>1237.1706442074044</v>
      </c>
      <c r="J86" s="18">
        <f ca="1">SUMIFS(Projetos!$G$2:$G$11,Projetos!$K$2:$K$11,"&lt;="&amp;Dados!$A86,Projetos!$N$2:$N$11,"&gt;"&amp;Dados!$A86,Projetos!$D$2:$D$11,"USD")</f>
        <v>-1.9055673516116306E-12</v>
      </c>
      <c r="K86" s="18">
        <f t="shared" ca="1" si="5"/>
        <v>379144.61794181092</v>
      </c>
    </row>
    <row r="87" spans="1:11" x14ac:dyDescent="0.2">
      <c r="A87" s="45">
        <f t="shared" ca="1" si="6"/>
        <v>157482.12235552038</v>
      </c>
      <c r="B87" s="18">
        <f>-SUMIFS(Projetos!$F$2:$F$11,Projetos!$D$2:$D$11,"BRL",Projetos!$N$2:$N$11,Dados!$A87)</f>
        <v>0</v>
      </c>
      <c r="C87" s="45">
        <f ca="1">(A87+B87)*((Indicadores_Economicos!D$2+1)^(1/12)-1)</f>
        <v>515.55548894038407</v>
      </c>
      <c r="D87" s="18">
        <f ca="1">SUMIFS(Projetos!$G$2:$G$11,Projetos!$K$2:$K$11,"&lt;="&amp;Dados!$A87,Projetos!$N$2:$N$11,"&gt;"&amp;Dados!A87,Projetos!$D$2:$D$11,"BRL")</f>
        <v>-7.6222694064465223E-13</v>
      </c>
      <c r="E87" s="18">
        <f t="shared" ca="1" si="4"/>
        <v>157997.67784446076</v>
      </c>
      <c r="G87" s="45">
        <f t="shared" ca="1" si="7"/>
        <v>379144.61794181092</v>
      </c>
      <c r="H87" s="18">
        <f>-SUMIFS(Projetos!$F$2:$F$11,Projetos!$D$2:$D$11,"USD",Projetos!$N$2:$N$11,Dados!$A87)</f>
        <v>0</v>
      </c>
      <c r="I87" s="45">
        <f ca="1">(G87+H87)*((Indicadores_Economicos!D$2+1)^(1/12)-1)</f>
        <v>1241.2208189627147</v>
      </c>
      <c r="J87" s="18">
        <f ca="1">SUMIFS(Projetos!$G$2:$G$11,Projetos!$K$2:$K$11,"&lt;="&amp;Dados!$A87,Projetos!$N$2:$N$11,"&gt;"&amp;Dados!$A87,Projetos!$D$2:$D$11,"USD")</f>
        <v>-1.9055673516116306E-12</v>
      </c>
      <c r="K87" s="18">
        <f t="shared" ca="1" si="5"/>
        <v>380385.83876077365</v>
      </c>
    </row>
    <row r="88" spans="1:11" x14ac:dyDescent="0.2">
      <c r="A88" s="45">
        <f t="shared" ca="1" si="6"/>
        <v>157997.67784446076</v>
      </c>
      <c r="B88" s="18">
        <f>-SUMIFS(Projetos!$F$2:$F$11,Projetos!$D$2:$D$11,"BRL",Projetos!$N$2:$N$11,Dados!$A88)</f>
        <v>0</v>
      </c>
      <c r="C88" s="45">
        <f ca="1">(A88+B88)*((Indicadores_Economicos!D$2+1)^(1/12)-1)</f>
        <v>517.24328345445929</v>
      </c>
      <c r="D88" s="18">
        <f ca="1">SUMIFS(Projetos!$G$2:$G$11,Projetos!$K$2:$K$11,"&lt;="&amp;Dados!$A88,Projetos!$N$2:$N$11,"&gt;"&amp;Dados!A88,Projetos!$D$2:$D$11,"BRL")</f>
        <v>-7.6222694064465223E-13</v>
      </c>
      <c r="E88" s="18">
        <f t="shared" ca="1" si="4"/>
        <v>158514.92112791521</v>
      </c>
      <c r="G88" s="45">
        <f t="shared" ca="1" si="7"/>
        <v>380385.83876077365</v>
      </c>
      <c r="H88" s="18">
        <f>-SUMIFS(Projetos!$F$2:$F$11,Projetos!$D$2:$D$11,"USD",Projetos!$N$2:$N$11,Dados!$A88)</f>
        <v>0</v>
      </c>
      <c r="I88" s="45">
        <f ca="1">(G88+H88)*((Indicadores_Economicos!D$2+1)^(1/12)-1)</f>
        <v>1245.2842529362465</v>
      </c>
      <c r="J88" s="18">
        <f ca="1">SUMIFS(Projetos!$G$2:$G$11,Projetos!$K$2:$K$11,"&lt;="&amp;Dados!$A88,Projetos!$N$2:$N$11,"&gt;"&amp;Dados!$A88,Projetos!$D$2:$D$11,"USD")</f>
        <v>-1.9055673516116306E-12</v>
      </c>
      <c r="K88" s="18">
        <f t="shared" ca="1" si="5"/>
        <v>381631.1230137099</v>
      </c>
    </row>
    <row r="89" spans="1:11" x14ac:dyDescent="0.2">
      <c r="A89" s="45">
        <f t="shared" ca="1" si="6"/>
        <v>158514.92112791521</v>
      </c>
      <c r="B89" s="18">
        <f>-SUMIFS(Projetos!$F$2:$F$11,Projetos!$D$2:$D$11,"BRL",Projetos!$N$2:$N$11,Dados!$A89)</f>
        <v>0</v>
      </c>
      <c r="C89" s="45">
        <f ca="1">(A89+B89)*((Indicadores_Economicos!D$2+1)^(1/12)-1)</f>
        <v>518.9366033685792</v>
      </c>
      <c r="D89" s="18">
        <f ca="1">SUMIFS(Projetos!$G$2:$G$11,Projetos!$K$2:$K$11,"&lt;="&amp;Dados!$A89,Projetos!$N$2:$N$11,"&gt;"&amp;Dados!A89,Projetos!$D$2:$D$11,"BRL")</f>
        <v>-7.6222694064465223E-13</v>
      </c>
      <c r="E89" s="18">
        <f t="shared" ca="1" si="4"/>
        <v>159033.85773128379</v>
      </c>
      <c r="G89" s="45">
        <f t="shared" ca="1" si="7"/>
        <v>381631.1230137099</v>
      </c>
      <c r="H89" s="18">
        <f>-SUMIFS(Projetos!$F$2:$F$11,Projetos!$D$2:$D$11,"USD",Projetos!$N$2:$N$11,Dados!$A89)</f>
        <v>0</v>
      </c>
      <c r="I89" s="45">
        <f ca="1">(G89+H89)*((Indicadores_Economicos!D$2+1)^(1/12)-1)</f>
        <v>1249.3609895352297</v>
      </c>
      <c r="J89" s="18">
        <f ca="1">SUMIFS(Projetos!$G$2:$G$11,Projetos!$K$2:$K$11,"&lt;="&amp;Dados!$A89,Projetos!$N$2:$N$11,"&gt;"&amp;Dados!$A89,Projetos!$D$2:$D$11,"USD")</f>
        <v>-1.9055673516116306E-12</v>
      </c>
      <c r="K89" s="18">
        <f t="shared" ca="1" si="5"/>
        <v>382880.48400324513</v>
      </c>
    </row>
    <row r="90" spans="1:11" x14ac:dyDescent="0.2">
      <c r="A90" s="45">
        <f t="shared" ca="1" si="6"/>
        <v>159033.85773128379</v>
      </c>
      <c r="B90" s="18">
        <f>-SUMIFS(Projetos!$F$2:$F$11,Projetos!$D$2:$D$11,"BRL",Projetos!$N$2:$N$11,Dados!$A90)</f>
        <v>0</v>
      </c>
      <c r="C90" s="45">
        <f ca="1">(A90+B90)*((Indicadores_Economicos!D$2+1)^(1/12)-1)</f>
        <v>520.6354667714661</v>
      </c>
      <c r="D90" s="18">
        <f ca="1">SUMIFS(Projetos!$G$2:$G$11,Projetos!$K$2:$K$11,"&lt;="&amp;Dados!$A90,Projetos!$N$2:$N$11,"&gt;"&amp;Dados!A90,Projetos!$D$2:$D$11,"BRL")</f>
        <v>-7.6222694064465223E-13</v>
      </c>
      <c r="E90" s="18">
        <f t="shared" ca="1" si="4"/>
        <v>159554.49319805525</v>
      </c>
      <c r="G90" s="45">
        <f t="shared" ca="1" si="7"/>
        <v>382880.48400324513</v>
      </c>
      <c r="H90" s="18">
        <f>-SUMIFS(Projetos!$F$2:$F$11,Projetos!$D$2:$D$11,"USD",Projetos!$N$2:$N$11,Dados!$A90)</f>
        <v>0</v>
      </c>
      <c r="I90" s="45">
        <f ca="1">(G90+H90)*((Indicadores_Economicos!D$2+1)^(1/12)-1)</f>
        <v>1253.4510723089986</v>
      </c>
      <c r="J90" s="18">
        <f ca="1">SUMIFS(Projetos!$G$2:$G$11,Projetos!$K$2:$K$11,"&lt;="&amp;Dados!$A90,Projetos!$N$2:$N$11,"&gt;"&amp;Dados!$A90,Projetos!$D$2:$D$11,"USD")</f>
        <v>-1.9055673516116306E-12</v>
      </c>
      <c r="K90" s="18">
        <f t="shared" ca="1" si="5"/>
        <v>384133.93507555412</v>
      </c>
    </row>
    <row r="91" spans="1:11" x14ac:dyDescent="0.2">
      <c r="A91" s="45">
        <f t="shared" ca="1" si="6"/>
        <v>159554.49319805525</v>
      </c>
      <c r="B91" s="18">
        <f>-SUMIFS(Projetos!$F$2:$F$11,Projetos!$D$2:$D$11,"BRL",Projetos!$N$2:$N$11,Dados!$A91)</f>
        <v>0</v>
      </c>
      <c r="C91" s="45">
        <f ca="1">(A91+B91)*((Indicadores_Economicos!D$2+1)^(1/12)-1)</f>
        <v>522.3398918110596</v>
      </c>
      <c r="D91" s="18">
        <f ca="1">SUMIFS(Projetos!$G$2:$G$11,Projetos!$K$2:$K$11,"&lt;="&amp;Dados!$A91,Projetos!$N$2:$N$11,"&gt;"&amp;Dados!A91,Projetos!$D$2:$D$11,"BRL")</f>
        <v>-7.6222694064465223E-13</v>
      </c>
      <c r="E91" s="18">
        <f t="shared" ca="1" si="4"/>
        <v>160076.8330898663</v>
      </c>
      <c r="G91" s="45">
        <f t="shared" ca="1" si="7"/>
        <v>384133.93507555412</v>
      </c>
      <c r="H91" s="18">
        <f>-SUMIFS(Projetos!$F$2:$F$11,Projetos!$D$2:$D$11,"USD",Projetos!$N$2:$N$11,Dados!$A91)</f>
        <v>0</v>
      </c>
      <c r="I91" s="45">
        <f ca="1">(G91+H91)*((Indicadores_Economicos!D$2+1)^(1/12)-1)</f>
        <v>1257.5545449494566</v>
      </c>
      <c r="J91" s="18">
        <f ca="1">SUMIFS(Projetos!$G$2:$G$11,Projetos!$K$2:$K$11,"&lt;="&amp;Dados!$A91,Projetos!$N$2:$N$11,"&gt;"&amp;Dados!$A91,Projetos!$D$2:$D$11,"USD")</f>
        <v>-1.9055673516116306E-12</v>
      </c>
      <c r="K91" s="18">
        <f t="shared" ca="1" si="5"/>
        <v>385391.48962050356</v>
      </c>
    </row>
    <row r="92" spans="1:11" x14ac:dyDescent="0.2">
      <c r="A92" s="45">
        <f t="shared" ca="1" si="6"/>
        <v>160076.8330898663</v>
      </c>
      <c r="B92" s="18">
        <f>-SUMIFS(Projetos!$F$2:$F$11,Projetos!$D$2:$D$11,"BRL",Projetos!$N$2:$N$11,Dados!$A92)</f>
        <v>0</v>
      </c>
      <c r="C92" s="45">
        <f ca="1">(A92+B92)*((Indicadores_Economicos!D$2+1)^(1/12)-1)</f>
        <v>524.04989669471092</v>
      </c>
      <c r="D92" s="18">
        <f ca="1">SUMIFS(Projetos!$G$2:$G$11,Projetos!$K$2:$K$11,"&lt;="&amp;Dados!$A92,Projetos!$N$2:$N$11,"&gt;"&amp;Dados!A92,Projetos!$D$2:$D$11,"BRL")</f>
        <v>-7.6222694064465223E-13</v>
      </c>
      <c r="E92" s="18">
        <f t="shared" ca="1" si="4"/>
        <v>160600.88298656102</v>
      </c>
      <c r="G92" s="45">
        <f t="shared" ca="1" si="7"/>
        <v>385391.48962050356</v>
      </c>
      <c r="H92" s="18">
        <f>-SUMIFS(Projetos!$F$2:$F$11,Projetos!$D$2:$D$11,"USD",Projetos!$N$2:$N$11,Dados!$A92)</f>
        <v>0</v>
      </c>
      <c r="I92" s="45">
        <f ca="1">(G92+H92)*((Indicadores_Economicos!D$2+1)^(1/12)-1)</f>
        <v>1261.6714512915426</v>
      </c>
      <c r="J92" s="18">
        <f ca="1">SUMIFS(Projetos!$G$2:$G$11,Projetos!$K$2:$K$11,"&lt;="&amp;Dados!$A92,Projetos!$N$2:$N$11,"&gt;"&amp;Dados!$A92,Projetos!$D$2:$D$11,"USD")</f>
        <v>-1.9055673516116306E-12</v>
      </c>
      <c r="K92" s="18">
        <f t="shared" ca="1" si="5"/>
        <v>386653.1610717951</v>
      </c>
    </row>
    <row r="93" spans="1:11" x14ac:dyDescent="0.2">
      <c r="A93" s="45">
        <f t="shared" ca="1" si="6"/>
        <v>160600.88298656102</v>
      </c>
      <c r="B93" s="18">
        <f>-SUMIFS(Projetos!$F$2:$F$11,Projetos!$D$2:$D$11,"BRL",Projetos!$N$2:$N$11,Dados!$A93)</f>
        <v>0</v>
      </c>
      <c r="C93" s="45">
        <f ca="1">(A93+B93)*((Indicadores_Economicos!D$2+1)^(1/12)-1)</f>
        <v>525.76549968937763</v>
      </c>
      <c r="D93" s="18">
        <f ca="1">SUMIFS(Projetos!$G$2:$G$11,Projetos!$K$2:$K$11,"&lt;="&amp;Dados!$A93,Projetos!$N$2:$N$11,"&gt;"&amp;Dados!A93,Projetos!$D$2:$D$11,"BRL")</f>
        <v>-7.6222694064465223E-13</v>
      </c>
      <c r="E93" s="18">
        <f t="shared" ca="1" si="4"/>
        <v>161126.6484862504</v>
      </c>
      <c r="G93" s="45">
        <f t="shared" ca="1" si="7"/>
        <v>386653.1610717951</v>
      </c>
      <c r="H93" s="18">
        <f>-SUMIFS(Projetos!$F$2:$F$11,Projetos!$D$2:$D$11,"USD",Projetos!$N$2:$N$11,Dados!$A93)</f>
        <v>0</v>
      </c>
      <c r="I93" s="45">
        <f ca="1">(G93+H93)*((Indicadores_Economicos!D$2+1)^(1/12)-1)</f>
        <v>1265.8018353137004</v>
      </c>
      <c r="J93" s="18">
        <f ca="1">SUMIFS(Projetos!$G$2:$G$11,Projetos!$K$2:$K$11,"&lt;="&amp;Dados!$A93,Projetos!$N$2:$N$11,"&gt;"&amp;Dados!$A93,Projetos!$D$2:$D$11,"USD")</f>
        <v>-1.9055673516116306E-12</v>
      </c>
      <c r="K93" s="18">
        <f t="shared" ca="1" si="5"/>
        <v>387918.96290710877</v>
      </c>
    </row>
    <row r="94" spans="1:11" x14ac:dyDescent="0.2">
      <c r="A94" s="45">
        <f t="shared" ca="1" si="6"/>
        <v>161126.6484862504</v>
      </c>
      <c r="B94" s="18">
        <f>-SUMIFS(Projetos!$F$2:$F$11,Projetos!$D$2:$D$11,"BRL",Projetos!$N$2:$N$11,Dados!$A94)</f>
        <v>0</v>
      </c>
      <c r="C94" s="45">
        <f ca="1">(A94+B94)*((Indicadores_Economicos!D$2+1)^(1/12)-1)</f>
        <v>527.4867191218184</v>
      </c>
      <c r="D94" s="18">
        <f ca="1">SUMIFS(Projetos!$G$2:$G$11,Projetos!$K$2:$K$11,"&lt;="&amp;Dados!$A94,Projetos!$N$2:$N$11,"&gt;"&amp;Dados!A94,Projetos!$D$2:$D$11,"BRL")</f>
        <v>-7.6222694064465223E-13</v>
      </c>
      <c r="E94" s="18">
        <f t="shared" ca="1" si="4"/>
        <v>161654.13520537221</v>
      </c>
      <c r="G94" s="45">
        <f t="shared" ca="1" si="7"/>
        <v>387918.96290710877</v>
      </c>
      <c r="H94" s="18">
        <f>-SUMIFS(Projetos!$F$2:$F$11,Projetos!$D$2:$D$11,"USD",Projetos!$N$2:$N$11,Dados!$A94)</f>
        <v>0</v>
      </c>
      <c r="I94" s="45">
        <f ca="1">(G94+H94)*((Indicadores_Economicos!D$2+1)^(1/12)-1)</f>
        <v>1269.9457411383471</v>
      </c>
      <c r="J94" s="18">
        <f ca="1">SUMIFS(Projetos!$G$2:$G$11,Projetos!$K$2:$K$11,"&lt;="&amp;Dados!$A94,Projetos!$N$2:$N$11,"&gt;"&amp;Dados!$A94,Projetos!$D$2:$D$11,"USD")</f>
        <v>-1.9055673516116306E-12</v>
      </c>
      <c r="K94" s="18">
        <f t="shared" ca="1" si="5"/>
        <v>389188.90864824713</v>
      </c>
    </row>
    <row r="95" spans="1:11" x14ac:dyDescent="0.2">
      <c r="A95" s="45">
        <f t="shared" ca="1" si="6"/>
        <v>161654.13520537221</v>
      </c>
      <c r="B95" s="18">
        <f>-SUMIFS(Projetos!$F$2:$F$11,Projetos!$D$2:$D$11,"BRL",Projetos!$N$2:$N$11,Dados!$A95)</f>
        <v>0</v>
      </c>
      <c r="C95" s="45">
        <f ca="1">(A95+B95)*((Indicadores_Economicos!D$2+1)^(1/12)-1)</f>
        <v>529.21357337878908</v>
      </c>
      <c r="D95" s="18">
        <f ca="1">SUMIFS(Projetos!$G$2:$G$11,Projetos!$K$2:$K$11,"&lt;="&amp;Dados!$A95,Projetos!$N$2:$N$11,"&gt;"&amp;Dados!A95,Projetos!$D$2:$D$11,"BRL")</f>
        <v>-7.6222694064465223E-13</v>
      </c>
      <c r="E95" s="18">
        <f t="shared" ca="1" si="4"/>
        <v>162183.34877875101</v>
      </c>
      <c r="G95" s="45">
        <f t="shared" ca="1" si="7"/>
        <v>389188.90864824713</v>
      </c>
      <c r="H95" s="18">
        <f>-SUMIFS(Projetos!$F$2:$F$11,Projetos!$D$2:$D$11,"USD",Projetos!$N$2:$N$11,Dados!$A95)</f>
        <v>0</v>
      </c>
      <c r="I95" s="45">
        <f ca="1">(G95+H95)*((Indicadores_Economicos!D$2+1)^(1/12)-1)</f>
        <v>1274.1032130323458</v>
      </c>
      <c r="J95" s="18">
        <f ca="1">SUMIFS(Projetos!$G$2:$G$11,Projetos!$K$2:$K$11,"&lt;="&amp;Dados!$A95,Projetos!$N$2:$N$11,"&gt;"&amp;Dados!$A95,Projetos!$D$2:$D$11,"USD")</f>
        <v>-1.9055673516116306E-12</v>
      </c>
      <c r="K95" s="18">
        <f t="shared" ca="1" si="5"/>
        <v>390463.01186127949</v>
      </c>
    </row>
    <row r="96" spans="1:11" x14ac:dyDescent="0.2">
      <c r="A96" s="45">
        <f t="shared" ca="1" si="6"/>
        <v>162183.34877875101</v>
      </c>
      <c r="B96" s="18">
        <f>-SUMIFS(Projetos!$F$2:$F$11,Projetos!$D$2:$D$11,"BRL",Projetos!$N$2:$N$11,Dados!$A96)</f>
        <v>0</v>
      </c>
      <c r="C96" s="45">
        <f ca="1">(A96+B96)*((Indicadores_Economicos!D$2+1)^(1/12)-1)</f>
        <v>530.94608090723887</v>
      </c>
      <c r="D96" s="18">
        <f ca="1">SUMIFS(Projetos!$G$2:$G$11,Projetos!$K$2:$K$11,"&lt;="&amp;Dados!$A96,Projetos!$N$2:$N$11,"&gt;"&amp;Dados!A96,Projetos!$D$2:$D$11,"BRL")</f>
        <v>-7.6222694064465223E-13</v>
      </c>
      <c r="E96" s="18">
        <f t="shared" ca="1" si="4"/>
        <v>162714.29485965826</v>
      </c>
      <c r="G96" s="45">
        <f t="shared" ca="1" si="7"/>
        <v>390463.01186127949</v>
      </c>
      <c r="H96" s="18">
        <f>-SUMIFS(Projetos!$F$2:$F$11,Projetos!$D$2:$D$11,"USD",Projetos!$N$2:$N$11,Dados!$A96)</f>
        <v>0</v>
      </c>
      <c r="I96" s="45">
        <f ca="1">(G96+H96)*((Indicadores_Economicos!D$2+1)^(1/12)-1)</f>
        <v>1278.2742954074772</v>
      </c>
      <c r="J96" s="18">
        <f ca="1">SUMIFS(Projetos!$G$2:$G$11,Projetos!$K$2:$K$11,"&lt;="&amp;Dados!$A96,Projetos!$N$2:$N$11,"&gt;"&amp;Dados!$A96,Projetos!$D$2:$D$11,"USD")</f>
        <v>-1.9055673516116306E-12</v>
      </c>
      <c r="K96" s="18">
        <f t="shared" ca="1" si="5"/>
        <v>391741.28615668695</v>
      </c>
    </row>
    <row r="97" spans="1:11" x14ac:dyDescent="0.2">
      <c r="A97" s="45">
        <f t="shared" ca="1" si="6"/>
        <v>162714.29485965826</v>
      </c>
      <c r="B97" s="18">
        <f>-SUMIFS(Projetos!$F$2:$F$11,Projetos!$D$2:$D$11,"BRL",Projetos!$N$2:$N$11,Dados!$A97)</f>
        <v>0</v>
      </c>
      <c r="C97" s="45">
        <f ca="1">(A97+B97)*((Indicadores_Economicos!D$2+1)^(1/12)-1)</f>
        <v>532.68426021450762</v>
      </c>
      <c r="D97" s="18">
        <f ca="1">SUMIFS(Projetos!$G$2:$G$11,Projetos!$K$2:$K$11,"&lt;="&amp;Dados!$A97,Projetos!$N$2:$N$11,"&gt;"&amp;Dados!A97,Projetos!$D$2:$D$11,"BRL")</f>
        <v>-7.6222694064465223E-13</v>
      </c>
      <c r="E97" s="18">
        <f t="shared" ca="1" si="4"/>
        <v>163246.97911987276</v>
      </c>
      <c r="G97" s="45">
        <f t="shared" ca="1" si="7"/>
        <v>391741.28615668695</v>
      </c>
      <c r="H97" s="18">
        <f>-SUMIFS(Projetos!$F$2:$F$11,Projetos!$D$2:$D$11,"USD",Projetos!$N$2:$N$11,Dados!$A97)</f>
        <v>0</v>
      </c>
      <c r="I97" s="45">
        <f ca="1">(G97+H97)*((Indicadores_Economicos!D$2+1)^(1/12)-1)</f>
        <v>1282.4590328209149</v>
      </c>
      <c r="J97" s="18">
        <f ca="1">SUMIFS(Projetos!$G$2:$G$11,Projetos!$K$2:$K$11,"&lt;="&amp;Dados!$A97,Projetos!$N$2:$N$11,"&gt;"&amp;Dados!$A97,Projetos!$D$2:$D$11,"USD")</f>
        <v>-1.9055673516116306E-12</v>
      </c>
      <c r="K97" s="18">
        <f t="shared" ca="1" si="5"/>
        <v>393023.74518950784</v>
      </c>
    </row>
    <row r="98" spans="1:11" x14ac:dyDescent="0.2">
      <c r="A98" s="45">
        <f t="shared" ca="1" si="6"/>
        <v>163246.97911987276</v>
      </c>
      <c r="B98" s="18">
        <f>-SUMIFS(Projetos!$F$2:$F$11,Projetos!$D$2:$D$11,"BRL",Projetos!$N$2:$N$11,Dados!$A98)</f>
        <v>0</v>
      </c>
      <c r="C98" s="45">
        <f ca="1">(A98+B98)*((Indicadores_Economicos!D$2+1)^(1/12)-1)</f>
        <v>534.428129868523</v>
      </c>
      <c r="D98" s="18">
        <f ca="1">SUMIFS(Projetos!$G$2:$G$11,Projetos!$K$2:$K$11,"&lt;="&amp;Dados!$A98,Projetos!$N$2:$N$11,"&gt;"&amp;Dados!A98,Projetos!$D$2:$D$11,"BRL")</f>
        <v>-7.6222694064465223E-13</v>
      </c>
      <c r="E98" s="18">
        <f t="shared" ca="1" si="4"/>
        <v>163781.40724974129</v>
      </c>
      <c r="G98" s="45">
        <f t="shared" ca="1" si="7"/>
        <v>393023.74518950784</v>
      </c>
      <c r="H98" s="18">
        <f>-SUMIFS(Projetos!$F$2:$F$11,Projetos!$D$2:$D$11,"USD",Projetos!$N$2:$N$11,Dados!$A98)</f>
        <v>0</v>
      </c>
      <c r="I98" s="45">
        <f ca="1">(G98+H98)*((Indicadores_Economicos!D$2+1)^(1/12)-1)</f>
        <v>1286.6574699757011</v>
      </c>
      <c r="J98" s="18">
        <f ca="1">SUMIFS(Projetos!$G$2:$G$11,Projetos!$K$2:$K$11,"&lt;="&amp;Dados!$A98,Projetos!$N$2:$N$11,"&gt;"&amp;Dados!$A98,Projetos!$D$2:$D$11,"USD")</f>
        <v>-1.9055673516116306E-12</v>
      </c>
      <c r="K98" s="18">
        <f t="shared" ca="1" si="5"/>
        <v>394310.40265948354</v>
      </c>
    </row>
    <row r="99" spans="1:11" x14ac:dyDescent="0.2">
      <c r="A99" s="45">
        <f t="shared" ca="1" si="6"/>
        <v>163781.40724974129</v>
      </c>
      <c r="B99" s="18">
        <f>-SUMIFS(Projetos!$F$2:$F$11,Projetos!$D$2:$D$11,"BRL",Projetos!$N$2:$N$11,Dados!$A99)</f>
        <v>0</v>
      </c>
      <c r="C99" s="45">
        <f ca="1">(A99+B99)*((Indicadores_Economicos!D$2+1)^(1/12)-1)</f>
        <v>536.17770849799979</v>
      </c>
      <c r="D99" s="18">
        <f ca="1">SUMIFS(Projetos!$G$2:$G$11,Projetos!$K$2:$K$11,"&lt;="&amp;Dados!$A99,Projetos!$N$2:$N$11,"&gt;"&amp;Dados!A99,Projetos!$D$2:$D$11,"BRL")</f>
        <v>-7.6222694064465223E-13</v>
      </c>
      <c r="E99" s="18">
        <f t="shared" ca="1" si="4"/>
        <v>164317.58495823928</v>
      </c>
      <c r="G99" s="45">
        <f t="shared" ca="1" si="7"/>
        <v>394310.40265948354</v>
      </c>
      <c r="H99" s="18">
        <f>-SUMIFS(Projetos!$F$2:$F$11,Projetos!$D$2:$D$11,"USD",Projetos!$N$2:$N$11,Dados!$A99)</f>
        <v>0</v>
      </c>
      <c r="I99" s="45">
        <f ca="1">(G99+H99)*((Indicadores_Economicos!D$2+1)^(1/12)-1)</f>
        <v>1290.8696517212238</v>
      </c>
      <c r="J99" s="18">
        <f ca="1">SUMIFS(Projetos!$G$2:$G$11,Projetos!$K$2:$K$11,"&lt;="&amp;Dados!$A99,Projetos!$N$2:$N$11,"&gt;"&amp;Dados!$A99,Projetos!$D$2:$D$11,"USD")</f>
        <v>-1.9055673516116306E-12</v>
      </c>
      <c r="K99" s="18">
        <f t="shared" ca="1" si="5"/>
        <v>395601.27231120475</v>
      </c>
    </row>
    <row r="100" spans="1:11" x14ac:dyDescent="0.2">
      <c r="A100" s="45">
        <f t="shared" ca="1" si="6"/>
        <v>164317.58495823928</v>
      </c>
      <c r="B100" s="18">
        <f>-SUMIFS(Projetos!$F$2:$F$11,Projetos!$D$2:$D$11,"BRL",Projetos!$N$2:$N$11,Dados!$A100)</f>
        <v>0</v>
      </c>
      <c r="C100" s="45">
        <f ca="1">(A100+B100)*((Indicadores_Economicos!D$2+1)^(1/12)-1)</f>
        <v>537.93301479263789</v>
      </c>
      <c r="D100" s="18">
        <f ca="1">SUMIFS(Projetos!$G$2:$G$11,Projetos!$K$2:$K$11,"&lt;="&amp;Dados!$A100,Projetos!$N$2:$N$11,"&gt;"&amp;Dados!A100,Projetos!$D$2:$D$11,"BRL")</f>
        <v>-7.6222694064465223E-13</v>
      </c>
      <c r="E100" s="18">
        <f t="shared" ca="1" si="4"/>
        <v>164855.51797303194</v>
      </c>
      <c r="G100" s="45">
        <f t="shared" ca="1" si="7"/>
        <v>395601.27231120475</v>
      </c>
      <c r="H100" s="18">
        <f>-SUMIFS(Projetos!$F$2:$F$11,Projetos!$D$2:$D$11,"USD",Projetos!$N$2:$N$11,Dados!$A100)</f>
        <v>0</v>
      </c>
      <c r="I100" s="45">
        <f ca="1">(G100+H100)*((Indicadores_Economicos!D$2+1)^(1/12)-1)</f>
        <v>1295.095623053697</v>
      </c>
      <c r="J100" s="18">
        <f ca="1">SUMIFS(Projetos!$G$2:$G$11,Projetos!$K$2:$K$11,"&lt;="&amp;Dados!$A100,Projetos!$N$2:$N$11,"&gt;"&amp;Dados!$A100,Projetos!$D$2:$D$11,"USD")</f>
        <v>-1.9055673516116306E-12</v>
      </c>
      <c r="K100" s="18">
        <f t="shared" ca="1" si="5"/>
        <v>396896.36793425842</v>
      </c>
    </row>
    <row r="101" spans="1:11" x14ac:dyDescent="0.2">
      <c r="A101" s="45">
        <f t="shared" ca="1" si="6"/>
        <v>164855.51797303194</v>
      </c>
      <c r="B101" s="18">
        <f>-SUMIFS(Projetos!$F$2:$F$11,Projetos!$D$2:$D$11,"BRL",Projetos!$N$2:$N$11,Dados!$A101)</f>
        <v>0</v>
      </c>
      <c r="C101" s="45">
        <f ca="1">(A101+B101)*((Indicadores_Economicos!D$2+1)^(1/12)-1)</f>
        <v>539.6940675033228</v>
      </c>
      <c r="D101" s="18">
        <f ca="1">SUMIFS(Projetos!$G$2:$G$11,Projetos!$K$2:$K$11,"&lt;="&amp;Dados!$A101,Projetos!$N$2:$N$11,"&gt;"&amp;Dados!A101,Projetos!$D$2:$D$11,"BRL")</f>
        <v>-7.6222694064465223E-13</v>
      </c>
      <c r="E101" s="18">
        <f t="shared" ca="1" si="4"/>
        <v>165395.21204053526</v>
      </c>
      <c r="G101" s="45">
        <f t="shared" ca="1" si="7"/>
        <v>396896.36793425842</v>
      </c>
      <c r="H101" s="18">
        <f>-SUMIFS(Projetos!$F$2:$F$11,Projetos!$D$2:$D$11,"USD",Projetos!$N$2:$N$11,Dados!$A101)</f>
        <v>0</v>
      </c>
      <c r="I101" s="45">
        <f ca="1">(G101+H101)*((Indicadores_Economicos!D$2+1)^(1/12)-1)</f>
        <v>1299.3354291166395</v>
      </c>
      <c r="J101" s="18">
        <f ca="1">SUMIFS(Projetos!$G$2:$G$11,Projetos!$K$2:$K$11,"&lt;="&amp;Dados!$A101,Projetos!$N$2:$N$11,"&gt;"&amp;Dados!$A101,Projetos!$D$2:$D$11,"USD")</f>
        <v>-1.9055673516116306E-12</v>
      </c>
      <c r="K101" s="18">
        <f t="shared" ca="1" si="5"/>
        <v>398195.70336337504</v>
      </c>
    </row>
    <row r="102" spans="1:11" x14ac:dyDescent="0.2">
      <c r="A102" s="45">
        <f t="shared" ca="1" si="6"/>
        <v>165395.21204053526</v>
      </c>
      <c r="B102" s="18">
        <f>-SUMIFS(Projetos!$F$2:$F$11,Projetos!$D$2:$D$11,"BRL",Projetos!$N$2:$N$11,Dados!$A102)</f>
        <v>0</v>
      </c>
      <c r="C102" s="45">
        <f ca="1">(A102+B102)*((Indicadores_Economicos!D$2+1)^(1/12)-1)</f>
        <v>541.46088544232521</v>
      </c>
      <c r="D102" s="18">
        <f ca="1">SUMIFS(Projetos!$G$2:$G$11,Projetos!$K$2:$K$11,"&lt;="&amp;Dados!$A102,Projetos!$N$2:$N$11,"&gt;"&amp;Dados!A102,Projetos!$D$2:$D$11,"BRL")</f>
        <v>-7.6222694064465223E-13</v>
      </c>
      <c r="E102" s="18">
        <f t="shared" ca="1" si="4"/>
        <v>165936.67292597759</v>
      </c>
      <c r="G102" s="45">
        <f t="shared" ca="1" si="7"/>
        <v>398195.70336337504</v>
      </c>
      <c r="H102" s="18">
        <f>-SUMIFS(Projetos!$F$2:$F$11,Projetos!$D$2:$D$11,"USD",Projetos!$N$2:$N$11,Dados!$A102)</f>
        <v>0</v>
      </c>
      <c r="I102" s="45">
        <f ca="1">(G102+H102)*((Indicadores_Economicos!D$2+1)^(1/12)-1)</f>
        <v>1303.5891152013589</v>
      </c>
      <c r="J102" s="18">
        <f ca="1">SUMIFS(Projetos!$G$2:$G$11,Projetos!$K$2:$K$11,"&lt;="&amp;Dados!$A102,Projetos!$N$2:$N$11,"&gt;"&amp;Dados!$A102,Projetos!$D$2:$D$11,"USD")</f>
        <v>-1.9055673516116306E-12</v>
      </c>
      <c r="K102" s="18">
        <f t="shared" ca="1" si="5"/>
        <v>399499.29247857642</v>
      </c>
    </row>
    <row r="103" spans="1:11" x14ac:dyDescent="0.2">
      <c r="A103" s="45">
        <f t="shared" ca="1" si="6"/>
        <v>165936.67292597759</v>
      </c>
      <c r="B103" s="18">
        <f>-SUMIFS(Projetos!$F$2:$F$11,Projetos!$D$2:$D$11,"BRL",Projetos!$N$2:$N$11,Dados!$A103)</f>
        <v>0</v>
      </c>
      <c r="C103" s="45">
        <f ca="1">(A103+B103)*((Indicadores_Economicos!D$2+1)^(1/12)-1)</f>
        <v>543.23348748350236</v>
      </c>
      <c r="D103" s="18">
        <f ca="1">SUMIFS(Projetos!$G$2:$G$11,Projetos!$K$2:$K$11,"&lt;="&amp;Dados!$A103,Projetos!$N$2:$N$11,"&gt;"&amp;Dados!A103,Projetos!$D$2:$D$11,"BRL")</f>
        <v>-7.6222694064465223E-13</v>
      </c>
      <c r="E103" s="18">
        <f t="shared" ca="1" si="4"/>
        <v>166479.90641346108</v>
      </c>
      <c r="G103" s="45">
        <f t="shared" ca="1" si="7"/>
        <v>399499.29247857642</v>
      </c>
      <c r="H103" s="18">
        <f>-SUMIFS(Projetos!$F$2:$F$11,Projetos!$D$2:$D$11,"USD",Projetos!$N$2:$N$11,Dados!$A103)</f>
        <v>0</v>
      </c>
      <c r="I103" s="45">
        <f ca="1">(G103+H103)*((Indicadores_Economicos!D$2+1)^(1/12)-1)</f>
        <v>1307.8567267474352</v>
      </c>
      <c r="J103" s="18">
        <f ca="1">SUMIFS(Projetos!$G$2:$G$11,Projetos!$K$2:$K$11,"&lt;="&amp;Dados!$A103,Projetos!$N$2:$N$11,"&gt;"&amp;Dados!$A103,Projetos!$D$2:$D$11,"USD")</f>
        <v>-1.9055673516116306E-12</v>
      </c>
      <c r="K103" s="18">
        <f t="shared" ca="1" si="5"/>
        <v>400807.14920532383</v>
      </c>
    </row>
    <row r="104" spans="1:11" x14ac:dyDescent="0.2">
      <c r="A104" s="45">
        <f t="shared" ca="1" si="6"/>
        <v>166479.90641346108</v>
      </c>
      <c r="B104" s="18">
        <f>-SUMIFS(Projetos!$F$2:$F$11,Projetos!$D$2:$D$11,"BRL",Projetos!$N$2:$N$11,Dados!$A104)</f>
        <v>0</v>
      </c>
      <c r="C104" s="45">
        <f ca="1">(A104+B104)*((Indicadores_Economicos!D$2+1)^(1/12)-1)</f>
        <v>545.01189256249972</v>
      </c>
      <c r="D104" s="18">
        <f ca="1">SUMIFS(Projetos!$G$2:$G$11,Projetos!$K$2:$K$11,"&lt;="&amp;Dados!$A104,Projetos!$N$2:$N$11,"&gt;"&amp;Dados!A104,Projetos!$D$2:$D$11,"BRL")</f>
        <v>-7.6222694064465223E-13</v>
      </c>
      <c r="E104" s="18">
        <f t="shared" ca="1" si="4"/>
        <v>167024.91830602358</v>
      </c>
      <c r="G104" s="45">
        <f t="shared" ca="1" si="7"/>
        <v>400807.14920532383</v>
      </c>
      <c r="H104" s="18">
        <f>-SUMIFS(Projetos!$F$2:$F$11,Projetos!$D$2:$D$11,"USD",Projetos!$N$2:$N$11,Dados!$A104)</f>
        <v>0</v>
      </c>
      <c r="I104" s="45">
        <f ca="1">(G104+H104)*((Indicadores_Economicos!D$2+1)^(1/12)-1)</f>
        <v>1312.1383093432046</v>
      </c>
      <c r="J104" s="18">
        <f ca="1">SUMIFS(Projetos!$G$2:$G$11,Projetos!$K$2:$K$11,"&lt;="&amp;Dados!$A104,Projetos!$N$2:$N$11,"&gt;"&amp;Dados!$A104,Projetos!$D$2:$D$11,"USD")</f>
        <v>-1.9055673516116306E-12</v>
      </c>
      <c r="K104" s="18">
        <f t="shared" ca="1" si="5"/>
        <v>402119.28751466703</v>
      </c>
    </row>
    <row r="105" spans="1:11" x14ac:dyDescent="0.2">
      <c r="A105" s="45">
        <f t="shared" ca="1" si="6"/>
        <v>167024.91830602358</v>
      </c>
      <c r="B105" s="18">
        <f>-SUMIFS(Projetos!$F$2:$F$11,Projetos!$D$2:$D$11,"BRL",Projetos!$N$2:$N$11,Dados!$A105)</f>
        <v>0</v>
      </c>
      <c r="C105" s="45">
        <f ca="1">(A105+B105)*((Indicadores_Economicos!D$2+1)^(1/12)-1)</f>
        <v>546.79611967695314</v>
      </c>
      <c r="D105" s="18">
        <f ca="1">SUMIFS(Projetos!$G$2:$G$11,Projetos!$K$2:$K$11,"&lt;="&amp;Dados!$A105,Projetos!$N$2:$N$11,"&gt;"&amp;Dados!A105,Projetos!$D$2:$D$11,"BRL")</f>
        <v>-7.6222694064465223E-13</v>
      </c>
      <c r="E105" s="18">
        <f t="shared" ca="1" si="4"/>
        <v>167571.71442570054</v>
      </c>
      <c r="G105" s="45">
        <f t="shared" ca="1" si="7"/>
        <v>402119.28751466703</v>
      </c>
      <c r="H105" s="18">
        <f>-SUMIFS(Projetos!$F$2:$F$11,Projetos!$D$2:$D$11,"USD",Projetos!$N$2:$N$11,Dados!$A105)</f>
        <v>0</v>
      </c>
      <c r="I105" s="45">
        <f ca="1">(G105+H105)*((Indicadores_Economicos!D$2+1)^(1/12)-1)</f>
        <v>1316.4339087262488</v>
      </c>
      <c r="J105" s="18">
        <f ca="1">SUMIFS(Projetos!$G$2:$G$11,Projetos!$K$2:$K$11,"&lt;="&amp;Dados!$A105,Projetos!$N$2:$N$11,"&gt;"&amp;Dados!$A105,Projetos!$D$2:$D$11,"USD")</f>
        <v>-1.9055673516116306E-12</v>
      </c>
      <c r="K105" s="18">
        <f t="shared" ca="1" si="5"/>
        <v>403435.72142339329</v>
      </c>
    </row>
    <row r="106" spans="1:11" x14ac:dyDescent="0.2">
      <c r="A106" s="45">
        <f t="shared" ca="1" si="6"/>
        <v>167571.71442570054</v>
      </c>
      <c r="B106" s="18">
        <f>-SUMIFS(Projetos!$F$2:$F$11,Projetos!$D$2:$D$11,"BRL",Projetos!$N$2:$N$11,Dados!$A106)</f>
        <v>0</v>
      </c>
      <c r="C106" s="45">
        <f ca="1">(A106+B106)*((Indicadores_Economicos!D$2+1)^(1/12)-1)</f>
        <v>548.58618788669162</v>
      </c>
      <c r="D106" s="18">
        <f ca="1">SUMIFS(Projetos!$G$2:$G$11,Projetos!$K$2:$K$11,"&lt;="&amp;Dados!$A106,Projetos!$N$2:$N$11,"&gt;"&amp;Dados!A106,Projetos!$D$2:$D$11,"BRL")</f>
        <v>-7.6222694064465223E-13</v>
      </c>
      <c r="E106" s="18">
        <f t="shared" ca="1" si="4"/>
        <v>168120.30061358723</v>
      </c>
      <c r="G106" s="45">
        <f t="shared" ca="1" si="7"/>
        <v>403435.72142339329</v>
      </c>
      <c r="H106" s="18">
        <f>-SUMIFS(Projetos!$F$2:$F$11,Projetos!$D$2:$D$11,"USD",Projetos!$N$2:$N$11,Dados!$A106)</f>
        <v>0</v>
      </c>
      <c r="I106" s="45">
        <f ca="1">(G106+H106)*((Indicadores_Economicos!D$2+1)^(1/12)-1)</f>
        <v>1320.7435707838815</v>
      </c>
      <c r="J106" s="18">
        <f ca="1">SUMIFS(Projetos!$G$2:$G$11,Projetos!$K$2:$K$11,"&lt;="&amp;Dados!$A106,Projetos!$N$2:$N$11,"&gt;"&amp;Dados!$A106,Projetos!$D$2:$D$11,"USD")</f>
        <v>-1.9055673516116306E-12</v>
      </c>
      <c r="K106" s="18">
        <f t="shared" ca="1" si="5"/>
        <v>404756.46499417716</v>
      </c>
    </row>
    <row r="107" spans="1:11" x14ac:dyDescent="0.2">
      <c r="A107" s="45">
        <f t="shared" ca="1" si="6"/>
        <v>168120.30061358723</v>
      </c>
      <c r="B107" s="18">
        <f>-SUMIFS(Projetos!$F$2:$F$11,Projetos!$D$2:$D$11,"BRL",Projetos!$N$2:$N$11,Dados!$A107)</f>
        <v>0</v>
      </c>
      <c r="C107" s="45">
        <f ca="1">(A107+B107)*((Indicadores_Economicos!D$2+1)^(1/12)-1)</f>
        <v>550.38211631394108</v>
      </c>
      <c r="D107" s="18">
        <f ca="1">SUMIFS(Projetos!$G$2:$G$11,Projetos!$K$2:$K$11,"&lt;="&amp;Dados!$A107,Projetos!$N$2:$N$11,"&gt;"&amp;Dados!A107,Projetos!$D$2:$D$11,"BRL")</f>
        <v>-7.6222694064465223E-13</v>
      </c>
      <c r="E107" s="18">
        <f t="shared" ca="1" si="4"/>
        <v>168670.68272990116</v>
      </c>
      <c r="G107" s="45">
        <f t="shared" ca="1" si="7"/>
        <v>404756.46499417716</v>
      </c>
      <c r="H107" s="18">
        <f>-SUMIFS(Projetos!$F$2:$F$11,Projetos!$D$2:$D$11,"USD",Projetos!$N$2:$N$11,Dados!$A107)</f>
        <v>0</v>
      </c>
      <c r="I107" s="45">
        <f ca="1">(G107+H107)*((Indicadores_Economicos!D$2+1)^(1/12)-1)</f>
        <v>1325.0673415536401</v>
      </c>
      <c r="J107" s="18">
        <f ca="1">SUMIFS(Projetos!$G$2:$G$11,Projetos!$K$2:$K$11,"&lt;="&amp;Dados!$A107,Projetos!$N$2:$N$11,"&gt;"&amp;Dados!$A107,Projetos!$D$2:$D$11,"USD")</f>
        <v>-1.9055673516116306E-12</v>
      </c>
      <c r="K107" s="18">
        <f t="shared" ca="1" si="5"/>
        <v>406081.53233573079</v>
      </c>
    </row>
    <row r="108" spans="1:11" x14ac:dyDescent="0.2">
      <c r="A108" s="45">
        <f t="shared" ca="1" si="6"/>
        <v>168670.68272990116</v>
      </c>
      <c r="B108" s="18">
        <f>-SUMIFS(Projetos!$F$2:$F$11,Projetos!$D$2:$D$11,"BRL",Projetos!$N$2:$N$11,Dados!$A108)</f>
        <v>0</v>
      </c>
      <c r="C108" s="45">
        <f ca="1">(A108+B108)*((Indicadores_Economicos!D$2+1)^(1/12)-1)</f>
        <v>552.18392414352888</v>
      </c>
      <c r="D108" s="18">
        <f ca="1">SUMIFS(Projetos!$G$2:$G$11,Projetos!$K$2:$K$11,"&lt;="&amp;Dados!$A108,Projetos!$N$2:$N$11,"&gt;"&amp;Dados!A108,Projetos!$D$2:$D$11,"BRL")</f>
        <v>-7.6222694064465223E-13</v>
      </c>
      <c r="E108" s="18">
        <f t="shared" ca="1" si="4"/>
        <v>169222.86665404469</v>
      </c>
      <c r="G108" s="45">
        <f t="shared" ca="1" si="7"/>
        <v>406081.53233573079</v>
      </c>
      <c r="H108" s="18">
        <f>-SUMIFS(Projetos!$F$2:$F$11,Projetos!$D$2:$D$11,"USD",Projetos!$N$2:$N$11,Dados!$A108)</f>
        <v>0</v>
      </c>
      <c r="I108" s="45">
        <f ca="1">(G108+H108)*((Indicadores_Economicos!D$2+1)^(1/12)-1)</f>
        <v>1329.4052672237767</v>
      </c>
      <c r="J108" s="18">
        <f ca="1">SUMIFS(Projetos!$G$2:$G$11,Projetos!$K$2:$K$11,"&lt;="&amp;Dados!$A108,Projetos!$N$2:$N$11,"&gt;"&amp;Dados!$A108,Projetos!$D$2:$D$11,"USD")</f>
        <v>-1.9055673516116306E-12</v>
      </c>
      <c r="K108" s="18">
        <f t="shared" ca="1" si="5"/>
        <v>407410.93760295457</v>
      </c>
    </row>
    <row r="109" spans="1:11" x14ac:dyDescent="0.2">
      <c r="A109" s="45">
        <f t="shared" ca="1" si="6"/>
        <v>169222.86665404469</v>
      </c>
      <c r="B109" s="18">
        <f>-SUMIFS(Projetos!$F$2:$F$11,Projetos!$D$2:$D$11,"BRL",Projetos!$N$2:$N$11,Dados!$A109)</f>
        <v>0</v>
      </c>
      <c r="C109" s="45">
        <f ca="1">(A109+B109)*((Indicadores_Economicos!D$2+1)^(1/12)-1)</f>
        <v>553.99163062308821</v>
      </c>
      <c r="D109" s="18">
        <f ca="1">SUMIFS(Projetos!$G$2:$G$11,Projetos!$K$2:$K$11,"&lt;="&amp;Dados!$A109,Projetos!$N$2:$N$11,"&gt;"&amp;Dados!A109,Projetos!$D$2:$D$11,"BRL")</f>
        <v>-7.6222694064465223E-13</v>
      </c>
      <c r="E109" s="18">
        <f t="shared" ca="1" si="4"/>
        <v>169776.85828466777</v>
      </c>
      <c r="G109" s="45">
        <f t="shared" ca="1" si="7"/>
        <v>407410.93760295457</v>
      </c>
      <c r="H109" s="18">
        <f>-SUMIFS(Projetos!$F$2:$F$11,Projetos!$D$2:$D$11,"USD",Projetos!$N$2:$N$11,Dados!$A109)</f>
        <v>0</v>
      </c>
      <c r="I109" s="45">
        <f ca="1">(G109+H109)*((Indicadores_Economicos!D$2+1)^(1/12)-1)</f>
        <v>1333.7573941337521</v>
      </c>
      <c r="J109" s="18">
        <f ca="1">SUMIFS(Projetos!$G$2:$G$11,Projetos!$K$2:$K$11,"&lt;="&amp;Dados!$A109,Projetos!$N$2:$N$11,"&gt;"&amp;Dados!$A109,Projetos!$D$2:$D$11,"USD")</f>
        <v>-1.9055673516116306E-12</v>
      </c>
      <c r="K109" s="18">
        <f t="shared" ca="1" si="5"/>
        <v>408744.69499708834</v>
      </c>
    </row>
    <row r="110" spans="1:11" x14ac:dyDescent="0.2">
      <c r="A110" s="45">
        <f t="shared" ca="1" si="6"/>
        <v>169776.85828466777</v>
      </c>
      <c r="B110" s="18">
        <f>-SUMIFS(Projetos!$F$2:$F$11,Projetos!$D$2:$D$11,"BRL",Projetos!$N$2:$N$11,Dados!$A110)</f>
        <v>0</v>
      </c>
      <c r="C110" s="45">
        <f ca="1">(A110+B110)*((Indicadores_Economicos!D$2+1)^(1/12)-1)</f>
        <v>555.80525506326421</v>
      </c>
      <c r="D110" s="18">
        <f ca="1">SUMIFS(Projetos!$G$2:$G$11,Projetos!$K$2:$K$11,"&lt;="&amp;Dados!$A110,Projetos!$N$2:$N$11,"&gt;"&amp;Dados!A110,Projetos!$D$2:$D$11,"BRL")</f>
        <v>-7.6222694064465223E-13</v>
      </c>
      <c r="E110" s="18">
        <f t="shared" ca="1" si="4"/>
        <v>170332.66353973103</v>
      </c>
      <c r="G110" s="45">
        <f t="shared" ca="1" si="7"/>
        <v>408744.69499708834</v>
      </c>
      <c r="H110" s="18">
        <f>-SUMIFS(Projetos!$F$2:$F$11,Projetos!$D$2:$D$11,"USD",Projetos!$N$2:$N$11,Dados!$A110)</f>
        <v>0</v>
      </c>
      <c r="I110" s="45">
        <f ca="1">(G110+H110)*((Indicadores_Economicos!D$2+1)^(1/12)-1)</f>
        <v>1338.1237687747298</v>
      </c>
      <c r="J110" s="18">
        <f ca="1">SUMIFS(Projetos!$G$2:$G$11,Projetos!$K$2:$K$11,"&lt;="&amp;Dados!$A110,Projetos!$N$2:$N$11,"&gt;"&amp;Dados!$A110,Projetos!$D$2:$D$11,"USD")</f>
        <v>-1.9055673516116306E-12</v>
      </c>
      <c r="K110" s="18">
        <f t="shared" ca="1" si="5"/>
        <v>410082.81876586308</v>
      </c>
    </row>
    <row r="111" spans="1:11" x14ac:dyDescent="0.2">
      <c r="A111" s="45">
        <f t="shared" ca="1" si="6"/>
        <v>170332.66353973103</v>
      </c>
      <c r="B111" s="18">
        <f>-SUMIFS(Projetos!$F$2:$F$11,Projetos!$D$2:$D$11,"BRL",Projetos!$N$2:$N$11,Dados!$A111)</f>
        <v>0</v>
      </c>
      <c r="C111" s="45">
        <f ca="1">(A111+B111)*((Indicadores_Economicos!D$2+1)^(1/12)-1)</f>
        <v>557.62481683792009</v>
      </c>
      <c r="D111" s="18">
        <f ca="1">SUMIFS(Projetos!$G$2:$G$11,Projetos!$K$2:$K$11,"&lt;="&amp;Dados!$A111,Projetos!$N$2:$N$11,"&gt;"&amp;Dados!A111,Projetos!$D$2:$D$11,"BRL")</f>
        <v>-7.6222694064465223E-13</v>
      </c>
      <c r="E111" s="18">
        <f t="shared" ca="1" si="4"/>
        <v>170890.28835656896</v>
      </c>
      <c r="G111" s="45">
        <f t="shared" ca="1" si="7"/>
        <v>410082.81876586308</v>
      </c>
      <c r="H111" s="18">
        <f>-SUMIFS(Projetos!$F$2:$F$11,Projetos!$D$2:$D$11,"USD",Projetos!$N$2:$N$11,Dados!$A111)</f>
        <v>0</v>
      </c>
      <c r="I111" s="45">
        <f ca="1">(G111+H111)*((Indicadores_Economicos!D$2+1)^(1/12)-1)</f>
        <v>1342.5044377900736</v>
      </c>
      <c r="J111" s="18">
        <f ca="1">SUMIFS(Projetos!$G$2:$G$11,Projetos!$K$2:$K$11,"&lt;="&amp;Dados!$A111,Projetos!$N$2:$N$11,"&gt;"&amp;Dados!$A111,Projetos!$D$2:$D$11,"USD")</f>
        <v>-1.9055673516116306E-12</v>
      </c>
      <c r="K111" s="18">
        <f t="shared" ca="1" si="5"/>
        <v>411425.32320365316</v>
      </c>
    </row>
    <row r="112" spans="1:11" x14ac:dyDescent="0.2">
      <c r="A112" s="45">
        <f t="shared" ca="1" si="6"/>
        <v>170890.28835656896</v>
      </c>
      <c r="B112" s="18">
        <f>-SUMIFS(Projetos!$F$2:$F$11,Projetos!$D$2:$D$11,"BRL",Projetos!$N$2:$N$11,Dados!$A112)</f>
        <v>0</v>
      </c>
      <c r="C112" s="45">
        <f ca="1">(A112+B112)*((Indicadores_Economicos!D$2+1)^(1/12)-1)</f>
        <v>559.4503353843437</v>
      </c>
      <c r="D112" s="18">
        <f ca="1">SUMIFS(Projetos!$G$2:$G$11,Projetos!$K$2:$K$11,"&lt;="&amp;Dados!$A112,Projetos!$N$2:$N$11,"&gt;"&amp;Dados!A112,Projetos!$D$2:$D$11,"BRL")</f>
        <v>-7.6222694064465223E-13</v>
      </c>
      <c r="E112" s="18">
        <f t="shared" ca="1" si="4"/>
        <v>171449.7386919533</v>
      </c>
      <c r="G112" s="45">
        <f t="shared" ca="1" si="7"/>
        <v>411425.32320365316</v>
      </c>
      <c r="H112" s="18">
        <f>-SUMIFS(Projetos!$F$2:$F$11,Projetos!$D$2:$D$11,"USD",Projetos!$N$2:$N$11,Dados!$A112)</f>
        <v>0</v>
      </c>
      <c r="I112" s="45">
        <f ca="1">(G112+H112)*((Indicadores_Economicos!D$2+1)^(1/12)-1)</f>
        <v>1346.8994479758455</v>
      </c>
      <c r="J112" s="18">
        <f ca="1">SUMIFS(Projetos!$G$2:$G$11,Projetos!$K$2:$K$11,"&lt;="&amp;Dados!$A112,Projetos!$N$2:$N$11,"&gt;"&amp;Dados!$A112,Projetos!$D$2:$D$11,"USD")</f>
        <v>-1.9055673516116306E-12</v>
      </c>
      <c r="K112" s="18">
        <f t="shared" ca="1" si="5"/>
        <v>412772.22265162901</v>
      </c>
    </row>
    <row r="113" spans="1:11" x14ac:dyDescent="0.2">
      <c r="A113" s="45">
        <f t="shared" ca="1" si="6"/>
        <v>171449.7386919533</v>
      </c>
      <c r="B113" s="18">
        <f>-SUMIFS(Projetos!$F$2:$F$11,Projetos!$D$2:$D$11,"BRL",Projetos!$N$2:$N$11,Dados!$A113)</f>
        <v>0</v>
      </c>
      <c r="C113" s="45">
        <f ca="1">(A113+B113)*((Indicadores_Economicos!D$2+1)^(1/12)-1)</f>
        <v>561.28183020345602</v>
      </c>
      <c r="D113" s="18">
        <f ca="1">SUMIFS(Projetos!$G$2:$G$11,Projetos!$K$2:$K$11,"&lt;="&amp;Dados!$A113,Projetos!$N$2:$N$11,"&gt;"&amp;Dados!A113,Projetos!$D$2:$D$11,"BRL")</f>
        <v>-7.6222694064465223E-13</v>
      </c>
      <c r="E113" s="18">
        <f t="shared" ca="1" si="4"/>
        <v>172011.02052215676</v>
      </c>
      <c r="G113" s="45">
        <f t="shared" ca="1" si="7"/>
        <v>412772.22265162901</v>
      </c>
      <c r="H113" s="18">
        <f>-SUMIFS(Projetos!$F$2:$F$11,Projetos!$D$2:$D$11,"USD",Projetos!$N$2:$N$11,Dados!$A113)</f>
        <v>0</v>
      </c>
      <c r="I113" s="45">
        <f ca="1">(G113+H113)*((Indicadores_Economicos!D$2+1)^(1/12)-1)</f>
        <v>1351.3088462813057</v>
      </c>
      <c r="J113" s="18">
        <f ca="1">SUMIFS(Projetos!$G$2:$G$11,Projetos!$K$2:$K$11,"&lt;="&amp;Dados!$A113,Projetos!$N$2:$N$11,"&gt;"&amp;Dados!$A113,Projetos!$D$2:$D$11,"USD")</f>
        <v>-1.9055673516116306E-12</v>
      </c>
      <c r="K113" s="18">
        <f t="shared" ca="1" si="5"/>
        <v>414123.53149791033</v>
      </c>
    </row>
    <row r="114" spans="1:11" x14ac:dyDescent="0.2">
      <c r="A114" s="45">
        <f t="shared" ca="1" si="6"/>
        <v>172011.02052215676</v>
      </c>
      <c r="B114" s="18">
        <f>-SUMIFS(Projetos!$F$2:$F$11,Projetos!$D$2:$D$11,"BRL",Projetos!$N$2:$N$11,Dados!$A114)</f>
        <v>0</v>
      </c>
      <c r="C114" s="45">
        <f ca="1">(A114+B114)*((Indicadores_Economicos!D$2+1)^(1/12)-1)</f>
        <v>563.11932086001843</v>
      </c>
      <c r="D114" s="18">
        <f ca="1">SUMIFS(Projetos!$G$2:$G$11,Projetos!$K$2:$K$11,"&lt;="&amp;Dados!$A114,Projetos!$N$2:$N$11,"&gt;"&amp;Dados!A114,Projetos!$D$2:$D$11,"BRL")</f>
        <v>-7.6222694064465223E-13</v>
      </c>
      <c r="E114" s="18">
        <f t="shared" ca="1" si="4"/>
        <v>172574.13984301678</v>
      </c>
      <c r="G114" s="45">
        <f t="shared" ca="1" si="7"/>
        <v>414123.53149791033</v>
      </c>
      <c r="H114" s="18">
        <f>-SUMIFS(Projetos!$F$2:$F$11,Projetos!$D$2:$D$11,"USD",Projetos!$N$2:$N$11,Dados!$A114)</f>
        <v>0</v>
      </c>
      <c r="I114" s="45">
        <f ca="1">(G114+H114)*((Indicadores_Economicos!D$2+1)^(1/12)-1)</f>
        <v>1355.7326798094143</v>
      </c>
      <c r="J114" s="18">
        <f ca="1">SUMIFS(Projetos!$G$2:$G$11,Projetos!$K$2:$K$11,"&lt;="&amp;Dados!$A114,Projetos!$N$2:$N$11,"&gt;"&amp;Dados!$A114,Projetos!$D$2:$D$11,"USD")</f>
        <v>-1.9055673516116306E-12</v>
      </c>
      <c r="K114" s="18">
        <f t="shared" ca="1" si="5"/>
        <v>415479.26417771971</v>
      </c>
    </row>
    <row r="115" spans="1:11" x14ac:dyDescent="0.2">
      <c r="A115" s="45">
        <f t="shared" ca="1" si="6"/>
        <v>172574.13984301678</v>
      </c>
      <c r="B115" s="18">
        <f>-SUMIFS(Projetos!$F$2:$F$11,Projetos!$D$2:$D$11,"BRL",Projetos!$N$2:$N$11,Dados!$A115)</f>
        <v>0</v>
      </c>
      <c r="C115" s="45">
        <f ca="1">(A115+B115)*((Indicadores_Economicos!D$2+1)^(1/12)-1)</f>
        <v>564.96282698284278</v>
      </c>
      <c r="D115" s="18">
        <f ca="1">SUMIFS(Projetos!$G$2:$G$11,Projetos!$K$2:$K$11,"&lt;="&amp;Dados!$A115,Projetos!$N$2:$N$11,"&gt;"&amp;Dados!A115,Projetos!$D$2:$D$11,"BRL")</f>
        <v>-7.6222694064465223E-13</v>
      </c>
      <c r="E115" s="18">
        <f t="shared" ca="1" si="4"/>
        <v>173139.10266999961</v>
      </c>
      <c r="G115" s="45">
        <f t="shared" ca="1" si="7"/>
        <v>415479.26417771971</v>
      </c>
      <c r="H115" s="18">
        <f>-SUMIFS(Projetos!$F$2:$F$11,Projetos!$D$2:$D$11,"USD",Projetos!$N$2:$N$11,Dados!$A115)</f>
        <v>0</v>
      </c>
      <c r="I115" s="45">
        <f ca="1">(G115+H115)*((Indicadores_Economicos!D$2+1)^(1/12)-1)</f>
        <v>1360.1709958173333</v>
      </c>
      <c r="J115" s="18">
        <f ca="1">SUMIFS(Projetos!$G$2:$G$11,Projetos!$K$2:$K$11,"&lt;="&amp;Dados!$A115,Projetos!$N$2:$N$11,"&gt;"&amp;Dados!$A115,Projetos!$D$2:$D$11,"USD")</f>
        <v>-1.9055673516116306E-12</v>
      </c>
      <c r="K115" s="18">
        <f t="shared" ca="1" si="5"/>
        <v>416839.43517353706</v>
      </c>
    </row>
    <row r="116" spans="1:11" x14ac:dyDescent="0.2">
      <c r="A116" s="45">
        <f t="shared" ca="1" si="6"/>
        <v>173139.10266999961</v>
      </c>
      <c r="B116" s="18">
        <f>-SUMIFS(Projetos!$F$2:$F$11,Projetos!$D$2:$D$11,"BRL",Projetos!$N$2:$N$11,Dados!$A116)</f>
        <v>0</v>
      </c>
      <c r="C116" s="45">
        <f ca="1">(A116+B116)*((Indicadores_Economicos!D$2+1)^(1/12)-1)</f>
        <v>566.81236826500003</v>
      </c>
      <c r="D116" s="18">
        <f ca="1">SUMIFS(Projetos!$G$2:$G$11,Projetos!$K$2:$K$11,"&lt;="&amp;Dados!$A116,Projetos!$N$2:$N$11,"&gt;"&amp;Dados!A116,Projetos!$D$2:$D$11,"BRL")</f>
        <v>-7.6222694064465223E-13</v>
      </c>
      <c r="E116" s="18">
        <f t="shared" ca="1" si="4"/>
        <v>173705.91503826462</v>
      </c>
      <c r="G116" s="45">
        <f t="shared" ca="1" si="7"/>
        <v>416839.43517353706</v>
      </c>
      <c r="H116" s="18">
        <f>-SUMIFS(Projetos!$F$2:$F$11,Projetos!$D$2:$D$11,"USD",Projetos!$N$2:$N$11,Dados!$A116)</f>
        <v>0</v>
      </c>
      <c r="I116" s="45">
        <f ca="1">(G116+H116)*((Indicadores_Economicos!D$2+1)^(1/12)-1)</f>
        <v>1364.6238417169338</v>
      </c>
      <c r="J116" s="18">
        <f ca="1">SUMIFS(Projetos!$G$2:$G$11,Projetos!$K$2:$K$11,"&lt;="&amp;Dados!$A116,Projetos!$N$2:$N$11,"&gt;"&amp;Dados!$A116,Projetos!$D$2:$D$11,"USD")</f>
        <v>-1.9055673516116306E-12</v>
      </c>
      <c r="K116" s="18">
        <f t="shared" ca="1" si="5"/>
        <v>418204.05901525397</v>
      </c>
    </row>
    <row r="117" spans="1:11" x14ac:dyDescent="0.2">
      <c r="A117" s="45">
        <f t="shared" ca="1" si="6"/>
        <v>173705.91503826462</v>
      </c>
      <c r="B117" s="18">
        <f>-SUMIFS(Projetos!$F$2:$F$11,Projetos!$D$2:$D$11,"BRL",Projetos!$N$2:$N$11,Dados!$A117)</f>
        <v>0</v>
      </c>
      <c r="C117" s="45">
        <f ca="1">(A117+B117)*((Indicadores_Economicos!D$2+1)^(1/12)-1)</f>
        <v>568.66796446403157</v>
      </c>
      <c r="D117" s="18">
        <f ca="1">SUMIFS(Projetos!$G$2:$G$11,Projetos!$K$2:$K$11,"&lt;="&amp;Dados!$A117,Projetos!$N$2:$N$11,"&gt;"&amp;Dados!A117,Projetos!$D$2:$D$11,"BRL")</f>
        <v>-7.6222694064465223E-13</v>
      </c>
      <c r="E117" s="18">
        <f t="shared" ca="1" si="4"/>
        <v>174274.58300272864</v>
      </c>
      <c r="G117" s="45">
        <f t="shared" ca="1" si="7"/>
        <v>418204.05901525397</v>
      </c>
      <c r="H117" s="18">
        <f>-SUMIFS(Projetos!$F$2:$F$11,Projetos!$D$2:$D$11,"USD",Projetos!$N$2:$N$11,Dados!$A117)</f>
        <v>0</v>
      </c>
      <c r="I117" s="45">
        <f ca="1">(G117+H117)*((Indicadores_Economicos!D$2+1)^(1/12)-1)</f>
        <v>1369.0912650752996</v>
      </c>
      <c r="J117" s="18">
        <f ca="1">SUMIFS(Projetos!$G$2:$G$11,Projetos!$K$2:$K$11,"&lt;="&amp;Dados!$A117,Projetos!$N$2:$N$11,"&gt;"&amp;Dados!$A117,Projetos!$D$2:$D$11,"USD")</f>
        <v>-1.9055673516116306E-12</v>
      </c>
      <c r="K117" s="18">
        <f t="shared" ca="1" si="5"/>
        <v>419573.15028032928</v>
      </c>
    </row>
    <row r="118" spans="1:11" x14ac:dyDescent="0.2">
      <c r="A118" s="45">
        <f t="shared" ca="1" si="6"/>
        <v>174274.58300272864</v>
      </c>
      <c r="B118" s="18">
        <f>-SUMIFS(Projetos!$F$2:$F$11,Projetos!$D$2:$D$11,"BRL",Projetos!$N$2:$N$11,Dados!$A118)</f>
        <v>0</v>
      </c>
      <c r="C118" s="45">
        <f ca="1">(A118+B118)*((Indicadores_Economicos!D$2+1)^(1/12)-1)</f>
        <v>570.52963540215956</v>
      </c>
      <c r="D118" s="18">
        <f ca="1">SUMIFS(Projetos!$G$2:$G$11,Projetos!$K$2:$K$11,"&lt;="&amp;Dados!$A118,Projetos!$N$2:$N$11,"&gt;"&amp;Dados!A118,Projetos!$D$2:$D$11,"BRL")</f>
        <v>-7.6222694064465223E-13</v>
      </c>
      <c r="E118" s="18">
        <f t="shared" ca="1" si="4"/>
        <v>174845.11263813081</v>
      </c>
      <c r="G118" s="45">
        <f t="shared" ca="1" si="7"/>
        <v>419573.15028032928</v>
      </c>
      <c r="H118" s="18">
        <f>-SUMIFS(Projetos!$F$2:$F$11,Projetos!$D$2:$D$11,"USD",Projetos!$N$2:$N$11,Dados!$A118)</f>
        <v>0</v>
      </c>
      <c r="I118" s="45">
        <f ca="1">(G118+H118)*((Indicadores_Economicos!D$2+1)^(1/12)-1)</f>
        <v>1373.5733136152376</v>
      </c>
      <c r="J118" s="18">
        <f ca="1">SUMIFS(Projetos!$G$2:$G$11,Projetos!$K$2:$K$11,"&lt;="&amp;Dados!$A118,Projetos!$N$2:$N$11,"&gt;"&amp;Dados!$A118,Projetos!$D$2:$D$11,"USD")</f>
        <v>-1.9055673516116306E-12</v>
      </c>
      <c r="K118" s="18">
        <f t="shared" ca="1" si="5"/>
        <v>420946.72359394451</v>
      </c>
    </row>
    <row r="119" spans="1:11" x14ac:dyDescent="0.2">
      <c r="A119" s="45">
        <f t="shared" ca="1" si="6"/>
        <v>174845.11263813081</v>
      </c>
      <c r="B119" s="18">
        <f>-SUMIFS(Projetos!$F$2:$F$11,Projetos!$D$2:$D$11,"BRL",Projetos!$N$2:$N$11,Dados!$A119)</f>
        <v>0</v>
      </c>
      <c r="C119" s="45">
        <f ca="1">(A119+B119)*((Indicadores_Economicos!D$2+1)^(1/12)-1)</f>
        <v>572.39740096649905</v>
      </c>
      <c r="D119" s="18">
        <f ca="1">SUMIFS(Projetos!$G$2:$G$11,Projetos!$K$2:$K$11,"&lt;="&amp;Dados!$A119,Projetos!$N$2:$N$11,"&gt;"&amp;Dados!A119,Projetos!$D$2:$D$11,"BRL")</f>
        <v>-7.6222694064465223E-13</v>
      </c>
      <c r="E119" s="18">
        <f t="shared" ca="1" si="4"/>
        <v>175417.51003909731</v>
      </c>
      <c r="G119" s="45">
        <f t="shared" ca="1" si="7"/>
        <v>420946.72359394451</v>
      </c>
      <c r="H119" s="18">
        <f>-SUMIFS(Projetos!$F$2:$F$11,Projetos!$D$2:$D$11,"USD",Projetos!$N$2:$N$11,Dados!$A119)</f>
        <v>0</v>
      </c>
      <c r="I119" s="45">
        <f ca="1">(G119+H119)*((Indicadores_Economicos!D$2+1)^(1/12)-1)</f>
        <v>1378.0700352157864</v>
      </c>
      <c r="J119" s="18">
        <f ca="1">SUMIFS(Projetos!$G$2:$G$11,Projetos!$K$2:$K$11,"&lt;="&amp;Dados!$A119,Projetos!$N$2:$N$11,"&gt;"&amp;Dados!$A119,Projetos!$D$2:$D$11,"USD")</f>
        <v>-1.9055673516116306E-12</v>
      </c>
      <c r="K119" s="18">
        <f t="shared" ca="1" si="5"/>
        <v>422324.79362916027</v>
      </c>
    </row>
    <row r="120" spans="1:11" x14ac:dyDescent="0.2">
      <c r="A120" s="45">
        <f t="shared" ca="1" si="6"/>
        <v>175417.51003909731</v>
      </c>
      <c r="B120" s="18">
        <f>-SUMIFS(Projetos!$F$2:$F$11,Projetos!$D$2:$D$11,"BRL",Projetos!$N$2:$N$11,Dados!$A120)</f>
        <v>0</v>
      </c>
      <c r="C120" s="45">
        <f ca="1">(A120+B120)*((Indicadores_Economicos!D$2+1)^(1/12)-1)</f>
        <v>574.27128110927038</v>
      </c>
      <c r="D120" s="18">
        <f ca="1">SUMIFS(Projetos!$G$2:$G$11,Projetos!$K$2:$K$11,"&lt;="&amp;Dados!$A120,Projetos!$N$2:$N$11,"&gt;"&amp;Dados!A120,Projetos!$D$2:$D$11,"BRL")</f>
        <v>-7.6222694064465223E-13</v>
      </c>
      <c r="E120" s="18">
        <f t="shared" ca="1" si="4"/>
        <v>175991.78132020659</v>
      </c>
      <c r="G120" s="45">
        <f t="shared" ca="1" si="7"/>
        <v>422324.79362916027</v>
      </c>
      <c r="H120" s="18">
        <f>-SUMIFS(Projetos!$F$2:$F$11,Projetos!$D$2:$D$11,"USD",Projetos!$N$2:$N$11,Dados!$A120)</f>
        <v>0</v>
      </c>
      <c r="I120" s="45">
        <f ca="1">(G120+H120)*((Indicadores_Economicos!D$2+1)^(1/12)-1)</f>
        <v>1382.5814779127286</v>
      </c>
      <c r="J120" s="18">
        <f ca="1">SUMIFS(Projetos!$G$2:$G$11,Projetos!$K$2:$K$11,"&lt;="&amp;Dados!$A120,Projetos!$N$2:$N$11,"&gt;"&amp;Dados!$A120,Projetos!$D$2:$D$11,"USD")</f>
        <v>-1.9055673516116306E-12</v>
      </c>
      <c r="K120" s="18">
        <f t="shared" ca="1" si="5"/>
        <v>423707.37510707299</v>
      </c>
    </row>
    <row r="121" spans="1:11" x14ac:dyDescent="0.2">
      <c r="A121" s="45">
        <f t="shared" ca="1" si="6"/>
        <v>175991.78132020659</v>
      </c>
      <c r="B121" s="18">
        <f>-SUMIFS(Projetos!$F$2:$F$11,Projetos!$D$2:$D$11,"BRL",Projetos!$N$2:$N$11,Dados!$A121)</f>
        <v>-100000</v>
      </c>
      <c r="C121" s="45">
        <f ca="1">(A121+B121)*((Indicadores_Economicos!D$2+1)^(1/12)-1)</f>
        <v>248.77731762812064</v>
      </c>
      <c r="D121" s="18">
        <f ca="1">SUMIFS(Projetos!$G$2:$G$11,Projetos!$K$2:$K$11,"&lt;="&amp;Dados!$A121,Projetos!$N$2:$N$11,"&gt;"&amp;Dados!A121,Projetos!$D$2:$D$11,"BRL")</f>
        <v>-3.3347428653203535E-13</v>
      </c>
      <c r="E121" s="18">
        <f t="shared" ca="1" si="4"/>
        <v>76240.558637834707</v>
      </c>
      <c r="G121" s="45">
        <f t="shared" ca="1" si="7"/>
        <v>423707.37510707299</v>
      </c>
      <c r="H121" s="18">
        <f>-SUMIFS(Projetos!$F$2:$F$11,Projetos!$D$2:$D$11,"USD",Projetos!$N$2:$N$11,Dados!$A121)</f>
        <v>0</v>
      </c>
      <c r="I121" s="45">
        <f ca="1">(G121+H121)*((Indicadores_Economicos!D$2+1)^(1/12)-1)</f>
        <v>1387.107689899103</v>
      </c>
      <c r="J121" s="18">
        <f ca="1">SUMIFS(Projetos!$G$2:$G$11,Projetos!$K$2:$K$11,"&lt;="&amp;Dados!$A121,Projetos!$N$2:$N$11,"&gt;"&amp;Dados!$A121,Projetos!$D$2:$D$11,"USD")</f>
        <v>-1.9055673516116306E-12</v>
      </c>
      <c r="K121" s="18">
        <f t="shared" ca="1" si="5"/>
        <v>425094.48279697209</v>
      </c>
    </row>
    <row r="122" spans="1:11" x14ac:dyDescent="0.2">
      <c r="A122" s="45">
        <f t="shared" ca="1" si="6"/>
        <v>76240.558637834707</v>
      </c>
      <c r="B122" s="18">
        <f>-SUMIFS(Projetos!$F$2:$F$11,Projetos!$D$2:$D$11,"BRL",Projetos!$N$2:$N$11,Dados!$A122)</f>
        <v>0</v>
      </c>
      <c r="C122" s="45">
        <f ca="1">(A122+B122)*((Indicadores_Economicos!D$2+1)^(1/12)-1)</f>
        <v>249.59174982974855</v>
      </c>
      <c r="D122" s="18">
        <f ca="1">SUMIFS(Projetos!$G$2:$G$11,Projetos!$K$2:$K$11,"&lt;="&amp;Dados!$A122,Projetos!$N$2:$N$11,"&gt;"&amp;Dados!A122,Projetos!$D$2:$D$11,"BRL")</f>
        <v>-3.3347428653203535E-13</v>
      </c>
      <c r="E122" s="18">
        <f t="shared" ca="1" si="4"/>
        <v>76490.150387664457</v>
      </c>
      <c r="G122" s="45">
        <f t="shared" ca="1" si="7"/>
        <v>425094.48279697209</v>
      </c>
      <c r="H122" s="18">
        <f>-SUMIFS(Projetos!$F$2:$F$11,Projetos!$D$2:$D$11,"USD",Projetos!$N$2:$N$11,Dados!$A122)</f>
        <v>0</v>
      </c>
      <c r="I122" s="45">
        <f ca="1">(G122+H122)*((Indicadores_Economicos!D$2+1)^(1/12)-1)</f>
        <v>1391.6487195257196</v>
      </c>
      <c r="J122" s="18">
        <f ca="1">SUMIFS(Projetos!$G$2:$G$11,Projetos!$K$2:$K$11,"&lt;="&amp;Dados!$A122,Projetos!$N$2:$N$11,"&gt;"&amp;Dados!$A122,Projetos!$D$2:$D$11,"USD")</f>
        <v>-1.9055673516116306E-12</v>
      </c>
      <c r="K122" s="18">
        <f t="shared" ca="1" si="5"/>
        <v>426486.13151649782</v>
      </c>
    </row>
    <row r="123" spans="1:11" x14ac:dyDescent="0.2">
      <c r="A123" s="45">
        <f t="shared" ca="1" si="6"/>
        <v>76490.150387664457</v>
      </c>
      <c r="B123" s="18">
        <f>-SUMIFS(Projetos!$F$2:$F$11,Projetos!$D$2:$D$11,"BRL",Projetos!$N$2:$N$11,Dados!$A123)</f>
        <v>0</v>
      </c>
      <c r="C123" s="45">
        <f ca="1">(A123+B123)*((Indicadores_Economicos!D$2+1)^(1/12)-1)</f>
        <v>250.40884827047486</v>
      </c>
      <c r="D123" s="18">
        <f ca="1">SUMIFS(Projetos!$G$2:$G$11,Projetos!$K$2:$K$11,"&lt;="&amp;Dados!$A123,Projetos!$N$2:$N$11,"&gt;"&amp;Dados!A123,Projetos!$D$2:$D$11,"BRL")</f>
        <v>-3.3347428653203535E-13</v>
      </c>
      <c r="E123" s="18">
        <f t="shared" ca="1" si="4"/>
        <v>76740.559235934925</v>
      </c>
      <c r="G123" s="45">
        <f t="shared" ca="1" si="7"/>
        <v>426486.13151649782</v>
      </c>
      <c r="H123" s="18">
        <f>-SUMIFS(Projetos!$F$2:$F$11,Projetos!$D$2:$D$11,"USD",Projetos!$N$2:$N$11,Dados!$A123)</f>
        <v>0</v>
      </c>
      <c r="I123" s="45">
        <f ca="1">(G123+H123)*((Indicadores_Economicos!D$2+1)^(1/12)-1)</f>
        <v>1396.2046153016772</v>
      </c>
      <c r="J123" s="18">
        <f ca="1">SUMIFS(Projetos!$G$2:$G$11,Projetos!$K$2:$K$11,"&lt;="&amp;Dados!$A123,Projetos!$N$2:$N$11,"&gt;"&amp;Dados!$A123,Projetos!$D$2:$D$11,"USD")</f>
        <v>-1.9055673516116306E-12</v>
      </c>
      <c r="K123" s="18">
        <f t="shared" ca="1" si="5"/>
        <v>427882.3361317995</v>
      </c>
    </row>
    <row r="124" spans="1:11" x14ac:dyDescent="0.2">
      <c r="A124" s="45">
        <f t="shared" ca="1" si="6"/>
        <v>76740.559235934925</v>
      </c>
      <c r="B124" s="18">
        <f>-SUMIFS(Projetos!$F$2:$F$11,Projetos!$D$2:$D$11,"BRL",Projetos!$N$2:$N$11,Dados!$A124)</f>
        <v>0</v>
      </c>
      <c r="C124" s="45">
        <f ca="1">(A124+B124)*((Indicadores_Economicos!D$2+1)^(1/12)-1)</f>
        <v>251.22862167887249</v>
      </c>
      <c r="D124" s="18">
        <f ca="1">SUMIFS(Projetos!$G$2:$G$11,Projetos!$K$2:$K$11,"&lt;="&amp;Dados!$A124,Projetos!$N$2:$N$11,"&gt;"&amp;Dados!A124,Projetos!$D$2:$D$11,"BRL")</f>
        <v>-3.3347428653203535E-13</v>
      </c>
      <c r="E124" s="18">
        <f t="shared" ca="1" si="4"/>
        <v>76991.787857613803</v>
      </c>
      <c r="G124" s="45">
        <f t="shared" ca="1" si="7"/>
        <v>427882.3361317995</v>
      </c>
      <c r="H124" s="18">
        <f>-SUMIFS(Projetos!$F$2:$F$11,Projetos!$D$2:$D$11,"USD",Projetos!$N$2:$N$11,Dados!$A124)</f>
        <v>0</v>
      </c>
      <c r="I124" s="45">
        <f ca="1">(G124+H124)*((Indicadores_Economicos!D$2+1)^(1/12)-1)</f>
        <v>1400.7754258948801</v>
      </c>
      <c r="J124" s="18">
        <f ca="1">SUMIFS(Projetos!$G$2:$G$11,Projetos!$K$2:$K$11,"&lt;="&amp;Dados!$A124,Projetos!$N$2:$N$11,"&gt;"&amp;Dados!$A124,Projetos!$D$2:$D$11,"USD")</f>
        <v>-1.9055673516116306E-12</v>
      </c>
      <c r="K124" s="18">
        <f t="shared" ca="1" si="5"/>
        <v>429283.11155769438</v>
      </c>
    </row>
    <row r="125" spans="1:11" x14ac:dyDescent="0.2">
      <c r="A125" s="45">
        <f t="shared" ca="1" si="6"/>
        <v>76991.787857613803</v>
      </c>
      <c r="B125" s="18">
        <f>-SUMIFS(Projetos!$F$2:$F$11,Projetos!$D$2:$D$11,"BRL",Projetos!$N$2:$N$11,Dados!$A125)</f>
        <v>0</v>
      </c>
      <c r="C125" s="45">
        <f ca="1">(A125+B125)*((Indicadores_Economicos!D$2+1)^(1/12)-1)</f>
        <v>252.05107881208963</v>
      </c>
      <c r="D125" s="18">
        <f ca="1">SUMIFS(Projetos!$G$2:$G$11,Projetos!$K$2:$K$11,"&lt;="&amp;Dados!$A125,Projetos!$N$2:$N$11,"&gt;"&amp;Dados!A125,Projetos!$D$2:$D$11,"BRL")</f>
        <v>-3.3347428653203535E-13</v>
      </c>
      <c r="E125" s="18">
        <f t="shared" ca="1" si="4"/>
        <v>77243.838936425891</v>
      </c>
      <c r="G125" s="45">
        <f t="shared" ca="1" si="7"/>
        <v>429283.11155769438</v>
      </c>
      <c r="H125" s="18">
        <f>-SUMIFS(Projetos!$F$2:$F$11,Projetos!$D$2:$D$11,"USD",Projetos!$N$2:$N$11,Dados!$A125)</f>
        <v>0</v>
      </c>
      <c r="I125" s="45">
        <f ca="1">(G125+H125)*((Indicadores_Economicos!D$2+1)^(1/12)-1)</f>
        <v>1405.3612001325587</v>
      </c>
      <c r="J125" s="18">
        <f ca="1">SUMIFS(Projetos!$G$2:$G$11,Projetos!$K$2:$K$11,"&lt;="&amp;Dados!$A125,Projetos!$N$2:$N$11,"&gt;"&amp;Dados!$A125,Projetos!$D$2:$D$11,"USD")</f>
        <v>-1.9055673516116306E-12</v>
      </c>
      <c r="K125" s="18">
        <f t="shared" ca="1" si="5"/>
        <v>430688.47275782697</v>
      </c>
    </row>
    <row r="126" spans="1:11" x14ac:dyDescent="0.2">
      <c r="A126" s="45">
        <f t="shared" ca="1" si="6"/>
        <v>77243.838936425891</v>
      </c>
      <c r="B126" s="18">
        <f>-SUMIFS(Projetos!$F$2:$F$11,Projetos!$D$2:$D$11,"BRL",Projetos!$N$2:$N$11,Dados!$A126)</f>
        <v>0</v>
      </c>
      <c r="C126" s="45">
        <f ca="1">(A126+B126)*((Indicadores_Economicos!D$2+1)^(1/12)-1)</f>
        <v>252.87622845594294</v>
      </c>
      <c r="D126" s="18">
        <f ca="1">SUMIFS(Projetos!$G$2:$G$11,Projetos!$K$2:$K$11,"&lt;="&amp;Dados!$A126,Projetos!$N$2:$N$11,"&gt;"&amp;Dados!A126,Projetos!$D$2:$D$11,"BRL")</f>
        <v>-3.3347428653203535E-13</v>
      </c>
      <c r="E126" s="18">
        <f t="shared" ca="1" si="4"/>
        <v>77496.71516488184</v>
      </c>
      <c r="G126" s="45">
        <f t="shared" ca="1" si="7"/>
        <v>430688.47275782697</v>
      </c>
      <c r="H126" s="18">
        <f>-SUMIFS(Projetos!$F$2:$F$11,Projetos!$D$2:$D$11,"USD",Projetos!$N$2:$N$11,Dados!$A126)</f>
        <v>0</v>
      </c>
      <c r="I126" s="45">
        <f ca="1">(G126+H126)*((Indicadores_Economicos!D$2+1)^(1/12)-1)</f>
        <v>1409.9619870017916</v>
      </c>
      <c r="J126" s="18">
        <f ca="1">SUMIFS(Projetos!$G$2:$G$11,Projetos!$K$2:$K$11,"&lt;="&amp;Dados!$A126,Projetos!$N$2:$N$11,"&gt;"&amp;Dados!$A126,Projetos!$D$2:$D$11,"USD")</f>
        <v>-1.9055673516116306E-12</v>
      </c>
      <c r="K126" s="18">
        <f t="shared" ca="1" si="5"/>
        <v>432098.43474482873</v>
      </c>
    </row>
    <row r="127" spans="1:11" x14ac:dyDescent="0.2">
      <c r="A127" s="45">
        <f t="shared" ca="1" si="6"/>
        <v>77496.71516488184</v>
      </c>
      <c r="B127" s="18">
        <f>-SUMIFS(Projetos!$F$2:$F$11,Projetos!$D$2:$D$11,"BRL",Projetos!$N$2:$N$11,Dados!$A127)</f>
        <v>0</v>
      </c>
      <c r="C127" s="45">
        <f ca="1">(A127+B127)*((Indicadores_Economicos!D$2+1)^(1/12)-1)</f>
        <v>253.7040794250116</v>
      </c>
      <c r="D127" s="18">
        <f ca="1">SUMIFS(Projetos!$G$2:$G$11,Projetos!$K$2:$K$11,"&lt;="&amp;Dados!$A127,Projetos!$N$2:$N$11,"&gt;"&amp;Dados!A127,Projetos!$D$2:$D$11,"BRL")</f>
        <v>-3.3347428653203535E-13</v>
      </c>
      <c r="E127" s="18">
        <f t="shared" ca="1" si="4"/>
        <v>77750.419244306846</v>
      </c>
      <c r="G127" s="45">
        <f t="shared" ca="1" si="7"/>
        <v>432098.43474482873</v>
      </c>
      <c r="H127" s="18">
        <f>-SUMIFS(Projetos!$F$2:$F$11,Projetos!$D$2:$D$11,"USD",Projetos!$N$2:$N$11,Dados!$A127)</f>
        <v>0</v>
      </c>
      <c r="I127" s="45">
        <f ca="1">(G127+H127)*((Indicadores_Economicos!D$2+1)^(1/12)-1)</f>
        <v>1414.5778356500275</v>
      </c>
      <c r="J127" s="18">
        <f ca="1">SUMIFS(Projetos!$G$2:$G$11,Projetos!$K$2:$K$11,"&lt;="&amp;Dados!$A127,Projetos!$N$2:$N$11,"&gt;"&amp;Dados!$A127,Projetos!$D$2:$D$11,"USD")</f>
        <v>-1.9055673516116306E-12</v>
      </c>
      <c r="K127" s="18">
        <f t="shared" ca="1" si="5"/>
        <v>433513.01258047874</v>
      </c>
    </row>
    <row r="128" spans="1:11" x14ac:dyDescent="0.2">
      <c r="A128" s="45">
        <f t="shared" ca="1" si="6"/>
        <v>77750.419244306846</v>
      </c>
      <c r="B128" s="18">
        <f>-SUMIFS(Projetos!$F$2:$F$11,Projetos!$D$2:$D$11,"BRL",Projetos!$N$2:$N$11,Dados!$A128)</f>
        <v>0</v>
      </c>
      <c r="C128" s="45">
        <f ca="1">(A128+B128)*((Indicadores_Economicos!D$2+1)^(1/12)-1)</f>
        <v>254.5346405627314</v>
      </c>
      <c r="D128" s="18">
        <f ca="1">SUMIFS(Projetos!$G$2:$G$11,Projetos!$K$2:$K$11,"&lt;="&amp;Dados!$A128,Projetos!$N$2:$N$11,"&gt;"&amp;Dados!A128,Projetos!$D$2:$D$11,"BRL")</f>
        <v>-3.3347428653203535E-13</v>
      </c>
      <c r="E128" s="18">
        <f t="shared" ca="1" si="4"/>
        <v>78004.953884869581</v>
      </c>
      <c r="G128" s="45">
        <f t="shared" ca="1" si="7"/>
        <v>433513.01258047874</v>
      </c>
      <c r="H128" s="18">
        <f>-SUMIFS(Projetos!$F$2:$F$11,Projetos!$D$2:$D$11,"USD",Projetos!$N$2:$N$11,Dados!$A128)</f>
        <v>0</v>
      </c>
      <c r="I128" s="45">
        <f ca="1">(G128+H128)*((Indicadores_Economicos!D$2+1)^(1/12)-1)</f>
        <v>1419.2087953856117</v>
      </c>
      <c r="J128" s="18">
        <f ca="1">SUMIFS(Projetos!$G$2:$G$11,Projetos!$K$2:$K$11,"&lt;="&amp;Dados!$A128,Projetos!$N$2:$N$11,"&gt;"&amp;Dados!$A128,Projetos!$D$2:$D$11,"USD")</f>
        <v>-1.9055673516116306E-12</v>
      </c>
      <c r="K128" s="18">
        <f t="shared" ca="1" si="5"/>
        <v>434932.22137586435</v>
      </c>
    </row>
    <row r="129" spans="1:11" x14ac:dyDescent="0.2">
      <c r="A129" s="45">
        <f t="shared" ca="1" si="6"/>
        <v>78004.953884869581</v>
      </c>
      <c r="B129" s="18">
        <f>-SUMIFS(Projetos!$F$2:$F$11,Projetos!$D$2:$D$11,"BRL",Projetos!$N$2:$N$11,Dados!$A129)</f>
        <v>0</v>
      </c>
      <c r="C129" s="45">
        <f ca="1">(A129+B129)*((Indicadores_Economicos!D$2+1)^(1/12)-1)</f>
        <v>255.36792074148931</v>
      </c>
      <c r="D129" s="18">
        <f ca="1">SUMIFS(Projetos!$G$2:$G$11,Projetos!$K$2:$K$11,"&lt;="&amp;Dados!$A129,Projetos!$N$2:$N$11,"&gt;"&amp;Dados!A129,Projetos!$D$2:$D$11,"BRL")</f>
        <v>-3.3347428653203535E-13</v>
      </c>
      <c r="E129" s="18">
        <f t="shared" ca="1" si="4"/>
        <v>78260.321805611064</v>
      </c>
      <c r="G129" s="45">
        <f t="shared" ca="1" si="7"/>
        <v>434932.22137586435</v>
      </c>
      <c r="H129" s="18">
        <f>-SUMIFS(Projetos!$F$2:$F$11,Projetos!$D$2:$D$11,"USD",Projetos!$N$2:$N$11,Dados!$A129)</f>
        <v>0</v>
      </c>
      <c r="I129" s="45">
        <f ca="1">(G129+H129)*((Indicadores_Economicos!D$2+1)^(1/12)-1)</f>
        <v>1423.8549156783122</v>
      </c>
      <c r="J129" s="18">
        <f ca="1">SUMIFS(Projetos!$G$2:$G$11,Projetos!$K$2:$K$11,"&lt;="&amp;Dados!$A129,Projetos!$N$2:$N$11,"&gt;"&amp;Dados!$A129,Projetos!$D$2:$D$11,"USD")</f>
        <v>-1.9055673516116306E-12</v>
      </c>
      <c r="K129" s="18">
        <f t="shared" ca="1" si="5"/>
        <v>436356.07629154267</v>
      </c>
    </row>
    <row r="130" spans="1:11" x14ac:dyDescent="0.2">
      <c r="A130" s="45">
        <f t="shared" ca="1" si="6"/>
        <v>78260.321805611064</v>
      </c>
      <c r="B130" s="18">
        <f>-SUMIFS(Projetos!$F$2:$F$11,Projetos!$D$2:$D$11,"BRL",Projetos!$N$2:$N$11,Dados!$A130)</f>
        <v>0</v>
      </c>
      <c r="C130" s="45">
        <f ca="1">(A130+B130)*((Indicadores_Economicos!D$2+1)^(1/12)-1)</f>
        <v>256.2039288627181</v>
      </c>
      <c r="D130" s="18">
        <f ca="1">SUMIFS(Projetos!$G$2:$G$11,Projetos!$K$2:$K$11,"&lt;="&amp;Dados!$A130,Projetos!$N$2:$N$11,"&gt;"&amp;Dados!A130,Projetos!$D$2:$D$11,"BRL")</f>
        <v>-3.3347428653203535E-13</v>
      </c>
      <c r="E130" s="18">
        <f t="shared" ref="E130:E193" ca="1" si="8">A130+B130+C130+D130</f>
        <v>78516.525734473777</v>
      </c>
      <c r="G130" s="45">
        <f t="shared" ca="1" si="7"/>
        <v>436356.07629154267</v>
      </c>
      <c r="H130" s="18">
        <f>-SUMIFS(Projetos!$F$2:$F$11,Projetos!$D$2:$D$11,"USD",Projetos!$N$2:$N$11,Dados!$A130)</f>
        <v>0</v>
      </c>
      <c r="I130" s="45">
        <f ca="1">(G130+H130)*((Indicadores_Economicos!D$2+1)^(1/12)-1)</f>
        <v>1428.5162461598479</v>
      </c>
      <c r="J130" s="18">
        <f ca="1">SUMIFS(Projetos!$G$2:$G$11,Projetos!$K$2:$K$11,"&lt;="&amp;Dados!$A130,Projetos!$N$2:$N$11,"&gt;"&amp;Dados!$A130,Projetos!$D$2:$D$11,"USD")</f>
        <v>-1.9055673516116306E-12</v>
      </c>
      <c r="K130" s="18">
        <f t="shared" ref="K130:K193" ca="1" si="9">G130+H130+I130+J130</f>
        <v>437784.59253770253</v>
      </c>
    </row>
    <row r="131" spans="1:11" x14ac:dyDescent="0.2">
      <c r="A131" s="45">
        <f t="shared" ca="1" si="6"/>
        <v>78516.525734473777</v>
      </c>
      <c r="B131" s="18">
        <f>-SUMIFS(Projetos!$F$2:$F$11,Projetos!$D$2:$D$11,"BRL",Projetos!$N$2:$N$11,Dados!$A131)</f>
        <v>0</v>
      </c>
      <c r="C131" s="45">
        <f ca="1">(A131+B131)*((Indicadores_Economicos!D$2+1)^(1/12)-1)</f>
        <v>257.04267385699166</v>
      </c>
      <c r="D131" s="18">
        <f ca="1">SUMIFS(Projetos!$G$2:$G$11,Projetos!$K$2:$K$11,"&lt;="&amp;Dados!$A131,Projetos!$N$2:$N$11,"&gt;"&amp;Dados!A131,Projetos!$D$2:$D$11,"BRL")</f>
        <v>-3.3347428653203535E-13</v>
      </c>
      <c r="E131" s="18">
        <f t="shared" ca="1" si="8"/>
        <v>78773.568408330771</v>
      </c>
      <c r="G131" s="45">
        <f t="shared" ca="1" si="7"/>
        <v>437784.59253770253</v>
      </c>
      <c r="H131" s="18">
        <f>-SUMIFS(Projetos!$F$2:$F$11,Projetos!$D$2:$D$11,"USD",Projetos!$N$2:$N$11,Dados!$A131)</f>
        <v>0</v>
      </c>
      <c r="I131" s="45">
        <f ca="1">(G131+H131)*((Indicadores_Economicos!D$2+1)^(1/12)-1)</f>
        <v>1433.1928366244188</v>
      </c>
      <c r="J131" s="18">
        <f ca="1">SUMIFS(Projetos!$G$2:$G$11,Projetos!$K$2:$K$11,"&lt;="&amp;Dados!$A131,Projetos!$N$2:$N$11,"&gt;"&amp;Dados!$A131,Projetos!$D$2:$D$11,"USD")</f>
        <v>-1.9055673516116306E-12</v>
      </c>
      <c r="K131" s="18">
        <f t="shared" ca="1" si="9"/>
        <v>439217.78537432692</v>
      </c>
    </row>
    <row r="132" spans="1:11" x14ac:dyDescent="0.2">
      <c r="A132" s="45">
        <f t="shared" ref="A132:A195" ca="1" si="10">E131</f>
        <v>78773.568408330771</v>
      </c>
      <c r="B132" s="18">
        <f>-SUMIFS(Projetos!$F$2:$F$11,Projetos!$D$2:$D$11,"BRL",Projetos!$N$2:$N$11,Dados!$A132)</f>
        <v>0</v>
      </c>
      <c r="C132" s="45">
        <f ca="1">(A132+B132)*((Indicadores_Economicos!D$2+1)^(1/12)-1)</f>
        <v>257.88416468412009</v>
      </c>
      <c r="D132" s="18">
        <f ca="1">SUMIFS(Projetos!$G$2:$G$11,Projetos!$K$2:$K$11,"&lt;="&amp;Dados!$A132,Projetos!$N$2:$N$11,"&gt;"&amp;Dados!A132,Projetos!$D$2:$D$11,"BRL")</f>
        <v>-3.3347428653203535E-13</v>
      </c>
      <c r="E132" s="18">
        <f t="shared" ca="1" si="8"/>
        <v>79031.452573014889</v>
      </c>
      <c r="G132" s="45">
        <f t="shared" ref="G132:G195" ca="1" si="11">K131</f>
        <v>439217.78537432692</v>
      </c>
      <c r="H132" s="18">
        <f>-SUMIFS(Projetos!$F$2:$F$11,Projetos!$D$2:$D$11,"USD",Projetos!$N$2:$N$11,Dados!$A132)</f>
        <v>0</v>
      </c>
      <c r="I132" s="45">
        <f ca="1">(G132+H132)*((Indicadores_Economicos!D$2+1)^(1/12)-1)</f>
        <v>1437.8847370292385</v>
      </c>
      <c r="J132" s="18">
        <f ca="1">SUMIFS(Projetos!$G$2:$G$11,Projetos!$K$2:$K$11,"&lt;="&amp;Dados!$A132,Projetos!$N$2:$N$11,"&gt;"&amp;Dados!$A132,Projetos!$D$2:$D$11,"USD")</f>
        <v>-1.9055673516116306E-12</v>
      </c>
      <c r="K132" s="18">
        <f t="shared" ca="1" si="9"/>
        <v>440655.67011135619</v>
      </c>
    </row>
    <row r="133" spans="1:11" x14ac:dyDescent="0.2">
      <c r="A133" s="45">
        <f t="shared" ca="1" si="10"/>
        <v>79031.452573014889</v>
      </c>
      <c r="B133" s="18">
        <f>-SUMIFS(Projetos!$F$2:$F$11,Projetos!$D$2:$D$11,"BRL",Projetos!$N$2:$N$11,Dados!$A133)</f>
        <v>0</v>
      </c>
      <c r="C133" s="45">
        <f ca="1">(A133+B133)*((Indicadores_Economicos!D$2+1)^(1/12)-1)</f>
        <v>258.72841033324562</v>
      </c>
      <c r="D133" s="18">
        <f ca="1">SUMIFS(Projetos!$G$2:$G$11,Projetos!$K$2:$K$11,"&lt;="&amp;Dados!$A133,Projetos!$N$2:$N$11,"&gt;"&amp;Dados!A133,Projetos!$D$2:$D$11,"BRL")</f>
        <v>-3.3347428653203535E-13</v>
      </c>
      <c r="E133" s="18">
        <f t="shared" ca="1" si="8"/>
        <v>79290.180983348138</v>
      </c>
      <c r="G133" s="45">
        <f t="shared" ca="1" si="11"/>
        <v>440655.67011135619</v>
      </c>
      <c r="H133" s="18">
        <f>-SUMIFS(Projetos!$F$2:$F$11,Projetos!$D$2:$D$11,"USD",Projetos!$N$2:$N$11,Dados!$A133)</f>
        <v>0</v>
      </c>
      <c r="I133" s="45">
        <f ca="1">(G133+H133)*((Indicadores_Economicos!D$2+1)^(1/12)-1)</f>
        <v>1442.591997495068</v>
      </c>
      <c r="J133" s="18">
        <f ca="1">SUMIFS(Projetos!$G$2:$G$11,Projetos!$K$2:$K$11,"&lt;="&amp;Dados!$A133,Projetos!$N$2:$N$11,"&gt;"&amp;Dados!$A133,Projetos!$D$2:$D$11,"USD")</f>
        <v>-1.9055673516116306E-12</v>
      </c>
      <c r="K133" s="18">
        <f t="shared" ca="1" si="9"/>
        <v>442098.26210885128</v>
      </c>
    </row>
    <row r="134" spans="1:11" x14ac:dyDescent="0.2">
      <c r="A134" s="45">
        <f t="shared" ca="1" si="10"/>
        <v>79290.180983348138</v>
      </c>
      <c r="B134" s="18">
        <f>-SUMIFS(Projetos!$F$2:$F$11,Projetos!$D$2:$D$11,"BRL",Projetos!$N$2:$N$11,Dados!$A134)</f>
        <v>0</v>
      </c>
      <c r="C134" s="45">
        <f ca="1">(A134+B134)*((Indicadores_Economicos!D$2+1)^(1/12)-1)</f>
        <v>259.57541982293867</v>
      </c>
      <c r="D134" s="18">
        <f ca="1">SUMIFS(Projetos!$G$2:$G$11,Projetos!$K$2:$K$11,"&lt;="&amp;Dados!$A134,Projetos!$N$2:$N$11,"&gt;"&amp;Dados!A134,Projetos!$D$2:$D$11,"BRL")</f>
        <v>-3.3347428653203535E-13</v>
      </c>
      <c r="E134" s="18">
        <f t="shared" ca="1" si="8"/>
        <v>79549.756403171079</v>
      </c>
      <c r="G134" s="45">
        <f t="shared" ca="1" si="11"/>
        <v>442098.26210885128</v>
      </c>
      <c r="H134" s="18">
        <f>-SUMIFS(Projetos!$F$2:$F$11,Projetos!$D$2:$D$11,"USD",Projetos!$N$2:$N$11,Dados!$A134)</f>
        <v>0</v>
      </c>
      <c r="I134" s="45">
        <f ca="1">(G134+H134)*((Indicadores_Economicos!D$2+1)^(1/12)-1)</f>
        <v>1447.3146683067494</v>
      </c>
      <c r="J134" s="18">
        <f ca="1">SUMIFS(Projetos!$G$2:$G$11,Projetos!$K$2:$K$11,"&lt;="&amp;Dados!$A134,Projetos!$N$2:$N$11,"&gt;"&amp;Dados!$A134,Projetos!$D$2:$D$11,"USD")</f>
        <v>-1.9055673516116306E-12</v>
      </c>
      <c r="K134" s="18">
        <f t="shared" ca="1" si="9"/>
        <v>443545.57677715801</v>
      </c>
    </row>
    <row r="135" spans="1:11" x14ac:dyDescent="0.2">
      <c r="A135" s="45">
        <f t="shared" ca="1" si="10"/>
        <v>79549.756403171079</v>
      </c>
      <c r="B135" s="18">
        <f>-SUMIFS(Projetos!$F$2:$F$11,Projetos!$D$2:$D$11,"BRL",Projetos!$N$2:$N$11,Dados!$A135)</f>
        <v>0</v>
      </c>
      <c r="C135" s="45">
        <f ca="1">(A135+B135)*((Indicadores_Economicos!D$2+1)^(1/12)-1)</f>
        <v>260.42520220129398</v>
      </c>
      <c r="D135" s="18">
        <f ca="1">SUMIFS(Projetos!$G$2:$G$11,Projetos!$K$2:$K$11,"&lt;="&amp;Dados!$A135,Projetos!$N$2:$N$11,"&gt;"&amp;Dados!A135,Projetos!$D$2:$D$11,"BRL")</f>
        <v>-3.3347428653203535E-13</v>
      </c>
      <c r="E135" s="18">
        <f t="shared" ca="1" si="8"/>
        <v>79810.181605372374</v>
      </c>
      <c r="G135" s="45">
        <f t="shared" ca="1" si="11"/>
        <v>443545.57677715801</v>
      </c>
      <c r="H135" s="18">
        <f>-SUMIFS(Projetos!$F$2:$F$11,Projetos!$D$2:$D$11,"USD",Projetos!$N$2:$N$11,Dados!$A135)</f>
        <v>0</v>
      </c>
      <c r="I135" s="45">
        <f ca="1">(G135+H135)*((Indicadores_Economicos!D$2+1)^(1/12)-1)</f>
        <v>1452.0527999137453</v>
      </c>
      <c r="J135" s="18">
        <f ca="1">SUMIFS(Projetos!$G$2:$G$11,Projetos!$K$2:$K$11,"&lt;="&amp;Dados!$A135,Projetos!$N$2:$N$11,"&gt;"&amp;Dados!$A135,Projetos!$D$2:$D$11,"USD")</f>
        <v>-1.9055673516116306E-12</v>
      </c>
      <c r="K135" s="18">
        <f t="shared" ca="1" si="9"/>
        <v>444997.62957707176</v>
      </c>
    </row>
    <row r="136" spans="1:11" x14ac:dyDescent="0.2">
      <c r="A136" s="45">
        <f t="shared" ca="1" si="10"/>
        <v>79810.181605372374</v>
      </c>
      <c r="B136" s="18">
        <f>-SUMIFS(Projetos!$F$2:$F$11,Projetos!$D$2:$D$11,"BRL",Projetos!$N$2:$N$11,Dados!$A136)</f>
        <v>0</v>
      </c>
      <c r="C136" s="45">
        <f ca="1">(A136+B136)*((Indicadores_Economicos!D$2+1)^(1/12)-1)</f>
        <v>261.27776654602758</v>
      </c>
      <c r="D136" s="18">
        <f ca="1">SUMIFS(Projetos!$G$2:$G$11,Projetos!$K$2:$K$11,"&lt;="&amp;Dados!$A136,Projetos!$N$2:$N$11,"&gt;"&amp;Dados!A136,Projetos!$D$2:$D$11,"BRL")</f>
        <v>-3.3347428653203535E-13</v>
      </c>
      <c r="E136" s="18">
        <f t="shared" ca="1" si="8"/>
        <v>80071.459371918405</v>
      </c>
      <c r="G136" s="45">
        <f t="shared" ca="1" si="11"/>
        <v>444997.62957707176</v>
      </c>
      <c r="H136" s="18">
        <f>-SUMIFS(Projetos!$F$2:$F$11,Projetos!$D$2:$D$11,"USD",Projetos!$N$2:$N$11,Dados!$A136)</f>
        <v>0</v>
      </c>
      <c r="I136" s="45">
        <f ca="1">(G136+H136)*((Indicadores_Economicos!D$2+1)^(1/12)-1)</f>
        <v>1456.8064429306762</v>
      </c>
      <c r="J136" s="18">
        <f ca="1">SUMIFS(Projetos!$G$2:$G$11,Projetos!$K$2:$K$11,"&lt;="&amp;Dados!$A136,Projetos!$N$2:$N$11,"&gt;"&amp;Dados!$A136,Projetos!$D$2:$D$11,"USD")</f>
        <v>-1.9055673516116306E-12</v>
      </c>
      <c r="K136" s="18">
        <f t="shared" ca="1" si="9"/>
        <v>446454.43602000241</v>
      </c>
    </row>
    <row r="137" spans="1:11" x14ac:dyDescent="0.2">
      <c r="A137" s="45">
        <f t="shared" ca="1" si="10"/>
        <v>80071.459371918405</v>
      </c>
      <c r="B137" s="18">
        <f>-SUMIFS(Projetos!$F$2:$F$11,Projetos!$D$2:$D$11,"BRL",Projetos!$N$2:$N$11,Dados!$A137)</f>
        <v>0</v>
      </c>
      <c r="C137" s="45">
        <f ca="1">(A137+B137)*((Indicadores_Economicos!D$2+1)^(1/12)-1)</f>
        <v>262.13312196457338</v>
      </c>
      <c r="D137" s="18">
        <f ca="1">SUMIFS(Projetos!$G$2:$G$11,Projetos!$K$2:$K$11,"&lt;="&amp;Dados!$A137,Projetos!$N$2:$N$11,"&gt;"&amp;Dados!A137,Projetos!$D$2:$D$11,"BRL")</f>
        <v>-3.3347428653203535E-13</v>
      </c>
      <c r="E137" s="18">
        <f t="shared" ca="1" si="8"/>
        <v>80333.592493882985</v>
      </c>
      <c r="G137" s="45">
        <f t="shared" ca="1" si="11"/>
        <v>446454.43602000241</v>
      </c>
      <c r="H137" s="18">
        <f>-SUMIFS(Projetos!$F$2:$F$11,Projetos!$D$2:$D$11,"USD",Projetos!$N$2:$N$11,Dados!$A137)</f>
        <v>0</v>
      </c>
      <c r="I137" s="45">
        <f ca="1">(G137+H137)*((Indicadores_Economicos!D$2+1)^(1/12)-1)</f>
        <v>1461.5756481378619</v>
      </c>
      <c r="J137" s="18">
        <f ca="1">SUMIFS(Projetos!$G$2:$G$11,Projetos!$K$2:$K$11,"&lt;="&amp;Dados!$A137,Projetos!$N$2:$N$11,"&gt;"&amp;Dados!$A137,Projetos!$D$2:$D$11,"USD")</f>
        <v>-1.9055673516116306E-12</v>
      </c>
      <c r="K137" s="18">
        <f t="shared" ca="1" si="9"/>
        <v>447916.01166814024</v>
      </c>
    </row>
    <row r="138" spans="1:11" x14ac:dyDescent="0.2">
      <c r="A138" s="45">
        <f t="shared" ca="1" si="10"/>
        <v>80333.592493882985</v>
      </c>
      <c r="B138" s="18">
        <f>-SUMIFS(Projetos!$F$2:$F$11,Projetos!$D$2:$D$11,"BRL",Projetos!$N$2:$N$11,Dados!$A138)</f>
        <v>0</v>
      </c>
      <c r="C138" s="45">
        <f ca="1">(A138+B138)*((Indicadores_Economicos!D$2+1)^(1/12)-1)</f>
        <v>262.99127759418081</v>
      </c>
      <c r="D138" s="18">
        <f ca="1">SUMIFS(Projetos!$G$2:$G$11,Projetos!$K$2:$K$11,"&lt;="&amp;Dados!$A138,Projetos!$N$2:$N$11,"&gt;"&amp;Dados!A138,Projetos!$D$2:$D$11,"BRL")</f>
        <v>-3.3347428653203535E-13</v>
      </c>
      <c r="E138" s="18">
        <f t="shared" ca="1" si="8"/>
        <v>80596.583771477162</v>
      </c>
      <c r="G138" s="45">
        <f t="shared" ca="1" si="11"/>
        <v>447916.01166814024</v>
      </c>
      <c r="H138" s="18">
        <f>-SUMIFS(Projetos!$F$2:$F$11,Projetos!$D$2:$D$11,"USD",Projetos!$N$2:$N$11,Dados!$A138)</f>
        <v>0</v>
      </c>
      <c r="I138" s="45">
        <f ca="1">(G138+H138)*((Indicadores_Economicos!D$2+1)^(1/12)-1)</f>
        <v>1466.3604664818638</v>
      </c>
      <c r="J138" s="18">
        <f ca="1">SUMIFS(Projetos!$G$2:$G$11,Projetos!$K$2:$K$11,"&lt;="&amp;Dados!$A138,Projetos!$N$2:$N$11,"&gt;"&amp;Dados!$A138,Projetos!$D$2:$D$11,"USD")</f>
        <v>-1.9055673516116306E-12</v>
      </c>
      <c r="K138" s="18">
        <f t="shared" ca="1" si="9"/>
        <v>449382.37213462213</v>
      </c>
    </row>
    <row r="139" spans="1:11" x14ac:dyDescent="0.2">
      <c r="A139" s="45">
        <f t="shared" ca="1" si="10"/>
        <v>80596.583771477162</v>
      </c>
      <c r="B139" s="18">
        <f>-SUMIFS(Projetos!$F$2:$F$11,Projetos!$D$2:$D$11,"BRL",Projetos!$N$2:$N$11,Dados!$A139)</f>
        <v>0</v>
      </c>
      <c r="C139" s="45">
        <f ca="1">(A139+B139)*((Indicadores_Economicos!D$2+1)^(1/12)-1)</f>
        <v>263.85224260201221</v>
      </c>
      <c r="D139" s="18">
        <f ca="1">SUMIFS(Projetos!$G$2:$G$11,Projetos!$K$2:$K$11,"&lt;="&amp;Dados!$A139,Projetos!$N$2:$N$11,"&gt;"&amp;Dados!A139,Projetos!$D$2:$D$11,"BRL")</f>
        <v>-3.3347428653203535E-13</v>
      </c>
      <c r="E139" s="18">
        <f t="shared" ca="1" si="8"/>
        <v>80860.436014079169</v>
      </c>
      <c r="G139" s="45">
        <f t="shared" ca="1" si="11"/>
        <v>449382.37213462213</v>
      </c>
      <c r="H139" s="18">
        <f>-SUMIFS(Projetos!$F$2:$F$11,Projetos!$D$2:$D$11,"USD",Projetos!$N$2:$N$11,Dados!$A139)</f>
        <v>0</v>
      </c>
      <c r="I139" s="45">
        <f ca="1">(G139+H139)*((Indicadores_Economicos!D$2+1)^(1/12)-1)</f>
        <v>1471.1609490760293</v>
      </c>
      <c r="J139" s="18">
        <f ca="1">SUMIFS(Projetos!$G$2:$G$11,Projetos!$K$2:$K$11,"&lt;="&amp;Dados!$A139,Projetos!$N$2:$N$11,"&gt;"&amp;Dados!$A139,Projetos!$D$2:$D$11,"USD")</f>
        <v>-1.9055673516116306E-12</v>
      </c>
      <c r="K139" s="18">
        <f t="shared" ca="1" si="9"/>
        <v>450853.53308369813</v>
      </c>
    </row>
    <row r="140" spans="1:11" x14ac:dyDescent="0.2">
      <c r="A140" s="45">
        <f t="shared" ca="1" si="10"/>
        <v>80860.436014079169</v>
      </c>
      <c r="B140" s="18">
        <f>-SUMIFS(Projetos!$F$2:$F$11,Projetos!$D$2:$D$11,"BRL",Projetos!$N$2:$N$11,Dados!$A140)</f>
        <v>0</v>
      </c>
      <c r="C140" s="45">
        <f ca="1">(A140+B140)*((Indicadores_Economicos!D$2+1)^(1/12)-1)</f>
        <v>264.71602618524082</v>
      </c>
      <c r="D140" s="18">
        <f ca="1">SUMIFS(Projetos!$G$2:$G$11,Projetos!$K$2:$K$11,"&lt;="&amp;Dados!$A140,Projetos!$N$2:$N$11,"&gt;"&amp;Dados!A140,Projetos!$D$2:$D$11,"BRL")</f>
        <v>-3.3347428653203535E-13</v>
      </c>
      <c r="E140" s="18">
        <f t="shared" ca="1" si="8"/>
        <v>81125.152040264409</v>
      </c>
      <c r="G140" s="45">
        <f t="shared" ca="1" si="11"/>
        <v>450853.53308369813</v>
      </c>
      <c r="H140" s="18">
        <f>-SUMIFS(Projetos!$F$2:$F$11,Projetos!$D$2:$D$11,"USD",Projetos!$N$2:$N$11,Dados!$A140)</f>
        <v>0</v>
      </c>
      <c r="I140" s="45">
        <f ca="1">(G140+H140)*((Indicadores_Economicos!D$2+1)^(1/12)-1)</f>
        <v>1475.977147201037</v>
      </c>
      <c r="J140" s="18">
        <f ca="1">SUMIFS(Projetos!$G$2:$G$11,Projetos!$K$2:$K$11,"&lt;="&amp;Dados!$A140,Projetos!$N$2:$N$11,"&gt;"&amp;Dados!$A140,Projetos!$D$2:$D$11,"USD")</f>
        <v>-1.9055673516116306E-12</v>
      </c>
      <c r="K140" s="18">
        <f t="shared" ca="1" si="9"/>
        <v>452329.51023089915</v>
      </c>
    </row>
    <row r="141" spans="1:11" x14ac:dyDescent="0.2">
      <c r="A141" s="45">
        <f t="shared" ca="1" si="10"/>
        <v>81125.152040264409</v>
      </c>
      <c r="B141" s="18">
        <f>-SUMIFS(Projetos!$F$2:$F$11,Projetos!$D$2:$D$11,"BRL",Projetos!$N$2:$N$11,Dados!$A141)</f>
        <v>0</v>
      </c>
      <c r="C141" s="45">
        <f ca="1">(A141+B141)*((Indicadores_Economicos!D$2+1)^(1/12)-1)</f>
        <v>265.58263757114901</v>
      </c>
      <c r="D141" s="18">
        <f ca="1">SUMIFS(Projetos!$G$2:$G$11,Projetos!$K$2:$K$11,"&lt;="&amp;Dados!$A141,Projetos!$N$2:$N$11,"&gt;"&amp;Dados!A141,Projetos!$D$2:$D$11,"BRL")</f>
        <v>-3.3347428653203535E-13</v>
      </c>
      <c r="E141" s="18">
        <f t="shared" ca="1" si="8"/>
        <v>81390.734677835557</v>
      </c>
      <c r="G141" s="45">
        <f t="shared" ca="1" si="11"/>
        <v>452329.51023089915</v>
      </c>
      <c r="H141" s="18">
        <f>-SUMIFS(Projetos!$F$2:$F$11,Projetos!$D$2:$D$11,"USD",Projetos!$N$2:$N$11,Dados!$A141)</f>
        <v>0</v>
      </c>
      <c r="I141" s="45">
        <f ca="1">(G141+H141)*((Indicadores_Economicos!D$2+1)^(1/12)-1)</f>
        <v>1480.8091123054455</v>
      </c>
      <c r="J141" s="18">
        <f ca="1">SUMIFS(Projetos!$G$2:$G$11,Projetos!$K$2:$K$11,"&lt;="&amp;Dados!$A141,Projetos!$N$2:$N$11,"&gt;"&amp;Dados!$A141,Projetos!$D$2:$D$11,"USD")</f>
        <v>-1.9055673516116306E-12</v>
      </c>
      <c r="K141" s="18">
        <f t="shared" ca="1" si="9"/>
        <v>453810.31934320461</v>
      </c>
    </row>
    <row r="142" spans="1:11" x14ac:dyDescent="0.2">
      <c r="A142" s="45">
        <f t="shared" ca="1" si="10"/>
        <v>81390.734677835557</v>
      </c>
      <c r="B142" s="18">
        <f>-SUMIFS(Projetos!$F$2:$F$11,Projetos!$D$2:$D$11,"BRL",Projetos!$N$2:$N$11,Dados!$A142)</f>
        <v>0</v>
      </c>
      <c r="C142" s="45">
        <f ca="1">(A142+B142)*((Indicadores_Economicos!D$2+1)^(1/12)-1)</f>
        <v>266.45208601722703</v>
      </c>
      <c r="D142" s="18">
        <f ca="1">SUMIFS(Projetos!$G$2:$G$11,Projetos!$K$2:$K$11,"&lt;="&amp;Dados!$A142,Projetos!$N$2:$N$11,"&gt;"&amp;Dados!A142,Projetos!$D$2:$D$11,"BRL")</f>
        <v>-3.3347428653203535E-13</v>
      </c>
      <c r="E142" s="18">
        <f t="shared" ca="1" si="8"/>
        <v>81657.186763852791</v>
      </c>
      <c r="G142" s="45">
        <f t="shared" ca="1" si="11"/>
        <v>453810.31934320461</v>
      </c>
      <c r="H142" s="18">
        <f>-SUMIFS(Projetos!$F$2:$F$11,Projetos!$D$2:$D$11,"USD",Projetos!$N$2:$N$11,Dados!$A142)</f>
        <v>0</v>
      </c>
      <c r="I142" s="45">
        <f ca="1">(G142+H142)*((Indicadores_Economicos!D$2+1)^(1/12)-1)</f>
        <v>1485.6568960062425</v>
      </c>
      <c r="J142" s="18">
        <f ca="1">SUMIFS(Projetos!$G$2:$G$11,Projetos!$K$2:$K$11,"&lt;="&amp;Dados!$A142,Projetos!$N$2:$N$11,"&gt;"&amp;Dados!$A142,Projetos!$D$2:$D$11,"USD")</f>
        <v>-1.9055673516116306E-12</v>
      </c>
      <c r="K142" s="18">
        <f t="shared" ca="1" si="9"/>
        <v>455295.97623921087</v>
      </c>
    </row>
    <row r="143" spans="1:11" x14ac:dyDescent="0.2">
      <c r="A143" s="45">
        <f t="shared" ca="1" si="10"/>
        <v>81657.186763852791</v>
      </c>
      <c r="B143" s="18">
        <f>-SUMIFS(Projetos!$F$2:$F$11,Projetos!$D$2:$D$11,"BRL",Projetos!$N$2:$N$11,Dados!$A143)</f>
        <v>0</v>
      </c>
      <c r="C143" s="45">
        <f ca="1">(A143+B143)*((Indicadores_Economicos!D$2+1)^(1/12)-1)</f>
        <v>267.32438081127151</v>
      </c>
      <c r="D143" s="18">
        <f ca="1">SUMIFS(Projetos!$G$2:$G$11,Projetos!$K$2:$K$11,"&lt;="&amp;Dados!$A143,Projetos!$N$2:$N$11,"&gt;"&amp;Dados!A143,Projetos!$D$2:$D$11,"BRL")</f>
        <v>-3.3347428653203535E-13</v>
      </c>
      <c r="E143" s="18">
        <f t="shared" ca="1" si="8"/>
        <v>81924.511144664066</v>
      </c>
      <c r="G143" s="45">
        <f t="shared" ca="1" si="11"/>
        <v>455295.97623921087</v>
      </c>
      <c r="H143" s="18">
        <f>-SUMIFS(Projetos!$F$2:$F$11,Projetos!$D$2:$D$11,"USD",Projetos!$N$2:$N$11,Dados!$A143)</f>
        <v>0</v>
      </c>
      <c r="I143" s="45">
        <f ca="1">(G143+H143)*((Indicadores_Economicos!D$2+1)^(1/12)-1)</f>
        <v>1490.5205500893962</v>
      </c>
      <c r="J143" s="18">
        <f ca="1">SUMIFS(Projetos!$G$2:$G$11,Projetos!$K$2:$K$11,"&lt;="&amp;Dados!$A143,Projetos!$N$2:$N$11,"&gt;"&amp;Dados!$A143,Projetos!$D$2:$D$11,"USD")</f>
        <v>-1.9055673516116306E-12</v>
      </c>
      <c r="K143" s="18">
        <f t="shared" ca="1" si="9"/>
        <v>456786.49678930029</v>
      </c>
    </row>
    <row r="144" spans="1:11" x14ac:dyDescent="0.2">
      <c r="A144" s="45">
        <f t="shared" ca="1" si="10"/>
        <v>81924.511144664066</v>
      </c>
      <c r="B144" s="18">
        <f>-SUMIFS(Projetos!$F$2:$F$11,Projetos!$D$2:$D$11,"BRL",Projetos!$N$2:$N$11,Dados!$A144)</f>
        <v>0</v>
      </c>
      <c r="C144" s="45">
        <f ca="1">(A144+B144)*((Indicadores_Economicos!D$2+1)^(1/12)-1)</f>
        <v>268.19953127148506</v>
      </c>
      <c r="D144" s="18">
        <f ca="1">SUMIFS(Projetos!$G$2:$G$11,Projetos!$K$2:$K$11,"&lt;="&amp;Dados!$A144,Projetos!$N$2:$N$11,"&gt;"&amp;Dados!A144,Projetos!$D$2:$D$11,"BRL")</f>
        <v>-3.3347428653203535E-13</v>
      </c>
      <c r="E144" s="18">
        <f t="shared" ca="1" si="8"/>
        <v>82192.710675935552</v>
      </c>
      <c r="G144" s="45">
        <f t="shared" ca="1" si="11"/>
        <v>456786.49678930029</v>
      </c>
      <c r="H144" s="18">
        <f>-SUMIFS(Projetos!$F$2:$F$11,Projetos!$D$2:$D$11,"USD",Projetos!$N$2:$N$11,Dados!$A144)</f>
        <v>0</v>
      </c>
      <c r="I144" s="45">
        <f ca="1">(G144+H144)*((Indicadores_Economicos!D$2+1)^(1/12)-1)</f>
        <v>1495.4001265104091</v>
      </c>
      <c r="J144" s="18">
        <f ca="1">SUMIFS(Projetos!$G$2:$G$11,Projetos!$K$2:$K$11,"&lt;="&amp;Dados!$A144,Projetos!$N$2:$N$11,"&gt;"&amp;Dados!$A144,Projetos!$D$2:$D$11,"USD")</f>
        <v>-1.9055673516116306E-12</v>
      </c>
      <c r="K144" s="18">
        <f t="shared" ca="1" si="9"/>
        <v>458281.89691581071</v>
      </c>
    </row>
    <row r="145" spans="1:11" x14ac:dyDescent="0.2">
      <c r="A145" s="45">
        <f t="shared" ca="1" si="10"/>
        <v>82192.710675935552</v>
      </c>
      <c r="B145" s="18">
        <f>-SUMIFS(Projetos!$F$2:$F$11,Projetos!$D$2:$D$11,"BRL",Projetos!$N$2:$N$11,Dados!$A145)</f>
        <v>0</v>
      </c>
      <c r="C145" s="45">
        <f ca="1">(A145+B145)*((Indicadores_Economicos!D$2+1)^(1/12)-1)</f>
        <v>269.07754674657565</v>
      </c>
      <c r="D145" s="18">
        <f ca="1">SUMIFS(Projetos!$G$2:$G$11,Projetos!$K$2:$K$11,"&lt;="&amp;Dados!$A145,Projetos!$N$2:$N$11,"&gt;"&amp;Dados!A145,Projetos!$D$2:$D$11,"BRL")</f>
        <v>-3.3347428653203535E-13</v>
      </c>
      <c r="E145" s="18">
        <f t="shared" ca="1" si="8"/>
        <v>82461.788222682124</v>
      </c>
      <c r="G145" s="45">
        <f t="shared" ca="1" si="11"/>
        <v>458281.89691581071</v>
      </c>
      <c r="H145" s="18">
        <f>-SUMIFS(Projetos!$F$2:$F$11,Projetos!$D$2:$D$11,"USD",Projetos!$N$2:$N$11,Dados!$A145)</f>
        <v>0</v>
      </c>
      <c r="I145" s="45">
        <f ca="1">(G145+H145)*((Indicadores_Economicos!D$2+1)^(1/12)-1)</f>
        <v>1500.2956773948715</v>
      </c>
      <c r="J145" s="18">
        <f ca="1">SUMIFS(Projetos!$G$2:$G$11,Projetos!$K$2:$K$11,"&lt;="&amp;Dados!$A145,Projetos!$N$2:$N$11,"&gt;"&amp;Dados!$A145,Projetos!$D$2:$D$11,"USD")</f>
        <v>-1.9055673516116306E-12</v>
      </c>
      <c r="K145" s="18">
        <f t="shared" ca="1" si="9"/>
        <v>459782.1925932056</v>
      </c>
    </row>
    <row r="146" spans="1:11" x14ac:dyDescent="0.2">
      <c r="A146" s="45">
        <f t="shared" ca="1" si="10"/>
        <v>82461.788222682124</v>
      </c>
      <c r="B146" s="18">
        <f>-SUMIFS(Projetos!$F$2:$F$11,Projetos!$D$2:$D$11,"BRL",Projetos!$N$2:$N$11,Dados!$A146)</f>
        <v>0</v>
      </c>
      <c r="C146" s="45">
        <f ca="1">(A146+B146)*((Indicadores_Economicos!D$2+1)^(1/12)-1)</f>
        <v>269.95843661585639</v>
      </c>
      <c r="D146" s="18">
        <f ca="1">SUMIFS(Projetos!$G$2:$G$11,Projetos!$K$2:$K$11,"&lt;="&amp;Dados!$A146,Projetos!$N$2:$N$11,"&gt;"&amp;Dados!A146,Projetos!$D$2:$D$11,"BRL")</f>
        <v>-3.3347428653203535E-13</v>
      </c>
      <c r="E146" s="18">
        <f t="shared" ca="1" si="8"/>
        <v>82731.746659297976</v>
      </c>
      <c r="G146" s="45">
        <f t="shared" ca="1" si="11"/>
        <v>459782.1925932056</v>
      </c>
      <c r="H146" s="18">
        <f>-SUMIFS(Projetos!$F$2:$F$11,Projetos!$D$2:$D$11,"USD",Projetos!$N$2:$N$11,Dados!$A146)</f>
        <v>0</v>
      </c>
      <c r="I146" s="45">
        <f ca="1">(G146+H146)*((Indicadores_Economicos!D$2+1)^(1/12)-1)</f>
        <v>1505.2072550390203</v>
      </c>
      <c r="J146" s="18">
        <f ca="1">SUMIFS(Projetos!$G$2:$G$11,Projetos!$K$2:$K$11,"&lt;="&amp;Dados!$A146,Projetos!$N$2:$N$11,"&gt;"&amp;Dados!$A146,Projetos!$D$2:$D$11,"USD")</f>
        <v>-1.9055673516116306E-12</v>
      </c>
      <c r="K146" s="18">
        <f t="shared" ca="1" si="9"/>
        <v>461287.39984824462</v>
      </c>
    </row>
    <row r="147" spans="1:11" x14ac:dyDescent="0.2">
      <c r="A147" s="45">
        <f t="shared" ca="1" si="10"/>
        <v>82731.746659297976</v>
      </c>
      <c r="B147" s="18">
        <f>-SUMIFS(Projetos!$F$2:$F$11,Projetos!$D$2:$D$11,"BRL",Projetos!$N$2:$N$11,Dados!$A147)</f>
        <v>0</v>
      </c>
      <c r="C147" s="45">
        <f ca="1">(A147+B147)*((Indicadores_Economicos!D$2+1)^(1/12)-1)</f>
        <v>270.84221028934593</v>
      </c>
      <c r="D147" s="18">
        <f ca="1">SUMIFS(Projetos!$G$2:$G$11,Projetos!$K$2:$K$11,"&lt;="&amp;Dados!$A147,Projetos!$N$2:$N$11,"&gt;"&amp;Dados!A147,Projetos!$D$2:$D$11,"BRL")</f>
        <v>-3.3347428653203535E-13</v>
      </c>
      <c r="E147" s="18">
        <f t="shared" ca="1" si="8"/>
        <v>83002.588869587329</v>
      </c>
      <c r="G147" s="45">
        <f t="shared" ca="1" si="11"/>
        <v>461287.39984824462</v>
      </c>
      <c r="H147" s="18">
        <f>-SUMIFS(Projetos!$F$2:$F$11,Projetos!$D$2:$D$11,"USD",Projetos!$N$2:$N$11,Dados!$A147)</f>
        <v>0</v>
      </c>
      <c r="I147" s="45">
        <f ca="1">(G147+H147)*((Indicadores_Economicos!D$2+1)^(1/12)-1)</f>
        <v>1510.1349119102958</v>
      </c>
      <c r="J147" s="18">
        <f ca="1">SUMIFS(Projetos!$G$2:$G$11,Projetos!$K$2:$K$11,"&lt;="&amp;Dados!$A147,Projetos!$N$2:$N$11,"&gt;"&amp;Dados!$A147,Projetos!$D$2:$D$11,"USD")</f>
        <v>-1.9055673516116306E-12</v>
      </c>
      <c r="K147" s="18">
        <f t="shared" ca="1" si="9"/>
        <v>462797.5347601549</v>
      </c>
    </row>
    <row r="148" spans="1:11" x14ac:dyDescent="0.2">
      <c r="A148" s="45">
        <f t="shared" ca="1" si="10"/>
        <v>83002.588869587329</v>
      </c>
      <c r="B148" s="18">
        <f>-SUMIFS(Projetos!$F$2:$F$11,Projetos!$D$2:$D$11,"BRL",Projetos!$N$2:$N$11,Dados!$A148)</f>
        <v>0</v>
      </c>
      <c r="C148" s="45">
        <f ca="1">(A148+B148)*((Indicadores_Economicos!D$2+1)^(1/12)-1)</f>
        <v>271.72887720786889</v>
      </c>
      <c r="D148" s="18">
        <f ca="1">SUMIFS(Projetos!$G$2:$G$11,Projetos!$K$2:$K$11,"&lt;="&amp;Dados!$A148,Projetos!$N$2:$N$11,"&gt;"&amp;Dados!A148,Projetos!$D$2:$D$11,"BRL")</f>
        <v>-3.3347428653203535E-13</v>
      </c>
      <c r="E148" s="18">
        <f t="shared" ca="1" si="8"/>
        <v>83274.317746795205</v>
      </c>
      <c r="G148" s="45">
        <f t="shared" ca="1" si="11"/>
        <v>462797.5347601549</v>
      </c>
      <c r="H148" s="18">
        <f>-SUMIFS(Projetos!$F$2:$F$11,Projetos!$D$2:$D$11,"USD",Projetos!$N$2:$N$11,Dados!$A148)</f>
        <v>0</v>
      </c>
      <c r="I148" s="45">
        <f ca="1">(G148+H148)*((Indicadores_Economicos!D$2+1)^(1/12)-1)</f>
        <v>1515.078700647904</v>
      </c>
      <c r="J148" s="18">
        <f ca="1">SUMIFS(Projetos!$G$2:$G$11,Projetos!$K$2:$K$11,"&lt;="&amp;Dados!$A148,Projetos!$N$2:$N$11,"&gt;"&amp;Dados!$A148,Projetos!$D$2:$D$11,"USD")</f>
        <v>-1.9055673516116306E-12</v>
      </c>
      <c r="K148" s="18">
        <f t="shared" ca="1" si="9"/>
        <v>464312.61346080282</v>
      </c>
    </row>
    <row r="149" spans="1:11" x14ac:dyDescent="0.2">
      <c r="A149" s="45">
        <f t="shared" ca="1" si="10"/>
        <v>83274.317746795205</v>
      </c>
      <c r="B149" s="18">
        <f>-SUMIFS(Projetos!$F$2:$F$11,Projetos!$D$2:$D$11,"BRL",Projetos!$N$2:$N$11,Dados!$A149)</f>
        <v>0</v>
      </c>
      <c r="C149" s="45">
        <f ca="1">(A149+B149)*((Indicadores_Economicos!D$2+1)^(1/12)-1)</f>
        <v>272.61844684315651</v>
      </c>
      <c r="D149" s="18">
        <f ca="1">SUMIFS(Projetos!$G$2:$G$11,Projetos!$K$2:$K$11,"&lt;="&amp;Dados!$A149,Projetos!$N$2:$N$11,"&gt;"&amp;Dados!A149,Projetos!$D$2:$D$11,"BRL")</f>
        <v>-3.3347428653203535E-13</v>
      </c>
      <c r="E149" s="18">
        <f t="shared" ca="1" si="8"/>
        <v>83546.936193638365</v>
      </c>
      <c r="G149" s="45">
        <f t="shared" ca="1" si="11"/>
        <v>464312.61346080282</v>
      </c>
      <c r="H149" s="18">
        <f>-SUMIFS(Projetos!$F$2:$F$11,Projetos!$D$2:$D$11,"USD",Projetos!$N$2:$N$11,Dados!$A149)</f>
        <v>0</v>
      </c>
      <c r="I149" s="45">
        <f ca="1">(G149+H149)*((Indicadores_Economicos!D$2+1)^(1/12)-1)</f>
        <v>1520.0386740633774</v>
      </c>
      <c r="J149" s="18">
        <f ca="1">SUMIFS(Projetos!$G$2:$G$11,Projetos!$K$2:$K$11,"&lt;="&amp;Dados!$A149,Projetos!$N$2:$N$11,"&gt;"&amp;Dados!$A149,Projetos!$D$2:$D$11,"USD")</f>
        <v>-1.9055673516116306E-12</v>
      </c>
      <c r="K149" s="18">
        <f t="shared" ca="1" si="9"/>
        <v>465832.65213486622</v>
      </c>
    </row>
    <row r="150" spans="1:11" x14ac:dyDescent="0.2">
      <c r="A150" s="45">
        <f t="shared" ca="1" si="10"/>
        <v>83546.936193638365</v>
      </c>
      <c r="B150" s="18">
        <f>-SUMIFS(Projetos!$F$2:$F$11,Projetos!$D$2:$D$11,"BRL",Projetos!$N$2:$N$11,Dados!$A150)</f>
        <v>0</v>
      </c>
      <c r="C150" s="45">
        <f ca="1">(A150+B150)*((Indicadores_Economicos!D$2+1)^(1/12)-1)</f>
        <v>273.51092869794826</v>
      </c>
      <c r="D150" s="18">
        <f ca="1">SUMIFS(Projetos!$G$2:$G$11,Projetos!$K$2:$K$11,"&lt;="&amp;Dados!$A150,Projetos!$N$2:$N$11,"&gt;"&amp;Dados!A150,Projetos!$D$2:$D$11,"BRL")</f>
        <v>-3.3347428653203535E-13</v>
      </c>
      <c r="E150" s="18">
        <f t="shared" ca="1" si="8"/>
        <v>83820.447122336307</v>
      </c>
      <c r="G150" s="45">
        <f t="shared" ca="1" si="11"/>
        <v>465832.65213486622</v>
      </c>
      <c r="H150" s="18">
        <f>-SUMIFS(Projetos!$F$2:$F$11,Projetos!$D$2:$D$11,"USD",Projetos!$N$2:$N$11,Dados!$A150)</f>
        <v>0</v>
      </c>
      <c r="I150" s="45">
        <f ca="1">(G150+H150)*((Indicadores_Economicos!D$2+1)^(1/12)-1)</f>
        <v>1525.0148851411395</v>
      </c>
      <c r="J150" s="18">
        <f ca="1">SUMIFS(Projetos!$G$2:$G$11,Projetos!$K$2:$K$11,"&lt;="&amp;Dados!$A150,Projetos!$N$2:$N$11,"&gt;"&amp;Dados!$A150,Projetos!$D$2:$D$11,"USD")</f>
        <v>-1.9055673516116306E-12</v>
      </c>
      <c r="K150" s="18">
        <f t="shared" ca="1" si="9"/>
        <v>467357.66702000739</v>
      </c>
    </row>
    <row r="151" spans="1:11" x14ac:dyDescent="0.2">
      <c r="A151" s="45">
        <f t="shared" ca="1" si="10"/>
        <v>83820.447122336307</v>
      </c>
      <c r="B151" s="18">
        <f>-SUMIFS(Projetos!$F$2:$F$11,Projetos!$D$2:$D$11,"BRL",Projetos!$N$2:$N$11,Dados!$A151)</f>
        <v>0</v>
      </c>
      <c r="C151" s="45">
        <f ca="1">(A151+B151)*((Indicadores_Economicos!D$2+1)^(1/12)-1)</f>
        <v>274.40633230609291</v>
      </c>
      <c r="D151" s="18">
        <f ca="1">SUMIFS(Projetos!$G$2:$G$11,Projetos!$K$2:$K$11,"&lt;="&amp;Dados!$A151,Projetos!$N$2:$N$11,"&gt;"&amp;Dados!A151,Projetos!$D$2:$D$11,"BRL")</f>
        <v>-3.3347428653203535E-13</v>
      </c>
      <c r="E151" s="18">
        <f t="shared" ca="1" si="8"/>
        <v>84094.853454642405</v>
      </c>
      <c r="G151" s="45">
        <f t="shared" ca="1" si="11"/>
        <v>467357.66702000739</v>
      </c>
      <c r="H151" s="18">
        <f>-SUMIFS(Projetos!$F$2:$F$11,Projetos!$D$2:$D$11,"USD",Projetos!$N$2:$N$11,Dados!$A151)</f>
        <v>0</v>
      </c>
      <c r="I151" s="45">
        <f ca="1">(G151+H151)*((Indicadores_Economicos!D$2+1)^(1/12)-1)</f>
        <v>1530.0073870390718</v>
      </c>
      <c r="J151" s="18">
        <f ca="1">SUMIFS(Projetos!$G$2:$G$11,Projetos!$K$2:$K$11,"&lt;="&amp;Dados!$A151,Projetos!$N$2:$N$11,"&gt;"&amp;Dados!$A151,Projetos!$D$2:$D$11,"USD")</f>
        <v>-1.9055673516116306E-12</v>
      </c>
      <c r="K151" s="18">
        <f t="shared" ca="1" si="9"/>
        <v>468887.67440704646</v>
      </c>
    </row>
    <row r="152" spans="1:11" x14ac:dyDescent="0.2">
      <c r="A152" s="45">
        <f t="shared" ca="1" si="10"/>
        <v>84094.853454642405</v>
      </c>
      <c r="B152" s="18">
        <f>-SUMIFS(Projetos!$F$2:$F$11,Projetos!$D$2:$D$11,"BRL",Projetos!$N$2:$N$11,Dados!$A152)</f>
        <v>0</v>
      </c>
      <c r="C152" s="45">
        <f ca="1">(A152+B152)*((Indicadores_Economicos!D$2+1)^(1/12)-1)</f>
        <v>275.30466723265067</v>
      </c>
      <c r="D152" s="18">
        <f ca="1">SUMIFS(Projetos!$G$2:$G$11,Projetos!$K$2:$K$11,"&lt;="&amp;Dados!$A152,Projetos!$N$2:$N$11,"&gt;"&amp;Dados!A152,Projetos!$D$2:$D$11,"BRL")</f>
        <v>-3.3347428653203535E-13</v>
      </c>
      <c r="E152" s="18">
        <f t="shared" ca="1" si="8"/>
        <v>84370.158121875051</v>
      </c>
      <c r="G152" s="45">
        <f t="shared" ca="1" si="11"/>
        <v>468887.67440704646</v>
      </c>
      <c r="H152" s="18">
        <f>-SUMIFS(Projetos!$F$2:$F$11,Projetos!$D$2:$D$11,"USD",Projetos!$N$2:$N$11,Dados!$A152)</f>
        <v>0</v>
      </c>
      <c r="I152" s="45">
        <f ca="1">(G152+H152)*((Indicadores_Economicos!D$2+1)^(1/12)-1)</f>
        <v>1535.0162330890798</v>
      </c>
      <c r="J152" s="18">
        <f ca="1">SUMIFS(Projetos!$G$2:$G$11,Projetos!$K$2:$K$11,"&lt;="&amp;Dados!$A152,Projetos!$N$2:$N$11,"&gt;"&amp;Dados!$A152,Projetos!$D$2:$D$11,"USD")</f>
        <v>-1.9055673516116306E-12</v>
      </c>
      <c r="K152" s="18">
        <f t="shared" ca="1" si="9"/>
        <v>470422.69064013555</v>
      </c>
    </row>
    <row r="153" spans="1:11" x14ac:dyDescent="0.2">
      <c r="A153" s="45">
        <f t="shared" ca="1" si="10"/>
        <v>84370.158121875051</v>
      </c>
      <c r="B153" s="18">
        <f>-SUMIFS(Projetos!$F$2:$F$11,Projetos!$D$2:$D$11,"BRL",Projetos!$N$2:$N$11,Dados!$A153)</f>
        <v>0</v>
      </c>
      <c r="C153" s="45">
        <f ca="1">(A153+B153)*((Indicadores_Economicos!D$2+1)^(1/12)-1)</f>
        <v>276.20594307399523</v>
      </c>
      <c r="D153" s="18">
        <f ca="1">SUMIFS(Projetos!$G$2:$G$11,Projetos!$K$2:$K$11,"&lt;="&amp;Dados!$A153,Projetos!$N$2:$N$11,"&gt;"&amp;Dados!A153,Projetos!$D$2:$D$11,"BRL")</f>
        <v>-3.3347428653203535E-13</v>
      </c>
      <c r="E153" s="18">
        <f t="shared" ca="1" si="8"/>
        <v>84646.364064949041</v>
      </c>
      <c r="G153" s="45">
        <f t="shared" ca="1" si="11"/>
        <v>470422.69064013555</v>
      </c>
      <c r="H153" s="18">
        <f>-SUMIFS(Projetos!$F$2:$F$11,Projetos!$D$2:$D$11,"USD",Projetos!$N$2:$N$11,Dados!$A153)</f>
        <v>0</v>
      </c>
      <c r="I153" s="45">
        <f ca="1">(G153+H153)*((Indicadores_Economicos!D$2+1)^(1/12)-1)</f>
        <v>1540.0414767976647</v>
      </c>
      <c r="J153" s="18">
        <f ca="1">SUMIFS(Projetos!$G$2:$G$11,Projetos!$K$2:$K$11,"&lt;="&amp;Dados!$A153,Projetos!$N$2:$N$11,"&gt;"&amp;Dados!$A153,Projetos!$D$2:$D$11,"USD")</f>
        <v>-1.9055673516116306E-12</v>
      </c>
      <c r="K153" s="18">
        <f t="shared" ca="1" si="9"/>
        <v>471962.73211693321</v>
      </c>
    </row>
    <row r="154" spans="1:11" x14ac:dyDescent="0.2">
      <c r="A154" s="45">
        <f t="shared" ca="1" si="10"/>
        <v>84646.364064949041</v>
      </c>
      <c r="B154" s="18">
        <f>-SUMIFS(Projetos!$F$2:$F$11,Projetos!$D$2:$D$11,"BRL",Projetos!$N$2:$N$11,Dados!$A154)</f>
        <v>0</v>
      </c>
      <c r="C154" s="45">
        <f ca="1">(A154+B154)*((Indicadores_Economicos!D$2+1)^(1/12)-1)</f>
        <v>277.1101694579163</v>
      </c>
      <c r="D154" s="18">
        <f ca="1">SUMIFS(Projetos!$G$2:$G$11,Projetos!$K$2:$K$11,"&lt;="&amp;Dados!$A154,Projetos!$N$2:$N$11,"&gt;"&amp;Dados!A154,Projetos!$D$2:$D$11,"BRL")</f>
        <v>-3.3347428653203535E-13</v>
      </c>
      <c r="E154" s="18">
        <f t="shared" ca="1" si="8"/>
        <v>84923.474234406953</v>
      </c>
      <c r="G154" s="45">
        <f t="shared" ca="1" si="11"/>
        <v>471962.73211693321</v>
      </c>
      <c r="H154" s="18">
        <f>-SUMIFS(Projetos!$F$2:$F$11,Projetos!$D$2:$D$11,"USD",Projetos!$N$2:$N$11,Dados!$A154)</f>
        <v>0</v>
      </c>
      <c r="I154" s="45">
        <f ca="1">(G154+H154)*((Indicadores_Economicos!D$2+1)^(1/12)-1)</f>
        <v>1545.0831718464935</v>
      </c>
      <c r="J154" s="18">
        <f ca="1">SUMIFS(Projetos!$G$2:$G$11,Projetos!$K$2:$K$11,"&lt;="&amp;Dados!$A154,Projetos!$N$2:$N$11,"&gt;"&amp;Dados!$A154,Projetos!$D$2:$D$11,"USD")</f>
        <v>-1.9055673516116306E-12</v>
      </c>
      <c r="K154" s="18">
        <f t="shared" ca="1" si="9"/>
        <v>473507.81528877973</v>
      </c>
    </row>
    <row r="155" spans="1:11" x14ac:dyDescent="0.2">
      <c r="A155" s="45">
        <f t="shared" ca="1" si="10"/>
        <v>84923.474234406953</v>
      </c>
      <c r="B155" s="18">
        <f>-SUMIFS(Projetos!$F$2:$F$11,Projetos!$D$2:$D$11,"BRL",Projetos!$N$2:$N$11,Dados!$A155)</f>
        <v>0</v>
      </c>
      <c r="C155" s="45">
        <f ca="1">(A155+B155)*((Indicadores_Economicos!D$2+1)^(1/12)-1)</f>
        <v>278.01735604372254</v>
      </c>
      <c r="D155" s="18">
        <f ca="1">SUMIFS(Projetos!$G$2:$G$11,Projetos!$K$2:$K$11,"&lt;="&amp;Dados!$A155,Projetos!$N$2:$N$11,"&gt;"&amp;Dados!A155,Projetos!$D$2:$D$11,"BRL")</f>
        <v>-3.3347428653203535E-13</v>
      </c>
      <c r="E155" s="18">
        <f t="shared" ca="1" si="8"/>
        <v>85201.491590450678</v>
      </c>
      <c r="G155" s="45">
        <f t="shared" ca="1" si="11"/>
        <v>473507.81528877973</v>
      </c>
      <c r="H155" s="18">
        <f>-SUMIFS(Projetos!$F$2:$F$11,Projetos!$D$2:$D$11,"USD",Projetos!$N$2:$N$11,Dados!$A155)</f>
        <v>0</v>
      </c>
      <c r="I155" s="45">
        <f ca="1">(G155+H155)*((Indicadores_Economicos!D$2+1)^(1/12)-1)</f>
        <v>1550.1413720929736</v>
      </c>
      <c r="J155" s="18">
        <f ca="1">SUMIFS(Projetos!$G$2:$G$11,Projetos!$K$2:$K$11,"&lt;="&amp;Dados!$A155,Projetos!$N$2:$N$11,"&gt;"&amp;Dados!$A155,Projetos!$D$2:$D$11,"USD")</f>
        <v>-1.9055673516116306E-12</v>
      </c>
      <c r="K155" s="18">
        <f t="shared" ca="1" si="9"/>
        <v>475057.95666087273</v>
      </c>
    </row>
    <row r="156" spans="1:11" x14ac:dyDescent="0.2">
      <c r="A156" s="45">
        <f t="shared" ca="1" si="10"/>
        <v>85201.491590450678</v>
      </c>
      <c r="B156" s="18">
        <f>-SUMIFS(Projetos!$F$2:$F$11,Projetos!$D$2:$D$11,"BRL",Projetos!$N$2:$N$11,Dados!$A156)</f>
        <v>0</v>
      </c>
      <c r="C156" s="45">
        <f ca="1">(A156+B156)*((Indicadores_Economicos!D$2+1)^(1/12)-1)</f>
        <v>278.92751252234467</v>
      </c>
      <c r="D156" s="18">
        <f ca="1">SUMIFS(Projetos!$G$2:$G$11,Projetos!$K$2:$K$11,"&lt;="&amp;Dados!$A156,Projetos!$N$2:$N$11,"&gt;"&amp;Dados!A156,Projetos!$D$2:$D$11,"BRL")</f>
        <v>-3.3347428653203535E-13</v>
      </c>
      <c r="E156" s="18">
        <f t="shared" ca="1" si="8"/>
        <v>85480.419102973028</v>
      </c>
      <c r="G156" s="45">
        <f t="shared" ca="1" si="11"/>
        <v>475057.95666087273</v>
      </c>
      <c r="H156" s="18">
        <f>-SUMIFS(Projetos!$F$2:$F$11,Projetos!$D$2:$D$11,"USD",Projetos!$N$2:$N$11,Dados!$A156)</f>
        <v>0</v>
      </c>
      <c r="I156" s="45">
        <f ca="1">(G156+H156)*((Indicadores_Economicos!D$2+1)^(1/12)-1)</f>
        <v>1555.2161315708267</v>
      </c>
      <c r="J156" s="18">
        <f ca="1">SUMIFS(Projetos!$G$2:$G$11,Projetos!$K$2:$K$11,"&lt;="&amp;Dados!$A156,Projetos!$N$2:$N$11,"&gt;"&amp;Dados!$A156,Projetos!$D$2:$D$11,"USD")</f>
        <v>-1.9055673516116306E-12</v>
      </c>
      <c r="K156" s="18">
        <f t="shared" ca="1" si="9"/>
        <v>476613.17279244354</v>
      </c>
    </row>
    <row r="157" spans="1:11" x14ac:dyDescent="0.2">
      <c r="A157" s="45">
        <f t="shared" ca="1" si="10"/>
        <v>85480.419102973028</v>
      </c>
      <c r="B157" s="18">
        <f>-SUMIFS(Projetos!$F$2:$F$11,Projetos!$D$2:$D$11,"BRL",Projetos!$N$2:$N$11,Dados!$A157)</f>
        <v>0</v>
      </c>
      <c r="C157" s="45">
        <f ca="1">(A157+B157)*((Indicadores_Economicos!D$2+1)^(1/12)-1)</f>
        <v>279.84064861643884</v>
      </c>
      <c r="D157" s="18">
        <f ca="1">SUMIFS(Projetos!$G$2:$G$11,Projetos!$K$2:$K$11,"&lt;="&amp;Dados!$A157,Projetos!$N$2:$N$11,"&gt;"&amp;Dados!A157,Projetos!$D$2:$D$11,"BRL")</f>
        <v>-3.3347428653203535E-13</v>
      </c>
      <c r="E157" s="18">
        <f t="shared" ca="1" si="8"/>
        <v>85760.259751589474</v>
      </c>
      <c r="G157" s="45">
        <f t="shared" ca="1" si="11"/>
        <v>476613.17279244354</v>
      </c>
      <c r="H157" s="18">
        <f>-SUMIFS(Projetos!$F$2:$F$11,Projetos!$D$2:$D$11,"USD",Projetos!$N$2:$N$11,Dados!$A157)</f>
        <v>0</v>
      </c>
      <c r="I157" s="45">
        <f ca="1">(G157+H157)*((Indicadores_Economicos!D$2+1)^(1/12)-1)</f>
        <v>1560.3075044906677</v>
      </c>
      <c r="J157" s="18">
        <f ca="1">SUMIFS(Projetos!$G$2:$G$11,Projetos!$K$2:$K$11,"&lt;="&amp;Dados!$A157,Projetos!$N$2:$N$11,"&gt;"&amp;Dados!$A157,Projetos!$D$2:$D$11,"USD")</f>
        <v>-1.9055673516116306E-12</v>
      </c>
      <c r="K157" s="18">
        <f t="shared" ca="1" si="9"/>
        <v>478173.4802969342</v>
      </c>
    </row>
    <row r="158" spans="1:11" x14ac:dyDescent="0.2">
      <c r="A158" s="45">
        <f t="shared" ca="1" si="10"/>
        <v>85760.259751589474</v>
      </c>
      <c r="B158" s="18">
        <f>-SUMIFS(Projetos!$F$2:$F$11,Projetos!$D$2:$D$11,"BRL",Projetos!$N$2:$N$11,Dados!$A158)</f>
        <v>0</v>
      </c>
      <c r="C158" s="45">
        <f ca="1">(A158+B158)*((Indicadores_Economicos!D$2+1)^(1/12)-1)</f>
        <v>280.75677408049086</v>
      </c>
      <c r="D158" s="18">
        <f ca="1">SUMIFS(Projetos!$G$2:$G$11,Projetos!$K$2:$K$11,"&lt;="&amp;Dados!$A158,Projetos!$N$2:$N$11,"&gt;"&amp;Dados!A158,Projetos!$D$2:$D$11,"BRL")</f>
        <v>-3.3347428653203535E-13</v>
      </c>
      <c r="E158" s="18">
        <f t="shared" ca="1" si="8"/>
        <v>86041.016525669969</v>
      </c>
      <c r="G158" s="45">
        <f t="shared" ca="1" si="11"/>
        <v>478173.4802969342</v>
      </c>
      <c r="H158" s="18">
        <f>-SUMIFS(Projetos!$F$2:$F$11,Projetos!$D$2:$D$11,"USD",Projetos!$N$2:$N$11,Dados!$A158)</f>
        <v>0</v>
      </c>
      <c r="I158" s="45">
        <f ca="1">(G158+H158)*((Indicadores_Economicos!D$2+1)^(1/12)-1)</f>
        <v>1565.4155452405823</v>
      </c>
      <c r="J158" s="18">
        <f ca="1">SUMIFS(Projetos!$G$2:$G$11,Projetos!$K$2:$K$11,"&lt;="&amp;Dados!$A158,Projetos!$N$2:$N$11,"&gt;"&amp;Dados!$A158,Projetos!$D$2:$D$11,"USD")</f>
        <v>-1.9055673516116306E-12</v>
      </c>
      <c r="K158" s="18">
        <f t="shared" ca="1" si="9"/>
        <v>479738.89584217477</v>
      </c>
    </row>
    <row r="159" spans="1:11" x14ac:dyDescent="0.2">
      <c r="A159" s="45">
        <f t="shared" ca="1" si="10"/>
        <v>86041.016525669969</v>
      </c>
      <c r="B159" s="18">
        <f>-SUMIFS(Projetos!$F$2:$F$11,Projetos!$D$2:$D$11,"BRL",Projetos!$N$2:$N$11,Dados!$A159)</f>
        <v>0</v>
      </c>
      <c r="C159" s="45">
        <f ca="1">(A159+B159)*((Indicadores_Economicos!D$2+1)^(1/12)-1)</f>
        <v>281.67589870092002</v>
      </c>
      <c r="D159" s="18">
        <f ca="1">SUMIFS(Projetos!$G$2:$G$11,Projetos!$K$2:$K$11,"&lt;="&amp;Dados!$A159,Projetos!$N$2:$N$11,"&gt;"&amp;Dados!A159,Projetos!$D$2:$D$11,"BRL")</f>
        <v>-3.3347428653203535E-13</v>
      </c>
      <c r="E159" s="18">
        <f t="shared" ca="1" si="8"/>
        <v>86322.692424370893</v>
      </c>
      <c r="G159" s="45">
        <f t="shared" ca="1" si="11"/>
        <v>479738.89584217477</v>
      </c>
      <c r="H159" s="18">
        <f>-SUMIFS(Projetos!$F$2:$F$11,Projetos!$D$2:$D$11,"USD",Projetos!$N$2:$N$11,Dados!$A159)</f>
        <v>0</v>
      </c>
      <c r="I159" s="45">
        <f ca="1">(G159+H159)*((Indicadores_Economicos!D$2+1)^(1/12)-1)</f>
        <v>1570.5403083867088</v>
      </c>
      <c r="J159" s="18">
        <f ca="1">SUMIFS(Projetos!$G$2:$G$11,Projetos!$K$2:$K$11,"&lt;="&amp;Dados!$A159,Projetos!$N$2:$N$11,"&gt;"&amp;Dados!$A159,Projetos!$D$2:$D$11,"USD")</f>
        <v>-1.9055673516116306E-12</v>
      </c>
      <c r="K159" s="18">
        <f t="shared" ca="1" si="9"/>
        <v>481309.43615056149</v>
      </c>
    </row>
    <row r="160" spans="1:11" x14ac:dyDescent="0.2">
      <c r="A160" s="45">
        <f t="shared" ca="1" si="10"/>
        <v>86322.692424370893</v>
      </c>
      <c r="B160" s="18">
        <f>-SUMIFS(Projetos!$F$2:$F$11,Projetos!$D$2:$D$11,"BRL",Projetos!$N$2:$N$11,Dados!$A160)</f>
        <v>0</v>
      </c>
      <c r="C160" s="45">
        <f ca="1">(A160+B160)*((Indicadores_Economicos!D$2+1)^(1/12)-1)</f>
        <v>282.59803229618387</v>
      </c>
      <c r="D160" s="18">
        <f ca="1">SUMIFS(Projetos!$G$2:$G$11,Projetos!$K$2:$K$11,"&lt;="&amp;Dados!$A160,Projetos!$N$2:$N$11,"&gt;"&amp;Dados!A160,Projetos!$D$2:$D$11,"BRL")</f>
        <v>-3.3347428653203535E-13</v>
      </c>
      <c r="E160" s="18">
        <f t="shared" ca="1" si="8"/>
        <v>86605.290456667077</v>
      </c>
      <c r="G160" s="45">
        <f t="shared" ca="1" si="11"/>
        <v>481309.43615056149</v>
      </c>
      <c r="H160" s="18">
        <f>-SUMIFS(Projetos!$F$2:$F$11,Projetos!$D$2:$D$11,"USD",Projetos!$N$2:$N$11,Dados!$A160)</f>
        <v>0</v>
      </c>
      <c r="I160" s="45">
        <f ca="1">(G160+H160)*((Indicadores_Economicos!D$2+1)^(1/12)-1)</f>
        <v>1575.6818486738216</v>
      </c>
      <c r="J160" s="18">
        <f ca="1">SUMIFS(Projetos!$G$2:$G$11,Projetos!$K$2:$K$11,"&lt;="&amp;Dados!$A160,Projetos!$N$2:$N$11,"&gt;"&amp;Dados!$A160,Projetos!$D$2:$D$11,"USD")</f>
        <v>-1.9055673516116306E-12</v>
      </c>
      <c r="K160" s="18">
        <f t="shared" ca="1" si="9"/>
        <v>482885.11799923534</v>
      </c>
    </row>
    <row r="161" spans="1:11" x14ac:dyDescent="0.2">
      <c r="A161" s="45">
        <f t="shared" ca="1" si="10"/>
        <v>86605.290456667077</v>
      </c>
      <c r="B161" s="18">
        <f>-SUMIFS(Projetos!$F$2:$F$11,Projetos!$D$2:$D$11,"BRL",Projetos!$N$2:$N$11,Dados!$A161)</f>
        <v>0</v>
      </c>
      <c r="C161" s="45">
        <f ca="1">(A161+B161)*((Indicadores_Economicos!D$2+1)^(1/12)-1)</f>
        <v>283.52318471688301</v>
      </c>
      <c r="D161" s="18">
        <f ca="1">SUMIFS(Projetos!$G$2:$G$11,Projetos!$K$2:$K$11,"&lt;="&amp;Dados!$A161,Projetos!$N$2:$N$11,"&gt;"&amp;Dados!A161,Projetos!$D$2:$D$11,"BRL")</f>
        <v>-3.3347428653203535E-13</v>
      </c>
      <c r="E161" s="18">
        <f t="shared" ca="1" si="8"/>
        <v>86888.813641383953</v>
      </c>
      <c r="G161" s="45">
        <f t="shared" ca="1" si="11"/>
        <v>482885.11799923534</v>
      </c>
      <c r="H161" s="18">
        <f>-SUMIFS(Projetos!$F$2:$F$11,Projetos!$D$2:$D$11,"USD",Projetos!$N$2:$N$11,Dados!$A161)</f>
        <v>0</v>
      </c>
      <c r="I161" s="45">
        <f ca="1">(G161+H161)*((Indicadores_Economicos!D$2+1)^(1/12)-1)</f>
        <v>1580.8402210259139</v>
      </c>
      <c r="J161" s="18">
        <f ca="1">SUMIFS(Projetos!$G$2:$G$11,Projetos!$K$2:$K$11,"&lt;="&amp;Dados!$A161,Projetos!$N$2:$N$11,"&gt;"&amp;Dados!$A161,Projetos!$D$2:$D$11,"USD")</f>
        <v>-1.9055673516116306E-12</v>
      </c>
      <c r="K161" s="18">
        <f t="shared" ca="1" si="9"/>
        <v>484465.95822026127</v>
      </c>
    </row>
    <row r="162" spans="1:11" x14ac:dyDescent="0.2">
      <c r="A162" s="45">
        <f t="shared" ca="1" si="10"/>
        <v>86888.813641383953</v>
      </c>
      <c r="B162" s="18">
        <f>-SUMIFS(Projetos!$F$2:$F$11,Projetos!$D$2:$D$11,"BRL",Projetos!$N$2:$N$11,Dados!$A162)</f>
        <v>0</v>
      </c>
      <c r="C162" s="45">
        <f ca="1">(A162+B162)*((Indicadores_Economicos!D$2+1)^(1/12)-1)</f>
        <v>284.45136584586635</v>
      </c>
      <c r="D162" s="18">
        <f ca="1">SUMIFS(Projetos!$G$2:$G$11,Projetos!$K$2:$K$11,"&lt;="&amp;Dados!$A162,Projetos!$N$2:$N$11,"&gt;"&amp;Dados!A162,Projetos!$D$2:$D$11,"BRL")</f>
        <v>-3.3347428653203535E-13</v>
      </c>
      <c r="E162" s="18">
        <f t="shared" ca="1" si="8"/>
        <v>87173.265007229813</v>
      </c>
      <c r="G162" s="45">
        <f t="shared" ca="1" si="11"/>
        <v>484465.95822026127</v>
      </c>
      <c r="H162" s="18">
        <f>-SUMIFS(Projetos!$F$2:$F$11,Projetos!$D$2:$D$11,"USD",Projetos!$N$2:$N$11,Dados!$A162)</f>
        <v>0</v>
      </c>
      <c r="I162" s="45">
        <f ca="1">(G162+H162)*((Indicadores_Economicos!D$2+1)^(1/12)-1)</f>
        <v>1586.0154805467864</v>
      </c>
      <c r="J162" s="18">
        <f ca="1">SUMIFS(Projetos!$G$2:$G$11,Projetos!$K$2:$K$11,"&lt;="&amp;Dados!$A162,Projetos!$N$2:$N$11,"&gt;"&amp;Dados!$A162,Projetos!$D$2:$D$11,"USD")</f>
        <v>-1.9055673516116306E-12</v>
      </c>
      <c r="K162" s="18">
        <f t="shared" ca="1" si="9"/>
        <v>486051.97370080807</v>
      </c>
    </row>
    <row r="163" spans="1:11" x14ac:dyDescent="0.2">
      <c r="A163" s="45">
        <f t="shared" ca="1" si="10"/>
        <v>87173.265007229813</v>
      </c>
      <c r="B163" s="18">
        <f>-SUMIFS(Projetos!$F$2:$F$11,Projetos!$D$2:$D$11,"BRL",Projetos!$N$2:$N$11,Dados!$A163)</f>
        <v>0</v>
      </c>
      <c r="C163" s="45">
        <f ca="1">(A163+B163)*((Indicadores_Economicos!D$2+1)^(1/12)-1)</f>
        <v>285.38258559833679</v>
      </c>
      <c r="D163" s="18">
        <f ca="1">SUMIFS(Projetos!$G$2:$G$11,Projetos!$K$2:$K$11,"&lt;="&amp;Dados!$A163,Projetos!$N$2:$N$11,"&gt;"&amp;Dados!A163,Projetos!$D$2:$D$11,"BRL")</f>
        <v>-3.3347428653203535E-13</v>
      </c>
      <c r="E163" s="18">
        <f t="shared" ca="1" si="8"/>
        <v>87458.647592828143</v>
      </c>
      <c r="G163" s="45">
        <f t="shared" ca="1" si="11"/>
        <v>486051.97370080807</v>
      </c>
      <c r="H163" s="18">
        <f>-SUMIFS(Projetos!$F$2:$F$11,Projetos!$D$2:$D$11,"USD",Projetos!$N$2:$N$11,Dados!$A163)</f>
        <v>0</v>
      </c>
      <c r="I163" s="45">
        <f ca="1">(G163+H163)*((Indicadores_Economicos!D$2+1)^(1/12)-1)</f>
        <v>1591.2076825206359</v>
      </c>
      <c r="J163" s="18">
        <f ca="1">SUMIFS(Projetos!$G$2:$G$11,Projetos!$K$2:$K$11,"&lt;="&amp;Dados!$A163,Projetos!$N$2:$N$11,"&gt;"&amp;Dados!$A163,Projetos!$D$2:$D$11,"USD")</f>
        <v>-1.9055673516116306E-12</v>
      </c>
      <c r="K163" s="18">
        <f t="shared" ca="1" si="9"/>
        <v>487643.18138332869</v>
      </c>
    </row>
    <row r="164" spans="1:11" x14ac:dyDescent="0.2">
      <c r="A164" s="45">
        <f t="shared" ca="1" si="10"/>
        <v>87458.647592828143</v>
      </c>
      <c r="B164" s="18">
        <f>-SUMIFS(Projetos!$F$2:$F$11,Projetos!$D$2:$D$11,"BRL",Projetos!$N$2:$N$11,Dados!$A164)</f>
        <v>0</v>
      </c>
      <c r="C164" s="45">
        <f ca="1">(A164+B164)*((Indicadores_Economicos!D$2+1)^(1/12)-1)</f>
        <v>286.31685392195681</v>
      </c>
      <c r="D164" s="18">
        <f ca="1">SUMIFS(Projetos!$G$2:$G$11,Projetos!$K$2:$K$11,"&lt;="&amp;Dados!$A164,Projetos!$N$2:$N$11,"&gt;"&amp;Dados!A164,Projetos!$D$2:$D$11,"BRL")</f>
        <v>-3.3347428653203535E-13</v>
      </c>
      <c r="E164" s="18">
        <f t="shared" ca="1" si="8"/>
        <v>87744.964446750106</v>
      </c>
      <c r="G164" s="45">
        <f t="shared" ca="1" si="11"/>
        <v>487643.18138332869</v>
      </c>
      <c r="H164" s="18">
        <f>-SUMIFS(Projetos!$F$2:$F$11,Projetos!$D$2:$D$11,"USD",Projetos!$N$2:$N$11,Dados!$A164)</f>
        <v>0</v>
      </c>
      <c r="I164" s="45">
        <f ca="1">(G164+H164)*((Indicadores_Economicos!D$2+1)^(1/12)-1)</f>
        <v>1596.4168824126441</v>
      </c>
      <c r="J164" s="18">
        <f ca="1">SUMIFS(Projetos!$G$2:$G$11,Projetos!$K$2:$K$11,"&lt;="&amp;Dados!$A164,Projetos!$N$2:$N$11,"&gt;"&amp;Dados!$A164,Projetos!$D$2:$D$11,"USD")</f>
        <v>-1.9055673516116306E-12</v>
      </c>
      <c r="K164" s="18">
        <f t="shared" ca="1" si="9"/>
        <v>489239.59826574131</v>
      </c>
    </row>
    <row r="165" spans="1:11" x14ac:dyDescent="0.2">
      <c r="A165" s="45">
        <f t="shared" ca="1" si="10"/>
        <v>87744.964446750106</v>
      </c>
      <c r="B165" s="18">
        <f>-SUMIFS(Projetos!$F$2:$F$11,Projetos!$D$2:$D$11,"BRL",Projetos!$N$2:$N$11,Dados!$A165)</f>
        <v>0</v>
      </c>
      <c r="C165" s="45">
        <f ca="1">(A165+B165)*((Indicadores_Economicos!D$2+1)^(1/12)-1)</f>
        <v>287.25418079695521</v>
      </c>
      <c r="D165" s="18">
        <f ca="1">SUMIFS(Projetos!$G$2:$G$11,Projetos!$K$2:$K$11,"&lt;="&amp;Dados!$A165,Projetos!$N$2:$N$11,"&gt;"&amp;Dados!A165,Projetos!$D$2:$D$11,"BRL")</f>
        <v>-3.3347428653203535E-13</v>
      </c>
      <c r="E165" s="18">
        <f t="shared" ca="1" si="8"/>
        <v>88032.218627547059</v>
      </c>
      <c r="G165" s="45">
        <f t="shared" ca="1" si="11"/>
        <v>489239.59826574131</v>
      </c>
      <c r="H165" s="18">
        <f>-SUMIFS(Projetos!$F$2:$F$11,Projetos!$D$2:$D$11,"USD",Projetos!$N$2:$N$11,Dados!$A165)</f>
        <v>0</v>
      </c>
      <c r="I165" s="45">
        <f ca="1">(G165+H165)*((Indicadores_Economicos!D$2+1)^(1/12)-1)</f>
        <v>1601.6431358695725</v>
      </c>
      <c r="J165" s="18">
        <f ca="1">SUMIFS(Projetos!$G$2:$G$11,Projetos!$K$2:$K$11,"&lt;="&amp;Dados!$A165,Projetos!$N$2:$N$11,"&gt;"&amp;Dados!$A165,Projetos!$D$2:$D$11,"USD")</f>
        <v>-1.9055673516116306E-12</v>
      </c>
      <c r="K165" s="18">
        <f t="shared" ca="1" si="9"/>
        <v>490841.2414016109</v>
      </c>
    </row>
    <row r="166" spans="1:11" x14ac:dyDescent="0.2">
      <c r="A166" s="45">
        <f t="shared" ca="1" si="10"/>
        <v>88032.218627547059</v>
      </c>
      <c r="B166" s="18">
        <f>-SUMIFS(Projetos!$F$2:$F$11,Projetos!$D$2:$D$11,"BRL",Projetos!$N$2:$N$11,Dados!$A166)</f>
        <v>0</v>
      </c>
      <c r="C166" s="45">
        <f ca="1">(A166+B166)*((Indicadores_Economicos!D$2+1)^(1/12)-1)</f>
        <v>288.19457623623316</v>
      </c>
      <c r="D166" s="18">
        <f ca="1">SUMIFS(Projetos!$G$2:$G$11,Projetos!$K$2:$K$11,"&lt;="&amp;Dados!$A166,Projetos!$N$2:$N$11,"&gt;"&amp;Dados!A166,Projetos!$D$2:$D$11,"BRL")</f>
        <v>-3.3347428653203535E-13</v>
      </c>
      <c r="E166" s="18">
        <f t="shared" ca="1" si="8"/>
        <v>88320.41320378329</v>
      </c>
      <c r="G166" s="45">
        <f t="shared" ca="1" si="11"/>
        <v>490841.2414016109</v>
      </c>
      <c r="H166" s="18">
        <f>-SUMIFS(Projetos!$F$2:$F$11,Projetos!$D$2:$D$11,"USD",Projetos!$N$2:$N$11,Dados!$A166)</f>
        <v>0</v>
      </c>
      <c r="I166" s="45">
        <f ca="1">(G166+H166)*((Indicadores_Economicos!D$2+1)^(1/12)-1)</f>
        <v>1606.8864987203544</v>
      </c>
      <c r="J166" s="18">
        <f ca="1">SUMIFS(Projetos!$G$2:$G$11,Projetos!$K$2:$K$11,"&lt;="&amp;Dados!$A166,Projetos!$N$2:$N$11,"&gt;"&amp;Dados!$A166,Projetos!$D$2:$D$11,"USD")</f>
        <v>-1.9055673516116306E-12</v>
      </c>
      <c r="K166" s="18">
        <f t="shared" ca="1" si="9"/>
        <v>492448.12790033122</v>
      </c>
    </row>
    <row r="167" spans="1:11" x14ac:dyDescent="0.2">
      <c r="A167" s="45">
        <f t="shared" ca="1" si="10"/>
        <v>88320.41320378329</v>
      </c>
      <c r="B167" s="18">
        <f>-SUMIFS(Projetos!$F$2:$F$11,Projetos!$D$2:$D$11,"BRL",Projetos!$N$2:$N$11,Dados!$A167)</f>
        <v>0</v>
      </c>
      <c r="C167" s="45">
        <f ca="1">(A167+B167)*((Indicadores_Economicos!D$2+1)^(1/12)-1)</f>
        <v>289.13805028547165</v>
      </c>
      <c r="D167" s="18">
        <f ca="1">SUMIFS(Projetos!$G$2:$G$11,Projetos!$K$2:$K$11,"&lt;="&amp;Dados!$A167,Projetos!$N$2:$N$11,"&gt;"&amp;Dados!A167,Projetos!$D$2:$D$11,"BRL")</f>
        <v>-3.3347428653203535E-13</v>
      </c>
      <c r="E167" s="18">
        <f t="shared" ca="1" si="8"/>
        <v>88609.551254068763</v>
      </c>
      <c r="G167" s="45">
        <f t="shared" ca="1" si="11"/>
        <v>492448.12790033122</v>
      </c>
      <c r="H167" s="18">
        <f>-SUMIFS(Projetos!$F$2:$F$11,Projetos!$D$2:$D$11,"USD",Projetos!$N$2:$N$11,Dados!$A167)</f>
        <v>0</v>
      </c>
      <c r="I167" s="45">
        <f ca="1">(G167+H167)*((Indicadores_Economicos!D$2+1)^(1/12)-1)</f>
        <v>1612.1470269766935</v>
      </c>
      <c r="J167" s="18">
        <f ca="1">SUMIFS(Projetos!$G$2:$G$11,Projetos!$K$2:$K$11,"&lt;="&amp;Dados!$A167,Projetos!$N$2:$N$11,"&gt;"&amp;Dados!$A167,Projetos!$D$2:$D$11,"USD")</f>
        <v>-1.9055673516116306E-12</v>
      </c>
      <c r="K167" s="18">
        <f t="shared" ca="1" si="9"/>
        <v>494060.27492730791</v>
      </c>
    </row>
    <row r="168" spans="1:11" x14ac:dyDescent="0.2">
      <c r="A168" s="45">
        <f t="shared" ca="1" si="10"/>
        <v>88609.551254068763</v>
      </c>
      <c r="B168" s="18">
        <f>-SUMIFS(Projetos!$F$2:$F$11,Projetos!$D$2:$D$11,"BRL",Projetos!$N$2:$N$11,Dados!$A168)</f>
        <v>0</v>
      </c>
      <c r="C168" s="45">
        <f ca="1">(A168+B168)*((Indicadores_Economicos!D$2+1)^(1/12)-1)</f>
        <v>290.0846130232386</v>
      </c>
      <c r="D168" s="18">
        <f ca="1">SUMIFS(Projetos!$G$2:$G$11,Projetos!$K$2:$K$11,"&lt;="&amp;Dados!$A168,Projetos!$N$2:$N$11,"&gt;"&amp;Dados!A168,Projetos!$D$2:$D$11,"BRL")</f>
        <v>-3.3347428653203535E-13</v>
      </c>
      <c r="E168" s="18">
        <f t="shared" ca="1" si="8"/>
        <v>88899.635867092002</v>
      </c>
      <c r="G168" s="45">
        <f t="shared" ca="1" si="11"/>
        <v>494060.27492730791</v>
      </c>
      <c r="H168" s="18">
        <f>-SUMIFS(Projetos!$F$2:$F$11,Projetos!$D$2:$D$11,"USD",Projetos!$N$2:$N$11,Dados!$A168)</f>
        <v>0</v>
      </c>
      <c r="I168" s="45">
        <f ca="1">(G168+H168)*((Indicadores_Economicos!D$2+1)^(1/12)-1)</f>
        <v>1617.4247768336609</v>
      </c>
      <c r="J168" s="18">
        <f ca="1">SUMIFS(Projetos!$G$2:$G$11,Projetos!$K$2:$K$11,"&lt;="&amp;Dados!$A168,Projetos!$N$2:$N$11,"&gt;"&amp;Dados!$A168,Projetos!$D$2:$D$11,"USD")</f>
        <v>-1.9055673516116306E-12</v>
      </c>
      <c r="K168" s="18">
        <f t="shared" ca="1" si="9"/>
        <v>495677.69970414159</v>
      </c>
    </row>
    <row r="169" spans="1:11" x14ac:dyDescent="0.2">
      <c r="A169" s="45">
        <f t="shared" ca="1" si="10"/>
        <v>88899.635867092002</v>
      </c>
      <c r="B169" s="18">
        <f>-SUMIFS(Projetos!$F$2:$F$11,Projetos!$D$2:$D$11,"BRL",Projetos!$N$2:$N$11,Dados!$A169)</f>
        <v>0</v>
      </c>
      <c r="C169" s="45">
        <f ca="1">(A169+B169)*((Indicadores_Economicos!D$2+1)^(1/12)-1)</f>
        <v>291.03427456109659</v>
      </c>
      <c r="D169" s="18">
        <f ca="1">SUMIFS(Projetos!$G$2:$G$11,Projetos!$K$2:$K$11,"&lt;="&amp;Dados!$A169,Projetos!$N$2:$N$11,"&gt;"&amp;Dados!A169,Projetos!$D$2:$D$11,"BRL")</f>
        <v>-3.3347428653203535E-13</v>
      </c>
      <c r="E169" s="18">
        <f t="shared" ca="1" si="8"/>
        <v>89190.6701416531</v>
      </c>
      <c r="G169" s="45">
        <f t="shared" ca="1" si="11"/>
        <v>495677.69970414159</v>
      </c>
      <c r="H169" s="18">
        <f>-SUMIFS(Projetos!$F$2:$F$11,Projetos!$D$2:$D$11,"USD",Projetos!$N$2:$N$11,Dados!$A169)</f>
        <v>0</v>
      </c>
      <c r="I169" s="45">
        <f ca="1">(G169+H169)*((Indicadores_Economicos!D$2+1)^(1/12)-1)</f>
        <v>1622.7198046702954</v>
      </c>
      <c r="J169" s="18">
        <f ca="1">SUMIFS(Projetos!$G$2:$G$11,Projetos!$K$2:$K$11,"&lt;="&amp;Dados!$A169,Projetos!$N$2:$N$11,"&gt;"&amp;Dados!$A169,Projetos!$D$2:$D$11,"USD")</f>
        <v>-1.9055673516116306E-12</v>
      </c>
      <c r="K169" s="18">
        <f t="shared" ca="1" si="9"/>
        <v>497300.4195088119</v>
      </c>
    </row>
    <row r="170" spans="1:11" x14ac:dyDescent="0.2">
      <c r="A170" s="45">
        <f t="shared" ca="1" si="10"/>
        <v>89190.6701416531</v>
      </c>
      <c r="B170" s="18">
        <f>-SUMIFS(Projetos!$F$2:$F$11,Projetos!$D$2:$D$11,"BRL",Projetos!$N$2:$N$11,Dados!$A170)</f>
        <v>0</v>
      </c>
      <c r="C170" s="45">
        <f ca="1">(A170+B170)*((Indicadores_Economicos!D$2+1)^(1/12)-1)</f>
        <v>291.98704504371062</v>
      </c>
      <c r="D170" s="18">
        <f ca="1">SUMIFS(Projetos!$G$2:$G$11,Projetos!$K$2:$K$11,"&lt;="&amp;Dados!$A170,Projetos!$N$2:$N$11,"&gt;"&amp;Dados!A170,Projetos!$D$2:$D$11,"BRL")</f>
        <v>-3.3347428653203535E-13</v>
      </c>
      <c r="E170" s="18">
        <f t="shared" ca="1" si="8"/>
        <v>89482.657186696815</v>
      </c>
      <c r="G170" s="45">
        <f t="shared" ca="1" si="11"/>
        <v>497300.4195088119</v>
      </c>
      <c r="H170" s="18">
        <f>-SUMIFS(Projetos!$F$2:$F$11,Projetos!$D$2:$D$11,"USD",Projetos!$N$2:$N$11,Dados!$A170)</f>
        <v>0</v>
      </c>
      <c r="I170" s="45">
        <f ca="1">(G170+H170)*((Indicadores_Economicos!D$2+1)^(1/12)-1)</f>
        <v>1628.0321670502067</v>
      </c>
      <c r="J170" s="18">
        <f ca="1">SUMIFS(Projetos!$G$2:$G$11,Projetos!$K$2:$K$11,"&lt;="&amp;Dados!$A170,Projetos!$N$2:$N$11,"&gt;"&amp;Dados!$A170,Projetos!$D$2:$D$11,"USD")</f>
        <v>-1.9055673516116306E-12</v>
      </c>
      <c r="K170" s="18">
        <f t="shared" ca="1" si="9"/>
        <v>498928.45167586213</v>
      </c>
    </row>
    <row r="171" spans="1:11" x14ac:dyDescent="0.2">
      <c r="A171" s="45">
        <f t="shared" ca="1" si="10"/>
        <v>89482.657186696815</v>
      </c>
      <c r="B171" s="18">
        <f>-SUMIFS(Projetos!$F$2:$F$11,Projetos!$D$2:$D$11,"BRL",Projetos!$N$2:$N$11,Dados!$A171)</f>
        <v>0</v>
      </c>
      <c r="C171" s="45">
        <f ca="1">(A171+B171)*((Indicadores_Economicos!D$2+1)^(1/12)-1)</f>
        <v>292.94293464895696</v>
      </c>
      <c r="D171" s="18">
        <f ca="1">SUMIFS(Projetos!$G$2:$G$11,Projetos!$K$2:$K$11,"&lt;="&amp;Dados!$A171,Projetos!$N$2:$N$11,"&gt;"&amp;Dados!A171,Projetos!$D$2:$D$11,"BRL")</f>
        <v>-3.3347428653203535E-13</v>
      </c>
      <c r="E171" s="18">
        <f t="shared" ca="1" si="8"/>
        <v>89775.600121345778</v>
      </c>
      <c r="G171" s="45">
        <f t="shared" ca="1" si="11"/>
        <v>498928.45167586213</v>
      </c>
      <c r="H171" s="18">
        <f>-SUMIFS(Projetos!$F$2:$F$11,Projetos!$D$2:$D$11,"USD",Projetos!$N$2:$N$11,Dados!$A171)</f>
        <v>0</v>
      </c>
      <c r="I171" s="45">
        <f ca="1">(G171+H171)*((Indicadores_Economicos!D$2+1)^(1/12)-1)</f>
        <v>1633.3619207221786</v>
      </c>
      <c r="J171" s="18">
        <f ca="1">SUMIFS(Projetos!$G$2:$G$11,Projetos!$K$2:$K$11,"&lt;="&amp;Dados!$A171,Projetos!$N$2:$N$11,"&gt;"&amp;Dados!$A171,Projetos!$D$2:$D$11,"USD")</f>
        <v>-1.9055673516116306E-12</v>
      </c>
      <c r="K171" s="18">
        <f t="shared" ca="1" si="9"/>
        <v>500561.81359658431</v>
      </c>
    </row>
    <row r="172" spans="1:11" x14ac:dyDescent="0.2">
      <c r="A172" s="45">
        <f t="shared" ca="1" si="10"/>
        <v>89775.600121345778</v>
      </c>
      <c r="B172" s="18">
        <f>-SUMIFS(Projetos!$F$2:$F$11,Projetos!$D$2:$D$11,"BRL",Projetos!$N$2:$N$11,Dados!$A172)</f>
        <v>0</v>
      </c>
      <c r="C172" s="45">
        <f ca="1">(A172+B172)*((Indicadores_Economicos!D$2+1)^(1/12)-1)</f>
        <v>293.90195358803135</v>
      </c>
      <c r="D172" s="18">
        <f ca="1">SUMIFS(Projetos!$G$2:$G$11,Projetos!$K$2:$K$11,"&lt;="&amp;Dados!$A172,Projetos!$N$2:$N$11,"&gt;"&amp;Dados!A172,Projetos!$D$2:$D$11,"BRL")</f>
        <v>-3.3347428653203535E-13</v>
      </c>
      <c r="E172" s="18">
        <f t="shared" ca="1" si="8"/>
        <v>90069.502074933815</v>
      </c>
      <c r="G172" s="45">
        <f t="shared" ca="1" si="11"/>
        <v>500561.81359658431</v>
      </c>
      <c r="H172" s="18">
        <f>-SUMIFS(Projetos!$F$2:$F$11,Projetos!$D$2:$D$11,"USD",Projetos!$N$2:$N$11,Dados!$A172)</f>
        <v>0</v>
      </c>
      <c r="I172" s="45">
        <f ca="1">(G172+H172)*((Indicadores_Economicos!D$2+1)^(1/12)-1)</f>
        <v>1638.7091226207756</v>
      </c>
      <c r="J172" s="18">
        <f ca="1">SUMIFS(Projetos!$G$2:$G$11,Projetos!$K$2:$K$11,"&lt;="&amp;Dados!$A172,Projetos!$N$2:$N$11,"&gt;"&amp;Dados!$A172,Projetos!$D$2:$D$11,"USD")</f>
        <v>-1.9055673516116306E-12</v>
      </c>
      <c r="K172" s="18">
        <f t="shared" ca="1" si="9"/>
        <v>502200.52271920507</v>
      </c>
    </row>
    <row r="173" spans="1:11" x14ac:dyDescent="0.2">
      <c r="A173" s="45">
        <f t="shared" ca="1" si="10"/>
        <v>90069.502074933815</v>
      </c>
      <c r="B173" s="18">
        <f>-SUMIFS(Projetos!$F$2:$F$11,Projetos!$D$2:$D$11,"BRL",Projetos!$N$2:$N$11,Dados!$A173)</f>
        <v>0</v>
      </c>
      <c r="C173" s="45">
        <f ca="1">(A173+B173)*((Indicadores_Economicos!D$2+1)^(1/12)-1)</f>
        <v>294.86411210555849</v>
      </c>
      <c r="D173" s="18">
        <f ca="1">SUMIFS(Projetos!$G$2:$G$11,Projetos!$K$2:$K$11,"&lt;="&amp;Dados!$A173,Projetos!$N$2:$N$11,"&gt;"&amp;Dados!A173,Projetos!$D$2:$D$11,"BRL")</f>
        <v>-3.3347428653203535E-13</v>
      </c>
      <c r="E173" s="18">
        <f t="shared" ca="1" si="8"/>
        <v>90364.36618703937</v>
      </c>
      <c r="G173" s="45">
        <f t="shared" ca="1" si="11"/>
        <v>502200.52271920507</v>
      </c>
      <c r="H173" s="18">
        <f>-SUMIFS(Projetos!$F$2:$F$11,Projetos!$D$2:$D$11,"USD",Projetos!$N$2:$N$11,Dados!$A173)</f>
        <v>0</v>
      </c>
      <c r="I173" s="45">
        <f ca="1">(G173+H173)*((Indicadores_Economicos!D$2+1)^(1/12)-1)</f>
        <v>1644.0738298669514</v>
      </c>
      <c r="J173" s="18">
        <f ca="1">SUMIFS(Projetos!$G$2:$G$11,Projetos!$K$2:$K$11,"&lt;="&amp;Dados!$A173,Projetos!$N$2:$N$11,"&gt;"&amp;Dados!$A173,Projetos!$D$2:$D$11,"USD")</f>
        <v>-1.9055673516116306E-12</v>
      </c>
      <c r="K173" s="18">
        <f t="shared" ca="1" si="9"/>
        <v>503844.59654907201</v>
      </c>
    </row>
    <row r="174" spans="1:11" x14ac:dyDescent="0.2">
      <c r="A174" s="45">
        <f t="shared" ca="1" si="10"/>
        <v>90364.36618703937</v>
      </c>
      <c r="B174" s="18">
        <f>-SUMIFS(Projetos!$F$2:$F$11,Projetos!$D$2:$D$11,"BRL",Projetos!$N$2:$N$11,Dados!$A174)</f>
        <v>0</v>
      </c>
      <c r="C174" s="45">
        <f ca="1">(A174+B174)*((Indicadores_Economicos!D$2+1)^(1/12)-1)</f>
        <v>295.82942047970124</v>
      </c>
      <c r="D174" s="18">
        <f ca="1">SUMIFS(Projetos!$G$2:$G$11,Projetos!$K$2:$K$11,"&lt;="&amp;Dados!$A174,Projetos!$N$2:$N$11,"&gt;"&amp;Dados!A174,Projetos!$D$2:$D$11,"BRL")</f>
        <v>-3.3347428653203535E-13</v>
      </c>
      <c r="E174" s="18">
        <f t="shared" ca="1" si="8"/>
        <v>90660.195607519068</v>
      </c>
      <c r="G174" s="45">
        <f t="shared" ca="1" si="11"/>
        <v>503844.59654907201</v>
      </c>
      <c r="H174" s="18">
        <f>-SUMIFS(Projetos!$F$2:$F$11,Projetos!$D$2:$D$11,"USD",Projetos!$N$2:$N$11,Dados!$A174)</f>
        <v>0</v>
      </c>
      <c r="I174" s="45">
        <f ca="1">(G174+H174)*((Indicadores_Economicos!D$2+1)^(1/12)-1)</f>
        <v>1649.456099768659</v>
      </c>
      <c r="J174" s="18">
        <f ca="1">SUMIFS(Projetos!$G$2:$G$11,Projetos!$K$2:$K$11,"&lt;="&amp;Dados!$A174,Projetos!$N$2:$N$11,"&gt;"&amp;Dados!$A174,Projetos!$D$2:$D$11,"USD")</f>
        <v>-1.9055673516116306E-12</v>
      </c>
      <c r="K174" s="18">
        <f t="shared" ca="1" si="9"/>
        <v>505494.05264884065</v>
      </c>
    </row>
    <row r="175" spans="1:11" x14ac:dyDescent="0.2">
      <c r="A175" s="45">
        <f t="shared" ca="1" si="10"/>
        <v>90660.195607519068</v>
      </c>
      <c r="B175" s="18">
        <f>-SUMIFS(Projetos!$F$2:$F$11,Projetos!$D$2:$D$11,"BRL",Projetos!$N$2:$N$11,Dados!$A175)</f>
        <v>0</v>
      </c>
      <c r="C175" s="45">
        <f ca="1">(A175+B175)*((Indicadores_Economicos!D$2+1)^(1/12)-1)</f>
        <v>296.79788902227045</v>
      </c>
      <c r="D175" s="18">
        <f ca="1">SUMIFS(Projetos!$G$2:$G$11,Projetos!$K$2:$K$11,"&lt;="&amp;Dados!$A175,Projetos!$N$2:$N$11,"&gt;"&amp;Dados!A175,Projetos!$D$2:$D$11,"BRL")</f>
        <v>-3.3347428653203535E-13</v>
      </c>
      <c r="E175" s="18">
        <f t="shared" ca="1" si="8"/>
        <v>90956.993496541341</v>
      </c>
      <c r="G175" s="45">
        <f t="shared" ca="1" si="11"/>
        <v>505494.05264884065</v>
      </c>
      <c r="H175" s="18">
        <f>-SUMIFS(Projetos!$F$2:$F$11,Projetos!$D$2:$D$11,"USD",Projetos!$N$2:$N$11,Dados!$A175)</f>
        <v>0</v>
      </c>
      <c r="I175" s="45">
        <f ca="1">(G175+H175)*((Indicadores_Economicos!D$2+1)^(1/12)-1)</f>
        <v>1654.8559898214621</v>
      </c>
      <c r="J175" s="18">
        <f ca="1">SUMIFS(Projetos!$G$2:$G$11,Projetos!$K$2:$K$11,"&lt;="&amp;Dados!$A175,Projetos!$N$2:$N$11,"&gt;"&amp;Dados!$A175,Projetos!$D$2:$D$11,"USD")</f>
        <v>-1.9055673516116306E-12</v>
      </c>
      <c r="K175" s="18">
        <f t="shared" ca="1" si="9"/>
        <v>507148.90863866213</v>
      </c>
    </row>
    <row r="176" spans="1:11" x14ac:dyDescent="0.2">
      <c r="A176" s="45">
        <f t="shared" ca="1" si="10"/>
        <v>90956.993496541341</v>
      </c>
      <c r="B176" s="18">
        <f>-SUMIFS(Projetos!$F$2:$F$11,Projetos!$D$2:$D$11,"BRL",Projetos!$N$2:$N$11,Dados!$A176)</f>
        <v>0</v>
      </c>
      <c r="C176" s="45">
        <f ca="1">(A176+B176)*((Indicadores_Economicos!D$2+1)^(1/12)-1)</f>
        <v>297.76952807883532</v>
      </c>
      <c r="D176" s="18">
        <f ca="1">SUMIFS(Projetos!$G$2:$G$11,Projetos!$K$2:$K$11,"&lt;="&amp;Dados!$A176,Projetos!$N$2:$N$11,"&gt;"&amp;Dados!A176,Projetos!$D$2:$D$11,"BRL")</f>
        <v>-3.3347428653203535E-13</v>
      </c>
      <c r="E176" s="18">
        <f t="shared" ca="1" si="8"/>
        <v>91254.763024620173</v>
      </c>
      <c r="G176" s="45">
        <f t="shared" ca="1" si="11"/>
        <v>507148.90863866213</v>
      </c>
      <c r="H176" s="18">
        <f>-SUMIFS(Projetos!$F$2:$F$11,Projetos!$D$2:$D$11,"USD",Projetos!$N$2:$N$11,Dados!$A176)</f>
        <v>0</v>
      </c>
      <c r="I176" s="45">
        <f ca="1">(G176+H176)*((Indicadores_Economicos!D$2+1)^(1/12)-1)</f>
        <v>1660.273557709151</v>
      </c>
      <c r="J176" s="18">
        <f ca="1">SUMIFS(Projetos!$G$2:$G$11,Projetos!$K$2:$K$11,"&lt;="&amp;Dados!$A176,Projetos!$N$2:$N$11,"&gt;"&amp;Dados!$A176,Projetos!$D$2:$D$11,"USD")</f>
        <v>-1.9055673516116306E-12</v>
      </c>
      <c r="K176" s="18">
        <f t="shared" ca="1" si="9"/>
        <v>508809.18219637126</v>
      </c>
    </row>
    <row r="177" spans="1:11" x14ac:dyDescent="0.2">
      <c r="A177" s="45">
        <f t="shared" ca="1" si="10"/>
        <v>91254.763024620173</v>
      </c>
      <c r="B177" s="18">
        <f>-SUMIFS(Projetos!$F$2:$F$11,Projetos!$D$2:$D$11,"BRL",Projetos!$N$2:$N$11,Dados!$A177)</f>
        <v>0</v>
      </c>
      <c r="C177" s="45">
        <f ca="1">(A177+B177)*((Indicadores_Economicos!D$2+1)^(1/12)-1)</f>
        <v>298.7443480288336</v>
      </c>
      <c r="D177" s="18">
        <f ca="1">SUMIFS(Projetos!$G$2:$G$11,Projetos!$K$2:$K$11,"&lt;="&amp;Dados!$A177,Projetos!$N$2:$N$11,"&gt;"&amp;Dados!A177,Projetos!$D$2:$D$11,"BRL")</f>
        <v>-3.3347428653203535E-13</v>
      </c>
      <c r="E177" s="18">
        <f t="shared" ca="1" si="8"/>
        <v>91553.507372649008</v>
      </c>
      <c r="G177" s="45">
        <f t="shared" ca="1" si="11"/>
        <v>508809.18219637126</v>
      </c>
      <c r="H177" s="18">
        <f>-SUMIFS(Projetos!$F$2:$F$11,Projetos!$D$2:$D$11,"USD",Projetos!$N$2:$N$11,Dados!$A177)</f>
        <v>0</v>
      </c>
      <c r="I177" s="45">
        <f ca="1">(G177+H177)*((Indicadores_Economicos!D$2+1)^(1/12)-1)</f>
        <v>1665.7088613043563</v>
      </c>
      <c r="J177" s="18">
        <f ca="1">SUMIFS(Projetos!$G$2:$G$11,Projetos!$K$2:$K$11,"&lt;="&amp;Dados!$A177,Projetos!$N$2:$N$11,"&gt;"&amp;Dados!$A177,Projetos!$D$2:$D$11,"USD")</f>
        <v>-1.9055673516116306E-12</v>
      </c>
      <c r="K177" s="18">
        <f t="shared" ca="1" si="9"/>
        <v>510474.89105767559</v>
      </c>
    </row>
    <row r="178" spans="1:11" x14ac:dyDescent="0.2">
      <c r="A178" s="45">
        <f t="shared" ca="1" si="10"/>
        <v>91553.507372649008</v>
      </c>
      <c r="B178" s="18">
        <f>-SUMIFS(Projetos!$F$2:$F$11,Projetos!$D$2:$D$11,"BRL",Projetos!$N$2:$N$11,Dados!$A178)</f>
        <v>0</v>
      </c>
      <c r="C178" s="45">
        <f ca="1">(A178+B178)*((Indicadores_Economicos!D$2+1)^(1/12)-1)</f>
        <v>299.72235928568267</v>
      </c>
      <c r="D178" s="18">
        <f ca="1">SUMIFS(Projetos!$G$2:$G$11,Projetos!$K$2:$K$11,"&lt;="&amp;Dados!$A178,Projetos!$N$2:$N$11,"&gt;"&amp;Dados!A178,Projetos!$D$2:$D$11,"BRL")</f>
        <v>-3.3347428653203535E-13</v>
      </c>
      <c r="E178" s="18">
        <f t="shared" ca="1" si="8"/>
        <v>91853.229731934698</v>
      </c>
      <c r="G178" s="45">
        <f t="shared" ca="1" si="11"/>
        <v>510474.89105767559</v>
      </c>
      <c r="H178" s="18">
        <f>-SUMIFS(Projetos!$F$2:$F$11,Projetos!$D$2:$D$11,"USD",Projetos!$N$2:$N$11,Dados!$A178)</f>
        <v>0</v>
      </c>
      <c r="I178" s="45">
        <f ca="1">(G178+H178)*((Indicadores_Economicos!D$2+1)^(1/12)-1)</f>
        <v>1671.1619586691695</v>
      </c>
      <c r="J178" s="18">
        <f ca="1">SUMIFS(Projetos!$G$2:$G$11,Projetos!$K$2:$K$11,"&lt;="&amp;Dados!$A178,Projetos!$N$2:$N$11,"&gt;"&amp;Dados!$A178,Projetos!$D$2:$D$11,"USD")</f>
        <v>-1.9055673516116306E-12</v>
      </c>
      <c r="K178" s="18">
        <f t="shared" ca="1" si="9"/>
        <v>512146.05301634478</v>
      </c>
    </row>
    <row r="179" spans="1:11" x14ac:dyDescent="0.2">
      <c r="A179" s="45">
        <f t="shared" ca="1" si="10"/>
        <v>91853.229731934698</v>
      </c>
      <c r="B179" s="18">
        <f>-SUMIFS(Projetos!$F$2:$F$11,Projetos!$D$2:$D$11,"BRL",Projetos!$N$2:$N$11,Dados!$A179)</f>
        <v>0</v>
      </c>
      <c r="C179" s="45">
        <f ca="1">(A179+B179)*((Indicadores_Economicos!D$2+1)^(1/12)-1)</f>
        <v>300.70357229689074</v>
      </c>
      <c r="D179" s="18">
        <f ca="1">SUMIFS(Projetos!$G$2:$G$11,Projetos!$K$2:$K$11,"&lt;="&amp;Dados!$A179,Projetos!$N$2:$N$11,"&gt;"&amp;Dados!A179,Projetos!$D$2:$D$11,"BRL")</f>
        <v>-3.3347428653203535E-13</v>
      </c>
      <c r="E179" s="18">
        <f t="shared" ca="1" si="8"/>
        <v>92153.933304231585</v>
      </c>
      <c r="G179" s="45">
        <f t="shared" ca="1" si="11"/>
        <v>512146.05301634478</v>
      </c>
      <c r="H179" s="18">
        <f>-SUMIFS(Projetos!$F$2:$F$11,Projetos!$D$2:$D$11,"USD",Projetos!$N$2:$N$11,Dados!$A179)</f>
        <v>0</v>
      </c>
      <c r="I179" s="45">
        <f ca="1">(G179+H179)*((Indicadores_Economicos!D$2+1)^(1/12)-1)</f>
        <v>1676.6329080557623</v>
      </c>
      <c r="J179" s="18">
        <f ca="1">SUMIFS(Projetos!$G$2:$G$11,Projetos!$K$2:$K$11,"&lt;="&amp;Dados!$A179,Projetos!$N$2:$N$11,"&gt;"&amp;Dados!$A179,Projetos!$D$2:$D$11,"USD")</f>
        <v>-1.9055673516116306E-12</v>
      </c>
      <c r="K179" s="18">
        <f t="shared" ca="1" si="9"/>
        <v>513822.68592440052</v>
      </c>
    </row>
    <row r="180" spans="1:11" x14ac:dyDescent="0.2">
      <c r="A180" s="45">
        <f t="shared" ca="1" si="10"/>
        <v>92153.933304231585</v>
      </c>
      <c r="B180" s="18">
        <f>-SUMIFS(Projetos!$F$2:$F$11,Projetos!$D$2:$D$11,"BRL",Projetos!$N$2:$N$11,Dados!$A180)</f>
        <v>0</v>
      </c>
      <c r="C180" s="45">
        <f ca="1">(A180+B180)*((Indicadores_Economicos!D$2+1)^(1/12)-1)</f>
        <v>301.68799754416841</v>
      </c>
      <c r="D180" s="18">
        <f ca="1">SUMIFS(Projetos!$G$2:$G$11,Projetos!$K$2:$K$11,"&lt;="&amp;Dados!$A180,Projetos!$N$2:$N$11,"&gt;"&amp;Dados!A180,Projetos!$D$2:$D$11,"BRL")</f>
        <v>-3.3347428653203535E-13</v>
      </c>
      <c r="E180" s="18">
        <f t="shared" ca="1" si="8"/>
        <v>92455.621301775755</v>
      </c>
      <c r="G180" s="45">
        <f t="shared" ca="1" si="11"/>
        <v>513822.68592440052</v>
      </c>
      <c r="H180" s="18">
        <f>-SUMIFS(Projetos!$F$2:$F$11,Projetos!$D$2:$D$11,"USD",Projetos!$N$2:$N$11,Dados!$A180)</f>
        <v>0</v>
      </c>
      <c r="I180" s="45">
        <f ca="1">(G180+H180)*((Indicadores_Economicos!D$2+1)^(1/12)-1)</f>
        <v>1682.1217679070082</v>
      </c>
      <c r="J180" s="18">
        <f ca="1">SUMIFS(Projetos!$G$2:$G$11,Projetos!$K$2:$K$11,"&lt;="&amp;Dados!$A180,Projetos!$N$2:$N$11,"&gt;"&amp;Dados!$A180,Projetos!$D$2:$D$11,"USD")</f>
        <v>-1.9055673516116306E-12</v>
      </c>
      <c r="K180" s="18">
        <f t="shared" ca="1" si="9"/>
        <v>515504.80769230751</v>
      </c>
    </row>
    <row r="181" spans="1:11" x14ac:dyDescent="0.2">
      <c r="A181" s="45">
        <f t="shared" ca="1" si="10"/>
        <v>92455.621301775755</v>
      </c>
      <c r="B181" s="18">
        <f>-SUMIFS(Projetos!$F$2:$F$11,Projetos!$D$2:$D$11,"BRL",Projetos!$N$2:$N$11,Dados!$A181)</f>
        <v>0</v>
      </c>
      <c r="C181" s="45">
        <f ca="1">(A181+B181)*((Indicadores_Economicos!D$2+1)^(1/12)-1)</f>
        <v>302.67564554354067</v>
      </c>
      <c r="D181" s="18">
        <f ca="1">SUMIFS(Projetos!$G$2:$G$11,Projetos!$K$2:$K$11,"&lt;="&amp;Dados!$A181,Projetos!$N$2:$N$11,"&gt;"&amp;Dados!A181,Projetos!$D$2:$D$11,"BRL")</f>
        <v>-3.3347428653203535E-13</v>
      </c>
      <c r="E181" s="18">
        <f t="shared" ca="1" si="8"/>
        <v>92758.296947319293</v>
      </c>
      <c r="G181" s="45">
        <f t="shared" ca="1" si="11"/>
        <v>515504.80769230751</v>
      </c>
      <c r="H181" s="18">
        <f>-SUMIFS(Projetos!$F$2:$F$11,Projetos!$D$2:$D$11,"USD",Projetos!$N$2:$N$11,Dados!$A181)</f>
        <v>0</v>
      </c>
      <c r="I181" s="45">
        <f ca="1">(G181+H181)*((Indicadores_Economicos!D$2+1)^(1/12)-1)</f>
        <v>1687.6285968571081</v>
      </c>
      <c r="J181" s="18">
        <f ca="1">SUMIFS(Projetos!$G$2:$G$11,Projetos!$K$2:$K$11,"&lt;="&amp;Dados!$A181,Projetos!$N$2:$N$11,"&gt;"&amp;Dados!$A181,Projetos!$D$2:$D$11,"USD")</f>
        <v>-1.9055673516116306E-12</v>
      </c>
      <c r="K181" s="18">
        <f t="shared" ca="1" si="9"/>
        <v>517192.43628916465</v>
      </c>
    </row>
    <row r="182" spans="1:11" x14ac:dyDescent="0.2">
      <c r="A182" s="45">
        <f t="shared" ca="1" si="10"/>
        <v>92758.296947319293</v>
      </c>
      <c r="B182" s="18">
        <f>-SUMIFS(Projetos!$F$2:$F$11,Projetos!$D$2:$D$11,"BRL",Projetos!$N$2:$N$11,Dados!$A182)</f>
        <v>0</v>
      </c>
      <c r="C182" s="45">
        <f ca="1">(A182+B182)*((Indicadores_Economicos!D$2+1)^(1/12)-1)</f>
        <v>303.66652684545932</v>
      </c>
      <c r="D182" s="18">
        <f ca="1">SUMIFS(Projetos!$G$2:$G$11,Projetos!$K$2:$K$11,"&lt;="&amp;Dados!$A182,Projetos!$N$2:$N$11,"&gt;"&amp;Dados!A182,Projetos!$D$2:$D$11,"BRL")</f>
        <v>-3.3347428653203535E-13</v>
      </c>
      <c r="E182" s="18">
        <f t="shared" ca="1" si="8"/>
        <v>93061.963474164746</v>
      </c>
      <c r="G182" s="45">
        <f t="shared" ca="1" si="11"/>
        <v>517192.43628916465</v>
      </c>
      <c r="H182" s="18">
        <f>-SUMIFS(Projetos!$F$2:$F$11,Projetos!$D$2:$D$11,"USD",Projetos!$N$2:$N$11,Dados!$A182)</f>
        <v>0</v>
      </c>
      <c r="I182" s="45">
        <f ca="1">(G182+H182)*((Indicadores_Economicos!D$2+1)^(1/12)-1)</f>
        <v>1693.1534537322159</v>
      </c>
      <c r="J182" s="18">
        <f ca="1">SUMIFS(Projetos!$G$2:$G$11,Projetos!$K$2:$K$11,"&lt;="&amp;Dados!$A182,Projetos!$N$2:$N$11,"&gt;"&amp;Dados!$A182,Projetos!$D$2:$D$11,"USD")</f>
        <v>-1.9055673516116306E-12</v>
      </c>
      <c r="K182" s="18">
        <f t="shared" ca="1" si="9"/>
        <v>518885.58974289685</v>
      </c>
    </row>
    <row r="183" spans="1:11" x14ac:dyDescent="0.2">
      <c r="A183" s="45">
        <f t="shared" ca="1" si="10"/>
        <v>93061.963474164746</v>
      </c>
      <c r="B183" s="18">
        <f>-SUMIFS(Projetos!$F$2:$F$11,Projetos!$D$2:$D$11,"BRL",Projetos!$N$2:$N$11,Dados!$A183)</f>
        <v>0</v>
      </c>
      <c r="C183" s="45">
        <f ca="1">(A183+B183)*((Indicadores_Economicos!D$2+1)^(1/12)-1)</f>
        <v>304.66065203491542</v>
      </c>
      <c r="D183" s="18">
        <f ca="1">SUMIFS(Projetos!$G$2:$G$11,Projetos!$K$2:$K$11,"&lt;="&amp;Dados!$A183,Projetos!$N$2:$N$11,"&gt;"&amp;Dados!A183,Projetos!$D$2:$D$11,"BRL")</f>
        <v>-3.3347428653203535E-13</v>
      </c>
      <c r="E183" s="18">
        <f t="shared" ca="1" si="8"/>
        <v>93366.624126199662</v>
      </c>
      <c r="G183" s="45">
        <f t="shared" ca="1" si="11"/>
        <v>518885.58974289685</v>
      </c>
      <c r="H183" s="18">
        <f>-SUMIFS(Projetos!$F$2:$F$11,Projetos!$D$2:$D$11,"USD",Projetos!$N$2:$N$11,Dados!$A183)</f>
        <v>0</v>
      </c>
      <c r="I183" s="45">
        <f ca="1">(G183+H183)*((Indicadores_Economicos!D$2+1)^(1/12)-1)</f>
        <v>1698.6963975510664</v>
      </c>
      <c r="J183" s="18">
        <f ca="1">SUMIFS(Projetos!$G$2:$G$11,Projetos!$K$2:$K$11,"&lt;="&amp;Dados!$A183,Projetos!$N$2:$N$11,"&gt;"&amp;Dados!$A183,Projetos!$D$2:$D$11,"USD")</f>
        <v>-1.9055673516116306E-12</v>
      </c>
      <c r="K183" s="18">
        <f t="shared" ca="1" si="9"/>
        <v>520584.28614044789</v>
      </c>
    </row>
    <row r="184" spans="1:11" x14ac:dyDescent="0.2">
      <c r="A184" s="45">
        <f t="shared" ca="1" si="10"/>
        <v>93366.624126199662</v>
      </c>
      <c r="B184" s="18">
        <f>-SUMIFS(Projetos!$F$2:$F$11,Projetos!$D$2:$D$11,"BRL",Projetos!$N$2:$N$11,Dados!$A184)</f>
        <v>0</v>
      </c>
      <c r="C184" s="45">
        <f ca="1">(A184+B184)*((Indicadores_Economicos!D$2+1)^(1/12)-1)</f>
        <v>305.6580317315528</v>
      </c>
      <c r="D184" s="18">
        <f ca="1">SUMIFS(Projetos!$G$2:$G$11,Projetos!$K$2:$K$11,"&lt;="&amp;Dados!$A184,Projetos!$N$2:$N$11,"&gt;"&amp;Dados!A184,Projetos!$D$2:$D$11,"BRL")</f>
        <v>-3.3347428653203535E-13</v>
      </c>
      <c r="E184" s="18">
        <f t="shared" ca="1" si="8"/>
        <v>93672.282157931215</v>
      </c>
      <c r="G184" s="45">
        <f t="shared" ca="1" si="11"/>
        <v>520584.28614044789</v>
      </c>
      <c r="H184" s="18">
        <f>-SUMIFS(Projetos!$F$2:$F$11,Projetos!$D$2:$D$11,"USD",Projetos!$N$2:$N$11,Dados!$A184)</f>
        <v>0</v>
      </c>
      <c r="I184" s="45">
        <f ca="1">(G184+H184)*((Indicadores_Economicos!D$2+1)^(1/12)-1)</f>
        <v>1704.2574875256073</v>
      </c>
      <c r="J184" s="18">
        <f ca="1">SUMIFS(Projetos!$G$2:$G$11,Projetos!$K$2:$K$11,"&lt;="&amp;Dados!$A184,Projetos!$N$2:$N$11,"&gt;"&amp;Dados!$A184,Projetos!$D$2:$D$11,"USD")</f>
        <v>-1.9055673516116306E-12</v>
      </c>
      <c r="K184" s="18">
        <f t="shared" ca="1" si="9"/>
        <v>522288.54362797347</v>
      </c>
    </row>
    <row r="185" spans="1:11" x14ac:dyDescent="0.2">
      <c r="A185" s="45">
        <f t="shared" ca="1" si="10"/>
        <v>93672.282157931215</v>
      </c>
      <c r="B185" s="18">
        <f>-SUMIFS(Projetos!$F$2:$F$11,Projetos!$D$2:$D$11,"BRL",Projetos!$N$2:$N$11,Dados!$A185)</f>
        <v>0</v>
      </c>
      <c r="C185" s="45">
        <f ca="1">(A185+B185)*((Indicadores_Economicos!D$2+1)^(1/12)-1)</f>
        <v>306.65867658978101</v>
      </c>
      <c r="D185" s="18">
        <f ca="1">SUMIFS(Projetos!$G$2:$G$11,Projetos!$K$2:$K$11,"&lt;="&amp;Dados!$A185,Projetos!$N$2:$N$11,"&gt;"&amp;Dados!A185,Projetos!$D$2:$D$11,"BRL")</f>
        <v>-3.3347428653203535E-13</v>
      </c>
      <c r="E185" s="18">
        <f t="shared" ca="1" si="8"/>
        <v>93978.940834520996</v>
      </c>
      <c r="G185" s="45">
        <f t="shared" ca="1" si="11"/>
        <v>522288.54362797347</v>
      </c>
      <c r="H185" s="18">
        <f>-SUMIFS(Projetos!$F$2:$F$11,Projetos!$D$2:$D$11,"USD",Projetos!$N$2:$N$11,Dados!$A185)</f>
        <v>0</v>
      </c>
      <c r="I185" s="45">
        <f ca="1">(G185+H185)*((Indicadores_Economicos!D$2+1)^(1/12)-1)</f>
        <v>1709.8367830616301</v>
      </c>
      <c r="J185" s="18">
        <f ca="1">SUMIFS(Projetos!$G$2:$G$11,Projetos!$K$2:$K$11,"&lt;="&amp;Dados!$A185,Projetos!$N$2:$N$11,"&gt;"&amp;Dados!$A185,Projetos!$D$2:$D$11,"USD")</f>
        <v>-1.9055673516116306E-12</v>
      </c>
      <c r="K185" s="18">
        <f t="shared" ca="1" si="9"/>
        <v>523998.38041103509</v>
      </c>
    </row>
    <row r="186" spans="1:11" x14ac:dyDescent="0.2">
      <c r="A186" s="45">
        <f t="shared" ca="1" si="10"/>
        <v>93978.940834520996</v>
      </c>
      <c r="B186" s="18">
        <f>-SUMIFS(Projetos!$F$2:$F$11,Projetos!$D$2:$D$11,"BRL",Projetos!$N$2:$N$11,Dados!$A186)</f>
        <v>0</v>
      </c>
      <c r="C186" s="45">
        <f ca="1">(A186+B186)*((Indicadores_Economicos!D$2+1)^(1/12)-1)</f>
        <v>307.66259729888941</v>
      </c>
      <c r="D186" s="18">
        <f ca="1">SUMIFS(Projetos!$G$2:$G$11,Projetos!$K$2:$K$11,"&lt;="&amp;Dados!$A186,Projetos!$N$2:$N$11,"&gt;"&amp;Dados!A186,Projetos!$D$2:$D$11,"BRL")</f>
        <v>-3.3347428653203535E-13</v>
      </c>
      <c r="E186" s="18">
        <f t="shared" ca="1" si="8"/>
        <v>94286.60343181988</v>
      </c>
      <c r="G186" s="45">
        <f t="shared" ca="1" si="11"/>
        <v>523998.38041103509</v>
      </c>
      <c r="H186" s="18">
        <f>-SUMIFS(Projetos!$F$2:$F$11,Projetos!$D$2:$D$11,"USD",Projetos!$N$2:$N$11,Dados!$A186)</f>
        <v>0</v>
      </c>
      <c r="I186" s="45">
        <f ca="1">(G186+H186)*((Indicadores_Economicos!D$2+1)^(1/12)-1)</f>
        <v>1715.4343437594059</v>
      </c>
      <c r="J186" s="18">
        <f ca="1">SUMIFS(Projetos!$G$2:$G$11,Projetos!$K$2:$K$11,"&lt;="&amp;Dados!$A186,Projetos!$N$2:$N$11,"&gt;"&amp;Dados!$A186,Projetos!$D$2:$D$11,"USD")</f>
        <v>-1.9055673516116306E-12</v>
      </c>
      <c r="K186" s="18">
        <f t="shared" ca="1" si="9"/>
        <v>525713.81475479447</v>
      </c>
    </row>
    <row r="187" spans="1:11" x14ac:dyDescent="0.2">
      <c r="A187" s="45">
        <f t="shared" ca="1" si="10"/>
        <v>94286.60343181988</v>
      </c>
      <c r="B187" s="18">
        <f>-SUMIFS(Projetos!$F$2:$F$11,Projetos!$D$2:$D$11,"BRL",Projetos!$N$2:$N$11,Dados!$A187)</f>
        <v>0</v>
      </c>
      <c r="C187" s="45">
        <f ca="1">(A187+B187)*((Indicadores_Economicos!D$2+1)^(1/12)-1)</f>
        <v>308.66980458316141</v>
      </c>
      <c r="D187" s="18">
        <f ca="1">SUMIFS(Projetos!$G$2:$G$11,Projetos!$K$2:$K$11,"&lt;="&amp;Dados!$A187,Projetos!$N$2:$N$11,"&gt;"&amp;Dados!A187,Projetos!$D$2:$D$11,"BRL")</f>
        <v>-3.3347428653203535E-13</v>
      </c>
      <c r="E187" s="18">
        <f t="shared" ca="1" si="8"/>
        <v>94595.273236403038</v>
      </c>
      <c r="G187" s="45">
        <f t="shared" ca="1" si="11"/>
        <v>525713.81475479447</v>
      </c>
      <c r="H187" s="18">
        <f>-SUMIFS(Projetos!$F$2:$F$11,Projetos!$D$2:$D$11,"USD",Projetos!$N$2:$N$11,Dados!$A187)</f>
        <v>0</v>
      </c>
      <c r="I187" s="45">
        <f ca="1">(G187+H187)*((Indicadores_Economicos!D$2+1)^(1/12)-1)</f>
        <v>1721.0502294143214</v>
      </c>
      <c r="J187" s="18">
        <f ca="1">SUMIFS(Projetos!$G$2:$G$11,Projetos!$K$2:$K$11,"&lt;="&amp;Dados!$A187,Projetos!$N$2:$N$11,"&gt;"&amp;Dados!$A187,Projetos!$D$2:$D$11,"USD")</f>
        <v>-1.9055673516116306E-12</v>
      </c>
      <c r="K187" s="18">
        <f t="shared" ca="1" si="9"/>
        <v>527434.86498420883</v>
      </c>
    </row>
    <row r="188" spans="1:11" x14ac:dyDescent="0.2">
      <c r="A188" s="45">
        <f t="shared" ca="1" si="10"/>
        <v>94595.273236403038</v>
      </c>
      <c r="B188" s="18">
        <f>-SUMIFS(Projetos!$F$2:$F$11,Projetos!$D$2:$D$11,"BRL",Projetos!$N$2:$N$11,Dados!$A188)</f>
        <v>0</v>
      </c>
      <c r="C188" s="45">
        <f ca="1">(A188+B188)*((Indicadores_Economicos!D$2+1)^(1/12)-1)</f>
        <v>309.6803092019889</v>
      </c>
      <c r="D188" s="18">
        <f ca="1">SUMIFS(Projetos!$G$2:$G$11,Projetos!$K$2:$K$11,"&lt;="&amp;Dados!$A188,Projetos!$N$2:$N$11,"&gt;"&amp;Dados!A188,Projetos!$D$2:$D$11,"BRL")</f>
        <v>-3.3347428653203535E-13</v>
      </c>
      <c r="E188" s="18">
        <f t="shared" ca="1" si="8"/>
        <v>94904.953545605022</v>
      </c>
      <c r="G188" s="45">
        <f t="shared" ca="1" si="11"/>
        <v>527434.86498420883</v>
      </c>
      <c r="H188" s="18">
        <f>-SUMIFS(Projetos!$F$2:$F$11,Projetos!$D$2:$D$11,"USD",Projetos!$N$2:$N$11,Dados!$A188)</f>
        <v>0</v>
      </c>
      <c r="I188" s="45">
        <f ca="1">(G188+H188)*((Indicadores_Economicos!D$2+1)^(1/12)-1)</f>
        <v>1726.6845000175176</v>
      </c>
      <c r="J188" s="18">
        <f ca="1">SUMIFS(Projetos!$G$2:$G$11,Projetos!$K$2:$K$11,"&lt;="&amp;Dados!$A188,Projetos!$N$2:$N$11,"&gt;"&amp;Dados!$A188,Projetos!$D$2:$D$11,"USD")</f>
        <v>-1.9055673516116306E-12</v>
      </c>
      <c r="K188" s="18">
        <f t="shared" ca="1" si="9"/>
        <v>529161.54948422639</v>
      </c>
    </row>
    <row r="189" spans="1:11" x14ac:dyDescent="0.2">
      <c r="A189" s="45">
        <f t="shared" ca="1" si="10"/>
        <v>94904.953545605022</v>
      </c>
      <c r="B189" s="18">
        <f>-SUMIFS(Projetos!$F$2:$F$11,Projetos!$D$2:$D$11,"BRL",Projetos!$N$2:$N$11,Dados!$A189)</f>
        <v>0</v>
      </c>
      <c r="C189" s="45">
        <f ca="1">(A189+B189)*((Indicadores_Economicos!D$2+1)^(1/12)-1)</f>
        <v>310.69412194998711</v>
      </c>
      <c r="D189" s="18">
        <f ca="1">SUMIFS(Projetos!$G$2:$G$11,Projetos!$K$2:$K$11,"&lt;="&amp;Dados!$A189,Projetos!$N$2:$N$11,"&gt;"&amp;Dados!A189,Projetos!$D$2:$D$11,"BRL")</f>
        <v>-3.3347428653203535E-13</v>
      </c>
      <c r="E189" s="18">
        <f t="shared" ca="1" si="8"/>
        <v>95215.647667555008</v>
      </c>
      <c r="G189" s="45">
        <f t="shared" ca="1" si="11"/>
        <v>529161.54948422639</v>
      </c>
      <c r="H189" s="18">
        <f>-SUMIFS(Projetos!$F$2:$F$11,Projetos!$D$2:$D$11,"USD",Projetos!$N$2:$N$11,Dados!$A189)</f>
        <v>0</v>
      </c>
      <c r="I189" s="45">
        <f ca="1">(G189+H189)*((Indicadores_Economicos!D$2+1)^(1/12)-1)</f>
        <v>1732.3372157565314</v>
      </c>
      <c r="J189" s="18">
        <f ca="1">SUMIFS(Projetos!$G$2:$G$11,Projetos!$K$2:$K$11,"&lt;="&amp;Dados!$A189,Projetos!$N$2:$N$11,"&gt;"&amp;Dados!$A189,Projetos!$D$2:$D$11,"USD")</f>
        <v>-1.9055673516116306E-12</v>
      </c>
      <c r="K189" s="18">
        <f t="shared" ca="1" si="9"/>
        <v>530893.88669998292</v>
      </c>
    </row>
    <row r="190" spans="1:11" x14ac:dyDescent="0.2">
      <c r="A190" s="45">
        <f t="shared" ca="1" si="10"/>
        <v>95215.647667555008</v>
      </c>
      <c r="B190" s="18">
        <f>-SUMIFS(Projetos!$F$2:$F$11,Projetos!$D$2:$D$11,"BRL",Projetos!$N$2:$N$11,Dados!$A190)</f>
        <v>0</v>
      </c>
      <c r="C190" s="45">
        <f ca="1">(A190+B190)*((Indicadores_Economicos!D$2+1)^(1/12)-1)</f>
        <v>311.71125365711009</v>
      </c>
      <c r="D190" s="18">
        <f ca="1">SUMIFS(Projetos!$G$2:$G$11,Projetos!$K$2:$K$11,"&lt;="&amp;Dados!$A190,Projetos!$N$2:$N$11,"&gt;"&amp;Dados!A190,Projetos!$D$2:$D$11,"BRL")</f>
        <v>-3.3347428653203535E-13</v>
      </c>
      <c r="E190" s="18">
        <f t="shared" ca="1" si="8"/>
        <v>95527.358921212115</v>
      </c>
      <c r="G190" s="45">
        <f t="shared" ca="1" si="11"/>
        <v>530893.88669998292</v>
      </c>
      <c r="H190" s="18">
        <f>-SUMIFS(Projetos!$F$2:$F$11,Projetos!$D$2:$D$11,"USD",Projetos!$N$2:$N$11,Dados!$A190)</f>
        <v>0</v>
      </c>
      <c r="I190" s="45">
        <f ca="1">(G190+H190)*((Indicadores_Economicos!D$2+1)^(1/12)-1)</f>
        <v>1738.0084370159373</v>
      </c>
      <c r="J190" s="18">
        <f ca="1">SUMIFS(Projetos!$G$2:$G$11,Projetos!$K$2:$K$11,"&lt;="&amp;Dados!$A190,Projetos!$N$2:$N$11,"&gt;"&amp;Dados!$A190,Projetos!$D$2:$D$11,"USD")</f>
        <v>-1.9055673516116306E-12</v>
      </c>
      <c r="K190" s="18">
        <f t="shared" ca="1" si="9"/>
        <v>532631.89513699885</v>
      </c>
    </row>
    <row r="191" spans="1:11" x14ac:dyDescent="0.2">
      <c r="A191" s="45">
        <f t="shared" ca="1" si="10"/>
        <v>95527.358921212115</v>
      </c>
      <c r="B191" s="18">
        <f>-SUMIFS(Projetos!$F$2:$F$11,Projetos!$D$2:$D$11,"BRL",Projetos!$N$2:$N$11,Dados!$A191)</f>
        <v>0</v>
      </c>
      <c r="C191" s="45">
        <f ca="1">(A191+B191)*((Indicadores_Economicos!D$2+1)^(1/12)-1)</f>
        <v>312.73171518876649</v>
      </c>
      <c r="D191" s="18">
        <f ca="1">SUMIFS(Projetos!$G$2:$G$11,Projetos!$K$2:$K$11,"&lt;="&amp;Dados!$A191,Projetos!$N$2:$N$11,"&gt;"&amp;Dados!A191,Projetos!$D$2:$D$11,"BRL")</f>
        <v>-3.3347428653203535E-13</v>
      </c>
      <c r="E191" s="18">
        <f t="shared" ca="1" si="8"/>
        <v>95840.090636400884</v>
      </c>
      <c r="G191" s="45">
        <f t="shared" ca="1" si="11"/>
        <v>532631.89513699885</v>
      </c>
      <c r="H191" s="18">
        <f>-SUMIFS(Projetos!$F$2:$F$11,Projetos!$D$2:$D$11,"USD",Projetos!$N$2:$N$11,Dados!$A191)</f>
        <v>0</v>
      </c>
      <c r="I191" s="45">
        <f ca="1">(G191+H191)*((Indicadores_Economicos!D$2+1)^(1/12)-1)</f>
        <v>1743.6982243779937</v>
      </c>
      <c r="J191" s="18">
        <f ca="1">SUMIFS(Projetos!$G$2:$G$11,Projetos!$K$2:$K$11,"&lt;="&amp;Dados!$A191,Projetos!$N$2:$N$11,"&gt;"&amp;Dados!$A191,Projetos!$D$2:$D$11,"USD")</f>
        <v>-1.9055673516116306E-12</v>
      </c>
      <c r="K191" s="18">
        <f t="shared" ca="1" si="9"/>
        <v>534375.5933613769</v>
      </c>
    </row>
    <row r="192" spans="1:11" x14ac:dyDescent="0.2">
      <c r="A192" s="45">
        <f t="shared" ca="1" si="10"/>
        <v>95840.090636400884</v>
      </c>
      <c r="B192" s="18">
        <f>-SUMIFS(Projetos!$F$2:$F$11,Projetos!$D$2:$D$11,"BRL",Projetos!$N$2:$N$11,Dados!$A192)</f>
        <v>0</v>
      </c>
      <c r="C192" s="45">
        <f ca="1">(A192+B192)*((Indicadores_Economicos!D$2+1)^(1/12)-1)</f>
        <v>313.75551744593525</v>
      </c>
      <c r="D192" s="18">
        <f ca="1">SUMIFS(Projetos!$G$2:$G$11,Projetos!$K$2:$K$11,"&lt;="&amp;Dados!$A192,Projetos!$N$2:$N$11,"&gt;"&amp;Dados!A192,Projetos!$D$2:$D$11,"BRL")</f>
        <v>-3.3347428653203535E-13</v>
      </c>
      <c r="E192" s="18">
        <f t="shared" ca="1" si="8"/>
        <v>96153.846153846825</v>
      </c>
      <c r="G192" s="45">
        <f t="shared" ca="1" si="11"/>
        <v>534375.5933613769</v>
      </c>
      <c r="H192" s="18">
        <f>-SUMIFS(Projetos!$F$2:$F$11,Projetos!$D$2:$D$11,"USD",Projetos!$N$2:$N$11,Dados!$A192)</f>
        <v>0</v>
      </c>
      <c r="I192" s="45">
        <f ca="1">(G192+H192)*((Indicadores_Economicos!D$2+1)^(1/12)-1)</f>
        <v>1749.4066386232896</v>
      </c>
      <c r="J192" s="18">
        <f ca="1">SUMIFS(Projetos!$G$2:$G$11,Projetos!$K$2:$K$11,"&lt;="&amp;Dados!$A192,Projetos!$N$2:$N$11,"&gt;"&amp;Dados!$A192,Projetos!$D$2:$D$11,"USD")</f>
        <v>-1.9055673516116306E-12</v>
      </c>
      <c r="K192" s="18">
        <f t="shared" ca="1" si="9"/>
        <v>536125.00000000023</v>
      </c>
    </row>
    <row r="193" spans="1:11" x14ac:dyDescent="0.2">
      <c r="A193" s="45">
        <f t="shared" ca="1" si="10"/>
        <v>96153.846153846825</v>
      </c>
      <c r="B193" s="18">
        <f>-SUMIFS(Projetos!$F$2:$F$11,Projetos!$D$2:$D$11,"BRL",Projetos!$N$2:$N$11,Dados!$A193)</f>
        <v>0</v>
      </c>
      <c r="C193" s="45">
        <f ca="1">(A193+B193)*((Indicadores_Economicos!D$2+1)^(1/12)-1)</f>
        <v>314.78267136528245</v>
      </c>
      <c r="D193" s="18">
        <f ca="1">SUMIFS(Projetos!$G$2:$G$11,Projetos!$K$2:$K$11,"&lt;="&amp;Dados!$A193,Projetos!$N$2:$N$11,"&gt;"&amp;Dados!A193,Projetos!$D$2:$D$11,"BRL")</f>
        <v>-3.3347428653203535E-13</v>
      </c>
      <c r="E193" s="18">
        <f t="shared" ca="1" si="8"/>
        <v>96468.628825212101</v>
      </c>
      <c r="G193" s="45">
        <f t="shared" ca="1" si="11"/>
        <v>536125.00000000023</v>
      </c>
      <c r="H193" s="18">
        <f>-SUMIFS(Projetos!$F$2:$F$11,Projetos!$D$2:$D$11,"USD",Projetos!$N$2:$N$11,Dados!$A193)</f>
        <v>0</v>
      </c>
      <c r="I193" s="45">
        <f ca="1">(G193+H193)*((Indicadores_Economicos!D$2+1)^(1/12)-1)</f>
        <v>1755.1337407313938</v>
      </c>
      <c r="J193" s="18">
        <f ca="1">SUMIFS(Projetos!$G$2:$G$11,Projetos!$K$2:$K$11,"&lt;="&amp;Dados!$A193,Projetos!$N$2:$N$11,"&gt;"&amp;Dados!$A193,Projetos!$D$2:$D$11,"USD")</f>
        <v>-1.9055673516116306E-12</v>
      </c>
      <c r="K193" s="18">
        <f t="shared" ca="1" si="9"/>
        <v>537880.13374073163</v>
      </c>
    </row>
    <row r="194" spans="1:11" x14ac:dyDescent="0.2">
      <c r="A194" s="45">
        <f t="shared" ca="1" si="10"/>
        <v>96468.628825212101</v>
      </c>
      <c r="B194" s="18">
        <f>-SUMIFS(Projetos!$F$2:$F$11,Projetos!$D$2:$D$11,"BRL",Projetos!$N$2:$N$11,Dados!$A194)</f>
        <v>0</v>
      </c>
      <c r="C194" s="45">
        <f ca="1">(A194+B194)*((Indicadores_Economicos!D$2+1)^(1/12)-1)</f>
        <v>315.81318791927777</v>
      </c>
      <c r="D194" s="18">
        <f ca="1">SUMIFS(Projetos!$G$2:$G$11,Projetos!$K$2:$K$11,"&lt;="&amp;Dados!$A194,Projetos!$N$2:$N$11,"&gt;"&amp;Dados!A194,Projetos!$D$2:$D$11,"BRL")</f>
        <v>-3.3347428653203535E-13</v>
      </c>
      <c r="E194" s="18">
        <f t="shared" ref="E194:E257" ca="1" si="12">A194+B194+C194+D194</f>
        <v>96784.442013131382</v>
      </c>
      <c r="G194" s="45">
        <f t="shared" ca="1" si="11"/>
        <v>537880.13374073163</v>
      </c>
      <c r="H194" s="18">
        <f>-SUMIFS(Projetos!$F$2:$F$11,Projetos!$D$2:$D$11,"USD",Projetos!$N$2:$N$11,Dados!$A194)</f>
        <v>0</v>
      </c>
      <c r="I194" s="45">
        <f ca="1">(G194+H194)*((Indicadores_Economicos!D$2+1)^(1/12)-1)</f>
        <v>1760.8795918815058</v>
      </c>
      <c r="J194" s="18">
        <f ca="1">SUMIFS(Projetos!$G$2:$G$11,Projetos!$K$2:$K$11,"&lt;="&amp;Dados!$A194,Projetos!$N$2:$N$11,"&gt;"&amp;Dados!$A194,Projetos!$D$2:$D$11,"USD")</f>
        <v>-1.9055673516116306E-12</v>
      </c>
      <c r="K194" s="18">
        <f t="shared" ref="K194:K257" ca="1" si="13">G194+H194+I194+J194</f>
        <v>539641.01333261316</v>
      </c>
    </row>
    <row r="195" spans="1:11" x14ac:dyDescent="0.2">
      <c r="A195" s="45">
        <f t="shared" ca="1" si="10"/>
        <v>96784.442013131382</v>
      </c>
      <c r="B195" s="18">
        <f>-SUMIFS(Projetos!$F$2:$F$11,Projetos!$D$2:$D$11,"BRL",Projetos!$N$2:$N$11,Dados!$A195)</f>
        <v>0</v>
      </c>
      <c r="C195" s="45">
        <f ca="1">(A195+B195)*((Indicadores_Economicos!D$2+1)^(1/12)-1)</f>
        <v>316.84707811631222</v>
      </c>
      <c r="D195" s="18">
        <f ca="1">SUMIFS(Projetos!$G$2:$G$11,Projetos!$K$2:$K$11,"&lt;="&amp;Dados!$A195,Projetos!$N$2:$N$11,"&gt;"&amp;Dados!A195,Projetos!$D$2:$D$11,"BRL")</f>
        <v>-3.3347428653203535E-13</v>
      </c>
      <c r="E195" s="18">
        <f t="shared" ca="1" si="12"/>
        <v>97101.289091247687</v>
      </c>
      <c r="G195" s="45">
        <f t="shared" ca="1" si="11"/>
        <v>539641.01333261316</v>
      </c>
      <c r="H195" s="18">
        <f>-SUMIFS(Projetos!$F$2:$F$11,Projetos!$D$2:$D$11,"USD",Projetos!$N$2:$N$11,Dados!$A195)</f>
        <v>0</v>
      </c>
      <c r="I195" s="45">
        <f ca="1">(G195+H195)*((Indicadores_Economicos!D$2+1)^(1/12)-1)</f>
        <v>1766.6442534531104</v>
      </c>
      <c r="J195" s="18">
        <f ca="1">SUMIFS(Projetos!$G$2:$G$11,Projetos!$K$2:$K$11,"&lt;="&amp;Dados!$A195,Projetos!$N$2:$N$11,"&gt;"&amp;Dados!$A195,Projetos!$D$2:$D$11,"USD")</f>
        <v>-1.9055673516116306E-12</v>
      </c>
      <c r="K195" s="18">
        <f t="shared" ca="1" si="13"/>
        <v>541407.65758606629</v>
      </c>
    </row>
    <row r="196" spans="1:11" x14ac:dyDescent="0.2">
      <c r="A196" s="45">
        <f t="shared" ref="A196:A259" ca="1" si="14">E195</f>
        <v>97101.289091247687</v>
      </c>
      <c r="B196" s="18">
        <f>-SUMIFS(Projetos!$F$2:$F$11,Projetos!$D$2:$D$11,"BRL",Projetos!$N$2:$N$11,Dados!$A196)</f>
        <v>0</v>
      </c>
      <c r="C196" s="45">
        <f ca="1">(A196+B196)*((Indicadores_Economicos!D$2+1)^(1/12)-1)</f>
        <v>317.88435300081505</v>
      </c>
      <c r="D196" s="18">
        <f ca="1">SUMIFS(Projetos!$G$2:$G$11,Projetos!$K$2:$K$11,"&lt;="&amp;Dados!$A196,Projetos!$N$2:$N$11,"&gt;"&amp;Dados!A196,Projetos!$D$2:$D$11,"BRL")</f>
        <v>-3.3347428653203535E-13</v>
      </c>
      <c r="E196" s="18">
        <f t="shared" ca="1" si="12"/>
        <v>97419.173444248503</v>
      </c>
      <c r="G196" s="45">
        <f t="shared" ref="G196:G259" ca="1" si="15">K195</f>
        <v>541407.65758606629</v>
      </c>
      <c r="H196" s="18">
        <f>-SUMIFS(Projetos!$F$2:$F$11,Projetos!$D$2:$D$11,"USD",Projetos!$N$2:$N$11,Dados!$A196)</f>
        <v>0</v>
      </c>
      <c r="I196" s="45">
        <f ca="1">(G196+H196)*((Indicadores_Economicos!D$2+1)^(1/12)-1)</f>
        <v>1772.427787026633</v>
      </c>
      <c r="J196" s="18">
        <f ca="1">SUMIFS(Projetos!$G$2:$G$11,Projetos!$K$2:$K$11,"&lt;="&amp;Dados!$A196,Projetos!$N$2:$N$11,"&gt;"&amp;Dados!$A196,Projetos!$D$2:$D$11,"USD")</f>
        <v>-1.9055673516116306E-12</v>
      </c>
      <c r="K196" s="18">
        <f t="shared" ca="1" si="13"/>
        <v>543180.08537309291</v>
      </c>
    </row>
    <row r="197" spans="1:11" x14ac:dyDescent="0.2">
      <c r="A197" s="45">
        <f t="shared" ca="1" si="14"/>
        <v>97419.173444248503</v>
      </c>
      <c r="B197" s="18">
        <f>-SUMIFS(Projetos!$F$2:$F$11,Projetos!$D$2:$D$11,"BRL",Projetos!$N$2:$N$11,Dados!$A197)</f>
        <v>0</v>
      </c>
      <c r="C197" s="45">
        <f ca="1">(A197+B197)*((Indicadores_Economicos!D$2+1)^(1/12)-1)</f>
        <v>318.92502365337236</v>
      </c>
      <c r="D197" s="18">
        <f ca="1">SUMIFS(Projetos!$G$2:$G$11,Projetos!$K$2:$K$11,"&lt;="&amp;Dados!$A197,Projetos!$N$2:$N$11,"&gt;"&amp;Dados!A197,Projetos!$D$2:$D$11,"BRL")</f>
        <v>-3.3347428653203535E-13</v>
      </c>
      <c r="E197" s="18">
        <f t="shared" ca="1" si="12"/>
        <v>97738.098467901873</v>
      </c>
      <c r="G197" s="45">
        <f t="shared" ca="1" si="15"/>
        <v>543180.08537309291</v>
      </c>
      <c r="H197" s="18">
        <f>-SUMIFS(Projetos!$F$2:$F$11,Projetos!$D$2:$D$11,"USD",Projetos!$N$2:$N$11,Dados!$A197)</f>
        <v>0</v>
      </c>
      <c r="I197" s="45">
        <f ca="1">(G197+H197)*((Indicadores_Economicos!D$2+1)^(1/12)-1)</f>
        <v>1778.230254384097</v>
      </c>
      <c r="J197" s="18">
        <f ca="1">SUMIFS(Projetos!$G$2:$G$11,Projetos!$K$2:$K$11,"&lt;="&amp;Dados!$A197,Projetos!$N$2:$N$11,"&gt;"&amp;Dados!$A197,Projetos!$D$2:$D$11,"USD")</f>
        <v>-1.9055673516116306E-12</v>
      </c>
      <c r="K197" s="18">
        <f t="shared" ca="1" si="13"/>
        <v>544958.31562747702</v>
      </c>
    </row>
    <row r="198" spans="1:11" x14ac:dyDescent="0.2">
      <c r="A198" s="45">
        <f t="shared" ca="1" si="14"/>
        <v>97738.098467901873</v>
      </c>
      <c r="B198" s="18">
        <f>-SUMIFS(Projetos!$F$2:$F$11,Projetos!$D$2:$D$11,"BRL",Projetos!$N$2:$N$11,Dados!$A198)</f>
        <v>0</v>
      </c>
      <c r="C198" s="45">
        <f ca="1">(A198+B198)*((Indicadores_Economicos!D$2+1)^(1/12)-1)</f>
        <v>319.96910119084515</v>
      </c>
      <c r="D198" s="18">
        <f ca="1">SUMIFS(Projetos!$G$2:$G$11,Projetos!$K$2:$K$11,"&lt;="&amp;Dados!$A198,Projetos!$N$2:$N$11,"&gt;"&amp;Dados!A198,Projetos!$D$2:$D$11,"BRL")</f>
        <v>-3.3347428653203535E-13</v>
      </c>
      <c r="E198" s="18">
        <f t="shared" ca="1" si="12"/>
        <v>98058.067569092716</v>
      </c>
      <c r="G198" s="45">
        <f t="shared" ca="1" si="15"/>
        <v>544958.31562747702</v>
      </c>
      <c r="H198" s="18">
        <f>-SUMIFS(Projetos!$F$2:$F$11,Projetos!$D$2:$D$11,"USD",Projetos!$N$2:$N$11,Dados!$A198)</f>
        <v>0</v>
      </c>
      <c r="I198" s="45">
        <f ca="1">(G198+H198)*((Indicadores_Economicos!D$2+1)^(1/12)-1)</f>
        <v>1784.0517175097839</v>
      </c>
      <c r="J198" s="18">
        <f ca="1">SUMIFS(Projetos!$G$2:$G$11,Projetos!$K$2:$K$11,"&lt;="&amp;Dados!$A198,Projetos!$N$2:$N$11,"&gt;"&amp;Dados!$A198,Projetos!$D$2:$D$11,"USD")</f>
        <v>-1.9055673516116306E-12</v>
      </c>
      <c r="K198" s="18">
        <f t="shared" ca="1" si="13"/>
        <v>546742.36734498676</v>
      </c>
    </row>
    <row r="199" spans="1:11" x14ac:dyDescent="0.2">
      <c r="A199" s="45">
        <f t="shared" ca="1" si="14"/>
        <v>98058.067569092716</v>
      </c>
      <c r="B199" s="18">
        <f>-SUMIFS(Projetos!$F$2:$F$11,Projetos!$D$2:$D$11,"BRL",Projetos!$N$2:$N$11,Dados!$A199)</f>
        <v>0</v>
      </c>
      <c r="C199" s="45">
        <f ca="1">(A199+B199)*((Indicadores_Economicos!D$2+1)^(1/12)-1)</f>
        <v>321.01659676648802</v>
      </c>
      <c r="D199" s="18">
        <f ca="1">SUMIFS(Projetos!$G$2:$G$11,Projetos!$K$2:$K$11,"&lt;="&amp;Dados!$A199,Projetos!$N$2:$N$11,"&gt;"&amp;Dados!A199,Projetos!$D$2:$D$11,"BRL")</f>
        <v>-3.3347428653203535E-13</v>
      </c>
      <c r="E199" s="18">
        <f t="shared" ca="1" si="12"/>
        <v>98379.084165859211</v>
      </c>
      <c r="G199" s="45">
        <f t="shared" ca="1" si="15"/>
        <v>546742.36734498676</v>
      </c>
      <c r="H199" s="18">
        <f>-SUMIFS(Projetos!$F$2:$F$11,Projetos!$D$2:$D$11,"USD",Projetos!$N$2:$N$11,Dados!$A199)</f>
        <v>0</v>
      </c>
      <c r="I199" s="45">
        <f ca="1">(G199+H199)*((Indicadores_Economicos!D$2+1)^(1/12)-1)</f>
        <v>1789.8922385908959</v>
      </c>
      <c r="J199" s="18">
        <f ca="1">SUMIFS(Projetos!$G$2:$G$11,Projetos!$K$2:$K$11,"&lt;="&amp;Dados!$A199,Projetos!$N$2:$N$11,"&gt;"&amp;Dados!$A199,Projetos!$D$2:$D$11,"USD")</f>
        <v>-1.9055673516116306E-12</v>
      </c>
      <c r="K199" s="18">
        <f t="shared" ca="1" si="13"/>
        <v>548532.25958357763</v>
      </c>
    </row>
    <row r="200" spans="1:11" x14ac:dyDescent="0.2">
      <c r="A200" s="45">
        <f t="shared" ca="1" si="14"/>
        <v>98379.084165859211</v>
      </c>
      <c r="B200" s="18">
        <f>-SUMIFS(Projetos!$F$2:$F$11,Projetos!$D$2:$D$11,"BRL",Projetos!$N$2:$N$11,Dados!$A200)</f>
        <v>0</v>
      </c>
      <c r="C200" s="45">
        <f ca="1">(A200+B200)*((Indicadores_Economicos!D$2+1)^(1/12)-1)</f>
        <v>322.06752157006861</v>
      </c>
      <c r="D200" s="18">
        <f ca="1">SUMIFS(Projetos!$G$2:$G$11,Projetos!$K$2:$K$11,"&lt;="&amp;Dados!$A200,Projetos!$N$2:$N$11,"&gt;"&amp;Dados!A200,Projetos!$D$2:$D$11,"BRL")</f>
        <v>-3.3347428653203535E-13</v>
      </c>
      <c r="E200" s="18">
        <f t="shared" ca="1" si="12"/>
        <v>98701.151687429287</v>
      </c>
      <c r="G200" s="45">
        <f t="shared" ca="1" si="15"/>
        <v>548532.25958357763</v>
      </c>
      <c r="H200" s="18">
        <f>-SUMIFS(Projetos!$F$2:$F$11,Projetos!$D$2:$D$11,"USD",Projetos!$N$2:$N$11,Dados!$A200)</f>
        <v>0</v>
      </c>
      <c r="I200" s="45">
        <f ca="1">(G200+H200)*((Indicadores_Economicos!D$2+1)^(1/12)-1)</f>
        <v>1795.7518800182199</v>
      </c>
      <c r="J200" s="18">
        <f ca="1">SUMIFS(Projetos!$G$2:$G$11,Projetos!$K$2:$K$11,"&lt;="&amp;Dados!$A200,Projetos!$N$2:$N$11,"&gt;"&amp;Dados!$A200,Projetos!$D$2:$D$11,"USD")</f>
        <v>-1.9055673516116306E-12</v>
      </c>
      <c r="K200" s="18">
        <f t="shared" ca="1" si="13"/>
        <v>550328.0114635959</v>
      </c>
    </row>
    <row r="201" spans="1:11" x14ac:dyDescent="0.2">
      <c r="A201" s="45">
        <f t="shared" ca="1" si="14"/>
        <v>98701.151687429287</v>
      </c>
      <c r="B201" s="18">
        <f>-SUMIFS(Projetos!$F$2:$F$11,Projetos!$D$2:$D$11,"BRL",Projetos!$N$2:$N$11,Dados!$A201)</f>
        <v>0</v>
      </c>
      <c r="C201" s="45">
        <f ca="1">(A201+B201)*((Indicadores_Economicos!D$2+1)^(1/12)-1)</f>
        <v>323.12188682798677</v>
      </c>
      <c r="D201" s="18">
        <f ca="1">SUMIFS(Projetos!$G$2:$G$11,Projetos!$K$2:$K$11,"&lt;="&amp;Dados!$A201,Projetos!$N$2:$N$11,"&gt;"&amp;Dados!A201,Projetos!$D$2:$D$11,"BRL")</f>
        <v>-3.3347428653203535E-13</v>
      </c>
      <c r="E201" s="18">
        <f t="shared" ca="1" si="12"/>
        <v>99024.27357425727</v>
      </c>
      <c r="G201" s="45">
        <f t="shared" ca="1" si="15"/>
        <v>550328.0114635959</v>
      </c>
      <c r="H201" s="18">
        <f>-SUMIFS(Projetos!$F$2:$F$11,Projetos!$D$2:$D$11,"USD",Projetos!$N$2:$N$11,Dados!$A201)</f>
        <v>0</v>
      </c>
      <c r="I201" s="45">
        <f ca="1">(G201+H201)*((Indicadores_Economicos!D$2+1)^(1/12)-1)</f>
        <v>1801.6307043867942</v>
      </c>
      <c r="J201" s="18">
        <f ca="1">SUMIFS(Projetos!$G$2:$G$11,Projetos!$K$2:$K$11,"&lt;="&amp;Dados!$A201,Projetos!$N$2:$N$11,"&gt;"&amp;Dados!$A201,Projetos!$D$2:$D$11,"USD")</f>
        <v>-1.9055673516116306E-12</v>
      </c>
      <c r="K201" s="18">
        <f t="shared" ca="1" si="13"/>
        <v>552129.64216798265</v>
      </c>
    </row>
    <row r="202" spans="1:11" x14ac:dyDescent="0.2">
      <c r="A202" s="45">
        <f t="shared" ca="1" si="14"/>
        <v>99024.27357425727</v>
      </c>
      <c r="B202" s="18">
        <f>-SUMIFS(Projetos!$F$2:$F$11,Projetos!$D$2:$D$11,"BRL",Projetos!$N$2:$N$11,Dados!$A202)</f>
        <v>0</v>
      </c>
      <c r="C202" s="45">
        <f ca="1">(A202+B202)*((Indicadores_Economicos!D$2+1)^(1/12)-1)</f>
        <v>324.17970380339472</v>
      </c>
      <c r="D202" s="18">
        <f ca="1">SUMIFS(Projetos!$G$2:$G$11,Projetos!$K$2:$K$11,"&lt;="&amp;Dados!$A202,Projetos!$N$2:$N$11,"&gt;"&amp;Dados!A202,Projetos!$D$2:$D$11,"BRL")</f>
        <v>-3.3347428653203535E-13</v>
      </c>
      <c r="E202" s="18">
        <f t="shared" ca="1" si="12"/>
        <v>99348.453278060668</v>
      </c>
      <c r="G202" s="45">
        <f t="shared" ca="1" si="15"/>
        <v>552129.64216798265</v>
      </c>
      <c r="H202" s="18">
        <f>-SUMIFS(Projetos!$F$2:$F$11,Projetos!$D$2:$D$11,"USD",Projetos!$N$2:$N$11,Dados!$A202)</f>
        <v>0</v>
      </c>
      <c r="I202" s="45">
        <f ca="1">(G202+H202)*((Indicadores_Economicos!D$2+1)^(1/12)-1)</f>
        <v>1807.528774496576</v>
      </c>
      <c r="J202" s="18">
        <f ca="1">SUMIFS(Projetos!$G$2:$G$11,Projetos!$K$2:$K$11,"&lt;="&amp;Dados!$A202,Projetos!$N$2:$N$11,"&gt;"&amp;Dados!$A202,Projetos!$D$2:$D$11,"USD")</f>
        <v>-1.9055673516116306E-12</v>
      </c>
      <c r="K202" s="18">
        <f t="shared" ca="1" si="13"/>
        <v>553937.17094247928</v>
      </c>
    </row>
    <row r="203" spans="1:11" x14ac:dyDescent="0.2">
      <c r="A203" s="45">
        <f t="shared" ca="1" si="14"/>
        <v>99348.453278060668</v>
      </c>
      <c r="B203" s="18">
        <f>-SUMIFS(Projetos!$F$2:$F$11,Projetos!$D$2:$D$11,"BRL",Projetos!$N$2:$N$11,Dados!$A203)</f>
        <v>0</v>
      </c>
      <c r="C203" s="45">
        <f ca="1">(A203+B203)*((Indicadores_Economicos!D$2+1)^(1/12)-1)</f>
        <v>325.24098379631738</v>
      </c>
      <c r="D203" s="18">
        <f ca="1">SUMIFS(Projetos!$G$2:$G$11,Projetos!$K$2:$K$11,"&lt;="&amp;Dados!$A203,Projetos!$N$2:$N$11,"&gt;"&amp;Dados!A203,Projetos!$D$2:$D$11,"BRL")</f>
        <v>-3.3347428653203535E-13</v>
      </c>
      <c r="E203" s="18">
        <f t="shared" ca="1" si="12"/>
        <v>99673.694261856988</v>
      </c>
      <c r="G203" s="45">
        <f t="shared" ca="1" si="15"/>
        <v>553937.17094247928</v>
      </c>
      <c r="H203" s="18">
        <f>-SUMIFS(Projetos!$F$2:$F$11,Projetos!$D$2:$D$11,"USD",Projetos!$N$2:$N$11,Dados!$A203)</f>
        <v>0</v>
      </c>
      <c r="I203" s="45">
        <f ca="1">(G203+H203)*((Indicadores_Economicos!D$2+1)^(1/12)-1)</f>
        <v>1813.4461533531151</v>
      </c>
      <c r="J203" s="18">
        <f ca="1">SUMIFS(Projetos!$G$2:$G$11,Projetos!$K$2:$K$11,"&lt;="&amp;Dados!$A203,Projetos!$N$2:$N$11,"&gt;"&amp;Dados!$A203,Projetos!$D$2:$D$11,"USD")</f>
        <v>-1.9055673516116306E-12</v>
      </c>
      <c r="K203" s="18">
        <f t="shared" ca="1" si="13"/>
        <v>555750.61709583236</v>
      </c>
    </row>
    <row r="204" spans="1:11" x14ac:dyDescent="0.2">
      <c r="A204" s="45">
        <f t="shared" ca="1" si="14"/>
        <v>99673.694261856988</v>
      </c>
      <c r="B204" s="18">
        <f>-SUMIFS(Projetos!$F$2:$F$11,Projetos!$D$2:$D$11,"BRL",Projetos!$N$2:$N$11,Dados!$A204)</f>
        <v>0</v>
      </c>
      <c r="C204" s="45">
        <f ca="1">(A204+B204)*((Indicadores_Economicos!D$2+1)^(1/12)-1)</f>
        <v>326.30573814377288</v>
      </c>
      <c r="D204" s="18">
        <f ca="1">SUMIFS(Projetos!$G$2:$G$11,Projetos!$K$2:$K$11,"&lt;="&amp;Dados!$A204,Projetos!$N$2:$N$11,"&gt;"&amp;Dados!A204,Projetos!$D$2:$D$11,"BRL")</f>
        <v>-3.3347428653203535E-13</v>
      </c>
      <c r="E204" s="18">
        <f t="shared" ca="1" si="12"/>
        <v>100000.00000000076</v>
      </c>
      <c r="G204" s="45">
        <f t="shared" ca="1" si="15"/>
        <v>555750.61709583236</v>
      </c>
      <c r="H204" s="18">
        <f>-SUMIFS(Projetos!$F$2:$F$11,Projetos!$D$2:$D$11,"USD",Projetos!$N$2:$N$11,Dados!$A204)</f>
        <v>0</v>
      </c>
      <c r="I204" s="45">
        <f ca="1">(G204+H204)*((Indicadores_Economicos!D$2+1)^(1/12)-1)</f>
        <v>1819.3829041682225</v>
      </c>
      <c r="J204" s="18">
        <f ca="1">SUMIFS(Projetos!$G$2:$G$11,Projetos!$K$2:$K$11,"&lt;="&amp;Dados!$A204,Projetos!$N$2:$N$11,"&gt;"&amp;Dados!$A204,Projetos!$D$2:$D$11,"USD")</f>
        <v>-1.9055673516116306E-12</v>
      </c>
      <c r="K204" s="18">
        <f t="shared" ca="1" si="13"/>
        <v>557570.00000000058</v>
      </c>
    </row>
    <row r="205" spans="1:11" x14ac:dyDescent="0.2">
      <c r="A205" s="45">
        <f t="shared" ca="1" si="14"/>
        <v>100000.00000000076</v>
      </c>
      <c r="B205" s="18">
        <f>-SUMIFS(Projetos!$F$2:$F$11,Projetos!$D$2:$D$11,"BRL",Projetos!$N$2:$N$11,Dados!$A205)</f>
        <v>-100000</v>
      </c>
      <c r="C205" s="45">
        <f ca="1">(A205+B205)*((Indicadores_Economicos!D$2+1)^(1/12)-1)</f>
        <v>2.4772375570951197E-12</v>
      </c>
      <c r="D205" s="18">
        <f>SUMIFS(Projetos!$G$2:$G$11,Projetos!$K$2:$K$11,"&lt;="&amp;Dados!$A205,Projetos!$N$2:$N$11,"&gt;"&amp;Dados!A205,Projetos!$D$2:$D$11,"BRL")</f>
        <v>0</v>
      </c>
      <c r="E205" s="18">
        <f t="shared" ca="1" si="12"/>
        <v>7.5917682943217143E-10</v>
      </c>
      <c r="G205" s="45">
        <f t="shared" ca="1" si="15"/>
        <v>557570.00000000058</v>
      </c>
      <c r="H205" s="18">
        <f ca="1">-SUMIFS(Projetos!$F$2:$F$11,Projetos!$D$2:$D$11,"USD",Projetos!$N$2:$N$11,Dados!$A205)</f>
        <v>-557570</v>
      </c>
      <c r="I205" s="45">
        <f ca="1">(G205+H205)*((Indicadores_Economicos!D$2+1)^(1/12)-1)</f>
        <v>1.9055673516116306E-12</v>
      </c>
      <c r="J205" s="18">
        <f>SUMIFS(Projetos!$G$2:$G$11,Projetos!$K$2:$K$11,"&lt;="&amp;Dados!$A205,Projetos!$N$2:$N$11,"&gt;"&amp;Dados!$A205,Projetos!$D$2:$D$11,"USD")</f>
        <v>0</v>
      </c>
      <c r="K205" s="18">
        <f t="shared" ca="1" si="13"/>
        <v>5.8398217648628573E-10</v>
      </c>
    </row>
    <row r="206" spans="1:11" x14ac:dyDescent="0.2">
      <c r="A206" s="45">
        <f t="shared" ca="1" si="14"/>
        <v>7.5917682943217143E-10</v>
      </c>
      <c r="B206" s="18">
        <f>-SUMIFS(Projetos!$F$2:$F$11,Projetos!$D$2:$D$11,"BRL",Projetos!$N$2:$N$11,Dados!$A206)</f>
        <v>0</v>
      </c>
      <c r="C206" s="45">
        <f ca="1">(A206+B206)*((Indicadores_Economicos!D$2+1)^(1/12)-1)</f>
        <v>2.4853473882357394E-12</v>
      </c>
      <c r="D206" s="18">
        <f>SUMIFS(Projetos!$G$2:$G$11,Projetos!$K$2:$K$11,"&lt;="&amp;Dados!$A206,Projetos!$N$2:$N$11,"&gt;"&amp;Dados!A206,Projetos!$D$2:$D$11,"BRL")</f>
        <v>0</v>
      </c>
      <c r="E206" s="18">
        <f t="shared" ca="1" si="12"/>
        <v>7.6166217682040719E-10</v>
      </c>
      <c r="G206" s="45">
        <f t="shared" ca="1" si="15"/>
        <v>5.8398217648628573E-10</v>
      </c>
      <c r="H206" s="18">
        <f>-SUMIFS(Projetos!$F$2:$F$11,Projetos!$D$2:$D$11,"USD",Projetos!$N$2:$N$11,Dados!$A206)</f>
        <v>0</v>
      </c>
      <c r="I206" s="45">
        <f ca="1">(G206+H206)*((Indicadores_Economicos!D$2+1)^(1/12)-1)</f>
        <v>1.9118056832582611E-12</v>
      </c>
      <c r="J206" s="18">
        <f>SUMIFS(Projetos!$G$2:$G$11,Projetos!$K$2:$K$11,"&lt;="&amp;Dados!$A206,Projetos!$N$2:$N$11,"&gt;"&amp;Dados!$A206,Projetos!$D$2:$D$11,"USD")</f>
        <v>0</v>
      </c>
      <c r="K206" s="18">
        <f t="shared" ca="1" si="13"/>
        <v>5.8589398216954397E-10</v>
      </c>
    </row>
    <row r="207" spans="1:11" x14ac:dyDescent="0.2">
      <c r="A207" s="45">
        <f t="shared" ca="1" si="14"/>
        <v>7.6166217682040719E-10</v>
      </c>
      <c r="B207" s="18">
        <f>-SUMIFS(Projetos!$F$2:$F$11,Projetos!$D$2:$D$11,"BRL",Projetos!$N$2:$N$11,Dados!$A207)</f>
        <v>0</v>
      </c>
      <c r="C207" s="45">
        <f ca="1">(A207+B207)*((Indicadores_Economicos!D$2+1)^(1/12)-1)</f>
        <v>2.4934837688531907E-12</v>
      </c>
      <c r="D207" s="18">
        <f>SUMIFS(Projetos!$G$2:$G$11,Projetos!$K$2:$K$11,"&lt;="&amp;Dados!$A207,Projetos!$N$2:$N$11,"&gt;"&amp;Dados!A207,Projetos!$D$2:$D$11,"BRL")</f>
        <v>0</v>
      </c>
      <c r="E207" s="18">
        <f t="shared" ca="1" si="12"/>
        <v>7.6415566058926039E-10</v>
      </c>
      <c r="G207" s="45">
        <f t="shared" ca="1" si="15"/>
        <v>5.8589398216954397E-10</v>
      </c>
      <c r="H207" s="18">
        <f>-SUMIFS(Projetos!$F$2:$F$11,Projetos!$D$2:$D$11,"USD",Projetos!$N$2:$N$11,Dados!$A207)</f>
        <v>0</v>
      </c>
      <c r="I207" s="45">
        <f ca="1">(G207+H207)*((Indicadores_Economicos!D$2+1)^(1/12)-1)</f>
        <v>1.9180644375793776E-12</v>
      </c>
      <c r="J207" s="18">
        <f>SUMIFS(Projetos!$G$2:$G$11,Projetos!$K$2:$K$11,"&lt;="&amp;Dados!$A207,Projetos!$N$2:$N$11,"&gt;"&amp;Dados!$A207,Projetos!$D$2:$D$11,"USD")</f>
        <v>0</v>
      </c>
      <c r="K207" s="18">
        <f t="shared" ca="1" si="13"/>
        <v>5.8781204660712339E-10</v>
      </c>
    </row>
    <row r="208" spans="1:11" x14ac:dyDescent="0.2">
      <c r="A208" s="45">
        <f t="shared" ca="1" si="14"/>
        <v>7.6415566058926039E-10</v>
      </c>
      <c r="B208" s="18">
        <f>-SUMIFS(Projetos!$F$2:$F$11,Projetos!$D$2:$D$11,"BRL",Projetos!$N$2:$N$11,Dados!$A208)</f>
        <v>0</v>
      </c>
      <c r="C208" s="45">
        <f ca="1">(A208+B208)*((Indicadores_Economicos!D$2+1)^(1/12)-1)</f>
        <v>2.5016467858635529E-12</v>
      </c>
      <c r="D208" s="18">
        <f>SUMIFS(Projetos!$G$2:$G$11,Projetos!$K$2:$K$11,"&lt;="&amp;Dados!$A208,Projetos!$N$2:$N$11,"&gt;"&amp;Dados!A208,Projetos!$D$2:$D$11,"BRL")</f>
        <v>0</v>
      </c>
      <c r="E208" s="18">
        <f t="shared" ca="1" si="12"/>
        <v>7.6665730737512392E-10</v>
      </c>
      <c r="G208" s="45">
        <f t="shared" ca="1" si="15"/>
        <v>5.8781204660712339E-10</v>
      </c>
      <c r="H208" s="18">
        <f>-SUMIFS(Projetos!$F$2:$F$11,Projetos!$D$2:$D$11,"USD",Projetos!$N$2:$N$11,Dados!$A208)</f>
        <v>0</v>
      </c>
      <c r="I208" s="45">
        <f ca="1">(G208+H208)*((Indicadores_Economicos!D$2+1)^(1/12)-1)</f>
        <v>1.9243436814335022E-12</v>
      </c>
      <c r="J208" s="18">
        <f>SUMIFS(Projetos!$G$2:$G$11,Projetos!$K$2:$K$11,"&lt;="&amp;Dados!$A208,Projetos!$N$2:$N$11,"&gt;"&amp;Dados!$A208,Projetos!$D$2:$D$11,"USD")</f>
        <v>0</v>
      </c>
      <c r="K208" s="18">
        <f t="shared" ca="1" si="13"/>
        <v>5.8973639028855691E-10</v>
      </c>
    </row>
    <row r="209" spans="1:11" x14ac:dyDescent="0.2">
      <c r="A209" s="45">
        <f t="shared" ca="1" si="14"/>
        <v>7.6665730737512392E-10</v>
      </c>
      <c r="B209" s="18">
        <f>-SUMIFS(Projetos!$F$2:$F$11,Projetos!$D$2:$D$11,"BRL",Projetos!$N$2:$N$11,Dados!$A209)</f>
        <v>0</v>
      </c>
      <c r="C209" s="45">
        <f ca="1">(A209+B209)*((Indicadores_Economicos!D$2+1)^(1/12)-1)</f>
        <v>2.5098365264674444E-12</v>
      </c>
      <c r="D209" s="18">
        <f>SUMIFS(Projetos!$G$2:$G$11,Projetos!$K$2:$K$11,"&lt;="&amp;Dados!$A209,Projetos!$N$2:$N$11,"&gt;"&amp;Dados!A209,Projetos!$D$2:$D$11,"BRL")</f>
        <v>0</v>
      </c>
      <c r="E209" s="18">
        <f t="shared" ca="1" si="12"/>
        <v>7.6916714390159135E-10</v>
      </c>
      <c r="G209" s="45">
        <f t="shared" ca="1" si="15"/>
        <v>5.8973639028855691E-10</v>
      </c>
      <c r="H209" s="18">
        <f>-SUMIFS(Projetos!$F$2:$F$11,Projetos!$D$2:$D$11,"USD",Projetos!$N$2:$N$11,Dados!$A209)</f>
        <v>0</v>
      </c>
      <c r="I209" s="45">
        <f ca="1">(G209+H209)*((Indicadores_Economicos!D$2+1)^(1/12)-1)</f>
        <v>1.9306434818980343E-12</v>
      </c>
      <c r="J209" s="18">
        <f>SUMIFS(Projetos!$G$2:$G$11,Projetos!$K$2:$K$11,"&lt;="&amp;Dados!$A209,Projetos!$N$2:$N$11,"&gt;"&amp;Dados!$A209,Projetos!$D$2:$D$11,"USD")</f>
        <v>0</v>
      </c>
      <c r="K209" s="18">
        <f t="shared" ca="1" si="13"/>
        <v>5.9166703377045497E-10</v>
      </c>
    </row>
    <row r="210" spans="1:11" x14ac:dyDescent="0.2">
      <c r="A210" s="45">
        <f t="shared" ca="1" si="14"/>
        <v>7.6916714390159135E-10</v>
      </c>
      <c r="B210" s="18">
        <f>-SUMIFS(Projetos!$F$2:$F$11,Projetos!$D$2:$D$11,"BRL",Projetos!$N$2:$N$11,Dados!$A210)</f>
        <v>0</v>
      </c>
      <c r="C210" s="45">
        <f ca="1">(A210+B210)*((Indicadores_Economicos!D$2+1)^(1/12)-1)</f>
        <v>2.5180530781509566E-12</v>
      </c>
      <c r="D210" s="18">
        <f>SUMIFS(Projetos!$G$2:$G$11,Projetos!$K$2:$K$11,"&lt;="&amp;Dados!$A210,Projetos!$N$2:$N$11,"&gt;"&amp;Dados!A210,Projetos!$D$2:$D$11,"BRL")</f>
        <v>0</v>
      </c>
      <c r="E210" s="18">
        <f t="shared" ca="1" si="12"/>
        <v>7.7168519697974228E-10</v>
      </c>
      <c r="G210" s="45">
        <f t="shared" ca="1" si="15"/>
        <v>5.9166703377045497E-10</v>
      </c>
      <c r="H210" s="18">
        <f>-SUMIFS(Projetos!$F$2:$F$11,Projetos!$D$2:$D$11,"USD",Projetos!$N$2:$N$11,Dados!$A210)</f>
        <v>0</v>
      </c>
      <c r="I210" s="45">
        <f ca="1">(G210+H210)*((Indicadores_Economicos!D$2+1)^(1/12)-1)</f>
        <v>1.9369639062699669E-12</v>
      </c>
      <c r="J210" s="18">
        <f>SUMIFS(Projetos!$G$2:$G$11,Projetos!$K$2:$K$11,"&lt;="&amp;Dados!$A210,Projetos!$N$2:$N$11,"&gt;"&amp;Dados!$A210,Projetos!$D$2:$D$11,"USD")</f>
        <v>0</v>
      </c>
      <c r="K210" s="18">
        <f t="shared" ca="1" si="13"/>
        <v>5.9360399767672494E-10</v>
      </c>
    </row>
    <row r="211" spans="1:11" x14ac:dyDescent="0.2">
      <c r="A211" s="45">
        <f t="shared" ca="1" si="14"/>
        <v>7.7168519697974228E-10</v>
      </c>
      <c r="B211" s="18">
        <f>-SUMIFS(Projetos!$F$2:$F$11,Projetos!$D$2:$D$11,"BRL",Projetos!$N$2:$N$11,Dados!$A211)</f>
        <v>0</v>
      </c>
      <c r="C211" s="45">
        <f ca="1">(A211+B211)*((Indicadores_Economicos!D$2+1)^(1/12)-1)</f>
        <v>2.5262965286865879E-12</v>
      </c>
      <c r="D211" s="18">
        <f>SUMIFS(Projetos!$G$2:$G$11,Projetos!$K$2:$K$11,"&lt;="&amp;Dados!$A211,Projetos!$N$2:$N$11,"&gt;"&amp;Dados!A211,Projetos!$D$2:$D$11,"BRL")</f>
        <v>0</v>
      </c>
      <c r="E211" s="18">
        <f t="shared" ca="1" si="12"/>
        <v>7.7421149350842885E-10</v>
      </c>
      <c r="G211" s="45">
        <f t="shared" ca="1" si="15"/>
        <v>5.9360399767672494E-10</v>
      </c>
      <c r="H211" s="18">
        <f>-SUMIFS(Projetos!$F$2:$F$11,Projetos!$D$2:$D$11,"USD",Projetos!$N$2:$N$11,Dados!$A211)</f>
        <v>0</v>
      </c>
      <c r="I211" s="45">
        <f ca="1">(G211+H211)*((Indicadores_Economicos!D$2+1)^(1/12)-1)</f>
        <v>1.9433050220666064E-12</v>
      </c>
      <c r="J211" s="18">
        <f>SUMIFS(Projetos!$G$2:$G$11,Projetos!$K$2:$K$11,"&lt;="&amp;Dados!$A211,Projetos!$N$2:$N$11,"&gt;"&amp;Dados!$A211,Projetos!$D$2:$D$11,"USD")</f>
        <v>0</v>
      </c>
      <c r="K211" s="18">
        <f t="shared" ca="1" si="13"/>
        <v>5.9554730269879156E-10</v>
      </c>
    </row>
    <row r="212" spans="1:11" x14ac:dyDescent="0.2">
      <c r="A212" s="45">
        <f t="shared" ca="1" si="14"/>
        <v>7.7421149350842885E-10</v>
      </c>
      <c r="B212" s="18">
        <f>-SUMIFS(Projetos!$F$2:$F$11,Projetos!$D$2:$D$11,"BRL",Projetos!$N$2:$N$11,Dados!$A212)</f>
        <v>0</v>
      </c>
      <c r="C212" s="45">
        <f ca="1">(A212+B212)*((Indicadores_Economicos!D$2+1)^(1/12)-1)</f>
        <v>2.5345669661341801E-12</v>
      </c>
      <c r="D212" s="18">
        <f>SUMIFS(Projetos!$G$2:$G$11,Projetos!$K$2:$K$11,"&lt;="&amp;Dados!$A212,Projetos!$N$2:$N$11,"&gt;"&amp;Dados!A212,Projetos!$D$2:$D$11,"BRL")</f>
        <v>0</v>
      </c>
      <c r="E212" s="18">
        <f t="shared" ca="1" si="12"/>
        <v>7.7674606047456298E-10</v>
      </c>
      <c r="G212" s="45">
        <f t="shared" ca="1" si="15"/>
        <v>5.9554730269879156E-10</v>
      </c>
      <c r="H212" s="18">
        <f>-SUMIFS(Projetos!$F$2:$F$11,Projetos!$D$2:$D$11,"USD",Projetos!$N$2:$N$11,Dados!$A212)</f>
        <v>0</v>
      </c>
      <c r="I212" s="45">
        <f ca="1">(G212+H212)*((Indicadores_Economicos!D$2+1)^(1/12)-1)</f>
        <v>1.9496668970262929E-12</v>
      </c>
      <c r="J212" s="18">
        <f>SUMIFS(Projetos!$G$2:$G$11,Projetos!$K$2:$K$11,"&lt;="&amp;Dados!$A212,Projetos!$N$2:$N$11,"&gt;"&amp;Dados!$A212,Projetos!$D$2:$D$11,"USD")</f>
        <v>0</v>
      </c>
      <c r="K212" s="18">
        <f t="shared" ca="1" si="13"/>
        <v>5.9749696959581784E-10</v>
      </c>
    </row>
    <row r="213" spans="1:11" x14ac:dyDescent="0.2">
      <c r="A213" s="45">
        <f t="shared" ca="1" si="14"/>
        <v>7.7674606047456298E-10</v>
      </c>
      <c r="B213" s="18">
        <f>-SUMIFS(Projetos!$F$2:$F$11,Projetos!$D$2:$D$11,"BRL",Projetos!$N$2:$N$11,Dados!$A213)</f>
        <v>0</v>
      </c>
      <c r="C213" s="45">
        <f ca="1">(A213+B213)*((Indicadores_Economicos!D$2+1)^(1/12)-1)</f>
        <v>2.5428644788418606E-12</v>
      </c>
      <c r="D213" s="18">
        <f>SUMIFS(Projetos!$G$2:$G$11,Projetos!$K$2:$K$11,"&lt;="&amp;Dados!$A213,Projetos!$N$2:$N$11,"&gt;"&amp;Dados!A213,Projetos!$D$2:$D$11,"BRL")</f>
        <v>0</v>
      </c>
      <c r="E213" s="18">
        <f t="shared" ca="1" si="12"/>
        <v>7.7928892495340489E-10</v>
      </c>
      <c r="G213" s="45">
        <f t="shared" ca="1" si="15"/>
        <v>5.9749696959581784E-10</v>
      </c>
      <c r="H213" s="18">
        <f>-SUMIFS(Projetos!$F$2:$F$11,Projetos!$D$2:$D$11,"USD",Projetos!$N$2:$N$11,Dados!$A213)</f>
        <v>0</v>
      </c>
      <c r="I213" s="45">
        <f ca="1">(G213+H213)*((Indicadores_Economicos!D$2+1)^(1/12)-1)</f>
        <v>1.9560495991091242E-12</v>
      </c>
      <c r="J213" s="18">
        <f>SUMIFS(Projetos!$G$2:$G$11,Projetos!$K$2:$K$11,"&lt;="&amp;Dados!$A213,Projetos!$N$2:$N$11,"&gt;"&amp;Dados!$A213,Projetos!$D$2:$D$11,"USD")</f>
        <v>0</v>
      </c>
      <c r="K213" s="18">
        <f t="shared" ca="1" si="13"/>
        <v>5.9945301919492697E-10</v>
      </c>
    </row>
    <row r="214" spans="1:11" x14ac:dyDescent="0.2">
      <c r="A214" s="45">
        <f t="shared" ca="1" si="14"/>
        <v>7.7928892495340489E-10</v>
      </c>
      <c r="B214" s="18">
        <f>-SUMIFS(Projetos!$F$2:$F$11,Projetos!$D$2:$D$11,"BRL",Projetos!$N$2:$N$11,Dados!$A214)</f>
        <v>0</v>
      </c>
      <c r="C214" s="45">
        <f ca="1">(A214+B214)*((Indicadores_Economicos!D$2+1)^(1/12)-1)</f>
        <v>2.551189155446986E-12</v>
      </c>
      <c r="D214" s="18">
        <f>SUMIFS(Projetos!$G$2:$G$11,Projetos!$K$2:$K$11,"&lt;="&amp;Dados!$A214,Projetos!$N$2:$N$11,"&gt;"&amp;Dados!A214,Projetos!$D$2:$D$11,"BRL")</f>
        <v>0</v>
      </c>
      <c r="E214" s="18">
        <f t="shared" ca="1" si="12"/>
        <v>7.8184011410885191E-10</v>
      </c>
      <c r="G214" s="45">
        <f t="shared" ca="1" si="15"/>
        <v>5.9945301919492697E-10</v>
      </c>
      <c r="H214" s="18">
        <f>-SUMIFS(Projetos!$F$2:$F$11,Projetos!$D$2:$D$11,"USD",Projetos!$N$2:$N$11,Dados!$A214)</f>
        <v>0</v>
      </c>
      <c r="I214" s="45">
        <f ca="1">(G214+H214)*((Indicadores_Economicos!D$2+1)^(1/12)-1)</f>
        <v>1.962453196497682E-12</v>
      </c>
      <c r="J214" s="18">
        <f>SUMIFS(Projetos!$G$2:$G$11,Projetos!$K$2:$K$11,"&lt;="&amp;Dados!$A214,Projetos!$N$2:$N$11,"&gt;"&amp;Dados!$A214,Projetos!$D$2:$D$11,"USD")</f>
        <v>0</v>
      </c>
      <c r="K214" s="18">
        <f t="shared" ca="1" si="13"/>
        <v>6.0141547239142461E-10</v>
      </c>
    </row>
    <row r="215" spans="1:11" x14ac:dyDescent="0.2">
      <c r="A215" s="45">
        <f t="shared" ca="1" si="14"/>
        <v>7.8184011410885191E-10</v>
      </c>
      <c r="B215" s="18">
        <f>-SUMIFS(Projetos!$F$2:$F$11,Projetos!$D$2:$D$11,"BRL",Projetos!$N$2:$N$11,Dados!$A215)</f>
        <v>0</v>
      </c>
      <c r="C215" s="45">
        <f ca="1">(A215+B215)*((Indicadores_Economicos!D$2+1)^(1/12)-1)</f>
        <v>2.5595410848770875E-12</v>
      </c>
      <c r="D215" s="18">
        <f>SUMIFS(Projetos!$G$2:$G$11,Projetos!$K$2:$K$11,"&lt;="&amp;Dados!$A215,Projetos!$N$2:$N$11,"&gt;"&amp;Dados!A215,Projetos!$D$2:$D$11,"BRL")</f>
        <v>0</v>
      </c>
      <c r="E215" s="18">
        <f t="shared" ca="1" si="12"/>
        <v>7.8439965519372902E-10</v>
      </c>
      <c r="G215" s="45">
        <f t="shared" ca="1" si="15"/>
        <v>6.0141547239142461E-10</v>
      </c>
      <c r="H215" s="18">
        <f>-SUMIFS(Projetos!$F$2:$F$11,Projetos!$D$2:$D$11,"USD",Projetos!$N$2:$N$11,Dados!$A215)</f>
        <v>0</v>
      </c>
      <c r="I215" s="45">
        <f ca="1">(G215+H215)*((Indicadores_Economicos!D$2+1)^(1/12)-1)</f>
        <v>1.9688777575977596E-12</v>
      </c>
      <c r="J215" s="18">
        <f>SUMIFS(Projetos!$G$2:$G$11,Projetos!$K$2:$K$11,"&lt;="&amp;Dados!$A215,Projetos!$N$2:$N$11,"&gt;"&amp;Dados!$A215,Projetos!$D$2:$D$11,"USD")</f>
        <v>0</v>
      </c>
      <c r="K215" s="18">
        <f t="shared" ca="1" si="13"/>
        <v>6.0338435014902236E-10</v>
      </c>
    </row>
    <row r="216" spans="1:11" x14ac:dyDescent="0.2">
      <c r="A216" s="45">
        <f t="shared" ca="1" si="14"/>
        <v>7.8439965519372902E-10</v>
      </c>
      <c r="B216" s="18">
        <f>-SUMIFS(Projetos!$F$2:$F$11,Projetos!$D$2:$D$11,"BRL",Projetos!$N$2:$N$11,Dados!$A216)</f>
        <v>0</v>
      </c>
      <c r="C216" s="45">
        <f ca="1">(A216+B216)*((Indicadores_Economicos!D$2+1)^(1/12)-1)</f>
        <v>2.5679203563508222E-12</v>
      </c>
      <c r="D216" s="18">
        <f>SUMIFS(Projetos!$G$2:$G$11,Projetos!$K$2:$K$11,"&lt;="&amp;Dados!$A216,Projetos!$N$2:$N$11,"&gt;"&amp;Dados!A216,Projetos!$D$2:$D$11,"BRL")</f>
        <v>0</v>
      </c>
      <c r="E216" s="18">
        <f t="shared" ca="1" si="12"/>
        <v>7.8696757555007984E-10</v>
      </c>
      <c r="G216" s="45">
        <f t="shared" ca="1" si="15"/>
        <v>6.0338435014902236E-10</v>
      </c>
      <c r="H216" s="18">
        <f>-SUMIFS(Projetos!$F$2:$F$11,Projetos!$D$2:$D$11,"USD",Projetos!$N$2:$N$11,Dados!$A216)</f>
        <v>0</v>
      </c>
      <c r="I216" s="45">
        <f ca="1">(G216+H216)*((Indicadores_Economicos!D$2+1)^(1/12)-1)</f>
        <v>1.975323351039094E-12</v>
      </c>
      <c r="J216" s="18">
        <f>SUMIFS(Projetos!$G$2:$G$11,Projetos!$K$2:$K$11,"&lt;="&amp;Dados!$A216,Projetos!$N$2:$N$11,"&gt;"&amp;Dados!$A216,Projetos!$D$2:$D$11,"USD")</f>
        <v>0</v>
      </c>
      <c r="K216" s="18">
        <f t="shared" ca="1" si="13"/>
        <v>6.0535967350006147E-10</v>
      </c>
    </row>
    <row r="217" spans="1:11" x14ac:dyDescent="0.2">
      <c r="A217" s="45">
        <f t="shared" ca="1" si="14"/>
        <v>7.8696757555007984E-10</v>
      </c>
      <c r="B217" s="18">
        <f>-SUMIFS(Projetos!$F$2:$F$11,Projetos!$D$2:$D$11,"BRL",Projetos!$N$2:$N$11,Dados!$A217)</f>
        <v>0</v>
      </c>
      <c r="C217" s="45">
        <f ca="1">(A217+B217)*((Indicadores_Economicos!D$2+1)^(1/12)-1)</f>
        <v>2.5763270593789261E-12</v>
      </c>
      <c r="D217" s="18">
        <f>SUMIFS(Projetos!$G$2:$G$11,Projetos!$K$2:$K$11,"&lt;="&amp;Dados!$A217,Projetos!$N$2:$N$11,"&gt;"&amp;Dados!A217,Projetos!$D$2:$D$11,"BRL")</f>
        <v>0</v>
      </c>
      <c r="E217" s="18">
        <f t="shared" ca="1" si="12"/>
        <v>7.8954390260945875E-10</v>
      </c>
      <c r="G217" s="45">
        <f t="shared" ca="1" si="15"/>
        <v>6.0535967350006147E-10</v>
      </c>
      <c r="H217" s="18">
        <f>-SUMIFS(Projetos!$F$2:$F$11,Projetos!$D$2:$D$11,"USD",Projetos!$N$2:$N$11,Dados!$A217)</f>
        <v>0</v>
      </c>
      <c r="I217" s="45">
        <f ca="1">(G217+H217)*((Indicadores_Economicos!D$2+1)^(1/12)-1)</f>
        <v>1.9817900456760973E-12</v>
      </c>
      <c r="J217" s="18">
        <f>SUMIFS(Projetos!$G$2:$G$11,Projetos!$K$2:$K$11,"&lt;="&amp;Dados!$A217,Projetos!$N$2:$N$11,"&gt;"&amp;Dados!$A217,Projetos!$D$2:$D$11,"USD")</f>
        <v>0</v>
      </c>
      <c r="K217" s="18">
        <f t="shared" ca="1" si="13"/>
        <v>6.073414635457376E-10</v>
      </c>
    </row>
    <row r="218" spans="1:11" x14ac:dyDescent="0.2">
      <c r="A218" s="45">
        <f t="shared" ca="1" si="14"/>
        <v>7.8954390260945875E-10</v>
      </c>
      <c r="B218" s="18">
        <f>-SUMIFS(Projetos!$F$2:$F$11,Projetos!$D$2:$D$11,"BRL",Projetos!$N$2:$N$11,Dados!$A218)</f>
        <v>0</v>
      </c>
      <c r="C218" s="45">
        <f ca="1">(A218+B218)*((Indicadores_Economicos!D$2+1)^(1/12)-1)</f>
        <v>2.5847612837651704E-12</v>
      </c>
      <c r="D218" s="18">
        <f>SUMIFS(Projetos!$G$2:$G$11,Projetos!$K$2:$K$11,"&lt;="&amp;Dados!$A218,Projetos!$N$2:$N$11,"&gt;"&amp;Dados!A218,Projetos!$D$2:$D$11,"BRL")</f>
        <v>0</v>
      </c>
      <c r="E218" s="18">
        <f t="shared" ca="1" si="12"/>
        <v>7.9212866389322395E-10</v>
      </c>
      <c r="G218" s="45">
        <f t="shared" ca="1" si="15"/>
        <v>6.073414635457376E-10</v>
      </c>
      <c r="H218" s="18">
        <f>-SUMIFS(Projetos!$F$2:$F$11,Projetos!$D$2:$D$11,"USD",Projetos!$N$2:$N$11,Dados!$A218)</f>
        <v>0</v>
      </c>
      <c r="I218" s="45">
        <f ca="1">(G218+H218)*((Indicadores_Economicos!D$2+1)^(1/12)-1)</f>
        <v>1.9882779105885929E-12</v>
      </c>
      <c r="J218" s="18">
        <f>SUMIFS(Projetos!$G$2:$G$11,Projetos!$K$2:$K$11,"&lt;="&amp;Dados!$A218,Projetos!$N$2:$N$11,"&gt;"&amp;Dados!$A218,Projetos!$D$2:$D$11,"USD")</f>
        <v>0</v>
      </c>
      <c r="K218" s="18">
        <f t="shared" ca="1" si="13"/>
        <v>6.0932974145632621E-10</v>
      </c>
    </row>
    <row r="219" spans="1:11" x14ac:dyDescent="0.2">
      <c r="A219" s="45">
        <f t="shared" ca="1" si="14"/>
        <v>7.9212866389322395E-10</v>
      </c>
      <c r="B219" s="18">
        <f>-SUMIFS(Projetos!$F$2:$F$11,Projetos!$D$2:$D$11,"BRL",Projetos!$N$2:$N$11,Dados!$A219)</f>
        <v>0</v>
      </c>
      <c r="C219" s="45">
        <f ca="1">(A219+B219)*((Indicadores_Economicos!D$2+1)^(1/12)-1)</f>
        <v>2.5932231196073199E-12</v>
      </c>
      <c r="D219" s="18">
        <f>SUMIFS(Projetos!$G$2:$G$11,Projetos!$K$2:$K$11,"&lt;="&amp;Dados!$A219,Projetos!$N$2:$N$11,"&gt;"&amp;Dados!A219,Projetos!$D$2:$D$11,"BRL")</f>
        <v>0</v>
      </c>
      <c r="E219" s="18">
        <f t="shared" ca="1" si="12"/>
        <v>7.9472188701283126E-10</v>
      </c>
      <c r="G219" s="45">
        <f t="shared" ca="1" si="15"/>
        <v>6.0932974145632621E-10</v>
      </c>
      <c r="H219" s="18">
        <f>-SUMIFS(Projetos!$F$2:$F$11,Projetos!$D$2:$D$11,"USD",Projetos!$N$2:$N$11,Dados!$A219)</f>
        <v>0</v>
      </c>
      <c r="I219" s="45">
        <f ca="1">(G219+H219)*((Indicadores_Economicos!D$2+1)^(1/12)-1)</f>
        <v>1.9947870150825541E-12</v>
      </c>
      <c r="J219" s="18">
        <f>SUMIFS(Projetos!$G$2:$G$11,Projetos!$K$2:$K$11,"&lt;="&amp;Dados!$A219,Projetos!$N$2:$N$11,"&gt;"&amp;Dados!$A219,Projetos!$D$2:$D$11,"USD")</f>
        <v>0</v>
      </c>
      <c r="K219" s="18">
        <f t="shared" ca="1" si="13"/>
        <v>6.1132452847140872E-10</v>
      </c>
    </row>
    <row r="220" spans="1:11" x14ac:dyDescent="0.2">
      <c r="A220" s="45">
        <f t="shared" ca="1" si="14"/>
        <v>7.9472188701283126E-10</v>
      </c>
      <c r="B220" s="18">
        <f>-SUMIFS(Projetos!$F$2:$F$11,Projetos!$D$2:$D$11,"BRL",Projetos!$N$2:$N$11,Dados!$A220)</f>
        <v>0</v>
      </c>
      <c r="C220" s="45">
        <f ca="1">(A220+B220)*((Indicadores_Economicos!D$2+1)^(1/12)-1)</f>
        <v>2.6017126572980963E-12</v>
      </c>
      <c r="D220" s="18">
        <f>SUMIFS(Projetos!$G$2:$G$11,Projetos!$K$2:$K$11,"&lt;="&amp;Dados!$A220,Projetos!$N$2:$N$11,"&gt;"&amp;Dados!A220,Projetos!$D$2:$D$11,"BRL")</f>
        <v>0</v>
      </c>
      <c r="E220" s="18">
        <f t="shared" ca="1" si="12"/>
        <v>7.9732359967012937E-10</v>
      </c>
      <c r="G220" s="45">
        <f t="shared" ca="1" si="15"/>
        <v>6.1132452847140872E-10</v>
      </c>
      <c r="H220" s="18">
        <f>-SUMIFS(Projetos!$F$2:$F$11,Projetos!$D$2:$D$11,"USD",Projetos!$N$2:$N$11,Dados!$A220)</f>
        <v>0</v>
      </c>
      <c r="I220" s="45">
        <f ca="1">(G220+H220)*((Indicadores_Economicos!D$2+1)^(1/12)-1)</f>
        <v>2.0013174286908439E-12</v>
      </c>
      <c r="J220" s="18">
        <f>SUMIFS(Projetos!$G$2:$G$11,Projetos!$K$2:$K$11,"&lt;="&amp;Dados!$A220,Projetos!$N$2:$N$11,"&gt;"&amp;Dados!$A220,Projetos!$D$2:$D$11,"USD")</f>
        <v>0</v>
      </c>
      <c r="K220" s="18">
        <f t="shared" ca="1" si="13"/>
        <v>6.1332584590009957E-10</v>
      </c>
    </row>
    <row r="221" spans="1:11" x14ac:dyDescent="0.2">
      <c r="A221" s="45">
        <f t="shared" ca="1" si="14"/>
        <v>7.9732359967012937E-10</v>
      </c>
      <c r="B221" s="18">
        <f>-SUMIFS(Projetos!$F$2:$F$11,Projetos!$D$2:$D$11,"BRL",Projetos!$N$2:$N$11,Dados!$A221)</f>
        <v>0</v>
      </c>
      <c r="C221" s="45">
        <f ca="1">(A221+B221)*((Indicadores_Economicos!D$2+1)^(1/12)-1)</f>
        <v>2.6102299875261437E-12</v>
      </c>
      <c r="D221" s="18">
        <f>SUMIFS(Projetos!$G$2:$G$11,Projetos!$K$2:$K$11,"&lt;="&amp;Dados!$A221,Projetos!$N$2:$N$11,"&gt;"&amp;Dados!A221,Projetos!$D$2:$D$11,"BRL")</f>
        <v>0</v>
      </c>
      <c r="E221" s="18">
        <f t="shared" ca="1" si="12"/>
        <v>7.9993382965765553E-10</v>
      </c>
      <c r="G221" s="45">
        <f t="shared" ca="1" si="15"/>
        <v>6.1332584590009957E-10</v>
      </c>
      <c r="H221" s="18">
        <f>-SUMIFS(Projetos!$F$2:$F$11,Projetos!$D$2:$D$11,"USD",Projetos!$N$2:$N$11,Dados!$A221)</f>
        <v>0</v>
      </c>
      <c r="I221" s="45">
        <f ca="1">(G221+H221)*((Indicadores_Economicos!D$2+1)^(1/12)-1)</f>
        <v>2.0078692211739568E-12</v>
      </c>
      <c r="J221" s="18">
        <f>SUMIFS(Projetos!$G$2:$G$11,Projetos!$K$2:$K$11,"&lt;="&amp;Dados!$A221,Projetos!$N$2:$N$11,"&gt;"&amp;Dados!$A221,Projetos!$D$2:$D$11,"USD")</f>
        <v>0</v>
      </c>
      <c r="K221" s="18">
        <f t="shared" ca="1" si="13"/>
        <v>6.1533371512127356E-10</v>
      </c>
    </row>
    <row r="222" spans="1:11" x14ac:dyDescent="0.2">
      <c r="A222" s="45">
        <f t="shared" ca="1" si="14"/>
        <v>7.9993382965765553E-10</v>
      </c>
      <c r="B222" s="18">
        <f>-SUMIFS(Projetos!$F$2:$F$11,Projetos!$D$2:$D$11,"BRL",Projetos!$N$2:$N$11,Dados!$A222)</f>
        <v>0</v>
      </c>
      <c r="C222" s="45">
        <f ca="1">(A222+B222)*((Indicadores_Economicos!D$2+1)^(1/12)-1)</f>
        <v>2.6187752012769968E-12</v>
      </c>
      <c r="D222" s="18">
        <f>SUMIFS(Projetos!$G$2:$G$11,Projetos!$K$2:$K$11,"&lt;="&amp;Dados!$A222,Projetos!$N$2:$N$11,"&gt;"&amp;Dados!A222,Projetos!$D$2:$D$11,"BRL")</f>
        <v>0</v>
      </c>
      <c r="E222" s="18">
        <f t="shared" ca="1" si="12"/>
        <v>8.0255260485893252E-10</v>
      </c>
      <c r="G222" s="45">
        <f t="shared" ca="1" si="15"/>
        <v>6.1533371512127356E-10</v>
      </c>
      <c r="H222" s="18">
        <f>-SUMIFS(Projetos!$F$2:$F$11,Projetos!$D$2:$D$11,"USD",Projetos!$N$2:$N$11,Dados!$A222)</f>
        <v>0</v>
      </c>
      <c r="I222" s="45">
        <f ca="1">(G222+H222)*((Indicadores_Economicos!D$2+1)^(1/12)-1)</f>
        <v>2.014442462520767E-12</v>
      </c>
      <c r="J222" s="18">
        <f>SUMIFS(Projetos!$G$2:$G$11,Projetos!$K$2:$K$11,"&lt;="&amp;Dados!$A222,Projetos!$N$2:$N$11,"&gt;"&amp;Dados!$A222,Projetos!$D$2:$D$11,"USD")</f>
        <v>0</v>
      </c>
      <c r="K222" s="18">
        <f t="shared" ca="1" si="13"/>
        <v>6.1734815758379428E-10</v>
      </c>
    </row>
    <row r="223" spans="1:11" x14ac:dyDescent="0.2">
      <c r="A223" s="45">
        <f t="shared" ca="1" si="14"/>
        <v>8.0255260485893252E-10</v>
      </c>
      <c r="B223" s="18">
        <f>-SUMIFS(Projetos!$F$2:$F$11,Projetos!$D$2:$D$11,"BRL",Projetos!$N$2:$N$11,Dados!$A223)</f>
        <v>0</v>
      </c>
      <c r="C223" s="45">
        <f ca="1">(A223+B223)*((Indicadores_Economicos!D$2+1)^(1/12)-1)</f>
        <v>2.6273483898340533E-12</v>
      </c>
      <c r="D223" s="18">
        <f>SUMIFS(Projetos!$G$2:$G$11,Projetos!$K$2:$K$11,"&lt;="&amp;Dados!$A223,Projetos!$N$2:$N$11,"&gt;"&amp;Dados!A223,Projetos!$D$2:$D$11,"BRL")</f>
        <v>0</v>
      </c>
      <c r="E223" s="18">
        <f t="shared" ca="1" si="12"/>
        <v>8.0517995324876653E-10</v>
      </c>
      <c r="G223" s="45">
        <f t="shared" ca="1" si="15"/>
        <v>6.1734815758379428E-10</v>
      </c>
      <c r="H223" s="18">
        <f>-SUMIFS(Projetos!$F$2:$F$11,Projetos!$D$2:$D$11,"USD",Projetos!$N$2:$N$11,Dados!$A223)</f>
        <v>0</v>
      </c>
      <c r="I223" s="45">
        <f ca="1">(G223+H223)*((Indicadores_Economicos!D$2+1)^(1/12)-1)</f>
        <v>2.0210372229492719E-12</v>
      </c>
      <c r="J223" s="18">
        <f>SUMIFS(Projetos!$G$2:$G$11,Projetos!$K$2:$K$11,"&lt;="&amp;Dados!$A223,Projetos!$N$2:$N$11,"&gt;"&amp;Dados!$A223,Projetos!$D$2:$D$11,"USD")</f>
        <v>0</v>
      </c>
      <c r="K223" s="18">
        <f t="shared" ca="1" si="13"/>
        <v>6.1936919480674355E-10</v>
      </c>
    </row>
    <row r="224" spans="1:11" x14ac:dyDescent="0.2">
      <c r="A224" s="45">
        <f t="shared" ca="1" si="14"/>
        <v>8.0517995324876653E-10</v>
      </c>
      <c r="B224" s="18">
        <f>-SUMIFS(Projetos!$F$2:$F$11,Projetos!$D$2:$D$11,"BRL",Projetos!$N$2:$N$11,Dados!$A224)</f>
        <v>0</v>
      </c>
      <c r="C224" s="45">
        <f ca="1">(A224+B224)*((Indicadores_Economicos!D$2+1)^(1/12)-1)</f>
        <v>2.6359496447795489E-12</v>
      </c>
      <c r="D224" s="18">
        <f>SUMIFS(Projetos!$G$2:$G$11,Projetos!$K$2:$K$11,"&lt;="&amp;Dados!$A224,Projetos!$N$2:$N$11,"&gt;"&amp;Dados!A224,Projetos!$D$2:$D$11,"BRL")</f>
        <v>0</v>
      </c>
      <c r="E224" s="18">
        <f t="shared" ca="1" si="12"/>
        <v>8.0781590289354607E-10</v>
      </c>
      <c r="G224" s="45">
        <f t="shared" ca="1" si="15"/>
        <v>6.1936919480674355E-10</v>
      </c>
      <c r="H224" s="18">
        <f>-SUMIFS(Projetos!$F$2:$F$11,Projetos!$D$2:$D$11,"USD",Projetos!$N$2:$N$11,Dados!$A224)</f>
        <v>0</v>
      </c>
      <c r="I224" s="45">
        <f ca="1">(G224+H224)*((Indicadores_Economicos!D$2+1)^(1/12)-1)</f>
        <v>2.0276535729073455E-12</v>
      </c>
      <c r="J224" s="18">
        <f>SUMIFS(Projetos!$G$2:$G$11,Projetos!$K$2:$K$11,"&lt;="&amp;Dados!$A224,Projetos!$N$2:$N$11,"&gt;"&amp;Dados!$A224,Projetos!$D$2:$D$11,"USD")</f>
        <v>0</v>
      </c>
      <c r="K224" s="18">
        <f t="shared" ca="1" si="13"/>
        <v>6.2139684837965086E-10</v>
      </c>
    </row>
    <row r="225" spans="1:11" x14ac:dyDescent="0.2">
      <c r="A225" s="45">
        <f t="shared" ca="1" si="14"/>
        <v>8.0781590289354607E-10</v>
      </c>
      <c r="B225" s="18">
        <f>-SUMIFS(Projetos!$F$2:$F$11,Projetos!$D$2:$D$11,"BRL",Projetos!$N$2:$N$11,Dados!$A225)</f>
        <v>0</v>
      </c>
      <c r="C225" s="45">
        <f ca="1">(A225+B225)*((Indicadores_Economicos!D$2+1)^(1/12)-1)</f>
        <v>2.644579057995537E-12</v>
      </c>
      <c r="D225" s="18">
        <f>SUMIFS(Projetos!$G$2:$G$11,Projetos!$K$2:$K$11,"&lt;="&amp;Dados!$A225,Projetos!$N$2:$N$11,"&gt;"&amp;Dados!A225,Projetos!$D$2:$D$11,"BRL")</f>
        <v>0</v>
      </c>
      <c r="E225" s="18">
        <f t="shared" ca="1" si="12"/>
        <v>8.1046048195154166E-10</v>
      </c>
      <c r="G225" s="45">
        <f t="shared" ca="1" si="15"/>
        <v>6.2139684837965086E-10</v>
      </c>
      <c r="H225" s="18">
        <f>-SUMIFS(Projetos!$F$2:$F$11,Projetos!$D$2:$D$11,"USD",Projetos!$N$2:$N$11,Dados!$A225)</f>
        <v>0</v>
      </c>
      <c r="I225" s="45">
        <f ca="1">(G225+H225)*((Indicadores_Economicos!D$2+1)^(1/12)-1)</f>
        <v>2.0342915830734903E-12</v>
      </c>
      <c r="J225" s="18">
        <f>SUMIFS(Projetos!$G$2:$G$11,Projetos!$K$2:$K$11,"&lt;="&amp;Dados!$A225,Projetos!$N$2:$N$11,"&gt;"&amp;Dados!$A225,Projetos!$D$2:$D$11,"USD")</f>
        <v>0</v>
      </c>
      <c r="K225" s="18">
        <f t="shared" ca="1" si="13"/>
        <v>6.2343113996272434E-10</v>
      </c>
    </row>
    <row r="226" spans="1:11" x14ac:dyDescent="0.2">
      <c r="A226" s="45">
        <f t="shared" ca="1" si="14"/>
        <v>8.1046048195154166E-10</v>
      </c>
      <c r="B226" s="18">
        <f>-SUMIFS(Projetos!$F$2:$F$11,Projetos!$D$2:$D$11,"BRL",Projetos!$N$2:$N$11,Dados!$A226)</f>
        <v>0</v>
      </c>
      <c r="C226" s="45">
        <f ca="1">(A226+B226)*((Indicadores_Economicos!D$2+1)^(1/12)-1)</f>
        <v>2.6532367216648674E-12</v>
      </c>
      <c r="D226" s="18">
        <f>SUMIFS(Projetos!$G$2:$G$11,Projetos!$K$2:$K$11,"&lt;="&amp;Dados!$A226,Projetos!$N$2:$N$11,"&gt;"&amp;Dados!A226,Projetos!$D$2:$D$11,"BRL")</f>
        <v>0</v>
      </c>
      <c r="E226" s="18">
        <f t="shared" ca="1" si="12"/>
        <v>8.1311371867320656E-10</v>
      </c>
      <c r="G226" s="45">
        <f t="shared" ca="1" si="15"/>
        <v>6.2343113996272434E-10</v>
      </c>
      <c r="H226" s="18">
        <f>-SUMIFS(Projetos!$F$2:$F$11,Projetos!$D$2:$D$11,"USD",Projetos!$N$2:$N$11,Dados!$A226)</f>
        <v>0</v>
      </c>
      <c r="I226" s="45">
        <f ca="1">(G226+H226)*((Indicadores_Economicos!D$2+1)^(1/12)-1)</f>
        <v>2.0409513243575901E-12</v>
      </c>
      <c r="J226" s="18">
        <f>SUMIFS(Projetos!$G$2:$G$11,Projetos!$K$2:$K$11,"&lt;="&amp;Dados!$A226,Projetos!$N$2:$N$11,"&gt;"&amp;Dados!$A226,Projetos!$D$2:$D$11,"USD")</f>
        <v>0</v>
      </c>
      <c r="K226" s="18">
        <f t="shared" ca="1" si="13"/>
        <v>6.2547209128708199E-10</v>
      </c>
    </row>
    <row r="227" spans="1:11" x14ac:dyDescent="0.2">
      <c r="A227" s="45">
        <f t="shared" ca="1" si="14"/>
        <v>8.1311371867320656E-10</v>
      </c>
      <c r="B227" s="18">
        <f>-SUMIFS(Projetos!$F$2:$F$11,Projetos!$D$2:$D$11,"BRL",Projetos!$N$2:$N$11,Dados!$A227)</f>
        <v>0</v>
      </c>
      <c r="C227" s="45">
        <f ca="1">(A227+B227)*((Indicadores_Economicos!D$2+1)^(1/12)-1)</f>
        <v>2.6619227282721726E-12</v>
      </c>
      <c r="D227" s="18">
        <f>SUMIFS(Projetos!$G$2:$G$11,Projetos!$K$2:$K$11,"&lt;="&amp;Dados!$A227,Projetos!$N$2:$N$11,"&gt;"&amp;Dados!A227,Projetos!$D$2:$D$11,"BRL")</f>
        <v>0</v>
      </c>
      <c r="E227" s="18">
        <f t="shared" ca="1" si="12"/>
        <v>8.1577564140147874E-10</v>
      </c>
      <c r="G227" s="45">
        <f t="shared" ca="1" si="15"/>
        <v>6.2547209128708199E-10</v>
      </c>
      <c r="H227" s="18">
        <f>-SUMIFS(Projetos!$F$2:$F$11,Projetos!$D$2:$D$11,"USD",Projetos!$N$2:$N$11,Dados!$A227)</f>
        <v>0</v>
      </c>
      <c r="I227" s="45">
        <f ca="1">(G227+H227)*((Indicadores_Economicos!D$2+1)^(1/12)-1)</f>
        <v>2.0476328679016714E-12</v>
      </c>
      <c r="J227" s="18">
        <f>SUMIFS(Projetos!$G$2:$G$11,Projetos!$K$2:$K$11,"&lt;="&amp;Dados!$A227,Projetos!$N$2:$N$11,"&gt;"&amp;Dados!$A227,Projetos!$D$2:$D$11,"USD")</f>
        <v>0</v>
      </c>
      <c r="K227" s="18">
        <f t="shared" ca="1" si="13"/>
        <v>6.2751972415498365E-10</v>
      </c>
    </row>
    <row r="228" spans="1:11" x14ac:dyDescent="0.2">
      <c r="A228" s="45">
        <f t="shared" ca="1" si="14"/>
        <v>8.1577564140147874E-10</v>
      </c>
      <c r="B228" s="18">
        <f>-SUMIFS(Projetos!$F$2:$F$11,Projetos!$D$2:$D$11,"BRL",Projetos!$N$2:$N$11,Dados!$A228)</f>
        <v>0</v>
      </c>
      <c r="C228" s="45">
        <f ca="1">(A228+B228)*((Indicadores_Economicos!D$2+1)^(1/12)-1)</f>
        <v>2.6706371706048566E-12</v>
      </c>
      <c r="D228" s="18">
        <f>SUMIFS(Projetos!$G$2:$G$11,Projetos!$K$2:$K$11,"&lt;="&amp;Dados!$A228,Projetos!$N$2:$N$11,"&gt;"&amp;Dados!A228,Projetos!$D$2:$D$11,"BRL")</f>
        <v>0</v>
      </c>
      <c r="E228" s="18">
        <f t="shared" ca="1" si="12"/>
        <v>8.1844627857208358E-10</v>
      </c>
      <c r="G228" s="45">
        <f t="shared" ca="1" si="15"/>
        <v>6.2751972415498365E-10</v>
      </c>
      <c r="H228" s="18">
        <f>-SUMIFS(Projetos!$F$2:$F$11,Projetos!$D$2:$D$11,"USD",Projetos!$N$2:$N$11,Dados!$A228)</f>
        <v>0</v>
      </c>
      <c r="I228" s="45">
        <f ca="1">(G228+H228)*((Indicadores_Economicos!D$2+1)^(1/12)-1)</f>
        <v>2.0543362850806593E-12</v>
      </c>
      <c r="J228" s="18">
        <f>SUMIFS(Projetos!$G$2:$G$11,Projetos!$K$2:$K$11,"&lt;="&amp;Dados!$A228,Projetos!$N$2:$N$11,"&gt;"&amp;Dados!$A228,Projetos!$D$2:$D$11,"USD")</f>
        <v>0</v>
      </c>
      <c r="K228" s="18">
        <f t="shared" ca="1" si="13"/>
        <v>6.2957406044006435E-10</v>
      </c>
    </row>
    <row r="229" spans="1:11" x14ac:dyDescent="0.2">
      <c r="A229" s="45">
        <f t="shared" ca="1" si="14"/>
        <v>8.1844627857208358E-10</v>
      </c>
      <c r="B229" s="18">
        <f>-SUMIFS(Projetos!$F$2:$F$11,Projetos!$D$2:$D$11,"BRL",Projetos!$N$2:$N$11,Dados!$A229)</f>
        <v>0</v>
      </c>
      <c r="C229" s="45">
        <f ca="1">(A229+B229)*((Indicadores_Economicos!D$2+1)^(1/12)-1)</f>
        <v>2.6793801417540848E-12</v>
      </c>
      <c r="D229" s="18">
        <f>SUMIFS(Projetos!$G$2:$G$11,Projetos!$K$2:$K$11,"&lt;="&amp;Dados!$A229,Projetos!$N$2:$N$11,"&gt;"&amp;Dados!A229,Projetos!$D$2:$D$11,"BRL")</f>
        <v>0</v>
      </c>
      <c r="E229" s="18">
        <f t="shared" ca="1" si="12"/>
        <v>8.2112565871383769E-10</v>
      </c>
      <c r="G229" s="45">
        <f t="shared" ca="1" si="15"/>
        <v>6.2957406044006435E-10</v>
      </c>
      <c r="H229" s="18">
        <f>-SUMIFS(Projetos!$F$2:$F$11,Projetos!$D$2:$D$11,"USD",Projetos!$N$2:$N$11,Dados!$A229)</f>
        <v>0</v>
      </c>
      <c r="I229" s="45">
        <f ca="1">(G229+H229)*((Indicadores_Economicos!D$2+1)^(1/12)-1)</f>
        <v>2.0610616475031426E-12</v>
      </c>
      <c r="J229" s="18">
        <f>SUMIFS(Projetos!$G$2:$G$11,Projetos!$K$2:$K$11,"&lt;="&amp;Dados!$A229,Projetos!$N$2:$N$11,"&gt;"&amp;Dados!$A229,Projetos!$D$2:$D$11,"USD")</f>
        <v>0</v>
      </c>
      <c r="K229" s="18">
        <f t="shared" ca="1" si="13"/>
        <v>6.3163512208756748E-10</v>
      </c>
    </row>
    <row r="230" spans="1:11" x14ac:dyDescent="0.2">
      <c r="A230" s="45">
        <f t="shared" ca="1" si="14"/>
        <v>8.2112565871383769E-10</v>
      </c>
      <c r="B230" s="18">
        <f>-SUMIFS(Projetos!$F$2:$F$11,Projetos!$D$2:$D$11,"BRL",Projetos!$N$2:$N$11,Dados!$A230)</f>
        <v>0</v>
      </c>
      <c r="C230" s="45">
        <f ca="1">(A230+B230)*((Indicadores_Economicos!D$2+1)^(1/12)-1)</f>
        <v>2.6881517351157793E-12</v>
      </c>
      <c r="D230" s="18">
        <f>SUMIFS(Projetos!$G$2:$G$11,Projetos!$K$2:$K$11,"&lt;="&amp;Dados!$A230,Projetos!$N$2:$N$11,"&gt;"&amp;Dados!A230,Projetos!$D$2:$D$11,"BRL")</f>
        <v>0</v>
      </c>
      <c r="E230" s="18">
        <f t="shared" ca="1" si="12"/>
        <v>8.238138104489535E-10</v>
      </c>
      <c r="G230" s="45">
        <f t="shared" ca="1" si="15"/>
        <v>6.3163512208756748E-10</v>
      </c>
      <c r="H230" s="18">
        <f>-SUMIFS(Projetos!$F$2:$F$11,Projetos!$D$2:$D$11,"USD",Projetos!$N$2:$N$11,Dados!$A230)</f>
        <v>0</v>
      </c>
      <c r="I230" s="45">
        <f ca="1">(G230+H230)*((Indicadores_Economicos!D$2+1)^(1/12)-1)</f>
        <v>2.0678090270121379E-12</v>
      </c>
      <c r="J230" s="18">
        <f>SUMIFS(Projetos!$G$2:$G$11,Projetos!$K$2:$K$11,"&lt;="&amp;Dados!$A230,Projetos!$N$2:$N$11,"&gt;"&amp;Dados!$A230,Projetos!$D$2:$D$11,"USD")</f>
        <v>0</v>
      </c>
      <c r="K230" s="18">
        <f t="shared" ca="1" si="13"/>
        <v>6.3370293111457957E-10</v>
      </c>
    </row>
    <row r="231" spans="1:11" x14ac:dyDescent="0.2">
      <c r="A231" s="45">
        <f t="shared" ca="1" si="14"/>
        <v>8.238138104489535E-10</v>
      </c>
      <c r="B231" s="18">
        <f>-SUMIFS(Projetos!$F$2:$F$11,Projetos!$D$2:$D$11,"BRL",Projetos!$N$2:$N$11,Dados!$A231)</f>
        <v>0</v>
      </c>
      <c r="C231" s="45">
        <f ca="1">(A231+B231)*((Indicadores_Economicos!D$2+1)^(1/12)-1)</f>
        <v>2.696952044391615E-12</v>
      </c>
      <c r="D231" s="18">
        <f>SUMIFS(Projetos!$G$2:$G$11,Projetos!$K$2:$K$11,"&lt;="&amp;Dados!$A231,Projetos!$N$2:$N$11,"&gt;"&amp;Dados!A231,Projetos!$D$2:$D$11,"BRL")</f>
        <v>0</v>
      </c>
      <c r="E231" s="18">
        <f t="shared" ca="1" si="12"/>
        <v>8.2651076249334513E-10</v>
      </c>
      <c r="G231" s="45">
        <f t="shared" ca="1" si="15"/>
        <v>6.3370293111457957E-10</v>
      </c>
      <c r="H231" s="18">
        <f>-SUMIFS(Projetos!$F$2:$F$11,Projetos!$D$2:$D$11,"USD",Projetos!$N$2:$N$11,Dados!$A231)</f>
        <v>0</v>
      </c>
      <c r="I231" s="45">
        <f ca="1">(G231+H231)*((Indicadores_Economicos!D$2+1)^(1/12)-1)</f>
        <v>2.0745784956858575E-12</v>
      </c>
      <c r="J231" s="18">
        <f>SUMIFS(Projetos!$G$2:$G$11,Projetos!$K$2:$K$11,"&lt;="&amp;Dados!$A231,Projetos!$N$2:$N$11,"&gt;"&amp;Dados!$A231,Projetos!$D$2:$D$11,"USD")</f>
        <v>0</v>
      </c>
      <c r="K231" s="18">
        <f t="shared" ca="1" si="13"/>
        <v>6.357775096102654E-10</v>
      </c>
    </row>
    <row r="232" spans="1:11" x14ac:dyDescent="0.2">
      <c r="A232" s="45">
        <f t="shared" ca="1" si="14"/>
        <v>8.2651076249334513E-10</v>
      </c>
      <c r="B232" s="18">
        <f>-SUMIFS(Projetos!$F$2:$F$11,Projetos!$D$2:$D$11,"BRL",Projetos!$N$2:$N$11,Dados!$A232)</f>
        <v>0</v>
      </c>
      <c r="C232" s="45">
        <f ca="1">(A232+B232)*((Indicadores_Economicos!D$2+1)^(1/12)-1)</f>
        <v>2.7057811635900226E-12</v>
      </c>
      <c r="D232" s="18">
        <f>SUMIFS(Projetos!$G$2:$G$11,Projetos!$K$2:$K$11,"&lt;="&amp;Dados!$A232,Projetos!$N$2:$N$11,"&gt;"&amp;Dados!A232,Projetos!$D$2:$D$11,"BRL")</f>
        <v>0</v>
      </c>
      <c r="E232" s="18">
        <f t="shared" ca="1" si="12"/>
        <v>8.2921654365693514E-10</v>
      </c>
      <c r="G232" s="45">
        <f t="shared" ca="1" si="15"/>
        <v>6.357775096102654E-10</v>
      </c>
      <c r="H232" s="18">
        <f>-SUMIFS(Projetos!$F$2:$F$11,Projetos!$D$2:$D$11,"USD",Projetos!$N$2:$N$11,Dados!$A232)</f>
        <v>0</v>
      </c>
      <c r="I232" s="45">
        <f ca="1">(G232+H232)*((Indicadores_Economicos!D$2+1)^(1/12)-1)</f>
        <v>2.0813701258384785E-12</v>
      </c>
      <c r="J232" s="18">
        <f>SUMIFS(Projetos!$G$2:$G$11,Projetos!$K$2:$K$11,"&lt;="&amp;Dados!$A232,Projetos!$N$2:$N$11,"&gt;"&amp;Dados!$A232,Projetos!$D$2:$D$11,"USD")</f>
        <v>0</v>
      </c>
      <c r="K232" s="18">
        <f t="shared" ca="1" si="13"/>
        <v>6.3785887973610383E-10</v>
      </c>
    </row>
    <row r="233" spans="1:11" x14ac:dyDescent="0.2">
      <c r="A233" s="45">
        <f t="shared" ca="1" si="14"/>
        <v>8.2921654365693514E-10</v>
      </c>
      <c r="B233" s="18">
        <f>-SUMIFS(Projetos!$F$2:$F$11,Projetos!$D$2:$D$11,"BRL",Projetos!$N$2:$N$11,Dados!$A233)</f>
        <v>0</v>
      </c>
      <c r="C233" s="45">
        <f ca="1">(A233+B233)*((Indicadores_Economicos!D$2+1)^(1/12)-1)</f>
        <v>2.7146391870271913E-12</v>
      </c>
      <c r="D233" s="18">
        <f>SUMIFS(Projetos!$G$2:$G$11,Projetos!$K$2:$K$11,"&lt;="&amp;Dados!$A233,Projetos!$N$2:$N$11,"&gt;"&amp;Dados!A233,Projetos!$D$2:$D$11,"BRL")</f>
        <v>0</v>
      </c>
      <c r="E233" s="18">
        <f t="shared" ca="1" si="12"/>
        <v>8.3193118284396236E-10</v>
      </c>
      <c r="G233" s="45">
        <f t="shared" ca="1" si="15"/>
        <v>6.3785887973610383E-10</v>
      </c>
      <c r="H233" s="18">
        <f>-SUMIFS(Projetos!$F$2:$F$11,Projetos!$D$2:$D$11,"USD",Projetos!$N$2:$N$11,Dados!$A233)</f>
        <v>0</v>
      </c>
      <c r="I233" s="45">
        <f ca="1">(G233+H233)*((Indicadores_Economicos!D$2+1)^(1/12)-1)</f>
        <v>2.0881839900209161E-12</v>
      </c>
      <c r="J233" s="18">
        <f>SUMIFS(Projetos!$G$2:$G$11,Projetos!$K$2:$K$11,"&lt;="&amp;Dados!$A233,Projetos!$N$2:$N$11,"&gt;"&amp;Dados!$A233,Projetos!$D$2:$D$11,"USD")</f>
        <v>0</v>
      </c>
      <c r="K233" s="18">
        <f t="shared" ca="1" si="13"/>
        <v>6.399470637261247E-10</v>
      </c>
    </row>
    <row r="234" spans="1:11" x14ac:dyDescent="0.2">
      <c r="A234" s="45">
        <f t="shared" ca="1" si="14"/>
        <v>8.3193118284396236E-10</v>
      </c>
      <c r="B234" s="18">
        <f>-SUMIFS(Projetos!$F$2:$F$11,Projetos!$D$2:$D$11,"BRL",Projetos!$N$2:$N$11,Dados!$A234)</f>
        <v>0</v>
      </c>
      <c r="C234" s="45">
        <f ca="1">(A234+B234)*((Indicadores_Economicos!D$2+1)^(1/12)-1)</f>
        <v>2.7235262093280786E-12</v>
      </c>
      <c r="D234" s="18">
        <f>SUMIFS(Projetos!$G$2:$G$11,Projetos!$K$2:$K$11,"&lt;="&amp;Dados!$A234,Projetos!$N$2:$N$11,"&gt;"&amp;Dados!A234,Projetos!$D$2:$D$11,"BRL")</f>
        <v>0</v>
      </c>
      <c r="E234" s="18">
        <f t="shared" ca="1" si="12"/>
        <v>8.3465470905329044E-10</v>
      </c>
      <c r="G234" s="45">
        <f t="shared" ca="1" si="15"/>
        <v>6.399470637261247E-10</v>
      </c>
      <c r="H234" s="18">
        <f>-SUMIFS(Projetos!$F$2:$F$11,Projetos!$D$2:$D$11,"USD",Projetos!$N$2:$N$11,Dados!$A234)</f>
        <v>0</v>
      </c>
      <c r="I234" s="45">
        <f ca="1">(G234+H234)*((Indicadores_Economicos!D$2+1)^(1/12)-1)</f>
        <v>2.0950201610215982E-12</v>
      </c>
      <c r="J234" s="18">
        <f>SUMIFS(Projetos!$G$2:$G$11,Projetos!$K$2:$K$11,"&lt;="&amp;Dados!$A234,Projetos!$N$2:$N$11,"&gt;"&amp;Dados!$A234,Projetos!$D$2:$D$11,"USD")</f>
        <v>0</v>
      </c>
      <c r="K234" s="18">
        <f t="shared" ca="1" si="13"/>
        <v>6.4204208388714633E-10</v>
      </c>
    </row>
    <row r="235" spans="1:11" x14ac:dyDescent="0.2">
      <c r="A235" s="45">
        <f t="shared" ca="1" si="14"/>
        <v>8.3465470905329044E-10</v>
      </c>
      <c r="B235" s="18">
        <f>-SUMIFS(Projetos!$F$2:$F$11,Projetos!$D$2:$D$11,"BRL",Projetos!$N$2:$N$11,Dados!$A235)</f>
        <v>0</v>
      </c>
      <c r="C235" s="45">
        <f ca="1">(A235+B235)*((Indicadores_Economicos!D$2+1)^(1/12)-1)</f>
        <v>2.7324423254274175E-12</v>
      </c>
      <c r="D235" s="18">
        <f>SUMIFS(Projetos!$G$2:$G$11,Projetos!$K$2:$K$11,"&lt;="&amp;Dados!$A235,Projetos!$N$2:$N$11,"&gt;"&amp;Dados!A235,Projetos!$D$2:$D$11,"BRL")</f>
        <v>0</v>
      </c>
      <c r="E235" s="18">
        <f t="shared" ca="1" si="12"/>
        <v>8.3738715137871783E-10</v>
      </c>
      <c r="G235" s="45">
        <f t="shared" ca="1" si="15"/>
        <v>6.4204208388714633E-10</v>
      </c>
      <c r="H235" s="18">
        <f>-SUMIFS(Projetos!$F$2:$F$11,Projetos!$D$2:$D$11,"USD",Projetos!$N$2:$N$11,Dados!$A235)</f>
        <v>0</v>
      </c>
      <c r="I235" s="45">
        <f ca="1">(G235+H235)*((Indicadores_Economicos!D$2+1)^(1/12)-1)</f>
        <v>2.1018787118672436E-12</v>
      </c>
      <c r="J235" s="18">
        <f>SUMIFS(Projetos!$G$2:$G$11,Projetos!$K$2:$K$11,"&lt;="&amp;Dados!$A235,Projetos!$N$2:$N$11,"&gt;"&amp;Dados!$A235,Projetos!$D$2:$D$11,"USD")</f>
        <v>0</v>
      </c>
      <c r="K235" s="18">
        <f t="shared" ca="1" si="13"/>
        <v>6.4414396259901355E-10</v>
      </c>
    </row>
    <row r="236" spans="1:11" x14ac:dyDescent="0.2">
      <c r="A236" s="45">
        <f t="shared" ca="1" si="14"/>
        <v>8.3738715137871783E-10</v>
      </c>
      <c r="B236" s="18">
        <f>-SUMIFS(Projetos!$F$2:$F$11,Projetos!$D$2:$D$11,"BRL",Projetos!$N$2:$N$11,Dados!$A236)</f>
        <v>0</v>
      </c>
      <c r="C236" s="45">
        <f ca="1">(A236+B236)*((Indicadores_Economicos!D$2+1)^(1/12)-1)</f>
        <v>2.7413876305707332E-12</v>
      </c>
      <c r="D236" s="18">
        <f>SUMIFS(Projetos!$G$2:$G$11,Projetos!$K$2:$K$11,"&lt;="&amp;Dados!$A236,Projetos!$N$2:$N$11,"&gt;"&amp;Dados!A236,Projetos!$D$2:$D$11,"BRL")</f>
        <v>0</v>
      </c>
      <c r="E236" s="18">
        <f t="shared" ca="1" si="12"/>
        <v>8.4012853900928855E-10</v>
      </c>
      <c r="G236" s="45">
        <f t="shared" ca="1" si="15"/>
        <v>6.4414396259901355E-10</v>
      </c>
      <c r="H236" s="18">
        <f>-SUMIFS(Projetos!$F$2:$F$11,Projetos!$D$2:$D$11,"USD",Projetos!$N$2:$N$11,Dados!$A236)</f>
        <v>0</v>
      </c>
      <c r="I236" s="45">
        <f ca="1">(G236+H236)*((Indicadores_Economicos!D$2+1)^(1/12)-1)</f>
        <v>2.1087597158236402E-12</v>
      </c>
      <c r="J236" s="18">
        <f>SUMIFS(Projetos!$G$2:$G$11,Projetos!$K$2:$K$11,"&lt;="&amp;Dados!$A236,Projetos!$N$2:$N$11,"&gt;"&amp;Dados!$A236,Projetos!$D$2:$D$11,"USD")</f>
        <v>0</v>
      </c>
      <c r="K236" s="18">
        <f t="shared" ca="1" si="13"/>
        <v>6.4625272231483717E-10</v>
      </c>
    </row>
    <row r="237" spans="1:11" x14ac:dyDescent="0.2">
      <c r="A237" s="45">
        <f t="shared" ca="1" si="14"/>
        <v>8.4012853900928855E-10</v>
      </c>
      <c r="B237" s="18">
        <f>-SUMIFS(Projetos!$F$2:$F$11,Projetos!$D$2:$D$11,"BRL",Projetos!$N$2:$N$11,Dados!$A237)</f>
        <v>0</v>
      </c>
      <c r="C237" s="45">
        <f ca="1">(A237+B237)*((Indicadores_Economicos!D$2+1)^(1/12)-1)</f>
        <v>2.7503622203153604E-12</v>
      </c>
      <c r="D237" s="18">
        <f>SUMIFS(Projetos!$G$2:$G$11,Projetos!$K$2:$K$11,"&lt;="&amp;Dados!$A237,Projetos!$N$2:$N$11,"&gt;"&amp;Dados!A237,Projetos!$D$2:$D$11,"BRL")</f>
        <v>0</v>
      </c>
      <c r="E237" s="18">
        <f t="shared" ca="1" si="12"/>
        <v>8.4287890122960393E-10</v>
      </c>
      <c r="G237" s="45">
        <f t="shared" ca="1" si="15"/>
        <v>6.4625272231483717E-10</v>
      </c>
      <c r="H237" s="18">
        <f>-SUMIFS(Projetos!$F$2:$F$11,Projetos!$D$2:$D$11,"USD",Projetos!$N$2:$N$11,Dados!$A237)</f>
        <v>0</v>
      </c>
      <c r="I237" s="45">
        <f ca="1">(G237+H237)*((Indicadores_Economicos!D$2+1)^(1/12)-1)</f>
        <v>2.1156632463964306E-12</v>
      </c>
      <c r="J237" s="18">
        <f>SUMIFS(Projetos!$G$2:$G$11,Projetos!$K$2:$K$11,"&lt;="&amp;Dados!$A237,Projetos!$N$2:$N$11,"&gt;"&amp;Dados!$A237,Projetos!$D$2:$D$11,"USD")</f>
        <v>0</v>
      </c>
      <c r="K237" s="18">
        <f t="shared" ca="1" si="13"/>
        <v>6.4836838556123362E-10</v>
      </c>
    </row>
    <row r="238" spans="1:11" x14ac:dyDescent="0.2">
      <c r="A238" s="45">
        <f t="shared" ca="1" si="14"/>
        <v>8.4287890122960393E-10</v>
      </c>
      <c r="B238" s="18">
        <f>-SUMIFS(Projetos!$F$2:$F$11,Projetos!$D$2:$D$11,"BRL",Projetos!$N$2:$N$11,Dados!$A238)</f>
        <v>0</v>
      </c>
      <c r="C238" s="45">
        <f ca="1">(A238+B238)*((Indicadores_Economicos!D$2+1)^(1/12)-1)</f>
        <v>2.7593661905314639E-12</v>
      </c>
      <c r="D238" s="18">
        <f>SUMIFS(Projetos!$G$2:$G$11,Projetos!$K$2:$K$11,"&lt;="&amp;Dados!$A238,Projetos!$N$2:$N$11,"&gt;"&amp;Dados!A238,Projetos!$D$2:$D$11,"BRL")</f>
        <v>0</v>
      </c>
      <c r="E238" s="18">
        <f t="shared" ca="1" si="12"/>
        <v>8.4563826742013537E-10</v>
      </c>
      <c r="G238" s="45">
        <f t="shared" ca="1" si="15"/>
        <v>6.4836838556123362E-10</v>
      </c>
      <c r="H238" s="18">
        <f>-SUMIFS(Projetos!$F$2:$F$11,Projetos!$D$2:$D$11,"USD",Projetos!$N$2:$N$11,Dados!$A238)</f>
        <v>0</v>
      </c>
      <c r="I238" s="45">
        <f ca="1">(G238+H238)*((Indicadores_Economicos!D$2+1)^(1/12)-1)</f>
        <v>2.1225893773318946E-12</v>
      </c>
      <c r="J238" s="18">
        <f>SUMIFS(Projetos!$G$2:$G$11,Projetos!$K$2:$K$11,"&lt;="&amp;Dados!$A238,Projetos!$N$2:$N$11,"&gt;"&amp;Dados!$A238,Projetos!$D$2:$D$11,"USD")</f>
        <v>0</v>
      </c>
      <c r="K238" s="18">
        <f t="shared" ca="1" si="13"/>
        <v>6.504909749385655E-10</v>
      </c>
    </row>
    <row r="239" spans="1:11" x14ac:dyDescent="0.2">
      <c r="A239" s="45">
        <f t="shared" ca="1" si="14"/>
        <v>8.4563826742013537E-10</v>
      </c>
      <c r="B239" s="18">
        <f>-SUMIFS(Projetos!$F$2:$F$11,Projetos!$D$2:$D$11,"BRL",Projetos!$N$2:$N$11,Dados!$A239)</f>
        <v>0</v>
      </c>
      <c r="C239" s="45">
        <f ca="1">(A239+B239)*((Indicadores_Economicos!D$2+1)^(1/12)-1)</f>
        <v>2.7683996374030615E-12</v>
      </c>
      <c r="D239" s="18">
        <f>SUMIFS(Projetos!$G$2:$G$11,Projetos!$K$2:$K$11,"&lt;="&amp;Dados!$A239,Projetos!$N$2:$N$11,"&gt;"&amp;Dados!A239,Projetos!$D$2:$D$11,"BRL")</f>
        <v>0</v>
      </c>
      <c r="E239" s="18">
        <f t="shared" ca="1" si="12"/>
        <v>8.4840666705753847E-10</v>
      </c>
      <c r="G239" s="45">
        <f t="shared" ca="1" si="15"/>
        <v>6.504909749385655E-10</v>
      </c>
      <c r="H239" s="18">
        <f>-SUMIFS(Projetos!$F$2:$F$11,Projetos!$D$2:$D$11,"USD",Projetos!$N$2:$N$11,Dados!$A239)</f>
        <v>0</v>
      </c>
      <c r="I239" s="45">
        <f ca="1">(G239+H239)*((Indicadores_Economicos!D$2+1)^(1/12)-1)</f>
        <v>2.1295381826177389E-12</v>
      </c>
      <c r="J239" s="18">
        <f>SUMIFS(Projetos!$G$2:$G$11,Projetos!$K$2:$K$11,"&lt;="&amp;Dados!$A239,Projetos!$N$2:$N$11,"&gt;"&amp;Dados!$A239,Projetos!$D$2:$D$11,"USD")</f>
        <v>0</v>
      </c>
      <c r="K239" s="18">
        <f t="shared" ca="1" si="13"/>
        <v>6.526205131211832E-10</v>
      </c>
    </row>
    <row r="240" spans="1:11" x14ac:dyDescent="0.2">
      <c r="A240" s="45">
        <f t="shared" ca="1" si="14"/>
        <v>8.4840666705753847E-10</v>
      </c>
      <c r="B240" s="18">
        <f>-SUMIFS(Projetos!$F$2:$F$11,Projetos!$D$2:$D$11,"BRL",Projetos!$N$2:$N$11,Dados!$A240)</f>
        <v>0</v>
      </c>
      <c r="C240" s="45">
        <f ca="1">(A240+B240)*((Indicadores_Economicos!D$2+1)^(1/12)-1)</f>
        <v>2.7774626574290529E-12</v>
      </c>
      <c r="D240" s="18">
        <f>SUMIFS(Projetos!$G$2:$G$11,Projetos!$K$2:$K$11,"&lt;="&amp;Dados!$A240,Projetos!$N$2:$N$11,"&gt;"&amp;Dados!A240,Projetos!$D$2:$D$11,"BRL")</f>
        <v>0</v>
      </c>
      <c r="E240" s="18">
        <f t="shared" ca="1" si="12"/>
        <v>8.5118412971496757E-10</v>
      </c>
      <c r="G240" s="45">
        <f t="shared" ca="1" si="15"/>
        <v>6.526205131211832E-10</v>
      </c>
      <c r="H240" s="18">
        <f>-SUMIFS(Projetos!$F$2:$F$11,Projetos!$D$2:$D$11,"USD",Projetos!$N$2:$N$11,Dados!$A240)</f>
        <v>0</v>
      </c>
      <c r="I240" s="45">
        <f ca="1">(G240+H240)*((Indicadores_Economicos!D$2+1)^(1/12)-1)</f>
        <v>2.1365097364838862E-12</v>
      </c>
      <c r="J240" s="18">
        <f>SUMIFS(Projetos!$G$2:$G$11,Projetos!$K$2:$K$11,"&lt;="&amp;Dados!$A240,Projetos!$N$2:$N$11,"&gt;"&amp;Dados!$A240,Projetos!$D$2:$D$11,"USD")</f>
        <v>0</v>
      </c>
      <c r="K240" s="18">
        <f t="shared" ca="1" si="13"/>
        <v>6.5475702285766705E-10</v>
      </c>
    </row>
    <row r="241" spans="1:11" x14ac:dyDescent="0.2">
      <c r="A241" s="45">
        <f t="shared" ca="1" si="14"/>
        <v>8.5118412971496757E-10</v>
      </c>
      <c r="B241" s="18">
        <f>-SUMIFS(Projetos!$F$2:$F$11,Projetos!$D$2:$D$11,"BRL",Projetos!$N$2:$N$11,Dados!$A241)</f>
        <v>0</v>
      </c>
      <c r="C241" s="45">
        <f ca="1">(A241+B241)*((Indicadores_Economicos!D$2+1)^(1/12)-1)</f>
        <v>2.7865553474242504E-12</v>
      </c>
      <c r="D241" s="18">
        <f>SUMIFS(Projetos!$G$2:$G$11,Projetos!$K$2:$K$11,"&lt;="&amp;Dados!$A241,Projetos!$N$2:$N$11,"&gt;"&amp;Dados!A241,Projetos!$D$2:$D$11,"BRL")</f>
        <v>0</v>
      </c>
      <c r="E241" s="18">
        <f t="shared" ca="1" si="12"/>
        <v>8.539706850623918E-10</v>
      </c>
      <c r="G241" s="45">
        <f t="shared" ca="1" si="15"/>
        <v>6.5475702285766705E-10</v>
      </c>
      <c r="H241" s="18">
        <f>-SUMIFS(Projetos!$F$2:$F$11,Projetos!$D$2:$D$11,"USD",Projetos!$N$2:$N$11,Dados!$A241)</f>
        <v>0</v>
      </c>
      <c r="I241" s="45">
        <f ca="1">(G241+H241)*((Indicadores_Economicos!D$2+1)^(1/12)-1)</f>
        <v>2.1435041134032686E-12</v>
      </c>
      <c r="J241" s="18">
        <f>SUMIFS(Projetos!$G$2:$G$11,Projetos!$K$2:$K$11,"&lt;="&amp;Dados!$A241,Projetos!$N$2:$N$11,"&gt;"&amp;Dados!$A241,Projetos!$D$2:$D$11,"USD")</f>
        <v>0</v>
      </c>
      <c r="K241" s="18">
        <f t="shared" ca="1" si="13"/>
        <v>6.5690052697107032E-10</v>
      </c>
    </row>
    <row r="242" spans="1:11" x14ac:dyDescent="0.2">
      <c r="A242" s="45">
        <f t="shared" ca="1" si="14"/>
        <v>8.539706850623918E-10</v>
      </c>
      <c r="B242" s="18">
        <f>-SUMIFS(Projetos!$F$2:$F$11,Projetos!$D$2:$D$11,"BRL",Projetos!$N$2:$N$11,Dados!$A242)</f>
        <v>0</v>
      </c>
      <c r="C242" s="45">
        <f ca="1">(A242+B242)*((Indicadores_Economicos!D$2+1)^(1/12)-1)</f>
        <v>2.7956778045204124E-12</v>
      </c>
      <c r="D242" s="18">
        <f>SUMIFS(Projetos!$G$2:$G$11,Projetos!$K$2:$K$11,"&lt;="&amp;Dados!$A242,Projetos!$N$2:$N$11,"&gt;"&amp;Dados!A242,Projetos!$D$2:$D$11,"BRL")</f>
        <v>0</v>
      </c>
      <c r="E242" s="18">
        <f t="shared" ca="1" si="12"/>
        <v>8.567663628669122E-10</v>
      </c>
      <c r="G242" s="45">
        <f t="shared" ca="1" si="15"/>
        <v>6.5690052697107032E-10</v>
      </c>
      <c r="H242" s="18">
        <f>-SUMIFS(Projetos!$F$2:$F$11,Projetos!$D$2:$D$11,"USD",Projetos!$N$2:$N$11,Dados!$A242)</f>
        <v>0</v>
      </c>
      <c r="I242" s="45">
        <f ca="1">(G242+H242)*((Indicadores_Economicos!D$2+1)^(1/12)-1)</f>
        <v>2.150521388092624E-12</v>
      </c>
      <c r="J242" s="18">
        <f>SUMIFS(Projetos!$G$2:$G$11,Projetos!$K$2:$K$11,"&lt;="&amp;Dados!$A242,Projetos!$N$2:$N$11,"&gt;"&amp;Dados!$A242,Projetos!$D$2:$D$11,"USD")</f>
        <v>0</v>
      </c>
      <c r="K242" s="18">
        <f t="shared" ca="1" si="13"/>
        <v>6.5905104835916291E-10</v>
      </c>
    </row>
    <row r="243" spans="1:11" x14ac:dyDescent="0.2">
      <c r="A243" s="45">
        <f t="shared" ca="1" si="14"/>
        <v>8.567663628669122E-10</v>
      </c>
      <c r="B243" s="18">
        <f>-SUMIFS(Projetos!$F$2:$F$11,Projetos!$D$2:$D$11,"BRL",Projetos!$N$2:$N$11,Dados!$A243)</f>
        <v>0</v>
      </c>
      <c r="C243" s="45">
        <f ca="1">(A243+B243)*((Indicadores_Economicos!D$2+1)^(1/12)-1)</f>
        <v>2.8048301261672814E-12</v>
      </c>
      <c r="D243" s="18">
        <f>SUMIFS(Projetos!$G$2:$G$11,Projetos!$K$2:$K$11,"&lt;="&amp;Dados!$A243,Projetos!$N$2:$N$11,"&gt;"&amp;Dados!A243,Projetos!$D$2:$D$11,"BRL")</f>
        <v>0</v>
      </c>
      <c r="E243" s="18">
        <f t="shared" ca="1" si="12"/>
        <v>8.5957119299307952E-10</v>
      </c>
      <c r="G243" s="45">
        <f t="shared" ca="1" si="15"/>
        <v>6.5905104835916291E-10</v>
      </c>
      <c r="H243" s="18">
        <f>-SUMIFS(Projetos!$F$2:$F$11,Projetos!$D$2:$D$11,"USD",Projetos!$N$2:$N$11,Dados!$A243)</f>
        <v>0</v>
      </c>
      <c r="I243" s="45">
        <f ca="1">(G243+H243)*((Indicadores_Economicos!D$2+1)^(1/12)-1)</f>
        <v>2.1575616355132924E-12</v>
      </c>
      <c r="J243" s="18">
        <f>SUMIFS(Projetos!$G$2:$G$11,Projetos!$K$2:$K$11,"&lt;="&amp;Dados!$A243,Projetos!$N$2:$N$11,"&gt;"&amp;Dados!$A243,Projetos!$D$2:$D$11,"USD")</f>
        <v>0</v>
      </c>
      <c r="K243" s="18">
        <f t="shared" ca="1" si="13"/>
        <v>6.6120860999467621E-10</v>
      </c>
    </row>
    <row r="244" spans="1:11" x14ac:dyDescent="0.2">
      <c r="A244" s="45">
        <f t="shared" ca="1" si="14"/>
        <v>8.5957119299307952E-10</v>
      </c>
      <c r="B244" s="18">
        <f>-SUMIFS(Projetos!$F$2:$F$11,Projetos!$D$2:$D$11,"BRL",Projetos!$N$2:$N$11,Dados!$A244)</f>
        <v>0</v>
      </c>
      <c r="C244" s="45">
        <f ca="1">(A244+B244)*((Indicadores_Economicos!D$2+1)^(1/12)-1)</f>
        <v>2.8140124101336251E-12</v>
      </c>
      <c r="D244" s="18">
        <f>SUMIFS(Projetos!$G$2:$G$11,Projetos!$K$2:$K$11,"&lt;="&amp;Dados!$A244,Projetos!$N$2:$N$11,"&gt;"&amp;Dados!A244,Projetos!$D$2:$D$11,"BRL")</f>
        <v>0</v>
      </c>
      <c r="E244" s="18">
        <f t="shared" ca="1" si="12"/>
        <v>8.6238520540321312E-10</v>
      </c>
      <c r="G244" s="45">
        <f t="shared" ca="1" si="15"/>
        <v>6.6120860999467621E-10</v>
      </c>
      <c r="H244" s="18">
        <f>-SUMIFS(Projetos!$F$2:$F$11,Projetos!$D$2:$D$11,"USD",Projetos!$N$2:$N$11,Dados!$A244)</f>
        <v>0</v>
      </c>
      <c r="I244" s="45">
        <f ca="1">(G244+H244)*((Indicadores_Economicos!D$2+1)^(1/12)-1)</f>
        <v>2.1646249308720184E-12</v>
      </c>
      <c r="J244" s="18">
        <f>SUMIFS(Projetos!$G$2:$G$11,Projetos!$K$2:$K$11,"&lt;="&amp;Dados!$A244,Projetos!$N$2:$N$11,"&gt;"&amp;Dados!$A244,Projetos!$D$2:$D$11,"USD")</f>
        <v>0</v>
      </c>
      <c r="K244" s="18">
        <f t="shared" ca="1" si="13"/>
        <v>6.6337323492554826E-10</v>
      </c>
    </row>
    <row r="245" spans="1:11" x14ac:dyDescent="0.2">
      <c r="A245" s="45">
        <f t="shared" ca="1" si="14"/>
        <v>8.6238520540321312E-10</v>
      </c>
      <c r="B245" s="18">
        <f>-SUMIFS(Projetos!$F$2:$F$11,Projetos!$D$2:$D$11,"BRL",Projetos!$N$2:$N$11,Dados!$A245)</f>
        <v>0</v>
      </c>
      <c r="C245" s="45">
        <f ca="1">(A245+B245)*((Indicadores_Economicos!D$2+1)^(1/12)-1)</f>
        <v>2.823224754508281E-12</v>
      </c>
      <c r="D245" s="18">
        <f>SUMIFS(Projetos!$G$2:$G$11,Projetos!$K$2:$K$11,"&lt;="&amp;Dados!$A245,Projetos!$N$2:$N$11,"&gt;"&amp;Dados!A245,Projetos!$D$2:$D$11,"BRL")</f>
        <v>0</v>
      </c>
      <c r="E245" s="18">
        <f t="shared" ca="1" si="12"/>
        <v>8.6520843015772141E-10</v>
      </c>
      <c r="G245" s="45">
        <f t="shared" ca="1" si="15"/>
        <v>6.6337323492554826E-10</v>
      </c>
      <c r="H245" s="18">
        <f>-SUMIFS(Projetos!$F$2:$F$11,Projetos!$D$2:$D$11,"USD",Projetos!$N$2:$N$11,Dados!$A245)</f>
        <v>0</v>
      </c>
      <c r="I245" s="45">
        <f ca="1">(G245+H245)*((Indicadores_Economicos!D$2+1)^(1/12)-1)</f>
        <v>2.1717113496217537E-12</v>
      </c>
      <c r="J245" s="18">
        <f>SUMIFS(Projetos!$G$2:$G$11,Projetos!$K$2:$K$11,"&lt;="&amp;Dados!$A245,Projetos!$N$2:$N$11,"&gt;"&amp;Dados!$A245,Projetos!$D$2:$D$11,"USD")</f>
        <v>0</v>
      </c>
      <c r="K245" s="18">
        <f t="shared" ca="1" si="13"/>
        <v>6.6554494627517001E-10</v>
      </c>
    </row>
    <row r="246" spans="1:11" x14ac:dyDescent="0.2">
      <c r="A246" s="45">
        <f t="shared" ca="1" si="14"/>
        <v>8.6520843015772141E-10</v>
      </c>
      <c r="B246" s="18">
        <f>-SUMIFS(Projetos!$F$2:$F$11,Projetos!$D$2:$D$11,"BRL",Projetos!$N$2:$N$11,Dados!$A246)</f>
        <v>0</v>
      </c>
      <c r="C246" s="45">
        <f ca="1">(A246+B246)*((Indicadores_Economicos!D$2+1)^(1/12)-1)</f>
        <v>2.8324672577012037E-12</v>
      </c>
      <c r="D246" s="18">
        <f>SUMIFS(Projetos!$G$2:$G$11,Projetos!$K$2:$K$11,"&lt;="&amp;Dados!$A246,Projetos!$N$2:$N$11,"&gt;"&amp;Dados!A246,Projetos!$D$2:$D$11,"BRL")</f>
        <v>0</v>
      </c>
      <c r="E246" s="18">
        <f t="shared" ca="1" si="12"/>
        <v>8.6804089741542259E-10</v>
      </c>
      <c r="G246" s="45">
        <f t="shared" ca="1" si="15"/>
        <v>6.6554494627517001E-10</v>
      </c>
      <c r="H246" s="18">
        <f>-SUMIFS(Projetos!$F$2:$F$11,Projetos!$D$2:$D$11,"USD",Projetos!$N$2:$N$11,Dados!$A246)</f>
        <v>0</v>
      </c>
      <c r="I246" s="45">
        <f ca="1">(G246+H246)*((Indicadores_Economicos!D$2+1)^(1/12)-1)</f>
        <v>2.1788209674624632E-12</v>
      </c>
      <c r="J246" s="18">
        <f>SUMIFS(Projetos!$G$2:$G$11,Projetos!$K$2:$K$11,"&lt;="&amp;Dados!$A246,Projetos!$N$2:$N$11,"&gt;"&amp;Dados!$A246,Projetos!$D$2:$D$11,"USD")</f>
        <v>0</v>
      </c>
      <c r="K246" s="18">
        <f t="shared" ca="1" si="13"/>
        <v>6.677237672426325E-10</v>
      </c>
    </row>
    <row r="247" spans="1:11" x14ac:dyDescent="0.2">
      <c r="A247" s="45">
        <f t="shared" ca="1" si="14"/>
        <v>8.6804089741542259E-10</v>
      </c>
      <c r="B247" s="18">
        <f>-SUMIFS(Projetos!$F$2:$F$11,Projetos!$D$2:$D$11,"BRL",Projetos!$N$2:$N$11,Dados!$A247)</f>
        <v>0</v>
      </c>
      <c r="C247" s="45">
        <f ca="1">(A247+B247)*((Indicadores_Economicos!D$2+1)^(1/12)-1)</f>
        <v>2.8417400184445157E-12</v>
      </c>
      <c r="D247" s="18">
        <f>SUMIFS(Projetos!$G$2:$G$11,Projetos!$K$2:$K$11,"&lt;="&amp;Dados!$A247,Projetos!$N$2:$N$11,"&gt;"&amp;Dados!A247,Projetos!$D$2:$D$11,"BRL")</f>
        <v>0</v>
      </c>
      <c r="E247" s="18">
        <f t="shared" ca="1" si="12"/>
        <v>8.7088263743386713E-10</v>
      </c>
      <c r="G247" s="45">
        <f t="shared" ca="1" si="15"/>
        <v>6.677237672426325E-10</v>
      </c>
      <c r="H247" s="18">
        <f>-SUMIFS(Projetos!$F$2:$F$11,Projetos!$D$2:$D$11,"USD",Projetos!$N$2:$N$11,Dados!$A247)</f>
        <v>0</v>
      </c>
      <c r="I247" s="45">
        <f ca="1">(G247+H247)*((Indicadores_Economicos!D$2+1)^(1/12)-1)</f>
        <v>2.1859538603419345E-12</v>
      </c>
      <c r="J247" s="18">
        <f>SUMIFS(Projetos!$G$2:$G$11,Projetos!$K$2:$K$11,"&lt;="&amp;Dados!$A247,Projetos!$N$2:$N$11,"&gt;"&amp;Dados!$A247,Projetos!$D$2:$D$11,"USD")</f>
        <v>0</v>
      </c>
      <c r="K247" s="18">
        <f t="shared" ca="1" si="13"/>
        <v>6.6990972110297443E-10</v>
      </c>
    </row>
    <row r="248" spans="1:11" x14ac:dyDescent="0.2">
      <c r="A248" s="45">
        <f t="shared" ca="1" si="14"/>
        <v>8.7088263743386713E-10</v>
      </c>
      <c r="B248" s="18">
        <f>-SUMIFS(Projetos!$F$2:$F$11,Projetos!$D$2:$D$11,"BRL",Projetos!$N$2:$N$11,Dados!$A248)</f>
        <v>0</v>
      </c>
      <c r="C248" s="45">
        <f ca="1">(A248+B248)*((Indicadores_Economicos!D$2+1)^(1/12)-1)</f>
        <v>2.8510431357935645E-12</v>
      </c>
      <c r="D248" s="18">
        <f>SUMIFS(Projetos!$G$2:$G$11,Projetos!$K$2:$K$11,"&lt;="&amp;Dados!$A248,Projetos!$N$2:$N$11,"&gt;"&amp;Dados!A248,Projetos!$D$2:$D$11,"BRL")</f>
        <v>0</v>
      </c>
      <c r="E248" s="18">
        <f t="shared" ca="1" si="12"/>
        <v>8.7373368056966067E-10</v>
      </c>
      <c r="G248" s="45">
        <f t="shared" ca="1" si="15"/>
        <v>6.6990972110297443E-10</v>
      </c>
      <c r="H248" s="18">
        <f>-SUMIFS(Projetos!$F$2:$F$11,Projetos!$D$2:$D$11,"USD",Projetos!$N$2:$N$11,Dados!$A248)</f>
        <v>0</v>
      </c>
      <c r="I248" s="45">
        <f ca="1">(G248+H248)*((Indicadores_Economicos!D$2+1)^(1/12)-1)</f>
        <v>2.1931101044565872E-12</v>
      </c>
      <c r="J248" s="18">
        <f>SUMIFS(Projetos!$G$2:$G$11,Projetos!$K$2:$K$11,"&lt;="&amp;Dados!$A248,Projetos!$N$2:$N$11,"&gt;"&amp;Dados!$A248,Projetos!$D$2:$D$11,"USD")</f>
        <v>0</v>
      </c>
      <c r="K248" s="18">
        <f t="shared" ca="1" si="13"/>
        <v>6.7210283120743097E-10</v>
      </c>
    </row>
    <row r="249" spans="1:11" x14ac:dyDescent="0.2">
      <c r="A249" s="45">
        <f t="shared" ca="1" si="14"/>
        <v>8.7373368056966067E-10</v>
      </c>
      <c r="B249" s="18">
        <f>-SUMIFS(Projetos!$F$2:$F$11,Projetos!$D$2:$D$11,"BRL",Projetos!$N$2:$N$11,Dados!$A249)</f>
        <v>0</v>
      </c>
      <c r="C249" s="45">
        <f ca="1">(A249+B249)*((Indicadores_Economicos!D$2+1)^(1/12)-1)</f>
        <v>2.8603767091279769E-12</v>
      </c>
      <c r="D249" s="18">
        <f>SUMIFS(Projetos!$G$2:$G$11,Projetos!$K$2:$K$11,"&lt;="&amp;Dados!$A249,Projetos!$N$2:$N$11,"&gt;"&amp;Dados!A249,Projetos!$D$2:$D$11,"BRL")</f>
        <v>0</v>
      </c>
      <c r="E249" s="18">
        <f t="shared" ca="1" si="12"/>
        <v>8.7659405727878864E-10</v>
      </c>
      <c r="G249" s="45">
        <f t="shared" ca="1" si="15"/>
        <v>6.7210283120743097E-10</v>
      </c>
      <c r="H249" s="18">
        <f>-SUMIFS(Projetos!$F$2:$F$11,Projetos!$D$2:$D$11,"USD",Projetos!$N$2:$N$11,Dados!$A249)</f>
        <v>0</v>
      </c>
      <c r="I249" s="45">
        <f ca="1">(G249+H249)*((Indicadores_Economicos!D$2+1)^(1/12)-1)</f>
        <v>2.2002897762522888E-12</v>
      </c>
      <c r="J249" s="18">
        <f>SUMIFS(Projetos!$G$2:$G$11,Projetos!$K$2:$K$11,"&lt;="&amp;Dados!$A249,Projetos!$N$2:$N$11,"&gt;"&amp;Dados!$A249,Projetos!$D$2:$D$11,"USD")</f>
        <v>0</v>
      </c>
      <c r="K249" s="18">
        <f t="shared" ca="1" si="13"/>
        <v>6.7430312098368327E-10</v>
      </c>
    </row>
    <row r="250" spans="1:11" x14ac:dyDescent="0.2">
      <c r="A250" s="45">
        <f t="shared" ca="1" si="14"/>
        <v>8.7659405727878864E-10</v>
      </c>
      <c r="B250" s="18">
        <f>-SUMIFS(Projetos!$F$2:$F$11,Projetos!$D$2:$D$11,"BRL",Projetos!$N$2:$N$11,Dados!$A250)</f>
        <v>0</v>
      </c>
      <c r="C250" s="45">
        <f ca="1">(A250+B250)*((Indicadores_Economicos!D$2+1)^(1/12)-1)</f>
        <v>2.8697408381527242E-12</v>
      </c>
      <c r="D250" s="18">
        <f>SUMIFS(Projetos!$G$2:$G$11,Projetos!$K$2:$K$11,"&lt;="&amp;Dados!$A250,Projetos!$N$2:$N$11,"&gt;"&amp;Dados!A250,Projetos!$D$2:$D$11,"BRL")</f>
        <v>0</v>
      </c>
      <c r="E250" s="18">
        <f t="shared" ca="1" si="12"/>
        <v>8.7946379811694138E-10</v>
      </c>
      <c r="G250" s="45">
        <f t="shared" ca="1" si="15"/>
        <v>6.7430312098368327E-10</v>
      </c>
      <c r="H250" s="18">
        <f>-SUMIFS(Projetos!$F$2:$F$11,Projetos!$D$2:$D$11,"USD",Projetos!$N$2:$N$11,Dados!$A250)</f>
        <v>0</v>
      </c>
      <c r="I250" s="45">
        <f ca="1">(G250+H250)*((Indicadores_Economicos!D$2+1)^(1/12)-1)</f>
        <v>2.2074929524251716E-12</v>
      </c>
      <c r="J250" s="18">
        <f>SUMIFS(Projetos!$G$2:$G$11,Projetos!$K$2:$K$11,"&lt;="&amp;Dados!$A250,Projetos!$N$2:$N$11,"&gt;"&amp;Dados!$A250,Projetos!$D$2:$D$11,"USD")</f>
        <v>0</v>
      </c>
      <c r="K250" s="18">
        <f t="shared" ca="1" si="13"/>
        <v>6.7651061393610844E-10</v>
      </c>
    </row>
    <row r="251" spans="1:11" x14ac:dyDescent="0.2">
      <c r="A251" s="45">
        <f t="shared" ca="1" si="14"/>
        <v>8.7946379811694138E-10</v>
      </c>
      <c r="B251" s="18">
        <f>-SUMIFS(Projetos!$F$2:$F$11,Projetos!$D$2:$D$11,"BRL",Projetos!$N$2:$N$11,Dados!$A251)</f>
        <v>0</v>
      </c>
      <c r="C251" s="45">
        <f ca="1">(A251+B251)*((Indicadores_Economicos!D$2+1)^(1/12)-1)</f>
        <v>2.8791356228991859E-12</v>
      </c>
      <c r="D251" s="18">
        <f>SUMIFS(Projetos!$G$2:$G$11,Projetos!$K$2:$K$11,"&lt;="&amp;Dados!$A251,Projetos!$N$2:$N$11,"&gt;"&amp;Dados!A251,Projetos!$D$2:$D$11,"BRL")</f>
        <v>0</v>
      </c>
      <c r="E251" s="18">
        <f t="shared" ca="1" si="12"/>
        <v>8.8234293373984061E-10</v>
      </c>
      <c r="G251" s="45">
        <f t="shared" ca="1" si="15"/>
        <v>6.7651061393610844E-10</v>
      </c>
      <c r="H251" s="18">
        <f>-SUMIFS(Projetos!$F$2:$F$11,Projetos!$D$2:$D$11,"USD",Projetos!$N$2:$N$11,Dados!$A251)</f>
        <v>0</v>
      </c>
      <c r="I251" s="45">
        <f ca="1">(G251+H251)*((Indicadores_Economicos!D$2+1)^(1/12)-1)</f>
        <v>2.2147197099224494E-12</v>
      </c>
      <c r="J251" s="18">
        <f>SUMIFS(Projetos!$G$2:$G$11,Projetos!$K$2:$K$11,"&lt;="&amp;Dados!$A251,Projetos!$N$2:$N$11,"&gt;"&amp;Dados!$A251,Projetos!$D$2:$D$11,"USD")</f>
        <v>0</v>
      </c>
      <c r="K251" s="18">
        <f t="shared" ca="1" si="13"/>
        <v>6.7872533364603086E-10</v>
      </c>
    </row>
    <row r="252" spans="1:11" x14ac:dyDescent="0.2">
      <c r="A252" s="45">
        <f t="shared" ca="1" si="14"/>
        <v>8.8234293373984061E-10</v>
      </c>
      <c r="B252" s="18">
        <f>-SUMIFS(Projetos!$F$2:$F$11,Projetos!$D$2:$D$11,"BRL",Projetos!$N$2:$N$11,Dados!$A252)</f>
        <v>0</v>
      </c>
      <c r="C252" s="45">
        <f ca="1">(A252+B252)*((Indicadores_Economicos!D$2+1)^(1/12)-1)</f>
        <v>2.8885611637262171E-12</v>
      </c>
      <c r="D252" s="18">
        <f>SUMIFS(Projetos!$G$2:$G$11,Projetos!$K$2:$K$11,"&lt;="&amp;Dados!$A252,Projetos!$N$2:$N$11,"&gt;"&amp;Dados!A252,Projetos!$D$2:$D$11,"BRL")</f>
        <v>0</v>
      </c>
      <c r="E252" s="18">
        <f t="shared" ca="1" si="12"/>
        <v>8.8523149490356686E-10</v>
      </c>
      <c r="G252" s="45">
        <f t="shared" ca="1" si="15"/>
        <v>6.7872533364603086E-10</v>
      </c>
      <c r="H252" s="18">
        <f>-SUMIFS(Projetos!$F$2:$F$11,Projetos!$D$2:$D$11,"USD",Projetos!$N$2:$N$11,Dados!$A252)</f>
        <v>0</v>
      </c>
      <c r="I252" s="45">
        <f ca="1">(G252+H252)*((Indicadores_Economicos!D$2+1)^(1/12)-1)</f>
        <v>2.2219701259432425E-12</v>
      </c>
      <c r="J252" s="18">
        <f>SUMIFS(Projetos!$G$2:$G$11,Projetos!$K$2:$K$11,"&lt;="&amp;Dados!$A252,Projetos!$N$2:$N$11,"&gt;"&amp;Dados!$A252,Projetos!$D$2:$D$11,"USD")</f>
        <v>0</v>
      </c>
      <c r="K252" s="18">
        <f t="shared" ca="1" si="13"/>
        <v>6.8094730377197407E-10</v>
      </c>
    </row>
    <row r="253" spans="1:11" x14ac:dyDescent="0.2">
      <c r="A253" s="45">
        <f t="shared" ca="1" si="14"/>
        <v>8.8523149490356686E-10</v>
      </c>
      <c r="B253" s="18">
        <f>-SUMIFS(Projetos!$F$2:$F$11,Projetos!$D$2:$D$11,"BRL",Projetos!$N$2:$N$11,Dados!$A253)</f>
        <v>0</v>
      </c>
      <c r="C253" s="45">
        <f ca="1">(A253+B253)*((Indicadores_Economicos!D$2+1)^(1/12)-1)</f>
        <v>2.8980175613212224E-12</v>
      </c>
      <c r="D253" s="18">
        <f>SUMIFS(Projetos!$G$2:$G$11,Projetos!$K$2:$K$11,"&lt;="&amp;Dados!$A253,Projetos!$N$2:$N$11,"&gt;"&amp;Dados!A253,Projetos!$D$2:$D$11,"BRL")</f>
        <v>0</v>
      </c>
      <c r="E253" s="18">
        <f t="shared" ca="1" si="12"/>
        <v>8.8812951246488811E-10</v>
      </c>
      <c r="G253" s="45">
        <f t="shared" ca="1" si="15"/>
        <v>6.8094730377197407E-10</v>
      </c>
      <c r="H253" s="18">
        <f>-SUMIFS(Projetos!$F$2:$F$11,Projetos!$D$2:$D$11,"USD",Projetos!$N$2:$N$11,Dados!$A253)</f>
        <v>0</v>
      </c>
      <c r="I253" s="45">
        <f ca="1">(G253+H253)*((Indicadores_Economicos!D$2+1)^(1/12)-1)</f>
        <v>2.2292442779394004E-12</v>
      </c>
      <c r="J253" s="18">
        <f>SUMIFS(Projetos!$G$2:$G$11,Projetos!$K$2:$K$11,"&lt;="&amp;Dados!$A253,Projetos!$N$2:$N$11,"&gt;"&amp;Dados!$A253,Projetos!$D$2:$D$11,"USD")</f>
        <v>0</v>
      </c>
      <c r="K253" s="18">
        <f t="shared" ca="1" si="13"/>
        <v>6.8317654804991348E-10</v>
      </c>
    </row>
    <row r="254" spans="1:11" x14ac:dyDescent="0.2">
      <c r="A254" s="45">
        <f t="shared" ca="1" si="14"/>
        <v>8.8812951246488811E-10</v>
      </c>
      <c r="B254" s="18">
        <f>-SUMIFS(Projetos!$F$2:$F$11,Projetos!$D$2:$D$11,"BRL",Projetos!$N$2:$N$11,Dados!$A254)</f>
        <v>0</v>
      </c>
      <c r="C254" s="45">
        <f ca="1">(A254+B254)*((Indicadores_Economicos!D$2+1)^(1/12)-1)</f>
        <v>2.9075049167012308E-12</v>
      </c>
      <c r="D254" s="18">
        <f>SUMIFS(Projetos!$G$2:$G$11,Projetos!$K$2:$K$11,"&lt;="&amp;Dados!$A254,Projetos!$N$2:$N$11,"&gt;"&amp;Dados!A254,Projetos!$D$2:$D$11,"BRL")</f>
        <v>0</v>
      </c>
      <c r="E254" s="18">
        <f t="shared" ca="1" si="12"/>
        <v>8.9103701738158936E-10</v>
      </c>
      <c r="G254" s="45">
        <f t="shared" ca="1" si="15"/>
        <v>6.8317654804991348E-10</v>
      </c>
      <c r="H254" s="18">
        <f>-SUMIFS(Projetos!$F$2:$F$11,Projetos!$D$2:$D$11,"USD",Projetos!$N$2:$N$11,Dados!$A254)</f>
        <v>0</v>
      </c>
      <c r="I254" s="45">
        <f ca="1">(G254+H254)*((Indicadores_Economicos!D$2+1)^(1/12)-1)</f>
        <v>2.2365422436163299E-12</v>
      </c>
      <c r="J254" s="18">
        <f>SUMIFS(Projetos!$G$2:$G$11,Projetos!$K$2:$K$11,"&lt;="&amp;Dados!$A254,Projetos!$N$2:$N$11,"&gt;"&amp;Dados!$A254,Projetos!$D$2:$D$11,"USD")</f>
        <v>0</v>
      </c>
      <c r="K254" s="18">
        <f t="shared" ca="1" si="13"/>
        <v>6.8541309029352982E-10</v>
      </c>
    </row>
    <row r="255" spans="1:11" x14ac:dyDescent="0.2">
      <c r="A255" s="45">
        <f t="shared" ca="1" si="14"/>
        <v>8.9103701738158936E-10</v>
      </c>
      <c r="B255" s="18">
        <f>-SUMIFS(Projetos!$F$2:$F$11,Projetos!$D$2:$D$11,"BRL",Projetos!$N$2:$N$11,Dados!$A255)</f>
        <v>0</v>
      </c>
      <c r="C255" s="45">
        <f ca="1">(A255+B255)*((Indicadores_Economicos!D$2+1)^(1/12)-1)</f>
        <v>2.9170233312139746E-12</v>
      </c>
      <c r="D255" s="18">
        <f>SUMIFS(Projetos!$G$2:$G$11,Projetos!$K$2:$K$11,"&lt;="&amp;Dados!$A255,Projetos!$N$2:$N$11,"&gt;"&amp;Dados!A255,Projetos!$D$2:$D$11,"BRL")</f>
        <v>0</v>
      </c>
      <c r="E255" s="18">
        <f t="shared" ca="1" si="12"/>
        <v>8.9395404071280336E-10</v>
      </c>
      <c r="G255" s="45">
        <f t="shared" ca="1" si="15"/>
        <v>6.8541309029352982E-10</v>
      </c>
      <c r="H255" s="18">
        <f>-SUMIFS(Projetos!$F$2:$F$11,Projetos!$D$2:$D$11,"USD",Projetos!$N$2:$N$11,Dados!$A255)</f>
        <v>0</v>
      </c>
      <c r="I255" s="45">
        <f ca="1">(G255+H255)*((Indicadores_Economicos!D$2+1)^(1/12)-1)</f>
        <v>2.2438641009338252E-12</v>
      </c>
      <c r="J255" s="18">
        <f>SUMIFS(Projetos!$G$2:$G$11,Projetos!$K$2:$K$11,"&lt;="&amp;Dados!$A255,Projetos!$N$2:$N$11,"&gt;"&amp;Dados!$A255,Projetos!$D$2:$D$11,"USD")</f>
        <v>0</v>
      </c>
      <c r="K255" s="18">
        <f t="shared" ca="1" si="13"/>
        <v>6.8765695439446363E-10</v>
      </c>
    </row>
    <row r="256" spans="1:11" x14ac:dyDescent="0.2">
      <c r="A256" s="45">
        <f t="shared" ca="1" si="14"/>
        <v>8.9395404071280336E-10</v>
      </c>
      <c r="B256" s="18">
        <f>-SUMIFS(Projetos!$F$2:$F$11,Projetos!$D$2:$D$11,"BRL",Projetos!$N$2:$N$11,Dados!$A256)</f>
        <v>0</v>
      </c>
      <c r="C256" s="45">
        <f ca="1">(A256+B256)*((Indicadores_Economicos!D$2+1)^(1/12)-1)</f>
        <v>2.9265729065389724E-12</v>
      </c>
      <c r="D256" s="18">
        <f>SUMIFS(Projetos!$G$2:$G$11,Projetos!$K$2:$K$11,"&lt;="&amp;Dados!$A256,Projetos!$N$2:$N$11,"&gt;"&amp;Dados!A256,Projetos!$D$2:$D$11,"BRL")</f>
        <v>0</v>
      </c>
      <c r="E256" s="18">
        <f t="shared" ca="1" si="12"/>
        <v>8.9688061361934235E-10</v>
      </c>
      <c r="G256" s="45">
        <f t="shared" ca="1" si="15"/>
        <v>6.8765695439446363E-10</v>
      </c>
      <c r="H256" s="18">
        <f>-SUMIFS(Projetos!$F$2:$F$11,Projetos!$D$2:$D$11,"USD",Projetos!$N$2:$N$11,Dados!$A256)</f>
        <v>0</v>
      </c>
      <c r="I256" s="45">
        <f ca="1">(G256+H256)*((Indicadores_Economicos!D$2+1)^(1/12)-1)</f>
        <v>2.2512099281069001E-12</v>
      </c>
      <c r="J256" s="18">
        <f>SUMIFS(Projetos!$G$2:$G$11,Projetos!$K$2:$K$11,"&lt;="&amp;Dados!$A256,Projetos!$N$2:$N$11,"&gt;"&amp;Dados!$A256,Projetos!$D$2:$D$11,"USD")</f>
        <v>0</v>
      </c>
      <c r="K256" s="18">
        <f t="shared" ca="1" si="13"/>
        <v>6.8990816432257056E-10</v>
      </c>
    </row>
    <row r="257" spans="1:11" x14ac:dyDescent="0.2">
      <c r="A257" s="45">
        <f t="shared" ca="1" si="14"/>
        <v>8.9688061361934235E-10</v>
      </c>
      <c r="B257" s="18">
        <f>-SUMIFS(Projetos!$F$2:$F$11,Projetos!$D$2:$D$11,"BRL",Projetos!$N$2:$N$11,Dados!$A257)</f>
        <v>0</v>
      </c>
      <c r="C257" s="45">
        <f ca="1">(A257+B257)*((Indicadores_Economicos!D$2+1)^(1/12)-1)</f>
        <v>2.9361537446886146E-12</v>
      </c>
      <c r="D257" s="18">
        <f>SUMIFS(Projetos!$G$2:$G$11,Projetos!$K$2:$K$11,"&lt;="&amp;Dados!$A257,Projetos!$N$2:$N$11,"&gt;"&amp;Dados!A257,Projetos!$D$2:$D$11,"BRL")</f>
        <v>0</v>
      </c>
      <c r="E257" s="18">
        <f t="shared" ca="1" si="12"/>
        <v>8.9981676736403097E-10</v>
      </c>
      <c r="G257" s="45">
        <f t="shared" ca="1" si="15"/>
        <v>6.8990816432257056E-10</v>
      </c>
      <c r="H257" s="18">
        <f>-SUMIFS(Projetos!$F$2:$F$11,Projetos!$D$2:$D$11,"USD",Projetos!$N$2:$N$11,Dados!$A257)</f>
        <v>0</v>
      </c>
      <c r="I257" s="45">
        <f ca="1">(G257+H257)*((Indicadores_Economicos!D$2+1)^(1/12)-1)</f>
        <v>2.2585798036066251E-12</v>
      </c>
      <c r="J257" s="18">
        <f>SUMIFS(Projetos!$G$2:$G$11,Projetos!$K$2:$K$11,"&lt;="&amp;Dados!$A257,Projetos!$N$2:$N$11,"&gt;"&amp;Dados!$A257,Projetos!$D$2:$D$11,"USD")</f>
        <v>0</v>
      </c>
      <c r="K257" s="18">
        <f t="shared" ca="1" si="13"/>
        <v>6.9216674412617713E-10</v>
      </c>
    </row>
    <row r="258" spans="1:11" x14ac:dyDescent="0.2">
      <c r="A258" s="45">
        <f t="shared" ca="1" si="14"/>
        <v>8.9981676736403097E-10</v>
      </c>
      <c r="B258" s="18">
        <f>-SUMIFS(Projetos!$F$2:$F$11,Projetos!$D$2:$D$11,"BRL",Projetos!$N$2:$N$11,Dados!$A258)</f>
        <v>0</v>
      </c>
      <c r="C258" s="45">
        <f ca="1">(A258+B258)*((Indicadores_Economicos!D$2+1)^(1/12)-1)</f>
        <v>2.9457659480092541E-12</v>
      </c>
      <c r="D258" s="18">
        <f>SUMIFS(Projetos!$G$2:$G$11,Projetos!$K$2:$K$11,"&lt;="&amp;Dados!$A258,Projetos!$N$2:$N$11,"&gt;"&amp;Dados!A258,Projetos!$D$2:$D$11,"BRL")</f>
        <v>0</v>
      </c>
      <c r="E258" s="18">
        <f t="shared" ref="E258:E321" ca="1" si="16">A258+B258+C258+D258</f>
        <v>9.0276253331204026E-10</v>
      </c>
      <c r="G258" s="45">
        <f t="shared" ca="1" si="15"/>
        <v>6.9216674412617713E-10</v>
      </c>
      <c r="H258" s="18">
        <f>-SUMIFS(Projetos!$F$2:$F$11,Projetos!$D$2:$D$11,"USD",Projetos!$N$2:$N$11,Dados!$A258)</f>
        <v>0</v>
      </c>
      <c r="I258" s="45">
        <f ca="1">(G258+H258)*((Indicadores_Economicos!D$2+1)^(1/12)-1)</f>
        <v>2.2659738061609628E-12</v>
      </c>
      <c r="J258" s="18">
        <f>SUMIFS(Projetos!$G$2:$G$11,Projetos!$K$2:$K$11,"&lt;="&amp;Dados!$A258,Projetos!$N$2:$N$11,"&gt;"&amp;Dados!$A258,Projetos!$D$2:$D$11,"USD")</f>
        <v>0</v>
      </c>
      <c r="K258" s="18">
        <f t="shared" ref="K258:K321" ca="1" si="17">G258+H258+I258+J258</f>
        <v>6.9443271793233805E-10</v>
      </c>
    </row>
    <row r="259" spans="1:11" x14ac:dyDescent="0.2">
      <c r="A259" s="45">
        <f t="shared" ca="1" si="14"/>
        <v>9.0276253331204026E-10</v>
      </c>
      <c r="B259" s="18">
        <f>-SUMIFS(Projetos!$F$2:$F$11,Projetos!$D$2:$D$11,"BRL",Projetos!$N$2:$N$11,Dados!$A259)</f>
        <v>0</v>
      </c>
      <c r="C259" s="45">
        <f ca="1">(A259+B259)*((Indicadores_Economicos!D$2+1)^(1/12)-1)</f>
        <v>2.955409619182299E-12</v>
      </c>
      <c r="D259" s="18">
        <f>SUMIFS(Projetos!$G$2:$G$11,Projetos!$K$2:$K$11,"&lt;="&amp;Dados!$A259,Projetos!$N$2:$N$11,"&gt;"&amp;Dados!A259,Projetos!$D$2:$D$11,"BRL")</f>
        <v>0</v>
      </c>
      <c r="E259" s="18">
        <f t="shared" ca="1" si="16"/>
        <v>9.0571794293122253E-10</v>
      </c>
      <c r="G259" s="45">
        <f t="shared" ca="1" si="15"/>
        <v>6.9443271793233805E-10</v>
      </c>
      <c r="H259" s="18">
        <f>-SUMIFS(Projetos!$F$2:$F$11,Projetos!$D$2:$D$11,"USD",Projetos!$N$2:$N$11,Dados!$A259)</f>
        <v>0</v>
      </c>
      <c r="I259" s="45">
        <f ca="1">(G259+H259)*((Indicadores_Economicos!D$2+1)^(1/12)-1)</f>
        <v>2.2733920147556127E-12</v>
      </c>
      <c r="J259" s="18">
        <f>SUMIFS(Projetos!$G$2:$G$11,Projetos!$K$2:$K$11,"&lt;="&amp;Dados!$A259,Projetos!$N$2:$N$11,"&gt;"&amp;Dados!$A259,Projetos!$D$2:$D$11,"USD")</f>
        <v>0</v>
      </c>
      <c r="K259" s="18">
        <f t="shared" ca="1" si="17"/>
        <v>6.9670610994709364E-10</v>
      </c>
    </row>
    <row r="260" spans="1:11" x14ac:dyDescent="0.2">
      <c r="A260" s="45">
        <f t="shared" ref="A260:A323" ca="1" si="18">E259</f>
        <v>9.0571794293122253E-10</v>
      </c>
      <c r="B260" s="18">
        <f>-SUMIFS(Projetos!$F$2:$F$11,Projetos!$D$2:$D$11,"BRL",Projetos!$N$2:$N$11,Dados!$A260)</f>
        <v>0</v>
      </c>
      <c r="C260" s="45">
        <f ca="1">(A260+B260)*((Indicadores_Economicos!D$2+1)^(1/12)-1)</f>
        <v>2.9650848612253091E-12</v>
      </c>
      <c r="D260" s="18">
        <f>SUMIFS(Projetos!$G$2:$G$11,Projetos!$K$2:$K$11,"&lt;="&amp;Dados!$A260,Projetos!$N$2:$N$11,"&gt;"&amp;Dados!A260,Projetos!$D$2:$D$11,"BRL")</f>
        <v>0</v>
      </c>
      <c r="E260" s="18">
        <f t="shared" ca="1" si="16"/>
        <v>9.0868302779244785E-10</v>
      </c>
      <c r="G260" s="45">
        <f t="shared" ref="G260:G323" ca="1" si="19">K259</f>
        <v>6.9670610994709364E-10</v>
      </c>
      <c r="H260" s="18">
        <f>-SUMIFS(Projetos!$F$2:$F$11,Projetos!$D$2:$D$11,"USD",Projetos!$N$2:$N$11,Dados!$A260)</f>
        <v>0</v>
      </c>
      <c r="I260" s="45">
        <f ca="1">(G260+H260)*((Indicadores_Economicos!D$2+1)^(1/12)-1)</f>
        <v>2.2808345086348514E-12</v>
      </c>
      <c r="J260" s="18">
        <f>SUMIFS(Projetos!$G$2:$G$11,Projetos!$K$2:$K$11,"&lt;="&amp;Dados!$A260,Projetos!$N$2:$N$11,"&gt;"&amp;Dados!$A260,Projetos!$D$2:$D$11,"USD")</f>
        <v>0</v>
      </c>
      <c r="K260" s="18">
        <f t="shared" ca="1" si="17"/>
        <v>6.9898694445572852E-10</v>
      </c>
    </row>
    <row r="261" spans="1:11" x14ac:dyDescent="0.2">
      <c r="A261" s="45">
        <f t="shared" ca="1" si="18"/>
        <v>9.0868302779244785E-10</v>
      </c>
      <c r="B261" s="18">
        <f>-SUMIFS(Projetos!$F$2:$F$11,Projetos!$D$2:$D$11,"BRL",Projetos!$N$2:$N$11,Dados!$A261)</f>
        <v>0</v>
      </c>
      <c r="C261" s="45">
        <f ca="1">(A261+B261)*((Indicadores_Economicos!D$2+1)^(1/12)-1)</f>
        <v>2.9747917774930984E-12</v>
      </c>
      <c r="D261" s="18">
        <f>SUMIFS(Projetos!$G$2:$G$11,Projetos!$K$2:$K$11,"&lt;="&amp;Dados!$A261,Projetos!$N$2:$N$11,"&gt;"&amp;Dados!A261,Projetos!$D$2:$D$11,"BRL")</f>
        <v>0</v>
      </c>
      <c r="E261" s="18">
        <f t="shared" ca="1" si="16"/>
        <v>9.1165781956994098E-10</v>
      </c>
      <c r="G261" s="45">
        <f t="shared" ca="1" si="19"/>
        <v>6.9898694445572852E-10</v>
      </c>
      <c r="H261" s="18">
        <f>-SUMIFS(Projetos!$F$2:$F$11,Projetos!$D$2:$D$11,"USD",Projetos!$N$2:$N$11,Dados!$A261)</f>
        <v>0</v>
      </c>
      <c r="I261" s="45">
        <f ca="1">(G261+H261)*((Indicadores_Economicos!D$2+1)^(1/12)-1)</f>
        <v>2.2883013673023815E-12</v>
      </c>
      <c r="J261" s="18">
        <f>SUMIFS(Projetos!$G$2:$G$11,Projetos!$K$2:$K$11,"&lt;="&amp;Dados!$A261,Projetos!$N$2:$N$11,"&gt;"&amp;Dados!$A261,Projetos!$D$2:$D$11,"USD")</f>
        <v>0</v>
      </c>
      <c r="K261" s="18">
        <f t="shared" ca="1" si="17"/>
        <v>7.0127524582303085E-10</v>
      </c>
    </row>
    <row r="262" spans="1:11" x14ac:dyDescent="0.2">
      <c r="A262" s="45">
        <f t="shared" ca="1" si="18"/>
        <v>9.1165781956994098E-10</v>
      </c>
      <c r="B262" s="18">
        <f>-SUMIFS(Projetos!$F$2:$F$11,Projetos!$D$2:$D$11,"BRL",Projetos!$N$2:$N$11,Dados!$A262)</f>
        <v>0</v>
      </c>
      <c r="C262" s="45">
        <f ca="1">(A262+B262)*((Indicadores_Economicos!D$2+1)^(1/12)-1)</f>
        <v>2.9845304716788358E-12</v>
      </c>
      <c r="D262" s="18">
        <f>SUMIFS(Projetos!$G$2:$G$11,Projetos!$K$2:$K$11,"&lt;="&amp;Dados!$A262,Projetos!$N$2:$N$11,"&gt;"&amp;Dados!A262,Projetos!$D$2:$D$11,"BRL")</f>
        <v>0</v>
      </c>
      <c r="E262" s="18">
        <f t="shared" ca="1" si="16"/>
        <v>9.1464235004161978E-10</v>
      </c>
      <c r="G262" s="45">
        <f t="shared" ca="1" si="19"/>
        <v>7.0127524582303085E-10</v>
      </c>
      <c r="H262" s="18">
        <f>-SUMIFS(Projetos!$F$2:$F$11,Projetos!$D$2:$D$11,"USD",Projetos!$N$2:$N$11,Dados!$A262)</f>
        <v>0</v>
      </c>
      <c r="I262" s="45">
        <f ca="1">(G262+H262)*((Indicadores_Economicos!D$2+1)^(1/12)-1)</f>
        <v>2.2957926705221791E-12</v>
      </c>
      <c r="J262" s="18">
        <f>SUMIFS(Projetos!$G$2:$G$11,Projetos!$K$2:$K$11,"&lt;="&amp;Dados!$A262,Projetos!$N$2:$N$11,"&gt;"&amp;Dados!$A262,Projetos!$D$2:$D$11,"USD")</f>
        <v>0</v>
      </c>
      <c r="K262" s="18">
        <f t="shared" ca="1" si="17"/>
        <v>7.03571038493553E-10</v>
      </c>
    </row>
    <row r="263" spans="1:11" x14ac:dyDescent="0.2">
      <c r="A263" s="45">
        <f t="shared" ca="1" si="18"/>
        <v>9.1464235004161978E-10</v>
      </c>
      <c r="B263" s="18">
        <f>-SUMIFS(Projetos!$F$2:$F$11,Projetos!$D$2:$D$11,"BRL",Projetos!$N$2:$N$11,Dados!$A263)</f>
        <v>0</v>
      </c>
      <c r="C263" s="45">
        <f ca="1">(A263+B263)*((Indicadores_Economicos!D$2+1)^(1/12)-1)</f>
        <v>2.9943010478151556E-12</v>
      </c>
      <c r="D263" s="18">
        <f>SUMIFS(Projetos!$G$2:$G$11,Projetos!$K$2:$K$11,"&lt;="&amp;Dados!$A263,Projetos!$N$2:$N$11,"&gt;"&amp;Dados!A263,Projetos!$D$2:$D$11,"BRL")</f>
        <v>0</v>
      </c>
      <c r="E263" s="18">
        <f t="shared" ca="1" si="16"/>
        <v>9.1763665108943493E-10</v>
      </c>
      <c r="G263" s="45">
        <f t="shared" ca="1" si="19"/>
        <v>7.03571038493553E-10</v>
      </c>
      <c r="H263" s="18">
        <f>-SUMIFS(Projetos!$F$2:$F$11,Projetos!$D$2:$D$11,"USD",Projetos!$N$2:$N$11,Dados!$A263)</f>
        <v>0</v>
      </c>
      <c r="I263" s="45">
        <f ca="1">(G263+H263)*((Indicadores_Economicos!D$2+1)^(1/12)-1)</f>
        <v>2.3033084983193485E-12</v>
      </c>
      <c r="J263" s="18">
        <f>SUMIFS(Projetos!$G$2:$G$11,Projetos!$K$2:$K$11,"&lt;="&amp;Dados!$A263,Projetos!$N$2:$N$11,"&gt;"&amp;Dados!$A263,Projetos!$D$2:$D$11,"USD")</f>
        <v>0</v>
      </c>
      <c r="K263" s="18">
        <f t="shared" ca="1" si="17"/>
        <v>7.058743469918723E-10</v>
      </c>
    </row>
    <row r="264" spans="1:11" x14ac:dyDescent="0.2">
      <c r="A264" s="45">
        <f t="shared" ca="1" si="18"/>
        <v>9.1763665108943493E-10</v>
      </c>
      <c r="B264" s="18">
        <f>-SUMIFS(Projetos!$F$2:$F$11,Projetos!$D$2:$D$11,"BRL",Projetos!$N$2:$N$11,Dados!$A264)</f>
        <v>0</v>
      </c>
      <c r="C264" s="45">
        <f ca="1">(A264+B264)*((Indicadores_Economicos!D$2+1)^(1/12)-1)</f>
        <v>3.004103610275268E-12</v>
      </c>
      <c r="D264" s="18">
        <f>SUMIFS(Projetos!$G$2:$G$11,Projetos!$K$2:$K$11,"&lt;="&amp;Dados!$A264,Projetos!$N$2:$N$11,"&gt;"&amp;Dados!A264,Projetos!$D$2:$D$11,"BRL")</f>
        <v>0</v>
      </c>
      <c r="E264" s="18">
        <f t="shared" ca="1" si="16"/>
        <v>9.2064075469971016E-10</v>
      </c>
      <c r="G264" s="45">
        <f t="shared" ca="1" si="19"/>
        <v>7.058743469918723E-10</v>
      </c>
      <c r="H264" s="18">
        <f>-SUMIFS(Projetos!$F$2:$F$11,Projetos!$D$2:$D$11,"USD",Projetos!$N$2:$N$11,Dados!$A264)</f>
        <v>0</v>
      </c>
      <c r="I264" s="45">
        <f ca="1">(G264+H264)*((Indicadores_Economicos!D$2+1)^(1/12)-1)</f>
        <v>2.3108489309809728E-12</v>
      </c>
      <c r="J264" s="18">
        <f>SUMIFS(Projetos!$G$2:$G$11,Projetos!$K$2:$K$11,"&lt;="&amp;Dados!$A264,Projetos!$N$2:$N$11,"&gt;"&amp;Dados!$A264,Projetos!$D$2:$D$11,"USD")</f>
        <v>0</v>
      </c>
      <c r="K264" s="18">
        <f t="shared" ca="1" si="17"/>
        <v>7.0818519592285326E-10</v>
      </c>
    </row>
    <row r="265" spans="1:11" x14ac:dyDescent="0.2">
      <c r="A265" s="45">
        <f t="shared" ca="1" si="18"/>
        <v>9.2064075469971016E-10</v>
      </c>
      <c r="B265" s="18">
        <f>-SUMIFS(Projetos!$F$2:$F$11,Projetos!$D$2:$D$11,"BRL",Projetos!$N$2:$N$11,Dados!$A265)</f>
        <v>0</v>
      </c>
      <c r="C265" s="45">
        <f ca="1">(A265+B265)*((Indicadores_Economicos!D$2+1)^(1/12)-1)</f>
        <v>3.0139382637740732E-12</v>
      </c>
      <c r="D265" s="18">
        <f>SUMIFS(Projetos!$G$2:$G$11,Projetos!$K$2:$K$11,"&lt;="&amp;Dados!$A265,Projetos!$N$2:$N$11,"&gt;"&amp;Dados!A265,Projetos!$D$2:$D$11,"BRL")</f>
        <v>0</v>
      </c>
      <c r="E265" s="18">
        <f t="shared" ca="1" si="16"/>
        <v>9.2365469296348427E-10</v>
      </c>
      <c r="G265" s="45">
        <f t="shared" ca="1" si="19"/>
        <v>7.0818519592285326E-10</v>
      </c>
      <c r="H265" s="18">
        <f>-SUMIFS(Projetos!$F$2:$F$11,Projetos!$D$2:$D$11,"USD",Projetos!$N$2:$N$11,Dados!$A265)</f>
        <v>0</v>
      </c>
      <c r="I265" s="45">
        <f ca="1">(G265+H265)*((Indicadores_Economicos!D$2+1)^(1/12)-1)</f>
        <v>2.3184140490569773E-12</v>
      </c>
      <c r="J265" s="18">
        <f>SUMIFS(Projetos!$G$2:$G$11,Projetos!$K$2:$K$11,"&lt;="&amp;Dados!$A265,Projetos!$N$2:$N$11,"&gt;"&amp;Dados!$A265,Projetos!$D$2:$D$11,"USD")</f>
        <v>0</v>
      </c>
      <c r="K265" s="18">
        <f t="shared" ca="1" si="17"/>
        <v>7.1050360997191022E-10</v>
      </c>
    </row>
    <row r="266" spans="1:11" x14ac:dyDescent="0.2">
      <c r="A266" s="45">
        <f t="shared" ca="1" si="18"/>
        <v>9.2365469296348427E-10</v>
      </c>
      <c r="B266" s="18">
        <f>-SUMIFS(Projetos!$F$2:$F$11,Projetos!$D$2:$D$11,"BRL",Projetos!$N$2:$N$11,Dados!$A266)</f>
        <v>0</v>
      </c>
      <c r="C266" s="45">
        <f ca="1">(A266+B266)*((Indicadores_Economicos!D$2+1)^(1/12)-1)</f>
        <v>3.0238051133692822E-12</v>
      </c>
      <c r="D266" s="18">
        <f>SUMIFS(Projetos!$G$2:$G$11,Projetos!$K$2:$K$11,"&lt;="&amp;Dados!$A266,Projetos!$N$2:$N$11,"&gt;"&amp;Dados!A266,Projetos!$D$2:$D$11,"BRL")</f>
        <v>0</v>
      </c>
      <c r="E266" s="18">
        <f t="shared" ca="1" si="16"/>
        <v>9.2667849807685356E-10</v>
      </c>
      <c r="G266" s="45">
        <f t="shared" ca="1" si="19"/>
        <v>7.1050360997191022E-10</v>
      </c>
      <c r="H266" s="18">
        <f>-SUMIFS(Projetos!$F$2:$F$11,Projetos!$D$2:$D$11,"USD",Projetos!$N$2:$N$11,Dados!$A266)</f>
        <v>0</v>
      </c>
      <c r="I266" s="45">
        <f ca="1">(G266+H266)*((Indicadores_Economicos!D$2+1)^(1/12)-1)</f>
        <v>2.3260039333609839E-12</v>
      </c>
      <c r="J266" s="18">
        <f>SUMIFS(Projetos!$G$2:$G$11,Projetos!$K$2:$K$11,"&lt;="&amp;Dados!$A266,Projetos!$N$2:$N$11,"&gt;"&amp;Dados!$A266,Projetos!$D$2:$D$11,"USD")</f>
        <v>0</v>
      </c>
      <c r="K266" s="18">
        <f t="shared" ca="1" si="17"/>
        <v>7.1282961390527118E-10</v>
      </c>
    </row>
    <row r="267" spans="1:11" x14ac:dyDescent="0.2">
      <c r="A267" s="45">
        <f t="shared" ca="1" si="18"/>
        <v>9.2667849807685356E-10</v>
      </c>
      <c r="B267" s="18">
        <f>-SUMIFS(Projetos!$F$2:$F$11,Projetos!$D$2:$D$11,"BRL",Projetos!$N$2:$N$11,Dados!$A267)</f>
        <v>0</v>
      </c>
      <c r="C267" s="45">
        <f ca="1">(A267+B267)*((Indicadores_Economicos!D$2+1)^(1/12)-1)</f>
        <v>3.0337042644625356E-12</v>
      </c>
      <c r="D267" s="18">
        <f>SUMIFS(Projetos!$G$2:$G$11,Projetos!$K$2:$K$11,"&lt;="&amp;Dados!$A267,Projetos!$N$2:$N$11,"&gt;"&amp;Dados!A267,Projetos!$D$2:$D$11,"BRL")</f>
        <v>0</v>
      </c>
      <c r="E267" s="18">
        <f t="shared" ca="1" si="16"/>
        <v>9.2971220234131608E-10</v>
      </c>
      <c r="G267" s="45">
        <f t="shared" ca="1" si="19"/>
        <v>7.1282961390527118E-10</v>
      </c>
      <c r="H267" s="18">
        <f>-SUMIFS(Projetos!$F$2:$F$11,Projetos!$D$2:$D$11,"USD",Projetos!$N$2:$N$11,Dados!$A267)</f>
        <v>0</v>
      </c>
      <c r="I267" s="45">
        <f ca="1">(G267+H267)*((Indicadores_Economicos!D$2+1)^(1/12)-1)</f>
        <v>2.3336186649711786E-12</v>
      </c>
      <c r="J267" s="18">
        <f>SUMIFS(Projetos!$G$2:$G$11,Projetos!$K$2:$K$11,"&lt;="&amp;Dados!$A267,Projetos!$N$2:$N$11,"&gt;"&amp;Dados!$A267,Projetos!$D$2:$D$11,"USD")</f>
        <v>0</v>
      </c>
      <c r="K267" s="18">
        <f t="shared" ca="1" si="17"/>
        <v>7.1516323257024233E-10</v>
      </c>
    </row>
    <row r="268" spans="1:11" x14ac:dyDescent="0.2">
      <c r="A268" s="45">
        <f t="shared" ca="1" si="18"/>
        <v>9.2971220234131608E-10</v>
      </c>
      <c r="B268" s="18">
        <f>-SUMIFS(Projetos!$F$2:$F$11,Projetos!$D$2:$D$11,"BRL",Projetos!$N$2:$N$11,Dados!$A268)</f>
        <v>0</v>
      </c>
      <c r="C268" s="45">
        <f ca="1">(A268+B268)*((Indicadores_Economicos!D$2+1)^(1/12)-1)</f>
        <v>3.0436358228005334E-12</v>
      </c>
      <c r="D268" s="18">
        <f>SUMIFS(Projetos!$G$2:$G$11,Projetos!$K$2:$K$11,"&lt;="&amp;Dados!$A268,Projetos!$N$2:$N$11,"&gt;"&amp;Dados!A268,Projetos!$D$2:$D$11,"BRL")</f>
        <v>0</v>
      </c>
      <c r="E268" s="18">
        <f t="shared" ca="1" si="16"/>
        <v>9.3275583816411654E-10</v>
      </c>
      <c r="G268" s="45">
        <f t="shared" ca="1" si="19"/>
        <v>7.1516323257024233E-10</v>
      </c>
      <c r="H268" s="18">
        <f>-SUMIFS(Projetos!$F$2:$F$11,Projetos!$D$2:$D$11,"USD",Projetos!$N$2:$N$11,Dados!$A268)</f>
        <v>0</v>
      </c>
      <c r="I268" s="45">
        <f ca="1">(G268+H268)*((Indicadores_Economicos!D$2+1)^(1/12)-1)</f>
        <v>2.3412583252311767E-12</v>
      </c>
      <c r="J268" s="18">
        <f>SUMIFS(Projetos!$G$2:$G$11,Projetos!$K$2:$K$11,"&lt;="&amp;Dados!$A268,Projetos!$N$2:$N$11,"&gt;"&amp;Dados!$A268,Projetos!$D$2:$D$11,"USD")</f>
        <v>0</v>
      </c>
      <c r="K268" s="18">
        <f t="shared" ca="1" si="17"/>
        <v>7.1750449089547347E-10</v>
      </c>
    </row>
    <row r="269" spans="1:11" x14ac:dyDescent="0.2">
      <c r="A269" s="45">
        <f t="shared" ca="1" si="18"/>
        <v>9.3275583816411654E-10</v>
      </c>
      <c r="B269" s="18">
        <f>-SUMIFS(Projetos!$F$2:$F$11,Projetos!$D$2:$D$11,"BRL",Projetos!$N$2:$N$11,Dados!$A269)</f>
        <v>0</v>
      </c>
      <c r="C269" s="45">
        <f ca="1">(A269+B269)*((Indicadores_Economicos!D$2+1)^(1/12)-1)</f>
        <v>3.0535998944761607E-12</v>
      </c>
      <c r="D269" s="18">
        <f>SUMIFS(Projetos!$G$2:$G$11,Projetos!$K$2:$K$11,"&lt;="&amp;Dados!$A269,Projetos!$N$2:$N$11,"&gt;"&amp;Dados!A269,Projetos!$D$2:$D$11,"BRL")</f>
        <v>0</v>
      </c>
      <c r="E269" s="18">
        <f t="shared" ca="1" si="16"/>
        <v>9.3580943805859271E-10</v>
      </c>
      <c r="G269" s="45">
        <f t="shared" ca="1" si="19"/>
        <v>7.1750449089547347E-10</v>
      </c>
      <c r="H269" s="18">
        <f>-SUMIFS(Projetos!$F$2:$F$11,Projetos!$D$2:$D$11,"USD",Projetos!$N$2:$N$11,Dados!$A269)</f>
        <v>0</v>
      </c>
      <c r="I269" s="45">
        <f ca="1">(G269+H269)*((Indicadores_Economicos!D$2+1)^(1/12)-1)</f>
        <v>2.3489229957508905E-12</v>
      </c>
      <c r="J269" s="18">
        <f>SUMIFS(Projetos!$G$2:$G$11,Projetos!$K$2:$K$11,"&lt;="&amp;Dados!$A269,Projetos!$N$2:$N$11,"&gt;"&amp;Dados!$A269,Projetos!$D$2:$D$11,"USD")</f>
        <v>0</v>
      </c>
      <c r="K269" s="18">
        <f t="shared" ca="1" si="17"/>
        <v>7.1985341389122432E-10</v>
      </c>
    </row>
    <row r="270" spans="1:11" x14ac:dyDescent="0.2">
      <c r="A270" s="45">
        <f t="shared" ca="1" si="18"/>
        <v>9.3580943805859271E-10</v>
      </c>
      <c r="B270" s="18">
        <f>-SUMIFS(Projetos!$F$2:$F$11,Projetos!$D$2:$D$11,"BRL",Projetos!$N$2:$N$11,Dados!$A270)</f>
        <v>0</v>
      </c>
      <c r="C270" s="45">
        <f ca="1">(A270+B270)*((Indicadores_Economicos!D$2+1)^(1/12)-1)</f>
        <v>3.0635965859296259E-12</v>
      </c>
      <c r="D270" s="18">
        <f>SUMIFS(Projetos!$G$2:$G$11,Projetos!$K$2:$K$11,"&lt;="&amp;Dados!$A270,Projetos!$N$2:$N$11,"&gt;"&amp;Dados!A270,Projetos!$D$2:$D$11,"BRL")</f>
        <v>0</v>
      </c>
      <c r="E270" s="18">
        <f t="shared" ca="1" si="16"/>
        <v>9.388730346445223E-10</v>
      </c>
      <c r="G270" s="45">
        <f t="shared" ca="1" si="19"/>
        <v>7.1985341389122432E-10</v>
      </c>
      <c r="H270" s="18">
        <f>-SUMIFS(Projetos!$F$2:$F$11,Projetos!$D$2:$D$11,"USD",Projetos!$N$2:$N$11,Dados!$A270)</f>
        <v>0</v>
      </c>
      <c r="I270" s="45">
        <f ca="1">(G270+H270)*((Indicadores_Economicos!D$2+1)^(1/12)-1)</f>
        <v>2.3566127584074019E-12</v>
      </c>
      <c r="J270" s="18">
        <f>SUMIFS(Projetos!$G$2:$G$11,Projetos!$K$2:$K$11,"&lt;="&amp;Dados!$A270,Projetos!$N$2:$N$11,"&gt;"&amp;Dados!$A270,Projetos!$D$2:$D$11,"USD")</f>
        <v>0</v>
      </c>
      <c r="K270" s="18">
        <f t="shared" ca="1" si="17"/>
        <v>7.2221002664963176E-10</v>
      </c>
    </row>
    <row r="271" spans="1:11" x14ac:dyDescent="0.2">
      <c r="A271" s="45">
        <f t="shared" ca="1" si="18"/>
        <v>9.388730346445223E-10</v>
      </c>
      <c r="B271" s="18">
        <f>-SUMIFS(Projetos!$F$2:$F$11,Projetos!$D$2:$D$11,"BRL",Projetos!$N$2:$N$11,Dados!$A271)</f>
        <v>0</v>
      </c>
      <c r="C271" s="45">
        <f ca="1">(A271+B271)*((Indicadores_Economicos!D$2+1)^(1/12)-1)</f>
        <v>3.0736260039495922E-12</v>
      </c>
      <c r="D271" s="18">
        <f>SUMIFS(Projetos!$G$2:$G$11,Projetos!$K$2:$K$11,"&lt;="&amp;Dados!$A271,Projetos!$N$2:$N$11,"&gt;"&amp;Dados!A271,Projetos!$D$2:$D$11,"BRL")</f>
        <v>0</v>
      </c>
      <c r="E271" s="18">
        <f t="shared" ca="1" si="16"/>
        <v>9.4194666064847181E-10</v>
      </c>
      <c r="G271" s="45">
        <f t="shared" ca="1" si="19"/>
        <v>7.2221002664963176E-10</v>
      </c>
      <c r="H271" s="18">
        <f>-SUMIFS(Projetos!$F$2:$F$11,Projetos!$D$2:$D$11,"USD",Projetos!$N$2:$N$11,Dados!$A271)</f>
        <v>0</v>
      </c>
      <c r="I271" s="45">
        <f ca="1">(G271+H271)*((Indicadores_Economicos!D$2+1)^(1/12)-1)</f>
        <v>2.3643276953458378E-12</v>
      </c>
      <c r="J271" s="18">
        <f>SUMIFS(Projetos!$G$2:$G$11,Projetos!$K$2:$K$11,"&lt;="&amp;Dados!$A271,Projetos!$N$2:$N$11,"&gt;"&amp;Dados!$A271,Projetos!$D$2:$D$11,"USD")</f>
        <v>0</v>
      </c>
      <c r="K271" s="18">
        <f t="shared" ca="1" si="17"/>
        <v>7.2457435434497757E-10</v>
      </c>
    </row>
    <row r="272" spans="1:11" x14ac:dyDescent="0.2">
      <c r="A272" s="45">
        <f t="shared" ca="1" si="18"/>
        <v>9.4194666064847181E-10</v>
      </c>
      <c r="B272" s="18">
        <f>-SUMIFS(Projetos!$F$2:$F$11,Projetos!$D$2:$D$11,"BRL",Projetos!$N$2:$N$11,Dados!$A272)</f>
        <v>0</v>
      </c>
      <c r="C272" s="45">
        <f ca="1">(A272+B272)*((Indicadores_Economicos!D$2+1)^(1/12)-1)</f>
        <v>3.0836882556743228E-12</v>
      </c>
      <c r="D272" s="18">
        <f>SUMIFS(Projetos!$G$2:$G$11,Projetos!$K$2:$K$11,"&lt;="&amp;Dados!$A272,Projetos!$N$2:$N$11,"&gt;"&amp;Dados!A272,Projetos!$D$2:$D$11,"BRL")</f>
        <v>0</v>
      </c>
      <c r="E272" s="18">
        <f t="shared" ca="1" si="16"/>
        <v>9.4503034890414606E-10</v>
      </c>
      <c r="G272" s="45">
        <f t="shared" ca="1" si="19"/>
        <v>7.2457435434497757E-10</v>
      </c>
      <c r="H272" s="18">
        <f>-SUMIFS(Projetos!$F$2:$F$11,Projetos!$D$2:$D$11,"USD",Projetos!$N$2:$N$11,Dados!$A272)</f>
        <v>0</v>
      </c>
      <c r="I272" s="45">
        <f ca="1">(G272+H272)*((Indicadores_Economicos!D$2+1)^(1/12)-1)</f>
        <v>2.3720678889802458E-12</v>
      </c>
      <c r="J272" s="18">
        <f>SUMIFS(Projetos!$G$2:$G$11,Projetos!$K$2:$K$11,"&lt;="&amp;Dados!$A272,Projetos!$N$2:$N$11,"&gt;"&amp;Dados!$A272,Projetos!$D$2:$D$11,"USD")</f>
        <v>0</v>
      </c>
      <c r="K272" s="18">
        <f t="shared" ca="1" si="17"/>
        <v>7.2694642223395782E-10</v>
      </c>
    </row>
    <row r="273" spans="1:11" x14ac:dyDescent="0.2">
      <c r="A273" s="45">
        <f t="shared" ca="1" si="18"/>
        <v>9.4503034890414606E-10</v>
      </c>
      <c r="B273" s="18">
        <f>-SUMIFS(Projetos!$F$2:$F$11,Projetos!$D$2:$D$11,"BRL",Projetos!$N$2:$N$11,Dados!$A273)</f>
        <v>0</v>
      </c>
      <c r="C273" s="45">
        <f ca="1">(A273+B273)*((Indicadores_Economicos!D$2+1)^(1/12)-1)</f>
        <v>3.0937834485928233E-12</v>
      </c>
      <c r="D273" s="18">
        <f>SUMIFS(Projetos!$G$2:$G$11,Projetos!$K$2:$K$11,"&lt;="&amp;Dados!$A273,Projetos!$N$2:$N$11,"&gt;"&amp;Dados!A273,Projetos!$D$2:$D$11,"BRL")</f>
        <v>0</v>
      </c>
      <c r="E273" s="18">
        <f t="shared" ca="1" si="16"/>
        <v>9.4812413235273888E-10</v>
      </c>
      <c r="G273" s="45">
        <f t="shared" ca="1" si="19"/>
        <v>7.2694642223395782E-10</v>
      </c>
      <c r="H273" s="18">
        <f>-SUMIFS(Projetos!$F$2:$F$11,Projetos!$D$2:$D$11,"USD",Projetos!$N$2:$N$11,Dados!$A273)</f>
        <v>0</v>
      </c>
      <c r="I273" s="45">
        <f ca="1">(G273+H273)*((Indicadores_Economicos!D$2+1)^(1/12)-1)</f>
        <v>2.3798334219944771E-12</v>
      </c>
      <c r="J273" s="18">
        <f>SUMIFS(Projetos!$G$2:$G$11,Projetos!$K$2:$K$11,"&lt;="&amp;Dados!$A273,Projetos!$N$2:$N$11,"&gt;"&amp;Dados!$A273,Projetos!$D$2:$D$11,"USD")</f>
        <v>0</v>
      </c>
      <c r="K273" s="18">
        <f t="shared" ca="1" si="17"/>
        <v>7.2932625565595233E-10</v>
      </c>
    </row>
    <row r="274" spans="1:11" x14ac:dyDescent="0.2">
      <c r="A274" s="45">
        <f t="shared" ca="1" si="18"/>
        <v>9.4812413235273888E-10</v>
      </c>
      <c r="B274" s="18">
        <f>-SUMIFS(Projetos!$F$2:$F$11,Projetos!$D$2:$D$11,"BRL",Projetos!$N$2:$N$11,Dados!$A274)</f>
        <v>0</v>
      </c>
      <c r="C274" s="45">
        <f ca="1">(A274+B274)*((Indicadores_Economicos!D$2+1)^(1/12)-1)</f>
        <v>3.10391169054599E-12</v>
      </c>
      <c r="D274" s="18">
        <f>SUMIFS(Projetos!$G$2:$G$11,Projetos!$K$2:$K$11,"&lt;="&amp;Dados!$A274,Projetos!$N$2:$N$11,"&gt;"&amp;Dados!A274,Projetos!$D$2:$D$11,"BRL")</f>
        <v>0</v>
      </c>
      <c r="E274" s="18">
        <f t="shared" ca="1" si="16"/>
        <v>9.5122804404328488E-10</v>
      </c>
      <c r="G274" s="45">
        <f t="shared" ca="1" si="19"/>
        <v>7.2932625565595233E-10</v>
      </c>
      <c r="H274" s="18">
        <f>-SUMIFS(Projetos!$F$2:$F$11,Projetos!$D$2:$D$11,"USD",Projetos!$N$2:$N$11,Dados!$A274)</f>
        <v>0</v>
      </c>
      <c r="I274" s="45">
        <f ca="1">(G274+H274)*((Indicadores_Economicos!D$2+1)^(1/12)-1)</f>
        <v>2.387624377343067E-12</v>
      </c>
      <c r="J274" s="18">
        <f>SUMIFS(Projetos!$G$2:$G$11,Projetos!$K$2:$K$11,"&lt;="&amp;Dados!$A274,Projetos!$N$2:$N$11,"&gt;"&amp;Dados!$A274,Projetos!$D$2:$D$11,"USD")</f>
        <v>0</v>
      </c>
      <c r="K274" s="18">
        <f t="shared" ca="1" si="17"/>
        <v>7.3171388003329543E-10</v>
      </c>
    </row>
    <row r="275" spans="1:11" x14ac:dyDescent="0.2">
      <c r="A275" s="45">
        <f t="shared" ca="1" si="18"/>
        <v>9.5122804404328488E-10</v>
      </c>
      <c r="B275" s="18">
        <f>-SUMIFS(Projetos!$F$2:$F$11,Projetos!$D$2:$D$11,"BRL",Projetos!$N$2:$N$11,Dados!$A275)</f>
        <v>0</v>
      </c>
      <c r="C275" s="45">
        <f ca="1">(A275+B275)*((Indicadores_Economicos!D$2+1)^(1/12)-1)</f>
        <v>3.114073089727763E-12</v>
      </c>
      <c r="D275" s="18">
        <f>SUMIFS(Projetos!$G$2:$G$11,Projetos!$K$2:$K$11,"&lt;="&amp;Dados!$A275,Projetos!$N$2:$N$11,"&gt;"&amp;Dados!A275,Projetos!$D$2:$D$11,"BRL")</f>
        <v>0</v>
      </c>
      <c r="E275" s="18">
        <f t="shared" ca="1" si="16"/>
        <v>9.5434211713301264E-10</v>
      </c>
      <c r="G275" s="45">
        <f t="shared" ca="1" si="19"/>
        <v>7.3171388003329543E-10</v>
      </c>
      <c r="H275" s="18">
        <f>-SUMIFS(Projetos!$F$2:$F$11,Projetos!$D$2:$D$11,"USD",Projetos!$N$2:$N$11,Dados!$A275)</f>
        <v>0</v>
      </c>
      <c r="I275" s="45">
        <f ca="1">(G275+H275)*((Indicadores_Economicos!D$2+1)^(1/12)-1)</f>
        <v>2.3954408382521231E-12</v>
      </c>
      <c r="J275" s="18">
        <f>SUMIFS(Projetos!$G$2:$G$11,Projetos!$K$2:$K$11,"&lt;="&amp;Dados!$A275,Projetos!$N$2:$N$11,"&gt;"&amp;Dados!$A275,Projetos!$D$2:$D$11,"USD")</f>
        <v>0</v>
      </c>
      <c r="K275" s="18">
        <f t="shared" ca="1" si="17"/>
        <v>7.3410932087154751E-10</v>
      </c>
    </row>
    <row r="276" spans="1:11" x14ac:dyDescent="0.2">
      <c r="A276" s="45">
        <f t="shared" ca="1" si="18"/>
        <v>9.5434211713301264E-10</v>
      </c>
      <c r="B276" s="18">
        <f>-SUMIFS(Projetos!$F$2:$F$11,Projetos!$D$2:$D$11,"BRL",Projetos!$N$2:$N$11,Dados!$A276)</f>
        <v>0</v>
      </c>
      <c r="C276" s="45">
        <f ca="1">(A276+B276)*((Indicadores_Economicos!D$2+1)^(1/12)-1)</f>
        <v>3.1242677546862798E-12</v>
      </c>
      <c r="D276" s="18">
        <f>SUMIFS(Projetos!$G$2:$G$11,Projetos!$K$2:$K$11,"&lt;="&amp;Dados!$A276,Projetos!$N$2:$N$11,"&gt;"&amp;Dados!A276,Projetos!$D$2:$D$11,"BRL")</f>
        <v>0</v>
      </c>
      <c r="E276" s="18">
        <f t="shared" ca="1" si="16"/>
        <v>9.5746638488769899E-10</v>
      </c>
      <c r="G276" s="45">
        <f t="shared" ca="1" si="19"/>
        <v>7.3410932087154751E-10</v>
      </c>
      <c r="H276" s="18">
        <f>-SUMIFS(Projetos!$F$2:$F$11,Projetos!$D$2:$D$11,"USD",Projetos!$N$2:$N$11,Dados!$A276)</f>
        <v>0</v>
      </c>
      <c r="I276" s="45">
        <f ca="1">(G276+H276)*((Indicadores_Economicos!D$2+1)^(1/12)-1)</f>
        <v>2.4032828882202129E-12</v>
      </c>
      <c r="J276" s="18">
        <f>SUMIFS(Projetos!$G$2:$G$11,Projetos!$K$2:$K$11,"&lt;="&amp;Dados!$A276,Projetos!$N$2:$N$11,"&gt;"&amp;Dados!$A276,Projetos!$D$2:$D$11,"USD")</f>
        <v>0</v>
      </c>
      <c r="K276" s="18">
        <f t="shared" ca="1" si="17"/>
        <v>7.3651260375976768E-10</v>
      </c>
    </row>
    <row r="277" spans="1:11" x14ac:dyDescent="0.2">
      <c r="A277" s="45">
        <f t="shared" ca="1" si="18"/>
        <v>9.5746638488769899E-10</v>
      </c>
      <c r="B277" s="18">
        <f>-SUMIFS(Projetos!$F$2:$F$11,Projetos!$D$2:$D$11,"BRL",Projetos!$N$2:$N$11,Dados!$A277)</f>
        <v>0</v>
      </c>
      <c r="C277" s="45">
        <f ca="1">(A277+B277)*((Indicadores_Economicos!D$2+1)^(1/12)-1)</f>
        <v>3.1344957943250378E-12</v>
      </c>
      <c r="D277" s="18">
        <f>SUMIFS(Projetos!$G$2:$G$11,Projetos!$K$2:$K$11,"&lt;="&amp;Dados!$A277,Projetos!$N$2:$N$11,"&gt;"&amp;Dados!A277,Projetos!$D$2:$D$11,"BRL")</f>
        <v>0</v>
      </c>
      <c r="E277" s="18">
        <f t="shared" ca="1" si="16"/>
        <v>9.6060088068202403E-10</v>
      </c>
      <c r="G277" s="45">
        <f t="shared" ca="1" si="19"/>
        <v>7.3651260375976768E-10</v>
      </c>
      <c r="H277" s="18">
        <f>-SUMIFS(Projetos!$F$2:$F$11,Projetos!$D$2:$D$11,"USD",Projetos!$N$2:$N$11,Dados!$A277)</f>
        <v>0</v>
      </c>
      <c r="I277" s="45">
        <f ca="1">(G277+H277)*((Indicadores_Economicos!D$2+1)^(1/12)-1)</f>
        <v>2.4111506110192573E-12</v>
      </c>
      <c r="J277" s="18">
        <f>SUMIFS(Projetos!$G$2:$G$11,Projetos!$K$2:$K$11,"&lt;="&amp;Dados!$A277,Projetos!$N$2:$N$11,"&gt;"&amp;Dados!$A277,Projetos!$D$2:$D$11,"USD")</f>
        <v>0</v>
      </c>
      <c r="K277" s="18">
        <f t="shared" ca="1" si="17"/>
        <v>7.3892375437078692E-10</v>
      </c>
    </row>
    <row r="278" spans="1:11" x14ac:dyDescent="0.2">
      <c r="A278" s="45">
        <f t="shared" ca="1" si="18"/>
        <v>9.6060088068202403E-10</v>
      </c>
      <c r="B278" s="18">
        <f>-SUMIFS(Projetos!$F$2:$F$11,Projetos!$D$2:$D$11,"BRL",Projetos!$N$2:$N$11,Dados!$A278)</f>
        <v>0</v>
      </c>
      <c r="C278" s="45">
        <f ca="1">(A278+B278)*((Indicadores_Economicos!D$2+1)^(1/12)-1)</f>
        <v>3.1447573179040546E-12</v>
      </c>
      <c r="D278" s="18">
        <f>SUMIFS(Projetos!$G$2:$G$11,Projetos!$K$2:$K$11,"&lt;="&amp;Dados!$A278,Projetos!$N$2:$N$11,"&gt;"&amp;Dados!A278,Projetos!$D$2:$D$11,"BRL")</f>
        <v>0</v>
      </c>
      <c r="E278" s="18">
        <f t="shared" ca="1" si="16"/>
        <v>9.6374563799992807E-10</v>
      </c>
      <c r="G278" s="45">
        <f t="shared" ca="1" si="19"/>
        <v>7.3892375437078692E-10</v>
      </c>
      <c r="H278" s="18">
        <f>-SUMIFS(Projetos!$F$2:$F$11,Projetos!$D$2:$D$11,"USD",Projetos!$N$2:$N$11,Dados!$A278)</f>
        <v>0</v>
      </c>
      <c r="I278" s="45">
        <f ca="1">(G278+H278)*((Indicadores_Economicos!D$2+1)^(1/12)-1)</f>
        <v>2.4190440906954242E-12</v>
      </c>
      <c r="J278" s="18">
        <f>SUMIFS(Projetos!$G$2:$G$11,Projetos!$K$2:$K$11,"&lt;="&amp;Dados!$A278,Projetos!$N$2:$N$11,"&gt;"&amp;Dados!$A278,Projetos!$D$2:$D$11,"USD")</f>
        <v>0</v>
      </c>
      <c r="K278" s="18">
        <f t="shared" ca="1" si="17"/>
        <v>7.4134279846148233E-10</v>
      </c>
    </row>
    <row r="279" spans="1:11" x14ac:dyDescent="0.2">
      <c r="A279" s="45">
        <f t="shared" ca="1" si="18"/>
        <v>9.6374563799992807E-10</v>
      </c>
      <c r="B279" s="18">
        <f>-SUMIFS(Projetos!$F$2:$F$11,Projetos!$D$2:$D$11,"BRL",Projetos!$N$2:$N$11,Dados!$A279)</f>
        <v>0</v>
      </c>
      <c r="C279" s="45">
        <f ca="1">(A279+B279)*((Indicadores_Economicos!D$2+1)^(1/12)-1)</f>
        <v>3.1550524350410386E-12</v>
      </c>
      <c r="D279" s="18">
        <f>SUMIFS(Projetos!$G$2:$G$11,Projetos!$K$2:$K$11,"&lt;="&amp;Dados!$A279,Projetos!$N$2:$N$11,"&gt;"&amp;Dados!A279,Projetos!$D$2:$D$11,"BRL")</f>
        <v>0</v>
      </c>
      <c r="E279" s="18">
        <f t="shared" ca="1" si="16"/>
        <v>9.6690069043496901E-10</v>
      </c>
      <c r="G279" s="45">
        <f t="shared" ca="1" si="19"/>
        <v>7.4134279846148233E-10</v>
      </c>
      <c r="H279" s="18">
        <f>-SUMIFS(Projetos!$F$2:$F$11,Projetos!$D$2:$D$11,"USD",Projetos!$N$2:$N$11,Dados!$A279)</f>
        <v>0</v>
      </c>
      <c r="I279" s="45">
        <f ca="1">(G279+H279)*((Indicadores_Economicos!D$2+1)^(1/12)-1)</f>
        <v>2.4269634115700268E-12</v>
      </c>
      <c r="J279" s="18">
        <f>SUMIFS(Projetos!$G$2:$G$11,Projetos!$K$2:$K$11,"&lt;="&amp;Dados!$A279,Projetos!$N$2:$N$11,"&gt;"&amp;Dados!$A279,Projetos!$D$2:$D$11,"USD")</f>
        <v>0</v>
      </c>
      <c r="K279" s="18">
        <f t="shared" ca="1" si="17"/>
        <v>7.4376976187305234E-10</v>
      </c>
    </row>
    <row r="280" spans="1:11" x14ac:dyDescent="0.2">
      <c r="A280" s="45">
        <f t="shared" ca="1" si="18"/>
        <v>9.6690069043496901E-10</v>
      </c>
      <c r="B280" s="18">
        <f>-SUMIFS(Projetos!$F$2:$F$11,Projetos!$D$2:$D$11,"BRL",Projetos!$N$2:$N$11,Dados!$A280)</f>
        <v>0</v>
      </c>
      <c r="C280" s="45">
        <f ca="1">(A280+B280)*((Indicadores_Economicos!D$2+1)^(1/12)-1)</f>
        <v>3.1653812557125557E-12</v>
      </c>
      <c r="D280" s="18">
        <f>SUMIFS(Projetos!$G$2:$G$11,Projetos!$K$2:$K$11,"&lt;="&amp;Dados!$A280,Projetos!$N$2:$N$11,"&gt;"&amp;Dados!A280,Projetos!$D$2:$D$11,"BRL")</f>
        <v>0</v>
      </c>
      <c r="E280" s="18">
        <f t="shared" ca="1" si="16"/>
        <v>9.7006607169068149E-10</v>
      </c>
      <c r="G280" s="45">
        <f t="shared" ca="1" si="19"/>
        <v>7.4376976187305234E-10</v>
      </c>
      <c r="H280" s="18">
        <f>-SUMIFS(Projetos!$F$2:$F$11,Projetos!$D$2:$D$11,"USD",Projetos!$N$2:$N$11,Dados!$A280)</f>
        <v>0</v>
      </c>
      <c r="I280" s="45">
        <f ca="1">(G280+H280)*((Indicadores_Economicos!D$2+1)^(1/12)-1)</f>
        <v>2.4349086582404248E-12</v>
      </c>
      <c r="J280" s="18">
        <f>SUMIFS(Projetos!$G$2:$G$11,Projetos!$K$2:$K$11,"&lt;="&amp;Dados!$A280,Projetos!$N$2:$N$11,"&gt;"&amp;Dados!$A280,Projetos!$D$2:$D$11,"USD")</f>
        <v>0</v>
      </c>
      <c r="K280" s="18">
        <f t="shared" ca="1" si="17"/>
        <v>7.4620467053129282E-10</v>
      </c>
    </row>
    <row r="281" spans="1:11" x14ac:dyDescent="0.2">
      <c r="A281" s="45">
        <f t="shared" ca="1" si="18"/>
        <v>9.7006607169068149E-10</v>
      </c>
      <c r="B281" s="18">
        <f>-SUMIFS(Projetos!$F$2:$F$11,Projetos!$D$2:$D$11,"BRL",Projetos!$N$2:$N$11,Dados!$A281)</f>
        <v>0</v>
      </c>
      <c r="C281" s="45">
        <f ca="1">(A281+B281)*((Indicadores_Economicos!D$2+1)^(1/12)-1)</f>
        <v>3.1757438902552083E-12</v>
      </c>
      <c r="D281" s="18">
        <f>SUMIFS(Projetos!$G$2:$G$11,Projetos!$K$2:$K$11,"&lt;="&amp;Dados!$A281,Projetos!$N$2:$N$11,"&gt;"&amp;Dados!A281,Projetos!$D$2:$D$11,"BRL")</f>
        <v>0</v>
      </c>
      <c r="E281" s="18">
        <f t="shared" ca="1" si="16"/>
        <v>9.7324181558093676E-10</v>
      </c>
      <c r="G281" s="45">
        <f t="shared" ca="1" si="19"/>
        <v>7.4620467053129282E-10</v>
      </c>
      <c r="H281" s="18">
        <f>-SUMIFS(Projetos!$F$2:$F$11,Projetos!$D$2:$D$11,"USD",Projetos!$N$2:$N$11,Dados!$A281)</f>
        <v>0</v>
      </c>
      <c r="I281" s="45">
        <f ca="1">(G281+H281)*((Indicadores_Economicos!D$2+1)^(1/12)-1)</f>
        <v>2.4428799155809272E-12</v>
      </c>
      <c r="J281" s="18">
        <f>SUMIFS(Projetos!$G$2:$G$11,Projetos!$K$2:$K$11,"&lt;="&amp;Dados!$A281,Projetos!$N$2:$N$11,"&gt;"&amp;Dados!$A281,Projetos!$D$2:$D$11,"USD")</f>
        <v>0</v>
      </c>
      <c r="K281" s="18">
        <f t="shared" ca="1" si="17"/>
        <v>7.4864755044687372E-10</v>
      </c>
    </row>
    <row r="282" spans="1:11" x14ac:dyDescent="0.2">
      <c r="A282" s="45">
        <f t="shared" ca="1" si="18"/>
        <v>9.7324181558093676E-10</v>
      </c>
      <c r="B282" s="18">
        <f>-SUMIFS(Projetos!$F$2:$F$11,Projetos!$D$2:$D$11,"BRL",Projetos!$N$2:$N$11,Dados!$A282)</f>
        <v>0</v>
      </c>
      <c r="C282" s="45">
        <f ca="1">(A282+B282)*((Indicadores_Economicos!D$2+1)^(1/12)-1)</f>
        <v>3.1861404493668121E-12</v>
      </c>
      <c r="D282" s="18">
        <f>SUMIFS(Projetos!$G$2:$G$11,Projetos!$K$2:$K$11,"&lt;="&amp;Dados!$A282,Projetos!$N$2:$N$11,"&gt;"&amp;Dados!A282,Projetos!$D$2:$D$11,"BRL")</f>
        <v>0</v>
      </c>
      <c r="E282" s="18">
        <f t="shared" ca="1" si="16"/>
        <v>9.7642795603030349E-10</v>
      </c>
      <c r="G282" s="45">
        <f t="shared" ca="1" si="19"/>
        <v>7.4864755044687372E-10</v>
      </c>
      <c r="H282" s="18">
        <f>-SUMIFS(Projetos!$F$2:$F$11,Projetos!$D$2:$D$11,"USD",Projetos!$N$2:$N$11,Dados!$A282)</f>
        <v>0</v>
      </c>
      <c r="I282" s="45">
        <f ca="1">(G282+H282)*((Indicadores_Economicos!D$2+1)^(1/12)-1)</f>
        <v>2.4508772687436992E-12</v>
      </c>
      <c r="J282" s="18">
        <f>SUMIFS(Projetos!$G$2:$G$11,Projetos!$K$2:$K$11,"&lt;="&amp;Dados!$A282,Projetos!$N$2:$N$11,"&gt;"&amp;Dados!$A282,Projetos!$D$2:$D$11,"USD")</f>
        <v>0</v>
      </c>
      <c r="K282" s="18">
        <f t="shared" ca="1" si="17"/>
        <v>7.5109842771561744E-10</v>
      </c>
    </row>
    <row r="283" spans="1:11" x14ac:dyDescent="0.2">
      <c r="A283" s="45">
        <f t="shared" ca="1" si="18"/>
        <v>9.7642795603030349E-10</v>
      </c>
      <c r="B283" s="18">
        <f>-SUMIFS(Projetos!$F$2:$F$11,Projetos!$D$2:$D$11,"BRL",Projetos!$N$2:$N$11,Dados!$A283)</f>
        <v>0</v>
      </c>
      <c r="C283" s="45">
        <f ca="1">(A283+B283)*((Indicadores_Economicos!D$2+1)^(1/12)-1)</f>
        <v>3.1965710441075771E-12</v>
      </c>
      <c r="D283" s="18">
        <f>SUMIFS(Projetos!$G$2:$G$11,Projetos!$K$2:$K$11,"&lt;="&amp;Dados!$A283,Projetos!$N$2:$N$11,"&gt;"&amp;Dados!A283,Projetos!$D$2:$D$11,"BRL")</f>
        <v>0</v>
      </c>
      <c r="E283" s="18">
        <f t="shared" ca="1" si="16"/>
        <v>9.7962452707441116E-10</v>
      </c>
      <c r="G283" s="45">
        <f t="shared" ca="1" si="19"/>
        <v>7.5109842771561744E-10</v>
      </c>
      <c r="H283" s="18">
        <f>-SUMIFS(Projetos!$F$2:$F$11,Projetos!$D$2:$D$11,"USD",Projetos!$N$2:$N$11,Dados!$A283)</f>
        <v>0</v>
      </c>
      <c r="I283" s="45">
        <f ca="1">(G283+H283)*((Indicadores_Economicos!D$2+1)^(1/12)-1)</f>
        <v>2.4589008031596724E-12</v>
      </c>
      <c r="J283" s="18">
        <f>SUMIFS(Projetos!$G$2:$G$11,Projetos!$K$2:$K$11,"&lt;="&amp;Dados!$A283,Projetos!$N$2:$N$11,"&gt;"&amp;Dados!$A283,Projetos!$D$2:$D$11,"USD")</f>
        <v>0</v>
      </c>
      <c r="K283" s="18">
        <f t="shared" ca="1" si="17"/>
        <v>7.5355732851877712E-10</v>
      </c>
    </row>
    <row r="284" spans="1:11" x14ac:dyDescent="0.2">
      <c r="A284" s="45">
        <f t="shared" ca="1" si="18"/>
        <v>9.7962452707441116E-10</v>
      </c>
      <c r="B284" s="18">
        <f>-SUMIFS(Projetos!$F$2:$F$11,Projetos!$D$2:$D$11,"BRL",Projetos!$N$2:$N$11,Dados!$A284)</f>
        <v>0</v>
      </c>
      <c r="C284" s="45">
        <f ca="1">(A284+B284)*((Indicadores_Economicos!D$2+1)^(1/12)-1)</f>
        <v>3.2070357859012974E-12</v>
      </c>
      <c r="D284" s="18">
        <f>SUMIFS(Projetos!$G$2:$G$11,Projetos!$K$2:$K$11,"&lt;="&amp;Dados!$A284,Projetos!$N$2:$N$11,"&gt;"&amp;Dados!A284,Projetos!$D$2:$D$11,"BRL")</f>
        <v>0</v>
      </c>
      <c r="E284" s="18">
        <f t="shared" ca="1" si="16"/>
        <v>9.8283156286031252E-10</v>
      </c>
      <c r="G284" s="45">
        <f t="shared" ca="1" si="19"/>
        <v>7.5355732851877712E-10</v>
      </c>
      <c r="H284" s="18">
        <f>-SUMIFS(Projetos!$F$2:$F$11,Projetos!$D$2:$D$11,"USD",Projetos!$N$2:$N$11,Dados!$A284)</f>
        <v>0</v>
      </c>
      <c r="I284" s="45">
        <f ca="1">(G284+H284)*((Indicadores_Economicos!D$2+1)^(1/12)-1)</f>
        <v>2.4669506045394574E-12</v>
      </c>
      <c r="J284" s="18">
        <f>SUMIFS(Projetos!$G$2:$G$11,Projetos!$K$2:$K$11,"&lt;="&amp;Dados!$A284,Projetos!$N$2:$N$11,"&gt;"&amp;Dados!$A284,Projetos!$D$2:$D$11,"USD")</f>
        <v>0</v>
      </c>
      <c r="K284" s="18">
        <f t="shared" ca="1" si="17"/>
        <v>7.5602427912331654E-10</v>
      </c>
    </row>
    <row r="285" spans="1:11" x14ac:dyDescent="0.2">
      <c r="A285" s="45">
        <f t="shared" ca="1" si="18"/>
        <v>9.8283156286031252E-10</v>
      </c>
      <c r="B285" s="18">
        <f>-SUMIFS(Projetos!$F$2:$F$11,Projetos!$D$2:$D$11,"BRL",Projetos!$N$2:$N$11,Dados!$A285)</f>
        <v>0</v>
      </c>
      <c r="C285" s="45">
        <f ca="1">(A285+B285)*((Indicadores_Economicos!D$2+1)^(1/12)-1)</f>
        <v>3.2175347865365384E-12</v>
      </c>
      <c r="D285" s="18">
        <f>SUMIFS(Projetos!$G$2:$G$11,Projetos!$K$2:$K$11,"&lt;="&amp;Dados!$A285,Projetos!$N$2:$N$11,"&gt;"&amp;Dados!A285,Projetos!$D$2:$D$11,"BRL")</f>
        <v>0</v>
      </c>
      <c r="E285" s="18">
        <f t="shared" ca="1" si="16"/>
        <v>9.8604909764684905E-10</v>
      </c>
      <c r="G285" s="45">
        <f t="shared" ca="1" si="19"/>
        <v>7.5602427912331654E-10</v>
      </c>
      <c r="H285" s="18">
        <f>-SUMIFS(Projetos!$F$2:$F$11,Projetos!$D$2:$D$11,"USD",Projetos!$N$2:$N$11,Dados!$A285)</f>
        <v>0</v>
      </c>
      <c r="I285" s="45">
        <f ca="1">(G285+H285)*((Indicadores_Economicos!D$2+1)^(1/12)-1)</f>
        <v>2.4750267588742577E-12</v>
      </c>
      <c r="J285" s="18">
        <f>SUMIFS(Projetos!$G$2:$G$11,Projetos!$K$2:$K$11,"&lt;="&amp;Dados!$A285,Projetos!$N$2:$N$11,"&gt;"&amp;Dados!$A285,Projetos!$D$2:$D$11,"USD")</f>
        <v>0</v>
      </c>
      <c r="K285" s="18">
        <f t="shared" ca="1" si="17"/>
        <v>7.5849930588219083E-10</v>
      </c>
    </row>
    <row r="286" spans="1:11" x14ac:dyDescent="0.2">
      <c r="A286" s="45">
        <f t="shared" ca="1" si="18"/>
        <v>9.8604909764684905E-10</v>
      </c>
      <c r="B286" s="18">
        <f>-SUMIFS(Projetos!$F$2:$F$11,Projetos!$D$2:$D$11,"BRL",Projetos!$N$2:$N$11,Dados!$A286)</f>
        <v>0</v>
      </c>
      <c r="C286" s="45">
        <f ca="1">(A286+B286)*((Indicadores_Economicos!D$2+1)^(1/12)-1)</f>
        <v>3.2280681581678319E-12</v>
      </c>
      <c r="D286" s="18">
        <f>SUMIFS(Projetos!$G$2:$G$11,Projetos!$K$2:$K$11,"&lt;="&amp;Dados!$A286,Projetos!$N$2:$N$11,"&gt;"&amp;Dados!A286,Projetos!$D$2:$D$11,"BRL")</f>
        <v>0</v>
      </c>
      <c r="E286" s="18">
        <f t="shared" ca="1" si="16"/>
        <v>9.8927716580501693E-10</v>
      </c>
      <c r="G286" s="45">
        <f t="shared" ca="1" si="19"/>
        <v>7.5849930588219083E-10</v>
      </c>
      <c r="H286" s="18">
        <f>-SUMIFS(Projetos!$F$2:$F$11,Projetos!$D$2:$D$11,"USD",Projetos!$N$2:$N$11,Dados!$A286)</f>
        <v>0</v>
      </c>
      <c r="I286" s="45">
        <f ca="1">(G286+H286)*((Indicadores_Economicos!D$2+1)^(1/12)-1)</f>
        <v>2.4831293524367911E-12</v>
      </c>
      <c r="J286" s="18">
        <f>SUMIFS(Projetos!$G$2:$G$11,Projetos!$K$2:$K$11,"&lt;="&amp;Dados!$A286,Projetos!$N$2:$N$11,"&gt;"&amp;Dados!$A286,Projetos!$D$2:$D$11,"USD")</f>
        <v>0</v>
      </c>
      <c r="K286" s="18">
        <f t="shared" ca="1" si="17"/>
        <v>7.6098243523462759E-10</v>
      </c>
    </row>
    <row r="287" spans="1:11" x14ac:dyDescent="0.2">
      <c r="A287" s="45">
        <f t="shared" ca="1" si="18"/>
        <v>9.8927716580501693E-10</v>
      </c>
      <c r="B287" s="18">
        <f>-SUMIFS(Projetos!$F$2:$F$11,Projetos!$D$2:$D$11,"BRL",Projetos!$N$2:$N$11,Dados!$A287)</f>
        <v>0</v>
      </c>
      <c r="C287" s="45">
        <f ca="1">(A287+B287)*((Indicadores_Economicos!D$2+1)^(1/12)-1)</f>
        <v>3.2386360133168757E-12</v>
      </c>
      <c r="D287" s="18">
        <f>SUMIFS(Projetos!$G$2:$G$11,Projetos!$K$2:$K$11,"&lt;="&amp;Dados!$A287,Projetos!$N$2:$N$11,"&gt;"&amp;Dados!A287,Projetos!$D$2:$D$11,"BRL")</f>
        <v>0</v>
      </c>
      <c r="E287" s="18">
        <f t="shared" ca="1" si="16"/>
        <v>9.9251580181833376E-10</v>
      </c>
      <c r="G287" s="45">
        <f t="shared" ca="1" si="19"/>
        <v>7.6098243523462759E-10</v>
      </c>
      <c r="H287" s="18">
        <f>-SUMIFS(Projetos!$F$2:$F$11,Projetos!$D$2:$D$11,"USD",Projetos!$N$2:$N$11,Dados!$A287)</f>
        <v>0</v>
      </c>
      <c r="I287" s="45">
        <f ca="1">(G287+H287)*((Indicadores_Economicos!D$2+1)^(1/12)-1)</f>
        <v>2.4912584717822092E-12</v>
      </c>
      <c r="J287" s="18">
        <f>SUMIFS(Projetos!$G$2:$G$11,Projetos!$K$2:$K$11,"&lt;="&amp;Dados!$A287,Projetos!$N$2:$N$11,"&gt;"&amp;Dados!$A287,Projetos!$D$2:$D$11,"USD")</f>
        <v>0</v>
      </c>
      <c r="K287" s="18">
        <f t="shared" ca="1" si="17"/>
        <v>7.6347369370640985E-10</v>
      </c>
    </row>
    <row r="288" spans="1:11" x14ac:dyDescent="0.2">
      <c r="A288" s="45">
        <f t="shared" ca="1" si="18"/>
        <v>9.9251580181833376E-10</v>
      </c>
      <c r="B288" s="18">
        <f>-SUMIFS(Projetos!$F$2:$F$11,Projetos!$D$2:$D$11,"BRL",Projetos!$N$2:$N$11,Dados!$A288)</f>
        <v>0</v>
      </c>
      <c r="C288" s="45">
        <f ca="1">(A288+B288)*((Indicadores_Economicos!D$2+1)^(1/12)-1)</f>
        <v>3.2492384648737328E-12</v>
      </c>
      <c r="D288" s="18">
        <f>SUMIFS(Projetos!$G$2:$G$11,Projetos!$K$2:$K$11,"&lt;="&amp;Dados!$A288,Projetos!$N$2:$N$11,"&gt;"&amp;Dados!A288,Projetos!$D$2:$D$11,"BRL")</f>
        <v>0</v>
      </c>
      <c r="E288" s="18">
        <f t="shared" ca="1" si="16"/>
        <v>9.9576504028320741E-10</v>
      </c>
      <c r="G288" s="45">
        <f t="shared" ca="1" si="19"/>
        <v>7.6347369370640985E-10</v>
      </c>
      <c r="H288" s="18">
        <f>-SUMIFS(Projetos!$F$2:$F$11,Projetos!$D$2:$D$11,"USD",Projetos!$N$2:$N$11,Dados!$A288)</f>
        <v>0</v>
      </c>
      <c r="I288" s="45">
        <f ca="1">(G288+H288)*((Indicadores_Economicos!D$2+1)^(1/12)-1)</f>
        <v>2.499414203749023E-12</v>
      </c>
      <c r="J288" s="18">
        <f>SUMIFS(Projetos!$G$2:$G$11,Projetos!$K$2:$K$11,"&lt;="&amp;Dados!$A288,Projetos!$N$2:$N$11,"&gt;"&amp;Dados!$A288,Projetos!$D$2:$D$11,"USD")</f>
        <v>0</v>
      </c>
      <c r="K288" s="18">
        <f t="shared" ca="1" si="17"/>
        <v>7.6597310791015888E-10</v>
      </c>
    </row>
    <row r="289" spans="1:11" x14ac:dyDescent="0.2">
      <c r="A289" s="45">
        <f t="shared" ca="1" si="18"/>
        <v>9.9576504028320741E-10</v>
      </c>
      <c r="B289" s="18">
        <f>-SUMIFS(Projetos!$F$2:$F$11,Projetos!$D$2:$D$11,"BRL",Projetos!$N$2:$N$11,Dados!$A289)</f>
        <v>0</v>
      </c>
      <c r="C289" s="45">
        <f ca="1">(A289+B289)*((Indicadores_Economicos!D$2+1)^(1/12)-1)</f>
        <v>3.2598756260980406E-12</v>
      </c>
      <c r="D289" s="18">
        <f>SUMIFS(Projetos!$G$2:$G$11,Projetos!$K$2:$K$11,"&lt;="&amp;Dados!$A289,Projetos!$N$2:$N$11,"&gt;"&amp;Dados!A289,Projetos!$D$2:$D$11,"BRL")</f>
        <v>0</v>
      </c>
      <c r="E289" s="18">
        <f t="shared" ca="1" si="16"/>
        <v>9.9902491590930538E-10</v>
      </c>
      <c r="G289" s="45">
        <f t="shared" ca="1" si="19"/>
        <v>7.6597310791015888E-10</v>
      </c>
      <c r="H289" s="18">
        <f>-SUMIFS(Projetos!$F$2:$F$11,Projetos!$D$2:$D$11,"USD",Projetos!$N$2:$N$11,Dados!$A289)</f>
        <v>0</v>
      </c>
      <c r="I289" s="45">
        <f ca="1">(G289+H289)*((Indicadores_Economicos!D$2+1)^(1/12)-1)</f>
        <v>2.5075966354600292E-12</v>
      </c>
      <c r="J289" s="18">
        <f>SUMIFS(Projetos!$G$2:$G$11,Projetos!$K$2:$K$11,"&lt;="&amp;Dados!$A289,Projetos!$N$2:$N$11,"&gt;"&amp;Dados!$A289,Projetos!$D$2:$D$11,"USD")</f>
        <v>0</v>
      </c>
      <c r="K289" s="18">
        <f t="shared" ca="1" si="17"/>
        <v>7.6848070454561889E-10</v>
      </c>
    </row>
    <row r="290" spans="1:11" x14ac:dyDescent="0.2">
      <c r="A290" s="45">
        <f t="shared" ca="1" si="18"/>
        <v>9.9902491590930538E-10</v>
      </c>
      <c r="B290" s="18">
        <f>-SUMIFS(Projetos!$F$2:$F$11,Projetos!$D$2:$D$11,"BRL",Projetos!$N$2:$N$11,Dados!$A290)</f>
        <v>0</v>
      </c>
      <c r="C290" s="45">
        <f ca="1">(A290+B290)*((Indicadores_Economicos!D$2+1)^(1/12)-1)</f>
        <v>3.2705476106202182E-12</v>
      </c>
      <c r="D290" s="18">
        <f>SUMIFS(Projetos!$G$2:$G$11,Projetos!$K$2:$K$11,"&lt;="&amp;Dados!$A290,Projetos!$N$2:$N$11,"&gt;"&amp;Dados!A290,Projetos!$D$2:$D$11,"BRL")</f>
        <v>0</v>
      </c>
      <c r="E290" s="18">
        <f t="shared" ca="1" si="16"/>
        <v>1.0022954635199256E-9</v>
      </c>
      <c r="G290" s="45">
        <f t="shared" ca="1" si="19"/>
        <v>7.6848070454561889E-10</v>
      </c>
      <c r="H290" s="18">
        <f>-SUMIFS(Projetos!$F$2:$F$11,Projetos!$D$2:$D$11,"USD",Projetos!$N$2:$N$11,Dados!$A290)</f>
        <v>0</v>
      </c>
      <c r="I290" s="45">
        <f ca="1">(G290+H290)*((Indicadores_Economicos!D$2+1)^(1/12)-1)</f>
        <v>2.5158058543232429E-12</v>
      </c>
      <c r="J290" s="18">
        <f>SUMIFS(Projetos!$G$2:$G$11,Projetos!$K$2:$K$11,"&lt;="&amp;Dados!$A290,Projetos!$N$2:$N$11,"&gt;"&amp;Dados!$A290,Projetos!$D$2:$D$11,"USD")</f>
        <v>0</v>
      </c>
      <c r="K290" s="18">
        <f t="shared" ca="1" si="17"/>
        <v>7.7099651039994213E-10</v>
      </c>
    </row>
    <row r="291" spans="1:11" x14ac:dyDescent="0.2">
      <c r="A291" s="45">
        <f t="shared" ca="1" si="18"/>
        <v>1.0022954635199256E-9</v>
      </c>
      <c r="B291" s="18">
        <f>-SUMIFS(Projetos!$F$2:$F$11,Projetos!$D$2:$D$11,"BRL",Projetos!$N$2:$N$11,Dados!$A291)</f>
        <v>0</v>
      </c>
      <c r="C291" s="45">
        <f ca="1">(A291+B291)*((Indicadores_Economicos!D$2+1)^(1/12)-1)</f>
        <v>3.2812545324426813E-12</v>
      </c>
      <c r="D291" s="18">
        <f>SUMIFS(Projetos!$G$2:$G$11,Projetos!$K$2:$K$11,"&lt;="&amp;Dados!$A291,Projetos!$N$2:$N$11,"&gt;"&amp;Dados!A291,Projetos!$D$2:$D$11,"BRL")</f>
        <v>0</v>
      </c>
      <c r="E291" s="18">
        <f t="shared" ca="1" si="16"/>
        <v>1.0055767180523683E-9</v>
      </c>
      <c r="G291" s="45">
        <f t="shared" ca="1" si="19"/>
        <v>7.7099651039994213E-10</v>
      </c>
      <c r="H291" s="18">
        <f>-SUMIFS(Projetos!$F$2:$F$11,Projetos!$D$2:$D$11,"USD",Projetos!$N$2:$N$11,Dados!$A291)</f>
        <v>0</v>
      </c>
      <c r="I291" s="45">
        <f ca="1">(G291+H291)*((Indicadores_Economicos!D$2+1)^(1/12)-1)</f>
        <v>2.5240419480328297E-12</v>
      </c>
      <c r="J291" s="18">
        <f>SUMIFS(Projetos!$G$2:$G$11,Projetos!$K$2:$K$11,"&lt;="&amp;Dados!$A291,Projetos!$N$2:$N$11,"&gt;"&amp;Dados!$A291,Projetos!$D$2:$D$11,"USD")</f>
        <v>0</v>
      </c>
      <c r="K291" s="18">
        <f t="shared" ca="1" si="17"/>
        <v>7.7352055234797492E-10</v>
      </c>
    </row>
    <row r="292" spans="1:11" x14ac:dyDescent="0.2">
      <c r="A292" s="45">
        <f t="shared" ca="1" si="18"/>
        <v>1.0055767180523683E-9</v>
      </c>
      <c r="B292" s="18">
        <f>-SUMIFS(Projetos!$F$2:$F$11,Projetos!$D$2:$D$11,"BRL",Projetos!$N$2:$N$11,Dados!$A292)</f>
        <v>0</v>
      </c>
      <c r="C292" s="45">
        <f ca="1">(A292+B292)*((Indicadores_Economicos!D$2+1)^(1/12)-1)</f>
        <v>3.2919965059410597E-12</v>
      </c>
      <c r="D292" s="18">
        <f>SUMIFS(Projetos!$G$2:$G$11,Projetos!$K$2:$K$11,"&lt;="&amp;Dados!$A292,Projetos!$N$2:$N$11,"&gt;"&amp;Dados!A292,Projetos!$D$2:$D$11,"BRL")</f>
        <v>0</v>
      </c>
      <c r="E292" s="18">
        <f t="shared" ca="1" si="16"/>
        <v>1.0088687145583094E-9</v>
      </c>
      <c r="G292" s="45">
        <f t="shared" ca="1" si="19"/>
        <v>7.7352055234797492E-10</v>
      </c>
      <c r="H292" s="18">
        <f>-SUMIFS(Projetos!$F$2:$F$11,Projetos!$D$2:$D$11,"USD",Projetos!$N$2:$N$11,Dados!$A292)</f>
        <v>0</v>
      </c>
      <c r="I292" s="45">
        <f ca="1">(G292+H292)*((Indicadores_Economicos!D$2+1)^(1/12)-1)</f>
        <v>2.5323050045700433E-12</v>
      </c>
      <c r="J292" s="18">
        <f>SUMIFS(Projetos!$G$2:$G$11,Projetos!$K$2:$K$11,"&lt;="&amp;Dados!$A292,Projetos!$N$2:$N$11,"&gt;"&amp;Dados!$A292,Projetos!$D$2:$D$11,"USD")</f>
        <v>0</v>
      </c>
      <c r="K292" s="18">
        <f t="shared" ca="1" si="17"/>
        <v>7.7605285735254501E-10</v>
      </c>
    </row>
    <row r="293" spans="1:11" x14ac:dyDescent="0.2">
      <c r="A293" s="45">
        <f t="shared" ca="1" si="18"/>
        <v>1.0088687145583094E-9</v>
      </c>
      <c r="B293" s="18">
        <f>-SUMIFS(Projetos!$F$2:$F$11,Projetos!$D$2:$D$11,"BRL",Projetos!$N$2:$N$11,Dados!$A293)</f>
        <v>0</v>
      </c>
      <c r="C293" s="45">
        <f ca="1">(A293+B293)*((Indicadores_Economicos!D$2+1)^(1/12)-1)</f>
        <v>3.3027736458654186E-12</v>
      </c>
      <c r="D293" s="18">
        <f>SUMIFS(Projetos!$G$2:$G$11,Projetos!$K$2:$K$11,"&lt;="&amp;Dados!$A293,Projetos!$N$2:$N$11,"&gt;"&amp;Dados!A293,Projetos!$D$2:$D$11,"BRL")</f>
        <v>0</v>
      </c>
      <c r="E293" s="18">
        <f t="shared" ca="1" si="16"/>
        <v>1.0121714882041748E-9</v>
      </c>
      <c r="G293" s="45">
        <f t="shared" ca="1" si="19"/>
        <v>7.7605285735254501E-10</v>
      </c>
      <c r="H293" s="18">
        <f>-SUMIFS(Projetos!$F$2:$F$11,Projetos!$D$2:$D$11,"USD",Projetos!$N$2:$N$11,Dados!$A293)</f>
        <v>0</v>
      </c>
      <c r="I293" s="45">
        <f ca="1">(G293+H293)*((Indicadores_Economicos!D$2+1)^(1/12)-1)</f>
        <v>2.5405951122041661E-12</v>
      </c>
      <c r="J293" s="18">
        <f>SUMIFS(Projetos!$G$2:$G$11,Projetos!$K$2:$K$11,"&lt;="&amp;Dados!$A293,Projetos!$N$2:$N$11,"&gt;"&amp;Dados!$A293,Projetos!$D$2:$D$11,"USD")</f>
        <v>0</v>
      </c>
      <c r="K293" s="18">
        <f t="shared" ca="1" si="17"/>
        <v>7.785934524647492E-10</v>
      </c>
    </row>
    <row r="294" spans="1:11" x14ac:dyDescent="0.2">
      <c r="A294" s="45">
        <f t="shared" ca="1" si="18"/>
        <v>1.0121714882041748E-9</v>
      </c>
      <c r="B294" s="18">
        <f>-SUMIFS(Projetos!$F$2:$F$11,Projetos!$D$2:$D$11,"BRL",Projetos!$N$2:$N$11,Dados!$A294)</f>
        <v>0</v>
      </c>
      <c r="C294" s="45">
        <f ca="1">(A294+B294)*((Indicadores_Economicos!D$2+1)^(1/12)-1)</f>
        <v>3.3135860673414865E-12</v>
      </c>
      <c r="D294" s="18">
        <f>SUMIFS(Projetos!$G$2:$G$11,Projetos!$K$2:$K$11,"&lt;="&amp;Dados!$A294,Projetos!$N$2:$N$11,"&gt;"&amp;Dados!A294,Projetos!$D$2:$D$11,"BRL")</f>
        <v>0</v>
      </c>
      <c r="E294" s="18">
        <f t="shared" ca="1" si="16"/>
        <v>1.0154850742715164E-9</v>
      </c>
      <c r="G294" s="45">
        <f t="shared" ca="1" si="19"/>
        <v>7.785934524647492E-10</v>
      </c>
      <c r="H294" s="18">
        <f>-SUMIFS(Projetos!$F$2:$F$11,Projetos!$D$2:$D$11,"USD",Projetos!$N$2:$N$11,Dados!$A294)</f>
        <v>0</v>
      </c>
      <c r="I294" s="45">
        <f ca="1">(G294+H294)*((Indicadores_Economicos!D$2+1)^(1/12)-1)</f>
        <v>2.5489123594934489E-12</v>
      </c>
      <c r="J294" s="18">
        <f>SUMIFS(Projetos!$G$2:$G$11,Projetos!$K$2:$K$11,"&lt;="&amp;Dados!$A294,Projetos!$N$2:$N$11,"&gt;"&amp;Dados!$A294,Projetos!$D$2:$D$11,"USD")</f>
        <v>0</v>
      </c>
      <c r="K294" s="18">
        <f t="shared" ca="1" si="17"/>
        <v>7.8114236482424267E-10</v>
      </c>
    </row>
    <row r="295" spans="1:11" x14ac:dyDescent="0.2">
      <c r="A295" s="45">
        <f t="shared" ca="1" si="18"/>
        <v>1.0154850742715164E-9</v>
      </c>
      <c r="B295" s="18">
        <f>-SUMIFS(Projetos!$F$2:$F$11,Projetos!$D$2:$D$11,"BRL",Projetos!$N$2:$N$11,Dados!$A295)</f>
        <v>0</v>
      </c>
      <c r="C295" s="45">
        <f ca="1">(A295+B295)*((Indicadores_Economicos!D$2+1)^(1/12)-1)</f>
        <v>3.3244338858718824E-12</v>
      </c>
      <c r="D295" s="18">
        <f>SUMIFS(Projetos!$G$2:$G$11,Projetos!$K$2:$K$11,"&lt;="&amp;Dados!$A295,Projetos!$N$2:$N$11,"&gt;"&amp;Dados!A295,Projetos!$D$2:$D$11,"BRL")</f>
        <v>0</v>
      </c>
      <c r="E295" s="18">
        <f t="shared" ca="1" si="16"/>
        <v>1.0188095081573882E-9</v>
      </c>
      <c r="G295" s="45">
        <f t="shared" ca="1" si="19"/>
        <v>7.8114236482424267E-10</v>
      </c>
      <c r="H295" s="18">
        <f>-SUMIFS(Projetos!$F$2:$F$11,Projetos!$D$2:$D$11,"USD",Projetos!$N$2:$N$11,Dados!$A295)</f>
        <v>0</v>
      </c>
      <c r="I295" s="45">
        <f ca="1">(G295+H295)*((Indicadores_Economicos!D$2+1)^(1/12)-1)</f>
        <v>2.5572568352860613E-12</v>
      </c>
      <c r="J295" s="18">
        <f>SUMIFS(Projetos!$G$2:$G$11,Projetos!$K$2:$K$11,"&lt;="&amp;Dados!$A295,Projetos!$N$2:$N$11,"&gt;"&amp;Dados!$A295,Projetos!$D$2:$D$11,"USD")</f>
        <v>0</v>
      </c>
      <c r="K295" s="18">
        <f t="shared" ca="1" si="17"/>
        <v>7.8369962165952878E-10</v>
      </c>
    </row>
    <row r="296" spans="1:11" x14ac:dyDescent="0.2">
      <c r="A296" s="45">
        <f t="shared" ca="1" si="18"/>
        <v>1.0188095081573882E-9</v>
      </c>
      <c r="B296" s="18">
        <f>-SUMIFS(Projetos!$F$2:$F$11,Projetos!$D$2:$D$11,"BRL",Projetos!$N$2:$N$11,Dados!$A296)</f>
        <v>0</v>
      </c>
      <c r="C296" s="45">
        <f ca="1">(A296+B296)*((Indicadores_Economicos!D$2+1)^(1/12)-1)</f>
        <v>3.3353172173373514E-12</v>
      </c>
      <c r="D296" s="18">
        <f>SUMIFS(Projetos!$G$2:$G$11,Projetos!$K$2:$K$11,"&lt;="&amp;Dados!$A296,Projetos!$N$2:$N$11,"&gt;"&amp;Dados!A296,Projetos!$D$2:$D$11,"BRL")</f>
        <v>0</v>
      </c>
      <c r="E296" s="18">
        <f t="shared" ca="1" si="16"/>
        <v>1.0221448253747255E-9</v>
      </c>
      <c r="G296" s="45">
        <f t="shared" ca="1" si="19"/>
        <v>7.8369962165952878E-10</v>
      </c>
      <c r="H296" s="18">
        <f>-SUMIFS(Projetos!$F$2:$F$11,Projetos!$D$2:$D$11,"USD",Projetos!$N$2:$N$11,Dados!$A296)</f>
        <v>0</v>
      </c>
      <c r="I296" s="45">
        <f ca="1">(G296+H296)*((Indicadores_Economicos!D$2+1)^(1/12)-1)</f>
        <v>2.5656286287210375E-12</v>
      </c>
      <c r="J296" s="18">
        <f>SUMIFS(Projetos!$G$2:$G$11,Projetos!$K$2:$K$11,"&lt;="&amp;Dados!$A296,Projetos!$N$2:$N$11,"&gt;"&amp;Dados!$A296,Projetos!$D$2:$D$11,"USD")</f>
        <v>0</v>
      </c>
      <c r="K296" s="18">
        <f t="shared" ca="1" si="17"/>
        <v>7.8626525028824985E-10</v>
      </c>
    </row>
    <row r="297" spans="1:11" x14ac:dyDescent="0.2">
      <c r="A297" s="45">
        <f t="shared" ca="1" si="18"/>
        <v>1.0221448253747255E-9</v>
      </c>
      <c r="B297" s="18">
        <f>-SUMIFS(Projetos!$F$2:$F$11,Projetos!$D$2:$D$11,"BRL",Projetos!$N$2:$N$11,Dados!$A297)</f>
        <v>0</v>
      </c>
      <c r="C297" s="45">
        <f ca="1">(A297+B297)*((Indicadores_Economicos!D$2+1)^(1/12)-1)</f>
        <v>3.3462361779980013E-12</v>
      </c>
      <c r="D297" s="18">
        <f>SUMIFS(Projetos!$G$2:$G$11,Projetos!$K$2:$K$11,"&lt;="&amp;Dados!$A297,Projetos!$N$2:$N$11,"&gt;"&amp;Dados!A297,Projetos!$D$2:$D$11,"BRL")</f>
        <v>0</v>
      </c>
      <c r="E297" s="18">
        <f t="shared" ca="1" si="16"/>
        <v>1.0254910615527234E-9</v>
      </c>
      <c r="G297" s="45">
        <f t="shared" ca="1" si="19"/>
        <v>7.8626525028824985E-10</v>
      </c>
      <c r="H297" s="18">
        <f>-SUMIFS(Projetos!$F$2:$F$11,Projetos!$D$2:$D$11,"USD",Projetos!$N$2:$N$11,Dados!$A297)</f>
        <v>0</v>
      </c>
      <c r="I297" s="45">
        <f ca="1">(G297+H297)*((Indicadores_Economicos!D$2+1)^(1/12)-1)</f>
        <v>2.5740278292292299E-12</v>
      </c>
      <c r="J297" s="18">
        <f>SUMIFS(Projetos!$G$2:$G$11,Projetos!$K$2:$K$11,"&lt;="&amp;Dados!$A297,Projetos!$N$2:$N$11,"&gt;"&amp;Dados!$A297,Projetos!$D$2:$D$11,"USD")</f>
        <v>0</v>
      </c>
      <c r="K297" s="18">
        <f t="shared" ca="1" si="17"/>
        <v>7.8883927811747903E-10</v>
      </c>
    </row>
    <row r="298" spans="1:11" x14ac:dyDescent="0.2">
      <c r="A298" s="45">
        <f t="shared" ca="1" si="18"/>
        <v>1.0254910615527234E-9</v>
      </c>
      <c r="B298" s="18">
        <f>-SUMIFS(Projetos!$F$2:$F$11,Projetos!$D$2:$D$11,"BRL",Projetos!$N$2:$N$11,Dados!$A298)</f>
        <v>0</v>
      </c>
      <c r="C298" s="45">
        <f ca="1">(A298+B298)*((Indicadores_Economicos!D$2+1)^(1/12)-1)</f>
        <v>3.3571908844945461E-12</v>
      </c>
      <c r="D298" s="18">
        <f>SUMIFS(Projetos!$G$2:$G$11,Projetos!$K$2:$K$11,"&lt;="&amp;Dados!$A298,Projetos!$N$2:$N$11,"&gt;"&amp;Dados!A298,Projetos!$D$2:$D$11,"BRL")</f>
        <v>0</v>
      </c>
      <c r="E298" s="18">
        <f t="shared" ca="1" si="16"/>
        <v>1.0288482524372179E-9</v>
      </c>
      <c r="G298" s="45">
        <f t="shared" ca="1" si="19"/>
        <v>7.8883927811747903E-10</v>
      </c>
      <c r="H298" s="18">
        <f>-SUMIFS(Projetos!$F$2:$F$11,Projetos!$D$2:$D$11,"USD",Projetos!$N$2:$N$11,Dados!$A298)</f>
        <v>0</v>
      </c>
      <c r="I298" s="45">
        <f ca="1">(G298+H298)*((Indicadores_Economicos!D$2+1)^(1/12)-1)</f>
        <v>2.5824545265342649E-12</v>
      </c>
      <c r="J298" s="18">
        <f>SUMIFS(Projetos!$G$2:$G$11,Projetos!$K$2:$K$11,"&lt;="&amp;Dados!$A298,Projetos!$N$2:$N$11,"&gt;"&amp;Dados!$A298,Projetos!$D$2:$D$11,"USD")</f>
        <v>0</v>
      </c>
      <c r="K298" s="18">
        <f t="shared" ca="1" si="17"/>
        <v>7.9142173264401334E-10</v>
      </c>
    </row>
    <row r="299" spans="1:11" x14ac:dyDescent="0.2">
      <c r="A299" s="45">
        <f t="shared" ca="1" si="18"/>
        <v>1.0288482524372179E-9</v>
      </c>
      <c r="B299" s="18">
        <f>-SUMIFS(Projetos!$F$2:$F$11,Projetos!$D$2:$D$11,"BRL",Projetos!$N$2:$N$11,Dados!$A299)</f>
        <v>0</v>
      </c>
      <c r="C299" s="45">
        <f ca="1">(A299+B299)*((Indicadores_Economicos!D$2+1)^(1/12)-1)</f>
        <v>3.3681814538495515E-12</v>
      </c>
      <c r="D299" s="18">
        <f>SUMIFS(Projetos!$G$2:$G$11,Projetos!$K$2:$K$11,"&lt;="&amp;Dados!$A299,Projetos!$N$2:$N$11,"&gt;"&amp;Dados!A299,Projetos!$D$2:$D$11,"BRL")</f>
        <v>0</v>
      </c>
      <c r="E299" s="18">
        <f t="shared" ca="1" si="16"/>
        <v>1.0322164338910673E-9</v>
      </c>
      <c r="G299" s="45">
        <f t="shared" ca="1" si="19"/>
        <v>7.9142173264401334E-10</v>
      </c>
      <c r="H299" s="18">
        <f>-SUMIFS(Projetos!$F$2:$F$11,Projetos!$D$2:$D$11,"USD",Projetos!$N$2:$N$11,Dados!$A299)</f>
        <v>0</v>
      </c>
      <c r="I299" s="45">
        <f ca="1">(G299+H299)*((Indicadores_Economicos!D$2+1)^(1/12)-1)</f>
        <v>2.5909088106534999E-12</v>
      </c>
      <c r="J299" s="18">
        <f>SUMIFS(Projetos!$G$2:$G$11,Projetos!$K$2:$K$11,"&lt;="&amp;Dados!$A299,Projetos!$N$2:$N$11,"&gt;"&amp;Dados!$A299,Projetos!$D$2:$D$11,"USD")</f>
        <v>0</v>
      </c>
      <c r="K299" s="18">
        <f t="shared" ca="1" si="17"/>
        <v>7.940126414546668E-10</v>
      </c>
    </row>
    <row r="300" spans="1:11" x14ac:dyDescent="0.2">
      <c r="A300" s="45">
        <f t="shared" ca="1" si="18"/>
        <v>1.0322164338910673E-9</v>
      </c>
      <c r="B300" s="18">
        <f>-SUMIFS(Projetos!$F$2:$F$11,Projetos!$D$2:$D$11,"BRL",Projetos!$N$2:$N$11,Dados!$A300)</f>
        <v>0</v>
      </c>
      <c r="C300" s="45">
        <f ca="1">(A300+B300)*((Indicadores_Economicos!D$2+1)^(1/12)-1)</f>
        <v>3.3792080034686831E-12</v>
      </c>
      <c r="D300" s="18">
        <f>SUMIFS(Projetos!$G$2:$G$11,Projetos!$K$2:$K$11,"&lt;="&amp;Dados!$A300,Projetos!$N$2:$N$11,"&gt;"&amp;Dados!A300,Projetos!$D$2:$D$11,"BRL")</f>
        <v>0</v>
      </c>
      <c r="E300" s="18">
        <f t="shared" ca="1" si="16"/>
        <v>1.035595641894536E-9</v>
      </c>
      <c r="G300" s="45">
        <f t="shared" ca="1" si="19"/>
        <v>7.940126414546668E-10</v>
      </c>
      <c r="H300" s="18">
        <f>-SUMIFS(Projetos!$F$2:$F$11,Projetos!$D$2:$D$11,"USD",Projetos!$N$2:$N$11,Dados!$A300)</f>
        <v>0</v>
      </c>
      <c r="I300" s="45">
        <f ca="1">(G300+H300)*((Indicadores_Economicos!D$2+1)^(1/12)-1)</f>
        <v>2.5993907718989858E-12</v>
      </c>
      <c r="J300" s="18">
        <f>SUMIFS(Projetos!$G$2:$G$11,Projetos!$K$2:$K$11,"&lt;="&amp;Dados!$A300,Projetos!$N$2:$N$11,"&gt;"&amp;Dados!$A300,Projetos!$D$2:$D$11,"USD")</f>
        <v>0</v>
      </c>
      <c r="K300" s="18">
        <f t="shared" ca="1" si="17"/>
        <v>7.9661203222656574E-10</v>
      </c>
    </row>
    <row r="301" spans="1:11" x14ac:dyDescent="0.2">
      <c r="A301" s="45">
        <f t="shared" ca="1" si="18"/>
        <v>1.035595641894536E-9</v>
      </c>
      <c r="B301" s="18">
        <f>-SUMIFS(Projetos!$F$2:$F$11,Projetos!$D$2:$D$11,"BRL",Projetos!$N$2:$N$11,Dados!$A301)</f>
        <v>0</v>
      </c>
      <c r="C301" s="45">
        <f ca="1">(A301+B301)*((Indicadores_Economicos!D$2+1)^(1/12)-1)</f>
        <v>3.3902706511419635E-12</v>
      </c>
      <c r="D301" s="18">
        <f>SUMIFS(Projetos!$G$2:$G$11,Projetos!$K$2:$K$11,"&lt;="&amp;Dados!$A301,Projetos!$N$2:$N$11,"&gt;"&amp;Dados!A301,Projetos!$D$2:$D$11,"BRL")</f>
        <v>0</v>
      </c>
      <c r="E301" s="18">
        <f t="shared" ca="1" si="16"/>
        <v>1.038985912545678E-9</v>
      </c>
      <c r="G301" s="45">
        <f t="shared" ca="1" si="19"/>
        <v>7.9661203222656574E-10</v>
      </c>
      <c r="H301" s="18">
        <f>-SUMIFS(Projetos!$F$2:$F$11,Projetos!$D$2:$D$11,"USD",Projetos!$N$2:$N$11,Dados!$A301)</f>
        <v>0</v>
      </c>
      <c r="I301" s="45">
        <f ca="1">(G301+H301)*((Indicadores_Economicos!D$2+1)^(1/12)-1)</f>
        <v>2.607900500878432E-12</v>
      </c>
      <c r="J301" s="18">
        <f>SUMIFS(Projetos!$G$2:$G$11,Projetos!$K$2:$K$11,"&lt;="&amp;Dados!$A301,Projetos!$N$2:$N$11,"&gt;"&amp;Dados!$A301,Projetos!$D$2:$D$11,"USD")</f>
        <v>0</v>
      </c>
      <c r="K301" s="18">
        <f t="shared" ca="1" si="17"/>
        <v>7.9921993272744418E-10</v>
      </c>
    </row>
    <row r="302" spans="1:11" x14ac:dyDescent="0.2">
      <c r="A302" s="45">
        <f t="shared" ca="1" si="18"/>
        <v>1.038985912545678E-9</v>
      </c>
      <c r="B302" s="18">
        <f>-SUMIFS(Projetos!$F$2:$F$11,Projetos!$D$2:$D$11,"BRL",Projetos!$N$2:$N$11,Dados!$A302)</f>
        <v>0</v>
      </c>
      <c r="C302" s="45">
        <f ca="1">(A302+B302)*((Indicadores_Economicos!D$2+1)^(1/12)-1)</f>
        <v>3.4013695150450286E-12</v>
      </c>
      <c r="D302" s="18">
        <f>SUMIFS(Projetos!$G$2:$G$11,Projetos!$K$2:$K$11,"&lt;="&amp;Dados!$A302,Projetos!$N$2:$N$11,"&gt;"&amp;Dados!A302,Projetos!$D$2:$D$11,"BRL")</f>
        <v>0</v>
      </c>
      <c r="E302" s="18">
        <f t="shared" ca="1" si="16"/>
        <v>1.042387282060723E-9</v>
      </c>
      <c r="G302" s="45">
        <f t="shared" ca="1" si="19"/>
        <v>7.9921993272744418E-10</v>
      </c>
      <c r="H302" s="18">
        <f>-SUMIFS(Projetos!$F$2:$F$11,Projetos!$D$2:$D$11,"USD",Projetos!$N$2:$N$11,Dados!$A302)</f>
        <v>0</v>
      </c>
      <c r="I302" s="45">
        <f ca="1">(G302+H302)*((Indicadores_Economicos!D$2+1)^(1/12)-1)</f>
        <v>2.6164380884961741E-12</v>
      </c>
      <c r="J302" s="18">
        <f>SUMIFS(Projetos!$G$2:$G$11,Projetos!$K$2:$K$11,"&lt;="&amp;Dados!$A302,Projetos!$N$2:$N$11,"&gt;"&amp;Dados!$A302,Projetos!$D$2:$D$11,"USD")</f>
        <v>0</v>
      </c>
      <c r="K302" s="18">
        <f t="shared" ca="1" si="17"/>
        <v>8.0183637081594032E-10</v>
      </c>
    </row>
    <row r="303" spans="1:11" x14ac:dyDescent="0.2">
      <c r="A303" s="45">
        <f t="shared" ca="1" si="18"/>
        <v>1.042387282060723E-9</v>
      </c>
      <c r="B303" s="18">
        <f>-SUMIFS(Projetos!$F$2:$F$11,Projetos!$D$2:$D$11,"BRL",Projetos!$N$2:$N$11,Dados!$A303)</f>
        <v>0</v>
      </c>
      <c r="C303" s="45">
        <f ca="1">(A303+B303)*((Indicadores_Economicos!D$2+1)^(1/12)-1)</f>
        <v>3.4125047137403898E-12</v>
      </c>
      <c r="D303" s="18">
        <f>SUMIFS(Projetos!$G$2:$G$11,Projetos!$K$2:$K$11,"&lt;="&amp;Dados!$A303,Projetos!$N$2:$N$11,"&gt;"&amp;Dados!A303,Projetos!$D$2:$D$11,"BRL")</f>
        <v>0</v>
      </c>
      <c r="E303" s="18">
        <f t="shared" ca="1" si="16"/>
        <v>1.0457997867744635E-9</v>
      </c>
      <c r="G303" s="45">
        <f t="shared" ca="1" si="19"/>
        <v>8.0183637081594032E-10</v>
      </c>
      <c r="H303" s="18">
        <f>-SUMIFS(Projetos!$F$2:$F$11,Projetos!$D$2:$D$11,"USD",Projetos!$N$2:$N$11,Dados!$A303)</f>
        <v>0</v>
      </c>
      <c r="I303" s="45">
        <f ca="1">(G303+H303)*((Indicadores_Economicos!D$2+1)^(1/12)-1)</f>
        <v>2.6250036259541447E-12</v>
      </c>
      <c r="J303" s="18">
        <f>SUMIFS(Projetos!$G$2:$G$11,Projetos!$K$2:$K$11,"&lt;="&amp;Dados!$A303,Projetos!$N$2:$N$11,"&gt;"&amp;Dados!$A303,Projetos!$D$2:$D$11,"USD")</f>
        <v>0</v>
      </c>
      <c r="K303" s="18">
        <f t="shared" ca="1" si="17"/>
        <v>8.0446137444189447E-10</v>
      </c>
    </row>
    <row r="304" spans="1:11" x14ac:dyDescent="0.2">
      <c r="A304" s="45">
        <f t="shared" ca="1" si="18"/>
        <v>1.0457997867744635E-9</v>
      </c>
      <c r="B304" s="18">
        <f>-SUMIFS(Projetos!$F$2:$F$11,Projetos!$D$2:$D$11,"BRL",Projetos!$N$2:$N$11,Dados!$A304)</f>
        <v>0</v>
      </c>
      <c r="C304" s="45">
        <f ca="1">(A304+B304)*((Indicadores_Economicos!D$2+1)^(1/12)-1)</f>
        <v>3.4236763661787033E-12</v>
      </c>
      <c r="D304" s="18">
        <f>SUMIFS(Projetos!$G$2:$G$11,Projetos!$K$2:$K$11,"&lt;="&amp;Dados!$A304,Projetos!$N$2:$N$11,"&gt;"&amp;Dados!A304,Projetos!$D$2:$D$11,"BRL")</f>
        <v>0</v>
      </c>
      <c r="E304" s="18">
        <f t="shared" ca="1" si="16"/>
        <v>1.0492234631406422E-9</v>
      </c>
      <c r="G304" s="45">
        <f t="shared" ca="1" si="19"/>
        <v>8.0446137444189447E-10</v>
      </c>
      <c r="H304" s="18">
        <f>-SUMIFS(Projetos!$F$2:$F$11,Projetos!$D$2:$D$11,"USD",Projetos!$N$2:$N$11,Dados!$A304)</f>
        <v>0</v>
      </c>
      <c r="I304" s="45">
        <f ca="1">(G304+H304)*((Indicadores_Economicos!D$2+1)^(1/12)-1)</f>
        <v>2.6335972047528469E-12</v>
      </c>
      <c r="J304" s="18">
        <f>SUMIFS(Projetos!$G$2:$G$11,Projetos!$K$2:$K$11,"&lt;="&amp;Dados!$A304,Projetos!$N$2:$N$11,"&gt;"&amp;Dados!$A304,Projetos!$D$2:$D$11,"USD")</f>
        <v>0</v>
      </c>
      <c r="K304" s="18">
        <f t="shared" ca="1" si="17"/>
        <v>8.0709497164664731E-10</v>
      </c>
    </row>
    <row r="305" spans="1:11" x14ac:dyDescent="0.2">
      <c r="A305" s="45">
        <f t="shared" ca="1" si="18"/>
        <v>1.0492234631406422E-9</v>
      </c>
      <c r="B305" s="18">
        <f>-SUMIFS(Projetos!$F$2:$F$11,Projetos!$D$2:$D$11,"BRL",Projetos!$N$2:$N$11,Dados!$A305)</f>
        <v>0</v>
      </c>
      <c r="C305" s="45">
        <f ca="1">(A305+B305)*((Indicadores_Economicos!D$2+1)^(1/12)-1)</f>
        <v>3.4348845917000368E-12</v>
      </c>
      <c r="D305" s="18">
        <f>SUMIFS(Projetos!$G$2:$G$11,Projetos!$K$2:$K$11,"&lt;="&amp;Dados!$A305,Projetos!$N$2:$N$11,"&gt;"&amp;Dados!A305,Projetos!$D$2:$D$11,"BRL")</f>
        <v>0</v>
      </c>
      <c r="E305" s="18">
        <f t="shared" ca="1" si="16"/>
        <v>1.0526583477323423E-9</v>
      </c>
      <c r="G305" s="45">
        <f t="shared" ca="1" si="19"/>
        <v>8.0709497164664731E-10</v>
      </c>
      <c r="H305" s="18">
        <f>-SUMIFS(Projetos!$F$2:$F$11,Projetos!$D$2:$D$11,"USD",Projetos!$N$2:$N$11,Dados!$A305)</f>
        <v>0</v>
      </c>
      <c r="I305" s="45">
        <f ca="1">(G305+H305)*((Indicadores_Economicos!D$2+1)^(1/12)-1)</f>
        <v>2.6422189166923341E-12</v>
      </c>
      <c r="J305" s="18">
        <f>SUMIFS(Projetos!$G$2:$G$11,Projetos!$K$2:$K$11,"&lt;="&amp;Dados!$A305,Projetos!$N$2:$N$11,"&gt;"&amp;Dados!$A305,Projetos!$D$2:$D$11,"USD")</f>
        <v>0</v>
      </c>
      <c r="K305" s="18">
        <f t="shared" ca="1" si="17"/>
        <v>8.097371905633396E-10</v>
      </c>
    </row>
    <row r="306" spans="1:11" x14ac:dyDescent="0.2">
      <c r="A306" s="45">
        <f t="shared" ca="1" si="18"/>
        <v>1.0526583477323423E-9</v>
      </c>
      <c r="B306" s="18">
        <f>-SUMIFS(Projetos!$F$2:$F$11,Projetos!$D$2:$D$11,"BRL",Projetos!$N$2:$N$11,Dados!$A306)</f>
        <v>0</v>
      </c>
      <c r="C306" s="45">
        <f ca="1">(A306+B306)*((Indicadores_Economicos!D$2+1)^(1/12)-1)</f>
        <v>3.4461295100351477E-12</v>
      </c>
      <c r="D306" s="18">
        <f>SUMIFS(Projetos!$G$2:$G$11,Projetos!$K$2:$K$11,"&lt;="&amp;Dados!$A306,Projetos!$N$2:$N$11,"&gt;"&amp;Dados!A306,Projetos!$D$2:$D$11,"BRL")</f>
        <v>0</v>
      </c>
      <c r="E306" s="18">
        <f t="shared" ca="1" si="16"/>
        <v>1.0561044772423775E-9</v>
      </c>
      <c r="G306" s="45">
        <f t="shared" ca="1" si="19"/>
        <v>8.097371905633396E-10</v>
      </c>
      <c r="H306" s="18">
        <f>-SUMIFS(Projetos!$F$2:$F$11,Projetos!$D$2:$D$11,"USD",Projetos!$N$2:$N$11,Dados!$A306)</f>
        <v>0</v>
      </c>
      <c r="I306" s="45">
        <f ca="1">(G306+H306)*((Indicadores_Economicos!D$2+1)^(1/12)-1)</f>
        <v>2.6508688538731881E-12</v>
      </c>
      <c r="J306" s="18">
        <f>SUMIFS(Projetos!$G$2:$G$11,Projetos!$K$2:$K$11,"&lt;="&amp;Dados!$A306,Projetos!$N$2:$N$11,"&gt;"&amp;Dados!$A306,Projetos!$D$2:$D$11,"USD")</f>
        <v>0</v>
      </c>
      <c r="K306" s="18">
        <f t="shared" ca="1" si="17"/>
        <v>8.1238805941721276E-10</v>
      </c>
    </row>
    <row r="307" spans="1:11" x14ac:dyDescent="0.2">
      <c r="A307" s="45">
        <f t="shared" ca="1" si="18"/>
        <v>1.0561044772423775E-9</v>
      </c>
      <c r="B307" s="18">
        <f>-SUMIFS(Projetos!$F$2:$F$11,Projetos!$D$2:$D$11,"BRL",Projetos!$N$2:$N$11,Dados!$A307)</f>
        <v>0</v>
      </c>
      <c r="C307" s="45">
        <f ca="1">(A307+B307)*((Indicadores_Economicos!D$2+1)^(1/12)-1)</f>
        <v>3.4574112413067593E-12</v>
      </c>
      <c r="D307" s="18">
        <f>SUMIFS(Projetos!$G$2:$G$11,Projetos!$K$2:$K$11,"&lt;="&amp;Dados!$A307,Projetos!$N$2:$N$11,"&gt;"&amp;Dados!A307,Projetos!$D$2:$D$11,"BRL")</f>
        <v>0</v>
      </c>
      <c r="E307" s="18">
        <f t="shared" ca="1" si="16"/>
        <v>1.0595618884836842E-9</v>
      </c>
      <c r="G307" s="45">
        <f t="shared" ca="1" si="19"/>
        <v>8.1238805941721276E-10</v>
      </c>
      <c r="H307" s="18">
        <f>-SUMIFS(Projetos!$F$2:$F$11,Projetos!$D$2:$D$11,"USD",Projetos!$N$2:$N$11,Dados!$A307)</f>
        <v>0</v>
      </c>
      <c r="I307" s="45">
        <f ca="1">(G307+H307)*((Indicadores_Economicos!D$2+1)^(1/12)-1)</f>
        <v>2.6595471086975047E-12</v>
      </c>
      <c r="J307" s="18">
        <f>SUMIFS(Projetos!$G$2:$G$11,Projetos!$K$2:$K$11,"&lt;="&amp;Dados!$A307,Projetos!$N$2:$N$11,"&gt;"&amp;Dados!$A307,Projetos!$D$2:$D$11,"USD")</f>
        <v>0</v>
      </c>
      <c r="K307" s="18">
        <f t="shared" ca="1" si="17"/>
        <v>8.1504760652591029E-10</v>
      </c>
    </row>
    <row r="308" spans="1:11" x14ac:dyDescent="0.2">
      <c r="A308" s="45">
        <f t="shared" ca="1" si="18"/>
        <v>1.0595618884836842E-9</v>
      </c>
      <c r="B308" s="18">
        <f>-SUMIFS(Projetos!$F$2:$F$11,Projetos!$D$2:$D$11,"BRL",Projetos!$N$2:$N$11,Dados!$A308)</f>
        <v>0</v>
      </c>
      <c r="C308" s="45">
        <f ca="1">(A308+B308)*((Indicadores_Economicos!D$2+1)^(1/12)-1)</f>
        <v>3.4687299060308469E-12</v>
      </c>
      <c r="D308" s="18">
        <f>SUMIFS(Projetos!$G$2:$G$11,Projetos!$K$2:$K$11,"&lt;="&amp;Dados!$A308,Projetos!$N$2:$N$11,"&gt;"&amp;Dados!A308,Projetos!$D$2:$D$11,"BRL")</f>
        <v>0</v>
      </c>
      <c r="E308" s="18">
        <f t="shared" ca="1" si="16"/>
        <v>1.063030618389715E-9</v>
      </c>
      <c r="G308" s="45">
        <f t="shared" ca="1" si="19"/>
        <v>8.1504760652591029E-10</v>
      </c>
      <c r="H308" s="18">
        <f>-SUMIFS(Projetos!$F$2:$F$11,Projetos!$D$2:$D$11,"USD",Projetos!$N$2:$N$11,Dados!$A308)</f>
        <v>0</v>
      </c>
      <c r="I308" s="45">
        <f ca="1">(G308+H308)*((Indicadores_Economicos!D$2+1)^(1/12)-1)</f>
        <v>2.6682537738698801E-12</v>
      </c>
      <c r="J308" s="18">
        <f>SUMIFS(Projetos!$G$2:$G$11,Projetos!$K$2:$K$11,"&lt;="&amp;Dados!$A308,Projetos!$N$2:$N$11,"&gt;"&amp;Dados!$A308,Projetos!$D$2:$D$11,"USD")</f>
        <v>0</v>
      </c>
      <c r="K308" s="18">
        <f t="shared" ca="1" si="17"/>
        <v>8.1771586029978019E-10</v>
      </c>
    </row>
    <row r="309" spans="1:11" x14ac:dyDescent="0.2">
      <c r="A309" s="45">
        <f t="shared" ca="1" si="18"/>
        <v>1.063030618389715E-9</v>
      </c>
      <c r="B309" s="18">
        <f>-SUMIFS(Projetos!$F$2:$F$11,Projetos!$D$2:$D$11,"BRL",Projetos!$N$2:$N$11,Dados!$A309)</f>
        <v>0</v>
      </c>
      <c r="C309" s="45">
        <f ca="1">(A309+B309)*((Indicadores_Economicos!D$2+1)^(1/12)-1)</f>
        <v>3.4800856251179228E-12</v>
      </c>
      <c r="D309" s="18">
        <f>SUMIFS(Projetos!$G$2:$G$11,Projetos!$K$2:$K$11,"&lt;="&amp;Dados!$A309,Projetos!$N$2:$N$11,"&gt;"&amp;Dados!A309,Projetos!$D$2:$D$11,"BRL")</f>
        <v>0</v>
      </c>
      <c r="E309" s="18">
        <f t="shared" ca="1" si="16"/>
        <v>1.0665107040148329E-9</v>
      </c>
      <c r="G309" s="45">
        <f t="shared" ca="1" si="19"/>
        <v>8.1771586029978019E-10</v>
      </c>
      <c r="H309" s="18">
        <f>-SUMIFS(Projetos!$F$2:$F$11,Projetos!$D$2:$D$11,"USD",Projetos!$N$2:$N$11,Dados!$A309)</f>
        <v>0</v>
      </c>
      <c r="I309" s="45">
        <f ca="1">(G309+H309)*((Indicadores_Economicos!D$2+1)^(1/12)-1)</f>
        <v>2.6769889423984005E-12</v>
      </c>
      <c r="J309" s="18">
        <f>SUMIFS(Projetos!$G$2:$G$11,Projetos!$K$2:$K$11,"&lt;="&amp;Dados!$A309,Projetos!$N$2:$N$11,"&gt;"&amp;Dados!$A309,Projetos!$D$2:$D$11,"USD")</f>
        <v>0</v>
      </c>
      <c r="K309" s="18">
        <f t="shared" ca="1" si="17"/>
        <v>8.2039284924217856E-10</v>
      </c>
    </row>
    <row r="310" spans="1:11" x14ac:dyDescent="0.2">
      <c r="A310" s="45">
        <f t="shared" ca="1" si="18"/>
        <v>1.0665107040148329E-9</v>
      </c>
      <c r="B310" s="18">
        <f>-SUMIFS(Projetos!$F$2:$F$11,Projetos!$D$2:$D$11,"BRL",Projetos!$N$2:$N$11,Dados!$A310)</f>
        <v>0</v>
      </c>
      <c r="C310" s="45">
        <f ca="1">(A310+B310)*((Indicadores_Economicos!D$2+1)^(1/12)-1)</f>
        <v>3.49147851987433E-12</v>
      </c>
      <c r="D310" s="18">
        <f>SUMIFS(Projetos!$G$2:$G$11,Projetos!$K$2:$K$11,"&lt;="&amp;Dados!$A310,Projetos!$N$2:$N$11,"&gt;"&amp;Dados!A310,Projetos!$D$2:$D$11,"BRL")</f>
        <v>0</v>
      </c>
      <c r="E310" s="18">
        <f t="shared" ca="1" si="16"/>
        <v>1.0700021825347072E-9</v>
      </c>
      <c r="G310" s="45">
        <f t="shared" ca="1" si="19"/>
        <v>8.2039284924217856E-10</v>
      </c>
      <c r="H310" s="18">
        <f>-SUMIFS(Projetos!$F$2:$F$11,Projetos!$D$2:$D$11,"USD",Projetos!$N$2:$N$11,Dados!$A310)</f>
        <v>0</v>
      </c>
      <c r="I310" s="45">
        <f ca="1">(G310+H310)*((Indicadores_Economicos!D$2+1)^(1/12)-1)</f>
        <v>2.6857527075956363E-12</v>
      </c>
      <c r="J310" s="18">
        <f>SUMIFS(Projetos!$G$2:$G$11,Projetos!$K$2:$K$11,"&lt;="&amp;Dados!$A310,Projetos!$N$2:$N$11,"&gt;"&amp;Dados!$A310,Projetos!$D$2:$D$11,"USD")</f>
        <v>0</v>
      </c>
      <c r="K310" s="18">
        <f t="shared" ca="1" si="17"/>
        <v>8.2307860194977418E-10</v>
      </c>
    </row>
    <row r="311" spans="1:11" x14ac:dyDescent="0.2">
      <c r="A311" s="45">
        <f t="shared" ca="1" si="18"/>
        <v>1.0700021825347072E-9</v>
      </c>
      <c r="B311" s="18">
        <f>-SUMIFS(Projetos!$F$2:$F$11,Projetos!$D$2:$D$11,"BRL",Projetos!$N$2:$N$11,Dados!$A311)</f>
        <v>0</v>
      </c>
      <c r="C311" s="45">
        <f ca="1">(A311+B311)*((Indicadores_Economicos!D$2+1)^(1/12)-1)</f>
        <v>3.5029087120035355E-12</v>
      </c>
      <c r="D311" s="18">
        <f>SUMIFS(Projetos!$G$2:$G$11,Projetos!$K$2:$K$11,"&lt;="&amp;Dados!$A311,Projetos!$N$2:$N$11,"&gt;"&amp;Dados!A311,Projetos!$D$2:$D$11,"BRL")</f>
        <v>0</v>
      </c>
      <c r="E311" s="18">
        <f t="shared" ca="1" si="16"/>
        <v>1.0735050912467107E-9</v>
      </c>
      <c r="G311" s="45">
        <f t="shared" ca="1" si="19"/>
        <v>8.2307860194977418E-10</v>
      </c>
      <c r="H311" s="18">
        <f>-SUMIFS(Projetos!$F$2:$F$11,Projetos!$D$2:$D$11,"USD",Projetos!$N$2:$N$11,Dados!$A311)</f>
        <v>0</v>
      </c>
      <c r="I311" s="45">
        <f ca="1">(G311+H311)*((Indicadores_Economicos!D$2+1)^(1/12)-1)</f>
        <v>2.6945451630796409E-12</v>
      </c>
      <c r="J311" s="18">
        <f>SUMIFS(Projetos!$G$2:$G$11,Projetos!$K$2:$K$11,"&lt;="&amp;Dados!$A311,Projetos!$N$2:$N$11,"&gt;"&amp;Dados!$A311,Projetos!$D$2:$D$11,"USD")</f>
        <v>0</v>
      </c>
      <c r="K311" s="18">
        <f t="shared" ca="1" si="17"/>
        <v>8.2577314711285388E-10</v>
      </c>
    </row>
    <row r="312" spans="1:11" x14ac:dyDescent="0.2">
      <c r="A312" s="45">
        <f t="shared" ca="1" si="18"/>
        <v>1.0735050912467107E-9</v>
      </c>
      <c r="B312" s="18">
        <f>-SUMIFS(Projetos!$F$2:$F$11,Projetos!$D$2:$D$11,"BRL",Projetos!$N$2:$N$11,Dados!$A312)</f>
        <v>0</v>
      </c>
      <c r="C312" s="45">
        <f ca="1">(A312+B312)*((Indicadores_Economicos!D$2+1)^(1/12)-1)</f>
        <v>3.5143763236074327E-12</v>
      </c>
      <c r="D312" s="18">
        <f>SUMIFS(Projetos!$G$2:$G$11,Projetos!$K$2:$K$11,"&lt;="&amp;Dados!$A312,Projetos!$N$2:$N$11,"&gt;"&amp;Dados!A312,Projetos!$D$2:$D$11,"BRL")</f>
        <v>0</v>
      </c>
      <c r="E312" s="18">
        <f t="shared" ca="1" si="16"/>
        <v>1.077019467570318E-9</v>
      </c>
      <c r="G312" s="45">
        <f t="shared" ca="1" si="19"/>
        <v>8.2577314711285388E-10</v>
      </c>
      <c r="H312" s="18">
        <f>-SUMIFS(Projetos!$F$2:$F$11,Projetos!$D$2:$D$11,"USD",Projetos!$N$2:$N$11,Dados!$A312)</f>
        <v>0</v>
      </c>
      <c r="I312" s="45">
        <f ca="1">(G312+H312)*((Indicadores_Economicos!D$2+1)^(1/12)-1)</f>
        <v>2.7033664027749466E-12</v>
      </c>
      <c r="J312" s="18">
        <f>SUMIFS(Projetos!$G$2:$G$11,Projetos!$K$2:$K$11,"&lt;="&amp;Dados!$A312,Projetos!$N$2:$N$11,"&gt;"&amp;Dados!$A312,Projetos!$D$2:$D$11,"USD")</f>
        <v>0</v>
      </c>
      <c r="K312" s="18">
        <f t="shared" ca="1" si="17"/>
        <v>8.2847651351562884E-10</v>
      </c>
    </row>
    <row r="313" spans="1:11" x14ac:dyDescent="0.2">
      <c r="A313" s="45">
        <f t="shared" ca="1" si="18"/>
        <v>1.077019467570318E-9</v>
      </c>
      <c r="B313" s="18">
        <f>-SUMIFS(Projetos!$F$2:$F$11,Projetos!$D$2:$D$11,"BRL",Projetos!$N$2:$N$11,Dados!$A313)</f>
        <v>0</v>
      </c>
      <c r="C313" s="45">
        <f ca="1">(A313+B313)*((Indicadores_Economicos!D$2+1)^(1/12)-1)</f>
        <v>3.5258814771876439E-12</v>
      </c>
      <c r="D313" s="18">
        <f>SUMIFS(Projetos!$G$2:$G$11,Projetos!$K$2:$K$11,"&lt;="&amp;Dados!$A313,Projetos!$N$2:$N$11,"&gt;"&amp;Dados!A313,Projetos!$D$2:$D$11,"BRL")</f>
        <v>0</v>
      </c>
      <c r="E313" s="18">
        <f t="shared" ca="1" si="16"/>
        <v>1.0805453490475056E-9</v>
      </c>
      <c r="G313" s="45">
        <f t="shared" ca="1" si="19"/>
        <v>8.2847651351562884E-10</v>
      </c>
      <c r="H313" s="18">
        <f>-SUMIFS(Projetos!$F$2:$F$11,Projetos!$D$2:$D$11,"USD",Projetos!$N$2:$N$11,Dados!$A313)</f>
        <v>0</v>
      </c>
      <c r="I313" s="45">
        <f ca="1">(G313+H313)*((Indicadores_Economicos!D$2+1)^(1/12)-1)</f>
        <v>2.7122165209135706E-12</v>
      </c>
      <c r="J313" s="18">
        <f>SUMIFS(Projetos!$G$2:$G$11,Projetos!$K$2:$K$11,"&lt;="&amp;Dados!$A313,Projetos!$N$2:$N$11,"&gt;"&amp;Dados!$A313,Projetos!$D$2:$D$11,"USD")</f>
        <v>0</v>
      </c>
      <c r="K313" s="18">
        <f t="shared" ca="1" si="17"/>
        <v>8.3118873003654239E-10</v>
      </c>
    </row>
    <row r="314" spans="1:11" x14ac:dyDescent="0.2">
      <c r="A314" s="45">
        <f t="shared" ca="1" si="18"/>
        <v>1.0805453490475056E-9</v>
      </c>
      <c r="B314" s="18">
        <f>-SUMIFS(Projetos!$F$2:$F$11,Projetos!$D$2:$D$11,"BRL",Projetos!$N$2:$N$11,Dados!$A314)</f>
        <v>0</v>
      </c>
      <c r="C314" s="45">
        <f ca="1">(A314+B314)*((Indicadores_Economicos!D$2+1)^(1/12)-1)</f>
        <v>3.5374242956468309E-12</v>
      </c>
      <c r="D314" s="18">
        <f>SUMIFS(Projetos!$G$2:$G$11,Projetos!$K$2:$K$11,"&lt;="&amp;Dados!$A314,Projetos!$N$2:$N$11,"&gt;"&amp;Dados!A314,Projetos!$D$2:$D$11,"BRL")</f>
        <v>0</v>
      </c>
      <c r="E314" s="18">
        <f t="shared" ca="1" si="16"/>
        <v>1.0840827733431524E-9</v>
      </c>
      <c r="G314" s="45">
        <f t="shared" ca="1" si="19"/>
        <v>8.3118873003654239E-10</v>
      </c>
      <c r="H314" s="18">
        <f>-SUMIFS(Projetos!$F$2:$F$11,Projetos!$D$2:$D$11,"USD",Projetos!$N$2:$N$11,Dados!$A314)</f>
        <v>0</v>
      </c>
      <c r="I314" s="45">
        <f ca="1">(G314+H314)*((Indicadores_Economicos!D$2+1)^(1/12)-1)</f>
        <v>2.7210956120360224E-12</v>
      </c>
      <c r="J314" s="18">
        <f>SUMIFS(Projetos!$G$2:$G$11,Projetos!$K$2:$K$11,"&lt;="&amp;Dados!$A314,Projetos!$N$2:$N$11,"&gt;"&amp;Dados!$A314,Projetos!$D$2:$D$11,"USD")</f>
        <v>0</v>
      </c>
      <c r="K314" s="18">
        <f t="shared" ca="1" si="17"/>
        <v>8.3390982564857837E-10</v>
      </c>
    </row>
    <row r="315" spans="1:11" x14ac:dyDescent="0.2">
      <c r="A315" s="45">
        <f t="shared" ca="1" si="18"/>
        <v>1.0840827733431524E-9</v>
      </c>
      <c r="B315" s="18">
        <f>-SUMIFS(Projetos!$F$2:$F$11,Projetos!$D$2:$D$11,"BRL",Projetos!$N$2:$N$11,Dados!$A315)</f>
        <v>0</v>
      </c>
      <c r="C315" s="45">
        <f ca="1">(A315+B315)*((Indicadores_Economicos!D$2+1)^(1/12)-1)</f>
        <v>3.5490049022900066E-12</v>
      </c>
      <c r="D315" s="18">
        <f>SUMIFS(Projetos!$G$2:$G$11,Projetos!$K$2:$K$11,"&lt;="&amp;Dados!$A315,Projetos!$N$2:$N$11,"&gt;"&amp;Dados!A315,Projetos!$D$2:$D$11,"BRL")</f>
        <v>0</v>
      </c>
      <c r="E315" s="18">
        <f t="shared" ca="1" si="16"/>
        <v>1.0876317782454424E-9</v>
      </c>
      <c r="G315" s="45">
        <f t="shared" ca="1" si="19"/>
        <v>8.3390982564857837E-10</v>
      </c>
      <c r="H315" s="18">
        <f>-SUMIFS(Projetos!$F$2:$F$11,Projetos!$D$2:$D$11,"USD",Projetos!$N$2:$N$11,Dados!$A315)</f>
        <v>0</v>
      </c>
      <c r="I315" s="45">
        <f ca="1">(G315+H315)*((Indicadores_Economicos!D$2+1)^(1/12)-1)</f>
        <v>2.7300037709923116E-12</v>
      </c>
      <c r="J315" s="18">
        <f>SUMIFS(Projetos!$G$2:$G$11,Projetos!$K$2:$K$11,"&lt;="&amp;Dados!$A315,Projetos!$N$2:$N$11,"&gt;"&amp;Dados!$A315,Projetos!$D$2:$D$11,"USD")</f>
        <v>0</v>
      </c>
      <c r="K315" s="18">
        <f t="shared" ca="1" si="17"/>
        <v>8.3663982941957066E-10</v>
      </c>
    </row>
    <row r="316" spans="1:11" x14ac:dyDescent="0.2">
      <c r="A316" s="45">
        <f t="shared" ca="1" si="18"/>
        <v>1.0876317782454424E-9</v>
      </c>
      <c r="B316" s="18">
        <f>-SUMIFS(Projetos!$F$2:$F$11,Projetos!$D$2:$D$11,"BRL",Projetos!$N$2:$N$11,Dados!$A316)</f>
        <v>0</v>
      </c>
      <c r="C316" s="45">
        <f ca="1">(A316+B316)*((Indicadores_Economicos!D$2+1)^(1/12)-1)</f>
        <v>3.5606234208258525E-12</v>
      </c>
      <c r="D316" s="18">
        <f>SUMIFS(Projetos!$G$2:$G$11,Projetos!$K$2:$K$11,"&lt;="&amp;Dados!$A316,Projetos!$N$2:$N$11,"&gt;"&amp;Dados!A316,Projetos!$D$2:$D$11,"BRL")</f>
        <v>0</v>
      </c>
      <c r="E316" s="18">
        <f t="shared" ca="1" si="16"/>
        <v>1.0911924016662683E-9</v>
      </c>
      <c r="G316" s="45">
        <f t="shared" ca="1" si="19"/>
        <v>8.3663982941957066E-10</v>
      </c>
      <c r="H316" s="18">
        <f>-SUMIFS(Projetos!$F$2:$F$11,Projetos!$D$2:$D$11,"USD",Projetos!$N$2:$N$11,Dados!$A316)</f>
        <v>0</v>
      </c>
      <c r="I316" s="45">
        <f ca="1">(G316+H316)*((Indicadores_Economicos!D$2+1)^(1/12)-1)</f>
        <v>2.7389410929429622E-12</v>
      </c>
      <c r="J316" s="18">
        <f>SUMIFS(Projetos!$G$2:$G$11,Projetos!$K$2:$K$11,"&lt;="&amp;Dados!$A316,Projetos!$N$2:$N$11,"&gt;"&amp;Dados!$A316,Projetos!$D$2:$D$11,"USD")</f>
        <v>0</v>
      </c>
      <c r="K316" s="18">
        <f t="shared" ca="1" si="17"/>
        <v>8.3937877051251361E-10</v>
      </c>
    </row>
    <row r="317" spans="1:11" x14ac:dyDescent="0.2">
      <c r="A317" s="45">
        <f t="shared" ca="1" si="18"/>
        <v>1.0911924016662683E-9</v>
      </c>
      <c r="B317" s="18">
        <f>-SUMIFS(Projetos!$F$2:$F$11,Projetos!$D$2:$D$11,"BRL",Projetos!$N$2:$N$11,Dados!$A317)</f>
        <v>0</v>
      </c>
      <c r="C317" s="45">
        <f ca="1">(A317+B317)*((Indicadores_Economicos!D$2+1)^(1/12)-1)</f>
        <v>3.5722799753680394E-12</v>
      </c>
      <c r="D317" s="18">
        <f>SUMIFS(Projetos!$G$2:$G$11,Projetos!$K$2:$K$11,"&lt;="&amp;Dados!$A317,Projetos!$N$2:$N$11,"&gt;"&amp;Dados!A317,Projetos!$D$2:$D$11,"BRL")</f>
        <v>0</v>
      </c>
      <c r="E317" s="18">
        <f t="shared" ca="1" si="16"/>
        <v>1.0947646816416363E-9</v>
      </c>
      <c r="G317" s="45">
        <f t="shared" ca="1" si="19"/>
        <v>8.3937877051251361E-10</v>
      </c>
      <c r="H317" s="18">
        <f>-SUMIFS(Projetos!$F$2:$F$11,Projetos!$D$2:$D$11,"USD",Projetos!$N$2:$N$11,Dados!$A317)</f>
        <v>0</v>
      </c>
      <c r="I317" s="45">
        <f ca="1">(G317+H317)*((Indicadores_Economicos!D$2+1)^(1/12)-1)</f>
        <v>2.7479076733600288E-12</v>
      </c>
      <c r="J317" s="18">
        <f>SUMIFS(Projetos!$G$2:$G$11,Projetos!$K$2:$K$11,"&lt;="&amp;Dados!$A317,Projetos!$N$2:$N$11,"&gt;"&amp;Dados!$A317,Projetos!$D$2:$D$11,"USD")</f>
        <v>0</v>
      </c>
      <c r="K317" s="18">
        <f t="shared" ca="1" si="17"/>
        <v>8.4212667818587366E-10</v>
      </c>
    </row>
    <row r="318" spans="1:11" x14ac:dyDescent="0.2">
      <c r="A318" s="45">
        <f t="shared" ca="1" si="18"/>
        <v>1.0947646816416363E-9</v>
      </c>
      <c r="B318" s="18">
        <f>-SUMIFS(Projetos!$F$2:$F$11,Projetos!$D$2:$D$11,"BRL",Projetos!$N$2:$N$11,Dados!$A318)</f>
        <v>0</v>
      </c>
      <c r="C318" s="45">
        <f ca="1">(A318+B318)*((Indicadores_Economicos!D$2+1)^(1/12)-1)</f>
        <v>3.5839746904365546E-12</v>
      </c>
      <c r="D318" s="18">
        <f>SUMIFS(Projetos!$G$2:$G$11,Projetos!$K$2:$K$11,"&lt;="&amp;Dados!$A318,Projetos!$N$2:$N$11,"&gt;"&amp;Dados!A318,Projetos!$D$2:$D$11,"BRL")</f>
        <v>0</v>
      </c>
      <c r="E318" s="18">
        <f t="shared" ca="1" si="16"/>
        <v>1.0983486563320728E-9</v>
      </c>
      <c r="G318" s="45">
        <f t="shared" ca="1" si="19"/>
        <v>8.4212667818587366E-10</v>
      </c>
      <c r="H318" s="18">
        <f>-SUMIFS(Projetos!$F$2:$F$11,Projetos!$D$2:$D$11,"USD",Projetos!$N$2:$N$11,Dados!$A318)</f>
        <v>0</v>
      </c>
      <c r="I318" s="45">
        <f ca="1">(G318+H318)*((Indicadores_Economicos!D$2+1)^(1/12)-1)</f>
        <v>2.7569036080281176E-12</v>
      </c>
      <c r="J318" s="18">
        <f>SUMIFS(Projetos!$G$2:$G$11,Projetos!$K$2:$K$11,"&lt;="&amp;Dados!$A318,Projetos!$N$2:$N$11,"&gt;"&amp;Dados!$A318,Projetos!$D$2:$D$11,"USD")</f>
        <v>0</v>
      </c>
      <c r="K318" s="18">
        <f t="shared" ca="1" si="17"/>
        <v>8.4488358179390174E-10</v>
      </c>
    </row>
    <row r="319" spans="1:11" x14ac:dyDescent="0.2">
      <c r="A319" s="45">
        <f t="shared" ca="1" si="18"/>
        <v>1.0983486563320728E-9</v>
      </c>
      <c r="B319" s="18">
        <f>-SUMIFS(Projetos!$F$2:$F$11,Projetos!$D$2:$D$11,"BRL",Projetos!$N$2:$N$11,Dados!$A319)</f>
        <v>0</v>
      </c>
      <c r="C319" s="45">
        <f ca="1">(A319+B319)*((Indicadores_Economicos!D$2+1)^(1/12)-1)</f>
        <v>3.5957076909590303E-12</v>
      </c>
      <c r="D319" s="18">
        <f>SUMIFS(Projetos!$G$2:$G$11,Projetos!$K$2:$K$11,"&lt;="&amp;Dados!$A319,Projetos!$N$2:$N$11,"&gt;"&amp;Dados!A319,Projetos!$D$2:$D$11,"BRL")</f>
        <v>0</v>
      </c>
      <c r="E319" s="18">
        <f t="shared" ca="1" si="16"/>
        <v>1.1019443640230318E-9</v>
      </c>
      <c r="G319" s="45">
        <f t="shared" ca="1" si="19"/>
        <v>8.4488358179390174E-10</v>
      </c>
      <c r="H319" s="18">
        <f>-SUMIFS(Projetos!$F$2:$F$11,Projetos!$D$2:$D$11,"USD",Projetos!$N$2:$N$11,Dados!$A319)</f>
        <v>0</v>
      </c>
      <c r="I319" s="45">
        <f ca="1">(G319+H319)*((Indicadores_Economicos!D$2+1)^(1/12)-1)</f>
        <v>2.7659289930454066E-12</v>
      </c>
      <c r="J319" s="18">
        <f>SUMIFS(Projetos!$G$2:$G$11,Projetos!$K$2:$K$11,"&lt;="&amp;Dados!$A319,Projetos!$N$2:$N$11,"&gt;"&amp;Dados!$A319,Projetos!$D$2:$D$11,"USD")</f>
        <v>0</v>
      </c>
      <c r="K319" s="18">
        <f t="shared" ca="1" si="17"/>
        <v>8.4764951078694712E-10</v>
      </c>
    </row>
    <row r="320" spans="1:11" x14ac:dyDescent="0.2">
      <c r="A320" s="45">
        <f t="shared" ca="1" si="18"/>
        <v>1.1019443640230318E-9</v>
      </c>
      <c r="B320" s="18">
        <f>-SUMIFS(Projetos!$F$2:$F$11,Projetos!$D$2:$D$11,"BRL",Projetos!$N$2:$N$11,Dados!$A320)</f>
        <v>0</v>
      </c>
      <c r="C320" s="45">
        <f ca="1">(A320+B320)*((Indicadores_Economicos!D$2+1)^(1/12)-1)</f>
        <v>3.6074791022720815E-12</v>
      </c>
      <c r="D320" s="18">
        <f>SUMIFS(Projetos!$G$2:$G$11,Projetos!$K$2:$K$11,"&lt;="&amp;Dados!$A320,Projetos!$N$2:$N$11,"&gt;"&amp;Dados!A320,Projetos!$D$2:$D$11,"BRL")</f>
        <v>0</v>
      </c>
      <c r="E320" s="18">
        <f t="shared" ca="1" si="16"/>
        <v>1.1055518431253039E-9</v>
      </c>
      <c r="G320" s="45">
        <f t="shared" ca="1" si="19"/>
        <v>8.4764951078694712E-10</v>
      </c>
      <c r="H320" s="18">
        <f>-SUMIFS(Projetos!$F$2:$F$11,Projetos!$D$2:$D$11,"USD",Projetos!$N$2:$N$11,Dados!$A320)</f>
        <v>0</v>
      </c>
      <c r="I320" s="45">
        <f ca="1">(G320+H320)*((Indicadores_Economicos!D$2+1)^(1/12)-1)</f>
        <v>2.7749839248246767E-12</v>
      </c>
      <c r="J320" s="18">
        <f>SUMIFS(Projetos!$G$2:$G$11,Projetos!$K$2:$K$11,"&lt;="&amp;Dados!$A320,Projetos!$N$2:$N$11,"&gt;"&amp;Dados!$A320,Projetos!$D$2:$D$11,"USD")</f>
        <v>0</v>
      </c>
      <c r="K320" s="18">
        <f t="shared" ca="1" si="17"/>
        <v>8.5042449471177182E-10</v>
      </c>
    </row>
    <row r="321" spans="1:11" x14ac:dyDescent="0.2">
      <c r="A321" s="45">
        <f t="shared" ca="1" si="18"/>
        <v>1.1055518431253039E-9</v>
      </c>
      <c r="B321" s="18">
        <f>-SUMIFS(Projetos!$F$2:$F$11,Projetos!$D$2:$D$11,"BRL",Projetos!$N$2:$N$11,Dados!$A321)</f>
        <v>0</v>
      </c>
      <c r="C321" s="45">
        <f ca="1">(A321+B321)*((Indicadores_Economicos!D$2+1)^(1/12)-1)</f>
        <v>3.6192890501226411E-12</v>
      </c>
      <c r="D321" s="18">
        <f>SUMIFS(Projetos!$G$2:$G$11,Projetos!$K$2:$K$11,"&lt;="&amp;Dados!$A321,Projetos!$N$2:$N$11,"&gt;"&amp;Dados!A321,Projetos!$D$2:$D$11,"BRL")</f>
        <v>0</v>
      </c>
      <c r="E321" s="18">
        <f t="shared" ca="1" si="16"/>
        <v>1.1091711321754266E-9</v>
      </c>
      <c r="G321" s="45">
        <f t="shared" ca="1" si="19"/>
        <v>8.5042449471177182E-10</v>
      </c>
      <c r="H321" s="18">
        <f>-SUMIFS(Projetos!$F$2:$F$11,Projetos!$D$2:$D$11,"USD",Projetos!$N$2:$N$11,Dados!$A321)</f>
        <v>0</v>
      </c>
      <c r="I321" s="45">
        <f ca="1">(G321+H321)*((Indicadores_Economicos!D$2+1)^(1/12)-1)</f>
        <v>2.784068500094338E-12</v>
      </c>
      <c r="J321" s="18">
        <f>SUMIFS(Projetos!$G$2:$G$11,Projetos!$K$2:$K$11,"&lt;="&amp;Dados!$A321,Projetos!$N$2:$N$11,"&gt;"&amp;Dados!$A321,Projetos!$D$2:$D$11,"USD")</f>
        <v>0</v>
      </c>
      <c r="K321" s="18">
        <f t="shared" ca="1" si="17"/>
        <v>8.5320856321186621E-10</v>
      </c>
    </row>
    <row r="322" spans="1:11" x14ac:dyDescent="0.2">
      <c r="A322" s="45">
        <f t="shared" ca="1" si="18"/>
        <v>1.1091711321754266E-9</v>
      </c>
      <c r="B322" s="18">
        <f>-SUMIFS(Projetos!$F$2:$F$11,Projetos!$D$2:$D$11,"BRL",Projetos!$N$2:$N$11,Dados!$A322)</f>
        <v>0</v>
      </c>
      <c r="C322" s="45">
        <f ca="1">(A322+B322)*((Indicadores_Economicos!D$2+1)^(1/12)-1)</f>
        <v>3.6311376606693044E-12</v>
      </c>
      <c r="D322" s="18">
        <f>SUMIFS(Projetos!$G$2:$G$11,Projetos!$K$2:$K$11,"&lt;="&amp;Dados!$A322,Projetos!$N$2:$N$11,"&gt;"&amp;Dados!A322,Projetos!$D$2:$D$11,"BRL")</f>
        <v>0</v>
      </c>
      <c r="E322" s="18">
        <f t="shared" ref="E322:E385" ca="1" si="20">A322+B322+C322+D322</f>
        <v>1.1128022698360959E-9</v>
      </c>
      <c r="G322" s="45">
        <f t="shared" ca="1" si="19"/>
        <v>8.5320856321186621E-10</v>
      </c>
      <c r="H322" s="18">
        <f>-SUMIFS(Projetos!$F$2:$F$11,Projetos!$D$2:$D$11,"USD",Projetos!$N$2:$N$11,Dados!$A322)</f>
        <v>0</v>
      </c>
      <c r="I322" s="45">
        <f ca="1">(G322+H322)*((Indicadores_Economicos!D$2+1)^(1/12)-1)</f>
        <v>2.7931828158994635E-12</v>
      </c>
      <c r="J322" s="18">
        <f>SUMIFS(Projetos!$G$2:$G$11,Projetos!$K$2:$K$11,"&lt;="&amp;Dados!$A322,Projetos!$N$2:$N$11,"&gt;"&amp;Dados!$A322,Projetos!$D$2:$D$11,"USD")</f>
        <v>0</v>
      </c>
      <c r="K322" s="18">
        <f t="shared" ref="K322:K385" ca="1" si="21">G322+H322+I322+J322</f>
        <v>8.5600174602776566E-10</v>
      </c>
    </row>
    <row r="323" spans="1:11" x14ac:dyDescent="0.2">
      <c r="A323" s="45">
        <f t="shared" ca="1" si="18"/>
        <v>1.1128022698360959E-9</v>
      </c>
      <c r="B323" s="18">
        <f>-SUMIFS(Projetos!$F$2:$F$11,Projetos!$D$2:$D$11,"BRL",Projetos!$N$2:$N$11,Dados!$A323)</f>
        <v>0</v>
      </c>
      <c r="C323" s="45">
        <f ca="1">(A323+B323)*((Indicadores_Economicos!D$2+1)^(1/12)-1)</f>
        <v>3.6430250604836786E-12</v>
      </c>
      <c r="D323" s="18">
        <f>SUMIFS(Projetos!$G$2:$G$11,Projetos!$K$2:$K$11,"&lt;="&amp;Dados!$A323,Projetos!$N$2:$N$11,"&gt;"&amp;Dados!A323,Projetos!$D$2:$D$11,"BRL")</f>
        <v>0</v>
      </c>
      <c r="E323" s="18">
        <f t="shared" ca="1" si="20"/>
        <v>1.1164452948965795E-9</v>
      </c>
      <c r="G323" s="45">
        <f t="shared" ca="1" si="19"/>
        <v>8.5600174602776566E-10</v>
      </c>
      <c r="H323" s="18">
        <f>-SUMIFS(Projetos!$F$2:$F$11,Projetos!$D$2:$D$11,"USD",Projetos!$N$2:$N$11,Dados!$A323)</f>
        <v>0</v>
      </c>
      <c r="I323" s="45">
        <f ca="1">(G323+H323)*((Indicadores_Economicos!D$2+1)^(1/12)-1)</f>
        <v>2.802326969602828E-12</v>
      </c>
      <c r="J323" s="18">
        <f>SUMIFS(Projetos!$G$2:$G$11,Projetos!$K$2:$K$11,"&lt;="&amp;Dados!$A323,Projetos!$N$2:$N$11,"&gt;"&amp;Dados!$A323,Projetos!$D$2:$D$11,"USD")</f>
        <v>0</v>
      </c>
      <c r="K323" s="18">
        <f t="shared" ca="1" si="21"/>
        <v>8.5880407299736847E-10</v>
      </c>
    </row>
    <row r="324" spans="1:11" x14ac:dyDescent="0.2">
      <c r="A324" s="45">
        <f t="shared" ref="A324:A387" ca="1" si="22">E323</f>
        <v>1.1164452948965795E-9</v>
      </c>
      <c r="B324" s="18">
        <f>-SUMIFS(Projetos!$F$2:$F$11,Projetos!$D$2:$D$11,"BRL",Projetos!$N$2:$N$11,Dados!$A324)</f>
        <v>0</v>
      </c>
      <c r="C324" s="45">
        <f ca="1">(A324+B324)*((Indicadores_Economicos!D$2+1)^(1/12)-1)</f>
        <v>3.6549513765517313E-12</v>
      </c>
      <c r="D324" s="18">
        <f>SUMIFS(Projetos!$G$2:$G$11,Projetos!$K$2:$K$11,"&lt;="&amp;Dados!$A324,Projetos!$N$2:$N$11,"&gt;"&amp;Dados!A324,Projetos!$D$2:$D$11,"BRL")</f>
        <v>0</v>
      </c>
      <c r="E324" s="18">
        <f t="shared" ca="1" si="20"/>
        <v>1.1201002462731313E-9</v>
      </c>
      <c r="G324" s="45">
        <f t="shared" ref="G324:G387" ca="1" si="23">K323</f>
        <v>8.5880407299736847E-10</v>
      </c>
      <c r="H324" s="18">
        <f>-SUMIFS(Projetos!$F$2:$F$11,Projetos!$D$2:$D$11,"USD",Projetos!$N$2:$N$11,Dados!$A324)</f>
        <v>0</v>
      </c>
      <c r="I324" s="45">
        <f ca="1">(G324+H324)*((Indicadores_Economicos!D$2+1)^(1/12)-1)</f>
        <v>2.8115010588859458E-12</v>
      </c>
      <c r="J324" s="18">
        <f>SUMIFS(Projetos!$G$2:$G$11,Projetos!$K$2:$K$11,"&lt;="&amp;Dados!$A324,Projetos!$N$2:$N$11,"&gt;"&amp;Dados!$A324,Projetos!$D$2:$D$11,"USD")</f>
        <v>0</v>
      </c>
      <c r="K324" s="18">
        <f t="shared" ca="1" si="21"/>
        <v>8.6161557405625444E-10</v>
      </c>
    </row>
    <row r="325" spans="1:11" x14ac:dyDescent="0.2">
      <c r="A325" s="45">
        <f t="shared" ca="1" si="22"/>
        <v>1.1201002462731313E-9</v>
      </c>
      <c r="B325" s="18">
        <f>-SUMIFS(Projetos!$F$2:$F$11,Projetos!$D$2:$D$11,"BRL",Projetos!$N$2:$N$11,Dados!$A325)</f>
        <v>0</v>
      </c>
      <c r="C325" s="45">
        <f ca="1">(A325+B325)*((Indicadores_Economicos!D$2+1)^(1/12)-1)</f>
        <v>3.6669167362751511E-12</v>
      </c>
      <c r="D325" s="18">
        <f>SUMIFS(Projetos!$G$2:$G$11,Projetos!$K$2:$K$11,"&lt;="&amp;Dados!$A325,Projetos!$N$2:$N$11,"&gt;"&amp;Dados!A325,Projetos!$D$2:$D$11,"BRL")</f>
        <v>0</v>
      </c>
      <c r="E325" s="18">
        <f t="shared" ca="1" si="20"/>
        <v>1.1237671630094064E-9</v>
      </c>
      <c r="G325" s="45">
        <f t="shared" ca="1" si="23"/>
        <v>8.6161557405625444E-10</v>
      </c>
      <c r="H325" s="18">
        <f>-SUMIFS(Projetos!$F$2:$F$11,Projetos!$D$2:$D$11,"USD",Projetos!$N$2:$N$11,Dados!$A325)</f>
        <v>0</v>
      </c>
      <c r="I325" s="45">
        <f ca="1">(G325+H325)*((Indicadores_Economicos!D$2+1)^(1/12)-1)</f>
        <v>2.8207051817501149E-12</v>
      </c>
      <c r="J325" s="18">
        <f>SUMIFS(Projetos!$G$2:$G$11,Projetos!$K$2:$K$11,"&lt;="&amp;Dados!$A325,Projetos!$N$2:$N$11,"&gt;"&amp;Dados!$A325,Projetos!$D$2:$D$11,"USD")</f>
        <v>0</v>
      </c>
      <c r="K325" s="18">
        <f t="shared" ca="1" si="21"/>
        <v>8.6443627923800457E-10</v>
      </c>
    </row>
    <row r="326" spans="1:11" x14ac:dyDescent="0.2">
      <c r="A326" s="45">
        <f t="shared" ca="1" si="22"/>
        <v>1.1237671630094064E-9</v>
      </c>
      <c r="B326" s="18">
        <f>-SUMIFS(Projetos!$F$2:$F$11,Projetos!$D$2:$D$11,"BRL",Projetos!$N$2:$N$11,Dados!$A326)</f>
        <v>0</v>
      </c>
      <c r="C326" s="45">
        <f ca="1">(A326+B326)*((Indicadores_Economicos!D$2+1)^(1/12)-1)</f>
        <v>3.6789212674727063E-12</v>
      </c>
      <c r="D326" s="18">
        <f>SUMIFS(Projetos!$G$2:$G$11,Projetos!$K$2:$K$11,"&lt;="&amp;Dados!$A326,Projetos!$N$2:$N$11,"&gt;"&amp;Dados!A326,Projetos!$D$2:$D$11,"BRL")</f>
        <v>0</v>
      </c>
      <c r="E326" s="18">
        <f t="shared" ca="1" si="20"/>
        <v>1.1274460842768792E-9</v>
      </c>
      <c r="G326" s="45">
        <f t="shared" ca="1" si="23"/>
        <v>8.6443627923800457E-10</v>
      </c>
      <c r="H326" s="18">
        <f>-SUMIFS(Projetos!$F$2:$F$11,Projetos!$D$2:$D$11,"USD",Projetos!$N$2:$N$11,Dados!$A326)</f>
        <v>0</v>
      </c>
      <c r="I326" s="45">
        <f ca="1">(G326+H326)*((Indicadores_Economicos!D$2+1)^(1/12)-1)</f>
        <v>2.829939436517465E-12</v>
      </c>
      <c r="J326" s="18">
        <f>SUMIFS(Projetos!$G$2:$G$11,Projetos!$K$2:$K$11,"&lt;="&amp;Dados!$A326,Projetos!$N$2:$N$11,"&gt;"&amp;Dados!$A326,Projetos!$D$2:$D$11,"USD")</f>
        <v>0</v>
      </c>
      <c r="K326" s="18">
        <f t="shared" ca="1" si="21"/>
        <v>8.6726621867452202E-10</v>
      </c>
    </row>
    <row r="327" spans="1:11" x14ac:dyDescent="0.2">
      <c r="A327" s="45">
        <f t="shared" ca="1" si="22"/>
        <v>1.1274460842768792E-9</v>
      </c>
      <c r="B327" s="18">
        <f>-SUMIFS(Projetos!$F$2:$F$11,Projetos!$D$2:$D$11,"BRL",Projetos!$N$2:$N$11,Dados!$A327)</f>
        <v>0</v>
      </c>
      <c r="C327" s="45">
        <f ca="1">(A327+B327)*((Indicadores_Economicos!D$2+1)^(1/12)-1)</f>
        <v>3.6909650983816094E-12</v>
      </c>
      <c r="D327" s="18">
        <f>SUMIFS(Projetos!$G$2:$G$11,Projetos!$K$2:$K$11,"&lt;="&amp;Dados!$A327,Projetos!$N$2:$N$11,"&gt;"&amp;Dados!A327,Projetos!$D$2:$D$11,"BRL")</f>
        <v>0</v>
      </c>
      <c r="E327" s="18">
        <f t="shared" ca="1" si="20"/>
        <v>1.1311370493752609E-9</v>
      </c>
      <c r="G327" s="45">
        <f t="shared" ca="1" si="23"/>
        <v>8.6726621867452202E-10</v>
      </c>
      <c r="H327" s="18">
        <f>-SUMIFS(Projetos!$F$2:$F$11,Projetos!$D$2:$D$11,"USD",Projetos!$N$2:$N$11,Dados!$A327)</f>
        <v>0</v>
      </c>
      <c r="I327" s="45">
        <f ca="1">(G327+H327)*((Indicadores_Economicos!D$2+1)^(1/12)-1)</f>
        <v>2.8392039218320058E-12</v>
      </c>
      <c r="J327" s="18">
        <f>SUMIFS(Projetos!$G$2:$G$11,Projetos!$K$2:$K$11,"&lt;="&amp;Dados!$A327,Projetos!$N$2:$N$11,"&gt;"&amp;Dados!$A327,Projetos!$D$2:$D$11,"USD")</f>
        <v>0</v>
      </c>
      <c r="K327" s="18">
        <f t="shared" ca="1" si="21"/>
        <v>8.7010542259635407E-10</v>
      </c>
    </row>
    <row r="328" spans="1:11" x14ac:dyDescent="0.2">
      <c r="A328" s="45">
        <f t="shared" ca="1" si="22"/>
        <v>1.1311370493752609E-9</v>
      </c>
      <c r="B328" s="18">
        <f>-SUMIFS(Projetos!$F$2:$F$11,Projetos!$D$2:$D$11,"BRL",Projetos!$N$2:$N$11,Dados!$A328)</f>
        <v>0</v>
      </c>
      <c r="C328" s="45">
        <f ca="1">(A328+B328)*((Indicadores_Economicos!D$2+1)^(1/12)-1)</f>
        <v>3.703048357658889E-12</v>
      </c>
      <c r="D328" s="18">
        <f>SUMIFS(Projetos!$G$2:$G$11,Projetos!$K$2:$K$11,"&lt;="&amp;Dados!$A328,Projetos!$N$2:$N$11,"&gt;"&amp;Dados!A328,Projetos!$D$2:$D$11,"BRL")</f>
        <v>0</v>
      </c>
      <c r="E328" s="18">
        <f t="shared" ca="1" si="20"/>
        <v>1.1348400977329198E-9</v>
      </c>
      <c r="G328" s="45">
        <f t="shared" ca="1" si="23"/>
        <v>8.7010542259635407E-10</v>
      </c>
      <c r="H328" s="18">
        <f>-SUMIFS(Projetos!$F$2:$F$11,Projetos!$D$2:$D$11,"USD",Projetos!$N$2:$N$11,Dados!$A328)</f>
        <v>0</v>
      </c>
      <c r="I328" s="45">
        <f ca="1">(G328+H328)*((Indicadores_Economicos!D$2+1)^(1/12)-1)</f>
        <v>2.8484987366606826E-12</v>
      </c>
      <c r="J328" s="18">
        <f>SUMIFS(Projetos!$G$2:$G$11,Projetos!$K$2:$K$11,"&lt;="&amp;Dados!$A328,Projetos!$N$2:$N$11,"&gt;"&amp;Dados!$A328,Projetos!$D$2:$D$11,"USD")</f>
        <v>0</v>
      </c>
      <c r="K328" s="18">
        <f t="shared" ca="1" si="21"/>
        <v>8.7295392133301475E-10</v>
      </c>
    </row>
    <row r="329" spans="1:11" x14ac:dyDescent="0.2">
      <c r="A329" s="45">
        <f t="shared" ca="1" si="22"/>
        <v>1.1348400977329198E-9</v>
      </c>
      <c r="B329" s="18">
        <f>-SUMIFS(Projetos!$F$2:$F$11,Projetos!$D$2:$D$11,"BRL",Projetos!$N$2:$N$11,Dados!$A329)</f>
        <v>0</v>
      </c>
      <c r="C329" s="45">
        <f ca="1">(A329+B329)*((Indicadores_Economicos!D$2+1)^(1/12)-1)</f>
        <v>3.7151711743827638E-12</v>
      </c>
      <c r="D329" s="18">
        <f>SUMIFS(Projetos!$G$2:$G$11,Projetos!$K$2:$K$11,"&lt;="&amp;Dados!$A329,Projetos!$N$2:$N$11,"&gt;"&amp;Dados!A329,Projetos!$D$2:$D$11,"BRL")</f>
        <v>0</v>
      </c>
      <c r="E329" s="18">
        <f t="shared" ca="1" si="20"/>
        <v>1.1385552689073025E-9</v>
      </c>
      <c r="G329" s="45">
        <f t="shared" ca="1" si="23"/>
        <v>8.7295392133301475E-10</v>
      </c>
      <c r="H329" s="18">
        <f>-SUMIFS(Projetos!$F$2:$F$11,Projetos!$D$2:$D$11,"USD",Projetos!$N$2:$N$11,Dados!$A329)</f>
        <v>0</v>
      </c>
      <c r="I329" s="45">
        <f ca="1">(G329+H329)*((Indicadores_Economicos!D$2+1)^(1/12)-1)</f>
        <v>2.857823980294432E-12</v>
      </c>
      <c r="J329" s="18">
        <f>SUMIFS(Projetos!$G$2:$G$11,Projetos!$K$2:$K$11,"&lt;="&amp;Dados!$A329,Projetos!$N$2:$N$11,"&gt;"&amp;Dados!$A329,Projetos!$D$2:$D$11,"USD")</f>
        <v>0</v>
      </c>
      <c r="K329" s="18">
        <f t="shared" ca="1" si="21"/>
        <v>8.7581174531330915E-10</v>
      </c>
    </row>
    <row r="330" spans="1:11" x14ac:dyDescent="0.2">
      <c r="A330" s="45">
        <f t="shared" ca="1" si="22"/>
        <v>1.1385552689073025E-9</v>
      </c>
      <c r="B330" s="18">
        <f>-SUMIFS(Projetos!$F$2:$F$11,Projetos!$D$2:$D$11,"BRL",Projetos!$N$2:$N$11,Dados!$A330)</f>
        <v>0</v>
      </c>
      <c r="C330" s="45">
        <f ca="1">(A330+B330)*((Indicadores_Economicos!D$2+1)^(1/12)-1)</f>
        <v>3.7273336780540188E-12</v>
      </c>
      <c r="D330" s="18">
        <f>SUMIFS(Projetos!$G$2:$G$11,Projetos!$K$2:$K$11,"&lt;="&amp;Dados!$A330,Projetos!$N$2:$N$11,"&gt;"&amp;Dados!A330,Projetos!$D$2:$D$11,"BRL")</f>
        <v>0</v>
      </c>
      <c r="E330" s="18">
        <f t="shared" ca="1" si="20"/>
        <v>1.1422826025853566E-9</v>
      </c>
      <c r="G330" s="45">
        <f t="shared" ca="1" si="23"/>
        <v>8.7581174531330915E-10</v>
      </c>
      <c r="H330" s="18">
        <f>-SUMIFS(Projetos!$F$2:$F$11,Projetos!$D$2:$D$11,"USD",Projetos!$N$2:$N$11,Dados!$A330)</f>
        <v>0</v>
      </c>
      <c r="I330" s="45">
        <f ca="1">(G330+H330)*((Indicadores_Economicos!D$2+1)^(1/12)-1)</f>
        <v>2.867179752349244E-12</v>
      </c>
      <c r="J330" s="18">
        <f>SUMIFS(Projetos!$G$2:$G$11,Projetos!$K$2:$K$11,"&lt;="&amp;Dados!$A330,Projetos!$N$2:$N$11,"&gt;"&amp;Dados!$A330,Projetos!$D$2:$D$11,"USD")</f>
        <v>0</v>
      </c>
      <c r="K330" s="18">
        <f t="shared" ca="1" si="21"/>
        <v>8.7867892506565837E-10</v>
      </c>
    </row>
    <row r="331" spans="1:11" x14ac:dyDescent="0.2">
      <c r="A331" s="45">
        <f t="shared" ca="1" si="22"/>
        <v>1.1422826025853566E-9</v>
      </c>
      <c r="B331" s="18">
        <f>-SUMIFS(Projetos!$F$2:$F$11,Projetos!$D$2:$D$11,"BRL",Projetos!$N$2:$N$11,Dados!$A331)</f>
        <v>0</v>
      </c>
      <c r="C331" s="45">
        <f ca="1">(A331+B331)*((Indicadores_Economicos!D$2+1)^(1/12)-1)</f>
        <v>3.7395359985973943E-12</v>
      </c>
      <c r="D331" s="18">
        <f>SUMIFS(Projetos!$G$2:$G$11,Projetos!$K$2:$K$11,"&lt;="&amp;Dados!$A331,Projetos!$N$2:$N$11,"&gt;"&amp;Dados!A331,Projetos!$D$2:$D$11,"BRL")</f>
        <v>0</v>
      </c>
      <c r="E331" s="18">
        <f t="shared" ca="1" si="20"/>
        <v>1.146022138583954E-9</v>
      </c>
      <c r="G331" s="45">
        <f t="shared" ca="1" si="23"/>
        <v>8.7867892506565837E-10</v>
      </c>
      <c r="H331" s="18">
        <f>-SUMIFS(Projetos!$F$2:$F$11,Projetos!$D$2:$D$11,"USD",Projetos!$N$2:$N$11,Dados!$A331)</f>
        <v>0</v>
      </c>
      <c r="I331" s="45">
        <f ca="1">(G331+H331)*((Indicadores_Economicos!D$2+1)^(1/12)-1)</f>
        <v>2.8765661527672248E-12</v>
      </c>
      <c r="J331" s="18">
        <f>SUMIFS(Projetos!$G$2:$G$11,Projetos!$K$2:$K$11,"&lt;="&amp;Dados!$A331,Projetos!$N$2:$N$11,"&gt;"&amp;Dados!$A331,Projetos!$D$2:$D$11,"USD")</f>
        <v>0</v>
      </c>
      <c r="K331" s="18">
        <f t="shared" ca="1" si="21"/>
        <v>8.8155549121842564E-10</v>
      </c>
    </row>
    <row r="332" spans="1:11" x14ac:dyDescent="0.2">
      <c r="A332" s="45">
        <f t="shared" ca="1" si="22"/>
        <v>1.146022138583954E-9</v>
      </c>
      <c r="B332" s="18">
        <f>-SUMIFS(Projetos!$F$2:$F$11,Projetos!$D$2:$D$11,"BRL",Projetos!$N$2:$N$11,Dados!$A332)</f>
        <v>0</v>
      </c>
      <c r="C332" s="45">
        <f ca="1">(A332+B332)*((Indicadores_Economicos!D$2+1)^(1/12)-1)</f>
        <v>3.7517782663629676E-12</v>
      </c>
      <c r="D332" s="18">
        <f>SUMIFS(Projetos!$G$2:$G$11,Projetos!$K$2:$K$11,"&lt;="&amp;Dados!$A332,Projetos!$N$2:$N$11,"&gt;"&amp;Dados!A332,Projetos!$D$2:$D$11,"BRL")</f>
        <v>0</v>
      </c>
      <c r="E332" s="18">
        <f t="shared" ca="1" si="20"/>
        <v>1.149773916850317E-9</v>
      </c>
      <c r="G332" s="45">
        <f t="shared" ca="1" si="23"/>
        <v>8.8155549121842564E-10</v>
      </c>
      <c r="H332" s="18">
        <f>-SUMIFS(Projetos!$F$2:$F$11,Projetos!$D$2:$D$11,"USD",Projetos!$N$2:$N$11,Dados!$A332)</f>
        <v>0</v>
      </c>
      <c r="I332" s="45">
        <f ca="1">(G332+H332)*((Indicadores_Economicos!D$2+1)^(1/12)-1)</f>
        <v>2.8859832818176659E-12</v>
      </c>
      <c r="J332" s="18">
        <f>SUMIFS(Projetos!$G$2:$G$11,Projetos!$K$2:$K$11,"&lt;="&amp;Dados!$A332,Projetos!$N$2:$N$11,"&gt;"&amp;Dados!$A332,Projetos!$D$2:$D$11,"USD")</f>
        <v>0</v>
      </c>
      <c r="K332" s="18">
        <f t="shared" ca="1" si="21"/>
        <v>8.8444147450024327E-10</v>
      </c>
    </row>
    <row r="333" spans="1:11" x14ac:dyDescent="0.2">
      <c r="A333" s="45">
        <f t="shared" ca="1" si="22"/>
        <v>1.149773916850317E-9</v>
      </c>
      <c r="B333" s="18">
        <f>-SUMIFS(Projetos!$F$2:$F$11,Projetos!$D$2:$D$11,"BRL",Projetos!$N$2:$N$11,Dados!$A333)</f>
        <v>0</v>
      </c>
      <c r="C333" s="45">
        <f ca="1">(A333+B333)*((Indicadores_Economicos!D$2+1)^(1/12)-1)</f>
        <v>3.7640606121275494E-12</v>
      </c>
      <c r="D333" s="18">
        <f>SUMIFS(Projetos!$G$2:$G$11,Projetos!$K$2:$K$11,"&lt;="&amp;Dados!$A333,Projetos!$N$2:$N$11,"&gt;"&amp;Dados!A333,Projetos!$D$2:$D$11,"BRL")</f>
        <v>0</v>
      </c>
      <c r="E333" s="18">
        <f t="shared" ca="1" si="20"/>
        <v>1.1535379774624446E-9</v>
      </c>
      <c r="G333" s="45">
        <f t="shared" ca="1" si="23"/>
        <v>8.8444147450024327E-10</v>
      </c>
      <c r="H333" s="18">
        <f>-SUMIFS(Projetos!$F$2:$F$11,Projetos!$D$2:$D$11,"USD",Projetos!$N$2:$N$11,Dados!$A333)</f>
        <v>0</v>
      </c>
      <c r="I333" s="45">
        <f ca="1">(G333+H333)*((Indicadores_Economicos!D$2+1)^(1/12)-1)</f>
        <v>2.8954312400981131E-12</v>
      </c>
      <c r="J333" s="18">
        <f>SUMIFS(Projetos!$G$2:$G$11,Projetos!$K$2:$K$11,"&lt;="&amp;Dados!$A333,Projetos!$N$2:$N$11,"&gt;"&amp;Dados!$A333,Projetos!$D$2:$D$11,"USD")</f>
        <v>0</v>
      </c>
      <c r="K333" s="18">
        <f t="shared" ca="1" si="21"/>
        <v>8.8733690574034136E-10</v>
      </c>
    </row>
    <row r="334" spans="1:11" x14ac:dyDescent="0.2">
      <c r="A334" s="45">
        <f t="shared" ca="1" si="22"/>
        <v>1.1535379774624446E-9</v>
      </c>
      <c r="B334" s="18">
        <f>-SUMIFS(Projetos!$F$2:$F$11,Projetos!$D$2:$D$11,"BRL",Projetos!$N$2:$N$11,Dados!$A334)</f>
        <v>0</v>
      </c>
      <c r="C334" s="45">
        <f ca="1">(A334+B334)*((Indicadores_Economicos!D$2+1)^(1/12)-1)</f>
        <v>3.77638316709608E-12</v>
      </c>
      <c r="D334" s="18">
        <f>SUMIFS(Projetos!$G$2:$G$11,Projetos!$K$2:$K$11,"&lt;="&amp;Dados!$A334,Projetos!$N$2:$N$11,"&gt;"&amp;Dados!A334,Projetos!$D$2:$D$11,"BRL")</f>
        <v>0</v>
      </c>
      <c r="E334" s="18">
        <f t="shared" ca="1" si="20"/>
        <v>1.1573143606295407E-9</v>
      </c>
      <c r="G334" s="45">
        <f t="shared" ca="1" si="23"/>
        <v>8.8733690574034136E-10</v>
      </c>
      <c r="H334" s="18">
        <f>-SUMIFS(Projetos!$F$2:$F$11,Projetos!$D$2:$D$11,"USD",Projetos!$N$2:$N$11,Dados!$A334)</f>
        <v>0</v>
      </c>
      <c r="I334" s="45">
        <f ca="1">(G334+H334)*((Indicadores_Economicos!D$2+1)^(1/12)-1)</f>
        <v>2.9049101285354439E-12</v>
      </c>
      <c r="J334" s="18">
        <f>SUMIFS(Projetos!$G$2:$G$11,Projetos!$K$2:$K$11,"&lt;="&amp;Dados!$A334,Projetos!$N$2:$N$11,"&gt;"&amp;Dados!$A334,Projetos!$D$2:$D$11,"USD")</f>
        <v>0</v>
      </c>
      <c r="K334" s="18">
        <f t="shared" ca="1" si="21"/>
        <v>8.9024181586887676E-10</v>
      </c>
    </row>
    <row r="335" spans="1:11" x14ac:dyDescent="0.2">
      <c r="A335" s="45">
        <f t="shared" ca="1" si="22"/>
        <v>1.1573143606295407E-9</v>
      </c>
      <c r="B335" s="18">
        <f>-SUMIFS(Projetos!$F$2:$F$11,Projetos!$D$2:$D$11,"BRL",Projetos!$N$2:$N$11,Dados!$A335)</f>
        <v>0</v>
      </c>
      <c r="C335" s="45">
        <f ca="1">(A335+B335)*((Indicadores_Economicos!D$2+1)^(1/12)-1)</f>
        <v>3.7887460629030285E-12</v>
      </c>
      <c r="D335" s="18">
        <f>SUMIFS(Projetos!$G$2:$G$11,Projetos!$K$2:$K$11,"&lt;="&amp;Dados!$A335,Projetos!$N$2:$N$11,"&gt;"&amp;Dados!A335,Projetos!$D$2:$D$11,"BRL")</f>
        <v>0</v>
      </c>
      <c r="E335" s="18">
        <f t="shared" ca="1" si="20"/>
        <v>1.1611031066924437E-9</v>
      </c>
      <c r="G335" s="45">
        <f t="shared" ca="1" si="23"/>
        <v>8.9024181586887676E-10</v>
      </c>
      <c r="H335" s="18">
        <f>-SUMIFS(Projetos!$F$2:$F$11,Projetos!$D$2:$D$11,"USD",Projetos!$N$2:$N$11,Dados!$A335)</f>
        <v>0</v>
      </c>
      <c r="I335" s="45">
        <f ca="1">(G335+H335)*((Indicadores_Economicos!D$2+1)^(1/12)-1)</f>
        <v>2.9144200483869429E-12</v>
      </c>
      <c r="J335" s="18">
        <f>SUMIFS(Projetos!$G$2:$G$11,Projetos!$K$2:$K$11,"&lt;="&amp;Dados!$A335,Projetos!$N$2:$N$11,"&gt;"&amp;Dados!$A335,Projetos!$D$2:$D$11,"USD")</f>
        <v>0</v>
      </c>
      <c r="K335" s="18">
        <f t="shared" ca="1" si="21"/>
        <v>8.9315623591726371E-10</v>
      </c>
    </row>
    <row r="336" spans="1:11" x14ac:dyDescent="0.2">
      <c r="A336" s="45">
        <f t="shared" ca="1" si="22"/>
        <v>1.1611031066924437E-9</v>
      </c>
      <c r="B336" s="18">
        <f>-SUMIFS(Projetos!$F$2:$F$11,Projetos!$D$2:$D$11,"BRL",Projetos!$N$2:$N$11,Dados!$A336)</f>
        <v>0</v>
      </c>
      <c r="C336" s="45">
        <f ca="1">(A336+B336)*((Indicadores_Economicos!D$2+1)^(1/12)-1)</f>
        <v>3.8011494316138037E-12</v>
      </c>
      <c r="D336" s="18">
        <f>SUMIFS(Projetos!$G$2:$G$11,Projetos!$K$2:$K$11,"&lt;="&amp;Dados!$A336,Projetos!$N$2:$N$11,"&gt;"&amp;Dados!A336,Projetos!$D$2:$D$11,"BRL")</f>
        <v>0</v>
      </c>
      <c r="E336" s="18">
        <f t="shared" ca="1" si="20"/>
        <v>1.1649042561240576E-9</v>
      </c>
      <c r="G336" s="45">
        <f t="shared" ca="1" si="23"/>
        <v>8.9315623591726371E-10</v>
      </c>
      <c r="H336" s="18">
        <f>-SUMIFS(Projetos!$F$2:$F$11,Projetos!$D$2:$D$11,"USD",Projetos!$N$2:$N$11,Dados!$A336)</f>
        <v>0</v>
      </c>
      <c r="I336" s="45">
        <f ca="1">(G336+H336)*((Indicadores_Economicos!D$2+1)^(1/12)-1)</f>
        <v>2.9239611012413851E-12</v>
      </c>
      <c r="J336" s="18">
        <f>SUMIFS(Projetos!$G$2:$G$11,Projetos!$K$2:$K$11,"&lt;="&amp;Dados!$A336,Projetos!$N$2:$N$11,"&gt;"&amp;Dados!$A336,Projetos!$D$2:$D$11,"USD")</f>
        <v>0</v>
      </c>
      <c r="K336" s="18">
        <f t="shared" ca="1" si="21"/>
        <v>8.9608019701850506E-10</v>
      </c>
    </row>
    <row r="337" spans="1:11" x14ac:dyDescent="0.2">
      <c r="A337" s="45">
        <f t="shared" ca="1" si="22"/>
        <v>1.1649042561240576E-9</v>
      </c>
      <c r="B337" s="18">
        <f>-SUMIFS(Projetos!$F$2:$F$11,Projetos!$D$2:$D$11,"BRL",Projetos!$N$2:$N$11,Dados!$A337)</f>
        <v>0</v>
      </c>
      <c r="C337" s="45">
        <f ca="1">(A337+B337)*((Indicadores_Economicos!D$2+1)^(1/12)-1)</f>
        <v>3.8135934057261611E-12</v>
      </c>
      <c r="D337" s="18">
        <f>SUMIFS(Projetos!$G$2:$G$11,Projetos!$K$2:$K$11,"&lt;="&amp;Dados!$A337,Projetos!$N$2:$N$11,"&gt;"&amp;Dados!A337,Projetos!$D$2:$D$11,"BRL")</f>
        <v>0</v>
      </c>
      <c r="E337" s="18">
        <f t="shared" ca="1" si="20"/>
        <v>1.1687178495297838E-9</v>
      </c>
      <c r="G337" s="45">
        <f t="shared" ca="1" si="23"/>
        <v>8.9608019701850506E-10</v>
      </c>
      <c r="H337" s="18">
        <f>-SUMIFS(Projetos!$F$2:$F$11,Projetos!$D$2:$D$11,"USD",Projetos!$N$2:$N$11,Dados!$A337)</f>
        <v>0</v>
      </c>
      <c r="I337" s="45">
        <f ca="1">(G337+H337)*((Indicadores_Economicos!D$2+1)^(1/12)-1)</f>
        <v>2.9335333890201211E-12</v>
      </c>
      <c r="J337" s="18">
        <f>SUMIFS(Projetos!$G$2:$G$11,Projetos!$K$2:$K$11,"&lt;="&amp;Dados!$A337,Projetos!$N$2:$N$11,"&gt;"&amp;Dados!$A337,Projetos!$D$2:$D$11,"USD")</f>
        <v>0</v>
      </c>
      <c r="K337" s="18">
        <f t="shared" ca="1" si="21"/>
        <v>8.9901373040752516E-10</v>
      </c>
    </row>
    <row r="338" spans="1:11" x14ac:dyDescent="0.2">
      <c r="A338" s="45">
        <f t="shared" ca="1" si="22"/>
        <v>1.1687178495297838E-9</v>
      </c>
      <c r="B338" s="18">
        <f>-SUMIFS(Projetos!$F$2:$F$11,Projetos!$D$2:$D$11,"BRL",Projetos!$N$2:$N$11,Dados!$A338)</f>
        <v>0</v>
      </c>
      <c r="C338" s="45">
        <f ca="1">(A338+B338)*((Indicadores_Economicos!D$2+1)^(1/12)-1)</f>
        <v>3.8260781181716183E-12</v>
      </c>
      <c r="D338" s="18">
        <f>SUMIFS(Projetos!$G$2:$G$11,Projetos!$K$2:$K$11,"&lt;="&amp;Dados!$A338,Projetos!$N$2:$N$11,"&gt;"&amp;Dados!A338,Projetos!$D$2:$D$11,"BRL")</f>
        <v>0</v>
      </c>
      <c r="E338" s="18">
        <f t="shared" ca="1" si="20"/>
        <v>1.1725439276479555E-9</v>
      </c>
      <c r="G338" s="45">
        <f t="shared" ca="1" si="23"/>
        <v>8.9901373040752516E-10</v>
      </c>
      <c r="H338" s="18">
        <f>-SUMIFS(Projetos!$F$2:$F$11,Projetos!$D$2:$D$11,"USD",Projetos!$N$2:$N$11,Dados!$A338)</f>
        <v>0</v>
      </c>
      <c r="I338" s="45">
        <f ca="1">(G338+H338)*((Indicadores_Economicos!D$2+1)^(1/12)-1)</f>
        <v>2.9431370139781651E-12</v>
      </c>
      <c r="J338" s="18">
        <f>SUMIFS(Projetos!$G$2:$G$11,Projetos!$K$2:$K$11,"&lt;="&amp;Dados!$A338,Projetos!$N$2:$N$11,"&gt;"&amp;Dados!$A338,Projetos!$D$2:$D$11,"USD")</f>
        <v>0</v>
      </c>
      <c r="K338" s="18">
        <f t="shared" ca="1" si="21"/>
        <v>9.0195686742150336E-10</v>
      </c>
    </row>
    <row r="339" spans="1:11" x14ac:dyDescent="0.2">
      <c r="A339" s="45">
        <f t="shared" ca="1" si="22"/>
        <v>1.1725439276479555E-9</v>
      </c>
      <c r="B339" s="18">
        <f>-SUMIFS(Projetos!$F$2:$F$11,Projetos!$D$2:$D$11,"BRL",Projetos!$N$2:$N$11,Dados!$A339)</f>
        <v>0</v>
      </c>
      <c r="C339" s="45">
        <f ca="1">(A339+B339)*((Indicadores_Economicos!D$2+1)^(1/12)-1)</f>
        <v>3.8386037023168771E-12</v>
      </c>
      <c r="D339" s="18">
        <f>SUMIFS(Projetos!$G$2:$G$11,Projetos!$K$2:$K$11,"&lt;="&amp;Dados!$A339,Projetos!$N$2:$N$11,"&gt;"&amp;Dados!A339,Projetos!$D$2:$D$11,"BRL")</f>
        <v>0</v>
      </c>
      <c r="E339" s="18">
        <f t="shared" ca="1" si="20"/>
        <v>1.1763825313502724E-9</v>
      </c>
      <c r="G339" s="45">
        <f t="shared" ca="1" si="23"/>
        <v>9.0195686742150336E-10</v>
      </c>
      <c r="H339" s="18">
        <f>-SUMIFS(Projetos!$F$2:$F$11,Projetos!$D$2:$D$11,"USD",Projetos!$N$2:$N$11,Dados!$A339)</f>
        <v>0</v>
      </c>
      <c r="I339" s="45">
        <f ca="1">(G339+H339)*((Indicadores_Economicos!D$2+1)^(1/12)-1)</f>
        <v>2.9527720787052874E-12</v>
      </c>
      <c r="J339" s="18">
        <f>SUMIFS(Projetos!$G$2:$G$11,Projetos!$K$2:$K$11,"&lt;="&amp;Dados!$A339,Projetos!$N$2:$N$11,"&gt;"&amp;Dados!$A339,Projetos!$D$2:$D$11,"USD")</f>
        <v>0</v>
      </c>
      <c r="K339" s="18">
        <f t="shared" ca="1" si="21"/>
        <v>9.0490963950020866E-10</v>
      </c>
    </row>
    <row r="340" spans="1:11" x14ac:dyDescent="0.2">
      <c r="A340" s="45">
        <f t="shared" ca="1" si="22"/>
        <v>1.1763825313502724E-9</v>
      </c>
      <c r="B340" s="18">
        <f>-SUMIFS(Projetos!$F$2:$F$11,Projetos!$D$2:$D$11,"BRL",Projetos!$N$2:$N$11,Dados!$A340)</f>
        <v>0</v>
      </c>
      <c r="C340" s="45">
        <f ca="1">(A340+B340)*((Indicadores_Economicos!D$2+1)^(1/12)-1)</f>
        <v>3.8511702919652484E-12</v>
      </c>
      <c r="D340" s="18">
        <f>SUMIFS(Projetos!$G$2:$G$11,Projetos!$K$2:$K$11,"&lt;="&amp;Dados!$A340,Projetos!$N$2:$N$11,"&gt;"&amp;Dados!A340,Projetos!$D$2:$D$11,"BRL")</f>
        <v>0</v>
      </c>
      <c r="E340" s="18">
        <f t="shared" ca="1" si="20"/>
        <v>1.1802337016422376E-9</v>
      </c>
      <c r="G340" s="45">
        <f t="shared" ca="1" si="23"/>
        <v>9.0490963950020866E-10</v>
      </c>
      <c r="H340" s="18">
        <f>-SUMIFS(Projetos!$F$2:$F$11,Projetos!$D$2:$D$11,"USD",Projetos!$N$2:$N$11,Dados!$A340)</f>
        <v>0</v>
      </c>
      <c r="I340" s="45">
        <f ca="1">(G340+H340)*((Indicadores_Economicos!D$2+1)^(1/12)-1)</f>
        <v>2.9624386861271113E-12</v>
      </c>
      <c r="J340" s="18">
        <f>SUMIFS(Projetos!$G$2:$G$11,Projetos!$K$2:$K$11,"&lt;="&amp;Dados!$A340,Projetos!$N$2:$N$11,"&gt;"&amp;Dados!$A340,Projetos!$D$2:$D$11,"USD")</f>
        <v>0</v>
      </c>
      <c r="K340" s="18">
        <f t="shared" ca="1" si="21"/>
        <v>9.0787207818633573E-10</v>
      </c>
    </row>
    <row r="341" spans="1:11" x14ac:dyDescent="0.2">
      <c r="A341" s="45">
        <f t="shared" ca="1" si="22"/>
        <v>1.1802337016422376E-9</v>
      </c>
      <c r="B341" s="18">
        <f>-SUMIFS(Projetos!$F$2:$F$11,Projetos!$D$2:$D$11,"BRL",Projetos!$N$2:$N$11,Dados!$A341)</f>
        <v>0</v>
      </c>
      <c r="C341" s="45">
        <f ca="1">(A341+B341)*((Indicadores_Economicos!D$2+1)^(1/12)-1)</f>
        <v>3.8637780213580772E-12</v>
      </c>
      <c r="D341" s="18">
        <f>SUMIFS(Projetos!$G$2:$G$11,Projetos!$K$2:$K$11,"&lt;="&amp;Dados!$A341,Projetos!$N$2:$N$11,"&gt;"&amp;Dados!A341,Projetos!$D$2:$D$11,"BRL")</f>
        <v>0</v>
      </c>
      <c r="E341" s="18">
        <f t="shared" ca="1" si="20"/>
        <v>1.1840974796635956E-9</v>
      </c>
      <c r="G341" s="45">
        <f t="shared" ca="1" si="23"/>
        <v>9.0787207818633573E-10</v>
      </c>
      <c r="H341" s="18">
        <f>-SUMIFS(Projetos!$F$2:$F$11,Projetos!$D$2:$D$11,"USD",Projetos!$N$2:$N$11,Dados!$A341)</f>
        <v>0</v>
      </c>
      <c r="I341" s="45">
        <f ca="1">(G341+H341)*((Indicadores_Economicos!D$2+1)^(1/12)-1)</f>
        <v>2.9721369395062104E-12</v>
      </c>
      <c r="J341" s="18">
        <f>SUMIFS(Projetos!$G$2:$G$11,Projetos!$K$2:$K$11,"&lt;="&amp;Dados!$A341,Projetos!$N$2:$N$11,"&gt;"&amp;Dados!$A341,Projetos!$D$2:$D$11,"USD")</f>
        <v>0</v>
      </c>
      <c r="K341" s="18">
        <f t="shared" ca="1" si="21"/>
        <v>9.1084421512584197E-10</v>
      </c>
    </row>
    <row r="342" spans="1:11" x14ac:dyDescent="0.2">
      <c r="A342" s="45">
        <f t="shared" ca="1" si="22"/>
        <v>1.1840974796635956E-9</v>
      </c>
      <c r="B342" s="18">
        <f>-SUMIFS(Projetos!$F$2:$F$11,Projetos!$D$2:$D$11,"BRL",Projetos!$N$2:$N$11,Dados!$A342)</f>
        <v>0</v>
      </c>
      <c r="C342" s="45">
        <f ca="1">(A342+B342)*((Indicadores_Economicos!D$2+1)^(1/12)-1)</f>
        <v>3.8764270251761832E-12</v>
      </c>
      <c r="D342" s="18">
        <f>SUMIFS(Projetos!$G$2:$G$11,Projetos!$K$2:$K$11,"&lt;="&amp;Dados!$A342,Projetos!$N$2:$N$11,"&gt;"&amp;Dados!A342,Projetos!$D$2:$D$11,"BRL")</f>
        <v>0</v>
      </c>
      <c r="E342" s="18">
        <f t="shared" ca="1" si="20"/>
        <v>1.1879739066887718E-9</v>
      </c>
      <c r="G342" s="45">
        <f t="shared" ca="1" si="23"/>
        <v>9.1084421512584197E-10</v>
      </c>
      <c r="H342" s="18">
        <f>-SUMIFS(Projetos!$F$2:$F$11,Projetos!$D$2:$D$11,"USD",Projetos!$N$2:$N$11,Dados!$A342)</f>
        <v>0</v>
      </c>
      <c r="I342" s="45">
        <f ca="1">(G342+H342)*((Indicadores_Economicos!D$2+1)^(1/12)-1)</f>
        <v>2.9818669424432151E-12</v>
      </c>
      <c r="J342" s="18">
        <f>SUMIFS(Projetos!$G$2:$G$11,Projetos!$K$2:$K$11,"&lt;="&amp;Dados!$A342,Projetos!$N$2:$N$11,"&gt;"&amp;Dados!$A342,Projetos!$D$2:$D$11,"USD")</f>
        <v>0</v>
      </c>
      <c r="K342" s="18">
        <f t="shared" ca="1" si="21"/>
        <v>9.1382608206828514E-10</v>
      </c>
    </row>
    <row r="343" spans="1:11" x14ac:dyDescent="0.2">
      <c r="A343" s="45">
        <f t="shared" ca="1" si="22"/>
        <v>1.1879739066887718E-9</v>
      </c>
      <c r="B343" s="18">
        <f>-SUMIFS(Projetos!$F$2:$F$11,Projetos!$D$2:$D$11,"BRL",Projetos!$N$2:$N$11,Dados!$A343)</f>
        <v>0</v>
      </c>
      <c r="C343" s="45">
        <f ca="1">(A343+B343)*((Indicadores_Economicos!D$2+1)^(1/12)-1)</f>
        <v>3.8891174385412932E-12</v>
      </c>
      <c r="D343" s="18">
        <f>SUMIFS(Projetos!$G$2:$G$11,Projetos!$K$2:$K$11,"&lt;="&amp;Dados!$A343,Projetos!$N$2:$N$11,"&gt;"&amp;Dados!A343,Projetos!$D$2:$D$11,"BRL")</f>
        <v>0</v>
      </c>
      <c r="E343" s="18">
        <f t="shared" ca="1" si="20"/>
        <v>1.1918630241273131E-9</v>
      </c>
      <c r="G343" s="45">
        <f t="shared" ca="1" si="23"/>
        <v>9.1382608206828514E-10</v>
      </c>
      <c r="H343" s="18">
        <f>-SUMIFS(Projetos!$F$2:$F$11,Projetos!$D$2:$D$11,"USD",Projetos!$N$2:$N$11,Dados!$A343)</f>
        <v>0</v>
      </c>
      <c r="I343" s="45">
        <f ca="1">(G343+H343)*((Indicadores_Economicos!D$2+1)^(1/12)-1)</f>
        <v>2.9916287988779153E-12</v>
      </c>
      <c r="J343" s="18">
        <f>SUMIFS(Projetos!$G$2:$G$11,Projetos!$K$2:$K$11,"&lt;="&amp;Dados!$A343,Projetos!$N$2:$N$11,"&gt;"&amp;Dados!$A343,Projetos!$D$2:$D$11,"USD")</f>
        <v>0</v>
      </c>
      <c r="K343" s="18">
        <f t="shared" ca="1" si="21"/>
        <v>9.1681771086716309E-10</v>
      </c>
    </row>
    <row r="344" spans="1:11" x14ac:dyDescent="0.2">
      <c r="A344" s="45">
        <f t="shared" ca="1" si="22"/>
        <v>1.1918630241273131E-9</v>
      </c>
      <c r="B344" s="18">
        <f>-SUMIFS(Projetos!$F$2:$F$11,Projetos!$D$2:$D$11,"BRL",Projetos!$N$2:$N$11,Dados!$A344)</f>
        <v>0</v>
      </c>
      <c r="C344" s="45">
        <f ca="1">(A344+B344)*((Indicadores_Economicos!D$2+1)^(1/12)-1)</f>
        <v>3.9018493970174893E-12</v>
      </c>
      <c r="D344" s="18">
        <f>SUMIFS(Projetos!$G$2:$G$11,Projetos!$K$2:$K$11,"&lt;="&amp;Dados!$A344,Projetos!$N$2:$N$11,"&gt;"&amp;Dados!A344,Projetos!$D$2:$D$11,"BRL")</f>
        <v>0</v>
      </c>
      <c r="E344" s="18">
        <f t="shared" ca="1" si="20"/>
        <v>1.1957648735243306E-9</v>
      </c>
      <c r="G344" s="45">
        <f t="shared" ca="1" si="23"/>
        <v>9.1681771086716309E-10</v>
      </c>
      <c r="H344" s="18">
        <f>-SUMIFS(Projetos!$F$2:$F$11,Projetos!$D$2:$D$11,"USD",Projetos!$N$2:$N$11,Dados!$A344)</f>
        <v>0</v>
      </c>
      <c r="I344" s="45">
        <f ca="1">(G344+H344)*((Indicadores_Economicos!D$2+1)^(1/12)-1)</f>
        <v>3.0014226130903737E-12</v>
      </c>
      <c r="J344" s="18">
        <f>SUMIFS(Projetos!$G$2:$G$11,Projetos!$K$2:$K$11,"&lt;="&amp;Dados!$A344,Projetos!$N$2:$N$11,"&gt;"&amp;Dados!$A344,Projetos!$D$2:$D$11,"USD")</f>
        <v>0</v>
      </c>
      <c r="K344" s="18">
        <f t="shared" ca="1" si="21"/>
        <v>9.1981913348025343E-10</v>
      </c>
    </row>
    <row r="345" spans="1:11" x14ac:dyDescent="0.2">
      <c r="A345" s="45">
        <f t="shared" ca="1" si="22"/>
        <v>1.1957648735243306E-9</v>
      </c>
      <c r="B345" s="18">
        <f>-SUMIFS(Projetos!$F$2:$F$11,Projetos!$D$2:$D$11,"BRL",Projetos!$N$2:$N$11,Dados!$A345)</f>
        <v>0</v>
      </c>
      <c r="C345" s="45">
        <f ca="1">(A345+B345)*((Indicadores_Economicos!D$2+1)^(1/12)-1)</f>
        <v>3.9146230366126544E-12</v>
      </c>
      <c r="D345" s="18">
        <f>SUMIFS(Projetos!$G$2:$G$11,Projetos!$K$2:$K$11,"&lt;="&amp;Dados!$A345,Projetos!$N$2:$N$11,"&gt;"&amp;Dados!A345,Projetos!$D$2:$D$11,"BRL")</f>
        <v>0</v>
      </c>
      <c r="E345" s="18">
        <f t="shared" ca="1" si="20"/>
        <v>1.1996794965609432E-9</v>
      </c>
      <c r="G345" s="45">
        <f t="shared" ca="1" si="23"/>
        <v>9.1981913348025343E-10</v>
      </c>
      <c r="H345" s="18">
        <f>-SUMIFS(Projetos!$F$2:$F$11,Projetos!$D$2:$D$11,"USD",Projetos!$N$2:$N$11,Dados!$A345)</f>
        <v>0</v>
      </c>
      <c r="I345" s="45">
        <f ca="1">(G345+H345)*((Indicadores_Economicos!D$2+1)^(1/12)-1)</f>
        <v>3.0112484897020393E-12</v>
      </c>
      <c r="J345" s="18">
        <f>SUMIFS(Projetos!$G$2:$G$11,Projetos!$K$2:$K$11,"&lt;="&amp;Dados!$A345,Projetos!$N$2:$N$11,"&gt;"&amp;Dados!$A345,Projetos!$D$2:$D$11,"USD")</f>
        <v>0</v>
      </c>
      <c r="K345" s="18">
        <f t="shared" ca="1" si="21"/>
        <v>9.2283038196995549E-10</v>
      </c>
    </row>
    <row r="346" spans="1:11" x14ac:dyDescent="0.2">
      <c r="A346" s="45">
        <f t="shared" ca="1" si="22"/>
        <v>1.1996794965609432E-9</v>
      </c>
      <c r="B346" s="18">
        <f>-SUMIFS(Projetos!$F$2:$F$11,Projetos!$D$2:$D$11,"BRL",Projetos!$N$2:$N$11,Dados!$A346)</f>
        <v>0</v>
      </c>
      <c r="C346" s="45">
        <f ca="1">(A346+B346)*((Indicadores_Economicos!D$2+1)^(1/12)-1)</f>
        <v>3.9274384937799257E-12</v>
      </c>
      <c r="D346" s="18">
        <f>SUMIFS(Projetos!$G$2:$G$11,Projetos!$K$2:$K$11,"&lt;="&amp;Dados!$A346,Projetos!$N$2:$N$11,"&gt;"&amp;Dados!A346,Projetos!$D$2:$D$11,"BRL")</f>
        <v>0</v>
      </c>
      <c r="E346" s="18">
        <f t="shared" ca="1" si="20"/>
        <v>1.2036069350547232E-9</v>
      </c>
      <c r="G346" s="45">
        <f t="shared" ca="1" si="23"/>
        <v>9.2283038196995549E-10</v>
      </c>
      <c r="H346" s="18">
        <f>-SUMIFS(Projetos!$F$2:$F$11,Projetos!$D$2:$D$11,"USD",Projetos!$N$2:$N$11,Dados!$A346)</f>
        <v>0</v>
      </c>
      <c r="I346" s="45">
        <f ca="1">(G346+H346)*((Indicadores_Economicos!D$2+1)^(1/12)-1)</f>
        <v>3.0211065336768632E-12</v>
      </c>
      <c r="J346" s="18">
        <f>SUMIFS(Projetos!$G$2:$G$11,Projetos!$K$2:$K$11,"&lt;="&amp;Dados!$A346,Projetos!$N$2:$N$11,"&gt;"&amp;Dados!$A346,Projetos!$D$2:$D$11,"USD")</f>
        <v>0</v>
      </c>
      <c r="K346" s="18">
        <f t="shared" ca="1" si="21"/>
        <v>9.2585148850363232E-10</v>
      </c>
    </row>
    <row r="347" spans="1:11" x14ac:dyDescent="0.2">
      <c r="A347" s="45">
        <f t="shared" ca="1" si="22"/>
        <v>1.2036069350547232E-9</v>
      </c>
      <c r="B347" s="18">
        <f>-SUMIFS(Projetos!$F$2:$F$11,Projetos!$D$2:$D$11,"BRL",Projetos!$N$2:$N$11,Dados!$A347)</f>
        <v>0</v>
      </c>
      <c r="C347" s="45">
        <f ca="1">(A347+B347)*((Indicadores_Economicos!D$2+1)^(1/12)-1)</f>
        <v>3.9402959054191528E-12</v>
      </c>
      <c r="D347" s="18">
        <f>SUMIFS(Projetos!$G$2:$G$11,Projetos!$K$2:$K$11,"&lt;="&amp;Dados!$A347,Projetos!$N$2:$N$11,"&gt;"&amp;Dados!A347,Projetos!$D$2:$D$11,"BRL")</f>
        <v>0</v>
      </c>
      <c r="E347" s="18">
        <f t="shared" ca="1" si="20"/>
        <v>1.2075472309601423E-9</v>
      </c>
      <c r="G347" s="45">
        <f t="shared" ca="1" si="23"/>
        <v>9.2585148850363232E-10</v>
      </c>
      <c r="H347" s="18">
        <f>-SUMIFS(Projetos!$F$2:$F$11,Projetos!$D$2:$D$11,"USD",Projetos!$N$2:$N$11,Dados!$A347)</f>
        <v>0</v>
      </c>
      <c r="I347" s="45">
        <f ca="1">(G347+H347)*((Indicadores_Economicos!D$2+1)^(1/12)-1)</f>
        <v>3.030996850322422E-12</v>
      </c>
      <c r="J347" s="18">
        <f>SUMIFS(Projetos!$G$2:$G$11,Projetos!$K$2:$K$11,"&lt;="&amp;Dados!$A347,Projetos!$N$2:$N$11,"&gt;"&amp;Dados!$A347,Projetos!$D$2:$D$11,"USD")</f>
        <v>0</v>
      </c>
      <c r="K347" s="18">
        <f t="shared" ca="1" si="21"/>
        <v>9.2888248535395473E-10</v>
      </c>
    </row>
    <row r="348" spans="1:11" x14ac:dyDescent="0.2">
      <c r="A348" s="45">
        <f t="shared" ca="1" si="22"/>
        <v>1.2075472309601423E-9</v>
      </c>
      <c r="B348" s="18">
        <f>-SUMIFS(Projetos!$F$2:$F$11,Projetos!$D$2:$D$11,"BRL",Projetos!$N$2:$N$11,Dados!$A348)</f>
        <v>0</v>
      </c>
      <c r="C348" s="45">
        <f ca="1">(A348+B348)*((Indicadores_Economicos!D$2+1)^(1/12)-1)</f>
        <v>3.9531954088783585E-12</v>
      </c>
      <c r="D348" s="18">
        <f>SUMIFS(Projetos!$G$2:$G$11,Projetos!$K$2:$K$11,"&lt;="&amp;Dados!$A348,Projetos!$N$2:$N$11,"&gt;"&amp;Dados!A348,Projetos!$D$2:$D$11,"BRL")</f>
        <v>0</v>
      </c>
      <c r="E348" s="18">
        <f t="shared" ca="1" si="20"/>
        <v>1.2115004263690207E-9</v>
      </c>
      <c r="G348" s="45">
        <f t="shared" ca="1" si="23"/>
        <v>9.2888248535395473E-10</v>
      </c>
      <c r="H348" s="18">
        <f>-SUMIFS(Projetos!$F$2:$F$11,Projetos!$D$2:$D$11,"USD",Projetos!$N$2:$N$11,Dados!$A348)</f>
        <v>0</v>
      </c>
      <c r="I348" s="45">
        <f ca="1">(G348+H348)*((Indicadores_Economicos!D$2+1)^(1/12)-1)</f>
        <v>3.0409195452910422E-12</v>
      </c>
      <c r="J348" s="18">
        <f>SUMIFS(Projetos!$G$2:$G$11,Projetos!$K$2:$K$11,"&lt;="&amp;Dados!$A348,Projetos!$N$2:$N$11,"&gt;"&amp;Dados!$A348,Projetos!$D$2:$D$11,"USD")</f>
        <v>0</v>
      </c>
      <c r="K348" s="18">
        <f t="shared" ca="1" si="21"/>
        <v>9.3192340489924567E-10</v>
      </c>
    </row>
    <row r="349" spans="1:11" x14ac:dyDescent="0.2">
      <c r="A349" s="45">
        <f t="shared" ca="1" si="22"/>
        <v>1.2115004263690207E-9</v>
      </c>
      <c r="B349" s="18">
        <f>-SUMIFS(Projetos!$F$2:$F$11,Projetos!$D$2:$D$11,"BRL",Projetos!$N$2:$N$11,Dados!$A349)</f>
        <v>0</v>
      </c>
      <c r="C349" s="45">
        <f ca="1">(A349+B349)*((Indicadores_Economicos!D$2+1)^(1/12)-1)</f>
        <v>3.9661371419552096E-12</v>
      </c>
      <c r="D349" s="18">
        <f>SUMIFS(Projetos!$G$2:$G$11,Projetos!$K$2:$K$11,"&lt;="&amp;Dados!$A349,Projetos!$N$2:$N$11,"&gt;"&amp;Dados!A349,Projetos!$D$2:$D$11,"BRL")</f>
        <v>0</v>
      </c>
      <c r="E349" s="18">
        <f t="shared" ca="1" si="20"/>
        <v>1.2154665635109759E-9</v>
      </c>
      <c r="G349" s="45">
        <f t="shared" ca="1" si="23"/>
        <v>9.3192340489924567E-10</v>
      </c>
      <c r="H349" s="18">
        <f>-SUMIFS(Projetos!$F$2:$F$11,Projetos!$D$2:$D$11,"USD",Projetos!$N$2:$N$11,Dados!$A349)</f>
        <v>0</v>
      </c>
      <c r="I349" s="45">
        <f ca="1">(G349+H349)*((Indicadores_Economicos!D$2+1)^(1/12)-1)</f>
        <v>3.0508747245809274E-12</v>
      </c>
      <c r="J349" s="18">
        <f>SUMIFS(Projetos!$G$2:$G$11,Projetos!$K$2:$K$11,"&lt;="&amp;Dados!$A349,Projetos!$N$2:$N$11,"&gt;"&amp;Dados!$A349,Projetos!$D$2:$D$11,"USD")</f>
        <v>0</v>
      </c>
      <c r="K349" s="18">
        <f t="shared" ca="1" si="21"/>
        <v>9.3497427962382656E-10</v>
      </c>
    </row>
    <row r="350" spans="1:11" x14ac:dyDescent="0.2">
      <c r="A350" s="45">
        <f t="shared" ca="1" si="22"/>
        <v>1.2154665635109759E-9</v>
      </c>
      <c r="B350" s="18">
        <f>-SUMIFS(Projetos!$F$2:$F$11,Projetos!$D$2:$D$11,"BRL",Projetos!$N$2:$N$11,Dados!$A350)</f>
        <v>0</v>
      </c>
      <c r="C350" s="45">
        <f ca="1">(A350+B350)*((Indicadores_Economicos!D$2+1)^(1/12)-1)</f>
        <v>3.9791212428984852E-12</v>
      </c>
      <c r="D350" s="18">
        <f>SUMIFS(Projetos!$G$2:$G$11,Projetos!$K$2:$K$11,"&lt;="&amp;Dados!$A350,Projetos!$N$2:$N$11,"&gt;"&amp;Dados!A350,Projetos!$D$2:$D$11,"BRL")</f>
        <v>0</v>
      </c>
      <c r="E350" s="18">
        <f t="shared" ca="1" si="20"/>
        <v>1.2194456847538743E-9</v>
      </c>
      <c r="G350" s="45">
        <f t="shared" ca="1" si="23"/>
        <v>9.3497427962382656E-10</v>
      </c>
      <c r="H350" s="18">
        <f>-SUMIFS(Projetos!$F$2:$F$11,Projetos!$D$2:$D$11,"USD",Projetos!$N$2:$N$11,Dados!$A350)</f>
        <v>0</v>
      </c>
      <c r="I350" s="45">
        <f ca="1">(G350+H350)*((Indicadores_Economicos!D$2+1)^(1/12)-1)</f>
        <v>3.0608624945372929E-12</v>
      </c>
      <c r="J350" s="18">
        <f>SUMIFS(Projetos!$G$2:$G$11,Projetos!$K$2:$K$11,"&lt;="&amp;Dados!$A350,Projetos!$N$2:$N$11,"&gt;"&amp;Dados!$A350,Projetos!$D$2:$D$11,"USD")</f>
        <v>0</v>
      </c>
      <c r="K350" s="18">
        <f t="shared" ca="1" si="21"/>
        <v>9.3803514211836391E-10</v>
      </c>
    </row>
    <row r="351" spans="1:11" x14ac:dyDescent="0.2">
      <c r="A351" s="45">
        <f t="shared" ca="1" si="22"/>
        <v>1.2194456847538743E-9</v>
      </c>
      <c r="B351" s="18">
        <f>-SUMIFS(Projetos!$F$2:$F$11,Projetos!$D$2:$D$11,"BRL",Projetos!$N$2:$N$11,Dados!$A351)</f>
        <v>0</v>
      </c>
      <c r="C351" s="45">
        <f ca="1">(A351+B351)*((Indicadores_Economicos!D$2+1)^(1/12)-1)</f>
        <v>3.9921478504095551E-12</v>
      </c>
      <c r="D351" s="18">
        <f>SUMIFS(Projetos!$G$2:$G$11,Projetos!$K$2:$K$11,"&lt;="&amp;Dados!$A351,Projetos!$N$2:$N$11,"&gt;"&amp;Dados!A351,Projetos!$D$2:$D$11,"BRL")</f>
        <v>0</v>
      </c>
      <c r="E351" s="18">
        <f t="shared" ca="1" si="20"/>
        <v>1.223437832604284E-9</v>
      </c>
      <c r="G351" s="45">
        <f t="shared" ca="1" si="23"/>
        <v>9.3803514211836391E-10</v>
      </c>
      <c r="H351" s="18">
        <f>-SUMIFS(Projetos!$F$2:$F$11,Projetos!$D$2:$D$11,"USD",Projetos!$N$2:$N$11,Dados!$A351)</f>
        <v>0</v>
      </c>
      <c r="I351" s="45">
        <f ca="1">(G351+H351)*((Indicadores_Economicos!D$2+1)^(1/12)-1)</f>
        <v>3.0708829618535006E-12</v>
      </c>
      <c r="J351" s="18">
        <f>SUMIFS(Projetos!$G$2:$G$11,Projetos!$K$2:$K$11,"&lt;="&amp;Dados!$A351,Projetos!$N$2:$N$11,"&gt;"&amp;Dados!$A351,Projetos!$D$2:$D$11,"USD")</f>
        <v>0</v>
      </c>
      <c r="K351" s="18">
        <f t="shared" ca="1" si="21"/>
        <v>9.4110602508021733E-10</v>
      </c>
    </row>
    <row r="352" spans="1:11" x14ac:dyDescent="0.2">
      <c r="A352" s="45">
        <f t="shared" ca="1" si="22"/>
        <v>1.223437832604284E-9</v>
      </c>
      <c r="B352" s="18">
        <f>-SUMIFS(Projetos!$F$2:$F$11,Projetos!$D$2:$D$11,"BRL",Projetos!$N$2:$N$11,Dados!$A352)</f>
        <v>0</v>
      </c>
      <c r="C352" s="45">
        <f ca="1">(A352+B352)*((Indicadores_Economicos!D$2+1)^(1/12)-1)</f>
        <v>4.0052171036438608E-12</v>
      </c>
      <c r="D352" s="18">
        <f>SUMIFS(Projetos!$G$2:$G$11,Projetos!$K$2:$K$11,"&lt;="&amp;Dados!$A352,Projetos!$N$2:$N$11,"&gt;"&amp;Dados!A352,Projetos!$D$2:$D$11,"BRL")</f>
        <v>0</v>
      </c>
      <c r="E352" s="18">
        <f t="shared" ca="1" si="20"/>
        <v>1.2274430497079279E-9</v>
      </c>
      <c r="G352" s="45">
        <f t="shared" ca="1" si="23"/>
        <v>9.4110602508021733E-10</v>
      </c>
      <c r="H352" s="18">
        <f>-SUMIFS(Projetos!$F$2:$F$11,Projetos!$D$2:$D$11,"USD",Projetos!$N$2:$N$11,Dados!$A352)</f>
        <v>0</v>
      </c>
      <c r="I352" s="45">
        <f ca="1">(G352+H352)*((Indicadores_Economicos!D$2+1)^(1/12)-1)</f>
        <v>3.0809362335721969E-12</v>
      </c>
      <c r="J352" s="18">
        <f>SUMIFS(Projetos!$G$2:$G$11,Projetos!$K$2:$K$11,"&lt;="&amp;Dados!$A352,Projetos!$N$2:$N$11,"&gt;"&amp;Dados!$A352,Projetos!$D$2:$D$11,"USD")</f>
        <v>0</v>
      </c>
      <c r="K352" s="18">
        <f t="shared" ca="1" si="21"/>
        <v>9.4418696131378959E-10</v>
      </c>
    </row>
    <row r="353" spans="1:11" x14ac:dyDescent="0.2">
      <c r="A353" s="45">
        <f t="shared" ca="1" si="22"/>
        <v>1.2274430497079279E-9</v>
      </c>
      <c r="B353" s="18">
        <f>-SUMIFS(Projetos!$F$2:$F$11,Projetos!$D$2:$D$11,"BRL",Projetos!$N$2:$N$11,Dados!$A353)</f>
        <v>0</v>
      </c>
      <c r="C353" s="45">
        <f ca="1">(A353+B353)*((Indicadores_Economicos!D$2+1)^(1/12)-1)</f>
        <v>4.0183291422124033E-12</v>
      </c>
      <c r="D353" s="18">
        <f>SUMIFS(Projetos!$G$2:$G$11,Projetos!$K$2:$K$11,"&lt;="&amp;Dados!$A353,Projetos!$N$2:$N$11,"&gt;"&amp;Dados!A353,Projetos!$D$2:$D$11,"BRL")</f>
        <v>0</v>
      </c>
      <c r="E353" s="18">
        <f t="shared" ca="1" si="20"/>
        <v>1.2314613788501403E-9</v>
      </c>
      <c r="G353" s="45">
        <f t="shared" ca="1" si="23"/>
        <v>9.4418696131378959E-10</v>
      </c>
      <c r="H353" s="18">
        <f>-SUMIFS(Projetos!$F$2:$F$11,Projetos!$D$2:$D$11,"USD",Projetos!$N$2:$N$11,Dados!$A353)</f>
        <v>0</v>
      </c>
      <c r="I353" s="45">
        <f ca="1">(G353+H353)*((Indicadores_Economicos!D$2+1)^(1/12)-1)</f>
        <v>3.0910224170864605E-12</v>
      </c>
      <c r="J353" s="18">
        <f>SUMIFS(Projetos!$G$2:$G$11,Projetos!$K$2:$K$11,"&lt;="&amp;Dados!$A353,Projetos!$N$2:$N$11,"&gt;"&amp;Dados!$A353,Projetos!$D$2:$D$11,"USD")</f>
        <v>0</v>
      </c>
      <c r="K353" s="18">
        <f t="shared" ca="1" si="21"/>
        <v>9.472779837308761E-10</v>
      </c>
    </row>
    <row r="354" spans="1:11" x14ac:dyDescent="0.2">
      <c r="A354" s="45">
        <f t="shared" ca="1" si="22"/>
        <v>1.2314613788501403E-9</v>
      </c>
      <c r="B354" s="18">
        <f>-SUMIFS(Projetos!$F$2:$F$11,Projetos!$D$2:$D$11,"BRL",Projetos!$N$2:$N$11,Dados!$A354)</f>
        <v>0</v>
      </c>
      <c r="C354" s="45">
        <f ca="1">(A354+B354)*((Indicadores_Economicos!D$2+1)^(1/12)-1)</f>
        <v>4.0314841061832333E-12</v>
      </c>
      <c r="D354" s="18">
        <f>SUMIFS(Projetos!$G$2:$G$11,Projetos!$K$2:$K$11,"&lt;="&amp;Dados!$A354,Projetos!$N$2:$N$11,"&gt;"&amp;Dados!A354,Projetos!$D$2:$D$11,"BRL")</f>
        <v>0</v>
      </c>
      <c r="E354" s="18">
        <f t="shared" ca="1" si="20"/>
        <v>1.2354928629563236E-9</v>
      </c>
      <c r="G354" s="45">
        <f t="shared" ca="1" si="23"/>
        <v>9.472779837308761E-10</v>
      </c>
      <c r="H354" s="18">
        <f>-SUMIFS(Projetos!$F$2:$F$11,Projetos!$D$2:$D$11,"USD",Projetos!$N$2:$N$11,Dados!$A354)</f>
        <v>0</v>
      </c>
      <c r="I354" s="45">
        <f ca="1">(G354+H354)*((Indicadores_Economicos!D$2+1)^(1/12)-1)</f>
        <v>3.1011416201409452E-12</v>
      </c>
      <c r="J354" s="18">
        <f>SUMIFS(Projetos!$G$2:$G$11,Projetos!$K$2:$K$11,"&lt;="&amp;Dados!$A354,Projetos!$N$2:$N$11,"&gt;"&amp;Dados!$A354,Projetos!$D$2:$D$11,"USD")</f>
        <v>0</v>
      </c>
      <c r="K354" s="18">
        <f t="shared" ca="1" si="21"/>
        <v>9.503791253510171E-10</v>
      </c>
    </row>
    <row r="355" spans="1:11" x14ac:dyDescent="0.2">
      <c r="A355" s="45">
        <f t="shared" ca="1" si="22"/>
        <v>1.2354928629563236E-9</v>
      </c>
      <c r="B355" s="18">
        <f>-SUMIFS(Projetos!$F$2:$F$11,Projetos!$D$2:$D$11,"BRL",Projetos!$N$2:$N$11,Dados!$A355)</f>
        <v>0</v>
      </c>
      <c r="C355" s="45">
        <f ca="1">(A355+B355)*((Indicadores_Economicos!D$2+1)^(1/12)-1)</f>
        <v>4.0446821360829484E-12</v>
      </c>
      <c r="D355" s="18">
        <f>SUMIFS(Projetos!$G$2:$G$11,Projetos!$K$2:$K$11,"&lt;="&amp;Dados!$A355,Projetos!$N$2:$N$11,"&gt;"&amp;Dados!A355,Projetos!$D$2:$D$11,"BRL")</f>
        <v>0</v>
      </c>
      <c r="E355" s="18">
        <f t="shared" ca="1" si="20"/>
        <v>1.2395375450924066E-9</v>
      </c>
      <c r="G355" s="45">
        <f t="shared" ca="1" si="23"/>
        <v>9.503791253510171E-10</v>
      </c>
      <c r="H355" s="18">
        <f>-SUMIFS(Projetos!$F$2:$F$11,Projetos!$D$2:$D$11,"USD",Projetos!$N$2:$N$11,Dados!$A355)</f>
        <v>0</v>
      </c>
      <c r="I355" s="45">
        <f ca="1">(G355+H355)*((Indicadores_Economicos!D$2+1)^(1/12)-1)</f>
        <v>3.1112939508330335E-12</v>
      </c>
      <c r="J355" s="18">
        <f>SUMIFS(Projetos!$G$2:$G$11,Projetos!$K$2:$K$11,"&lt;="&amp;Dados!$A355,Projetos!$N$2:$N$11,"&gt;"&amp;Dados!$A355,Projetos!$D$2:$D$11,"USD")</f>
        <v>0</v>
      </c>
      <c r="K355" s="18">
        <f t="shared" ca="1" si="21"/>
        <v>9.5349041930185004E-10</v>
      </c>
    </row>
    <row r="356" spans="1:11" x14ac:dyDescent="0.2">
      <c r="A356" s="45">
        <f t="shared" ca="1" si="22"/>
        <v>1.2395375450924066E-9</v>
      </c>
      <c r="B356" s="18">
        <f>-SUMIFS(Projetos!$F$2:$F$11,Projetos!$D$2:$D$11,"BRL",Projetos!$N$2:$N$11,Dados!$A356)</f>
        <v>0</v>
      </c>
      <c r="C356" s="45">
        <f ca="1">(A356+B356)*((Indicadores_Economicos!D$2+1)^(1/12)-1)</f>
        <v>4.0579233728981923E-12</v>
      </c>
      <c r="D356" s="18">
        <f>SUMIFS(Projetos!$G$2:$G$11,Projetos!$K$2:$K$11,"&lt;="&amp;Dados!$A356,Projetos!$N$2:$N$11,"&gt;"&amp;Dados!A356,Projetos!$D$2:$D$11,"BRL")</f>
        <v>0</v>
      </c>
      <c r="E356" s="18">
        <f t="shared" ca="1" si="20"/>
        <v>1.2435954684653047E-9</v>
      </c>
      <c r="G356" s="45">
        <f t="shared" ca="1" si="23"/>
        <v>9.5349041930185004E-10</v>
      </c>
      <c r="H356" s="18">
        <f>-SUMIFS(Projetos!$F$2:$F$11,Projetos!$D$2:$D$11,"USD",Projetos!$N$2:$N$11,Dados!$A356)</f>
        <v>0</v>
      </c>
      <c r="I356" s="45">
        <f ca="1">(G356+H356)*((Indicadores_Economicos!D$2+1)^(1/12)-1)</f>
        <v>3.1214795176139903E-12</v>
      </c>
      <c r="J356" s="18">
        <f>SUMIFS(Projetos!$G$2:$G$11,Projetos!$K$2:$K$11,"&lt;="&amp;Dados!$A356,Projetos!$N$2:$N$11,"&gt;"&amp;Dados!$A356,Projetos!$D$2:$D$11,"USD")</f>
        <v>0</v>
      </c>
      <c r="K356" s="18">
        <f t="shared" ca="1" si="21"/>
        <v>9.5661189881946402E-10</v>
      </c>
    </row>
    <row r="357" spans="1:11" x14ac:dyDescent="0.2">
      <c r="A357" s="45">
        <f t="shared" ca="1" si="22"/>
        <v>1.2435954684653047E-9</v>
      </c>
      <c r="B357" s="18">
        <f>-SUMIFS(Projetos!$F$2:$F$11,Projetos!$D$2:$D$11,"BRL",Projetos!$N$2:$N$11,Dados!$A357)</f>
        <v>0</v>
      </c>
      <c r="C357" s="45">
        <f ca="1">(A357+B357)*((Indicadores_Economicos!D$2+1)^(1/12)-1)</f>
        <v>4.0712079580771638E-12</v>
      </c>
      <c r="D357" s="18">
        <f>SUMIFS(Projetos!$G$2:$G$11,Projetos!$K$2:$K$11,"&lt;="&amp;Dados!$A357,Projetos!$N$2:$N$11,"&gt;"&amp;Dados!A357,Projetos!$D$2:$D$11,"BRL")</f>
        <v>0</v>
      </c>
      <c r="E357" s="18">
        <f t="shared" ca="1" si="20"/>
        <v>1.2476666764233819E-9</v>
      </c>
      <c r="G357" s="45">
        <f t="shared" ca="1" si="23"/>
        <v>9.5661189881946402E-10</v>
      </c>
      <c r="H357" s="18">
        <f>-SUMIFS(Projetos!$F$2:$F$11,Projetos!$D$2:$D$11,"USD",Projetos!$N$2:$N$11,Dados!$A357)</f>
        <v>0</v>
      </c>
      <c r="I357" s="45">
        <f ca="1">(G357+H357)*((Indicadores_Economicos!D$2+1)^(1/12)-1)</f>
        <v>3.1316984292901221E-12</v>
      </c>
      <c r="J357" s="18">
        <f>SUMIFS(Projetos!$G$2:$G$11,Projetos!$K$2:$K$11,"&lt;="&amp;Dados!$A357,Projetos!$N$2:$N$11,"&gt;"&amp;Dados!$A357,Projetos!$D$2:$D$11,"USD")</f>
        <v>0</v>
      </c>
      <c r="K357" s="18">
        <f t="shared" ca="1" si="21"/>
        <v>9.5974359724875421E-10</v>
      </c>
    </row>
    <row r="358" spans="1:11" x14ac:dyDescent="0.2">
      <c r="A358" s="45">
        <f t="shared" ca="1" si="22"/>
        <v>1.2476666764233819E-9</v>
      </c>
      <c r="B358" s="18">
        <f>-SUMIFS(Projetos!$F$2:$F$11,Projetos!$D$2:$D$11,"BRL",Projetos!$N$2:$N$11,Dados!$A358)</f>
        <v>0</v>
      </c>
      <c r="C358" s="45">
        <f ca="1">(A358+B358)*((Indicadores_Economicos!D$2+1)^(1/12)-1)</f>
        <v>4.0845360335311256E-12</v>
      </c>
      <c r="D358" s="18">
        <f>SUMIFS(Projetos!$G$2:$G$11,Projetos!$K$2:$K$11,"&lt;="&amp;Dados!$A358,Projetos!$N$2:$N$11,"&gt;"&amp;Dados!A358,Projetos!$D$2:$D$11,"BRL")</f>
        <v>0</v>
      </c>
      <c r="E358" s="18">
        <f t="shared" ca="1" si="20"/>
        <v>1.2517512124569129E-9</v>
      </c>
      <c r="G358" s="45">
        <f t="shared" ca="1" si="23"/>
        <v>9.5974359724875421E-10</v>
      </c>
      <c r="H358" s="18">
        <f>-SUMIFS(Projetos!$F$2:$F$11,Projetos!$D$2:$D$11,"USD",Projetos!$N$2:$N$11,Dados!$A358)</f>
        <v>0</v>
      </c>
      <c r="I358" s="45">
        <f ca="1">(G358+H358)*((Indicadores_Economicos!D$2+1)^(1/12)-1)</f>
        <v>3.1419507950239391E-12</v>
      </c>
      <c r="J358" s="18">
        <f>SUMIFS(Projetos!$G$2:$G$11,Projetos!$K$2:$K$11,"&lt;="&amp;Dados!$A358,Projetos!$N$2:$N$11,"&gt;"&amp;Dados!$A358,Projetos!$D$2:$D$11,"USD")</f>
        <v>0</v>
      </c>
      <c r="K358" s="18">
        <f t="shared" ca="1" si="21"/>
        <v>9.6288554804377823E-10</v>
      </c>
    </row>
    <row r="359" spans="1:11" x14ac:dyDescent="0.2">
      <c r="A359" s="45">
        <f t="shared" ca="1" si="22"/>
        <v>1.2517512124569129E-9</v>
      </c>
      <c r="B359" s="18">
        <f>-SUMIFS(Projetos!$F$2:$F$11,Projetos!$D$2:$D$11,"BRL",Projetos!$N$2:$N$11,Dados!$A359)</f>
        <v>0</v>
      </c>
      <c r="C359" s="45">
        <f ca="1">(A359+B359)*((Indicadores_Economicos!D$2+1)^(1/12)-1)</f>
        <v>4.097907741635921E-12</v>
      </c>
      <c r="D359" s="18">
        <f>SUMIFS(Projetos!$G$2:$G$11,Projetos!$K$2:$K$11,"&lt;="&amp;Dados!$A359,Projetos!$N$2:$N$11,"&gt;"&amp;Dados!A359,Projetos!$D$2:$D$11,"BRL")</f>
        <v>0</v>
      </c>
      <c r="E359" s="18">
        <f t="shared" ca="1" si="20"/>
        <v>1.2558491201985488E-9</v>
      </c>
      <c r="G359" s="45">
        <f t="shared" ca="1" si="23"/>
        <v>9.6288554804377823E-10</v>
      </c>
      <c r="H359" s="18">
        <f>-SUMIFS(Projetos!$F$2:$F$11,Projetos!$D$2:$D$11,"USD",Projetos!$N$2:$N$11,Dados!$A359)</f>
        <v>0</v>
      </c>
      <c r="I359" s="45">
        <f ca="1">(G359+H359)*((Indicadores_Economicos!D$2+1)^(1/12)-1)</f>
        <v>3.1522367243353208E-12</v>
      </c>
      <c r="J359" s="18">
        <f>SUMIFS(Projetos!$G$2:$G$11,Projetos!$K$2:$K$11,"&lt;="&amp;Dados!$A359,Projetos!$N$2:$N$11,"&gt;"&amp;Dados!$A359,Projetos!$D$2:$D$11,"USD")</f>
        <v>0</v>
      </c>
      <c r="K359" s="18">
        <f t="shared" ca="1" si="21"/>
        <v>9.6603778476811363E-10</v>
      </c>
    </row>
    <row r="360" spans="1:11" x14ac:dyDescent="0.2">
      <c r="A360" s="45">
        <f t="shared" ca="1" si="22"/>
        <v>1.2558491201985488E-9</v>
      </c>
      <c r="B360" s="18">
        <f>-SUMIFS(Projetos!$F$2:$F$11,Projetos!$D$2:$D$11,"BRL",Projetos!$N$2:$N$11,Dados!$A360)</f>
        <v>0</v>
      </c>
      <c r="C360" s="45">
        <f ca="1">(A360+B360)*((Indicadores_Economicos!D$2+1)^(1/12)-1)</f>
        <v>4.1113232252334957E-12</v>
      </c>
      <c r="D360" s="18">
        <f>SUMIFS(Projetos!$G$2:$G$11,Projetos!$K$2:$K$11,"&lt;="&amp;Dados!$A360,Projetos!$N$2:$N$11,"&gt;"&amp;Dados!A360,Projetos!$D$2:$D$11,"BRL")</f>
        <v>0</v>
      </c>
      <c r="E360" s="18">
        <f t="shared" ca="1" si="20"/>
        <v>1.2599604434237822E-9</v>
      </c>
      <c r="G360" s="45">
        <f t="shared" ca="1" si="23"/>
        <v>9.6603778476811363E-10</v>
      </c>
      <c r="H360" s="18">
        <f>-SUMIFS(Projetos!$F$2:$F$11,Projetos!$D$2:$D$11,"USD",Projetos!$N$2:$N$11,Dados!$A360)</f>
        <v>0</v>
      </c>
      <c r="I360" s="45">
        <f ca="1">(G360+H360)*((Indicadores_Economicos!D$2+1)^(1/12)-1)</f>
        <v>3.162556327102686E-12</v>
      </c>
      <c r="J360" s="18">
        <f>SUMIFS(Projetos!$G$2:$G$11,Projetos!$K$2:$K$11,"&lt;="&amp;Dados!$A360,Projetos!$N$2:$N$11,"&gt;"&amp;Dados!$A360,Projetos!$D$2:$D$11,"USD")</f>
        <v>0</v>
      </c>
      <c r="K360" s="18">
        <f t="shared" ca="1" si="21"/>
        <v>9.6920034109521628E-10</v>
      </c>
    </row>
    <row r="361" spans="1:11" x14ac:dyDescent="0.2">
      <c r="A361" s="45">
        <f t="shared" ca="1" si="22"/>
        <v>1.2599604434237822E-9</v>
      </c>
      <c r="B361" s="18">
        <f>-SUMIFS(Projetos!$F$2:$F$11,Projetos!$D$2:$D$11,"BRL",Projetos!$N$2:$N$11,Dados!$A361)</f>
        <v>0</v>
      </c>
      <c r="C361" s="45">
        <f ca="1">(A361+B361)*((Indicadores_Economicos!D$2+1)^(1/12)-1)</f>
        <v>4.1247826276334208E-12</v>
      </c>
      <c r="D361" s="18">
        <f>SUMIFS(Projetos!$G$2:$G$11,Projetos!$K$2:$K$11,"&lt;="&amp;Dados!$A361,Projetos!$N$2:$N$11,"&gt;"&amp;Dados!A361,Projetos!$D$2:$D$11,"BRL")</f>
        <v>0</v>
      </c>
      <c r="E361" s="18">
        <f t="shared" ca="1" si="20"/>
        <v>1.2640852260514157E-9</v>
      </c>
      <c r="G361" s="45">
        <f t="shared" ca="1" si="23"/>
        <v>9.6920034109521628E-10</v>
      </c>
      <c r="H361" s="18">
        <f>-SUMIFS(Projetos!$F$2:$F$11,Projetos!$D$2:$D$11,"USD",Projetos!$N$2:$N$11,Dados!$A361)</f>
        <v>0</v>
      </c>
      <c r="I361" s="45">
        <f ca="1">(G361+H361)*((Indicadores_Economicos!D$2+1)^(1/12)-1)</f>
        <v>3.1729097135641669E-12</v>
      </c>
      <c r="J361" s="18">
        <f>SUMIFS(Projetos!$G$2:$G$11,Projetos!$K$2:$K$11,"&lt;="&amp;Dados!$A361,Projetos!$N$2:$N$11,"&gt;"&amp;Dados!$A361,Projetos!$D$2:$D$11,"USD")</f>
        <v>0</v>
      </c>
      <c r="K361" s="18">
        <f t="shared" ca="1" si="21"/>
        <v>9.7237325080878042E-10</v>
      </c>
    </row>
    <row r="362" spans="1:11" x14ac:dyDescent="0.2">
      <c r="A362" s="45">
        <f t="shared" ca="1" si="22"/>
        <v>1.2640852260514157E-9</v>
      </c>
      <c r="B362" s="18">
        <f>-SUMIFS(Projetos!$F$2:$F$11,Projetos!$D$2:$D$11,"BRL",Projetos!$N$2:$N$11,Dados!$A362)</f>
        <v>0</v>
      </c>
      <c r="C362" s="45">
        <f ca="1">(A362+B362)*((Indicadores_Economicos!D$2+1)^(1/12)-1)</f>
        <v>4.1382860926144273E-12</v>
      </c>
      <c r="D362" s="18">
        <f>SUMIFS(Projetos!$G$2:$G$11,Projetos!$K$2:$K$11,"&lt;="&amp;Dados!$A362,Projetos!$N$2:$N$11,"&gt;"&amp;Dados!A362,Projetos!$D$2:$D$11,"BRL")</f>
        <v>0</v>
      </c>
      <c r="E362" s="18">
        <f t="shared" ca="1" si="20"/>
        <v>1.2682235121440301E-9</v>
      </c>
      <c r="G362" s="45">
        <f t="shared" ca="1" si="23"/>
        <v>9.7237325080878042E-10</v>
      </c>
      <c r="H362" s="18">
        <f>-SUMIFS(Projetos!$F$2:$F$11,Projetos!$D$2:$D$11,"USD",Projetos!$N$2:$N$11,Dados!$A362)</f>
        <v>0</v>
      </c>
      <c r="I362" s="45">
        <f ca="1">(G362+H362)*((Indicadores_Economicos!D$2+1)^(1/12)-1)</f>
        <v>3.1832969943187873E-12</v>
      </c>
      <c r="J362" s="18">
        <f>SUMIFS(Projetos!$G$2:$G$11,Projetos!$K$2:$K$11,"&lt;="&amp;Dados!$A362,Projetos!$N$2:$N$11,"&gt;"&amp;Dados!$A362,Projetos!$D$2:$D$11,"USD")</f>
        <v>0</v>
      </c>
      <c r="K362" s="18">
        <f t="shared" ca="1" si="21"/>
        <v>9.7555654780309931E-10</v>
      </c>
    </row>
    <row r="363" spans="1:11" x14ac:dyDescent="0.2">
      <c r="A363" s="45">
        <f t="shared" ca="1" si="22"/>
        <v>1.2682235121440301E-9</v>
      </c>
      <c r="B363" s="18">
        <f>-SUMIFS(Projetos!$F$2:$F$11,Projetos!$D$2:$D$11,"BRL",Projetos!$N$2:$N$11,Dados!$A363)</f>
        <v>0</v>
      </c>
      <c r="C363" s="45">
        <f ca="1">(A363+B363)*((Indicadores_Economicos!D$2+1)^(1/12)-1)</f>
        <v>4.1518337644259396E-12</v>
      </c>
      <c r="D363" s="18">
        <f>SUMIFS(Projetos!$G$2:$G$11,Projetos!$K$2:$K$11,"&lt;="&amp;Dados!$A363,Projetos!$N$2:$N$11,"&gt;"&amp;Dados!A363,Projetos!$D$2:$D$11,"BRL")</f>
        <v>0</v>
      </c>
      <c r="E363" s="18">
        <f t="shared" ca="1" si="20"/>
        <v>1.272375345908456E-9</v>
      </c>
      <c r="G363" s="45">
        <f t="shared" ca="1" si="23"/>
        <v>9.7555654780309931E-10</v>
      </c>
      <c r="H363" s="18">
        <f>-SUMIFS(Projetos!$F$2:$F$11,Projetos!$D$2:$D$11,"USD",Projetos!$N$2:$N$11,Dados!$A363)</f>
        <v>0</v>
      </c>
      <c r="I363" s="45">
        <f ca="1">(G363+H363)*((Indicadores_Economicos!D$2+1)^(1/12)-1)</f>
        <v>3.1937182803276434E-12</v>
      </c>
      <c r="J363" s="18">
        <f>SUMIFS(Projetos!$G$2:$G$11,Projetos!$K$2:$K$11,"&lt;="&amp;Dados!$A363,Projetos!$N$2:$N$11,"&gt;"&amp;Dados!$A363,Projetos!$D$2:$D$11,"USD")</f>
        <v>0</v>
      </c>
      <c r="K363" s="18">
        <f t="shared" ca="1" si="21"/>
        <v>9.787502660834269E-10</v>
      </c>
    </row>
    <row r="364" spans="1:11" x14ac:dyDescent="0.2">
      <c r="A364" s="45">
        <f t="shared" ca="1" si="22"/>
        <v>1.272375345908456E-9</v>
      </c>
      <c r="B364" s="18">
        <f>-SUMIFS(Projetos!$F$2:$F$11,Projetos!$D$2:$D$11,"BRL",Projetos!$N$2:$N$11,Dados!$A364)</f>
        <v>0</v>
      </c>
      <c r="C364" s="45">
        <f ca="1">(A364+B364)*((Indicadores_Economicos!D$2+1)^(1/12)-1)</f>
        <v>4.1654257877896174E-12</v>
      </c>
      <c r="D364" s="18">
        <f>SUMIFS(Projetos!$G$2:$G$11,Projetos!$K$2:$K$11,"&lt;="&amp;Dados!$A364,Projetos!$N$2:$N$11,"&gt;"&amp;Dados!A364,Projetos!$D$2:$D$11,"BRL")</f>
        <v>0</v>
      </c>
      <c r="E364" s="18">
        <f t="shared" ca="1" si="20"/>
        <v>1.2765407716962457E-9</v>
      </c>
      <c r="G364" s="45">
        <f t="shared" ca="1" si="23"/>
        <v>9.787502660834269E-10</v>
      </c>
      <c r="H364" s="18">
        <f>-SUMIFS(Projetos!$F$2:$F$11,Projetos!$D$2:$D$11,"USD",Projetos!$N$2:$N$11,Dados!$A364)</f>
        <v>0</v>
      </c>
      <c r="I364" s="45">
        <f ca="1">(G364+H364)*((Indicadores_Economicos!D$2+1)^(1/12)-1)</f>
        <v>3.2041736829150875E-12</v>
      </c>
      <c r="J364" s="18">
        <f>SUMIFS(Projetos!$G$2:$G$11,Projetos!$K$2:$K$11,"&lt;="&amp;Dados!$A364,Projetos!$N$2:$N$11,"&gt;"&amp;Dados!$A364,Projetos!$D$2:$D$11,"USD")</f>
        <v>0</v>
      </c>
      <c r="K364" s="18">
        <f t="shared" ca="1" si="21"/>
        <v>9.8195443976634199E-10</v>
      </c>
    </row>
    <row r="365" spans="1:11" x14ac:dyDescent="0.2">
      <c r="A365" s="45">
        <f t="shared" ca="1" si="22"/>
        <v>1.2765407716962457E-9</v>
      </c>
      <c r="B365" s="18">
        <f>-SUMIFS(Projetos!$F$2:$F$11,Projetos!$D$2:$D$11,"BRL",Projetos!$N$2:$N$11,Dados!$A365)</f>
        <v>0</v>
      </c>
      <c r="C365" s="45">
        <f ca="1">(A365+B365)*((Indicadores_Economicos!D$2+1)^(1/12)-1)</f>
        <v>4.1790623079009015E-12</v>
      </c>
      <c r="D365" s="18">
        <f>SUMIFS(Projetos!$G$2:$G$11,Projetos!$K$2:$K$11,"&lt;="&amp;Dados!$A365,Projetos!$N$2:$N$11,"&gt;"&amp;Dados!A365,Projetos!$D$2:$D$11,"BRL")</f>
        <v>0</v>
      </c>
      <c r="E365" s="18">
        <f t="shared" ca="1" si="20"/>
        <v>1.2807198340041466E-9</v>
      </c>
      <c r="G365" s="45">
        <f t="shared" ca="1" si="23"/>
        <v>9.8195443976634199E-10</v>
      </c>
      <c r="H365" s="18">
        <f>-SUMIFS(Projetos!$F$2:$F$11,Projetos!$D$2:$D$11,"USD",Projetos!$N$2:$N$11,Dados!$A365)</f>
        <v>0</v>
      </c>
      <c r="I365" s="45">
        <f ca="1">(G365+H365)*((Indicadores_Economicos!D$2+1)^(1/12)-1)</f>
        <v>3.2146633137699216E-12</v>
      </c>
      <c r="J365" s="18">
        <f>SUMIFS(Projetos!$G$2:$G$11,Projetos!$K$2:$K$11,"&lt;="&amp;Dados!$A365,Projetos!$N$2:$N$11,"&gt;"&amp;Dados!$A365,Projetos!$D$2:$D$11,"USD")</f>
        <v>0</v>
      </c>
      <c r="K365" s="18">
        <f t="shared" ca="1" si="21"/>
        <v>9.85169103080112E-10</v>
      </c>
    </row>
    <row r="366" spans="1:11" x14ac:dyDescent="0.2">
      <c r="A366" s="45">
        <f t="shared" ca="1" si="22"/>
        <v>1.2807198340041466E-9</v>
      </c>
      <c r="B366" s="18">
        <f>-SUMIFS(Projetos!$F$2:$F$11,Projetos!$D$2:$D$11,"BRL",Projetos!$N$2:$N$11,Dados!$A366)</f>
        <v>0</v>
      </c>
      <c r="C366" s="45">
        <f ca="1">(A366+B366)*((Indicadores_Economicos!D$2+1)^(1/12)-1)</f>
        <v>4.1927434704305648E-12</v>
      </c>
      <c r="D366" s="18">
        <f>SUMIFS(Projetos!$G$2:$G$11,Projetos!$K$2:$K$11,"&lt;="&amp;Dados!$A366,Projetos!$N$2:$N$11,"&gt;"&amp;Dados!A366,Projetos!$D$2:$D$11,"BRL")</f>
        <v>0</v>
      </c>
      <c r="E366" s="18">
        <f t="shared" ca="1" si="20"/>
        <v>1.2849125774745772E-9</v>
      </c>
      <c r="G366" s="45">
        <f t="shared" ca="1" si="23"/>
        <v>9.85169103080112E-10</v>
      </c>
      <c r="H366" s="18">
        <f>-SUMIFS(Projetos!$F$2:$F$11,Projetos!$D$2:$D$11,"USD",Projetos!$N$2:$N$11,Dados!$A366)</f>
        <v>0</v>
      </c>
      <c r="I366" s="45">
        <f ca="1">(G366+H366)*((Indicadores_Economicos!D$2+1)^(1/12)-1)</f>
        <v>3.2251872849465859E-12</v>
      </c>
      <c r="J366" s="18">
        <f>SUMIFS(Projetos!$G$2:$G$11,Projetos!$K$2:$K$11,"&lt;="&amp;Dados!$A366,Projetos!$N$2:$N$11,"&gt;"&amp;Dados!$A366,Projetos!$D$2:$D$11,"USD")</f>
        <v>0</v>
      </c>
      <c r="K366" s="18">
        <f t="shared" ca="1" si="21"/>
        <v>9.883942903650586E-10</v>
      </c>
    </row>
    <row r="367" spans="1:11" x14ac:dyDescent="0.2">
      <c r="A367" s="45">
        <f t="shared" ca="1" si="22"/>
        <v>1.2849125774745772E-9</v>
      </c>
      <c r="B367" s="18">
        <f>-SUMIFS(Projetos!$F$2:$F$11,Projetos!$D$2:$D$11,"BRL",Projetos!$N$2:$N$11,Dados!$A367)</f>
        <v>0</v>
      </c>
      <c r="C367" s="45">
        <f ca="1">(A367+B367)*((Indicadores_Economicos!D$2+1)^(1/12)-1)</f>
        <v>4.206469421526268E-12</v>
      </c>
      <c r="D367" s="18">
        <f>SUMIFS(Projetos!$G$2:$G$11,Projetos!$K$2:$K$11,"&lt;="&amp;Dados!$A367,Projetos!$N$2:$N$11,"&gt;"&amp;Dados!A367,Projetos!$D$2:$D$11,"BRL")</f>
        <v>0</v>
      </c>
      <c r="E367" s="18">
        <f t="shared" ca="1" si="20"/>
        <v>1.2891190468961035E-9</v>
      </c>
      <c r="G367" s="45">
        <f t="shared" ca="1" si="23"/>
        <v>9.883942903650586E-10</v>
      </c>
      <c r="H367" s="18">
        <f>-SUMIFS(Projetos!$F$2:$F$11,Projetos!$D$2:$D$11,"USD",Projetos!$N$2:$N$11,Dados!$A367)</f>
        <v>0</v>
      </c>
      <c r="I367" s="45">
        <f ca="1">(G367+H367)*((Indicadores_Economicos!D$2+1)^(1/12)-1)</f>
        <v>3.2357457088663577E-12</v>
      </c>
      <c r="J367" s="18">
        <f>SUMIFS(Projetos!$G$2:$G$11,Projetos!$K$2:$K$11,"&lt;="&amp;Dados!$A367,Projetos!$N$2:$N$11,"&gt;"&amp;Dados!$A367,Projetos!$D$2:$D$11,"USD")</f>
        <v>0</v>
      </c>
      <c r="K367" s="18">
        <f t="shared" ca="1" si="21"/>
        <v>9.9163003607392494E-10</v>
      </c>
    </row>
    <row r="368" spans="1:11" x14ac:dyDescent="0.2">
      <c r="A368" s="45">
        <f t="shared" ca="1" si="22"/>
        <v>1.2891190468961035E-9</v>
      </c>
      <c r="B368" s="18">
        <f>-SUMIFS(Projetos!$F$2:$F$11,Projetos!$D$2:$D$11,"BRL",Projetos!$N$2:$N$11,Dados!$A368)</f>
        <v>0</v>
      </c>
      <c r="C368" s="45">
        <f ca="1">(A368+B368)*((Indicadores_Economicos!D$2+1)^(1/12)-1)</f>
        <v>4.2202403078141224E-12</v>
      </c>
      <c r="D368" s="18">
        <f>SUMIFS(Projetos!$G$2:$G$11,Projetos!$K$2:$K$11,"&lt;="&amp;Dados!$A368,Projetos!$N$2:$N$11,"&gt;"&amp;Dados!A368,Projetos!$D$2:$D$11,"BRL")</f>
        <v>0</v>
      </c>
      <c r="E368" s="18">
        <f t="shared" ca="1" si="20"/>
        <v>1.2933392872039177E-9</v>
      </c>
      <c r="G368" s="45">
        <f t="shared" ca="1" si="23"/>
        <v>9.9163003607392494E-10</v>
      </c>
      <c r="H368" s="18">
        <f>-SUMIFS(Projetos!$F$2:$F$11,Projetos!$D$2:$D$11,"USD",Projetos!$N$2:$N$11,Dados!$A368)</f>
        <v>0</v>
      </c>
      <c r="I368" s="45">
        <f ca="1">(G368+H368)*((Indicadores_Economicos!D$2+1)^(1/12)-1)</f>
        <v>3.2463386983185528E-12</v>
      </c>
      <c r="J368" s="18">
        <f>SUMIFS(Projetos!$G$2:$G$11,Projetos!$K$2:$K$11,"&lt;="&amp;Dados!$A368,Projetos!$N$2:$N$11,"&gt;"&amp;Dados!$A368,Projetos!$D$2:$D$11,"USD")</f>
        <v>0</v>
      </c>
      <c r="K368" s="18">
        <f t="shared" ca="1" si="21"/>
        <v>9.9487637477224354E-10</v>
      </c>
    </row>
    <row r="369" spans="1:11" x14ac:dyDescent="0.2">
      <c r="A369" s="45">
        <f t="shared" ca="1" si="22"/>
        <v>1.2933392872039177E-9</v>
      </c>
      <c r="B369" s="18">
        <f>-SUMIFS(Projetos!$F$2:$F$11,Projetos!$D$2:$D$11,"BRL",Projetos!$N$2:$N$11,Dados!$A369)</f>
        <v>0</v>
      </c>
      <c r="C369" s="45">
        <f ca="1">(A369+B369)*((Indicadores_Economicos!D$2+1)^(1/12)-1)</f>
        <v>4.2340562764002529E-12</v>
      </c>
      <c r="D369" s="18">
        <f>SUMIFS(Projetos!$G$2:$G$11,Projetos!$K$2:$K$11,"&lt;="&amp;Dados!$A369,Projetos!$N$2:$N$11,"&gt;"&amp;Dados!A369,Projetos!$D$2:$D$11,"BRL")</f>
        <v>0</v>
      </c>
      <c r="E369" s="18">
        <f t="shared" ca="1" si="20"/>
        <v>1.2975733434803181E-9</v>
      </c>
      <c r="G369" s="45">
        <f t="shared" ca="1" si="23"/>
        <v>9.9487637477224354E-10</v>
      </c>
      <c r="H369" s="18">
        <f>-SUMIFS(Projetos!$F$2:$F$11,Projetos!$D$2:$D$11,"USD",Projetos!$N$2:$N$11,Dados!$A369)</f>
        <v>0</v>
      </c>
      <c r="I369" s="45">
        <f ca="1">(G369+H369)*((Indicadores_Economicos!D$2+1)^(1/12)-1)</f>
        <v>3.2569663664617302E-12</v>
      </c>
      <c r="J369" s="18">
        <f>SUMIFS(Projetos!$G$2:$G$11,Projetos!$K$2:$K$11,"&lt;="&amp;Dados!$A369,Projetos!$N$2:$N$11,"&gt;"&amp;Dados!$A369,Projetos!$D$2:$D$11,"USD")</f>
        <v>0</v>
      </c>
      <c r="K369" s="18">
        <f t="shared" ca="1" si="21"/>
        <v>9.9813334113870524E-10</v>
      </c>
    </row>
    <row r="370" spans="1:11" x14ac:dyDescent="0.2">
      <c r="A370" s="45">
        <f t="shared" ca="1" si="22"/>
        <v>1.2975733434803181E-9</v>
      </c>
      <c r="B370" s="18">
        <f>-SUMIFS(Projetos!$F$2:$F$11,Projetos!$D$2:$D$11,"BRL",Projetos!$N$2:$N$11,Dados!$A370)</f>
        <v>0</v>
      </c>
      <c r="C370" s="45">
        <f ca="1">(A370+B370)*((Indicadores_Economicos!D$2+1)^(1/12)-1)</f>
        <v>4.247917474872374E-12</v>
      </c>
      <c r="D370" s="18">
        <f>SUMIFS(Projetos!$G$2:$G$11,Projetos!$K$2:$K$11,"&lt;="&amp;Dados!$A370,Projetos!$N$2:$N$11,"&gt;"&amp;Dados!A370,Projetos!$D$2:$D$11,"BRL")</f>
        <v>0</v>
      </c>
      <c r="E370" s="18">
        <f t="shared" ca="1" si="20"/>
        <v>1.3018212609551905E-9</v>
      </c>
      <c r="G370" s="45">
        <f t="shared" ca="1" si="23"/>
        <v>9.9813334113870524E-10</v>
      </c>
      <c r="H370" s="18">
        <f>-SUMIFS(Projetos!$F$2:$F$11,Projetos!$D$2:$D$11,"USD",Projetos!$N$2:$N$11,Dados!$A370)</f>
        <v>0</v>
      </c>
      <c r="I370" s="45">
        <f ca="1">(G370+H370)*((Indicadores_Economicos!D$2+1)^(1/12)-1)</f>
        <v>3.2676288268248998E-12</v>
      </c>
      <c r="J370" s="18">
        <f>SUMIFS(Projetos!$G$2:$G$11,Projetos!$K$2:$K$11,"&lt;="&amp;Dados!$A370,Projetos!$N$2:$N$11,"&gt;"&amp;Dados!$A370,Projetos!$D$2:$D$11,"USD")</f>
        <v>0</v>
      </c>
      <c r="K370" s="18">
        <f t="shared" ca="1" si="21"/>
        <v>1.0014009699655302E-9</v>
      </c>
    </row>
    <row r="371" spans="1:11" x14ac:dyDescent="0.2">
      <c r="A371" s="45">
        <f t="shared" ca="1" si="22"/>
        <v>1.3018212609551905E-9</v>
      </c>
      <c r="B371" s="18">
        <f>-SUMIFS(Projetos!$F$2:$F$11,Projetos!$D$2:$D$11,"BRL",Projetos!$N$2:$N$11,Dados!$A371)</f>
        <v>0</v>
      </c>
      <c r="C371" s="45">
        <f ca="1">(A371+B371)*((Indicadores_Economicos!D$2+1)^(1/12)-1)</f>
        <v>4.2618240513013615E-12</v>
      </c>
      <c r="D371" s="18">
        <f>SUMIFS(Projetos!$G$2:$G$11,Projetos!$K$2:$K$11,"&lt;="&amp;Dados!$A371,Projetos!$N$2:$N$11,"&gt;"&amp;Dados!A371,Projetos!$D$2:$D$11,"BRL")</f>
        <v>0</v>
      </c>
      <c r="E371" s="18">
        <f t="shared" ca="1" si="20"/>
        <v>1.3060830850064918E-9</v>
      </c>
      <c r="G371" s="45">
        <f t="shared" ca="1" si="23"/>
        <v>1.0014009699655302E-9</v>
      </c>
      <c r="H371" s="18">
        <f>-SUMIFS(Projetos!$F$2:$F$11,Projetos!$D$2:$D$11,"USD",Projetos!$N$2:$N$11,Dados!$A371)</f>
        <v>0</v>
      </c>
      <c r="I371" s="45">
        <f ca="1">(G371+H371)*((Indicadores_Economicos!D$2+1)^(1/12)-1)</f>
        <v>3.2783261933087366E-12</v>
      </c>
      <c r="J371" s="18">
        <f>SUMIFS(Projetos!$G$2:$G$11,Projetos!$K$2:$K$11,"&lt;="&amp;Dados!$A371,Projetos!$N$2:$N$11,"&gt;"&amp;Dados!$A371,Projetos!$D$2:$D$11,"USD")</f>
        <v>0</v>
      </c>
      <c r="K371" s="18">
        <f t="shared" ca="1" si="21"/>
        <v>1.0046792961588388E-9</v>
      </c>
    </row>
    <row r="372" spans="1:11" x14ac:dyDescent="0.2">
      <c r="A372" s="45">
        <f t="shared" ca="1" si="22"/>
        <v>1.3060830850064918E-9</v>
      </c>
      <c r="B372" s="18">
        <f>-SUMIFS(Projetos!$F$2:$F$11,Projetos!$D$2:$D$11,"BRL",Projetos!$N$2:$N$11,Dados!$A372)</f>
        <v>0</v>
      </c>
      <c r="C372" s="45">
        <f ca="1">(A372+B372)*((Indicadores_Economicos!D$2+1)^(1/12)-1)</f>
        <v>4.2757761542428388E-12</v>
      </c>
      <c r="D372" s="18">
        <f>SUMIFS(Projetos!$G$2:$G$11,Projetos!$K$2:$K$11,"&lt;="&amp;Dados!$A372,Projetos!$N$2:$N$11,"&gt;"&amp;Dados!A372,Projetos!$D$2:$D$11,"BRL")</f>
        <v>0</v>
      </c>
      <c r="E372" s="18">
        <f t="shared" ca="1" si="20"/>
        <v>1.3103588611607347E-9</v>
      </c>
      <c r="G372" s="45">
        <f t="shared" ca="1" si="23"/>
        <v>1.0046792961588388E-9</v>
      </c>
      <c r="H372" s="18">
        <f>-SUMIFS(Projetos!$F$2:$F$11,Projetos!$D$2:$D$11,"USD",Projetos!$N$2:$N$11,Dados!$A372)</f>
        <v>0</v>
      </c>
      <c r="I372" s="45">
        <f ca="1">(G372+H372)*((Indicadores_Economicos!D$2+1)^(1/12)-1)</f>
        <v>3.2890585801867958E-12</v>
      </c>
      <c r="J372" s="18">
        <f>SUMIFS(Projetos!$G$2:$G$11,Projetos!$K$2:$K$11,"&lt;="&amp;Dados!$A372,Projetos!$N$2:$N$11,"&gt;"&amp;Dados!$A372,Projetos!$D$2:$D$11,"USD")</f>
        <v>0</v>
      </c>
      <c r="K372" s="18">
        <f t="shared" ca="1" si="21"/>
        <v>1.0079683547390255E-9</v>
      </c>
    </row>
    <row r="373" spans="1:11" x14ac:dyDescent="0.2">
      <c r="A373" s="45">
        <f t="shared" ca="1" si="22"/>
        <v>1.3103588611607347E-9</v>
      </c>
      <c r="B373" s="18">
        <f>-SUMIFS(Projetos!$F$2:$F$11,Projetos!$D$2:$D$11,"BRL",Projetos!$N$2:$N$11,Dados!$A373)</f>
        <v>0</v>
      </c>
      <c r="C373" s="45">
        <f ca="1">(A373+B373)*((Indicadores_Economicos!D$2+1)^(1/12)-1)</f>
        <v>4.289773932738761E-12</v>
      </c>
      <c r="D373" s="18">
        <f>SUMIFS(Projetos!$G$2:$G$11,Projetos!$K$2:$K$11,"&lt;="&amp;Dados!$A373,Projetos!$N$2:$N$11,"&gt;"&amp;Dados!A373,Projetos!$D$2:$D$11,"BRL")</f>
        <v>0</v>
      </c>
      <c r="E373" s="18">
        <f t="shared" ca="1" si="20"/>
        <v>1.3146486350934735E-9</v>
      </c>
      <c r="G373" s="45">
        <f t="shared" ca="1" si="23"/>
        <v>1.0079683547390255E-9</v>
      </c>
      <c r="H373" s="18">
        <f>-SUMIFS(Projetos!$F$2:$F$11,Projetos!$D$2:$D$11,"USD",Projetos!$N$2:$N$11,Dados!$A373)</f>
        <v>0</v>
      </c>
      <c r="I373" s="45">
        <f ca="1">(G373+H373)*((Indicadores_Economicos!D$2+1)^(1/12)-1)</f>
        <v>3.2998261021067356E-12</v>
      </c>
      <c r="J373" s="18">
        <f>SUMIFS(Projetos!$G$2:$G$11,Projetos!$K$2:$K$11,"&lt;="&amp;Dados!$A373,Projetos!$N$2:$N$11,"&gt;"&amp;Dados!$A373,Projetos!$D$2:$D$11,"USD")</f>
        <v>0</v>
      </c>
      <c r="K373" s="18">
        <f t="shared" ca="1" si="21"/>
        <v>1.0112681808411324E-9</v>
      </c>
    </row>
    <row r="374" spans="1:11" x14ac:dyDescent="0.2">
      <c r="A374" s="45">
        <f t="shared" ca="1" si="22"/>
        <v>1.3146486350934735E-9</v>
      </c>
      <c r="B374" s="18">
        <f>-SUMIFS(Projetos!$F$2:$F$11,Projetos!$D$2:$D$11,"BRL",Projetos!$N$2:$N$11,Dados!$A374)</f>
        <v>0</v>
      </c>
      <c r="C374" s="45">
        <f ca="1">(A374+B374)*((Indicadores_Economicos!D$2+1)^(1/12)-1)</f>
        <v>4.3038175363190077E-12</v>
      </c>
      <c r="D374" s="18">
        <f>SUMIFS(Projetos!$G$2:$G$11,Projetos!$K$2:$K$11,"&lt;="&amp;Dados!$A374,Projetos!$N$2:$N$11,"&gt;"&amp;Dados!A374,Projetos!$D$2:$D$11,"BRL")</f>
        <v>0</v>
      </c>
      <c r="E374" s="18">
        <f t="shared" ca="1" si="20"/>
        <v>1.3189524526297925E-9</v>
      </c>
      <c r="G374" s="45">
        <f t="shared" ca="1" si="23"/>
        <v>1.0112681808411324E-9</v>
      </c>
      <c r="H374" s="18">
        <f>-SUMIFS(Projetos!$F$2:$F$11,Projetos!$D$2:$D$11,"USD",Projetos!$N$2:$N$11,Dados!$A374)</f>
        <v>0</v>
      </c>
      <c r="I374" s="45">
        <f ca="1">(G374+H374)*((Indicadores_Economicos!D$2+1)^(1/12)-1)</f>
        <v>3.3106288740915414E-12</v>
      </c>
      <c r="J374" s="18">
        <f>SUMIFS(Projetos!$G$2:$G$11,Projetos!$K$2:$K$11,"&lt;="&amp;Dados!$A374,Projetos!$N$2:$N$11,"&gt;"&amp;Dados!$A374,Projetos!$D$2:$D$11,"USD")</f>
        <v>0</v>
      </c>
      <c r="K374" s="18">
        <f t="shared" ca="1" si="21"/>
        <v>1.0145788097152239E-9</v>
      </c>
    </row>
    <row r="375" spans="1:11" x14ac:dyDescent="0.2">
      <c r="A375" s="45">
        <f t="shared" ca="1" si="22"/>
        <v>1.3189524526297925E-9</v>
      </c>
      <c r="B375" s="18">
        <f>-SUMIFS(Projetos!$F$2:$F$11,Projetos!$D$2:$D$11,"BRL",Projetos!$N$2:$N$11,Dados!$A375)</f>
        <v>0</v>
      </c>
      <c r="C375" s="45">
        <f ca="1">(A375+B375)*((Indicadores_Economicos!D$2+1)^(1/12)-1)</f>
        <v>4.3179071150029808E-12</v>
      </c>
      <c r="D375" s="18">
        <f>SUMIFS(Projetos!$G$2:$G$11,Projetos!$K$2:$K$11,"&lt;="&amp;Dados!$A375,Projetos!$N$2:$N$11,"&gt;"&amp;Dados!A375,Projetos!$D$2:$D$11,"BRL")</f>
        <v>0</v>
      </c>
      <c r="E375" s="18">
        <f t="shared" ca="1" si="20"/>
        <v>1.3232703597447954E-9</v>
      </c>
      <c r="G375" s="45">
        <f t="shared" ca="1" si="23"/>
        <v>1.0145788097152239E-9</v>
      </c>
      <c r="H375" s="18">
        <f>-SUMIFS(Projetos!$F$2:$F$11,Projetos!$D$2:$D$11,"USD",Projetos!$N$2:$N$11,Dados!$A375)</f>
        <v>0</v>
      </c>
      <c r="I375" s="45">
        <f ca="1">(G375+H375)*((Indicadores_Economicos!D$2+1)^(1/12)-1)</f>
        <v>3.3214670115407511E-12</v>
      </c>
      <c r="J375" s="18">
        <f>SUMIFS(Projetos!$G$2:$G$11,Projetos!$K$2:$K$11,"&lt;="&amp;Dados!$A375,Projetos!$N$2:$N$11,"&gt;"&amp;Dados!$A375,Projetos!$D$2:$D$11,"USD")</f>
        <v>0</v>
      </c>
      <c r="K375" s="18">
        <f t="shared" ca="1" si="21"/>
        <v>1.0179002767267646E-9</v>
      </c>
    </row>
    <row r="376" spans="1:11" x14ac:dyDescent="0.2">
      <c r="A376" s="45">
        <f t="shared" ca="1" si="22"/>
        <v>1.3232703597447954E-9</v>
      </c>
      <c r="B376" s="18">
        <f>-SUMIFS(Projetos!$F$2:$F$11,Projetos!$D$2:$D$11,"BRL",Projetos!$N$2:$N$11,Dados!$A376)</f>
        <v>0</v>
      </c>
      <c r="C376" s="45">
        <f ca="1">(A376+B376)*((Indicadores_Economicos!D$2+1)^(1/12)-1)</f>
        <v>4.3320428193012056E-12</v>
      </c>
      <c r="D376" s="18">
        <f>SUMIFS(Projetos!$G$2:$G$11,Projetos!$K$2:$K$11,"&lt;="&amp;Dados!$A376,Projetos!$N$2:$N$11,"&gt;"&amp;Dados!A376,Projetos!$D$2:$D$11,"BRL")</f>
        <v>0</v>
      </c>
      <c r="E376" s="18">
        <f t="shared" ca="1" si="20"/>
        <v>1.3276024025640967E-9</v>
      </c>
      <c r="G376" s="45">
        <f t="shared" ca="1" si="23"/>
        <v>1.0179002767267646E-9</v>
      </c>
      <c r="H376" s="18">
        <f>-SUMIFS(Projetos!$F$2:$F$11,Projetos!$D$2:$D$11,"USD",Projetos!$N$2:$N$11,Dados!$A376)</f>
        <v>0</v>
      </c>
      <c r="I376" s="45">
        <f ca="1">(G376+H376)*((Indicadores_Economicos!D$2+1)^(1/12)-1)</f>
        <v>3.3323406302316931E-12</v>
      </c>
      <c r="J376" s="18">
        <f>SUMIFS(Projetos!$G$2:$G$11,Projetos!$K$2:$K$11,"&lt;="&amp;Dados!$A376,Projetos!$N$2:$N$11,"&gt;"&amp;Dados!$A376,Projetos!$D$2:$D$11,"USD")</f>
        <v>0</v>
      </c>
      <c r="K376" s="18">
        <f t="shared" ca="1" si="21"/>
        <v>1.0212326173569963E-9</v>
      </c>
    </row>
    <row r="377" spans="1:11" x14ac:dyDescent="0.2">
      <c r="A377" s="45">
        <f t="shared" ca="1" si="22"/>
        <v>1.3276024025640967E-9</v>
      </c>
      <c r="B377" s="18">
        <f>-SUMIFS(Projetos!$F$2:$F$11,Projetos!$D$2:$D$11,"BRL",Projetos!$N$2:$N$11,Dados!$A377)</f>
        <v>0</v>
      </c>
      <c r="C377" s="45">
        <f ca="1">(A377+B377)*((Indicadores_Economicos!D$2+1)^(1/12)-1)</f>
        <v>4.3462248002169418E-12</v>
      </c>
      <c r="D377" s="18">
        <f>SUMIFS(Projetos!$G$2:$G$11,Projetos!$K$2:$K$11,"&lt;="&amp;Dados!$A377,Projetos!$N$2:$N$11,"&gt;"&amp;Dados!A377,Projetos!$D$2:$D$11,"BRL")</f>
        <v>0</v>
      </c>
      <c r="E377" s="18">
        <f t="shared" ca="1" si="20"/>
        <v>1.3319486273643137E-9</v>
      </c>
      <c r="G377" s="45">
        <f t="shared" ca="1" si="23"/>
        <v>1.0212326173569963E-9</v>
      </c>
      <c r="H377" s="18">
        <f>-SUMIFS(Projetos!$F$2:$F$11,Projetos!$D$2:$D$11,"USD",Projetos!$N$2:$N$11,Dados!$A377)</f>
        <v>0</v>
      </c>
      <c r="I377" s="45">
        <f ca="1">(G377+H377)*((Indicadores_Economicos!D$2+1)^(1/12)-1)</f>
        <v>3.3432498463207207E-12</v>
      </c>
      <c r="J377" s="18">
        <f>SUMIFS(Projetos!$G$2:$G$11,Projetos!$K$2:$K$11,"&lt;="&amp;Dados!$A377,Projetos!$N$2:$N$11,"&gt;"&amp;Dados!$A377,Projetos!$D$2:$D$11,"USD")</f>
        <v>0</v>
      </c>
      <c r="K377" s="18">
        <f t="shared" ca="1" si="21"/>
        <v>1.024575867203317E-9</v>
      </c>
    </row>
    <row r="378" spans="1:11" x14ac:dyDescent="0.2">
      <c r="A378" s="45">
        <f t="shared" ca="1" si="22"/>
        <v>1.3319486273643137E-9</v>
      </c>
      <c r="B378" s="18">
        <f>-SUMIFS(Projetos!$F$2:$F$11,Projetos!$D$2:$D$11,"BRL",Projetos!$N$2:$N$11,Dados!$A378)</f>
        <v>0</v>
      </c>
      <c r="C378" s="45">
        <f ca="1">(A378+B378)*((Indicadores_Economicos!D$2+1)^(1/12)-1)</f>
        <v>4.3604532092477911E-12</v>
      </c>
      <c r="D378" s="18">
        <f>SUMIFS(Projetos!$G$2:$G$11,Projetos!$K$2:$K$11,"&lt;="&amp;Dados!$A378,Projetos!$N$2:$N$11,"&gt;"&amp;Dados!A378,Projetos!$D$2:$D$11,"BRL")</f>
        <v>0</v>
      </c>
      <c r="E378" s="18">
        <f t="shared" ca="1" si="20"/>
        <v>1.3363090805735616E-9</v>
      </c>
      <c r="G378" s="45">
        <f t="shared" ca="1" si="23"/>
        <v>1.024575867203317E-9</v>
      </c>
      <c r="H378" s="18">
        <f>-SUMIFS(Projetos!$F$2:$F$11,Projetos!$D$2:$D$11,"USD",Projetos!$N$2:$N$11,Dados!$A378)</f>
        <v>0</v>
      </c>
      <c r="I378" s="45">
        <f ca="1">(G378+H378)*((Indicadores_Economicos!D$2+1)^(1/12)-1)</f>
        <v>3.354194776344451E-12</v>
      </c>
      <c r="J378" s="18">
        <f>SUMIFS(Projetos!$G$2:$G$11,Projetos!$K$2:$K$11,"&lt;="&amp;Dados!$A378,Projetos!$N$2:$N$11,"&gt;"&amp;Dados!$A378,Projetos!$D$2:$D$11,"USD")</f>
        <v>0</v>
      </c>
      <c r="K378" s="18">
        <f t="shared" ca="1" si="21"/>
        <v>1.0279300619796614E-9</v>
      </c>
    </row>
    <row r="379" spans="1:11" x14ac:dyDescent="0.2">
      <c r="A379" s="45">
        <f t="shared" ca="1" si="22"/>
        <v>1.3363090805735616E-9</v>
      </c>
      <c r="B379" s="18">
        <f>-SUMIFS(Projetos!$F$2:$F$11,Projetos!$D$2:$D$11,"BRL",Projetos!$N$2:$N$11,Dados!$A379)</f>
        <v>0</v>
      </c>
      <c r="C379" s="45">
        <f ca="1">(A379+B379)*((Indicadores_Economicos!D$2+1)^(1/12)-1)</f>
        <v>4.3747281983873234E-12</v>
      </c>
      <c r="D379" s="18">
        <f>SUMIFS(Projetos!$G$2:$G$11,Projetos!$K$2:$K$11,"&lt;="&amp;Dados!$A379,Projetos!$N$2:$N$11,"&gt;"&amp;Dados!A379,Projetos!$D$2:$D$11,"BRL")</f>
        <v>0</v>
      </c>
      <c r="E379" s="18">
        <f t="shared" ca="1" si="20"/>
        <v>1.3406838087719488E-9</v>
      </c>
      <c r="G379" s="45">
        <f t="shared" ca="1" si="23"/>
        <v>1.0279300619796614E-9</v>
      </c>
      <c r="H379" s="18">
        <f>-SUMIFS(Projetos!$F$2:$F$11,Projetos!$D$2:$D$11,"USD",Projetos!$N$2:$N$11,Dados!$A379)</f>
        <v>0</v>
      </c>
      <c r="I379" s="45">
        <f ca="1">(G379+H379)*((Indicadores_Economicos!D$2+1)^(1/12)-1)</f>
        <v>3.3651755372210134E-12</v>
      </c>
      <c r="J379" s="18">
        <f>SUMIFS(Projetos!$G$2:$G$11,Projetos!$K$2:$K$11,"&lt;="&amp;Dados!$A379,Projetos!$N$2:$N$11,"&gt;"&amp;Dados!$A379,Projetos!$D$2:$D$11,"USD")</f>
        <v>0</v>
      </c>
      <c r="K379" s="18">
        <f t="shared" ca="1" si="21"/>
        <v>1.0312952375168824E-9</v>
      </c>
    </row>
    <row r="380" spans="1:11" x14ac:dyDescent="0.2">
      <c r="A380" s="45">
        <f t="shared" ca="1" si="22"/>
        <v>1.3406838087719488E-9</v>
      </c>
      <c r="B380" s="18">
        <f>-SUMIFS(Projetos!$F$2:$F$11,Projetos!$D$2:$D$11,"BRL",Projetos!$N$2:$N$11,Dados!$A380)</f>
        <v>0</v>
      </c>
      <c r="C380" s="45">
        <f ca="1">(A380+B380)*((Indicadores_Economicos!D$2+1)^(1/12)-1)</f>
        <v>4.389049920126691E-12</v>
      </c>
      <c r="D380" s="18">
        <f>SUMIFS(Projetos!$G$2:$G$11,Projetos!$K$2:$K$11,"&lt;="&amp;Dados!$A380,Projetos!$N$2:$N$11,"&gt;"&amp;Dados!A380,Projetos!$D$2:$D$11,"BRL")</f>
        <v>0</v>
      </c>
      <c r="E380" s="18">
        <f t="shared" ca="1" si="20"/>
        <v>1.3450728586920756E-9</v>
      </c>
      <c r="G380" s="45">
        <f t="shared" ca="1" si="23"/>
        <v>1.0312952375168824E-9</v>
      </c>
      <c r="H380" s="18">
        <f>-SUMIFS(Projetos!$F$2:$F$11,Projetos!$D$2:$D$11,"USD",Projetos!$N$2:$N$11,Dados!$A380)</f>
        <v>0</v>
      </c>
      <c r="I380" s="45">
        <f ca="1">(G380+H380)*((Indicadores_Economicos!D$2+1)^(1/12)-1)</f>
        <v>3.3761922462512963E-12</v>
      </c>
      <c r="J380" s="18">
        <f>SUMIFS(Projetos!$G$2:$G$11,Projetos!$K$2:$K$11,"&lt;="&amp;Dados!$A380,Projetos!$N$2:$N$11,"&gt;"&amp;Dados!$A380,Projetos!$D$2:$D$11,"USD")</f>
        <v>0</v>
      </c>
      <c r="K380" s="18">
        <f t="shared" ca="1" si="21"/>
        <v>1.0346714297631338E-9</v>
      </c>
    </row>
    <row r="381" spans="1:11" x14ac:dyDescent="0.2">
      <c r="A381" s="45">
        <f t="shared" ca="1" si="22"/>
        <v>1.3450728586920756E-9</v>
      </c>
      <c r="B381" s="18">
        <f>-SUMIFS(Projetos!$F$2:$F$11,Projetos!$D$2:$D$11,"BRL",Projetos!$N$2:$N$11,Dados!$A381)</f>
        <v>0</v>
      </c>
      <c r="C381" s="45">
        <f ca="1">(A381+B381)*((Indicadores_Economicos!D$2+1)^(1/12)-1)</f>
        <v>4.4034185274562666E-12</v>
      </c>
      <c r="D381" s="18">
        <f>SUMIFS(Projetos!$G$2:$G$11,Projetos!$K$2:$K$11,"&lt;="&amp;Dados!$A381,Projetos!$N$2:$N$11,"&gt;"&amp;Dados!A381,Projetos!$D$2:$D$11,"BRL")</f>
        <v>0</v>
      </c>
      <c r="E381" s="18">
        <f t="shared" ca="1" si="20"/>
        <v>1.3494762772195318E-9</v>
      </c>
      <c r="G381" s="45">
        <f t="shared" ca="1" si="23"/>
        <v>1.0346714297631338E-9</v>
      </c>
      <c r="H381" s="18">
        <f>-SUMIFS(Projetos!$F$2:$F$11,Projetos!$D$2:$D$11,"USD",Projetos!$N$2:$N$11,Dados!$A381)</f>
        <v>0</v>
      </c>
      <c r="I381" s="45">
        <f ca="1">(G381+H381)*((Indicadores_Economicos!D$2+1)^(1/12)-1)</f>
        <v>3.3872450211202011E-12</v>
      </c>
      <c r="J381" s="18">
        <f>SUMIFS(Projetos!$G$2:$G$11,Projetos!$K$2:$K$11,"&lt;="&amp;Dados!$A381,Projetos!$N$2:$N$11,"&gt;"&amp;Dados!$A381,Projetos!$D$2:$D$11,"USD")</f>
        <v>0</v>
      </c>
      <c r="K381" s="18">
        <f t="shared" ca="1" si="21"/>
        <v>1.0380586747842539E-9</v>
      </c>
    </row>
    <row r="382" spans="1:11" x14ac:dyDescent="0.2">
      <c r="A382" s="45">
        <f t="shared" ca="1" si="22"/>
        <v>1.3494762772195318E-9</v>
      </c>
      <c r="B382" s="18">
        <f>-SUMIFS(Projetos!$F$2:$F$11,Projetos!$D$2:$D$11,"BRL",Projetos!$N$2:$N$11,Dados!$A382)</f>
        <v>0</v>
      </c>
      <c r="C382" s="45">
        <f ca="1">(A382+B382)*((Indicadores_Economicos!D$2+1)^(1/12)-1)</f>
        <v>4.4178341738672718E-12</v>
      </c>
      <c r="D382" s="18">
        <f>SUMIFS(Projetos!$G$2:$G$11,Projetos!$K$2:$K$11,"&lt;="&amp;Dados!$A382,Projetos!$N$2:$N$11,"&gt;"&amp;Dados!A382,Projetos!$D$2:$D$11,"BRL")</f>
        <v>0</v>
      </c>
      <c r="E382" s="18">
        <f t="shared" ca="1" si="20"/>
        <v>1.3538941113933991E-9</v>
      </c>
      <c r="G382" s="45">
        <f t="shared" ca="1" si="23"/>
        <v>1.0380586747842539E-9</v>
      </c>
      <c r="H382" s="18">
        <f>-SUMIFS(Projetos!$F$2:$F$11,Projetos!$D$2:$D$11,"USD",Projetos!$N$2:$N$11,Dados!$A382)</f>
        <v>0</v>
      </c>
      <c r="I382" s="45">
        <f ca="1">(G382+H382)*((Indicadores_Economicos!D$2+1)^(1/12)-1)</f>
        <v>3.3983339798978972E-12</v>
      </c>
      <c r="J382" s="18">
        <f>SUMIFS(Projetos!$G$2:$G$11,Projetos!$K$2:$K$11,"&lt;="&amp;Dados!$A382,Projetos!$N$2:$N$11,"&gt;"&amp;Dados!$A382,Projetos!$D$2:$D$11,"USD")</f>
        <v>0</v>
      </c>
      <c r="K382" s="18">
        <f t="shared" ca="1" si="21"/>
        <v>1.0414570087641518E-9</v>
      </c>
    </row>
    <row r="383" spans="1:11" x14ac:dyDescent="0.2">
      <c r="A383" s="45">
        <f t="shared" ca="1" si="22"/>
        <v>1.3538941113933991E-9</v>
      </c>
      <c r="B383" s="18">
        <f>-SUMIFS(Projetos!$F$2:$F$11,Projetos!$D$2:$D$11,"BRL",Projetos!$N$2:$N$11,Dados!$A383)</f>
        <v>0</v>
      </c>
      <c r="C383" s="45">
        <f ca="1">(A383+B383)*((Indicadores_Economicos!D$2+1)^(1/12)-1)</f>
        <v>4.4322970133534189E-12</v>
      </c>
      <c r="D383" s="18">
        <f>SUMIFS(Projetos!$G$2:$G$11,Projetos!$K$2:$K$11,"&lt;="&amp;Dados!$A383,Projetos!$N$2:$N$11,"&gt;"&amp;Dados!A383,Projetos!$D$2:$D$11,"BRL")</f>
        <v>0</v>
      </c>
      <c r="E383" s="18">
        <f t="shared" ca="1" si="20"/>
        <v>1.3583264084067525E-9</v>
      </c>
      <c r="G383" s="45">
        <f t="shared" ca="1" si="23"/>
        <v>1.0414570087641518E-9</v>
      </c>
      <c r="H383" s="18">
        <f>-SUMIFS(Projetos!$F$2:$F$11,Projetos!$D$2:$D$11,"USD",Projetos!$N$2:$N$11,Dados!$A383)</f>
        <v>0</v>
      </c>
      <c r="I383" s="45">
        <f ca="1">(G383+H383)*((Indicadores_Economicos!D$2+1)^(1/12)-1)</f>
        <v>3.4094592410410874E-12</v>
      </c>
      <c r="J383" s="18">
        <f>SUMIFS(Projetos!$G$2:$G$11,Projetos!$K$2:$K$11,"&lt;="&amp;Dados!$A383,Projetos!$N$2:$N$11,"&gt;"&amp;Dados!$A383,Projetos!$D$2:$D$11,"USD")</f>
        <v>0</v>
      </c>
      <c r="K383" s="18">
        <f t="shared" ca="1" si="21"/>
        <v>1.0448664680051929E-9</v>
      </c>
    </row>
    <row r="384" spans="1:11" x14ac:dyDescent="0.2">
      <c r="A384" s="45">
        <f t="shared" ca="1" si="22"/>
        <v>1.3583264084067525E-9</v>
      </c>
      <c r="B384" s="18">
        <f>-SUMIFS(Projetos!$F$2:$F$11,Projetos!$D$2:$D$11,"BRL",Projetos!$N$2:$N$11,Dados!$A384)</f>
        <v>0</v>
      </c>
      <c r="C384" s="45">
        <f ca="1">(A384+B384)*((Indicadores_Economicos!D$2+1)^(1/12)-1)</f>
        <v>4.4468072004125556E-12</v>
      </c>
      <c r="D384" s="18">
        <f>SUMIFS(Projetos!$G$2:$G$11,Projetos!$K$2:$K$11,"&lt;="&amp;Dados!$A384,Projetos!$N$2:$N$11,"&gt;"&amp;Dados!A384,Projetos!$D$2:$D$11,"BRL")</f>
        <v>0</v>
      </c>
      <c r="E384" s="18">
        <f t="shared" ca="1" si="20"/>
        <v>1.362773215607165E-9</v>
      </c>
      <c r="G384" s="45">
        <f t="shared" ca="1" si="23"/>
        <v>1.0448664680051929E-9</v>
      </c>
      <c r="H384" s="18">
        <f>-SUMIFS(Projetos!$F$2:$F$11,Projetos!$D$2:$D$11,"USD",Projetos!$N$2:$N$11,Dados!$A384)</f>
        <v>0</v>
      </c>
      <c r="I384" s="45">
        <f ca="1">(G384+H384)*((Indicadores_Economicos!D$2+1)^(1/12)-1)</f>
        <v>3.4206209233942693E-12</v>
      </c>
      <c r="J384" s="18">
        <f>SUMIFS(Projetos!$G$2:$G$11,Projetos!$K$2:$K$11,"&lt;="&amp;Dados!$A384,Projetos!$N$2:$N$11,"&gt;"&amp;Dados!$A384,Projetos!$D$2:$D$11,"USD")</f>
        <v>0</v>
      </c>
      <c r="K384" s="18">
        <f t="shared" ca="1" si="21"/>
        <v>1.048287088928587E-9</v>
      </c>
    </row>
    <row r="385" spans="1:11" x14ac:dyDescent="0.2">
      <c r="A385" s="45">
        <f t="shared" ca="1" si="22"/>
        <v>1.362773215607165E-9</v>
      </c>
      <c r="B385" s="18">
        <f>-SUMIFS(Projetos!$F$2:$F$11,Projetos!$D$2:$D$11,"BRL",Projetos!$N$2:$N$11,Dados!$A385)</f>
        <v>0</v>
      </c>
      <c r="C385" s="45">
        <f ca="1">(A385+B385)*((Indicadores_Economicos!D$2+1)^(1/12)-1)</f>
        <v>4.4613648900483147E-12</v>
      </c>
      <c r="D385" s="18">
        <f>SUMIFS(Projetos!$G$2:$G$11,Projetos!$K$2:$K$11,"&lt;="&amp;Dados!$A385,Projetos!$N$2:$N$11,"&gt;"&amp;Dados!A385,Projetos!$D$2:$D$11,"BRL")</f>
        <v>0</v>
      </c>
      <c r="E385" s="18">
        <f t="shared" ca="1" si="20"/>
        <v>1.3672345804972133E-9</v>
      </c>
      <c r="G385" s="45">
        <f t="shared" ca="1" si="23"/>
        <v>1.048287088928587E-9</v>
      </c>
      <c r="H385" s="18">
        <f>-SUMIFS(Projetos!$F$2:$F$11,Projetos!$D$2:$D$11,"USD",Projetos!$N$2:$N$11,Dados!$A385)</f>
        <v>0</v>
      </c>
      <c r="I385" s="45">
        <f ca="1">(G385+H385)*((Indicadores_Economicos!D$2+1)^(1/12)-1)</f>
        <v>3.4318191461910067E-12</v>
      </c>
      <c r="J385" s="18">
        <f>SUMIFS(Projetos!$G$2:$G$11,Projetos!$K$2:$K$11,"&lt;="&amp;Dados!$A385,Projetos!$N$2:$N$11,"&gt;"&amp;Dados!$A385,Projetos!$D$2:$D$11,"USD")</f>
        <v>0</v>
      </c>
      <c r="K385" s="18">
        <f t="shared" ca="1" si="21"/>
        <v>1.0517189080747781E-9</v>
      </c>
    </row>
    <row r="386" spans="1:11" x14ac:dyDescent="0.2">
      <c r="A386" s="45">
        <f t="shared" ca="1" si="22"/>
        <v>1.3672345804972133E-9</v>
      </c>
      <c r="B386" s="18">
        <f>-SUMIFS(Projetos!$F$2:$F$11,Projetos!$D$2:$D$11,"BRL",Projetos!$N$2:$N$11,Dados!$A386)</f>
        <v>0</v>
      </c>
      <c r="C386" s="45">
        <f ca="1">(A386+B386)*((Indicadores_Economicos!D$2+1)^(1/12)-1)</f>
        <v>4.4759702377717709E-12</v>
      </c>
      <c r="D386" s="18">
        <f>SUMIFS(Projetos!$G$2:$G$11,Projetos!$K$2:$K$11,"&lt;="&amp;Dados!$A386,Projetos!$N$2:$N$11,"&gt;"&amp;Dados!A386,Projetos!$D$2:$D$11,"BRL")</f>
        <v>0</v>
      </c>
      <c r="E386" s="18">
        <f t="shared" ref="E386:E449" ca="1" si="24">A386+B386+C386+D386</f>
        <v>1.3717105507349851E-9</v>
      </c>
      <c r="G386" s="45">
        <f t="shared" ca="1" si="23"/>
        <v>1.0517189080747781E-9</v>
      </c>
      <c r="H386" s="18">
        <f>-SUMIFS(Projetos!$F$2:$F$11,Projetos!$D$2:$D$11,"USD",Projetos!$N$2:$N$11,Dados!$A386)</f>
        <v>0</v>
      </c>
      <c r="I386" s="45">
        <f ca="1">(G386+H386)*((Indicadores_Economicos!D$2+1)^(1/12)-1)</f>
        <v>3.4430540290552043E-12</v>
      </c>
      <c r="J386" s="18">
        <f>SUMIFS(Projetos!$G$2:$G$11,Projetos!$K$2:$K$11,"&lt;="&amp;Dados!$A386,Projetos!$N$2:$N$11,"&gt;"&amp;Dados!$A386,Projetos!$D$2:$D$11,"USD")</f>
        <v>0</v>
      </c>
      <c r="K386" s="18">
        <f t="shared" ref="K386:K449" ca="1" si="25">G386+H386+I386+J386</f>
        <v>1.0551619621038333E-9</v>
      </c>
    </row>
    <row r="387" spans="1:11" x14ac:dyDescent="0.2">
      <c r="A387" s="45">
        <f t="shared" ca="1" si="22"/>
        <v>1.3717105507349851E-9</v>
      </c>
      <c r="B387" s="18">
        <f>-SUMIFS(Projetos!$F$2:$F$11,Projetos!$D$2:$D$11,"BRL",Projetos!$N$2:$N$11,Dados!$A387)</f>
        <v>0</v>
      </c>
      <c r="C387" s="45">
        <f ca="1">(A387+B387)*((Indicadores_Economicos!D$2+1)^(1/12)-1)</f>
        <v>4.4906233996031028E-12</v>
      </c>
      <c r="D387" s="18">
        <f>SUMIFS(Projetos!$G$2:$G$11,Projetos!$K$2:$K$11,"&lt;="&amp;Dados!$A387,Projetos!$N$2:$N$11,"&gt;"&amp;Dados!A387,Projetos!$D$2:$D$11,"BRL")</f>
        <v>0</v>
      </c>
      <c r="E387" s="18">
        <f t="shared" ca="1" si="24"/>
        <v>1.3762011741345882E-9</v>
      </c>
      <c r="G387" s="45">
        <f t="shared" ca="1" si="23"/>
        <v>1.0551619621038333E-9</v>
      </c>
      <c r="H387" s="18">
        <f>-SUMIFS(Projetos!$F$2:$F$11,Projetos!$D$2:$D$11,"USD",Projetos!$N$2:$N$11,Dados!$A387)</f>
        <v>0</v>
      </c>
      <c r="I387" s="45">
        <f ca="1">(G387+H387)*((Indicadores_Economicos!D$2+1)^(1/12)-1)</f>
        <v>3.4543256920023827E-12</v>
      </c>
      <c r="J387" s="18">
        <f>SUMIFS(Projetos!$G$2:$G$11,Projetos!$K$2:$K$11,"&lt;="&amp;Dados!$A387,Projetos!$N$2:$N$11,"&gt;"&amp;Dados!$A387,Projetos!$D$2:$D$11,"USD")</f>
        <v>0</v>
      </c>
      <c r="K387" s="18">
        <f t="shared" ca="1" si="25"/>
        <v>1.0586162877958356E-9</v>
      </c>
    </row>
    <row r="388" spans="1:11" x14ac:dyDescent="0.2">
      <c r="A388" s="45">
        <f t="shared" ref="A388:A451" ca="1" si="26">E387</f>
        <v>1.3762011741345882E-9</v>
      </c>
      <c r="B388" s="18">
        <f>-SUMIFS(Projetos!$F$2:$F$11,Projetos!$D$2:$D$11,"BRL",Projetos!$N$2:$N$11,Dados!$A388)</f>
        <v>0</v>
      </c>
      <c r="C388" s="45">
        <f ca="1">(A388+B388)*((Indicadores_Economicos!D$2+1)^(1/12)-1)</f>
        <v>4.5053245320732568E-12</v>
      </c>
      <c r="D388" s="18">
        <f>SUMIFS(Projetos!$G$2:$G$11,Projetos!$K$2:$K$11,"&lt;="&amp;Dados!$A388,Projetos!$N$2:$N$11,"&gt;"&amp;Dados!A388,Projetos!$D$2:$D$11,"BRL")</f>
        <v>0</v>
      </c>
      <c r="E388" s="18">
        <f t="shared" ca="1" si="24"/>
        <v>1.3807064986666614E-9</v>
      </c>
      <c r="G388" s="45">
        <f t="shared" ref="G388:G451" ca="1" si="27">K387</f>
        <v>1.0586162877958356E-9</v>
      </c>
      <c r="H388" s="18">
        <f>-SUMIFS(Projetos!$F$2:$F$11,Projetos!$D$2:$D$11,"USD",Projetos!$N$2:$N$11,Dados!$A388)</f>
        <v>0</v>
      </c>
      <c r="I388" s="45">
        <f ca="1">(G388+H388)*((Indicadores_Economicos!D$2+1)^(1/12)-1)</f>
        <v>3.4656342554409623E-12</v>
      </c>
      <c r="J388" s="18">
        <f>SUMIFS(Projetos!$G$2:$G$11,Projetos!$K$2:$K$11,"&lt;="&amp;Dados!$A388,Projetos!$N$2:$N$11,"&gt;"&amp;Dados!$A388,Projetos!$D$2:$D$11,"USD")</f>
        <v>0</v>
      </c>
      <c r="K388" s="18">
        <f t="shared" ca="1" si="25"/>
        <v>1.0620819220512766E-9</v>
      </c>
    </row>
    <row r="389" spans="1:11" x14ac:dyDescent="0.2">
      <c r="A389" s="45">
        <f t="shared" ca="1" si="26"/>
        <v>1.3807064986666614E-9</v>
      </c>
      <c r="B389" s="18">
        <f>-SUMIFS(Projetos!$F$2:$F$11,Projetos!$D$2:$D$11,"BRL",Projetos!$N$2:$N$11,Dados!$A389)</f>
        <v>0</v>
      </c>
      <c r="C389" s="45">
        <f ca="1">(A389+B389)*((Indicadores_Economicos!D$2+1)^(1/12)-1)</f>
        <v>4.5200737922256218E-12</v>
      </c>
      <c r="D389" s="18">
        <f>SUMIFS(Projetos!$G$2:$G$11,Projetos!$K$2:$K$11,"&lt;="&amp;Dados!$A389,Projetos!$N$2:$N$11,"&gt;"&amp;Dados!A389,Projetos!$D$2:$D$11,"BRL")</f>
        <v>0</v>
      </c>
      <c r="E389" s="18">
        <f t="shared" ca="1" si="24"/>
        <v>1.385226572458887E-9</v>
      </c>
      <c r="G389" s="45">
        <f t="shared" ca="1" si="27"/>
        <v>1.0620819220512766E-9</v>
      </c>
      <c r="H389" s="18">
        <f>-SUMIFS(Projetos!$F$2:$F$11,Projetos!$D$2:$D$11,"USD",Projetos!$N$2:$N$11,Dados!$A389)</f>
        <v>0</v>
      </c>
      <c r="I389" s="45">
        <f ca="1">(G389+H389)*((Indicadores_Economicos!D$2+1)^(1/12)-1)</f>
        <v>3.4769798401735506E-12</v>
      </c>
      <c r="J389" s="18">
        <f>SUMIFS(Projetos!$G$2:$G$11,Projetos!$K$2:$K$11,"&lt;="&amp;Dados!$A389,Projetos!$N$2:$N$11,"&gt;"&amp;Dados!$A389,Projetos!$D$2:$D$11,"USD")</f>
        <v>0</v>
      </c>
      <c r="K389" s="18">
        <f t="shared" ca="1" si="25"/>
        <v>1.0655589018914501E-9</v>
      </c>
    </row>
    <row r="390" spans="1:11" x14ac:dyDescent="0.2">
      <c r="A390" s="45">
        <f t="shared" ca="1" si="26"/>
        <v>1.385226572458887E-9</v>
      </c>
      <c r="B390" s="18">
        <f>-SUMIFS(Projetos!$F$2:$F$11,Projetos!$D$2:$D$11,"BRL",Projetos!$N$2:$N$11,Dados!$A390)</f>
        <v>0</v>
      </c>
      <c r="C390" s="45">
        <f ca="1">(A390+B390)*((Indicadores_Economicos!D$2+1)^(1/12)-1)</f>
        <v>4.5348713376177052E-12</v>
      </c>
      <c r="D390" s="18">
        <f>SUMIFS(Projetos!$G$2:$G$11,Projetos!$K$2:$K$11,"&lt;="&amp;Dados!$A390,Projetos!$N$2:$N$11,"&gt;"&amp;Dados!A390,Projetos!$D$2:$D$11,"BRL")</f>
        <v>0</v>
      </c>
      <c r="E390" s="18">
        <f t="shared" ca="1" si="24"/>
        <v>1.3897614437965046E-9</v>
      </c>
      <c r="G390" s="45">
        <f t="shared" ca="1" si="27"/>
        <v>1.0655589018914501E-9</v>
      </c>
      <c r="H390" s="18">
        <f>-SUMIFS(Projetos!$F$2:$F$11,Projetos!$D$2:$D$11,"USD",Projetos!$N$2:$N$11,Dados!$A390)</f>
        <v>0</v>
      </c>
      <c r="I390" s="45">
        <f ca="1">(G390+H390)*((Indicadores_Economicos!D$2+1)^(1/12)-1)</f>
        <v>3.4883625673982301E-12</v>
      </c>
      <c r="J390" s="18">
        <f>SUMIFS(Projetos!$G$2:$G$11,Projetos!$K$2:$K$11,"&lt;="&amp;Dados!$A390,Projetos!$N$2:$N$11,"&gt;"&amp;Dados!$A390,Projetos!$D$2:$D$11,"USD")</f>
        <v>0</v>
      </c>
      <c r="K390" s="18">
        <f t="shared" ca="1" si="25"/>
        <v>1.0690472644588484E-9</v>
      </c>
    </row>
    <row r="391" spans="1:11" x14ac:dyDescent="0.2">
      <c r="A391" s="45">
        <f t="shared" ca="1" si="26"/>
        <v>1.3897614437965046E-9</v>
      </c>
      <c r="B391" s="18">
        <f>-SUMIFS(Projetos!$F$2:$F$11,Projetos!$D$2:$D$11,"BRL",Projetos!$N$2:$N$11,Dados!$A391)</f>
        <v>0</v>
      </c>
      <c r="C391" s="45">
        <f ca="1">(A391+B391)*((Indicadores_Economicos!D$2+1)^(1/12)-1)</f>
        <v>4.5497173263228183E-12</v>
      </c>
      <c r="D391" s="18">
        <f>SUMIFS(Projetos!$G$2:$G$11,Projetos!$K$2:$K$11,"&lt;="&amp;Dados!$A391,Projetos!$N$2:$N$11,"&gt;"&amp;Dados!A391,Projetos!$D$2:$D$11,"BRL")</f>
        <v>0</v>
      </c>
      <c r="E391" s="18">
        <f t="shared" ca="1" si="24"/>
        <v>1.3943111611228275E-9</v>
      </c>
      <c r="G391" s="45">
        <f t="shared" ca="1" si="27"/>
        <v>1.0690472644588484E-9</v>
      </c>
      <c r="H391" s="18">
        <f>-SUMIFS(Projetos!$F$2:$F$11,Projetos!$D$2:$D$11,"USD",Projetos!$N$2:$N$11,Dados!$A391)</f>
        <v>0</v>
      </c>
      <c r="I391" s="45">
        <f ca="1">(G391+H391)*((Indicadores_Economicos!D$2+1)^(1/12)-1)</f>
        <v>3.4997825587098557E-12</v>
      </c>
      <c r="J391" s="18">
        <f>SUMIFS(Projetos!$G$2:$G$11,Projetos!$K$2:$K$11,"&lt;="&amp;Dados!$A391,Projetos!$N$2:$N$11,"&gt;"&amp;Dados!$A391,Projetos!$D$2:$D$11,"USD")</f>
        <v>0</v>
      </c>
      <c r="K391" s="18">
        <f t="shared" ca="1" si="25"/>
        <v>1.0725470470175582E-9</v>
      </c>
    </row>
    <row r="392" spans="1:11" x14ac:dyDescent="0.2">
      <c r="A392" s="45">
        <f t="shared" ca="1" si="26"/>
        <v>1.3943111611228275E-9</v>
      </c>
      <c r="B392" s="18">
        <f>-SUMIFS(Projetos!$F$2:$F$11,Projetos!$D$2:$D$11,"BRL",Projetos!$N$2:$N$11,Dados!$A392)</f>
        <v>0</v>
      </c>
      <c r="C392" s="45">
        <f ca="1">(A392+B392)*((Indicadores_Economicos!D$2+1)^(1/12)-1)</f>
        <v>4.5646119169317609E-12</v>
      </c>
      <c r="D392" s="18">
        <f>SUMIFS(Projetos!$G$2:$G$11,Projetos!$K$2:$K$11,"&lt;="&amp;Dados!$A392,Projetos!$N$2:$N$11,"&gt;"&amp;Dados!A392,Projetos!$D$2:$D$11,"BRL")</f>
        <v>0</v>
      </c>
      <c r="E392" s="18">
        <f t="shared" ca="1" si="24"/>
        <v>1.3988757730397593E-9</v>
      </c>
      <c r="G392" s="45">
        <f t="shared" ca="1" si="27"/>
        <v>1.0725470470175582E-9</v>
      </c>
      <c r="H392" s="18">
        <f>-SUMIFS(Projetos!$F$2:$F$11,Projetos!$D$2:$D$11,"USD",Projetos!$N$2:$N$11,Dados!$A392)</f>
        <v>0</v>
      </c>
      <c r="I392" s="45">
        <f ca="1">(G392+H392)*((Indicadores_Economicos!D$2+1)^(1/12)-1)</f>
        <v>3.5112399361013497E-12</v>
      </c>
      <c r="J392" s="18">
        <f>SUMIFS(Projetos!$G$2:$G$11,Projetos!$K$2:$K$11,"&lt;="&amp;Dados!$A392,Projetos!$N$2:$N$11,"&gt;"&amp;Dados!$A392,Projetos!$D$2:$D$11,"USD")</f>
        <v>0</v>
      </c>
      <c r="K392" s="18">
        <f t="shared" ca="1" si="25"/>
        <v>1.0760582869536596E-9</v>
      </c>
    </row>
    <row r="393" spans="1:11" x14ac:dyDescent="0.2">
      <c r="A393" s="45">
        <f t="shared" ca="1" si="26"/>
        <v>1.3988757730397593E-9</v>
      </c>
      <c r="B393" s="18">
        <f>-SUMIFS(Projetos!$F$2:$F$11,Projetos!$D$2:$D$11,"BRL",Projetos!$N$2:$N$11,Dados!$A393)</f>
        <v>0</v>
      </c>
      <c r="C393" s="45">
        <f ca="1">(A393+B393)*((Indicadores_Economicos!D$2+1)^(1/12)-1)</f>
        <v>4.5795552685545194E-12</v>
      </c>
      <c r="D393" s="18">
        <f>SUMIFS(Projetos!$G$2:$G$11,Projetos!$K$2:$K$11,"&lt;="&amp;Dados!$A393,Projetos!$N$2:$N$11,"&gt;"&amp;Dados!A393,Projetos!$D$2:$D$11,"BRL")</f>
        <v>0</v>
      </c>
      <c r="E393" s="18">
        <f t="shared" ca="1" si="24"/>
        <v>1.4034553283083138E-9</v>
      </c>
      <c r="G393" s="45">
        <f t="shared" ca="1" si="27"/>
        <v>1.0760582869536596E-9</v>
      </c>
      <c r="H393" s="18">
        <f>-SUMIFS(Projetos!$F$2:$F$11,Projetos!$D$2:$D$11,"USD",Projetos!$N$2:$N$11,Dados!$A393)</f>
        <v>0</v>
      </c>
      <c r="I393" s="45">
        <f ca="1">(G393+H393)*((Indicadores_Economicos!D$2+1)^(1/12)-1)</f>
        <v>3.5227348219650108E-12</v>
      </c>
      <c r="J393" s="18">
        <f>SUMIFS(Projetos!$G$2:$G$11,Projetos!$K$2:$K$11,"&lt;="&amp;Dados!$A393,Projetos!$N$2:$N$11,"&gt;"&amp;Dados!$A393,Projetos!$D$2:$D$11,"USD")</f>
        <v>0</v>
      </c>
      <c r="K393" s="18">
        <f t="shared" ca="1" si="25"/>
        <v>1.0795810217756246E-9</v>
      </c>
    </row>
    <row r="394" spans="1:11" x14ac:dyDescent="0.2">
      <c r="A394" s="45">
        <f t="shared" ca="1" si="26"/>
        <v>1.4034553283083138E-9</v>
      </c>
      <c r="B394" s="18">
        <f>-SUMIFS(Projetos!$F$2:$F$11,Projetos!$D$2:$D$11,"BRL",Projetos!$N$2:$N$11,Dados!$A394)</f>
        <v>0</v>
      </c>
      <c r="C394" s="45">
        <f ca="1">(A394+B394)*((Indicadores_Economicos!D$2+1)^(1/12)-1)</f>
        <v>4.5945475408219653E-12</v>
      </c>
      <c r="D394" s="18">
        <f>SUMIFS(Projetos!$G$2:$G$11,Projetos!$K$2:$K$11,"&lt;="&amp;Dados!$A394,Projetos!$N$2:$N$11,"&gt;"&amp;Dados!A394,Projetos!$D$2:$D$11,"BRL")</f>
        <v>0</v>
      </c>
      <c r="E394" s="18">
        <f t="shared" ca="1" si="24"/>
        <v>1.4080498758491357E-9</v>
      </c>
      <c r="G394" s="45">
        <f t="shared" ca="1" si="27"/>
        <v>1.0795810217756246E-9</v>
      </c>
      <c r="H394" s="18">
        <f>-SUMIFS(Projetos!$F$2:$F$11,Projetos!$D$2:$D$11,"USD",Projetos!$N$2:$N$11,Dados!$A394)</f>
        <v>0</v>
      </c>
      <c r="I394" s="45">
        <f ca="1">(G394+H394)*((Indicadores_Economicos!D$2+1)^(1/12)-1)</f>
        <v>3.5342673390938148E-12</v>
      </c>
      <c r="J394" s="18">
        <f>SUMIFS(Projetos!$G$2:$G$11,Projetos!$K$2:$K$11,"&lt;="&amp;Dados!$A394,Projetos!$N$2:$N$11,"&gt;"&amp;Dados!$A394,Projetos!$D$2:$D$11,"USD")</f>
        <v>0</v>
      </c>
      <c r="K394" s="18">
        <f t="shared" ca="1" si="25"/>
        <v>1.0831152891147184E-9</v>
      </c>
    </row>
    <row r="395" spans="1:11" x14ac:dyDescent="0.2">
      <c r="A395" s="45">
        <f t="shared" ca="1" si="26"/>
        <v>1.4080498758491357E-9</v>
      </c>
      <c r="B395" s="18">
        <f>-SUMIFS(Projetos!$F$2:$F$11,Projetos!$D$2:$D$11,"BRL",Projetos!$N$2:$N$11,Dados!$A395)</f>
        <v>0</v>
      </c>
      <c r="C395" s="45">
        <f ca="1">(A395+B395)*((Indicadores_Economicos!D$2+1)^(1/12)-1)</f>
        <v>4.6095888938875579E-12</v>
      </c>
      <c r="D395" s="18">
        <f>SUMIFS(Projetos!$G$2:$G$11,Projetos!$K$2:$K$11,"&lt;="&amp;Dados!$A395,Projetos!$N$2:$N$11,"&gt;"&amp;Dados!A395,Projetos!$D$2:$D$11,"BRL")</f>
        <v>0</v>
      </c>
      <c r="E395" s="18">
        <f t="shared" ca="1" si="24"/>
        <v>1.4126594647430233E-9</v>
      </c>
      <c r="G395" s="45">
        <f t="shared" ca="1" si="27"/>
        <v>1.0831152891147184E-9</v>
      </c>
      <c r="H395" s="18">
        <f>-SUMIFS(Projetos!$F$2:$F$11,Projetos!$D$2:$D$11,"USD",Projetos!$N$2:$N$11,Dados!$A395)</f>
        <v>0</v>
      </c>
      <c r="I395" s="45">
        <f ca="1">(G395+H395)*((Indicadores_Economicos!D$2+1)^(1/12)-1)</f>
        <v>3.5458376106827327E-12</v>
      </c>
      <c r="J395" s="18">
        <f>SUMIFS(Projetos!$G$2:$G$11,Projetos!$K$2:$K$11,"&lt;="&amp;Dados!$A395,Projetos!$N$2:$N$11,"&gt;"&amp;Dados!$A395,Projetos!$D$2:$D$11,"USD")</f>
        <v>0</v>
      </c>
      <c r="K395" s="18">
        <f t="shared" ca="1" si="25"/>
        <v>1.0866611267254011E-9</v>
      </c>
    </row>
    <row r="396" spans="1:11" x14ac:dyDescent="0.2">
      <c r="A396" s="45">
        <f t="shared" ca="1" si="26"/>
        <v>1.4126594647430233E-9</v>
      </c>
      <c r="B396" s="18">
        <f>-SUMIFS(Projetos!$F$2:$F$11,Projetos!$D$2:$D$11,"BRL",Projetos!$N$2:$N$11,Dados!$A396)</f>
        <v>0</v>
      </c>
      <c r="C396" s="45">
        <f ca="1">(A396+B396)*((Indicadores_Economicos!D$2+1)^(1/12)-1)</f>
        <v>4.6246794884290601E-12</v>
      </c>
      <c r="D396" s="18">
        <f>SUMIFS(Projetos!$G$2:$G$11,Projetos!$K$2:$K$11,"&lt;="&amp;Dados!$A396,Projetos!$N$2:$N$11,"&gt;"&amp;Dados!A396,Projetos!$D$2:$D$11,"BRL")</f>
        <v>0</v>
      </c>
      <c r="E396" s="18">
        <f t="shared" ca="1" si="24"/>
        <v>1.4172841442314523E-9</v>
      </c>
      <c r="G396" s="45">
        <f t="shared" ca="1" si="27"/>
        <v>1.0866611267254011E-9</v>
      </c>
      <c r="H396" s="18">
        <f>-SUMIFS(Projetos!$F$2:$F$11,Projetos!$D$2:$D$11,"USD",Projetos!$N$2:$N$11,Dados!$A396)</f>
        <v>0</v>
      </c>
      <c r="I396" s="45">
        <f ca="1">(G396+H396)*((Indicadores_Economicos!D$2+1)^(1/12)-1)</f>
        <v>3.5574457603300418E-12</v>
      </c>
      <c r="J396" s="18">
        <f>SUMIFS(Projetos!$G$2:$G$11,Projetos!$K$2:$K$11,"&lt;="&amp;Dados!$A396,Projetos!$N$2:$N$11,"&gt;"&amp;Dados!$A396,Projetos!$D$2:$D$11,"USD")</f>
        <v>0</v>
      </c>
      <c r="K396" s="18">
        <f t="shared" ca="1" si="25"/>
        <v>1.0902185724857311E-9</v>
      </c>
    </row>
    <row r="397" spans="1:11" x14ac:dyDescent="0.2">
      <c r="A397" s="45">
        <f t="shared" ca="1" si="26"/>
        <v>1.4172841442314523E-9</v>
      </c>
      <c r="B397" s="18">
        <f>-SUMIFS(Projetos!$F$2:$F$11,Projetos!$D$2:$D$11,"BRL",Projetos!$N$2:$N$11,Dados!$A397)</f>
        <v>0</v>
      </c>
      <c r="C397" s="45">
        <f ca="1">(A397+B397)*((Indicadores_Economicos!D$2+1)^(1/12)-1)</f>
        <v>4.6398194856502497E-12</v>
      </c>
      <c r="D397" s="18">
        <f>SUMIFS(Projetos!$G$2:$G$11,Projetos!$K$2:$K$11,"&lt;="&amp;Dados!$A397,Projetos!$N$2:$N$11,"&gt;"&amp;Dados!A397,Projetos!$D$2:$D$11,"BRL")</f>
        <v>0</v>
      </c>
      <c r="E397" s="18">
        <f t="shared" ca="1" si="24"/>
        <v>1.4219239637171026E-9</v>
      </c>
      <c r="G397" s="45">
        <f t="shared" ca="1" si="27"/>
        <v>1.0902185724857311E-9</v>
      </c>
      <c r="H397" s="18">
        <f>-SUMIFS(Projetos!$F$2:$F$11,Projetos!$D$2:$D$11,"USD",Projetos!$N$2:$N$11,Dados!$A397)</f>
        <v>0</v>
      </c>
      <c r="I397" s="45">
        <f ca="1">(G397+H397)*((Indicadores_Economicos!D$2+1)^(1/12)-1)</f>
        <v>3.5690919120386489E-12</v>
      </c>
      <c r="J397" s="18">
        <f>SUMIFS(Projetos!$G$2:$G$11,Projetos!$K$2:$K$11,"&lt;="&amp;Dados!$A397,Projetos!$N$2:$N$11,"&gt;"&amp;Dados!$A397,Projetos!$D$2:$D$11,"USD")</f>
        <v>0</v>
      </c>
      <c r="K397" s="18">
        <f t="shared" ca="1" si="25"/>
        <v>1.0937876643977698E-9</v>
      </c>
    </row>
    <row r="398" spans="1:11" x14ac:dyDescent="0.2">
      <c r="A398" s="45">
        <f t="shared" ca="1" si="26"/>
        <v>1.4219239637171026E-9</v>
      </c>
      <c r="B398" s="18">
        <f>-SUMIFS(Projetos!$F$2:$F$11,Projetos!$D$2:$D$11,"BRL",Projetos!$N$2:$N$11,Dados!$A398)</f>
        <v>0</v>
      </c>
      <c r="C398" s="45">
        <f ca="1">(A398+B398)*((Indicadores_Economicos!D$2+1)^(1/12)-1)</f>
        <v>4.6550090472826449E-12</v>
      </c>
      <c r="D398" s="18">
        <f>SUMIFS(Projetos!$G$2:$G$11,Projetos!$K$2:$K$11,"&lt;="&amp;Dados!$A398,Projetos!$N$2:$N$11,"&gt;"&amp;Dados!A398,Projetos!$D$2:$D$11,"BRL")</f>
        <v>0</v>
      </c>
      <c r="E398" s="18">
        <f t="shared" ca="1" si="24"/>
        <v>1.4265789727643853E-9</v>
      </c>
      <c r="G398" s="45">
        <f t="shared" ca="1" si="27"/>
        <v>1.0937876643977698E-9</v>
      </c>
      <c r="H398" s="18">
        <f>-SUMIFS(Projetos!$F$2:$F$11,Projetos!$D$2:$D$11,"USD",Projetos!$N$2:$N$11,Dados!$A398)</f>
        <v>0</v>
      </c>
      <c r="I398" s="45">
        <f ca="1">(G398+H398)*((Indicadores_Economicos!D$2+1)^(1/12)-1)</f>
        <v>3.5807761902174142E-12</v>
      </c>
      <c r="J398" s="18">
        <f>SUMIFS(Projetos!$G$2:$G$11,Projetos!$K$2:$K$11,"&lt;="&amp;Dados!$A398,Projetos!$N$2:$N$11,"&gt;"&amp;Dados!$A398,Projetos!$D$2:$D$11,"USD")</f>
        <v>0</v>
      </c>
      <c r="K398" s="18">
        <f t="shared" ca="1" si="25"/>
        <v>1.0973684405879873E-9</v>
      </c>
    </row>
    <row r="399" spans="1:11" x14ac:dyDescent="0.2">
      <c r="A399" s="45">
        <f t="shared" ca="1" si="26"/>
        <v>1.4265789727643853E-9</v>
      </c>
      <c r="B399" s="18">
        <f>-SUMIFS(Projetos!$F$2:$F$11,Projetos!$D$2:$D$11,"BRL",Projetos!$N$2:$N$11,Dados!$A399)</f>
        <v>0</v>
      </c>
      <c r="C399" s="45">
        <f ca="1">(A399+B399)*((Indicadores_Economicos!D$2+1)^(1/12)-1)</f>
        <v>4.6702483355872297E-12</v>
      </c>
      <c r="D399" s="18">
        <f>SUMIFS(Projetos!$G$2:$G$11,Projetos!$K$2:$K$11,"&lt;="&amp;Dados!$A399,Projetos!$N$2:$N$11,"&gt;"&amp;Dados!A399,Projetos!$D$2:$D$11,"BRL")</f>
        <v>0</v>
      </c>
      <c r="E399" s="18">
        <f t="shared" ca="1" si="24"/>
        <v>1.4312492210999726E-9</v>
      </c>
      <c r="G399" s="45">
        <f t="shared" ca="1" si="27"/>
        <v>1.0973684405879873E-9</v>
      </c>
      <c r="H399" s="18">
        <f>-SUMIFS(Projetos!$F$2:$F$11,Projetos!$D$2:$D$11,"USD",Projetos!$N$2:$N$11,Dados!$A399)</f>
        <v>0</v>
      </c>
      <c r="I399" s="45">
        <f ca="1">(G399+H399)*((Indicadores_Economicos!D$2+1)^(1/12)-1)</f>
        <v>3.5924987196824799E-12</v>
      </c>
      <c r="J399" s="18">
        <f>SUMIFS(Projetos!$G$2:$G$11,Projetos!$K$2:$K$11,"&lt;="&amp;Dados!$A399,Projetos!$N$2:$N$11,"&gt;"&amp;Dados!$A399,Projetos!$D$2:$D$11,"USD")</f>
        <v>0</v>
      </c>
      <c r="K399" s="18">
        <f t="shared" ca="1" si="25"/>
        <v>1.1009609393076698E-9</v>
      </c>
    </row>
    <row r="400" spans="1:11" x14ac:dyDescent="0.2">
      <c r="A400" s="45">
        <f t="shared" ca="1" si="26"/>
        <v>1.4312492210999726E-9</v>
      </c>
      <c r="B400" s="18">
        <f>-SUMIFS(Projetos!$F$2:$F$11,Projetos!$D$2:$D$11,"BRL",Projetos!$N$2:$N$11,Dados!$A400)</f>
        <v>0</v>
      </c>
      <c r="C400" s="45">
        <f ca="1">(A400+B400)*((Indicadores_Economicos!D$2+1)^(1/12)-1)</f>
        <v>4.6855375133561901E-12</v>
      </c>
      <c r="D400" s="18">
        <f>SUMIFS(Projetos!$G$2:$G$11,Projetos!$K$2:$K$11,"&lt;="&amp;Dados!$A400,Projetos!$N$2:$N$11,"&gt;"&amp;Dados!A400,Projetos!$D$2:$D$11,"BRL")</f>
        <v>0</v>
      </c>
      <c r="E400" s="18">
        <f t="shared" ca="1" si="24"/>
        <v>1.4359347586133288E-9</v>
      </c>
      <c r="G400" s="45">
        <f t="shared" ca="1" si="27"/>
        <v>1.1009609393076698E-9</v>
      </c>
      <c r="H400" s="18">
        <f>-SUMIFS(Projetos!$F$2:$F$11,Projetos!$D$2:$D$11,"USD",Projetos!$N$2:$N$11,Dados!$A400)</f>
        <v>0</v>
      </c>
      <c r="I400" s="45">
        <f ca="1">(G400+H400)*((Indicadores_Economicos!D$2+1)^(1/12)-1)</f>
        <v>3.6042596256586034E-12</v>
      </c>
      <c r="J400" s="18">
        <f>SUMIFS(Projetos!$G$2:$G$11,Projetos!$K$2:$K$11,"&lt;="&amp;Dados!$A400,Projetos!$N$2:$N$11,"&gt;"&amp;Dados!$A400,Projetos!$D$2:$D$11,"USD")</f>
        <v>0</v>
      </c>
      <c r="K400" s="18">
        <f t="shared" ca="1" si="25"/>
        <v>1.1045651989333284E-9</v>
      </c>
    </row>
    <row r="401" spans="1:11" x14ac:dyDescent="0.2">
      <c r="A401" s="45">
        <f t="shared" ca="1" si="26"/>
        <v>1.4359347586133288E-9</v>
      </c>
      <c r="B401" s="18">
        <f>-SUMIFS(Projetos!$F$2:$F$11,Projetos!$D$2:$D$11,"BRL",Projetos!$N$2:$N$11,Dados!$A401)</f>
        <v>0</v>
      </c>
      <c r="C401" s="45">
        <f ca="1">(A401+B401)*((Indicadores_Economicos!D$2+1)^(1/12)-1)</f>
        <v>4.7008767439146497E-12</v>
      </c>
      <c r="D401" s="18">
        <f>SUMIFS(Projetos!$G$2:$G$11,Projetos!$K$2:$K$11,"&lt;="&amp;Dados!$A401,Projetos!$N$2:$N$11,"&gt;"&amp;Dados!A401,Projetos!$D$2:$D$11,"BRL")</f>
        <v>0</v>
      </c>
      <c r="E401" s="18">
        <f t="shared" ca="1" si="24"/>
        <v>1.4406356353572434E-9</v>
      </c>
      <c r="G401" s="45">
        <f t="shared" ca="1" si="27"/>
        <v>1.1045651989333284E-9</v>
      </c>
      <c r="H401" s="18">
        <f>-SUMIFS(Projetos!$F$2:$F$11,Projetos!$D$2:$D$11,"USD",Projetos!$N$2:$N$11,Dados!$A401)</f>
        <v>0</v>
      </c>
      <c r="I401" s="45">
        <f ca="1">(G401+H401)*((Indicadores_Economicos!D$2+1)^(1/12)-1)</f>
        <v>3.6160590337804952E-12</v>
      </c>
      <c r="J401" s="18">
        <f>SUMIFS(Projetos!$G$2:$G$11,Projetos!$K$2:$K$11,"&lt;="&amp;Dados!$A401,Projetos!$N$2:$N$11,"&gt;"&amp;Dados!$A401,Projetos!$D$2:$D$11,"USD")</f>
        <v>0</v>
      </c>
      <c r="K401" s="18">
        <f t="shared" ca="1" si="25"/>
        <v>1.108181257967109E-9</v>
      </c>
    </row>
    <row r="402" spans="1:11" x14ac:dyDescent="0.2">
      <c r="A402" s="45">
        <f t="shared" ca="1" si="26"/>
        <v>1.4406356353572434E-9</v>
      </c>
      <c r="B402" s="18">
        <f>-SUMIFS(Projetos!$F$2:$F$11,Projetos!$D$2:$D$11,"BRL",Projetos!$N$2:$N$11,Dados!$A402)</f>
        <v>0</v>
      </c>
      <c r="C402" s="45">
        <f ca="1">(A402+B402)*((Indicadores_Economicos!D$2+1)^(1/12)-1)</f>
        <v>4.7162661911224164E-12</v>
      </c>
      <c r="D402" s="18">
        <f>SUMIFS(Projetos!$G$2:$G$11,Projetos!$K$2:$K$11,"&lt;="&amp;Dados!$A402,Projetos!$N$2:$N$11,"&gt;"&amp;Dados!A402,Projetos!$D$2:$D$11,"BRL")</f>
        <v>0</v>
      </c>
      <c r="E402" s="18">
        <f t="shared" ca="1" si="24"/>
        <v>1.4453519015483659E-9</v>
      </c>
      <c r="G402" s="45">
        <f t="shared" ca="1" si="27"/>
        <v>1.108181257967109E-9</v>
      </c>
      <c r="H402" s="18">
        <f>-SUMIFS(Projetos!$F$2:$F$11,Projetos!$D$2:$D$11,"USD",Projetos!$N$2:$N$11,Dados!$A402)</f>
        <v>0</v>
      </c>
      <c r="I402" s="45">
        <f ca="1">(G402+H402)*((Indicadores_Economicos!D$2+1)^(1/12)-1)</f>
        <v>3.6278970700941625E-12</v>
      </c>
      <c r="J402" s="18">
        <f>SUMIFS(Projetos!$G$2:$G$11,Projetos!$K$2:$K$11,"&lt;="&amp;Dados!$A402,Projetos!$N$2:$N$11,"&gt;"&amp;Dados!$A402,Projetos!$D$2:$D$11,"USD")</f>
        <v>0</v>
      </c>
      <c r="K402" s="18">
        <f t="shared" ca="1" si="25"/>
        <v>1.111809155037203E-9</v>
      </c>
    </row>
    <row r="403" spans="1:11" x14ac:dyDescent="0.2">
      <c r="A403" s="45">
        <f t="shared" ca="1" si="26"/>
        <v>1.4453519015483659E-9</v>
      </c>
      <c r="B403" s="18">
        <f>-SUMIFS(Projetos!$F$2:$F$11,Projetos!$D$2:$D$11,"BRL",Projetos!$N$2:$N$11,Dados!$A403)</f>
        <v>0</v>
      </c>
      <c r="C403" s="45">
        <f ca="1">(A403+B403)*((Indicadores_Economicos!D$2+1)^(1/12)-1)</f>
        <v>4.7317060193757344E-12</v>
      </c>
      <c r="D403" s="18">
        <f>SUMIFS(Projetos!$G$2:$G$11,Projetos!$K$2:$K$11,"&lt;="&amp;Dados!$A403,Projetos!$N$2:$N$11,"&gt;"&amp;Dados!A403,Projetos!$D$2:$D$11,"BRL")</f>
        <v>0</v>
      </c>
      <c r="E403" s="18">
        <f t="shared" ca="1" si="24"/>
        <v>1.4500836075677416E-9</v>
      </c>
      <c r="G403" s="45">
        <f t="shared" ca="1" si="27"/>
        <v>1.111809155037203E-9</v>
      </c>
      <c r="H403" s="18">
        <f>-SUMIFS(Projetos!$F$2:$F$11,Projetos!$D$2:$D$11,"USD",Projetos!$N$2:$N$11,Dados!$A403)</f>
        <v>0</v>
      </c>
      <c r="I403" s="45">
        <f ca="1">(G403+H403)*((Indicadores_Economicos!D$2+1)^(1/12)-1)</f>
        <v>3.6397738610582522E-12</v>
      </c>
      <c r="J403" s="18">
        <f>SUMIFS(Projetos!$G$2:$G$11,Projetos!$K$2:$K$11,"&lt;="&amp;Dados!$A403,Projetos!$N$2:$N$11,"&gt;"&amp;Dados!$A403,Projetos!$D$2:$D$11,"USD")</f>
        <v>0</v>
      </c>
      <c r="K403" s="18">
        <f t="shared" ca="1" si="25"/>
        <v>1.1154489288982613E-9</v>
      </c>
    </row>
    <row r="404" spans="1:11" x14ac:dyDescent="0.2">
      <c r="A404" s="45">
        <f t="shared" ca="1" si="26"/>
        <v>1.4500836075677416E-9</v>
      </c>
      <c r="B404" s="18">
        <f>-SUMIFS(Projetos!$F$2:$F$11,Projetos!$D$2:$D$11,"BRL",Projetos!$N$2:$N$11,Dados!$A404)</f>
        <v>0</v>
      </c>
      <c r="C404" s="45">
        <f ca="1">(A404+B404)*((Indicadores_Economicos!D$2+1)^(1/12)-1)</f>
        <v>4.7471963936090347E-12</v>
      </c>
      <c r="D404" s="18">
        <f>SUMIFS(Projetos!$G$2:$G$11,Projetos!$K$2:$K$11,"&lt;="&amp;Dados!$A404,Projetos!$N$2:$N$11,"&gt;"&amp;Dados!A404,Projetos!$D$2:$D$11,"BRL")</f>
        <v>0</v>
      </c>
      <c r="E404" s="18">
        <f t="shared" ca="1" si="24"/>
        <v>1.4548308039613507E-9</v>
      </c>
      <c r="G404" s="45">
        <f t="shared" ca="1" si="27"/>
        <v>1.1154489288982613E-9</v>
      </c>
      <c r="H404" s="18">
        <f>-SUMIFS(Projetos!$F$2:$F$11,Projetos!$D$2:$D$11,"USD",Projetos!$N$2:$N$11,Dados!$A404)</f>
        <v>0</v>
      </c>
      <c r="I404" s="45">
        <f ca="1">(G404+H404)*((Indicadores_Economicos!D$2+1)^(1/12)-1)</f>
        <v>3.6516895335454061E-12</v>
      </c>
      <c r="J404" s="18">
        <f>SUMIFS(Projetos!$G$2:$G$11,Projetos!$K$2:$K$11,"&lt;="&amp;Dados!$A404,Projetos!$N$2:$N$11,"&gt;"&amp;Dados!$A404,Projetos!$D$2:$D$11,"USD")</f>
        <v>0</v>
      </c>
      <c r="K404" s="18">
        <f t="shared" ca="1" si="25"/>
        <v>1.1191006184318067E-9</v>
      </c>
    </row>
    <row r="405" spans="1:11" x14ac:dyDescent="0.2">
      <c r="A405" s="45">
        <f t="shared" ca="1" si="26"/>
        <v>1.4548308039613507E-9</v>
      </c>
      <c r="B405" s="18">
        <f>-SUMIFS(Projetos!$F$2:$F$11,Projetos!$D$2:$D$11,"BRL",Projetos!$N$2:$N$11,Dados!$A405)</f>
        <v>0</v>
      </c>
      <c r="C405" s="45">
        <f ca="1">(A405+B405)*((Indicadores_Economicos!D$2+1)^(1/12)-1)</f>
        <v>4.7627374792967034E-12</v>
      </c>
      <c r="D405" s="18">
        <f>SUMIFS(Projetos!$G$2:$G$11,Projetos!$K$2:$K$11,"&lt;="&amp;Dados!$A405,Projetos!$N$2:$N$11,"&gt;"&amp;Dados!A405,Projetos!$D$2:$D$11,"BRL")</f>
        <v>0</v>
      </c>
      <c r="E405" s="18">
        <f t="shared" ca="1" si="24"/>
        <v>1.4595935414406473E-9</v>
      </c>
      <c r="G405" s="45">
        <f t="shared" ca="1" si="27"/>
        <v>1.1191006184318067E-9</v>
      </c>
      <c r="H405" s="18">
        <f>-SUMIFS(Projetos!$F$2:$F$11,Projetos!$D$2:$D$11,"USD",Projetos!$N$2:$N$11,Dados!$A405)</f>
        <v>0</v>
      </c>
      <c r="I405" s="45">
        <f ca="1">(G405+H405)*((Indicadores_Economicos!D$2+1)^(1/12)-1)</f>
        <v>3.6636442148436134E-12</v>
      </c>
      <c r="J405" s="18">
        <f>SUMIFS(Projetos!$G$2:$G$11,Projetos!$K$2:$K$11,"&lt;="&amp;Dados!$A405,Projetos!$N$2:$N$11,"&gt;"&amp;Dados!$A405,Projetos!$D$2:$D$11,"USD")</f>
        <v>0</v>
      </c>
      <c r="K405" s="18">
        <f t="shared" ca="1" si="25"/>
        <v>1.1227642626466503E-9</v>
      </c>
    </row>
    <row r="406" spans="1:11" x14ac:dyDescent="0.2">
      <c r="A406" s="45">
        <f t="shared" ca="1" si="26"/>
        <v>1.4595935414406473E-9</v>
      </c>
      <c r="B406" s="18">
        <f>-SUMIFS(Projetos!$F$2:$F$11,Projetos!$D$2:$D$11,"BRL",Projetos!$N$2:$N$11,Dados!$A406)</f>
        <v>0</v>
      </c>
      <c r="C406" s="45">
        <f ca="1">(A406+B406)*((Indicadores_Economicos!D$2+1)^(1/12)-1)</f>
        <v>4.7783294424548466E-12</v>
      </c>
      <c r="D406" s="18">
        <f>SUMIFS(Projetos!$G$2:$G$11,Projetos!$K$2:$K$11,"&lt;="&amp;Dados!$A406,Projetos!$N$2:$N$11,"&gt;"&amp;Dados!A406,Projetos!$D$2:$D$11,"BRL")</f>
        <v>0</v>
      </c>
      <c r="E406" s="18">
        <f t="shared" ca="1" si="24"/>
        <v>1.4643718708831022E-9</v>
      </c>
      <c r="G406" s="45">
        <f t="shared" ca="1" si="27"/>
        <v>1.1227642626466503E-9</v>
      </c>
      <c r="H406" s="18">
        <f>-SUMIFS(Projetos!$F$2:$F$11,Projetos!$D$2:$D$11,"USD",Projetos!$N$2:$N$11,Dados!$A406)</f>
        <v>0</v>
      </c>
      <c r="I406" s="45">
        <f ca="1">(G406+H406)*((Indicadores_Economicos!D$2+1)^(1/12)-1)</f>
        <v>3.6756380326575699E-12</v>
      </c>
      <c r="J406" s="18">
        <f>SUMIFS(Projetos!$G$2:$G$11,Projetos!$K$2:$K$11,"&lt;="&amp;Dados!$A406,Projetos!$N$2:$N$11,"&gt;"&amp;Dados!$A406,Projetos!$D$2:$D$11,"USD")</f>
        <v>0</v>
      </c>
      <c r="K406" s="18">
        <f t="shared" ca="1" si="25"/>
        <v>1.1264399006793079E-9</v>
      </c>
    </row>
    <row r="407" spans="1:11" x14ac:dyDescent="0.2">
      <c r="A407" s="45">
        <f t="shared" ca="1" si="26"/>
        <v>1.4643718708831022E-9</v>
      </c>
      <c r="B407" s="18">
        <f>-SUMIFS(Projetos!$F$2:$F$11,Projetos!$D$2:$D$11,"BRL",Projetos!$N$2:$N$11,Dados!$A407)</f>
        <v>0</v>
      </c>
      <c r="C407" s="45">
        <f ca="1">(A407+B407)*((Indicadores_Economicos!D$2+1)^(1/12)-1)</f>
        <v>4.7939724496430637E-12</v>
      </c>
      <c r="D407" s="18">
        <f>SUMIFS(Projetos!$G$2:$G$11,Projetos!$K$2:$K$11,"&lt;="&amp;Dados!$A407,Projetos!$N$2:$N$11,"&gt;"&amp;Dados!A407,Projetos!$D$2:$D$11,"BRL")</f>
        <v>0</v>
      </c>
      <c r="E407" s="18">
        <f t="shared" ca="1" si="24"/>
        <v>1.4691658433327453E-9</v>
      </c>
      <c r="G407" s="45">
        <f t="shared" ca="1" si="27"/>
        <v>1.1264399006793079E-9</v>
      </c>
      <c r="H407" s="18">
        <f>-SUMIFS(Projetos!$F$2:$F$11,Projetos!$D$2:$D$11,"USD",Projetos!$N$2:$N$11,Dados!$A407)</f>
        <v>0</v>
      </c>
      <c r="I407" s="45">
        <f ca="1">(G407+H407)*((Indicadores_Economicos!D$2+1)^(1/12)-1)</f>
        <v>3.687671115110044E-12</v>
      </c>
      <c r="J407" s="18">
        <f>SUMIFS(Projetos!$G$2:$G$11,Projetos!$K$2:$K$11,"&lt;="&amp;Dados!$A407,Projetos!$N$2:$N$11,"&gt;"&amp;Dados!$A407,Projetos!$D$2:$D$11,"USD")</f>
        <v>0</v>
      </c>
      <c r="K407" s="18">
        <f t="shared" ca="1" si="25"/>
        <v>1.1301275717944178E-9</v>
      </c>
    </row>
    <row r="408" spans="1:11" x14ac:dyDescent="0.2">
      <c r="A408" s="45">
        <f t="shared" ca="1" si="26"/>
        <v>1.4691658433327453E-9</v>
      </c>
      <c r="B408" s="18">
        <f>-SUMIFS(Projetos!$F$2:$F$11,Projetos!$D$2:$D$11,"BRL",Projetos!$N$2:$N$11,Dados!$A408)</f>
        <v>0</v>
      </c>
      <c r="C408" s="45">
        <f ca="1">(A408+B408)*((Indicadores_Economicos!D$2+1)^(1/12)-1)</f>
        <v>4.8096666679662261E-12</v>
      </c>
      <c r="D408" s="18">
        <f>SUMIFS(Projetos!$G$2:$G$11,Projetos!$K$2:$K$11,"&lt;="&amp;Dados!$A408,Projetos!$N$2:$N$11,"&gt;"&amp;Dados!A408,Projetos!$D$2:$D$11,"BRL")</f>
        <v>0</v>
      </c>
      <c r="E408" s="18">
        <f t="shared" ca="1" si="24"/>
        <v>1.4739755100007115E-9</v>
      </c>
      <c r="G408" s="45">
        <f t="shared" ca="1" si="27"/>
        <v>1.1301275717944178E-9</v>
      </c>
      <c r="H408" s="18">
        <f>-SUMIFS(Projetos!$F$2:$F$11,Projetos!$D$2:$D$11,"USD",Projetos!$N$2:$N$11,Dados!$A408)</f>
        <v>0</v>
      </c>
      <c r="I408" s="45">
        <f ca="1">(G408+H408)*((Indicadores_Economicos!D$2+1)^(1/12)-1)</f>
        <v>3.6997435907432453E-12</v>
      </c>
      <c r="J408" s="18">
        <f>SUMIFS(Projetos!$G$2:$G$11,Projetos!$K$2:$K$11,"&lt;="&amp;Dados!$A408,Projetos!$N$2:$N$11,"&gt;"&amp;Dados!$A408,Projetos!$D$2:$D$11,"USD")</f>
        <v>0</v>
      </c>
      <c r="K408" s="18">
        <f t="shared" ca="1" si="25"/>
        <v>1.1338273153851611E-9</v>
      </c>
    </row>
    <row r="409" spans="1:11" x14ac:dyDescent="0.2">
      <c r="A409" s="45">
        <f t="shared" ca="1" si="26"/>
        <v>1.4739755100007115E-9</v>
      </c>
      <c r="B409" s="18">
        <f>-SUMIFS(Projetos!$F$2:$F$11,Projetos!$D$2:$D$11,"BRL",Projetos!$N$2:$N$11,Dados!$A409)</f>
        <v>0</v>
      </c>
      <c r="C409" s="45">
        <f ca="1">(A409+B409)*((Indicadores_Economicos!D$2+1)^(1/12)-1)</f>
        <v>4.8254122650762631E-12</v>
      </c>
      <c r="D409" s="18">
        <f>SUMIFS(Projetos!$G$2:$G$11,Projetos!$K$2:$K$11,"&lt;="&amp;Dados!$A409,Projetos!$N$2:$N$11,"&gt;"&amp;Dados!A409,Projetos!$D$2:$D$11,"BRL")</f>
        <v>0</v>
      </c>
      <c r="E409" s="18">
        <f t="shared" ca="1" si="24"/>
        <v>1.4788009222657878E-9</v>
      </c>
      <c r="G409" s="45">
        <f t="shared" ca="1" si="27"/>
        <v>1.1338273153851611E-9</v>
      </c>
      <c r="H409" s="18">
        <f>-SUMIFS(Projetos!$F$2:$F$11,Projetos!$D$2:$D$11,"USD",Projetos!$N$2:$N$11,Dados!$A409)</f>
        <v>0</v>
      </c>
      <c r="I409" s="45">
        <f ca="1">(G409+H409)*((Indicadores_Economicos!D$2+1)^(1/12)-1)</f>
        <v>3.711855588520197E-12</v>
      </c>
      <c r="J409" s="18">
        <f>SUMIFS(Projetos!$G$2:$G$11,Projetos!$K$2:$K$11,"&lt;="&amp;Dados!$A409,Projetos!$N$2:$N$11,"&gt;"&amp;Dados!$A409,Projetos!$D$2:$D$11,"USD")</f>
        <v>0</v>
      </c>
      <c r="K409" s="18">
        <f t="shared" ca="1" si="25"/>
        <v>1.1375391709736813E-9</v>
      </c>
    </row>
    <row r="410" spans="1:11" x14ac:dyDescent="0.2">
      <c r="A410" s="45">
        <f t="shared" ca="1" si="26"/>
        <v>1.4788009222657878E-9</v>
      </c>
      <c r="B410" s="18">
        <f>-SUMIFS(Projetos!$F$2:$F$11,Projetos!$D$2:$D$11,"BRL",Projetos!$N$2:$N$11,Dados!$A410)</f>
        <v>0</v>
      </c>
      <c r="C410" s="45">
        <f ca="1">(A410+B410)*((Indicadores_Economicos!D$2+1)^(1/12)-1)</f>
        <v>4.8412094091739538E-12</v>
      </c>
      <c r="D410" s="18">
        <f>SUMIFS(Projetos!$G$2:$G$11,Projetos!$K$2:$K$11,"&lt;="&amp;Dados!$A410,Projetos!$N$2:$N$11,"&gt;"&amp;Dados!A410,Projetos!$D$2:$D$11,"BRL")</f>
        <v>0</v>
      </c>
      <c r="E410" s="18">
        <f t="shared" ca="1" si="24"/>
        <v>1.4836421316749618E-9</v>
      </c>
      <c r="G410" s="45">
        <f t="shared" ca="1" si="27"/>
        <v>1.1375391709736813E-9</v>
      </c>
      <c r="H410" s="18">
        <f>-SUMIFS(Projetos!$F$2:$F$11,Projetos!$D$2:$D$11,"USD",Projetos!$N$2:$N$11,Dados!$A410)</f>
        <v>0</v>
      </c>
      <c r="I410" s="45">
        <f ca="1">(G410+H410)*((Indicadores_Economicos!D$2+1)^(1/12)-1)</f>
        <v>3.7240072378261132E-12</v>
      </c>
      <c r="J410" s="18">
        <f>SUMIFS(Projetos!$G$2:$G$11,Projetos!$K$2:$K$11,"&lt;="&amp;Dados!$A410,Projetos!$N$2:$N$11,"&gt;"&amp;Dados!$A410,Projetos!$D$2:$D$11,"USD")</f>
        <v>0</v>
      </c>
      <c r="K410" s="18">
        <f t="shared" ca="1" si="25"/>
        <v>1.1412631782115075E-9</v>
      </c>
    </row>
    <row r="411" spans="1:11" x14ac:dyDescent="0.2">
      <c r="A411" s="45">
        <f t="shared" ca="1" si="26"/>
        <v>1.4836421316749618E-9</v>
      </c>
      <c r="B411" s="18">
        <f>-SUMIFS(Projetos!$F$2:$F$11,Projetos!$D$2:$D$11,"BRL",Projetos!$N$2:$N$11,Dados!$A411)</f>
        <v>0</v>
      </c>
      <c r="C411" s="45">
        <f ca="1">(A411+B411)*((Indicadores_Economicos!D$2+1)^(1/12)-1)</f>
        <v>4.8570582690107226E-12</v>
      </c>
      <c r="D411" s="18">
        <f>SUMIFS(Projetos!$G$2:$G$11,Projetos!$K$2:$K$11,"&lt;="&amp;Dados!$A411,Projetos!$N$2:$N$11,"&gt;"&amp;Dados!A411,Projetos!$D$2:$D$11,"BRL")</f>
        <v>0</v>
      </c>
      <c r="E411" s="18">
        <f t="shared" ca="1" si="24"/>
        <v>1.4884991899439725E-9</v>
      </c>
      <c r="G411" s="45">
        <f t="shared" ca="1" si="27"/>
        <v>1.1412631782115075E-9</v>
      </c>
      <c r="H411" s="18">
        <f>-SUMIFS(Projetos!$F$2:$F$11,Projetos!$D$2:$D$11,"USD",Projetos!$N$2:$N$11,Dados!$A411)</f>
        <v>0</v>
      </c>
      <c r="I411" s="45">
        <f ca="1">(G411+H411)*((Indicadores_Economicos!D$2+1)^(1/12)-1)</f>
        <v>3.7361986684697817E-12</v>
      </c>
      <c r="J411" s="18">
        <f>SUMIFS(Projetos!$G$2:$G$11,Projetos!$K$2:$K$11,"&lt;="&amp;Dados!$A411,Projetos!$N$2:$N$11,"&gt;"&amp;Dados!$A411,Projetos!$D$2:$D$11,"USD")</f>
        <v>0</v>
      </c>
      <c r="K411" s="18">
        <f t="shared" ca="1" si="25"/>
        <v>1.1449993768799773E-9</v>
      </c>
    </row>
    <row r="412" spans="1:11" x14ac:dyDescent="0.2">
      <c r="A412" s="45">
        <f t="shared" ca="1" si="26"/>
        <v>1.4884991899439725E-9</v>
      </c>
      <c r="B412" s="18">
        <f>-SUMIFS(Projetos!$F$2:$F$11,Projetos!$D$2:$D$11,"BRL",Projetos!$N$2:$N$11,Dados!$A412)</f>
        <v>0</v>
      </c>
      <c r="C412" s="45">
        <f ca="1">(A412+B412)*((Indicadores_Economicos!D$2+1)^(1/12)-1)</f>
        <v>4.8729590138904414E-12</v>
      </c>
      <c r="D412" s="18">
        <f>SUMIFS(Projetos!$G$2:$G$11,Projetos!$K$2:$K$11,"&lt;="&amp;Dados!$A412,Projetos!$N$2:$N$11,"&gt;"&amp;Dados!A412,Projetos!$D$2:$D$11,"BRL")</f>
        <v>0</v>
      </c>
      <c r="E412" s="18">
        <f t="shared" ca="1" si="24"/>
        <v>1.4933721489578629E-9</v>
      </c>
      <c r="G412" s="45">
        <f t="shared" ca="1" si="27"/>
        <v>1.1449993768799773E-9</v>
      </c>
      <c r="H412" s="18">
        <f>-SUMIFS(Projetos!$F$2:$F$11,Projetos!$D$2:$D$11,"USD",Projetos!$N$2:$N$11,Dados!$A412)</f>
        <v>0</v>
      </c>
      <c r="I412" s="45">
        <f ca="1">(G412+H412)*((Indicadores_Economicos!D$2+1)^(1/12)-1)</f>
        <v>3.7484300106849497E-12</v>
      </c>
      <c r="J412" s="18">
        <f>SUMIFS(Projetos!$G$2:$G$11,Projetos!$K$2:$K$11,"&lt;="&amp;Dados!$A412,Projetos!$N$2:$N$11,"&gt;"&amp;Dados!$A412,Projetos!$D$2:$D$11,"USD")</f>
        <v>0</v>
      </c>
      <c r="K412" s="18">
        <f t="shared" ca="1" si="25"/>
        <v>1.1487478068906624E-9</v>
      </c>
    </row>
    <row r="413" spans="1:11" x14ac:dyDescent="0.2">
      <c r="A413" s="45">
        <f t="shared" ca="1" si="26"/>
        <v>1.4933721489578629E-9</v>
      </c>
      <c r="B413" s="18">
        <f>-SUMIFS(Projetos!$F$2:$F$11,Projetos!$D$2:$D$11,"BRL",Projetos!$N$2:$N$11,Dados!$A413)</f>
        <v>0</v>
      </c>
      <c r="C413" s="45">
        <f ca="1">(A413+B413)*((Indicadores_Economicos!D$2+1)^(1/12)-1)</f>
        <v>4.8889118136712387E-12</v>
      </c>
      <c r="D413" s="18">
        <f>SUMIFS(Projetos!$G$2:$G$11,Projetos!$K$2:$K$11,"&lt;="&amp;Dados!$A413,Projetos!$N$2:$N$11,"&gt;"&amp;Dados!A413,Projetos!$D$2:$D$11,"BRL")</f>
        <v>0</v>
      </c>
      <c r="E413" s="18">
        <f t="shared" ca="1" si="24"/>
        <v>1.4982610607715342E-9</v>
      </c>
      <c r="G413" s="45">
        <f t="shared" ca="1" si="27"/>
        <v>1.1487478068906624E-9</v>
      </c>
      <c r="H413" s="18">
        <f>-SUMIFS(Projetos!$F$2:$F$11,Projetos!$D$2:$D$11,"USD",Projetos!$N$2:$N$11,Dados!$A413)</f>
        <v>0</v>
      </c>
      <c r="I413" s="45">
        <f ca="1">(G413+H413)*((Indicadores_Economicos!D$2+1)^(1/12)-1)</f>
        <v>3.7607013951317177E-12</v>
      </c>
      <c r="J413" s="18">
        <f>SUMIFS(Projetos!$G$2:$G$11,Projetos!$K$2:$K$11,"&lt;="&amp;Dados!$A413,Projetos!$N$2:$N$11,"&gt;"&amp;Dados!$A413,Projetos!$D$2:$D$11,"USD")</f>
        <v>0</v>
      </c>
      <c r="K413" s="18">
        <f t="shared" ca="1" si="25"/>
        <v>1.1525085082857941E-9</v>
      </c>
    </row>
    <row r="414" spans="1:11" x14ac:dyDescent="0.2">
      <c r="A414" s="45">
        <f t="shared" ca="1" si="26"/>
        <v>1.4982610607715342E-9</v>
      </c>
      <c r="B414" s="18">
        <f>-SUMIFS(Projetos!$F$2:$F$11,Projetos!$D$2:$D$11,"BRL",Projetos!$N$2:$N$11,Dados!$A414)</f>
        <v>0</v>
      </c>
      <c r="C414" s="45">
        <f ca="1">(A414+B414)*((Indicadores_Economicos!D$2+1)^(1/12)-1)</f>
        <v>4.9049168387673173E-12</v>
      </c>
      <c r="D414" s="18">
        <f>SUMIFS(Projetos!$G$2:$G$11,Projetos!$K$2:$K$11,"&lt;="&amp;Dados!$A414,Projetos!$N$2:$N$11,"&gt;"&amp;Dados!A414,Projetos!$D$2:$D$11,"BRL")</f>
        <v>0</v>
      </c>
      <c r="E414" s="18">
        <f t="shared" ca="1" si="24"/>
        <v>1.5031659776103014E-9</v>
      </c>
      <c r="G414" s="45">
        <f t="shared" ca="1" si="27"/>
        <v>1.1525085082857941E-9</v>
      </c>
      <c r="H414" s="18">
        <f>-SUMIFS(Projetos!$F$2:$F$11,Projetos!$D$2:$D$11,"USD",Projetos!$N$2:$N$11,Dados!$A414)</f>
        <v>0</v>
      </c>
      <c r="I414" s="45">
        <f ca="1">(G414+H414)*((Indicadores_Economicos!D$2+1)^(1/12)-1)</f>
        <v>3.7730129528979315E-12</v>
      </c>
      <c r="J414" s="18">
        <f>SUMIFS(Projetos!$G$2:$G$11,Projetos!$K$2:$K$11,"&lt;="&amp;Dados!$A414,Projetos!$N$2:$N$11,"&gt;"&amp;Dados!$A414,Projetos!$D$2:$D$11,"USD")</f>
        <v>0</v>
      </c>
      <c r="K414" s="18">
        <f t="shared" ca="1" si="25"/>
        <v>1.156281521238692E-9</v>
      </c>
    </row>
    <row r="415" spans="1:11" x14ac:dyDescent="0.2">
      <c r="A415" s="45">
        <f t="shared" ca="1" si="26"/>
        <v>1.5031659776103014E-9</v>
      </c>
      <c r="B415" s="18">
        <f>-SUMIFS(Projetos!$F$2:$F$11,Projetos!$D$2:$D$11,"BRL",Projetos!$N$2:$N$11,Dados!$A415)</f>
        <v>0</v>
      </c>
      <c r="C415" s="45">
        <f ca="1">(A415+B415)*((Indicadores_Economicos!D$2+1)^(1/12)-1)</f>
        <v>4.9209742601507665E-12</v>
      </c>
      <c r="D415" s="18">
        <f>SUMIFS(Projetos!$G$2:$G$11,Projetos!$K$2:$K$11,"&lt;="&amp;Dados!$A415,Projetos!$N$2:$N$11,"&gt;"&amp;Dados!A415,Projetos!$D$2:$D$11,"BRL")</f>
        <v>0</v>
      </c>
      <c r="E415" s="18">
        <f t="shared" ca="1" si="24"/>
        <v>1.5080869518704522E-9</v>
      </c>
      <c r="G415" s="45">
        <f t="shared" ca="1" si="27"/>
        <v>1.156281521238692E-9</v>
      </c>
      <c r="H415" s="18">
        <f>-SUMIFS(Projetos!$F$2:$F$11,Projetos!$D$2:$D$11,"USD",Projetos!$N$2:$N$11,Dados!$A415)</f>
        <v>0</v>
      </c>
      <c r="I415" s="45">
        <f ca="1">(G415+H415)*((Indicadores_Economicos!D$2+1)^(1/12)-1)</f>
        <v>3.7853648155005854E-12</v>
      </c>
      <c r="J415" s="18">
        <f>SUMIFS(Projetos!$G$2:$G$11,Projetos!$K$2:$K$11,"&lt;="&amp;Dados!$A415,Projetos!$N$2:$N$11,"&gt;"&amp;Dados!$A415,Projetos!$D$2:$D$11,"USD")</f>
        <v>0</v>
      </c>
      <c r="K415" s="18">
        <f t="shared" ca="1" si="25"/>
        <v>1.1600668860541927E-9</v>
      </c>
    </row>
    <row r="416" spans="1:11" x14ac:dyDescent="0.2">
      <c r="A416" s="45">
        <f t="shared" ca="1" si="26"/>
        <v>1.5080869518704522E-9</v>
      </c>
      <c r="B416" s="18">
        <f>-SUMIFS(Projetos!$F$2:$F$11,Projetos!$D$2:$D$11,"BRL",Projetos!$N$2:$N$11,Dados!$A416)</f>
        <v>0</v>
      </c>
      <c r="C416" s="45">
        <f ca="1">(A416+B416)*((Indicadores_Economicos!D$2+1)^(1/12)-1)</f>
        <v>4.937084249353399E-12</v>
      </c>
      <c r="D416" s="18">
        <f>SUMIFS(Projetos!$G$2:$G$11,Projetos!$K$2:$K$11,"&lt;="&amp;Dados!$A416,Projetos!$N$2:$N$11,"&gt;"&amp;Dados!A416,Projetos!$D$2:$D$11,"BRL")</f>
        <v>0</v>
      </c>
      <c r="E416" s="18">
        <f t="shared" ca="1" si="24"/>
        <v>1.5130240361198056E-9</v>
      </c>
      <c r="G416" s="45">
        <f t="shared" ca="1" si="27"/>
        <v>1.1600668860541927E-9</v>
      </c>
      <c r="H416" s="18">
        <f>-SUMIFS(Projetos!$F$2:$F$11,Projetos!$D$2:$D$11,"USD",Projetos!$N$2:$N$11,Dados!$A416)</f>
        <v>0</v>
      </c>
      <c r="I416" s="45">
        <f ca="1">(G416+H416)*((Indicadores_Economicos!D$2+1)^(1/12)-1)</f>
        <v>3.797757114887226E-12</v>
      </c>
      <c r="J416" s="18">
        <f>SUMIFS(Projetos!$G$2:$G$11,Projetos!$K$2:$K$11,"&lt;="&amp;Dados!$A416,Projetos!$N$2:$N$11,"&gt;"&amp;Dados!$A416,Projetos!$D$2:$D$11,"USD")</f>
        <v>0</v>
      </c>
      <c r="K416" s="18">
        <f t="shared" ca="1" si="25"/>
        <v>1.1638646431690798E-9</v>
      </c>
    </row>
    <row r="417" spans="1:11" x14ac:dyDescent="0.2">
      <c r="A417" s="45">
        <f t="shared" ca="1" si="26"/>
        <v>1.5130240361198056E-9</v>
      </c>
      <c r="B417" s="18">
        <f>-SUMIFS(Projetos!$F$2:$F$11,Projetos!$D$2:$D$11,"BRL",Projetos!$N$2:$N$11,Dados!$A417)</f>
        <v>0</v>
      </c>
      <c r="C417" s="45">
        <f ca="1">(A417+B417)*((Indicadores_Economicos!D$2+1)^(1/12)-1)</f>
        <v>4.9532469784685751E-12</v>
      </c>
      <c r="D417" s="18">
        <f>SUMIFS(Projetos!$G$2:$G$11,Projetos!$K$2:$K$11,"&lt;="&amp;Dados!$A417,Projetos!$N$2:$N$11,"&gt;"&amp;Dados!A417,Projetos!$D$2:$D$11,"BRL")</f>
        <v>0</v>
      </c>
      <c r="E417" s="18">
        <f t="shared" ca="1" si="24"/>
        <v>1.5179772830982741E-9</v>
      </c>
      <c r="G417" s="45">
        <f t="shared" ca="1" si="27"/>
        <v>1.1638646431690798E-9</v>
      </c>
      <c r="H417" s="18">
        <f>-SUMIFS(Projetos!$F$2:$F$11,Projetos!$D$2:$D$11,"USD",Projetos!$N$2:$N$11,Dados!$A417)</f>
        <v>0</v>
      </c>
      <c r="I417" s="45">
        <f ca="1">(G417+H417)*((Indicadores_Economicos!D$2+1)^(1/12)-1)</f>
        <v>3.8101899834373609E-12</v>
      </c>
      <c r="J417" s="18">
        <f>SUMIFS(Projetos!$G$2:$G$11,Projetos!$K$2:$K$11,"&lt;="&amp;Dados!$A417,Projetos!$N$2:$N$11,"&gt;"&amp;Dados!$A417,Projetos!$D$2:$D$11,"USD")</f>
        <v>0</v>
      </c>
      <c r="K417" s="18">
        <f t="shared" ca="1" si="25"/>
        <v>1.1676748331525172E-9</v>
      </c>
    </row>
    <row r="418" spans="1:11" x14ac:dyDescent="0.2">
      <c r="A418" s="45">
        <f t="shared" ca="1" si="26"/>
        <v>1.5179772830982741E-9</v>
      </c>
      <c r="B418" s="18">
        <f>-SUMIFS(Projetos!$F$2:$F$11,Projetos!$D$2:$D$11,"BRL",Projetos!$N$2:$N$11,Dados!$A418)</f>
        <v>0</v>
      </c>
      <c r="C418" s="45">
        <f ca="1">(A418+B418)*((Indicadores_Economicos!D$2+1)^(1/12)-1)</f>
        <v>4.9694626201530439E-12</v>
      </c>
      <c r="D418" s="18">
        <f>SUMIFS(Projetos!$G$2:$G$11,Projetos!$K$2:$K$11,"&lt;="&amp;Dados!$A418,Projetos!$N$2:$N$11,"&gt;"&amp;Dados!A418,Projetos!$D$2:$D$11,"BRL")</f>
        <v>0</v>
      </c>
      <c r="E418" s="18">
        <f t="shared" ca="1" si="24"/>
        <v>1.5229467457184271E-9</v>
      </c>
      <c r="G418" s="45">
        <f t="shared" ca="1" si="27"/>
        <v>1.1676748331525172E-9</v>
      </c>
      <c r="H418" s="18">
        <f>-SUMIFS(Projetos!$F$2:$F$11,Projetos!$D$2:$D$11,"USD",Projetos!$N$2:$N$11,Dados!$A418)</f>
        <v>0</v>
      </c>
      <c r="I418" s="45">
        <f ca="1">(G418+H418)*((Indicadores_Economicos!D$2+1)^(1/12)-1)</f>
        <v>3.8226635539638752E-12</v>
      </c>
      <c r="J418" s="18">
        <f>SUMIFS(Projetos!$G$2:$G$11,Projetos!$K$2:$K$11,"&lt;="&amp;Dados!$A418,Projetos!$N$2:$N$11,"&gt;"&amp;Dados!$A418,Projetos!$D$2:$D$11,"USD")</f>
        <v>0</v>
      </c>
      <c r="K418" s="18">
        <f t="shared" ca="1" si="25"/>
        <v>1.1714974967064811E-9</v>
      </c>
    </row>
    <row r="419" spans="1:11" x14ac:dyDescent="0.2">
      <c r="A419" s="45">
        <f t="shared" ca="1" si="26"/>
        <v>1.5229467457184271E-9</v>
      </c>
      <c r="B419" s="18">
        <f>-SUMIFS(Projetos!$F$2:$F$11,Projetos!$D$2:$D$11,"BRL",Projetos!$N$2:$N$11,Dados!$A419)</f>
        <v>0</v>
      </c>
      <c r="C419" s="45">
        <f ca="1">(A419+B419)*((Indicadores_Economicos!D$2+1)^(1/12)-1)</f>
        <v>4.985731347628789E-12</v>
      </c>
      <c r="D419" s="18">
        <f>SUMIFS(Projetos!$G$2:$G$11,Projetos!$K$2:$K$11,"&lt;="&amp;Dados!$A419,Projetos!$N$2:$N$11,"&gt;"&amp;Dados!A419,Projetos!$D$2:$D$11,"BRL")</f>
        <v>0</v>
      </c>
      <c r="E419" s="18">
        <f t="shared" ca="1" si="24"/>
        <v>1.5279324770660559E-9</v>
      </c>
      <c r="G419" s="45">
        <f t="shared" ca="1" si="27"/>
        <v>1.1714974967064811E-9</v>
      </c>
      <c r="H419" s="18">
        <f>-SUMIFS(Projetos!$F$2:$F$11,Projetos!$D$2:$D$11,"USD",Projetos!$N$2:$N$11,Dados!$A419)</f>
        <v>0</v>
      </c>
      <c r="I419" s="45">
        <f ca="1">(G419+H419)*((Indicadores_Economicos!D$2+1)^(1/12)-1)</f>
        <v>3.8351779597144494E-12</v>
      </c>
      <c r="J419" s="18">
        <f>SUMIFS(Projetos!$G$2:$G$11,Projetos!$K$2:$K$11,"&lt;="&amp;Dados!$A419,Projetos!$N$2:$N$11,"&gt;"&amp;Dados!$A419,Projetos!$D$2:$D$11,"USD")</f>
        <v>0</v>
      </c>
      <c r="K419" s="18">
        <f t="shared" ca="1" si="25"/>
        <v>1.1753326746661955E-9</v>
      </c>
    </row>
    <row r="420" spans="1:11" x14ac:dyDescent="0.2">
      <c r="A420" s="45">
        <f t="shared" ca="1" si="26"/>
        <v>1.5279324770660559E-9</v>
      </c>
      <c r="B420" s="18">
        <f>-SUMIFS(Projetos!$F$2:$F$11,Projetos!$D$2:$D$11,"BRL",Projetos!$N$2:$N$11,Dados!$A420)</f>
        <v>0</v>
      </c>
      <c r="C420" s="45">
        <f ca="1">(A420+B420)*((Indicadores_Economicos!D$2+1)^(1/12)-1)</f>
        <v>5.0020533346848778E-12</v>
      </c>
      <c r="D420" s="18">
        <f>SUMIFS(Projetos!$G$2:$G$11,Projetos!$K$2:$K$11,"&lt;="&amp;Dados!$A420,Projetos!$N$2:$N$11,"&gt;"&amp;Dados!A420,Projetos!$D$2:$D$11,"BRL")</f>
        <v>0</v>
      </c>
      <c r="E420" s="18">
        <f t="shared" ca="1" si="24"/>
        <v>1.5329345304007408E-9</v>
      </c>
      <c r="G420" s="45">
        <f t="shared" ca="1" si="27"/>
        <v>1.1753326746661955E-9</v>
      </c>
      <c r="H420" s="18">
        <f>-SUMIFS(Projetos!$F$2:$F$11,Projetos!$D$2:$D$11,"USD",Projetos!$N$2:$N$11,Dados!$A420)</f>
        <v>0</v>
      </c>
      <c r="I420" s="45">
        <f ca="1">(G420+H420)*((Indicadores_Economicos!D$2+1)^(1/12)-1)</f>
        <v>3.8477333343729783E-12</v>
      </c>
      <c r="J420" s="18">
        <f>SUMIFS(Projetos!$G$2:$G$11,Projetos!$K$2:$K$11,"&lt;="&amp;Dados!$A420,Projetos!$N$2:$N$11,"&gt;"&amp;Dados!$A420,Projetos!$D$2:$D$11,"USD")</f>
        <v>0</v>
      </c>
      <c r="K420" s="18">
        <f t="shared" ca="1" si="25"/>
        <v>1.1791804080005686E-9</v>
      </c>
    </row>
    <row r="421" spans="1:11" x14ac:dyDescent="0.2">
      <c r="A421" s="45">
        <f t="shared" ca="1" si="26"/>
        <v>1.5329345304007408E-9</v>
      </c>
      <c r="B421" s="18">
        <f>-SUMIFS(Projetos!$F$2:$F$11,Projetos!$D$2:$D$11,"BRL",Projetos!$N$2:$N$11,Dados!$A421)</f>
        <v>0</v>
      </c>
      <c r="C421" s="45">
        <f ca="1">(A421+B421)*((Indicadores_Economicos!D$2+1)^(1/12)-1)</f>
        <v>5.0184287556793164E-12</v>
      </c>
      <c r="D421" s="18">
        <f>SUMIFS(Projetos!$G$2:$G$11,Projetos!$K$2:$K$11,"&lt;="&amp;Dados!$A421,Projetos!$N$2:$N$11,"&gt;"&amp;Dados!A421,Projetos!$D$2:$D$11,"BRL")</f>
        <v>0</v>
      </c>
      <c r="E421" s="18">
        <f t="shared" ca="1" si="24"/>
        <v>1.5379529591564201E-9</v>
      </c>
      <c r="G421" s="45">
        <f t="shared" ca="1" si="27"/>
        <v>1.1791804080005686E-9</v>
      </c>
      <c r="H421" s="18">
        <f>-SUMIFS(Projetos!$F$2:$F$11,Projetos!$D$2:$D$11,"USD",Projetos!$N$2:$N$11,Dados!$A421)</f>
        <v>0</v>
      </c>
      <c r="I421" s="45">
        <f ca="1">(G421+H421)*((Indicadores_Economicos!D$2+1)^(1/12)-1)</f>
        <v>3.8603298120610089E-12</v>
      </c>
      <c r="J421" s="18">
        <f>SUMIFS(Projetos!$G$2:$G$11,Projetos!$K$2:$K$11,"&lt;="&amp;Dados!$A421,Projetos!$N$2:$N$11,"&gt;"&amp;Dados!$A421,Projetos!$D$2:$D$11,"USD")</f>
        <v>0</v>
      </c>
      <c r="K421" s="18">
        <f t="shared" ca="1" si="25"/>
        <v>1.1830407378126297E-9</v>
      </c>
    </row>
    <row r="422" spans="1:11" x14ac:dyDescent="0.2">
      <c r="A422" s="45">
        <f t="shared" ca="1" si="26"/>
        <v>1.5379529591564201E-9</v>
      </c>
      <c r="B422" s="18">
        <f>-SUMIFS(Projetos!$F$2:$F$11,Projetos!$D$2:$D$11,"BRL",Projetos!$N$2:$N$11,Dados!$A422)</f>
        <v>0</v>
      </c>
      <c r="C422" s="45">
        <f ca="1">(A422+B422)*((Indicadores_Economicos!D$2+1)^(1/12)-1)</f>
        <v>5.034857785540915E-12</v>
      </c>
      <c r="D422" s="18">
        <f>SUMIFS(Projetos!$G$2:$G$11,Projetos!$K$2:$K$11,"&lt;="&amp;Dados!$A422,Projetos!$N$2:$N$11,"&gt;"&amp;Dados!A422,Projetos!$D$2:$D$11,"BRL")</f>
        <v>0</v>
      </c>
      <c r="E422" s="18">
        <f t="shared" ca="1" si="24"/>
        <v>1.5429878169419611E-9</v>
      </c>
      <c r="G422" s="45">
        <f t="shared" ca="1" si="27"/>
        <v>1.1830407378126297E-9</v>
      </c>
      <c r="H422" s="18">
        <f>-SUMIFS(Projetos!$F$2:$F$11,Projetos!$D$2:$D$11,"USD",Projetos!$N$2:$N$11,Dados!$A422)</f>
        <v>0</v>
      </c>
      <c r="I422" s="45">
        <f ca="1">(G422+H422)*((Indicadores_Economicos!D$2+1)^(1/12)-1)</f>
        <v>3.8729675273391617E-12</v>
      </c>
      <c r="J422" s="18">
        <f>SUMIFS(Projetos!$G$2:$G$11,Projetos!$K$2:$K$11,"&lt;="&amp;Dados!$A422,Projetos!$N$2:$N$11,"&gt;"&amp;Dados!$A422,Projetos!$D$2:$D$11,"USD")</f>
        <v>0</v>
      </c>
      <c r="K422" s="18">
        <f t="shared" ca="1" si="25"/>
        <v>1.1869137053399688E-9</v>
      </c>
    </row>
    <row r="423" spans="1:11" x14ac:dyDescent="0.2">
      <c r="A423" s="45">
        <f t="shared" ca="1" si="26"/>
        <v>1.5429878169419611E-9</v>
      </c>
      <c r="B423" s="18">
        <f>-SUMIFS(Projetos!$F$2:$F$11,Projetos!$D$2:$D$11,"BRL",Projetos!$N$2:$N$11,Dados!$A423)</f>
        <v>0</v>
      </c>
      <c r="C423" s="45">
        <f ca="1">(A423+B423)*((Indicadores_Economicos!D$2+1)^(1/12)-1)</f>
        <v>5.0513405997711542E-12</v>
      </c>
      <c r="D423" s="18">
        <f>SUMIFS(Projetos!$G$2:$G$11,Projetos!$K$2:$K$11,"&lt;="&amp;Dados!$A423,Projetos!$N$2:$N$11,"&gt;"&amp;Dados!A423,Projetos!$D$2:$D$11,"BRL")</f>
        <v>0</v>
      </c>
      <c r="E423" s="18">
        <f t="shared" ca="1" si="24"/>
        <v>1.5480391575417323E-9</v>
      </c>
      <c r="G423" s="45">
        <f t="shared" ca="1" si="27"/>
        <v>1.1869137053399688E-9</v>
      </c>
      <c r="H423" s="18">
        <f>-SUMIFS(Projetos!$F$2:$F$11,Projetos!$D$2:$D$11,"USD",Projetos!$N$2:$N$11,Dados!$A423)</f>
        <v>0</v>
      </c>
      <c r="I423" s="45">
        <f ca="1">(G423+H423)*((Indicadores_Economicos!D$2+1)^(1/12)-1)</f>
        <v>3.8856466152085764E-12</v>
      </c>
      <c r="J423" s="18">
        <f>SUMIFS(Projetos!$G$2:$G$11,Projetos!$K$2:$K$11,"&lt;="&amp;Dados!$A423,Projetos!$N$2:$N$11,"&gt;"&amp;Dados!$A423,Projetos!$D$2:$D$11,"USD")</f>
        <v>0</v>
      </c>
      <c r="K423" s="18">
        <f t="shared" ca="1" si="25"/>
        <v>1.1907993519551773E-9</v>
      </c>
    </row>
    <row r="424" spans="1:11" x14ac:dyDescent="0.2">
      <c r="A424" s="45">
        <f t="shared" ca="1" si="26"/>
        <v>1.5480391575417323E-9</v>
      </c>
      <c r="B424" s="18">
        <f>-SUMIFS(Projetos!$F$2:$F$11,Projetos!$D$2:$D$11,"BRL",Projetos!$N$2:$N$11,Dados!$A424)</f>
        <v>0</v>
      </c>
      <c r="C424" s="45">
        <f ca="1">(A424+B424)*((Indicadores_Economicos!D$2+1)^(1/12)-1)</f>
        <v>5.0678773744460613E-12</v>
      </c>
      <c r="D424" s="18">
        <f>SUMIFS(Projetos!$G$2:$G$11,Projetos!$K$2:$K$11,"&lt;="&amp;Dados!$A424,Projetos!$N$2:$N$11,"&gt;"&amp;Dados!A424,Projetos!$D$2:$D$11,"BRL")</f>
        <v>0</v>
      </c>
      <c r="E424" s="18">
        <f t="shared" ca="1" si="24"/>
        <v>1.5531070349161784E-9</v>
      </c>
      <c r="G424" s="45">
        <f t="shared" ca="1" si="27"/>
        <v>1.1907993519551773E-9</v>
      </c>
      <c r="H424" s="18">
        <f>-SUMIFS(Projetos!$F$2:$F$11,Projetos!$D$2:$D$11,"USD",Projetos!$N$2:$N$11,Dados!$A424)</f>
        <v>0</v>
      </c>
      <c r="I424" s="45">
        <f ca="1">(G424+H424)*((Indicadores_Economicos!D$2+1)^(1/12)-1)</f>
        <v>3.8983672111123509E-12</v>
      </c>
      <c r="J424" s="18">
        <f>SUMIFS(Projetos!$G$2:$G$11,Projetos!$K$2:$K$11,"&lt;="&amp;Dados!$A424,Projetos!$N$2:$N$11,"&gt;"&amp;Dados!$A424,Projetos!$D$2:$D$11,"USD")</f>
        <v>0</v>
      </c>
      <c r="K424" s="18">
        <f t="shared" ca="1" si="25"/>
        <v>1.1946977191662896E-9</v>
      </c>
    </row>
    <row r="425" spans="1:11" x14ac:dyDescent="0.2">
      <c r="A425" s="45">
        <f t="shared" ca="1" si="26"/>
        <v>1.5531070349161784E-9</v>
      </c>
      <c r="B425" s="18">
        <f>-SUMIFS(Projetos!$F$2:$F$11,Projetos!$D$2:$D$11,"BRL",Projetos!$N$2:$N$11,Dados!$A425)</f>
        <v>0</v>
      </c>
      <c r="C425" s="45">
        <f ca="1">(A425+B425)*((Indicadores_Economicos!D$2+1)^(1/12)-1)</f>
        <v>5.0844682862180921E-12</v>
      </c>
      <c r="D425" s="18">
        <f>SUMIFS(Projetos!$G$2:$G$11,Projetos!$K$2:$K$11,"&lt;="&amp;Dados!$A425,Projetos!$N$2:$N$11,"&gt;"&amp;Dados!A425,Projetos!$D$2:$D$11,"BRL")</f>
        <v>0</v>
      </c>
      <c r="E425" s="18">
        <f t="shared" ca="1" si="24"/>
        <v>1.5581915032023965E-9</v>
      </c>
      <c r="G425" s="45">
        <f t="shared" ca="1" si="27"/>
        <v>1.1946977191662896E-9</v>
      </c>
      <c r="H425" s="18">
        <f>-SUMIFS(Projetos!$F$2:$F$11,Projetos!$D$2:$D$11,"USD",Projetos!$N$2:$N$11,Dados!$A425)</f>
        <v>0</v>
      </c>
      <c r="I425" s="45">
        <f ca="1">(G425+H425)*((Indicadores_Economicos!D$2+1)^(1/12)-1)</f>
        <v>3.911129450936989E-12</v>
      </c>
      <c r="J425" s="18">
        <f>SUMIFS(Projetos!$G$2:$G$11,Projetos!$K$2:$K$11,"&lt;="&amp;Dados!$A425,Projetos!$N$2:$N$11,"&gt;"&amp;Dados!$A425,Projetos!$D$2:$D$11,"USD")</f>
        <v>0</v>
      </c>
      <c r="K425" s="18">
        <f t="shared" ca="1" si="25"/>
        <v>1.1986088486172267E-9</v>
      </c>
    </row>
    <row r="426" spans="1:11" x14ac:dyDescent="0.2">
      <c r="A426" s="45">
        <f t="shared" ca="1" si="26"/>
        <v>1.5581915032023965E-9</v>
      </c>
      <c r="B426" s="18">
        <f>-SUMIFS(Projetos!$F$2:$F$11,Projetos!$D$2:$D$11,"BRL",Projetos!$N$2:$N$11,Dados!$A426)</f>
        <v>0</v>
      </c>
      <c r="C426" s="45">
        <f ca="1">(A426+B426)*((Indicadores_Economicos!D$2+1)^(1/12)-1)</f>
        <v>5.1011135123180129E-12</v>
      </c>
      <c r="D426" s="18">
        <f>SUMIFS(Projetos!$G$2:$G$11,Projetos!$K$2:$K$11,"&lt;="&amp;Dados!$A426,Projetos!$N$2:$N$11,"&gt;"&amp;Dados!A426,Projetos!$D$2:$D$11,"BRL")</f>
        <v>0</v>
      </c>
      <c r="E426" s="18">
        <f t="shared" ca="1" si="24"/>
        <v>1.5632926167147144E-9</v>
      </c>
      <c r="G426" s="45">
        <f t="shared" ca="1" si="27"/>
        <v>1.1986088486172267E-9</v>
      </c>
      <c r="H426" s="18">
        <f>-SUMIFS(Projetos!$F$2:$F$11,Projetos!$D$2:$D$11,"USD",Projetos!$N$2:$N$11,Dados!$A426)</f>
        <v>0</v>
      </c>
      <c r="I426" s="45">
        <f ca="1">(G426+H426)*((Indicadores_Economicos!D$2+1)^(1/12)-1)</f>
        <v>3.9239334710138516E-12</v>
      </c>
      <c r="J426" s="18">
        <f>SUMIFS(Projetos!$G$2:$G$11,Projetos!$K$2:$K$11,"&lt;="&amp;Dados!$A426,Projetos!$N$2:$N$11,"&gt;"&amp;Dados!$A426,Projetos!$D$2:$D$11,"USD")</f>
        <v>0</v>
      </c>
      <c r="K426" s="18">
        <f t="shared" ca="1" si="25"/>
        <v>1.2025327820882406E-9</v>
      </c>
    </row>
    <row r="427" spans="1:11" x14ac:dyDescent="0.2">
      <c r="A427" s="45">
        <f t="shared" ca="1" si="26"/>
        <v>1.5632926167147144E-9</v>
      </c>
      <c r="B427" s="18">
        <f>-SUMIFS(Projetos!$F$2:$F$11,Projetos!$D$2:$D$11,"BRL",Projetos!$N$2:$N$11,Dados!$A427)</f>
        <v>0</v>
      </c>
      <c r="C427" s="45">
        <f ca="1">(A427+B427)*((Indicadores_Economicos!D$2+1)^(1/12)-1)</f>
        <v>5.1178132305568001E-12</v>
      </c>
      <c r="D427" s="18">
        <f>SUMIFS(Projetos!$G$2:$G$11,Projetos!$K$2:$K$11,"&lt;="&amp;Dados!$A427,Projetos!$N$2:$N$11,"&gt;"&amp;Dados!A427,Projetos!$D$2:$D$11,"BRL")</f>
        <v>0</v>
      </c>
      <c r="E427" s="18">
        <f t="shared" ca="1" si="24"/>
        <v>1.5684104299452713E-9</v>
      </c>
      <c r="G427" s="45">
        <f t="shared" ca="1" si="27"/>
        <v>1.2025327820882406E-9</v>
      </c>
      <c r="H427" s="18">
        <f>-SUMIFS(Projetos!$F$2:$F$11,Projetos!$D$2:$D$11,"USD",Projetos!$N$2:$N$11,Dados!$A427)</f>
        <v>0</v>
      </c>
      <c r="I427" s="45">
        <f ca="1">(G427+H427)*((Indicadores_Economicos!D$2+1)^(1/12)-1)</f>
        <v>3.9367794081206116E-12</v>
      </c>
      <c r="J427" s="18">
        <f>SUMIFS(Projetos!$G$2:$G$11,Projetos!$K$2:$K$11,"&lt;="&amp;Dados!$A427,Projetos!$N$2:$N$11,"&gt;"&amp;Dados!$A427,Projetos!$D$2:$D$11,"USD")</f>
        <v>0</v>
      </c>
      <c r="K427" s="18">
        <f t="shared" ca="1" si="25"/>
        <v>1.2064695614963612E-9</v>
      </c>
    </row>
    <row r="428" spans="1:11" x14ac:dyDescent="0.2">
      <c r="A428" s="45">
        <f t="shared" ca="1" si="26"/>
        <v>1.5684104299452713E-9</v>
      </c>
      <c r="B428" s="18">
        <f>-SUMIFS(Projetos!$F$2:$F$11,Projetos!$D$2:$D$11,"BRL",Projetos!$N$2:$N$11,Dados!$A428)</f>
        <v>0</v>
      </c>
      <c r="C428" s="45">
        <f ca="1">(A428+B428)*((Indicadores_Economicos!D$2+1)^(1/12)-1)</f>
        <v>5.1345676193275381E-12</v>
      </c>
      <c r="D428" s="18">
        <f>SUMIFS(Projetos!$G$2:$G$11,Projetos!$K$2:$K$11,"&lt;="&amp;Dados!$A428,Projetos!$N$2:$N$11,"&gt;"&amp;Dados!A428,Projetos!$D$2:$D$11,"BRL")</f>
        <v>0</v>
      </c>
      <c r="E428" s="18">
        <f t="shared" ca="1" si="24"/>
        <v>1.5735449975645988E-9</v>
      </c>
      <c r="G428" s="45">
        <f t="shared" ca="1" si="27"/>
        <v>1.2064695614963612E-9</v>
      </c>
      <c r="H428" s="18">
        <f>-SUMIFS(Projetos!$F$2:$F$11,Projetos!$D$2:$D$11,"USD",Projetos!$N$2:$N$11,Dados!$A428)</f>
        <v>0</v>
      </c>
      <c r="I428" s="45">
        <f ca="1">(G428+H428)*((Indicadores_Economicos!D$2+1)^(1/12)-1)</f>
        <v>3.9496673994827175E-12</v>
      </c>
      <c r="J428" s="18">
        <f>SUMIFS(Projetos!$G$2:$G$11,Projetos!$K$2:$K$11,"&lt;="&amp;Dados!$A428,Projetos!$N$2:$N$11,"&gt;"&amp;Dados!$A428,Projetos!$D$2:$D$11,"USD")</f>
        <v>0</v>
      </c>
      <c r="K428" s="18">
        <f t="shared" ca="1" si="25"/>
        <v>1.2104192288958439E-9</v>
      </c>
    </row>
    <row r="429" spans="1:11" x14ac:dyDescent="0.2">
      <c r="A429" s="45">
        <f t="shared" ca="1" si="26"/>
        <v>1.5735449975645988E-9</v>
      </c>
      <c r="B429" s="18">
        <f>-SUMIFS(Projetos!$F$2:$F$11,Projetos!$D$2:$D$11,"BRL",Projetos!$N$2:$N$11,Dados!$A429)</f>
        <v>0</v>
      </c>
      <c r="C429" s="45">
        <f ca="1">(A429+B429)*((Indicadores_Economicos!D$2+1)^(1/12)-1)</f>
        <v>5.1513768576073212E-12</v>
      </c>
      <c r="D429" s="18">
        <f>SUMIFS(Projetos!$G$2:$G$11,Projetos!$K$2:$K$11,"&lt;="&amp;Dados!$A429,Projetos!$N$2:$N$11,"&gt;"&amp;Dados!A429,Projetos!$D$2:$D$11,"BRL")</f>
        <v>0</v>
      </c>
      <c r="E429" s="18">
        <f t="shared" ca="1" si="24"/>
        <v>1.5786963744222061E-9</v>
      </c>
      <c r="G429" s="45">
        <f t="shared" ca="1" si="27"/>
        <v>1.2104192288958439E-9</v>
      </c>
      <c r="H429" s="18">
        <f>-SUMIFS(Projetos!$F$2:$F$11,Projetos!$D$2:$D$11,"USD",Projetos!$N$2:$N$11,Dados!$A429)</f>
        <v>0</v>
      </c>
      <c r="I429" s="45">
        <f ca="1">(G429+H429)*((Indicadores_Economicos!D$2+1)^(1/12)-1)</f>
        <v>3.9625975827748583E-12</v>
      </c>
      <c r="J429" s="18">
        <f>SUMIFS(Projetos!$G$2:$G$11,Projetos!$K$2:$K$11,"&lt;="&amp;Dados!$A429,Projetos!$N$2:$N$11,"&gt;"&amp;Dados!$A429,Projetos!$D$2:$D$11,"USD")</f>
        <v>0</v>
      </c>
      <c r="K429" s="18">
        <f t="shared" ca="1" si="25"/>
        <v>1.2143818264786187E-9</v>
      </c>
    </row>
    <row r="430" spans="1:11" x14ac:dyDescent="0.2">
      <c r="A430" s="45">
        <f t="shared" ca="1" si="26"/>
        <v>1.5786963744222061E-9</v>
      </c>
      <c r="B430" s="18">
        <f>-SUMIFS(Projetos!$F$2:$F$11,Projetos!$D$2:$D$11,"BRL",Projetos!$N$2:$N$11,Dados!$A430)</f>
        <v>0</v>
      </c>
      <c r="C430" s="45">
        <f ca="1">(A430+B430)*((Indicadores_Economicos!D$2+1)^(1/12)-1)</f>
        <v>5.1682411249591693E-12</v>
      </c>
      <c r="D430" s="18">
        <f>SUMIFS(Projetos!$G$2:$G$11,Projetos!$K$2:$K$11,"&lt;="&amp;Dados!$A430,Projetos!$N$2:$N$11,"&gt;"&amp;Dados!A430,Projetos!$D$2:$D$11,"BRL")</f>
        <v>0</v>
      </c>
      <c r="E430" s="18">
        <f t="shared" ca="1" si="24"/>
        <v>1.5838646155471652E-9</v>
      </c>
      <c r="G430" s="45">
        <f t="shared" ca="1" si="27"/>
        <v>1.2143818264786187E-9</v>
      </c>
      <c r="H430" s="18">
        <f>-SUMIFS(Projetos!$F$2:$F$11,Projetos!$D$2:$D$11,"USD",Projetos!$N$2:$N$11,Dados!$A430)</f>
        <v>0</v>
      </c>
      <c r="I430" s="45">
        <f ca="1">(G430+H430)*((Indicadores_Economicos!D$2+1)^(1/12)-1)</f>
        <v>3.9755700961224332E-12</v>
      </c>
      <c r="J430" s="18">
        <f>SUMIFS(Projetos!$G$2:$G$11,Projetos!$K$2:$K$11,"&lt;="&amp;Dados!$A430,Projetos!$N$2:$N$11,"&gt;"&amp;Dados!$A430,Projetos!$D$2:$D$11,"USD")</f>
        <v>0</v>
      </c>
      <c r="K430" s="18">
        <f t="shared" ca="1" si="25"/>
        <v>1.2183573965747412E-9</v>
      </c>
    </row>
    <row r="431" spans="1:11" x14ac:dyDescent="0.2">
      <c r="A431" s="45">
        <f t="shared" ca="1" si="26"/>
        <v>1.5838646155471652E-9</v>
      </c>
      <c r="B431" s="18">
        <f>-SUMIFS(Projetos!$F$2:$F$11,Projetos!$D$2:$D$11,"BRL",Projetos!$N$2:$N$11,Dados!$A431)</f>
        <v>0</v>
      </c>
      <c r="C431" s="45">
        <f ca="1">(A431+B431)*((Indicadores_Economicos!D$2+1)^(1/12)-1)</f>
        <v>5.1851606015339443E-12</v>
      </c>
      <c r="D431" s="18">
        <f>SUMIFS(Projetos!$G$2:$G$11,Projetos!$K$2:$K$11,"&lt;="&amp;Dados!$A431,Projetos!$N$2:$N$11,"&gt;"&amp;Dados!A431,Projetos!$D$2:$D$11,"BRL")</f>
        <v>0</v>
      </c>
      <c r="E431" s="18">
        <f t="shared" ca="1" si="24"/>
        <v>1.5890497761486992E-9</v>
      </c>
      <c r="G431" s="45">
        <f t="shared" ca="1" si="27"/>
        <v>1.2183573965747412E-9</v>
      </c>
      <c r="H431" s="18">
        <f>-SUMIFS(Projetos!$F$2:$F$11,Projetos!$D$2:$D$11,"USD",Projetos!$N$2:$N$11,Dados!$A431)</f>
        <v>0</v>
      </c>
      <c r="I431" s="45">
        <f ca="1">(G431+H431)*((Indicadores_Economicos!D$2+1)^(1/12)-1)</f>
        <v>3.9885850781030296E-12</v>
      </c>
      <c r="J431" s="18">
        <f>SUMIFS(Projetos!$G$2:$G$11,Projetos!$K$2:$K$11,"&lt;="&amp;Dados!$A431,Projetos!$N$2:$N$11,"&gt;"&amp;Dados!$A431,Projetos!$D$2:$D$11,"USD")</f>
        <v>0</v>
      </c>
      <c r="K431" s="18">
        <f t="shared" ca="1" si="25"/>
        <v>1.2223459816528443E-9</v>
      </c>
    </row>
    <row r="432" spans="1:11" x14ac:dyDescent="0.2">
      <c r="A432" s="45">
        <f t="shared" ca="1" si="26"/>
        <v>1.5890497761486992E-9</v>
      </c>
      <c r="B432" s="18">
        <f>-SUMIFS(Projetos!$F$2:$F$11,Projetos!$D$2:$D$11,"BRL",Projetos!$N$2:$N$11,Dados!$A432)</f>
        <v>0</v>
      </c>
      <c r="C432" s="45">
        <f ca="1">(A432+B432)*((Indicadores_Economicos!D$2+1)^(1/12)-1)</f>
        <v>5.2021354680722764E-12</v>
      </c>
      <c r="D432" s="18">
        <f>SUMIFS(Projetos!$G$2:$G$11,Projetos!$K$2:$K$11,"&lt;="&amp;Dados!$A432,Projetos!$N$2:$N$11,"&gt;"&amp;Dados!A432,Projetos!$D$2:$D$11,"BRL")</f>
        <v>0</v>
      </c>
      <c r="E432" s="18">
        <f t="shared" ca="1" si="24"/>
        <v>1.5942519116167714E-9</v>
      </c>
      <c r="G432" s="45">
        <f t="shared" ca="1" si="27"/>
        <v>1.2223459816528443E-9</v>
      </c>
      <c r="H432" s="18">
        <f>-SUMIFS(Projetos!$F$2:$F$11,Projetos!$D$2:$D$11,"USD",Projetos!$N$2:$N$11,Dados!$A432)</f>
        <v>0</v>
      </c>
      <c r="I432" s="45">
        <f ca="1">(G432+H432)*((Indicadores_Economicos!D$2+1)^(1/12)-1)</f>
        <v>4.0016426677479006E-12</v>
      </c>
      <c r="J432" s="18">
        <f>SUMIFS(Projetos!$G$2:$G$11,Projetos!$K$2:$K$11,"&lt;="&amp;Dados!$A432,Projetos!$N$2:$N$11,"&gt;"&amp;Dados!$A432,Projetos!$D$2:$D$11,"USD")</f>
        <v>0</v>
      </c>
      <c r="K432" s="18">
        <f t="shared" ca="1" si="25"/>
        <v>1.2263476243205922E-9</v>
      </c>
    </row>
    <row r="433" spans="1:11" x14ac:dyDescent="0.2">
      <c r="A433" s="45">
        <f t="shared" ca="1" si="26"/>
        <v>1.5942519116167714E-9</v>
      </c>
      <c r="B433" s="18">
        <f>-SUMIFS(Projetos!$F$2:$F$11,Projetos!$D$2:$D$11,"BRL",Projetos!$N$2:$N$11,Dados!$A433)</f>
        <v>0</v>
      </c>
      <c r="C433" s="45">
        <f ca="1">(A433+B433)*((Indicadores_Economicos!D$2+1)^(1/12)-1)</f>
        <v>5.219165905906492E-12</v>
      </c>
      <c r="D433" s="18">
        <f>SUMIFS(Projetos!$G$2:$G$11,Projetos!$K$2:$K$11,"&lt;="&amp;Dados!$A433,Projetos!$N$2:$N$11,"&gt;"&amp;Dados!A433,Projetos!$D$2:$D$11,"BRL")</f>
        <v>0</v>
      </c>
      <c r="E433" s="18">
        <f t="shared" ca="1" si="24"/>
        <v>1.5994710775226779E-9</v>
      </c>
      <c r="G433" s="45">
        <f t="shared" ca="1" si="27"/>
        <v>1.2263476243205922E-9</v>
      </c>
      <c r="H433" s="18">
        <f>-SUMIFS(Projetos!$F$2:$F$11,Projetos!$D$2:$D$11,"USD",Projetos!$N$2:$N$11,Dados!$A433)</f>
        <v>0</v>
      </c>
      <c r="I433" s="45">
        <f ca="1">(G433+H433)*((Indicadores_Economicos!D$2+1)^(1/12)-1)</f>
        <v>4.0147430045434515E-12</v>
      </c>
      <c r="J433" s="18">
        <f>SUMIFS(Projetos!$G$2:$G$11,Projetos!$K$2:$K$11,"&lt;="&amp;Dados!$A433,Projetos!$N$2:$N$11,"&gt;"&amp;Dados!$A433,Projetos!$D$2:$D$11,"USD")</f>
        <v>0</v>
      </c>
      <c r="K433" s="18">
        <f t="shared" ca="1" si="25"/>
        <v>1.2303623673251356E-9</v>
      </c>
    </row>
    <row r="434" spans="1:11" x14ac:dyDescent="0.2">
      <c r="A434" s="45">
        <f t="shared" ca="1" si="26"/>
        <v>1.5994710775226779E-9</v>
      </c>
      <c r="B434" s="18">
        <f>-SUMIFS(Projetos!$F$2:$F$11,Projetos!$D$2:$D$11,"BRL",Projetos!$N$2:$N$11,Dados!$A434)</f>
        <v>0</v>
      </c>
      <c r="C434" s="45">
        <f ca="1">(A434+B434)*((Indicadores_Economicos!D$2+1)^(1/12)-1)</f>
        <v>5.2362520969625549E-12</v>
      </c>
      <c r="D434" s="18">
        <f>SUMIFS(Projetos!$G$2:$G$11,Projetos!$K$2:$K$11,"&lt;="&amp;Dados!$A434,Projetos!$N$2:$N$11,"&gt;"&amp;Dados!A434,Projetos!$D$2:$D$11,"BRL")</f>
        <v>0</v>
      </c>
      <c r="E434" s="18">
        <f t="shared" ca="1" si="24"/>
        <v>1.6047073296196405E-9</v>
      </c>
      <c r="G434" s="45">
        <f t="shared" ca="1" si="27"/>
        <v>1.2303623673251356E-9</v>
      </c>
      <c r="H434" s="18">
        <f>-SUMIFS(Projetos!$F$2:$F$11,Projetos!$D$2:$D$11,"USD",Projetos!$N$2:$N$11,Dados!$A434)</f>
        <v>0</v>
      </c>
      <c r="I434" s="45">
        <f ca="1">(G434+H434)*((Indicadores_Economicos!D$2+1)^(1/12)-1)</f>
        <v>4.02788622843273E-12</v>
      </c>
      <c r="J434" s="18">
        <f>SUMIFS(Projetos!$G$2:$G$11,Projetos!$K$2:$K$11,"&lt;="&amp;Dados!$A434,Projetos!$N$2:$N$11,"&gt;"&amp;Dados!$A434,Projetos!$D$2:$D$11,"USD")</f>
        <v>0</v>
      </c>
      <c r="K434" s="18">
        <f t="shared" ca="1" si="25"/>
        <v>1.2343902535535683E-9</v>
      </c>
    </row>
    <row r="435" spans="1:11" x14ac:dyDescent="0.2">
      <c r="A435" s="45">
        <f t="shared" ca="1" si="26"/>
        <v>1.6047073296196405E-9</v>
      </c>
      <c r="B435" s="18">
        <f>-SUMIFS(Projetos!$F$2:$F$11,Projetos!$D$2:$D$11,"BRL",Projetos!$N$2:$N$11,Dados!$A435)</f>
        <v>0</v>
      </c>
      <c r="C435" s="45">
        <f ca="1">(A435+B435)*((Indicadores_Economicos!D$2+1)^(1/12)-1)</f>
        <v>5.2533942237620032E-12</v>
      </c>
      <c r="D435" s="18">
        <f>SUMIFS(Projetos!$G$2:$G$11,Projetos!$K$2:$K$11,"&lt;="&amp;Dados!$A435,Projetos!$N$2:$N$11,"&gt;"&amp;Dados!A435,Projetos!$D$2:$D$11,"BRL")</f>
        <v>0</v>
      </c>
      <c r="E435" s="18">
        <f t="shared" ca="1" si="24"/>
        <v>1.6099607238434025E-9</v>
      </c>
      <c r="G435" s="45">
        <f t="shared" ca="1" si="27"/>
        <v>1.2343902535535683E-9</v>
      </c>
      <c r="H435" s="18">
        <f>-SUMIFS(Projetos!$F$2:$F$11,Projetos!$D$2:$D$11,"USD",Projetos!$N$2:$N$11,Dados!$A435)</f>
        <v>0</v>
      </c>
      <c r="I435" s="45">
        <f ca="1">(G435+H435)*((Indicadores_Economicos!D$2+1)^(1/12)-1)</f>
        <v>4.0410724798169216E-12</v>
      </c>
      <c r="J435" s="18">
        <f>SUMIFS(Projetos!$G$2:$G$11,Projetos!$K$2:$K$11,"&lt;="&amp;Dados!$A435,Projetos!$N$2:$N$11,"&gt;"&amp;Dados!$A435,Projetos!$D$2:$D$11,"USD")</f>
        <v>0</v>
      </c>
      <c r="K435" s="18">
        <f t="shared" ca="1" si="25"/>
        <v>1.2384313260333852E-9</v>
      </c>
    </row>
    <row r="436" spans="1:11" x14ac:dyDescent="0.2">
      <c r="A436" s="45">
        <f t="shared" ca="1" si="26"/>
        <v>1.6099607238434025E-9</v>
      </c>
      <c r="B436" s="18">
        <f>-SUMIFS(Projetos!$F$2:$F$11,Projetos!$D$2:$D$11,"BRL",Projetos!$N$2:$N$11,Dados!$A436)</f>
        <v>0</v>
      </c>
      <c r="C436" s="45">
        <f ca="1">(A436+B436)*((Indicadores_Economicos!D$2+1)^(1/12)-1)</f>
        <v>5.2705924694239071E-12</v>
      </c>
      <c r="D436" s="18">
        <f>SUMIFS(Projetos!$G$2:$G$11,Projetos!$K$2:$K$11,"&lt;="&amp;Dados!$A436,Projetos!$N$2:$N$11,"&gt;"&amp;Dados!A436,Projetos!$D$2:$D$11,"BRL")</f>
        <v>0</v>
      </c>
      <c r="E436" s="18">
        <f t="shared" ca="1" si="24"/>
        <v>1.6152313163128264E-9</v>
      </c>
      <c r="G436" s="45">
        <f t="shared" ca="1" si="27"/>
        <v>1.2384313260333852E-9</v>
      </c>
      <c r="H436" s="18">
        <f>-SUMIFS(Projetos!$F$2:$F$11,Projetos!$D$2:$D$11,"USD",Projetos!$N$2:$N$11,Dados!$A436)</f>
        <v>0</v>
      </c>
      <c r="I436" s="45">
        <f ca="1">(G436+H436)*((Indicadores_Economicos!D$2+1)^(1/12)-1)</f>
        <v>4.054301899556847E-12</v>
      </c>
      <c r="J436" s="18">
        <f>SUMIFS(Projetos!$G$2:$G$11,Projetos!$K$2:$K$11,"&lt;="&amp;Dados!$A436,Projetos!$N$2:$N$11,"&gt;"&amp;Dados!$A436,Projetos!$D$2:$D$11,"USD")</f>
        <v>0</v>
      </c>
      <c r="K436" s="18">
        <f t="shared" ca="1" si="25"/>
        <v>1.2424856279329421E-9</v>
      </c>
    </row>
    <row r="437" spans="1:11" x14ac:dyDescent="0.2">
      <c r="A437" s="45">
        <f t="shared" ca="1" si="26"/>
        <v>1.6152313163128264E-9</v>
      </c>
      <c r="B437" s="18">
        <f>-SUMIFS(Projetos!$F$2:$F$11,Projetos!$D$2:$D$11,"BRL",Projetos!$N$2:$N$11,Dados!$A437)</f>
        <v>0</v>
      </c>
      <c r="C437" s="45">
        <f ca="1">(A437+B437)*((Indicadores_Economicos!D$2+1)^(1/12)-1)</f>
        <v>5.2878470176668183E-12</v>
      </c>
      <c r="D437" s="18">
        <f>SUMIFS(Projetos!$G$2:$G$11,Projetos!$K$2:$K$11,"&lt;="&amp;Dados!$A437,Projetos!$N$2:$N$11,"&gt;"&amp;Dados!A437,Projetos!$D$2:$D$11,"BRL")</f>
        <v>0</v>
      </c>
      <c r="E437" s="18">
        <f t="shared" ca="1" si="24"/>
        <v>1.6205191633304933E-9</v>
      </c>
      <c r="G437" s="45">
        <f t="shared" ca="1" si="27"/>
        <v>1.2424856279329421E-9</v>
      </c>
      <c r="H437" s="18">
        <f>-SUMIFS(Projetos!$F$2:$F$11,Projetos!$D$2:$D$11,"USD",Projetos!$N$2:$N$11,Dados!$A437)</f>
        <v>0</v>
      </c>
      <c r="I437" s="45">
        <f ca="1">(G437+H437)*((Indicadores_Economicos!D$2+1)^(1/12)-1)</f>
        <v>4.0675746289744712E-12</v>
      </c>
      <c r="J437" s="18">
        <f>SUMIFS(Projetos!$G$2:$G$11,Projetos!$K$2:$K$11,"&lt;="&amp;Dados!$A437,Projetos!$N$2:$N$11,"&gt;"&amp;Dados!$A437,Projetos!$D$2:$D$11,"USD")</f>
        <v>0</v>
      </c>
      <c r="K437" s="18">
        <f t="shared" ca="1" si="25"/>
        <v>1.2465532025619167E-9</v>
      </c>
    </row>
    <row r="438" spans="1:11" x14ac:dyDescent="0.2">
      <c r="A438" s="45">
        <f t="shared" ca="1" si="26"/>
        <v>1.6205191633304933E-9</v>
      </c>
      <c r="B438" s="18">
        <f>-SUMIFS(Projetos!$F$2:$F$11,Projetos!$D$2:$D$11,"BRL",Projetos!$N$2:$N$11,Dados!$A438)</f>
        <v>0</v>
      </c>
      <c r="C438" s="45">
        <f ca="1">(A438+B438)*((Indicadores_Economicos!D$2+1)^(1/12)-1)</f>
        <v>5.305158052810736E-12</v>
      </c>
      <c r="D438" s="18">
        <f>SUMIFS(Projetos!$G$2:$G$11,Projetos!$K$2:$K$11,"&lt;="&amp;Dados!$A438,Projetos!$N$2:$N$11,"&gt;"&amp;Dados!A438,Projetos!$D$2:$D$11,"BRL")</f>
        <v>0</v>
      </c>
      <c r="E438" s="18">
        <f t="shared" ca="1" si="24"/>
        <v>1.6258243213833039E-9</v>
      </c>
      <c r="G438" s="45">
        <f t="shared" ca="1" si="27"/>
        <v>1.2465532025619167E-9</v>
      </c>
      <c r="H438" s="18">
        <f>-SUMIFS(Projetos!$F$2:$F$11,Projetos!$D$2:$D$11,"USD",Projetos!$N$2:$N$11,Dados!$A438)</f>
        <v>0</v>
      </c>
      <c r="I438" s="45">
        <f ca="1">(G438+H438)*((Indicadores_Economicos!D$2+1)^(1/12)-1)</f>
        <v>4.0808908098544087E-12</v>
      </c>
      <c r="J438" s="18">
        <f>SUMIFS(Projetos!$G$2:$G$11,Projetos!$K$2:$K$11,"&lt;="&amp;Dados!$A438,Projetos!$N$2:$N$11,"&gt;"&amp;Dados!$A438,Projetos!$D$2:$D$11,"USD")</f>
        <v>0</v>
      </c>
      <c r="K438" s="18">
        <f t="shared" ca="1" si="25"/>
        <v>1.2506340933717711E-9</v>
      </c>
    </row>
    <row r="439" spans="1:11" x14ac:dyDescent="0.2">
      <c r="A439" s="45">
        <f t="shared" ca="1" si="26"/>
        <v>1.6258243213833039E-9</v>
      </c>
      <c r="B439" s="18">
        <f>-SUMIFS(Projetos!$F$2:$F$11,Projetos!$D$2:$D$11,"BRL",Projetos!$N$2:$N$11,Dados!$A439)</f>
        <v>0</v>
      </c>
      <c r="C439" s="45">
        <f ca="1">(A439+B439)*((Indicadores_Economicos!D$2+1)^(1/12)-1)</f>
        <v>5.3225257597790753E-12</v>
      </c>
      <c r="D439" s="18">
        <f>SUMIFS(Projetos!$G$2:$G$11,Projetos!$K$2:$K$11,"&lt;="&amp;Dados!$A439,Projetos!$N$2:$N$11,"&gt;"&amp;Dados!A439,Projetos!$D$2:$D$11,"BRL")</f>
        <v>0</v>
      </c>
      <c r="E439" s="18">
        <f t="shared" ca="1" si="24"/>
        <v>1.6311468471430831E-9</v>
      </c>
      <c r="G439" s="45">
        <f t="shared" ca="1" si="27"/>
        <v>1.2506340933717711E-9</v>
      </c>
      <c r="H439" s="18">
        <f>-SUMIFS(Projetos!$F$2:$F$11,Projetos!$D$2:$D$11,"USD",Projetos!$N$2:$N$11,Dados!$A439)</f>
        <v>0</v>
      </c>
      <c r="I439" s="45">
        <f ca="1">(G439+H439)*((Indicadores_Economicos!D$2+1)^(1/12)-1)</f>
        <v>4.0942505844454383E-12</v>
      </c>
      <c r="J439" s="18">
        <f>SUMIFS(Projetos!$G$2:$G$11,Projetos!$K$2:$K$11,"&lt;="&amp;Dados!$A439,Projetos!$N$2:$N$11,"&gt;"&amp;Dados!$A439,Projetos!$D$2:$D$11,"USD")</f>
        <v>0</v>
      </c>
      <c r="K439" s="18">
        <f t="shared" ca="1" si="25"/>
        <v>1.2547283439562166E-9</v>
      </c>
    </row>
    <row r="440" spans="1:11" x14ac:dyDescent="0.2">
      <c r="A440" s="45">
        <f t="shared" ca="1" si="26"/>
        <v>1.6311468471430831E-9</v>
      </c>
      <c r="B440" s="18">
        <f>-SUMIFS(Projetos!$F$2:$F$11,Projetos!$D$2:$D$11,"BRL",Projetos!$N$2:$N$11,Dados!$A440)</f>
        <v>0</v>
      </c>
      <c r="C440" s="45">
        <f ca="1">(A440+B440)*((Indicadores_Economicos!D$2+1)^(1/12)-1)</f>
        <v>5.3399503241006429E-12</v>
      </c>
      <c r="D440" s="18">
        <f>SUMIFS(Projetos!$G$2:$G$11,Projetos!$K$2:$K$11,"&lt;="&amp;Dados!$A440,Projetos!$N$2:$N$11,"&gt;"&amp;Dados!A440,Projetos!$D$2:$D$11,"BRL")</f>
        <v>0</v>
      </c>
      <c r="E440" s="18">
        <f t="shared" ca="1" si="24"/>
        <v>1.6364867974671837E-9</v>
      </c>
      <c r="G440" s="45">
        <f t="shared" ca="1" si="27"/>
        <v>1.2547283439562166E-9</v>
      </c>
      <c r="H440" s="18">
        <f>-SUMIFS(Projetos!$F$2:$F$11,Projetos!$D$2:$D$11,"USD",Projetos!$N$2:$N$11,Dados!$A440)</f>
        <v>0</v>
      </c>
      <c r="I440" s="45">
        <f ca="1">(G440+H440)*((Indicadores_Economicos!D$2+1)^(1/12)-1)</f>
        <v>4.1076540954620295E-12</v>
      </c>
      <c r="J440" s="18">
        <f>SUMIFS(Projetos!$G$2:$G$11,Projetos!$K$2:$K$11,"&lt;="&amp;Dados!$A440,Projetos!$N$2:$N$11,"&gt;"&amp;Dados!$A440,Projetos!$D$2:$D$11,"USD")</f>
        <v>0</v>
      </c>
      <c r="K440" s="18">
        <f t="shared" ca="1" si="25"/>
        <v>1.2588359980516786E-9</v>
      </c>
    </row>
    <row r="441" spans="1:11" x14ac:dyDescent="0.2">
      <c r="A441" s="45">
        <f t="shared" ca="1" si="26"/>
        <v>1.6364867974671837E-9</v>
      </c>
      <c r="B441" s="18">
        <f>-SUMIFS(Projetos!$F$2:$F$11,Projetos!$D$2:$D$11,"BRL",Projetos!$N$2:$N$11,Dados!$A441)</f>
        <v>0</v>
      </c>
      <c r="C441" s="45">
        <f ca="1">(A441+B441)*((Indicadores_Economicos!D$2+1)^(1/12)-1)</f>
        <v>5.3574319319116171E-12</v>
      </c>
      <c r="D441" s="18">
        <f>SUMIFS(Projetos!$G$2:$G$11,Projetos!$K$2:$K$11,"&lt;="&amp;Dados!$A441,Projetos!$N$2:$N$11,"&gt;"&amp;Dados!A441,Projetos!$D$2:$D$11,"BRL")</f>
        <v>0</v>
      </c>
      <c r="E441" s="18">
        <f t="shared" ca="1" si="24"/>
        <v>1.6418442293990953E-9</v>
      </c>
      <c r="G441" s="45">
        <f t="shared" ca="1" si="27"/>
        <v>1.2588359980516786E-9</v>
      </c>
      <c r="H441" s="18">
        <f>-SUMIFS(Projetos!$F$2:$F$11,Projetos!$D$2:$D$11,"USD",Projetos!$N$2:$N$11,Dados!$A441)</f>
        <v>0</v>
      </c>
      <c r="I441" s="45">
        <f ca="1">(G441+H441)*((Indicadores_Economicos!D$2+1)^(1/12)-1)</f>
        <v>4.1211014860858555E-12</v>
      </c>
      <c r="J441" s="18">
        <f>SUMIFS(Projetos!$G$2:$G$11,Projetos!$K$2:$K$11,"&lt;="&amp;Dados!$A441,Projetos!$N$2:$N$11,"&gt;"&amp;Dados!$A441,Projetos!$D$2:$D$11,"USD")</f>
        <v>0</v>
      </c>
      <c r="K441" s="18">
        <f t="shared" ca="1" si="25"/>
        <v>1.2629570995377645E-9</v>
      </c>
    </row>
    <row r="442" spans="1:11" x14ac:dyDescent="0.2">
      <c r="A442" s="45">
        <f t="shared" ca="1" si="26"/>
        <v>1.6418442293990953E-9</v>
      </c>
      <c r="B442" s="18">
        <f>-SUMIFS(Projetos!$F$2:$F$11,Projetos!$D$2:$D$11,"BRL",Projetos!$N$2:$N$11,Dados!$A442)</f>
        <v>0</v>
      </c>
      <c r="C442" s="45">
        <f ca="1">(A442+B442)*((Indicadores_Economicos!D$2+1)^(1/12)-1)</f>
        <v>5.3749707699575386E-12</v>
      </c>
      <c r="D442" s="18">
        <f>SUMIFS(Projetos!$G$2:$G$11,Projetos!$K$2:$K$11,"&lt;="&amp;Dados!$A442,Projetos!$N$2:$N$11,"&gt;"&amp;Dados!A442,Projetos!$D$2:$D$11,"BRL")</f>
        <v>0</v>
      </c>
      <c r="E442" s="18">
        <f t="shared" ca="1" si="24"/>
        <v>1.6472192001690527E-9</v>
      </c>
      <c r="G442" s="45">
        <f t="shared" ca="1" si="27"/>
        <v>1.2629570995377645E-9</v>
      </c>
      <c r="H442" s="18">
        <f>-SUMIFS(Projetos!$F$2:$F$11,Projetos!$D$2:$D$11,"USD",Projetos!$N$2:$N$11,Dados!$A442)</f>
        <v>0</v>
      </c>
      <c r="I442" s="45">
        <f ca="1">(G442+H442)*((Indicadores_Economicos!D$2+1)^(1/12)-1)</f>
        <v>4.1345928999673342E-12</v>
      </c>
      <c r="J442" s="18">
        <f>SUMIFS(Projetos!$G$2:$G$11,Projetos!$K$2:$K$11,"&lt;="&amp;Dados!$A442,Projetos!$N$2:$N$11,"&gt;"&amp;Dados!$A442,Projetos!$D$2:$D$11,"USD")</f>
        <v>0</v>
      </c>
      <c r="K442" s="18">
        <f t="shared" ca="1" si="25"/>
        <v>1.2670916924377318E-9</v>
      </c>
    </row>
    <row r="443" spans="1:11" x14ac:dyDescent="0.2">
      <c r="A443" s="45">
        <f t="shared" ca="1" si="26"/>
        <v>1.6472192001690527E-9</v>
      </c>
      <c r="B443" s="18">
        <f>-SUMIFS(Projetos!$F$2:$F$11,Projetos!$D$2:$D$11,"BRL",Projetos!$N$2:$N$11,Dados!$A443)</f>
        <v>0</v>
      </c>
      <c r="C443" s="45">
        <f ca="1">(A443+B443)*((Indicadores_Economicos!D$2+1)^(1/12)-1)</f>
        <v>5.3925670255953049E-12</v>
      </c>
      <c r="D443" s="18">
        <f>SUMIFS(Projetos!$G$2:$G$11,Projetos!$K$2:$K$11,"&lt;="&amp;Dados!$A443,Projetos!$N$2:$N$11,"&gt;"&amp;Dados!A443,Projetos!$D$2:$D$11,"BRL")</f>
        <v>0</v>
      </c>
      <c r="E443" s="18">
        <f t="shared" ca="1" si="24"/>
        <v>1.6526117671946481E-9</v>
      </c>
      <c r="G443" s="45">
        <f t="shared" ca="1" si="27"/>
        <v>1.2670916924377318E-9</v>
      </c>
      <c r="H443" s="18">
        <f>-SUMIFS(Projetos!$F$2:$F$11,Projetos!$D$2:$D$11,"USD",Projetos!$N$2:$N$11,Dados!$A443)</f>
        <v>0</v>
      </c>
      <c r="I443" s="45">
        <f ca="1">(G443+H443)*((Indicadores_Economicos!D$2+1)^(1/12)-1)</f>
        <v>4.1481284812271541E-12</v>
      </c>
      <c r="J443" s="18">
        <f>SUMIFS(Projetos!$G$2:$G$11,Projetos!$K$2:$K$11,"&lt;="&amp;Dados!$A443,Projetos!$N$2:$N$11,"&gt;"&amp;Dados!$A443,Projetos!$D$2:$D$11,"USD")</f>
        <v>0</v>
      </c>
      <c r="K443" s="18">
        <f t="shared" ca="1" si="25"/>
        <v>1.2712398209189589E-9</v>
      </c>
    </row>
    <row r="444" spans="1:11" x14ac:dyDescent="0.2">
      <c r="A444" s="45">
        <f t="shared" ca="1" si="26"/>
        <v>1.6526117671946481E-9</v>
      </c>
      <c r="B444" s="18">
        <f>-SUMIFS(Projetos!$F$2:$F$11,Projetos!$D$2:$D$11,"BRL",Projetos!$N$2:$N$11,Dados!$A444)</f>
        <v>0</v>
      </c>
      <c r="C444" s="45">
        <f ca="1">(A444+B444)*((Indicadores_Economicos!D$2+1)^(1/12)-1)</f>
        <v>5.4102208867951703E-12</v>
      </c>
      <c r="D444" s="18">
        <f>SUMIFS(Projetos!$G$2:$G$11,Projetos!$K$2:$K$11,"&lt;="&amp;Dados!$A444,Projetos!$N$2:$N$11,"&gt;"&amp;Dados!A444,Projetos!$D$2:$D$11,"BRL")</f>
        <v>0</v>
      </c>
      <c r="E444" s="18">
        <f t="shared" ca="1" si="24"/>
        <v>1.6580219880814433E-9</v>
      </c>
      <c r="G444" s="45">
        <f t="shared" ca="1" si="27"/>
        <v>1.2712398209189589E-9</v>
      </c>
      <c r="H444" s="18">
        <f>-SUMIFS(Projetos!$F$2:$F$11,Projetos!$D$2:$D$11,"USD",Projetos!$N$2:$N$11,Dados!$A444)</f>
        <v>0</v>
      </c>
      <c r="I444" s="45">
        <f ca="1">(G444+H444)*((Indicadores_Economicos!D$2+1)^(1/12)-1)</f>
        <v>4.1617083744578194E-12</v>
      </c>
      <c r="J444" s="18">
        <f>SUMIFS(Projetos!$G$2:$G$11,Projetos!$K$2:$K$11,"&lt;="&amp;Dados!$A444,Projetos!$N$2:$N$11,"&gt;"&amp;Dados!$A444,Projetos!$D$2:$D$11,"USD")</f>
        <v>0</v>
      </c>
      <c r="K444" s="18">
        <f t="shared" ca="1" si="25"/>
        <v>1.2754015292934167E-9</v>
      </c>
    </row>
    <row r="445" spans="1:11" x14ac:dyDescent="0.2">
      <c r="A445" s="45">
        <f t="shared" ca="1" si="26"/>
        <v>1.6580219880814433E-9</v>
      </c>
      <c r="B445" s="18">
        <f>-SUMIFS(Projetos!$F$2:$F$11,Projetos!$D$2:$D$11,"BRL",Projetos!$N$2:$N$11,Dados!$A445)</f>
        <v>0</v>
      </c>
      <c r="C445" s="45">
        <f ca="1">(A445+B445)*((Indicadores_Economicos!D$2+1)^(1/12)-1)</f>
        <v>5.4279325421427557E-12</v>
      </c>
      <c r="D445" s="18">
        <f>SUMIFS(Projetos!$G$2:$G$11,Projetos!$K$2:$K$11,"&lt;="&amp;Dados!$A445,Projetos!$N$2:$N$11,"&gt;"&amp;Dados!A445,Projetos!$D$2:$D$11,"BRL")</f>
        <v>0</v>
      </c>
      <c r="E445" s="18">
        <f t="shared" ca="1" si="24"/>
        <v>1.663449920623586E-9</v>
      </c>
      <c r="G445" s="45">
        <f t="shared" ca="1" si="27"/>
        <v>1.2754015292934167E-9</v>
      </c>
      <c r="H445" s="18">
        <f>-SUMIFS(Projetos!$F$2:$F$11,Projetos!$D$2:$D$11,"USD",Projetos!$N$2:$N$11,Dados!$A445)</f>
        <v>0</v>
      </c>
      <c r="I445" s="45">
        <f ca="1">(G445+H445)*((Indicadores_Economicos!D$2+1)^(1/12)-1)</f>
        <v>4.1753327247251928E-12</v>
      </c>
      <c r="J445" s="18">
        <f>SUMIFS(Projetos!$G$2:$G$11,Projetos!$K$2:$K$11,"&lt;="&amp;Dados!$A445,Projetos!$N$2:$N$11,"&gt;"&amp;Dados!$A445,Projetos!$D$2:$D$11,"USD")</f>
        <v>0</v>
      </c>
      <c r="K445" s="18">
        <f t="shared" ca="1" si="25"/>
        <v>1.2795768620181419E-9</v>
      </c>
    </row>
    <row r="446" spans="1:11" x14ac:dyDescent="0.2">
      <c r="A446" s="45">
        <f t="shared" ca="1" si="26"/>
        <v>1.663449920623586E-9</v>
      </c>
      <c r="B446" s="18">
        <f>-SUMIFS(Projetos!$F$2:$F$11,Projetos!$D$2:$D$11,"BRL",Projetos!$N$2:$N$11,Dados!$A446)</f>
        <v>0</v>
      </c>
      <c r="C446" s="45">
        <f ca="1">(A446+B446)*((Indicadores_Economicos!D$2+1)^(1/12)-1)</f>
        <v>5.4457021808410601E-12</v>
      </c>
      <c r="D446" s="18">
        <f>SUMIFS(Projetos!$G$2:$G$11,Projetos!$K$2:$K$11,"&lt;="&amp;Dados!$A446,Projetos!$N$2:$N$11,"&gt;"&amp;Dados!A446,Projetos!$D$2:$D$11,"BRL")</f>
        <v>0</v>
      </c>
      <c r="E446" s="18">
        <f t="shared" ca="1" si="24"/>
        <v>1.6688956228044271E-9</v>
      </c>
      <c r="G446" s="45">
        <f t="shared" ca="1" si="27"/>
        <v>1.2795768620181419E-9</v>
      </c>
      <c r="H446" s="18">
        <f>-SUMIFS(Projetos!$F$2:$F$11,Projetos!$D$2:$D$11,"USD",Projetos!$N$2:$N$11,Dados!$A446)</f>
        <v>0</v>
      </c>
      <c r="I446" s="45">
        <f ca="1">(G446+H446)*((Indicadores_Economicos!D$2+1)^(1/12)-1)</f>
        <v>4.1890016775700423E-12</v>
      </c>
      <c r="J446" s="18">
        <f>SUMIFS(Projetos!$G$2:$G$11,Projetos!$K$2:$K$11,"&lt;="&amp;Dados!$A446,Projetos!$N$2:$N$11,"&gt;"&amp;Dados!$A446,Projetos!$D$2:$D$11,"USD")</f>
        <v>0</v>
      </c>
      <c r="K446" s="18">
        <f t="shared" ca="1" si="25"/>
        <v>1.283765863695712E-9</v>
      </c>
    </row>
    <row r="447" spans="1:11" x14ac:dyDescent="0.2">
      <c r="A447" s="45">
        <f t="shared" ca="1" si="26"/>
        <v>1.6688956228044271E-9</v>
      </c>
      <c r="B447" s="18">
        <f>-SUMIFS(Projetos!$F$2:$F$11,Projetos!$D$2:$D$11,"BRL",Projetos!$N$2:$N$11,Dados!$A447)</f>
        <v>0</v>
      </c>
      <c r="C447" s="45">
        <f ca="1">(A447+B447)*((Indicadores_Economicos!D$2+1)^(1/12)-1)</f>
        <v>5.4635299927124865E-12</v>
      </c>
      <c r="D447" s="18">
        <f>SUMIFS(Projetos!$G$2:$G$11,Projetos!$K$2:$K$11,"&lt;="&amp;Dados!$A447,Projetos!$N$2:$N$11,"&gt;"&amp;Dados!A447,Projetos!$D$2:$D$11,"BRL")</f>
        <v>0</v>
      </c>
      <c r="E447" s="18">
        <f t="shared" ca="1" si="24"/>
        <v>1.6743591527971395E-9</v>
      </c>
      <c r="G447" s="45">
        <f t="shared" ca="1" si="27"/>
        <v>1.283765863695712E-9</v>
      </c>
      <c r="H447" s="18">
        <f>-SUMIFS(Projetos!$F$2:$F$11,Projetos!$D$2:$D$11,"USD",Projetos!$N$2:$N$11,Dados!$A447)</f>
        <v>0</v>
      </c>
      <c r="I447" s="45">
        <f ca="1">(G447+H447)*((Indicadores_Economicos!D$2+1)^(1/12)-1)</f>
        <v>4.2027153790096016E-12</v>
      </c>
      <c r="J447" s="18">
        <f>SUMIFS(Projetos!$G$2:$G$11,Projetos!$K$2:$K$11,"&lt;="&amp;Dados!$A447,Projetos!$N$2:$N$11,"&gt;"&amp;Dados!$A447,Projetos!$D$2:$D$11,"USD")</f>
        <v>0</v>
      </c>
      <c r="K447" s="18">
        <f t="shared" ca="1" si="25"/>
        <v>1.2879685790747217E-9</v>
      </c>
    </row>
    <row r="448" spans="1:11" x14ac:dyDescent="0.2">
      <c r="A448" s="45">
        <f t="shared" ca="1" si="26"/>
        <v>1.6743591527971395E-9</v>
      </c>
      <c r="B448" s="18">
        <f>-SUMIFS(Projetos!$F$2:$F$11,Projetos!$D$2:$D$11,"BRL",Projetos!$N$2:$N$11,Dados!$A448)</f>
        <v>0</v>
      </c>
      <c r="C448" s="45">
        <f ca="1">(A448+B448)*((Indicadores_Economicos!D$2+1)^(1/12)-1)</f>
        <v>5.4814161682008663E-12</v>
      </c>
      <c r="D448" s="18">
        <f>SUMIFS(Projetos!$G$2:$G$11,Projetos!$K$2:$K$11,"&lt;="&amp;Dados!$A448,Projetos!$N$2:$N$11,"&gt;"&amp;Dados!A448,Projetos!$D$2:$D$11,"BRL")</f>
        <v>0</v>
      </c>
      <c r="E448" s="18">
        <f t="shared" ca="1" si="24"/>
        <v>1.6798405689653403E-9</v>
      </c>
      <c r="G448" s="45">
        <f t="shared" ca="1" si="27"/>
        <v>1.2879685790747217E-9</v>
      </c>
      <c r="H448" s="18">
        <f>-SUMIFS(Projetos!$F$2:$F$11,Projetos!$D$2:$D$11,"USD",Projetos!$N$2:$N$11,Dados!$A448)</f>
        <v>0</v>
      </c>
      <c r="I448" s="45">
        <f ca="1">(G448+H448)*((Indicadores_Economicos!D$2+1)^(1/12)-1)</f>
        <v>4.216473975539125E-12</v>
      </c>
      <c r="J448" s="18">
        <f>SUMIFS(Projetos!$G$2:$G$11,Projetos!$K$2:$K$11,"&lt;="&amp;Dados!$A448,Projetos!$N$2:$N$11,"&gt;"&amp;Dados!$A448,Projetos!$D$2:$D$11,"USD")</f>
        <v>0</v>
      </c>
      <c r="K448" s="18">
        <f t="shared" ca="1" si="25"/>
        <v>1.2921850530502609E-9</v>
      </c>
    </row>
    <row r="449" spans="1:11" x14ac:dyDescent="0.2">
      <c r="A449" s="45">
        <f t="shared" ca="1" si="26"/>
        <v>1.6798405689653403E-9</v>
      </c>
      <c r="B449" s="18">
        <f>-SUMIFS(Projetos!$F$2:$F$11,Projetos!$D$2:$D$11,"BRL",Projetos!$N$2:$N$11,Dados!$A449)</f>
        <v>0</v>
      </c>
      <c r="C449" s="45">
        <f ca="1">(A449+B449)*((Indicadores_Economicos!D$2+1)^(1/12)-1)</f>
        <v>5.4993608983734937E-12</v>
      </c>
      <c r="D449" s="18">
        <f>SUMIFS(Projetos!$G$2:$G$11,Projetos!$K$2:$K$11,"&lt;="&amp;Dados!$A449,Projetos!$N$2:$N$11,"&gt;"&amp;Dados!A449,Projetos!$D$2:$D$11,"BRL")</f>
        <v>0</v>
      </c>
      <c r="E449" s="18">
        <f t="shared" ca="1" si="24"/>
        <v>1.6853399298637137E-9</v>
      </c>
      <c r="G449" s="45">
        <f t="shared" ca="1" si="27"/>
        <v>1.2921850530502609E-9</v>
      </c>
      <c r="H449" s="18">
        <f>-SUMIFS(Projetos!$F$2:$F$11,Projetos!$D$2:$D$11,"USD",Projetos!$N$2:$N$11,Dados!$A449)</f>
        <v>0</v>
      </c>
      <c r="I449" s="45">
        <f ca="1">(G449+H449)*((Indicadores_Economicos!D$2+1)^(1/12)-1)</f>
        <v>4.2302776141334542E-12</v>
      </c>
      <c r="J449" s="18">
        <f>SUMIFS(Projetos!$G$2:$G$11,Projetos!$K$2:$K$11,"&lt;="&amp;Dados!$A449,Projetos!$N$2:$N$11,"&gt;"&amp;Dados!$A449,Projetos!$D$2:$D$11,"USD")</f>
        <v>0</v>
      </c>
      <c r="K449" s="18">
        <f t="shared" ca="1" si="25"/>
        <v>1.2964153306643944E-9</v>
      </c>
    </row>
    <row r="450" spans="1:11" x14ac:dyDescent="0.2">
      <c r="A450" s="45">
        <f t="shared" ca="1" si="26"/>
        <v>1.6853399298637137E-9</v>
      </c>
      <c r="B450" s="18">
        <f>-SUMIFS(Projetos!$F$2:$F$11,Projetos!$D$2:$D$11,"BRL",Projetos!$N$2:$N$11,Dados!$A450)</f>
        <v>0</v>
      </c>
      <c r="C450" s="45">
        <f ca="1">(A450+B450)*((Indicadores_Economicos!D$2+1)^(1/12)-1)</f>
        <v>5.5173643749231679E-12</v>
      </c>
      <c r="D450" s="18">
        <f>SUMIFS(Projetos!$G$2:$G$11,Projetos!$K$2:$K$11,"&lt;="&amp;Dados!$A450,Projetos!$N$2:$N$11,"&gt;"&amp;Dados!A450,Projetos!$D$2:$D$11,"BRL")</f>
        <v>0</v>
      </c>
      <c r="E450" s="18">
        <f t="shared" ref="E450:E513" ca="1" si="28">A450+B450+C450+D450</f>
        <v>1.6908572942386368E-9</v>
      </c>
      <c r="G450" s="45">
        <f t="shared" ca="1" si="27"/>
        <v>1.2964153306643944E-9</v>
      </c>
      <c r="H450" s="18">
        <f>-SUMIFS(Projetos!$F$2:$F$11,Projetos!$D$2:$D$11,"USD",Projetos!$N$2:$N$11,Dados!$A450)</f>
        <v>0</v>
      </c>
      <c r="I450" s="45">
        <f ca="1">(G450+H450)*((Indicadores_Economicos!D$2+1)^(1/12)-1)</f>
        <v>4.2441264422485886E-12</v>
      </c>
      <c r="J450" s="18">
        <f>SUMIFS(Projetos!$G$2:$G$11,Projetos!$K$2:$K$11,"&lt;="&amp;Dados!$A450,Projetos!$N$2:$N$11,"&gt;"&amp;Dados!$A450,Projetos!$D$2:$D$11,"USD")</f>
        <v>0</v>
      </c>
      <c r="K450" s="18">
        <f t="shared" ref="K450:K513" ca="1" si="29">G450+H450+I450+J450</f>
        <v>1.300659457106643E-9</v>
      </c>
    </row>
    <row r="451" spans="1:11" x14ac:dyDescent="0.2">
      <c r="A451" s="45">
        <f t="shared" ca="1" si="26"/>
        <v>1.6908572942386368E-9</v>
      </c>
      <c r="B451" s="18">
        <f>-SUMIFS(Projetos!$F$2:$F$11,Projetos!$D$2:$D$11,"BRL",Projetos!$N$2:$N$11,Dados!$A451)</f>
        <v>0</v>
      </c>
      <c r="C451" s="45">
        <f ca="1">(A451+B451)*((Indicadores_Economicos!D$2+1)^(1/12)-1)</f>
        <v>5.5354267901702405E-12</v>
      </c>
      <c r="D451" s="18">
        <f>SUMIFS(Projetos!$G$2:$G$11,Projetos!$K$2:$K$11,"&lt;="&amp;Dados!$A451,Projetos!$N$2:$N$11,"&gt;"&amp;Dados!A451,Projetos!$D$2:$D$11,"BRL")</f>
        <v>0</v>
      </c>
      <c r="E451" s="18">
        <f t="shared" ca="1" si="28"/>
        <v>1.696392721028807E-9</v>
      </c>
      <c r="G451" s="45">
        <f t="shared" ca="1" si="27"/>
        <v>1.300659457106643E-9</v>
      </c>
      <c r="H451" s="18">
        <f>-SUMIFS(Projetos!$F$2:$F$11,Projetos!$D$2:$D$11,"USD",Projetos!$N$2:$N$11,Dados!$A451)</f>
        <v>0</v>
      </c>
      <c r="I451" s="45">
        <f ca="1">(G451+H451)*((Indicadores_Economicos!D$2+1)^(1/12)-1)</f>
        <v>4.2580206078232598E-12</v>
      </c>
      <c r="J451" s="18">
        <f>SUMIFS(Projetos!$G$2:$G$11,Projetos!$K$2:$K$11,"&lt;="&amp;Dados!$A451,Projetos!$N$2:$N$11,"&gt;"&amp;Dados!$A451,Projetos!$D$2:$D$11,"USD")</f>
        <v>0</v>
      </c>
      <c r="K451" s="18">
        <f t="shared" ca="1" si="29"/>
        <v>1.3049174777144663E-9</v>
      </c>
    </row>
    <row r="452" spans="1:11" x14ac:dyDescent="0.2">
      <c r="A452" s="45">
        <f t="shared" ref="A452:A515" ca="1" si="30">E451</f>
        <v>1.696392721028807E-9</v>
      </c>
      <c r="B452" s="18">
        <f>-SUMIFS(Projetos!$F$2:$F$11,Projetos!$D$2:$D$11,"BRL",Projetos!$N$2:$N$11,Dados!$A452)</f>
        <v>0</v>
      </c>
      <c r="C452" s="45">
        <f ca="1">(A452+B452)*((Indicadores_Economicos!D$2+1)^(1/12)-1)</f>
        <v>5.5535483370646709E-12</v>
      </c>
      <c r="D452" s="18">
        <f>SUMIFS(Projetos!$G$2:$G$11,Projetos!$K$2:$K$11,"&lt;="&amp;Dados!$A452,Projetos!$N$2:$N$11,"&gt;"&amp;Dados!A452,Projetos!$D$2:$D$11,"BRL")</f>
        <v>0</v>
      </c>
      <c r="E452" s="18">
        <f t="shared" ca="1" si="28"/>
        <v>1.7019462693658716E-9</v>
      </c>
      <c r="G452" s="45">
        <f t="shared" ref="G452:G515" ca="1" si="31">K451</f>
        <v>1.3049174777144663E-9</v>
      </c>
      <c r="H452" s="18">
        <f>-SUMIFS(Projetos!$F$2:$F$11,Projetos!$D$2:$D$11,"USD",Projetos!$N$2:$N$11,Dados!$A452)</f>
        <v>0</v>
      </c>
      <c r="I452" s="45">
        <f ca="1">(G452+H452)*((Indicadores_Economicos!D$2+1)^(1/12)-1)</f>
        <v>4.2719602592805133E-12</v>
      </c>
      <c r="J452" s="18">
        <f>SUMIFS(Projetos!$G$2:$G$11,Projetos!$K$2:$K$11,"&lt;="&amp;Dados!$A452,Projetos!$N$2:$N$11,"&gt;"&amp;Dados!$A452,Projetos!$D$2:$D$11,"USD")</f>
        <v>0</v>
      </c>
      <c r="K452" s="18">
        <f t="shared" ca="1" si="29"/>
        <v>1.3091894379737467E-9</v>
      </c>
    </row>
    <row r="453" spans="1:11" x14ac:dyDescent="0.2">
      <c r="A453" s="45">
        <f t="shared" ca="1" si="30"/>
        <v>1.7019462693658716E-9</v>
      </c>
      <c r="B453" s="18">
        <f>-SUMIFS(Projetos!$F$2:$F$11,Projetos!$D$2:$D$11,"BRL",Projetos!$N$2:$N$11,Dados!$A453)</f>
        <v>0</v>
      </c>
      <c r="C453" s="45">
        <f ca="1">(A453+B453)*((Indicadores_Economicos!D$2+1)^(1/12)-1)</f>
        <v>5.5717292091880836E-12</v>
      </c>
      <c r="D453" s="18">
        <f>SUMIFS(Projetos!$G$2:$G$11,Projetos!$K$2:$K$11,"&lt;="&amp;Dados!$A453,Projetos!$N$2:$N$11,"&gt;"&amp;Dados!A453,Projetos!$D$2:$D$11,"BRL")</f>
        <v>0</v>
      </c>
      <c r="E453" s="18">
        <f t="shared" ca="1" si="28"/>
        <v>1.7075179985750597E-9</v>
      </c>
      <c r="G453" s="45">
        <f t="shared" ca="1" si="31"/>
        <v>1.3091894379737467E-9</v>
      </c>
      <c r="H453" s="18">
        <f>-SUMIFS(Projetos!$F$2:$F$11,Projetos!$D$2:$D$11,"USD",Projetos!$N$2:$N$11,Dados!$A453)</f>
        <v>0</v>
      </c>
      <c r="I453" s="45">
        <f ca="1">(G453+H453)*((Indicadores_Economicos!D$2+1)^(1/12)-1)</f>
        <v>4.2859455455292925E-12</v>
      </c>
      <c r="J453" s="18">
        <f>SUMIFS(Projetos!$G$2:$G$11,Projetos!$K$2:$K$11,"&lt;="&amp;Dados!$A453,Projetos!$N$2:$N$11,"&gt;"&amp;Dados!$A453,Projetos!$D$2:$D$11,"USD")</f>
        <v>0</v>
      </c>
      <c r="K453" s="18">
        <f t="shared" ca="1" si="29"/>
        <v>1.3134753835192761E-9</v>
      </c>
    </row>
    <row r="454" spans="1:11" x14ac:dyDescent="0.2">
      <c r="A454" s="45">
        <f t="shared" ca="1" si="30"/>
        <v>1.7075179985750597E-9</v>
      </c>
      <c r="B454" s="18">
        <f>-SUMIFS(Projetos!$F$2:$F$11,Projetos!$D$2:$D$11,"BRL",Projetos!$N$2:$N$11,Dados!$A454)</f>
        <v>0</v>
      </c>
      <c r="C454" s="45">
        <f ca="1">(A454+B454)*((Indicadores_Economicos!D$2+1)^(1/12)-1)</f>
        <v>5.5899696007558424E-12</v>
      </c>
      <c r="D454" s="18">
        <f>SUMIFS(Projetos!$G$2:$G$11,Projetos!$K$2:$K$11,"&lt;="&amp;Dados!$A454,Projetos!$N$2:$N$11,"&gt;"&amp;Dados!A454,Projetos!$D$2:$D$11,"BRL")</f>
        <v>0</v>
      </c>
      <c r="E454" s="18">
        <f t="shared" ca="1" si="28"/>
        <v>1.7131079681758154E-9</v>
      </c>
      <c r="G454" s="45">
        <f t="shared" ca="1" si="31"/>
        <v>1.3134753835192761E-9</v>
      </c>
      <c r="H454" s="18">
        <f>-SUMIFS(Projetos!$F$2:$F$11,Projetos!$D$2:$D$11,"USD",Projetos!$N$2:$N$11,Dados!$A454)</f>
        <v>0</v>
      </c>
      <c r="I454" s="45">
        <f ca="1">(G454+H454)*((Indicadores_Economicos!D$2+1)^(1/12)-1)</f>
        <v>4.2999766159660302E-12</v>
      </c>
      <c r="J454" s="18">
        <f>SUMIFS(Projetos!$G$2:$G$11,Projetos!$K$2:$K$11,"&lt;="&amp;Dados!$A454,Projetos!$N$2:$N$11,"&gt;"&amp;Dados!$A454,Projetos!$D$2:$D$11,"USD")</f>
        <v>0</v>
      </c>
      <c r="K454" s="18">
        <f t="shared" ca="1" si="29"/>
        <v>1.3177753601352422E-9</v>
      </c>
    </row>
    <row r="455" spans="1:11" x14ac:dyDescent="0.2">
      <c r="A455" s="45">
        <f t="shared" ca="1" si="30"/>
        <v>1.7131079681758154E-9</v>
      </c>
      <c r="B455" s="18">
        <f>-SUMIFS(Projetos!$F$2:$F$11,Projetos!$D$2:$D$11,"BRL",Projetos!$N$2:$N$11,Dados!$A455)</f>
        <v>0</v>
      </c>
      <c r="C455" s="45">
        <f ca="1">(A455+B455)*((Indicadores_Economicos!D$2+1)^(1/12)-1)</f>
        <v>5.6082697066191188E-12</v>
      </c>
      <c r="D455" s="18">
        <f>SUMIFS(Projetos!$G$2:$G$11,Projetos!$K$2:$K$11,"&lt;="&amp;Dados!$A455,Projetos!$N$2:$N$11,"&gt;"&amp;Dados!A455,Projetos!$D$2:$D$11,"BRL")</f>
        <v>0</v>
      </c>
      <c r="E455" s="18">
        <f t="shared" ca="1" si="28"/>
        <v>1.7187162378824346E-9</v>
      </c>
      <c r="G455" s="45">
        <f t="shared" ca="1" si="31"/>
        <v>1.3177753601352422E-9</v>
      </c>
      <c r="H455" s="18">
        <f>-SUMIFS(Projetos!$F$2:$F$11,Projetos!$D$2:$D$11,"USD",Projetos!$N$2:$N$11,Dados!$A455)</f>
        <v>0</v>
      </c>
      <c r="I455" s="45">
        <f ca="1">(G455+H455)*((Indicadores_Economicos!D$2+1)^(1/12)-1)</f>
        <v>4.3140536204762436E-12</v>
      </c>
      <c r="J455" s="18">
        <f>SUMIFS(Projetos!$G$2:$G$11,Projetos!$K$2:$K$11,"&lt;="&amp;Dados!$A455,Projetos!$N$2:$N$11,"&gt;"&amp;Dados!$A455,Projetos!$D$2:$D$11,"USD")</f>
        <v>0</v>
      </c>
      <c r="K455" s="18">
        <f t="shared" ca="1" si="29"/>
        <v>1.3220894137557184E-9</v>
      </c>
    </row>
    <row r="456" spans="1:11" x14ac:dyDescent="0.2">
      <c r="A456" s="45">
        <f t="shared" ca="1" si="30"/>
        <v>1.7187162378824346E-9</v>
      </c>
      <c r="B456" s="18">
        <f>-SUMIFS(Projetos!$F$2:$F$11,Projetos!$D$2:$D$11,"BRL",Projetos!$N$2:$N$11,Dados!$A456)</f>
        <v>0</v>
      </c>
      <c r="C456" s="45">
        <f ca="1">(A456+B456)*((Indicadores_Economicos!D$2+1)^(1/12)-1)</f>
        <v>5.6266297222669796E-12</v>
      </c>
      <c r="D456" s="18">
        <f>SUMIFS(Projetos!$G$2:$G$11,Projetos!$K$2:$K$11,"&lt;="&amp;Dados!$A456,Projetos!$N$2:$N$11,"&gt;"&amp;Dados!A456,Projetos!$D$2:$D$11,"BRL")</f>
        <v>0</v>
      </c>
      <c r="E456" s="18">
        <f t="shared" ca="1" si="28"/>
        <v>1.7243428676047017E-9</v>
      </c>
      <c r="G456" s="45">
        <f t="shared" ca="1" si="31"/>
        <v>1.3220894137557184E-9</v>
      </c>
      <c r="H456" s="18">
        <f>-SUMIFS(Projetos!$F$2:$F$11,Projetos!$D$2:$D$11,"USD",Projetos!$N$2:$N$11,Dados!$A456)</f>
        <v>0</v>
      </c>
      <c r="I456" s="45">
        <f ca="1">(G456+H456)*((Indicadores_Economicos!D$2+1)^(1/12)-1)</f>
        <v>4.3281767094361359E-12</v>
      </c>
      <c r="J456" s="18">
        <f>SUMIFS(Projetos!$G$2:$G$11,Projetos!$K$2:$K$11,"&lt;="&amp;Dados!$A456,Projetos!$N$2:$N$11,"&gt;"&amp;Dados!$A456,Projetos!$D$2:$D$11,"USD")</f>
        <v>0</v>
      </c>
      <c r="K456" s="18">
        <f t="shared" ca="1" si="29"/>
        <v>1.3264175904651545E-9</v>
      </c>
    </row>
    <row r="457" spans="1:11" x14ac:dyDescent="0.2">
      <c r="A457" s="45">
        <f t="shared" ca="1" si="30"/>
        <v>1.7243428676047017E-9</v>
      </c>
      <c r="B457" s="18">
        <f>-SUMIFS(Projetos!$F$2:$F$11,Projetos!$D$2:$D$11,"BRL",Projetos!$N$2:$N$11,Dados!$A457)</f>
        <v>0</v>
      </c>
      <c r="C457" s="45">
        <f ca="1">(A457+B457)*((Indicadores_Economicos!D$2+1)^(1/12)-1)</f>
        <v>5.6450498438284676E-12</v>
      </c>
      <c r="D457" s="18">
        <f>SUMIFS(Projetos!$G$2:$G$11,Projetos!$K$2:$K$11,"&lt;="&amp;Dados!$A457,Projetos!$N$2:$N$11,"&gt;"&amp;Dados!A457,Projetos!$D$2:$D$11,"BRL")</f>
        <v>0</v>
      </c>
      <c r="E457" s="18">
        <f t="shared" ca="1" si="28"/>
        <v>1.7299879174485302E-9</v>
      </c>
      <c r="G457" s="45">
        <f t="shared" ca="1" si="31"/>
        <v>1.3264175904651545E-9</v>
      </c>
      <c r="H457" s="18">
        <f>-SUMIFS(Projetos!$F$2:$F$11,Projetos!$D$2:$D$11,"USD",Projetos!$N$2:$N$11,Dados!$A457)</f>
        <v>0</v>
      </c>
      <c r="I457" s="45">
        <f ca="1">(G457+H457)*((Indicadores_Economicos!D$2+1)^(1/12)-1)</f>
        <v>4.3423460337142041E-12</v>
      </c>
      <c r="J457" s="18">
        <f>SUMIFS(Projetos!$G$2:$G$11,Projetos!$K$2:$K$11,"&lt;="&amp;Dados!$A457,Projetos!$N$2:$N$11,"&gt;"&amp;Dados!$A457,Projetos!$D$2:$D$11,"USD")</f>
        <v>0</v>
      </c>
      <c r="K457" s="18">
        <f t="shared" ca="1" si="29"/>
        <v>1.3307599364988687E-9</v>
      </c>
    </row>
    <row r="458" spans="1:11" x14ac:dyDescent="0.2">
      <c r="A458" s="45">
        <f t="shared" ca="1" si="30"/>
        <v>1.7299879174485302E-9</v>
      </c>
      <c r="B458" s="18">
        <f>-SUMIFS(Projetos!$F$2:$F$11,Projetos!$D$2:$D$11,"BRL",Projetos!$N$2:$N$11,Dados!$A458)</f>
        <v>0</v>
      </c>
      <c r="C458" s="45">
        <f ca="1">(A458+B458)*((Indicadores_Economicos!D$2+1)^(1/12)-1)</f>
        <v>5.6635302680747045E-12</v>
      </c>
      <c r="D458" s="18">
        <f>SUMIFS(Projetos!$G$2:$G$11,Projetos!$K$2:$K$11,"&lt;="&amp;Dados!$A458,Projetos!$N$2:$N$11,"&gt;"&amp;Dados!A458,Projetos!$D$2:$D$11,"BRL")</f>
        <v>0</v>
      </c>
      <c r="E458" s="18">
        <f t="shared" ca="1" si="28"/>
        <v>1.7356514477166049E-9</v>
      </c>
      <c r="G458" s="45">
        <f t="shared" ca="1" si="31"/>
        <v>1.3307599364988687E-9</v>
      </c>
      <c r="H458" s="18">
        <f>-SUMIFS(Projetos!$F$2:$F$11,Projetos!$D$2:$D$11,"USD",Projetos!$N$2:$N$11,Dados!$A458)</f>
        <v>0</v>
      </c>
      <c r="I458" s="45">
        <f ca="1">(G458+H458)*((Indicadores_Economicos!D$2+1)^(1/12)-1)</f>
        <v>4.3565617446728478E-12</v>
      </c>
      <c r="J458" s="18">
        <f>SUMIFS(Projetos!$G$2:$G$11,Projetos!$K$2:$K$11,"&lt;="&amp;Dados!$A458,Projetos!$N$2:$N$11,"&gt;"&amp;Dados!$A458,Projetos!$D$2:$D$11,"USD")</f>
        <v>0</v>
      </c>
      <c r="K458" s="18">
        <f t="shared" ca="1" si="29"/>
        <v>1.3351164982435415E-9</v>
      </c>
    </row>
    <row r="459" spans="1:11" x14ac:dyDescent="0.2">
      <c r="A459" s="45">
        <f t="shared" ca="1" si="30"/>
        <v>1.7356514477166049E-9</v>
      </c>
      <c r="B459" s="18">
        <f>-SUMIFS(Projetos!$F$2:$F$11,Projetos!$D$2:$D$11,"BRL",Projetos!$N$2:$N$11,Dados!$A459)</f>
        <v>0</v>
      </c>
      <c r="C459" s="45">
        <f ca="1">(A459+B459)*((Indicadores_Economicos!D$2+1)^(1/12)-1)</f>
        <v>5.6820711924209885E-12</v>
      </c>
      <c r="D459" s="18">
        <f>SUMIFS(Projetos!$G$2:$G$11,Projetos!$K$2:$K$11,"&lt;="&amp;Dados!$A459,Projetos!$N$2:$N$11,"&gt;"&amp;Dados!A459,Projetos!$D$2:$D$11,"BRL")</f>
        <v>0</v>
      </c>
      <c r="E459" s="18">
        <f t="shared" ca="1" si="28"/>
        <v>1.7413335189090259E-9</v>
      </c>
      <c r="G459" s="45">
        <f t="shared" ca="1" si="31"/>
        <v>1.3351164982435415E-9</v>
      </c>
      <c r="H459" s="18">
        <f>-SUMIFS(Projetos!$F$2:$F$11,Projetos!$D$2:$D$11,"USD",Projetos!$N$2:$N$11,Dados!$A459)</f>
        <v>0</v>
      </c>
      <c r="I459" s="45">
        <f ca="1">(G459+H459)*((Indicadores_Economicos!D$2+1)^(1/12)-1)</f>
        <v>4.3708239941699891E-12</v>
      </c>
      <c r="J459" s="18">
        <f>SUMIFS(Projetos!$G$2:$G$11,Projetos!$K$2:$K$11,"&lt;="&amp;Dados!$A459,Projetos!$N$2:$N$11,"&gt;"&amp;Dados!$A459,Projetos!$D$2:$D$11,"USD")</f>
        <v>0</v>
      </c>
      <c r="K459" s="18">
        <f t="shared" ca="1" si="29"/>
        <v>1.3394873222377115E-9</v>
      </c>
    </row>
    <row r="460" spans="1:11" x14ac:dyDescent="0.2">
      <c r="A460" s="45">
        <f t="shared" ca="1" si="30"/>
        <v>1.7413335189090259E-9</v>
      </c>
      <c r="B460" s="18">
        <f>-SUMIFS(Projetos!$F$2:$F$11,Projetos!$D$2:$D$11,"BRL",Projetos!$N$2:$N$11,Dados!$A460)</f>
        <v>0</v>
      </c>
      <c r="C460" s="45">
        <f ca="1">(A460+B460)*((Indicadores_Economicos!D$2+1)^(1/12)-1)</f>
        <v>5.7006728149289034E-12</v>
      </c>
      <c r="D460" s="18">
        <f>SUMIFS(Projetos!$G$2:$G$11,Projetos!$K$2:$K$11,"&lt;="&amp;Dados!$A460,Projetos!$N$2:$N$11,"&gt;"&amp;Dados!A460,Projetos!$D$2:$D$11,"BRL")</f>
        <v>0</v>
      </c>
      <c r="E460" s="18">
        <f t="shared" ca="1" si="28"/>
        <v>1.7470341917239548E-9</v>
      </c>
      <c r="G460" s="45">
        <f t="shared" ca="1" si="31"/>
        <v>1.3394873222377115E-9</v>
      </c>
      <c r="H460" s="18">
        <f>-SUMIFS(Projetos!$F$2:$F$11,Projetos!$D$2:$D$11,"USD",Projetos!$N$2:$N$11,Dados!$A460)</f>
        <v>0</v>
      </c>
      <c r="I460" s="45">
        <f ca="1">(G460+H460)*((Indicadores_Economicos!D$2+1)^(1/12)-1)</f>
        <v>4.3851329345606929E-12</v>
      </c>
      <c r="J460" s="18">
        <f>SUMIFS(Projetos!$G$2:$G$11,Projetos!$K$2:$K$11,"&lt;="&amp;Dados!$A460,Projetos!$N$2:$N$11,"&gt;"&amp;Dados!$A460,Projetos!$D$2:$D$11,"USD")</f>
        <v>0</v>
      </c>
      <c r="K460" s="18">
        <f t="shared" ca="1" si="29"/>
        <v>1.3438724551722723E-9</v>
      </c>
    </row>
    <row r="461" spans="1:11" x14ac:dyDescent="0.2">
      <c r="A461" s="45">
        <f t="shared" ca="1" si="30"/>
        <v>1.7470341917239548E-9</v>
      </c>
      <c r="B461" s="18">
        <f>-SUMIFS(Projetos!$F$2:$F$11,Projetos!$D$2:$D$11,"BRL",Projetos!$N$2:$N$11,Dados!$A461)</f>
        <v>0</v>
      </c>
      <c r="C461" s="45">
        <f ca="1">(A461+B461)*((Indicadores_Economicos!D$2+1)^(1/12)-1)</f>
        <v>5.7193353343084362E-12</v>
      </c>
      <c r="D461" s="18">
        <f>SUMIFS(Projetos!$G$2:$G$11,Projetos!$K$2:$K$11,"&lt;="&amp;Dados!$A461,Projetos!$N$2:$N$11,"&gt;"&amp;Dados!A461,Projetos!$D$2:$D$11,"BRL")</f>
        <v>0</v>
      </c>
      <c r="E461" s="18">
        <f t="shared" ca="1" si="28"/>
        <v>1.7527535270582632E-9</v>
      </c>
      <c r="G461" s="45">
        <f t="shared" ca="1" si="31"/>
        <v>1.3438724551722723E-9</v>
      </c>
      <c r="H461" s="18">
        <f>-SUMIFS(Projetos!$F$2:$F$11,Projetos!$D$2:$D$11,"USD",Projetos!$N$2:$N$11,Dados!$A461)</f>
        <v>0</v>
      </c>
      <c r="I461" s="45">
        <f ca="1">(G461+H461)*((Indicadores_Economicos!D$2+1)^(1/12)-1)</f>
        <v>4.3994887186987953E-12</v>
      </c>
      <c r="J461" s="18">
        <f>SUMIFS(Projetos!$G$2:$G$11,Projetos!$K$2:$K$11,"&lt;="&amp;Dados!$A461,Projetos!$N$2:$N$11,"&gt;"&amp;Dados!$A461,Projetos!$D$2:$D$11,"USD")</f>
        <v>0</v>
      </c>
      <c r="K461" s="18">
        <f t="shared" ca="1" si="29"/>
        <v>1.3482719438909711E-9</v>
      </c>
    </row>
    <row r="462" spans="1:11" x14ac:dyDescent="0.2">
      <c r="A462" s="45">
        <f t="shared" ca="1" si="30"/>
        <v>1.7527535270582632E-9</v>
      </c>
      <c r="B462" s="18">
        <f>-SUMIFS(Projetos!$F$2:$F$11,Projetos!$D$2:$D$11,"BRL",Projetos!$N$2:$N$11,Dados!$A462)</f>
        <v>0</v>
      </c>
      <c r="C462" s="45">
        <f ca="1">(A462+B462)*((Indicadores_Economicos!D$2+1)^(1/12)-1)</f>
        <v>5.738058949920098E-12</v>
      </c>
      <c r="D462" s="18">
        <f>SUMIFS(Projetos!$G$2:$G$11,Projetos!$K$2:$K$11,"&lt;="&amp;Dados!$A462,Projetos!$N$2:$N$11,"&gt;"&amp;Dados!A462,Projetos!$D$2:$D$11,"BRL")</f>
        <v>0</v>
      </c>
      <c r="E462" s="18">
        <f t="shared" ca="1" si="28"/>
        <v>1.7584915860081834E-9</v>
      </c>
      <c r="G462" s="45">
        <f t="shared" ca="1" si="31"/>
        <v>1.3482719438909711E-9</v>
      </c>
      <c r="H462" s="18">
        <f>-SUMIFS(Projetos!$F$2:$F$11,Projetos!$D$2:$D$11,"USD",Projetos!$N$2:$N$11,Dados!$A462)</f>
        <v>0</v>
      </c>
      <c r="I462" s="45">
        <f ca="1">(G462+H462)*((Indicadores_Economicos!D$2+1)^(1/12)-1)</f>
        <v>4.4138914999385349E-12</v>
      </c>
      <c r="J462" s="18">
        <f>SUMIFS(Projetos!$G$2:$G$11,Projetos!$K$2:$K$11,"&lt;="&amp;Dados!$A462,Projetos!$N$2:$N$11,"&gt;"&amp;Dados!$A462,Projetos!$D$2:$D$11,"USD")</f>
        <v>0</v>
      </c>
      <c r="K462" s="18">
        <f t="shared" ca="1" si="29"/>
        <v>1.3526858353909096E-9</v>
      </c>
    </row>
    <row r="463" spans="1:11" x14ac:dyDescent="0.2">
      <c r="A463" s="45">
        <f t="shared" ca="1" si="30"/>
        <v>1.7584915860081834E-9</v>
      </c>
      <c r="B463" s="18">
        <f>-SUMIFS(Projetos!$F$2:$F$11,Projetos!$D$2:$D$11,"BRL",Projetos!$N$2:$N$11,Dados!$A463)</f>
        <v>0</v>
      </c>
      <c r="C463" s="45">
        <f ca="1">(A463+B463)*((Indicadores_Economicos!D$2+1)^(1/12)-1)</f>
        <v>5.7568438617770536E-12</v>
      </c>
      <c r="D463" s="18">
        <f>SUMIFS(Projetos!$G$2:$G$11,Projetos!$K$2:$K$11,"&lt;="&amp;Dados!$A463,Projetos!$N$2:$N$11,"&gt;"&amp;Dados!A463,Projetos!$D$2:$D$11,"BRL")</f>
        <v>0</v>
      </c>
      <c r="E463" s="18">
        <f t="shared" ca="1" si="28"/>
        <v>1.7642484298699604E-9</v>
      </c>
      <c r="G463" s="45">
        <f t="shared" ca="1" si="31"/>
        <v>1.3526858353909096E-9</v>
      </c>
      <c r="H463" s="18">
        <f>-SUMIFS(Projetos!$F$2:$F$11,Projetos!$D$2:$D$11,"USD",Projetos!$N$2:$N$11,Dados!$A463)</f>
        <v>0</v>
      </c>
      <c r="I463" s="45">
        <f ca="1">(G463+H463)*((Indicadores_Economicos!D$2+1)^(1/12)-1)</f>
        <v>4.4283414321361931E-12</v>
      </c>
      <c r="J463" s="18">
        <f>SUMIFS(Projetos!$G$2:$G$11,Projetos!$K$2:$K$11,"&lt;="&amp;Dados!$A463,Projetos!$N$2:$N$11,"&gt;"&amp;Dados!$A463,Projetos!$D$2:$D$11,"USD")</f>
        <v>0</v>
      </c>
      <c r="K463" s="18">
        <f t="shared" ca="1" si="29"/>
        <v>1.3571141768230459E-9</v>
      </c>
    </row>
    <row r="464" spans="1:11" x14ac:dyDescent="0.2">
      <c r="A464" s="45">
        <f t="shared" ca="1" si="30"/>
        <v>1.7642484298699604E-9</v>
      </c>
      <c r="B464" s="18">
        <f>-SUMIFS(Projetos!$F$2:$F$11,Projetos!$D$2:$D$11,"BRL",Projetos!$N$2:$N$11,Dados!$A464)</f>
        <v>0</v>
      </c>
      <c r="C464" s="45">
        <f ca="1">(A464+B464)*((Indicadores_Economicos!D$2+1)^(1/12)-1)</f>
        <v>5.7756902705472611E-12</v>
      </c>
      <c r="D464" s="18">
        <f>SUMIFS(Projetos!$G$2:$G$11,Projetos!$K$2:$K$11,"&lt;="&amp;Dados!$A464,Projetos!$N$2:$N$11,"&gt;"&amp;Dados!A464,Projetos!$D$2:$D$11,"BRL")</f>
        <v>0</v>
      </c>
      <c r="E464" s="18">
        <f t="shared" ca="1" si="28"/>
        <v>1.7700241201405076E-9</v>
      </c>
      <c r="G464" s="45">
        <f t="shared" ca="1" si="31"/>
        <v>1.3571141768230459E-9</v>
      </c>
      <c r="H464" s="18">
        <f>-SUMIFS(Projetos!$F$2:$F$11,Projetos!$D$2:$D$11,"USD",Projetos!$N$2:$N$11,Dados!$A464)</f>
        <v>0</v>
      </c>
      <c r="I464" s="45">
        <f ca="1">(G464+H464)*((Indicadores_Economicos!D$2+1)^(1/12)-1)</f>
        <v>4.442838669651737E-12</v>
      </c>
      <c r="J464" s="18">
        <f>SUMIFS(Projetos!$G$2:$G$11,Projetos!$K$2:$K$11,"&lt;="&amp;Dados!$A464,Projetos!$N$2:$N$11,"&gt;"&amp;Dados!$A464,Projetos!$D$2:$D$11,"USD")</f>
        <v>0</v>
      </c>
      <c r="K464" s="18">
        <f t="shared" ca="1" si="29"/>
        <v>1.3615570154926976E-9</v>
      </c>
    </row>
    <row r="465" spans="1:11" x14ac:dyDescent="0.2">
      <c r="A465" s="45">
        <f t="shared" ca="1" si="30"/>
        <v>1.7700241201405076E-9</v>
      </c>
      <c r="B465" s="18">
        <f>-SUMIFS(Projetos!$F$2:$F$11,Projetos!$D$2:$D$11,"BRL",Projetos!$N$2:$N$11,Dados!$A465)</f>
        <v>0</v>
      </c>
      <c r="C465" s="45">
        <f ca="1">(A465+B465)*((Indicadores_Economicos!D$2+1)^(1/12)-1)</f>
        <v>5.7945983775556103E-12</v>
      </c>
      <c r="D465" s="18">
        <f>SUMIFS(Projetos!$G$2:$G$11,Projetos!$K$2:$K$11,"&lt;="&amp;Dados!$A465,Projetos!$N$2:$N$11,"&gt;"&amp;Dados!A465,Projetos!$D$2:$D$11,"BRL")</f>
        <v>0</v>
      </c>
      <c r="E465" s="18">
        <f t="shared" ca="1" si="28"/>
        <v>1.7758187185180632E-9</v>
      </c>
      <c r="G465" s="45">
        <f t="shared" ca="1" si="31"/>
        <v>1.3615570154926976E-9</v>
      </c>
      <c r="H465" s="18">
        <f>-SUMIFS(Projetos!$F$2:$F$11,Projetos!$D$2:$D$11,"USD",Projetos!$N$2:$N$11,Dados!$A465)</f>
        <v>0</v>
      </c>
      <c r="I465" s="45">
        <f ca="1">(G465+H465)*((Indicadores_Economicos!D$2+1)^(1/12)-1)</f>
        <v>4.457383367350468E-12</v>
      </c>
      <c r="J465" s="18">
        <f>SUMIFS(Projetos!$G$2:$G$11,Projetos!$K$2:$K$11,"&lt;="&amp;Dados!$A465,Projetos!$N$2:$N$11,"&gt;"&amp;Dados!$A465,Projetos!$D$2:$D$11,"USD")</f>
        <v>0</v>
      </c>
      <c r="K465" s="18">
        <f t="shared" ca="1" si="29"/>
        <v>1.366014398860048E-9</v>
      </c>
    </row>
    <row r="466" spans="1:11" x14ac:dyDescent="0.2">
      <c r="A466" s="45">
        <f t="shared" ca="1" si="30"/>
        <v>1.7758187185180632E-9</v>
      </c>
      <c r="B466" s="18">
        <f>-SUMIFS(Projetos!$F$2:$F$11,Projetos!$D$2:$D$11,"BRL",Projetos!$N$2:$N$11,Dados!$A466)</f>
        <v>0</v>
      </c>
      <c r="C466" s="45">
        <f ca="1">(A466+B466)*((Indicadores_Economicos!D$2+1)^(1/12)-1)</f>
        <v>5.8135683847860795E-12</v>
      </c>
      <c r="D466" s="18">
        <f>SUMIFS(Projetos!$G$2:$G$11,Projetos!$K$2:$K$11,"&lt;="&amp;Dados!$A466,Projetos!$N$2:$N$11,"&gt;"&amp;Dados!A466,Projetos!$D$2:$D$11,"BRL")</f>
        <v>0</v>
      </c>
      <c r="E466" s="18">
        <f t="shared" ca="1" si="28"/>
        <v>1.7816322869028493E-9</v>
      </c>
      <c r="G466" s="45">
        <f t="shared" ca="1" si="31"/>
        <v>1.366014398860048E-9</v>
      </c>
      <c r="H466" s="18">
        <f>-SUMIFS(Projetos!$F$2:$F$11,Projetos!$D$2:$D$11,"USD",Projetos!$N$2:$N$11,Dados!$A466)</f>
        <v>0</v>
      </c>
      <c r="I466" s="45">
        <f ca="1">(G466+H466)*((Indicadores_Economicos!D$2+1)^(1/12)-1)</f>
        <v>4.4719756806046745E-12</v>
      </c>
      <c r="J466" s="18">
        <f>SUMIFS(Projetos!$G$2:$G$11,Projetos!$K$2:$K$11,"&lt;="&amp;Dados!$A466,Projetos!$N$2:$N$11,"&gt;"&amp;Dados!$A466,Projetos!$D$2:$D$11,"USD")</f>
        <v>0</v>
      </c>
      <c r="K466" s="18">
        <f t="shared" ca="1" si="29"/>
        <v>1.3704863745406527E-9</v>
      </c>
    </row>
    <row r="467" spans="1:11" x14ac:dyDescent="0.2">
      <c r="A467" s="45">
        <f t="shared" ca="1" si="30"/>
        <v>1.7816322869028493E-9</v>
      </c>
      <c r="B467" s="18">
        <f>-SUMIFS(Projetos!$F$2:$F$11,Projetos!$D$2:$D$11,"BRL",Projetos!$N$2:$N$11,Dados!$A467)</f>
        <v>0</v>
      </c>
      <c r="C467" s="45">
        <f ca="1">(A467+B467)*((Indicadores_Economicos!D$2+1)^(1/12)-1)</f>
        <v>5.8326004948838874E-12</v>
      </c>
      <c r="D467" s="18">
        <f>SUMIFS(Projetos!$G$2:$G$11,Projetos!$K$2:$K$11,"&lt;="&amp;Dados!$A467,Projetos!$N$2:$N$11,"&gt;"&amp;Dados!A467,Projetos!$D$2:$D$11,"BRL")</f>
        <v>0</v>
      </c>
      <c r="E467" s="18">
        <f t="shared" ca="1" si="28"/>
        <v>1.7874648873977332E-9</v>
      </c>
      <c r="G467" s="45">
        <f t="shared" ca="1" si="31"/>
        <v>1.3704863745406527E-9</v>
      </c>
      <c r="H467" s="18">
        <f>-SUMIFS(Projetos!$F$2:$F$11,Projetos!$D$2:$D$11,"USD",Projetos!$N$2:$N$11,Dados!$A467)</f>
        <v>0</v>
      </c>
      <c r="I467" s="45">
        <f ca="1">(G467+H467)*((Indicadores_Economicos!D$2+1)^(1/12)-1)</f>
        <v>4.4866157652952966E-12</v>
      </c>
      <c r="J467" s="18">
        <f>SUMIFS(Projetos!$G$2:$G$11,Projetos!$K$2:$K$11,"&lt;="&amp;Dados!$A467,Projetos!$N$2:$N$11,"&gt;"&amp;Dados!$A467,Projetos!$D$2:$D$11,"USD")</f>
        <v>0</v>
      </c>
      <c r="K467" s="18">
        <f t="shared" ca="1" si="29"/>
        <v>1.374972990305948E-9</v>
      </c>
    </row>
    <row r="468" spans="1:11" x14ac:dyDescent="0.2">
      <c r="A468" s="45">
        <f t="shared" ca="1" si="30"/>
        <v>1.7874648873977332E-9</v>
      </c>
      <c r="B468" s="18">
        <f>-SUMIFS(Projetos!$F$2:$F$11,Projetos!$D$2:$D$11,"BRL",Projetos!$N$2:$N$11,Dados!$A468)</f>
        <v>0</v>
      </c>
      <c r="C468" s="45">
        <f ca="1">(A468+B468)*((Indicadores_Economicos!D$2+1)^(1/12)-1)</f>
        <v>5.8516949111576621E-12</v>
      </c>
      <c r="D468" s="18">
        <f>SUMIFS(Projetos!$G$2:$G$11,Projetos!$K$2:$K$11,"&lt;="&amp;Dados!$A468,Projetos!$N$2:$N$11,"&gt;"&amp;Dados!A468,Projetos!$D$2:$D$11,"BRL")</f>
        <v>0</v>
      </c>
      <c r="E468" s="18">
        <f t="shared" ca="1" si="28"/>
        <v>1.7933165823088909E-9</v>
      </c>
      <c r="G468" s="45">
        <f t="shared" ca="1" si="31"/>
        <v>1.374972990305948E-9</v>
      </c>
      <c r="H468" s="18">
        <f>-SUMIFS(Projetos!$F$2:$F$11,Projetos!$D$2:$D$11,"USD",Projetos!$N$2:$N$11,Dados!$A468)</f>
        <v>0</v>
      </c>
      <c r="I468" s="45">
        <f ca="1">(G468+H468)*((Indicadores_Economicos!D$2+1)^(1/12)-1)</f>
        <v>4.5013037778135841E-12</v>
      </c>
      <c r="J468" s="18">
        <f>SUMIFS(Projetos!$G$2:$G$11,Projetos!$K$2:$K$11,"&lt;="&amp;Dados!$A468,Projetos!$N$2:$N$11,"&gt;"&amp;Dados!$A468,Projetos!$D$2:$D$11,"USD")</f>
        <v>0</v>
      </c>
      <c r="K468" s="18">
        <f t="shared" ca="1" si="29"/>
        <v>1.3794742940837616E-9</v>
      </c>
    </row>
    <row r="469" spans="1:11" x14ac:dyDescent="0.2">
      <c r="A469" s="45">
        <f t="shared" ca="1" si="30"/>
        <v>1.7933165823088909E-9</v>
      </c>
      <c r="B469" s="18">
        <f>-SUMIFS(Projetos!$F$2:$F$11,Projetos!$D$2:$D$11,"BRL",Projetos!$N$2:$N$11,Dados!$A469)</f>
        <v>0</v>
      </c>
      <c r="C469" s="45">
        <f ca="1">(A469+B469)*((Indicadores_Economicos!D$2+1)^(1/12)-1)</f>
        <v>5.8708518375816098E-12</v>
      </c>
      <c r="D469" s="18">
        <f>SUMIFS(Projetos!$G$2:$G$11,Projetos!$K$2:$K$11,"&lt;="&amp;Dados!$A469,Projetos!$N$2:$N$11,"&gt;"&amp;Dados!A469,Projetos!$D$2:$D$11,"BRL")</f>
        <v>0</v>
      </c>
      <c r="E469" s="18">
        <f t="shared" ca="1" si="28"/>
        <v>1.7991874341464726E-9</v>
      </c>
      <c r="G469" s="45">
        <f t="shared" ca="1" si="31"/>
        <v>1.3794742940837616E-9</v>
      </c>
      <c r="H469" s="18">
        <f>-SUMIFS(Projetos!$F$2:$F$11,Projetos!$D$2:$D$11,"USD",Projetos!$N$2:$N$11,Dados!$A469)</f>
        <v>0</v>
      </c>
      <c r="I469" s="45">
        <f ca="1">(G469+H469)*((Indicadores_Economicos!D$2+1)^(1/12)-1)</f>
        <v>4.5160398750627754E-12</v>
      </c>
      <c r="J469" s="18">
        <f>SUMIFS(Projetos!$G$2:$G$11,Projetos!$K$2:$K$11,"&lt;="&amp;Dados!$A469,Projetos!$N$2:$N$11,"&gt;"&amp;Dados!$A469,Projetos!$D$2:$D$11,"USD")</f>
        <v>0</v>
      </c>
      <c r="K469" s="18">
        <f t="shared" ca="1" si="29"/>
        <v>1.3839903339588243E-9</v>
      </c>
    </row>
    <row r="470" spans="1:11" x14ac:dyDescent="0.2">
      <c r="A470" s="45">
        <f t="shared" ca="1" si="30"/>
        <v>1.7991874341464726E-9</v>
      </c>
      <c r="B470" s="18">
        <f>-SUMIFS(Projetos!$F$2:$F$11,Projetos!$D$2:$D$11,"BRL",Projetos!$N$2:$N$11,Dados!$A470)</f>
        <v>0</v>
      </c>
      <c r="C470" s="45">
        <f ca="1">(A470+B470)*((Indicadores_Economicos!D$2+1)^(1/12)-1)</f>
        <v>5.8900714787976971E-12</v>
      </c>
      <c r="D470" s="18">
        <f>SUMIFS(Projetos!$G$2:$G$11,Projetos!$K$2:$K$11,"&lt;="&amp;Dados!$A470,Projetos!$N$2:$N$11,"&gt;"&amp;Dados!A470,Projetos!$D$2:$D$11,"BRL")</f>
        <v>0</v>
      </c>
      <c r="E470" s="18">
        <f t="shared" ca="1" si="28"/>
        <v>1.8050775056252703E-9</v>
      </c>
      <c r="G470" s="45">
        <f t="shared" ca="1" si="31"/>
        <v>1.3839903339588243E-9</v>
      </c>
      <c r="H470" s="18">
        <f>-SUMIFS(Projetos!$F$2:$F$11,Projetos!$D$2:$D$11,"USD",Projetos!$N$2:$N$11,Dados!$A470)</f>
        <v>0</v>
      </c>
      <c r="I470" s="45">
        <f ca="1">(G470+H470)*((Indicadores_Economicos!D$2+1)^(1/12)-1)</f>
        <v>4.5308242144597644E-12</v>
      </c>
      <c r="J470" s="18">
        <f>SUMIFS(Projetos!$G$2:$G$11,Projetos!$K$2:$K$11,"&lt;="&amp;Dados!$A470,Projetos!$N$2:$N$11,"&gt;"&amp;Dados!$A470,Projetos!$D$2:$D$11,"USD")</f>
        <v>0</v>
      </c>
      <c r="K470" s="18">
        <f t="shared" ca="1" si="29"/>
        <v>1.388521158173284E-9</v>
      </c>
    </row>
    <row r="471" spans="1:11" x14ac:dyDescent="0.2">
      <c r="A471" s="45">
        <f t="shared" ca="1" si="30"/>
        <v>1.8050775056252703E-9</v>
      </c>
      <c r="B471" s="18">
        <f>-SUMIFS(Projetos!$F$2:$F$11,Projetos!$D$2:$D$11,"BRL",Projetos!$N$2:$N$11,Dados!$A471)</f>
        <v>0</v>
      </c>
      <c r="C471" s="45">
        <f ca="1">(A471+B471)*((Indicadores_Economicos!D$2+1)^(1/12)-1)</f>
        <v>5.9093540401178323E-12</v>
      </c>
      <c r="D471" s="18">
        <f>SUMIFS(Projetos!$G$2:$G$11,Projetos!$K$2:$K$11,"&lt;="&amp;Dados!$A471,Projetos!$N$2:$N$11,"&gt;"&amp;Dados!A471,Projetos!$D$2:$D$11,"BRL")</f>
        <v>0</v>
      </c>
      <c r="E471" s="18">
        <f t="shared" ca="1" si="28"/>
        <v>1.8109868596653881E-9</v>
      </c>
      <c r="G471" s="45">
        <f t="shared" ca="1" si="31"/>
        <v>1.388521158173284E-9</v>
      </c>
      <c r="H471" s="18">
        <f>-SUMIFS(Projetos!$F$2:$F$11,Projetos!$D$2:$D$11,"USD",Projetos!$N$2:$N$11,Dados!$A471)</f>
        <v>0</v>
      </c>
      <c r="I471" s="45">
        <f ca="1">(G471+H471)*((Indicadores_Economicos!D$2+1)^(1/12)-1)</f>
        <v>4.5456569539367909E-12</v>
      </c>
      <c r="J471" s="18">
        <f>SUMIFS(Projetos!$G$2:$G$11,Projetos!$K$2:$K$11,"&lt;="&amp;Dados!$A471,Projetos!$N$2:$N$11,"&gt;"&amp;Dados!$A471,Projetos!$D$2:$D$11,"USD")</f>
        <v>0</v>
      </c>
      <c r="K471" s="18">
        <f t="shared" ca="1" si="29"/>
        <v>1.3930668151272208E-9</v>
      </c>
    </row>
    <row r="472" spans="1:11" x14ac:dyDescent="0.2">
      <c r="A472" s="45">
        <f t="shared" ca="1" si="30"/>
        <v>1.8109868596653881E-9</v>
      </c>
      <c r="B472" s="18">
        <f>-SUMIFS(Projetos!$F$2:$F$11,Projetos!$D$2:$D$11,"BRL",Projetos!$N$2:$N$11,Dados!$A472)</f>
        <v>0</v>
      </c>
      <c r="C472" s="45">
        <f ca="1">(A472+B472)*((Indicadores_Economicos!D$2+1)^(1/12)-1)</f>
        <v>5.928699727526064E-12</v>
      </c>
      <c r="D472" s="18">
        <f>SUMIFS(Projetos!$G$2:$G$11,Projetos!$K$2:$K$11,"&lt;="&amp;Dados!$A472,Projetos!$N$2:$N$11,"&gt;"&amp;Dados!A472,Projetos!$D$2:$D$11,"BRL")</f>
        <v>0</v>
      </c>
      <c r="E472" s="18">
        <f t="shared" ca="1" si="28"/>
        <v>1.8169155593929142E-9</v>
      </c>
      <c r="G472" s="45">
        <f t="shared" ca="1" si="31"/>
        <v>1.3930668151272208E-9</v>
      </c>
      <c r="H472" s="18">
        <f>-SUMIFS(Projetos!$F$2:$F$11,Projetos!$D$2:$D$11,"USD",Projetos!$N$2:$N$11,Dados!$A472)</f>
        <v>0</v>
      </c>
      <c r="I472" s="45">
        <f ca="1">(G472+H472)*((Indicadores_Economicos!D$2+1)^(1/12)-1)</f>
        <v>4.5605382519431237E-12</v>
      </c>
      <c r="J472" s="18">
        <f>SUMIFS(Projetos!$G$2:$G$11,Projetos!$K$2:$K$11,"&lt;="&amp;Dados!$A472,Projetos!$N$2:$N$11,"&gt;"&amp;Dados!$A472,Projetos!$D$2:$D$11,"USD")</f>
        <v>0</v>
      </c>
      <c r="K472" s="18">
        <f t="shared" ca="1" si="29"/>
        <v>1.397627353379164E-9</v>
      </c>
    </row>
    <row r="473" spans="1:11" x14ac:dyDescent="0.2">
      <c r="A473" s="45">
        <f t="shared" ca="1" si="30"/>
        <v>1.8169155593929142E-9</v>
      </c>
      <c r="B473" s="18">
        <f>-SUMIFS(Projetos!$F$2:$F$11,Projetos!$D$2:$D$11,"BRL",Projetos!$N$2:$N$11,Dados!$A473)</f>
        <v>0</v>
      </c>
      <c r="C473" s="45">
        <f ca="1">(A473+B473)*((Indicadores_Economicos!D$2+1)^(1/12)-1)</f>
        <v>5.9481087476807777E-12</v>
      </c>
      <c r="D473" s="18">
        <f>SUMIFS(Projetos!$G$2:$G$11,Projetos!$K$2:$K$11,"&lt;="&amp;Dados!$A473,Projetos!$N$2:$N$11,"&gt;"&amp;Dados!A473,Projetos!$D$2:$D$11,"BRL")</f>
        <v>0</v>
      </c>
      <c r="E473" s="18">
        <f t="shared" ca="1" si="28"/>
        <v>1.822863668140595E-9</v>
      </c>
      <c r="G473" s="45">
        <f t="shared" ca="1" si="31"/>
        <v>1.397627353379164E-9</v>
      </c>
      <c r="H473" s="18">
        <f>-SUMIFS(Projetos!$F$2:$F$11,Projetos!$D$2:$D$11,"USD",Projetos!$N$2:$N$11,Dados!$A473)</f>
        <v>0</v>
      </c>
      <c r="I473" s="45">
        <f ca="1">(G473+H473)*((Indicadores_Economicos!D$2+1)^(1/12)-1)</f>
        <v>4.5754682674467496E-12</v>
      </c>
      <c r="J473" s="18">
        <f>SUMIFS(Projetos!$G$2:$G$11,Projetos!$K$2:$K$11,"&lt;="&amp;Dados!$A473,Projetos!$N$2:$N$11,"&gt;"&amp;Dados!$A473,Projetos!$D$2:$D$11,"USD")</f>
        <v>0</v>
      </c>
      <c r="K473" s="18">
        <f t="shared" ca="1" si="29"/>
        <v>1.4022028216466107E-9</v>
      </c>
    </row>
    <row r="474" spans="1:11" x14ac:dyDescent="0.2">
      <c r="A474" s="45">
        <f t="shared" ca="1" si="30"/>
        <v>1.822863668140595E-9</v>
      </c>
      <c r="B474" s="18">
        <f>-SUMIFS(Projetos!$F$2:$F$11,Projetos!$D$2:$D$11,"BRL",Projetos!$N$2:$N$11,Dados!$A474)</f>
        <v>0</v>
      </c>
      <c r="C474" s="45">
        <f ca="1">(A474+B474)*((Indicadores_Economicos!D$2+1)^(1/12)-1)</f>
        <v>5.9675813079169063E-12</v>
      </c>
      <c r="D474" s="18">
        <f>SUMIFS(Projetos!$G$2:$G$11,Projetos!$K$2:$K$11,"&lt;="&amp;Dados!$A474,Projetos!$N$2:$N$11,"&gt;"&amp;Dados!A474,Projetos!$D$2:$D$11,"BRL")</f>
        <v>0</v>
      </c>
      <c r="E474" s="18">
        <f t="shared" ca="1" si="28"/>
        <v>1.828831249448512E-9</v>
      </c>
      <c r="G474" s="45">
        <f t="shared" ca="1" si="31"/>
        <v>1.4022028216466107E-9</v>
      </c>
      <c r="H474" s="18">
        <f>-SUMIFS(Projetos!$F$2:$F$11,Projetos!$D$2:$D$11,"USD",Projetos!$N$2:$N$11,Dados!$A474)</f>
        <v>0</v>
      </c>
      <c r="I474" s="45">
        <f ca="1">(G474+H474)*((Indicadores_Economicos!D$2+1)^(1/12)-1)</f>
        <v>4.5904471599360782E-12</v>
      </c>
      <c r="J474" s="18">
        <f>SUMIFS(Projetos!$G$2:$G$11,Projetos!$K$2:$K$11,"&lt;="&amp;Dados!$A474,Projetos!$N$2:$N$11,"&gt;"&amp;Dados!$A474,Projetos!$D$2:$D$11,"USD")</f>
        <v>0</v>
      </c>
      <c r="K474" s="18">
        <f t="shared" ca="1" si="29"/>
        <v>1.4067932688065467E-9</v>
      </c>
    </row>
    <row r="475" spans="1:11" x14ac:dyDescent="0.2">
      <c r="A475" s="45">
        <f t="shared" ca="1" si="30"/>
        <v>1.828831249448512E-9</v>
      </c>
      <c r="B475" s="18">
        <f>-SUMIFS(Projetos!$F$2:$F$11,Projetos!$D$2:$D$11,"BRL",Projetos!$N$2:$N$11,Dados!$A475)</f>
        <v>0</v>
      </c>
      <c r="C475" s="45">
        <f ca="1">(A475+B475)*((Indicadores_Economicos!D$2+1)^(1/12)-1)</f>
        <v>5.9871176162481402E-12</v>
      </c>
      <c r="D475" s="18">
        <f>SUMIFS(Projetos!$G$2:$G$11,Projetos!$K$2:$K$11,"&lt;="&amp;Dados!$A475,Projetos!$N$2:$N$11,"&gt;"&amp;Dados!A475,Projetos!$D$2:$D$11,"BRL")</f>
        <v>0</v>
      </c>
      <c r="E475" s="18">
        <f t="shared" ca="1" si="28"/>
        <v>1.8348183670647602E-9</v>
      </c>
      <c r="G475" s="45">
        <f t="shared" ca="1" si="31"/>
        <v>1.4067932688065467E-9</v>
      </c>
      <c r="H475" s="18">
        <f>-SUMIFS(Projetos!$F$2:$F$11,Projetos!$D$2:$D$11,"USD",Projetos!$N$2:$N$11,Dados!$A475)</f>
        <v>0</v>
      </c>
      <c r="I475" s="45">
        <f ca="1">(G475+H475)*((Indicadores_Economicos!D$2+1)^(1/12)-1)</f>
        <v>4.605475089421643E-12</v>
      </c>
      <c r="J475" s="18">
        <f>SUMIFS(Projetos!$G$2:$G$11,Projetos!$K$2:$K$11,"&lt;="&amp;Dados!$A475,Projetos!$N$2:$N$11,"&gt;"&amp;Dados!$A475,Projetos!$D$2:$D$11,"USD")</f>
        <v>0</v>
      </c>
      <c r="K475" s="18">
        <f t="shared" ca="1" si="29"/>
        <v>1.4113987438959682E-9</v>
      </c>
    </row>
    <row r="476" spans="1:11" x14ac:dyDescent="0.2">
      <c r="A476" s="45">
        <f t="shared" ca="1" si="30"/>
        <v>1.8348183670647602E-9</v>
      </c>
      <c r="B476" s="18">
        <f>-SUMIFS(Projetos!$F$2:$F$11,Projetos!$D$2:$D$11,"BRL",Projetos!$N$2:$N$11,Dados!$A476)</f>
        <v>0</v>
      </c>
      <c r="C476" s="45">
        <f ca="1">(A476+B476)*((Indicadores_Economicos!D$2+1)^(1/12)-1)</f>
        <v>6.0067178813691559E-12</v>
      </c>
      <c r="D476" s="18">
        <f>SUMIFS(Projetos!$G$2:$G$11,Projetos!$K$2:$K$11,"&lt;="&amp;Dados!$A476,Projetos!$N$2:$N$11,"&gt;"&amp;Dados!A476,Projetos!$D$2:$D$11,"BRL")</f>
        <v>0</v>
      </c>
      <c r="E476" s="18">
        <f t="shared" ca="1" si="28"/>
        <v>1.8408250849461293E-9</v>
      </c>
      <c r="G476" s="45">
        <f t="shared" ca="1" si="31"/>
        <v>1.4113987438959682E-9</v>
      </c>
      <c r="H476" s="18">
        <f>-SUMIFS(Projetos!$F$2:$F$11,Projetos!$D$2:$D$11,"USD",Projetos!$N$2:$N$11,Dados!$A476)</f>
        <v>0</v>
      </c>
      <c r="I476" s="45">
        <f ca="1">(G476+H476)*((Indicadores_Economicos!D$2+1)^(1/12)-1)</f>
        <v>4.6205522164378089E-12</v>
      </c>
      <c r="J476" s="18">
        <f>SUMIFS(Projetos!$G$2:$G$11,Projetos!$K$2:$K$11,"&lt;="&amp;Dados!$A476,Projetos!$N$2:$N$11,"&gt;"&amp;Dados!$A476,Projetos!$D$2:$D$11,"USD")</f>
        <v>0</v>
      </c>
      <c r="K476" s="18">
        <f t="shared" ca="1" si="29"/>
        <v>1.416019296112406E-9</v>
      </c>
    </row>
    <row r="477" spans="1:11" x14ac:dyDescent="0.2">
      <c r="A477" s="45">
        <f t="shared" ca="1" si="30"/>
        <v>1.8408250849461293E-9</v>
      </c>
      <c r="B477" s="18">
        <f>-SUMIFS(Projetos!$F$2:$F$11,Projetos!$D$2:$D$11,"BRL",Projetos!$N$2:$N$11,Dados!$A477)</f>
        <v>0</v>
      </c>
      <c r="C477" s="45">
        <f ca="1">(A477+B477)*((Indicadores_Economicos!D$2+1)^(1/12)-1)</f>
        <v>6.0263823126578398E-12</v>
      </c>
      <c r="D477" s="18">
        <f>SUMIFS(Projetos!$G$2:$G$11,Projetos!$K$2:$K$11,"&lt;="&amp;Dados!$A477,Projetos!$N$2:$N$11,"&gt;"&amp;Dados!A477,Projetos!$D$2:$D$11,"BRL")</f>
        <v>0</v>
      </c>
      <c r="E477" s="18">
        <f t="shared" ca="1" si="28"/>
        <v>1.8468514672587872E-9</v>
      </c>
      <c r="G477" s="45">
        <f t="shared" ca="1" si="31"/>
        <v>1.416019296112406E-9</v>
      </c>
      <c r="H477" s="18">
        <f>-SUMIFS(Projetos!$F$2:$F$11,Projetos!$D$2:$D$11,"USD",Projetos!$N$2:$N$11,Dados!$A477)</f>
        <v>0</v>
      </c>
      <c r="I477" s="45">
        <f ca="1">(G477+H477)*((Indicadores_Economicos!D$2+1)^(1/12)-1)</f>
        <v>4.6356787020444887E-12</v>
      </c>
      <c r="J477" s="18">
        <f>SUMIFS(Projetos!$G$2:$G$11,Projetos!$K$2:$K$11,"&lt;="&amp;Dados!$A477,Projetos!$N$2:$N$11,"&gt;"&amp;Dados!$A477,Projetos!$D$2:$D$11,"USD")</f>
        <v>0</v>
      </c>
      <c r="K477" s="18">
        <f t="shared" ca="1" si="29"/>
        <v>1.4206549748144506E-9</v>
      </c>
    </row>
    <row r="478" spans="1:11" x14ac:dyDescent="0.2">
      <c r="A478" s="45">
        <f t="shared" ca="1" si="30"/>
        <v>1.8468514672587872E-9</v>
      </c>
      <c r="B478" s="18">
        <f>-SUMIFS(Projetos!$F$2:$F$11,Projetos!$D$2:$D$11,"BRL",Projetos!$N$2:$N$11,Dados!$A478)</f>
        <v>0</v>
      </c>
      <c r="C478" s="45">
        <f ca="1">(A478+B478)*((Indicadores_Economicos!D$2+1)^(1/12)-1)</f>
        <v>6.0461111201775276E-12</v>
      </c>
      <c r="D478" s="18">
        <f>SUMIFS(Projetos!$G$2:$G$11,Projetos!$K$2:$K$11,"&lt;="&amp;Dados!$A478,Projetos!$N$2:$N$11,"&gt;"&amp;Dados!A478,Projetos!$D$2:$D$11,"BRL")</f>
        <v>0</v>
      </c>
      <c r="E478" s="18">
        <f t="shared" ca="1" si="28"/>
        <v>1.8528975783789647E-9</v>
      </c>
      <c r="G478" s="45">
        <f t="shared" ca="1" si="31"/>
        <v>1.4206549748144506E-9</v>
      </c>
      <c r="H478" s="18">
        <f>-SUMIFS(Projetos!$F$2:$F$11,Projetos!$D$2:$D$11,"USD",Projetos!$N$2:$N$11,Dados!$A478)</f>
        <v>0</v>
      </c>
      <c r="I478" s="45">
        <f ca="1">(G478+H478)*((Indicadores_Economicos!D$2+1)^(1/12)-1)</f>
        <v>4.6508547078288634E-12</v>
      </c>
      <c r="J478" s="18">
        <f>SUMIFS(Projetos!$G$2:$G$11,Projetos!$K$2:$K$11,"&lt;="&amp;Dados!$A478,Projetos!$N$2:$N$11,"&gt;"&amp;Dados!$A478,Projetos!$D$2:$D$11,"USD")</f>
        <v>0</v>
      </c>
      <c r="K478" s="18">
        <f t="shared" ca="1" si="29"/>
        <v>1.4253058295222794E-9</v>
      </c>
    </row>
    <row r="479" spans="1:11" x14ac:dyDescent="0.2">
      <c r="A479" s="45">
        <f t="shared" ca="1" si="30"/>
        <v>1.8528975783789647E-9</v>
      </c>
      <c r="B479" s="18">
        <f>-SUMIFS(Projetos!$F$2:$F$11,Projetos!$D$2:$D$11,"BRL",Projetos!$N$2:$N$11,Dados!$A479)</f>
        <v>0</v>
      </c>
      <c r="C479" s="45">
        <f ca="1">(A479+B479)*((Indicadores_Economicos!D$2+1)^(1/12)-1)</f>
        <v>6.0659045146792481E-12</v>
      </c>
      <c r="D479" s="18">
        <f>SUMIFS(Projetos!$G$2:$G$11,Projetos!$K$2:$K$11,"&lt;="&amp;Dados!$A479,Projetos!$N$2:$N$11,"&gt;"&amp;Dados!A479,Projetos!$D$2:$D$11,"BRL")</f>
        <v>0</v>
      </c>
      <c r="E479" s="18">
        <f t="shared" ca="1" si="28"/>
        <v>1.858963482893644E-9</v>
      </c>
      <c r="G479" s="45">
        <f t="shared" ca="1" si="31"/>
        <v>1.4253058295222794E-9</v>
      </c>
      <c r="H479" s="18">
        <f>-SUMIFS(Projetos!$F$2:$F$11,Projetos!$D$2:$D$11,"USD",Projetos!$N$2:$N$11,Dados!$A479)</f>
        <v>0</v>
      </c>
      <c r="I479" s="45">
        <f ca="1">(G479+H479)*((Indicadores_Economicos!D$2+1)^(1/12)-1)</f>
        <v>4.6660803959071096E-12</v>
      </c>
      <c r="J479" s="18">
        <f>SUMIFS(Projetos!$G$2:$G$11,Projetos!$K$2:$K$11,"&lt;="&amp;Dados!$A479,Projetos!$N$2:$N$11,"&gt;"&amp;Dados!$A479,Projetos!$D$2:$D$11,"USD")</f>
        <v>0</v>
      </c>
      <c r="K479" s="18">
        <f t="shared" ca="1" si="29"/>
        <v>1.4299719099181865E-9</v>
      </c>
    </row>
    <row r="480" spans="1:11" x14ac:dyDescent="0.2">
      <c r="A480" s="45">
        <f t="shared" ca="1" si="30"/>
        <v>1.858963482893644E-9</v>
      </c>
      <c r="B480" s="18">
        <f>-SUMIFS(Projetos!$F$2:$F$11,Projetos!$D$2:$D$11,"BRL",Projetos!$N$2:$N$11,Dados!$A480)</f>
        <v>0</v>
      </c>
      <c r="C480" s="45">
        <f ca="1">(A480+B480)*((Indicadores_Economicos!D$2+1)^(1/12)-1)</f>
        <v>6.0857627076039734E-12</v>
      </c>
      <c r="D480" s="18">
        <f>SUMIFS(Projetos!$G$2:$G$11,Projetos!$K$2:$K$11,"&lt;="&amp;Dados!$A480,Projetos!$N$2:$N$11,"&gt;"&amp;Dados!A480,Projetos!$D$2:$D$11,"BRL")</f>
        <v>0</v>
      </c>
      <c r="E480" s="18">
        <f t="shared" ca="1" si="28"/>
        <v>1.8650492456012479E-9</v>
      </c>
      <c r="G480" s="45">
        <f t="shared" ca="1" si="31"/>
        <v>1.4299719099181865E-9</v>
      </c>
      <c r="H480" s="18">
        <f>-SUMIFS(Projetos!$F$2:$F$11,Projetos!$D$2:$D$11,"USD",Projetos!$N$2:$N$11,Dados!$A480)</f>
        <v>0</v>
      </c>
      <c r="I480" s="45">
        <f ca="1">(G480+H480)*((Indicadores_Economicos!D$2+1)^(1/12)-1)</f>
        <v>4.6813559289261298E-12</v>
      </c>
      <c r="J480" s="18">
        <f>SUMIFS(Projetos!$G$2:$G$11,Projetos!$K$2:$K$11,"&lt;="&amp;Dados!$A480,Projetos!$N$2:$N$11,"&gt;"&amp;Dados!$A480,Projetos!$D$2:$D$11,"USD")</f>
        <v>0</v>
      </c>
      <c r="K480" s="18">
        <f t="shared" ca="1" si="29"/>
        <v>1.4346532658471125E-9</v>
      </c>
    </row>
    <row r="481" spans="1:11" x14ac:dyDescent="0.2">
      <c r="A481" s="45">
        <f t="shared" ca="1" si="30"/>
        <v>1.8650492456012479E-9</v>
      </c>
      <c r="B481" s="18">
        <f>-SUMIFS(Projetos!$F$2:$F$11,Projetos!$D$2:$D$11,"BRL",Projetos!$N$2:$N$11,Dados!$A481)</f>
        <v>0</v>
      </c>
      <c r="C481" s="45">
        <f ca="1">(A481+B481)*((Indicadores_Economicos!D$2+1)^(1/12)-1)</f>
        <v>6.105685911084879E-12</v>
      </c>
      <c r="D481" s="18">
        <f>SUMIFS(Projetos!$G$2:$G$11,Projetos!$K$2:$K$11,"&lt;="&amp;Dados!$A481,Projetos!$N$2:$N$11,"&gt;"&amp;Dados!A481,Projetos!$D$2:$D$11,"BRL")</f>
        <v>0</v>
      </c>
      <c r="E481" s="18">
        <f t="shared" ca="1" si="28"/>
        <v>1.871154931512333E-9</v>
      </c>
      <c r="G481" s="45">
        <f t="shared" ca="1" si="31"/>
        <v>1.4346532658471125E-9</v>
      </c>
      <c r="H481" s="18">
        <f>-SUMIFS(Projetos!$F$2:$F$11,Projetos!$D$2:$D$11,"USD",Projetos!$N$2:$N$11,Dados!$A481)</f>
        <v>0</v>
      </c>
      <c r="I481" s="45">
        <f ca="1">(G481+H481)*((Indicadores_Economicos!D$2+1)^(1/12)-1)</f>
        <v>4.6966814700652878E-12</v>
      </c>
      <c r="J481" s="18">
        <f>SUMIFS(Projetos!$G$2:$G$11,Projetos!$K$2:$K$11,"&lt;="&amp;Dados!$A481,Projetos!$N$2:$N$11,"&gt;"&amp;Dados!$A481,Projetos!$D$2:$D$11,"USD")</f>
        <v>0</v>
      </c>
      <c r="K481" s="18">
        <f t="shared" ca="1" si="29"/>
        <v>1.4393499473171778E-9</v>
      </c>
    </row>
    <row r="482" spans="1:11" x14ac:dyDescent="0.2">
      <c r="A482" s="45">
        <f t="shared" ca="1" si="30"/>
        <v>1.871154931512333E-9</v>
      </c>
      <c r="B482" s="18">
        <f>-SUMIFS(Projetos!$F$2:$F$11,Projetos!$D$2:$D$11,"BRL",Projetos!$N$2:$N$11,Dados!$A482)</f>
        <v>0</v>
      </c>
      <c r="C482" s="45">
        <f ca="1">(A482+B482)*((Indicadores_Economicos!D$2+1)^(1/12)-1)</f>
        <v>6.12567433794961E-12</v>
      </c>
      <c r="D482" s="18">
        <f>SUMIFS(Projetos!$G$2:$G$11,Projetos!$K$2:$K$11,"&lt;="&amp;Dados!$A482,Projetos!$N$2:$N$11,"&gt;"&amp;Dados!A482,Projetos!$D$2:$D$11,"BRL")</f>
        <v>0</v>
      </c>
      <c r="E482" s="18">
        <f t="shared" ca="1" si="28"/>
        <v>1.8772806058502826E-9</v>
      </c>
      <c r="G482" s="45">
        <f t="shared" ca="1" si="31"/>
        <v>1.4393499473171778E-9</v>
      </c>
      <c r="H482" s="18">
        <f>-SUMIFS(Projetos!$F$2:$F$11,Projetos!$D$2:$D$11,"USD",Projetos!$N$2:$N$11,Dados!$A482)</f>
        <v>0</v>
      </c>
      <c r="I482" s="45">
        <f ca="1">(G482+H482)*((Indicadores_Economicos!D$2+1)^(1/12)-1)</f>
        <v>4.7120571830381567E-12</v>
      </c>
      <c r="J482" s="18">
        <f>SUMIFS(Projetos!$G$2:$G$11,Projetos!$K$2:$K$11,"&lt;="&amp;Dados!$A482,Projetos!$N$2:$N$11,"&gt;"&amp;Dados!$A482,Projetos!$D$2:$D$11,"USD")</f>
        <v>0</v>
      </c>
      <c r="K482" s="18">
        <f t="shared" ca="1" si="29"/>
        <v>1.444062004500216E-9</v>
      </c>
    </row>
    <row r="483" spans="1:11" x14ac:dyDescent="0.2">
      <c r="A483" s="45">
        <f t="shared" ca="1" si="30"/>
        <v>1.8772806058502826E-9</v>
      </c>
      <c r="B483" s="18">
        <f>-SUMIFS(Projetos!$F$2:$F$11,Projetos!$D$2:$D$11,"BRL",Projetos!$N$2:$N$11,Dados!$A483)</f>
        <v>0</v>
      </c>
      <c r="C483" s="45">
        <f ca="1">(A483+B483)*((Indicadores_Economicos!D$2+1)^(1/12)-1)</f>
        <v>6.14572820172255E-12</v>
      </c>
      <c r="D483" s="18">
        <f>SUMIFS(Projetos!$G$2:$G$11,Projetos!$K$2:$K$11,"&lt;="&amp;Dados!$A483,Projetos!$N$2:$N$11,"&gt;"&amp;Dados!A483,Projetos!$D$2:$D$11,"BRL")</f>
        <v>0</v>
      </c>
      <c r="E483" s="18">
        <f t="shared" ca="1" si="28"/>
        <v>1.883426334052005E-9</v>
      </c>
      <c r="G483" s="45">
        <f t="shared" ca="1" si="31"/>
        <v>1.444062004500216E-9</v>
      </c>
      <c r="H483" s="18">
        <f>-SUMIFS(Projetos!$F$2:$F$11,Projetos!$D$2:$D$11,"USD",Projetos!$N$2:$N$11,Dados!$A483)</f>
        <v>0</v>
      </c>
      <c r="I483" s="45">
        <f ca="1">(G483+H483)*((Indicadores_Economicos!D$2+1)^(1/12)-1)</f>
        <v>4.7274832320942651E-12</v>
      </c>
      <c r="J483" s="18">
        <f>SUMIFS(Projetos!$G$2:$G$11,Projetos!$K$2:$K$11,"&lt;="&amp;Dados!$A483,Projetos!$N$2:$N$11,"&gt;"&amp;Dados!$A483,Projetos!$D$2:$D$11,"USD")</f>
        <v>0</v>
      </c>
      <c r="K483" s="18">
        <f t="shared" ca="1" si="29"/>
        <v>1.4487894877323103E-9</v>
      </c>
    </row>
    <row r="484" spans="1:11" x14ac:dyDescent="0.2">
      <c r="A484" s="45">
        <f t="shared" ca="1" si="30"/>
        <v>1.883426334052005E-9</v>
      </c>
      <c r="B484" s="18">
        <f>-SUMIFS(Projetos!$F$2:$F$11,Projetos!$D$2:$D$11,"BRL",Projetos!$N$2:$N$11,Dados!$A484)</f>
        <v>0</v>
      </c>
      <c r="C484" s="45">
        <f ca="1">(A484+B484)*((Indicadores_Economicos!D$2+1)^(1/12)-1)</f>
        <v>6.165847716627111E-12</v>
      </c>
      <c r="D484" s="18">
        <f>SUMIFS(Projetos!$G$2:$G$11,Projetos!$K$2:$K$11,"&lt;="&amp;Dados!$A484,Projetos!$N$2:$N$11,"&gt;"&amp;Dados!A484,Projetos!$D$2:$D$11,"BRL")</f>
        <v>0</v>
      </c>
      <c r="E484" s="18">
        <f t="shared" ca="1" si="28"/>
        <v>1.8895921817686322E-9</v>
      </c>
      <c r="G484" s="45">
        <f t="shared" ca="1" si="31"/>
        <v>1.4487894877323103E-9</v>
      </c>
      <c r="H484" s="18">
        <f>-SUMIFS(Projetos!$F$2:$F$11,Projetos!$D$2:$D$11,"USD",Projetos!$N$2:$N$11,Dados!$A484)</f>
        <v>0</v>
      </c>
      <c r="I484" s="45">
        <f ca="1">(G484+H484)*((Indicadores_Economicos!D$2+1)^(1/12)-1)</f>
        <v>4.7429597820208502E-12</v>
      </c>
      <c r="J484" s="18">
        <f>SUMIFS(Projetos!$G$2:$G$11,Projetos!$K$2:$K$11,"&lt;="&amp;Dados!$A484,Projetos!$N$2:$N$11,"&gt;"&amp;Dados!$A484,Projetos!$D$2:$D$11,"USD")</f>
        <v>0</v>
      </c>
      <c r="K484" s="18">
        <f t="shared" ca="1" si="29"/>
        <v>1.4535324475143312E-9</v>
      </c>
    </row>
    <row r="485" spans="1:11" x14ac:dyDescent="0.2">
      <c r="A485" s="45">
        <f t="shared" ca="1" si="30"/>
        <v>1.8895921817686322E-9</v>
      </c>
      <c r="B485" s="18">
        <f>-SUMIFS(Projetos!$F$2:$F$11,Projetos!$D$2:$D$11,"BRL",Projetos!$N$2:$N$11,Dados!$A485)</f>
        <v>0</v>
      </c>
      <c r="C485" s="45">
        <f ca="1">(A485+B485)*((Indicadores_Economicos!D$2+1)^(1/12)-1)</f>
        <v>6.1860330975880134E-12</v>
      </c>
      <c r="D485" s="18">
        <f>SUMIFS(Projetos!$G$2:$G$11,Projetos!$K$2:$K$11,"&lt;="&amp;Dados!$A485,Projetos!$N$2:$N$11,"&gt;"&amp;Dados!A485,Projetos!$D$2:$D$11,"BRL")</f>
        <v>0</v>
      </c>
      <c r="E485" s="18">
        <f t="shared" ca="1" si="28"/>
        <v>1.8957782148662203E-9</v>
      </c>
      <c r="G485" s="45">
        <f t="shared" ca="1" si="31"/>
        <v>1.4535324475143312E-9</v>
      </c>
      <c r="H485" s="18">
        <f>-SUMIFS(Projetos!$F$2:$F$11,Projetos!$D$2:$D$11,"USD",Projetos!$N$2:$N$11,Dados!$A485)</f>
        <v>0</v>
      </c>
      <c r="I485" s="45">
        <f ca="1">(G485+H485)*((Indicadores_Economicos!D$2+1)^(1/12)-1)</f>
        <v>4.7584869981446215E-12</v>
      </c>
      <c r="J485" s="18">
        <f>SUMIFS(Projetos!$G$2:$G$11,Projetos!$K$2:$K$11,"&lt;="&amp;Dados!$A485,Projetos!$N$2:$N$11,"&gt;"&amp;Dados!$A485,Projetos!$D$2:$D$11,"USD")</f>
        <v>0</v>
      </c>
      <c r="K485" s="18">
        <f t="shared" ca="1" si="29"/>
        <v>1.4582909345124757E-9</v>
      </c>
    </row>
    <row r="486" spans="1:11" x14ac:dyDescent="0.2">
      <c r="A486" s="45">
        <f t="shared" ca="1" si="30"/>
        <v>1.8957782148662203E-9</v>
      </c>
      <c r="B486" s="18">
        <f>-SUMIFS(Projetos!$F$2:$F$11,Projetos!$D$2:$D$11,"BRL",Projetos!$N$2:$N$11,Dados!$A486)</f>
        <v>0</v>
      </c>
      <c r="C486" s="45">
        <f ca="1">(A486+B486)*((Indicadores_Economicos!D$2+1)^(1/12)-1)</f>
        <v>6.2062845602335872E-12</v>
      </c>
      <c r="D486" s="18">
        <f>SUMIFS(Projetos!$G$2:$G$11,Projetos!$K$2:$K$11,"&lt;="&amp;Dados!$A486,Projetos!$N$2:$N$11,"&gt;"&amp;Dados!A486,Projetos!$D$2:$D$11,"BRL")</f>
        <v>0</v>
      </c>
      <c r="E486" s="18">
        <f t="shared" ca="1" si="28"/>
        <v>1.9019844994264539E-9</v>
      </c>
      <c r="G486" s="45">
        <f t="shared" ca="1" si="31"/>
        <v>1.4582909345124757E-9</v>
      </c>
      <c r="H486" s="18">
        <f>-SUMIFS(Projetos!$F$2:$F$11,Projetos!$D$2:$D$11,"USD",Projetos!$N$2:$N$11,Dados!$A486)</f>
        <v>0</v>
      </c>
      <c r="I486" s="45">
        <f ca="1">(G486+H486)*((Indicadores_Economicos!D$2+1)^(1/12)-1)</f>
        <v>4.7740650463335236E-12</v>
      </c>
      <c r="J486" s="18">
        <f>SUMIFS(Projetos!$G$2:$G$11,Projetos!$K$2:$K$11,"&lt;="&amp;Dados!$A486,Projetos!$N$2:$N$11,"&gt;"&amp;Dados!$A486,Projetos!$D$2:$D$11,"USD")</f>
        <v>0</v>
      </c>
      <c r="K486" s="18">
        <f t="shared" ca="1" si="29"/>
        <v>1.4630649995588092E-9</v>
      </c>
    </row>
    <row r="487" spans="1:11" x14ac:dyDescent="0.2">
      <c r="A487" s="45">
        <f t="shared" ca="1" si="30"/>
        <v>1.9019844994264539E-9</v>
      </c>
      <c r="B487" s="18">
        <f>-SUMIFS(Projetos!$F$2:$F$11,Projetos!$D$2:$D$11,"BRL",Projetos!$N$2:$N$11,Dados!$A487)</f>
        <v>0</v>
      </c>
      <c r="C487" s="45">
        <f ca="1">(A487+B487)*((Indicadores_Economicos!D$2+1)^(1/12)-1)</f>
        <v>6.226602320898071E-12</v>
      </c>
      <c r="D487" s="18">
        <f>SUMIFS(Projetos!$G$2:$G$11,Projetos!$K$2:$K$11,"&lt;="&amp;Dados!$A487,Projetos!$N$2:$N$11,"&gt;"&amp;Dados!A487,Projetos!$D$2:$D$11,"BRL")</f>
        <v>0</v>
      </c>
      <c r="E487" s="18">
        <f t="shared" ca="1" si="28"/>
        <v>1.9082111017473519E-9</v>
      </c>
      <c r="G487" s="45">
        <f t="shared" ca="1" si="31"/>
        <v>1.4630649995588092E-9</v>
      </c>
      <c r="H487" s="18">
        <f>-SUMIFS(Projetos!$F$2:$F$11,Projetos!$D$2:$D$11,"USD",Projetos!$N$2:$N$11,Dados!$A487)</f>
        <v>0</v>
      </c>
      <c r="I487" s="45">
        <f ca="1">(G487+H487)*((Indicadores_Economicos!D$2+1)^(1/12)-1)</f>
        <v>4.7896940929985114E-12</v>
      </c>
      <c r="J487" s="18">
        <f>SUMIFS(Projetos!$G$2:$G$11,Projetos!$K$2:$K$11,"&lt;="&amp;Dados!$A487,Projetos!$N$2:$N$11,"&gt;"&amp;Dados!$A487,Projetos!$D$2:$D$11,"USD")</f>
        <v>0</v>
      </c>
      <c r="K487" s="18">
        <f t="shared" ca="1" si="29"/>
        <v>1.4678546936518077E-9</v>
      </c>
    </row>
    <row r="488" spans="1:11" x14ac:dyDescent="0.2">
      <c r="A488" s="45">
        <f t="shared" ca="1" si="30"/>
        <v>1.9082111017473519E-9</v>
      </c>
      <c r="B488" s="18">
        <f>-SUMIFS(Projetos!$F$2:$F$11,Projetos!$D$2:$D$11,"BRL",Projetos!$N$2:$N$11,Dados!$A488)</f>
        <v>0</v>
      </c>
      <c r="C488" s="45">
        <f ca="1">(A488+B488)*((Indicadores_Economicos!D$2+1)^(1/12)-1)</f>
        <v>6.2469865966239268E-12</v>
      </c>
      <c r="D488" s="18">
        <f>SUMIFS(Projetos!$G$2:$G$11,Projetos!$K$2:$K$11,"&lt;="&amp;Dados!$A488,Projetos!$N$2:$N$11,"&gt;"&amp;Dados!A488,Projetos!$D$2:$D$11,"BRL")</f>
        <v>0</v>
      </c>
      <c r="E488" s="18">
        <f t="shared" ca="1" si="28"/>
        <v>1.9144580883439757E-9</v>
      </c>
      <c r="G488" s="45">
        <f t="shared" ca="1" si="31"/>
        <v>1.4678546936518077E-9</v>
      </c>
      <c r="H488" s="18">
        <f>-SUMIFS(Projetos!$F$2:$F$11,Projetos!$D$2:$D$11,"USD",Projetos!$N$2:$N$11,Dados!$A488)</f>
        <v>0</v>
      </c>
      <c r="I488" s="45">
        <f ca="1">(G488+H488)*((Indicadores_Economicos!D$2+1)^(1/12)-1)</f>
        <v>4.8053743050953229E-12</v>
      </c>
      <c r="J488" s="18">
        <f>SUMIFS(Projetos!$G$2:$G$11,Projetos!$K$2:$K$11,"&lt;="&amp;Dados!$A488,Projetos!$N$2:$N$11,"&gt;"&amp;Dados!$A488,Projetos!$D$2:$D$11,"USD")</f>
        <v>0</v>
      </c>
      <c r="K488" s="18">
        <f t="shared" ca="1" si="29"/>
        <v>1.472660067956903E-9</v>
      </c>
    </row>
    <row r="489" spans="1:11" x14ac:dyDescent="0.2">
      <c r="A489" s="45">
        <f t="shared" ca="1" si="30"/>
        <v>1.9144580883439757E-9</v>
      </c>
      <c r="B489" s="18">
        <f>-SUMIFS(Projetos!$F$2:$F$11,Projetos!$D$2:$D$11,"BRL",Projetos!$N$2:$N$11,Dados!$A489)</f>
        <v>0</v>
      </c>
      <c r="C489" s="45">
        <f ca="1">(A489+B489)*((Indicadores_Economicos!D$2+1)^(1/12)-1)</f>
        <v>6.2674376051641577E-12</v>
      </c>
      <c r="D489" s="18">
        <f>SUMIFS(Projetos!$G$2:$G$11,Projetos!$K$2:$K$11,"&lt;="&amp;Dados!$A489,Projetos!$N$2:$N$11,"&gt;"&amp;Dados!A489,Projetos!$D$2:$D$11,"BRL")</f>
        <v>0</v>
      </c>
      <c r="E489" s="18">
        <f t="shared" ca="1" si="28"/>
        <v>1.9207255259491398E-9</v>
      </c>
      <c r="G489" s="45">
        <f t="shared" ca="1" si="31"/>
        <v>1.472660067956903E-9</v>
      </c>
      <c r="H489" s="18">
        <f>-SUMIFS(Projetos!$F$2:$F$11,Projetos!$D$2:$D$11,"USD",Projetos!$N$2:$N$11,Dados!$A489)</f>
        <v>0</v>
      </c>
      <c r="I489" s="45">
        <f ca="1">(G489+H489)*((Indicadores_Economicos!D$2+1)^(1/12)-1)</f>
        <v>4.8211058501262705E-12</v>
      </c>
      <c r="J489" s="18">
        <f>SUMIFS(Projetos!$G$2:$G$11,Projetos!$K$2:$K$11,"&lt;="&amp;Dados!$A489,Projetos!$N$2:$N$11,"&gt;"&amp;Dados!$A489,Projetos!$D$2:$D$11,"USD")</f>
        <v>0</v>
      </c>
      <c r="K489" s="18">
        <f t="shared" ca="1" si="29"/>
        <v>1.4774811738070293E-9</v>
      </c>
    </row>
    <row r="490" spans="1:11" x14ac:dyDescent="0.2">
      <c r="A490" s="45">
        <f t="shared" ca="1" si="30"/>
        <v>1.9207255259491398E-9</v>
      </c>
      <c r="B490" s="18">
        <f>-SUMIFS(Projetos!$F$2:$F$11,Projetos!$D$2:$D$11,"BRL",Projetos!$N$2:$N$11,Dados!$A490)</f>
        <v>0</v>
      </c>
      <c r="C490" s="45">
        <f ca="1">(A490+B490)*((Indicadores_Economicos!D$2+1)^(1/12)-1)</f>
        <v>6.2879555649846321E-12</v>
      </c>
      <c r="D490" s="18">
        <f>SUMIFS(Projetos!$G$2:$G$11,Projetos!$K$2:$K$11,"&lt;="&amp;Dados!$A490,Projetos!$N$2:$N$11,"&gt;"&amp;Dados!A490,Projetos!$D$2:$D$11,"BRL")</f>
        <v>0</v>
      </c>
      <c r="E490" s="18">
        <f t="shared" ca="1" si="28"/>
        <v>1.9270134815141245E-9</v>
      </c>
      <c r="G490" s="45">
        <f t="shared" ca="1" si="31"/>
        <v>1.4774811738070293E-9</v>
      </c>
      <c r="H490" s="18">
        <f>-SUMIFS(Projetos!$F$2:$F$11,Projetos!$D$2:$D$11,"USD",Projetos!$N$2:$N$11,Dados!$A490)</f>
        <v>0</v>
      </c>
      <c r="I490" s="45">
        <f ca="1">(G490+H490)*((Indicadores_Economicos!D$2+1)^(1/12)-1)</f>
        <v>4.8368888961420209E-12</v>
      </c>
      <c r="J490" s="18">
        <f>SUMIFS(Projetos!$G$2:$G$11,Projetos!$K$2:$K$11,"&lt;="&amp;Dados!$A490,Projetos!$N$2:$N$11,"&gt;"&amp;Dados!$A490,Projetos!$D$2:$D$11,"USD")</f>
        <v>0</v>
      </c>
      <c r="K490" s="18">
        <f t="shared" ca="1" si="29"/>
        <v>1.4823180627031714E-9</v>
      </c>
    </row>
    <row r="491" spans="1:11" x14ac:dyDescent="0.2">
      <c r="A491" s="45">
        <f t="shared" ca="1" si="30"/>
        <v>1.9270134815141245E-9</v>
      </c>
      <c r="B491" s="18">
        <f>-SUMIFS(Projetos!$F$2:$F$11,Projetos!$D$2:$D$11,"BRL",Projetos!$N$2:$N$11,Dados!$A491)</f>
        <v>0</v>
      </c>
      <c r="C491" s="45">
        <f ca="1">(A491+B491)*((Indicadores_Economicos!D$2+1)^(1/12)-1)</f>
        <v>6.3085406952664215E-12</v>
      </c>
      <c r="D491" s="18">
        <f>SUMIFS(Projetos!$G$2:$G$11,Projetos!$K$2:$K$11,"&lt;="&amp;Dados!$A491,Projetos!$N$2:$N$11,"&gt;"&amp;Dados!A491,Projetos!$D$2:$D$11,"BRL")</f>
        <v>0</v>
      </c>
      <c r="E491" s="18">
        <f t="shared" ca="1" si="28"/>
        <v>1.9333220222093907E-9</v>
      </c>
      <c r="G491" s="45">
        <f t="shared" ca="1" si="31"/>
        <v>1.4823180627031714E-9</v>
      </c>
      <c r="H491" s="18">
        <f>-SUMIFS(Projetos!$F$2:$F$11,Projetos!$D$2:$D$11,"USD",Projetos!$N$2:$N$11,Dados!$A491)</f>
        <v>0</v>
      </c>
      <c r="I491" s="45">
        <f ca="1">(G491+H491)*((Indicadores_Economicos!D$2+1)^(1/12)-1)</f>
        <v>4.8527236117433975E-12</v>
      </c>
      <c r="J491" s="18">
        <f>SUMIFS(Projetos!$G$2:$G$11,Projetos!$K$2:$K$11,"&lt;="&amp;Dados!$A491,Projetos!$N$2:$N$11,"&gt;"&amp;Dados!$A491,Projetos!$D$2:$D$11,"USD")</f>
        <v>0</v>
      </c>
      <c r="K491" s="18">
        <f t="shared" ca="1" si="29"/>
        <v>1.4871707863149149E-9</v>
      </c>
    </row>
    <row r="492" spans="1:11" x14ac:dyDescent="0.2">
      <c r="A492" s="45">
        <f t="shared" ca="1" si="30"/>
        <v>1.9333220222093907E-9</v>
      </c>
      <c r="B492" s="18">
        <f>-SUMIFS(Projetos!$F$2:$F$11,Projetos!$D$2:$D$11,"BRL",Projetos!$N$2:$N$11,Dados!$A492)</f>
        <v>0</v>
      </c>
      <c r="C492" s="45">
        <f ca="1">(A492+B492)*((Indicadores_Economicos!D$2+1)^(1/12)-1)</f>
        <v>6.3291932159081358E-12</v>
      </c>
      <c r="D492" s="18">
        <f>SUMIFS(Projetos!$G$2:$G$11,Projetos!$K$2:$K$11,"&lt;="&amp;Dados!$A492,Projetos!$N$2:$N$11,"&gt;"&amp;Dados!A492,Projetos!$D$2:$D$11,"BRL")</f>
        <v>0</v>
      </c>
      <c r="E492" s="18">
        <f t="shared" ca="1" si="28"/>
        <v>1.9396512154252988E-9</v>
      </c>
      <c r="G492" s="45">
        <f t="shared" ca="1" si="31"/>
        <v>1.4871707863149149E-9</v>
      </c>
      <c r="H492" s="18">
        <f>-SUMIFS(Projetos!$F$2:$F$11,Projetos!$D$2:$D$11,"USD",Projetos!$N$2:$N$11,Dados!$A492)</f>
        <v>0</v>
      </c>
      <c r="I492" s="45">
        <f ca="1">(G492+H492)*((Indicadores_Economicos!D$2+1)^(1/12)-1)</f>
        <v>4.8686101660831779E-12</v>
      </c>
      <c r="J492" s="18">
        <f>SUMIFS(Projetos!$G$2:$G$11,Projetos!$K$2:$K$11,"&lt;="&amp;Dados!$A492,Projetos!$N$2:$N$11,"&gt;"&amp;Dados!$A492,Projetos!$D$2:$D$11,"USD")</f>
        <v>0</v>
      </c>
      <c r="K492" s="18">
        <f t="shared" ca="1" si="29"/>
        <v>1.4920393964809981E-9</v>
      </c>
    </row>
    <row r="493" spans="1:11" x14ac:dyDescent="0.2">
      <c r="A493" s="45">
        <f t="shared" ca="1" si="30"/>
        <v>1.9396512154252988E-9</v>
      </c>
      <c r="B493" s="18">
        <f>-SUMIFS(Projetos!$F$2:$F$11,Projetos!$D$2:$D$11,"BRL",Projetos!$N$2:$N$11,Dados!$A493)</f>
        <v>0</v>
      </c>
      <c r="C493" s="45">
        <f ca="1">(A493+B493)*((Indicadores_Economicos!D$2+1)^(1/12)-1)</f>
        <v>6.3499133475282772E-12</v>
      </c>
      <c r="D493" s="18">
        <f>SUMIFS(Projetos!$G$2:$G$11,Projetos!$K$2:$K$11,"&lt;="&amp;Dados!$A493,Projetos!$N$2:$N$11,"&gt;"&amp;Dados!A493,Projetos!$D$2:$D$11,"BRL")</f>
        <v>0</v>
      </c>
      <c r="E493" s="18">
        <f t="shared" ca="1" si="28"/>
        <v>1.9460011287728271E-9</v>
      </c>
      <c r="G493" s="45">
        <f t="shared" ca="1" si="31"/>
        <v>1.4920393964809981E-9</v>
      </c>
      <c r="H493" s="18">
        <f>-SUMIFS(Projetos!$F$2:$F$11,Projetos!$D$2:$D$11,"USD",Projetos!$N$2:$N$11,Dados!$A493)</f>
        <v>0</v>
      </c>
      <c r="I493" s="45">
        <f ca="1">(G493+H493)*((Indicadores_Economicos!D$2+1)^(1/12)-1)</f>
        <v>4.8845487288679021E-12</v>
      </c>
      <c r="J493" s="18">
        <f>SUMIFS(Projetos!$G$2:$G$11,Projetos!$K$2:$K$11,"&lt;="&amp;Dados!$A493,Projetos!$N$2:$N$11,"&gt;"&amp;Dados!$A493,Projetos!$D$2:$D$11,"USD")</f>
        <v>0</v>
      </c>
      <c r="K493" s="18">
        <f t="shared" ca="1" si="29"/>
        <v>1.496923945209866E-9</v>
      </c>
    </row>
    <row r="494" spans="1:11" x14ac:dyDescent="0.2">
      <c r="A494" s="45">
        <f t="shared" ca="1" si="30"/>
        <v>1.9460011287728271E-9</v>
      </c>
      <c r="B494" s="18">
        <f>-SUMIFS(Projetos!$F$2:$F$11,Projetos!$D$2:$D$11,"BRL",Projetos!$N$2:$N$11,Dados!$A494)</f>
        <v>0</v>
      </c>
      <c r="C494" s="45">
        <f ca="1">(A494+B494)*((Indicadores_Economicos!D$2+1)^(1/12)-1)</f>
        <v>6.3707013114675965E-12</v>
      </c>
      <c r="D494" s="18">
        <f>SUMIFS(Projetos!$G$2:$G$11,Projetos!$K$2:$K$11,"&lt;="&amp;Dados!$A494,Projetos!$N$2:$N$11,"&gt;"&amp;Dados!A494,Projetos!$D$2:$D$11,"BRL")</f>
        <v>0</v>
      </c>
      <c r="E494" s="18">
        <f t="shared" ca="1" si="28"/>
        <v>1.9523718300842947E-9</v>
      </c>
      <c r="G494" s="45">
        <f t="shared" ca="1" si="31"/>
        <v>1.496923945209866E-9</v>
      </c>
      <c r="H494" s="18">
        <f>-SUMIFS(Projetos!$F$2:$F$11,Projetos!$D$2:$D$11,"USD",Projetos!$N$2:$N$11,Dados!$A494)</f>
        <v>0</v>
      </c>
      <c r="I494" s="45">
        <f ca="1">(G494+H494)*((Indicadores_Economicos!D$2+1)^(1/12)-1)</f>
        <v>4.9005394703596865E-12</v>
      </c>
      <c r="J494" s="18">
        <f>SUMIFS(Projetos!$G$2:$G$11,Projetos!$K$2:$K$11,"&lt;="&amp;Dados!$A494,Projetos!$N$2:$N$11,"&gt;"&amp;Dados!$A494,Projetos!$D$2:$D$11,"USD")</f>
        <v>0</v>
      </c>
      <c r="K494" s="18">
        <f t="shared" ca="1" si="29"/>
        <v>1.5018244846802257E-9</v>
      </c>
    </row>
    <row r="495" spans="1:11" x14ac:dyDescent="0.2">
      <c r="A495" s="45">
        <f t="shared" ca="1" si="30"/>
        <v>1.9523718300842947E-9</v>
      </c>
      <c r="B495" s="18">
        <f>-SUMIFS(Projetos!$F$2:$F$11,Projetos!$D$2:$D$11,"BRL",Projetos!$N$2:$N$11,Dados!$A495)</f>
        <v>0</v>
      </c>
      <c r="C495" s="45">
        <f ca="1">(A495+B495)*((Indicadores_Economicos!D$2+1)^(1/12)-1)</f>
        <v>6.391557329791455E-12</v>
      </c>
      <c r="D495" s="18">
        <f>SUMIFS(Projetos!$G$2:$G$11,Projetos!$K$2:$K$11,"&lt;="&amp;Dados!$A495,Projetos!$N$2:$N$11,"&gt;"&amp;Dados!A495,Projetos!$D$2:$D$11,"BRL")</f>
        <v>0</v>
      </c>
      <c r="E495" s="18">
        <f t="shared" ca="1" si="28"/>
        <v>1.9587633874140861E-9</v>
      </c>
      <c r="G495" s="45">
        <f t="shared" ca="1" si="31"/>
        <v>1.5018244846802257E-9</v>
      </c>
      <c r="H495" s="18">
        <f>-SUMIFS(Projetos!$F$2:$F$11,Projetos!$D$2:$D$11,"USD",Projetos!$N$2:$N$11,Dados!$A495)</f>
        <v>0</v>
      </c>
      <c r="I495" s="45">
        <f ca="1">(G495+H495)*((Indicadores_Economicos!D$2+1)^(1/12)-1)</f>
        <v>4.9165825613780389E-12</v>
      </c>
      <c r="J495" s="18">
        <f>SUMIFS(Projetos!$G$2:$G$11,Projetos!$K$2:$K$11,"&lt;="&amp;Dados!$A495,Projetos!$N$2:$N$11,"&gt;"&amp;Dados!$A495,Projetos!$D$2:$D$11,"USD")</f>
        <v>0</v>
      </c>
      <c r="K495" s="18">
        <f t="shared" ca="1" si="29"/>
        <v>1.5067410672416038E-9</v>
      </c>
    </row>
    <row r="496" spans="1:11" x14ac:dyDescent="0.2">
      <c r="A496" s="45">
        <f t="shared" ca="1" si="30"/>
        <v>1.9587633874140861E-9</v>
      </c>
      <c r="B496" s="18">
        <f>-SUMIFS(Projetos!$F$2:$F$11,Projetos!$D$2:$D$11,"BRL",Projetos!$N$2:$N$11,Dados!$A496)</f>
        <v>0</v>
      </c>
      <c r="C496" s="45">
        <f ca="1">(A496+B496)*((Indicadores_Economicos!D$2+1)^(1/12)-1)</f>
        <v>6.4124816252921982E-12</v>
      </c>
      <c r="D496" s="18">
        <f>SUMIFS(Projetos!$G$2:$G$11,Projetos!$K$2:$K$11,"&lt;="&amp;Dados!$A496,Projetos!$N$2:$N$11,"&gt;"&amp;Dados!A496,Projetos!$D$2:$D$11,"BRL")</f>
        <v>0</v>
      </c>
      <c r="E496" s="18">
        <f t="shared" ca="1" si="28"/>
        <v>1.9651758690393782E-9</v>
      </c>
      <c r="G496" s="45">
        <f t="shared" ca="1" si="31"/>
        <v>1.5067410672416038E-9</v>
      </c>
      <c r="H496" s="18">
        <f>-SUMIFS(Projetos!$F$2:$F$11,Projetos!$D$2:$D$11,"USD",Projetos!$N$2:$N$11,Dados!$A496)</f>
        <v>0</v>
      </c>
      <c r="I496" s="45">
        <f ca="1">(G496+H496)*((Indicadores_Economicos!D$2+1)^(1/12)-1)</f>
        <v>4.9326781733016884E-12</v>
      </c>
      <c r="J496" s="18">
        <f>SUMIFS(Projetos!$G$2:$G$11,Projetos!$K$2:$K$11,"&lt;="&amp;Dados!$A496,Projetos!$N$2:$N$11,"&gt;"&amp;Dados!$A496,Projetos!$D$2:$D$11,"USD")</f>
        <v>0</v>
      </c>
      <c r="K496" s="18">
        <f t="shared" ca="1" si="29"/>
        <v>1.5116737454149056E-9</v>
      </c>
    </row>
    <row r="497" spans="1:11" x14ac:dyDescent="0.2">
      <c r="A497" s="45">
        <f t="shared" ca="1" si="30"/>
        <v>1.9651758690393782E-9</v>
      </c>
      <c r="B497" s="18">
        <f>-SUMIFS(Projetos!$F$2:$F$11,Projetos!$D$2:$D$11,"BRL",Projetos!$N$2:$N$11,Dados!$A497)</f>
        <v>0</v>
      </c>
      <c r="C497" s="45">
        <f ca="1">(A497+B497)*((Indicadores_Economicos!D$2+1)^(1/12)-1)</f>
        <v>6.4334744214915366E-12</v>
      </c>
      <c r="D497" s="18">
        <f>SUMIFS(Projetos!$G$2:$G$11,Projetos!$K$2:$K$11,"&lt;="&amp;Dados!$A497,Projetos!$N$2:$N$11,"&gt;"&amp;Dados!A497,Projetos!$D$2:$D$11,"BRL")</f>
        <v>0</v>
      </c>
      <c r="E497" s="18">
        <f t="shared" ca="1" si="28"/>
        <v>1.9716093434608698E-9</v>
      </c>
      <c r="G497" s="45">
        <f t="shared" ca="1" si="31"/>
        <v>1.5116737454149056E-9</v>
      </c>
      <c r="H497" s="18">
        <f>-SUMIFS(Projetos!$F$2:$F$11,Projetos!$D$2:$D$11,"USD",Projetos!$N$2:$N$11,Dados!$A497)</f>
        <v>0</v>
      </c>
      <c r="I497" s="45">
        <f ca="1">(G497+H497)*((Indicadores_Economicos!D$2+1)^(1/12)-1)</f>
        <v>4.9488264780704104E-12</v>
      </c>
      <c r="J497" s="18">
        <f>SUMIFS(Projetos!$G$2:$G$11,Projetos!$K$2:$K$11,"&lt;="&amp;Dados!$A497,Projetos!$N$2:$N$11,"&gt;"&amp;Dados!$A497,Projetos!$D$2:$D$11,"USD")</f>
        <v>0</v>
      </c>
      <c r="K497" s="18">
        <f t="shared" ca="1" si="29"/>
        <v>1.5166225718929759E-9</v>
      </c>
    </row>
    <row r="498" spans="1:11" x14ac:dyDescent="0.2">
      <c r="A498" s="45">
        <f t="shared" ca="1" si="30"/>
        <v>1.9716093434608698E-9</v>
      </c>
      <c r="B498" s="18">
        <f>-SUMIFS(Projetos!$F$2:$F$11,Projetos!$D$2:$D$11,"BRL",Projetos!$N$2:$N$11,Dados!$A498)</f>
        <v>0</v>
      </c>
      <c r="C498" s="45">
        <f ca="1">(A498+B498)*((Indicadores_Economicos!D$2+1)^(1/12)-1)</f>
        <v>6.4545359426429326E-12</v>
      </c>
      <c r="D498" s="18">
        <f>SUMIFS(Projetos!$G$2:$G$11,Projetos!$K$2:$K$11,"&lt;="&amp;Dados!$A498,Projetos!$N$2:$N$11,"&gt;"&amp;Dados!A498,Projetos!$D$2:$D$11,"BRL")</f>
        <v>0</v>
      </c>
      <c r="E498" s="18">
        <f t="shared" ca="1" si="28"/>
        <v>1.9780638794035126E-9</v>
      </c>
      <c r="G498" s="45">
        <f t="shared" ca="1" si="31"/>
        <v>1.5166225718929759E-9</v>
      </c>
      <c r="H498" s="18">
        <f>-SUMIFS(Projetos!$F$2:$F$11,Projetos!$D$2:$D$11,"USD",Projetos!$N$2:$N$11,Dados!$A498)</f>
        <v>0</v>
      </c>
      <c r="I498" s="45">
        <f ca="1">(G498+H498)*((Indicadores_Economicos!D$2+1)^(1/12)-1)</f>
        <v>4.9650276481868683E-12</v>
      </c>
      <c r="J498" s="18">
        <f>SUMIFS(Projetos!$G$2:$G$11,Projetos!$K$2:$K$11,"&lt;="&amp;Dados!$A498,Projetos!$N$2:$N$11,"&gt;"&amp;Dados!$A498,Projetos!$D$2:$D$11,"USD")</f>
        <v>0</v>
      </c>
      <c r="K498" s="18">
        <f t="shared" ca="1" si="29"/>
        <v>1.5215875995411627E-9</v>
      </c>
    </row>
    <row r="499" spans="1:11" x14ac:dyDescent="0.2">
      <c r="A499" s="45">
        <f t="shared" ca="1" si="30"/>
        <v>1.9780638794035126E-9</v>
      </c>
      <c r="B499" s="18">
        <f>-SUMIFS(Projetos!$F$2:$F$11,Projetos!$D$2:$D$11,"BRL",Projetos!$N$2:$N$11,Dados!$A499)</f>
        <v>0</v>
      </c>
      <c r="C499" s="45">
        <f ca="1">(A499+B499)*((Indicadores_Economicos!D$2+1)^(1/12)-1)</f>
        <v>6.4756664137339955E-12</v>
      </c>
      <c r="D499" s="18">
        <f>SUMIFS(Projetos!$G$2:$G$11,Projetos!$K$2:$K$11,"&lt;="&amp;Dados!$A499,Projetos!$N$2:$N$11,"&gt;"&amp;Dados!A499,Projetos!$D$2:$D$11,"BRL")</f>
        <v>0</v>
      </c>
      <c r="E499" s="18">
        <f t="shared" ca="1" si="28"/>
        <v>1.9845395458172468E-9</v>
      </c>
      <c r="G499" s="45">
        <f t="shared" ca="1" si="31"/>
        <v>1.5215875995411627E-9</v>
      </c>
      <c r="H499" s="18">
        <f>-SUMIFS(Projetos!$F$2:$F$11,Projetos!$D$2:$D$11,"USD",Projetos!$N$2:$N$11,Dados!$A499)</f>
        <v>0</v>
      </c>
      <c r="I499" s="45">
        <f ca="1">(G499+H499)*((Indicadores_Economicos!D$2+1)^(1/12)-1)</f>
        <v>4.9812818567184549E-12</v>
      </c>
      <c r="J499" s="18">
        <f>SUMIFS(Projetos!$G$2:$G$11,Projetos!$K$2:$K$11,"&lt;="&amp;Dados!$A499,Projetos!$N$2:$N$11,"&gt;"&amp;Dados!$A499,Projetos!$D$2:$D$11,"USD")</f>
        <v>0</v>
      </c>
      <c r="K499" s="18">
        <f t="shared" ca="1" si="29"/>
        <v>1.5265688813978811E-9</v>
      </c>
    </row>
    <row r="500" spans="1:11" x14ac:dyDescent="0.2">
      <c r="A500" s="45">
        <f t="shared" ca="1" si="30"/>
        <v>1.9845395458172468E-9</v>
      </c>
      <c r="B500" s="18">
        <f>-SUMIFS(Projetos!$F$2:$F$11,Projetos!$D$2:$D$11,"BRL",Projetos!$N$2:$N$11,Dados!$A500)</f>
        <v>0</v>
      </c>
      <c r="C500" s="45">
        <f ca="1">(A500+B500)*((Indicadores_Economicos!D$2+1)^(1/12)-1)</f>
        <v>6.4968660604888866E-12</v>
      </c>
      <c r="D500" s="18">
        <f>SUMIFS(Projetos!$G$2:$G$11,Projetos!$K$2:$K$11,"&lt;="&amp;Dados!$A500,Projetos!$N$2:$N$11,"&gt;"&amp;Dados!A500,Projetos!$D$2:$D$11,"BRL")</f>
        <v>0</v>
      </c>
      <c r="E500" s="18">
        <f t="shared" ca="1" si="28"/>
        <v>1.9910364118777357E-9</v>
      </c>
      <c r="G500" s="45">
        <f t="shared" ca="1" si="31"/>
        <v>1.5265688813978811E-9</v>
      </c>
      <c r="H500" s="18">
        <f>-SUMIFS(Projetos!$F$2:$F$11,Projetos!$D$2:$D$11,"USD",Projetos!$N$2:$N$11,Dados!$A500)</f>
        <v>0</v>
      </c>
      <c r="I500" s="45">
        <f ca="1">(G500+H500)*((Indicadores_Economicos!D$2+1)^(1/12)-1)</f>
        <v>4.9975892772991395E-12</v>
      </c>
      <c r="J500" s="18">
        <f>SUMIFS(Projetos!$G$2:$G$11,Projetos!$K$2:$K$11,"&lt;="&amp;Dados!$A500,Projetos!$N$2:$N$11,"&gt;"&amp;Dados!$A500,Projetos!$D$2:$D$11,"USD")</f>
        <v>0</v>
      </c>
      <c r="K500" s="18">
        <f t="shared" ca="1" si="29"/>
        <v>1.5315664706751803E-9</v>
      </c>
    </row>
    <row r="501" spans="1:11" x14ac:dyDescent="0.2">
      <c r="A501" s="45">
        <f t="shared" ca="1" si="30"/>
        <v>1.9910364118777357E-9</v>
      </c>
      <c r="B501" s="18">
        <f>-SUMIFS(Projetos!$F$2:$F$11,Projetos!$D$2:$D$11,"BRL",Projetos!$N$2:$N$11,Dados!$A501)</f>
        <v>0</v>
      </c>
      <c r="C501" s="45">
        <f ca="1">(A501+B501)*((Indicadores_Economicos!D$2+1)^(1/12)-1)</f>
        <v>6.5181351093707268E-12</v>
      </c>
      <c r="D501" s="18">
        <f>SUMIFS(Projetos!$G$2:$G$11,Projetos!$K$2:$K$11,"&lt;="&amp;Dados!$A501,Projetos!$N$2:$N$11,"&gt;"&amp;Dados!A501,Projetos!$D$2:$D$11,"BRL")</f>
        <v>0</v>
      </c>
      <c r="E501" s="18">
        <f t="shared" ca="1" si="28"/>
        <v>1.9975545469871065E-9</v>
      </c>
      <c r="G501" s="45">
        <f t="shared" ca="1" si="31"/>
        <v>1.5315664706751803E-9</v>
      </c>
      <c r="H501" s="18">
        <f>-SUMIFS(Projetos!$F$2:$F$11,Projetos!$D$2:$D$11,"USD",Projetos!$N$2:$N$11,Dados!$A501)</f>
        <v>0</v>
      </c>
      <c r="I501" s="45">
        <f ca="1">(G501+H501)*((Indicadores_Economicos!D$2+1)^(1/12)-1)</f>
        <v>5.0139500841313248E-12</v>
      </c>
      <c r="J501" s="18">
        <f>SUMIFS(Projetos!$G$2:$G$11,Projetos!$K$2:$K$11,"&lt;="&amp;Dados!$A501,Projetos!$N$2:$N$11,"&gt;"&amp;Dados!$A501,Projetos!$D$2:$D$11,"USD")</f>
        <v>0</v>
      </c>
      <c r="K501" s="18">
        <f t="shared" ca="1" si="29"/>
        <v>1.5365804207593116E-9</v>
      </c>
    </row>
    <row r="502" spans="1:11" x14ac:dyDescent="0.2">
      <c r="A502" s="45">
        <f t="shared" ca="1" si="30"/>
        <v>1.9975545469871065E-9</v>
      </c>
      <c r="B502" s="18">
        <f>-SUMIFS(Projetos!$F$2:$F$11,Projetos!$D$2:$D$11,"BRL",Projetos!$N$2:$N$11,Dados!$A502)</f>
        <v>0</v>
      </c>
      <c r="C502" s="45">
        <f ca="1">(A502+B502)*((Indicadores_Economicos!D$2+1)^(1/12)-1)</f>
        <v>6.5394737875840214E-12</v>
      </c>
      <c r="D502" s="18">
        <f>SUMIFS(Projetos!$G$2:$G$11,Projetos!$K$2:$K$11,"&lt;="&amp;Dados!$A502,Projetos!$N$2:$N$11,"&gt;"&amp;Dados!A502,Projetos!$D$2:$D$11,"BRL")</f>
        <v>0</v>
      </c>
      <c r="E502" s="18">
        <f t="shared" ca="1" si="28"/>
        <v>2.0040940207746906E-9</v>
      </c>
      <c r="G502" s="45">
        <f t="shared" ca="1" si="31"/>
        <v>1.5365804207593116E-9</v>
      </c>
      <c r="H502" s="18">
        <f>-SUMIFS(Projetos!$F$2:$F$11,Projetos!$D$2:$D$11,"USD",Projetos!$N$2:$N$11,Dados!$A502)</f>
        <v>0</v>
      </c>
      <c r="I502" s="45">
        <f ca="1">(G502+H502)*((Indicadores_Economicos!D$2+1)^(1/12)-1)</f>
        <v>5.030364451987705E-12</v>
      </c>
      <c r="J502" s="18">
        <f>SUMIFS(Projetos!$G$2:$G$11,Projetos!$K$2:$K$11,"&lt;="&amp;Dados!$A502,Projetos!$N$2:$N$11,"&gt;"&amp;Dados!$A502,Projetos!$D$2:$D$11,"USD")</f>
        <v>0</v>
      </c>
      <c r="K502" s="18">
        <f t="shared" ca="1" si="29"/>
        <v>1.5416107852112993E-9</v>
      </c>
    </row>
    <row r="503" spans="1:11" x14ac:dyDescent="0.2">
      <c r="A503" s="45">
        <f t="shared" ca="1" si="30"/>
        <v>2.0040940207746906E-9</v>
      </c>
      <c r="B503" s="18">
        <f>-SUMIFS(Projetos!$F$2:$F$11,Projetos!$D$2:$D$11,"BRL",Projetos!$N$2:$N$11,Dados!$A503)</f>
        <v>0</v>
      </c>
      <c r="C503" s="45">
        <f ca="1">(A503+B503)*((Indicadores_Economicos!D$2+1)^(1/12)-1)</f>
        <v>6.5608823230770821E-12</v>
      </c>
      <c r="D503" s="18">
        <f>SUMIFS(Projetos!$G$2:$G$11,Projetos!$K$2:$K$11,"&lt;="&amp;Dados!$A503,Projetos!$N$2:$N$11,"&gt;"&amp;Dados!A503,Projetos!$D$2:$D$11,"BRL")</f>
        <v>0</v>
      </c>
      <c r="E503" s="18">
        <f t="shared" ca="1" si="28"/>
        <v>2.0106549030977676E-9</v>
      </c>
      <c r="G503" s="45">
        <f t="shared" ca="1" si="31"/>
        <v>1.5416107852112993E-9</v>
      </c>
      <c r="H503" s="18">
        <f>-SUMIFS(Projetos!$F$2:$F$11,Projetos!$D$2:$D$11,"USD",Projetos!$N$2:$N$11,Dados!$A503)</f>
        <v>0</v>
      </c>
      <c r="I503" s="45">
        <f ca="1">(G503+H503)*((Indicadores_Economicos!D$2+1)^(1/12)-1)</f>
        <v>5.0468325562131362E-12</v>
      </c>
      <c r="J503" s="18">
        <f>SUMIFS(Projetos!$G$2:$G$11,Projetos!$K$2:$K$11,"&lt;="&amp;Dados!$A503,Projetos!$N$2:$N$11,"&gt;"&amp;Dados!$A503,Projetos!$D$2:$D$11,"USD")</f>
        <v>0</v>
      </c>
      <c r="K503" s="18">
        <f t="shared" ca="1" si="29"/>
        <v>1.5466576177675124E-9</v>
      </c>
    </row>
    <row r="504" spans="1:11" x14ac:dyDescent="0.2">
      <c r="A504" s="45">
        <f t="shared" ca="1" si="30"/>
        <v>2.0106549030977676E-9</v>
      </c>
      <c r="B504" s="18">
        <f>-SUMIFS(Projetos!$F$2:$F$11,Projetos!$D$2:$D$11,"BRL",Projetos!$N$2:$N$11,Dados!$A504)</f>
        <v>0</v>
      </c>
      <c r="C504" s="45">
        <f ca="1">(A504+B504)*((Indicadores_Economicos!D$2+1)^(1/12)-1)</f>
        <v>6.5823609445444651E-12</v>
      </c>
      <c r="D504" s="18">
        <f>SUMIFS(Projetos!$G$2:$G$11,Projetos!$K$2:$K$11,"&lt;="&amp;Dados!$A504,Projetos!$N$2:$N$11,"&gt;"&amp;Dados!A504,Projetos!$D$2:$D$11,"BRL")</f>
        <v>0</v>
      </c>
      <c r="E504" s="18">
        <f t="shared" ca="1" si="28"/>
        <v>2.0172372640423119E-9</v>
      </c>
      <c r="G504" s="45">
        <f t="shared" ca="1" si="31"/>
        <v>1.5466576177675124E-9</v>
      </c>
      <c r="H504" s="18">
        <f>-SUMIFS(Projetos!$F$2:$F$11,Projetos!$D$2:$D$11,"USD",Projetos!$N$2:$N$11,Dados!$A504)</f>
        <v>0</v>
      </c>
      <c r="I504" s="45">
        <f ca="1">(G504+H504)*((Indicadores_Economicos!D$2+1)^(1/12)-1)</f>
        <v>5.0633545727265079E-12</v>
      </c>
      <c r="J504" s="18">
        <f>SUMIFS(Projetos!$G$2:$G$11,Projetos!$K$2:$K$11,"&lt;="&amp;Dados!$A504,Projetos!$N$2:$N$11,"&gt;"&amp;Dados!$A504,Projetos!$D$2:$D$11,"USD")</f>
        <v>0</v>
      </c>
      <c r="K504" s="18">
        <f t="shared" ca="1" si="29"/>
        <v>1.5517209723402388E-9</v>
      </c>
    </row>
    <row r="505" spans="1:11" x14ac:dyDescent="0.2">
      <c r="A505" s="45">
        <f t="shared" ca="1" si="30"/>
        <v>2.0172372640423119E-9</v>
      </c>
      <c r="B505" s="18">
        <f>-SUMIFS(Projetos!$F$2:$F$11,Projetos!$D$2:$D$11,"BRL",Projetos!$N$2:$N$11,Dados!$A505)</f>
        <v>0</v>
      </c>
      <c r="C505" s="45">
        <f ca="1">(A505+B505)*((Indicadores_Economicos!D$2+1)^(1/12)-1)</f>
        <v>6.6039098814294126E-12</v>
      </c>
      <c r="D505" s="18">
        <f>SUMIFS(Projetos!$G$2:$G$11,Projetos!$K$2:$K$11,"&lt;="&amp;Dados!$A505,Projetos!$N$2:$N$11,"&gt;"&amp;Dados!A505,Projetos!$D$2:$D$11,"BRL")</f>
        <v>0</v>
      </c>
      <c r="E505" s="18">
        <f t="shared" ca="1" si="28"/>
        <v>2.0238411739237411E-9</v>
      </c>
      <c r="G505" s="45">
        <f t="shared" ca="1" si="31"/>
        <v>1.5517209723402388E-9</v>
      </c>
      <c r="H505" s="18">
        <f>-SUMIFS(Projetos!$F$2:$F$11,Projetos!$D$2:$D$11,"USD",Projetos!$N$2:$N$11,Dados!$A505)</f>
        <v>0</v>
      </c>
      <c r="I505" s="45">
        <f ca="1">(G505+H505)*((Indicadores_Economicos!D$2+1)^(1/12)-1)</f>
        <v>5.0799306780226211E-12</v>
      </c>
      <c r="J505" s="18">
        <f>SUMIFS(Projetos!$G$2:$G$11,Projetos!$K$2:$K$11,"&lt;="&amp;Dados!$A505,Projetos!$N$2:$N$11,"&gt;"&amp;Dados!$A505,Projetos!$D$2:$D$11,"USD")</f>
        <v>0</v>
      </c>
      <c r="K505" s="18">
        <f t="shared" ca="1" si="29"/>
        <v>1.5568009030182614E-9</v>
      </c>
    </row>
    <row r="506" spans="1:11" x14ac:dyDescent="0.2">
      <c r="A506" s="45">
        <f t="shared" ca="1" si="30"/>
        <v>2.0238411739237411E-9</v>
      </c>
      <c r="B506" s="18">
        <f>-SUMIFS(Projetos!$F$2:$F$11,Projetos!$D$2:$D$11,"BRL",Projetos!$N$2:$N$11,Dados!$A506)</f>
        <v>0</v>
      </c>
      <c r="C506" s="45">
        <f ca="1">(A506+B506)*((Indicadores_Economicos!D$2+1)^(1/12)-1)</f>
        <v>6.6255293639263037E-12</v>
      </c>
      <c r="D506" s="18">
        <f>SUMIFS(Projetos!$G$2:$G$11,Projetos!$K$2:$K$11,"&lt;="&amp;Dados!$A506,Projetos!$N$2:$N$11,"&gt;"&amp;Dados!A506,Projetos!$D$2:$D$11,"BRL")</f>
        <v>0</v>
      </c>
      <c r="E506" s="18">
        <f t="shared" ca="1" si="28"/>
        <v>2.0304667032876675E-9</v>
      </c>
      <c r="G506" s="45">
        <f t="shared" ca="1" si="31"/>
        <v>1.5568009030182614E-9</v>
      </c>
      <c r="H506" s="18">
        <f>-SUMIFS(Projetos!$F$2:$F$11,Projetos!$D$2:$D$11,"USD",Projetos!$N$2:$N$11,Dados!$A506)</f>
        <v>0</v>
      </c>
      <c r="I506" s="45">
        <f ca="1">(G506+H506)*((Indicadores_Economicos!D$2+1)^(1/12)-1)</f>
        <v>5.0965610491740764E-12</v>
      </c>
      <c r="J506" s="18">
        <f>SUMIFS(Projetos!$G$2:$G$11,Projetos!$K$2:$K$11,"&lt;="&amp;Dados!$A506,Projetos!$N$2:$N$11,"&gt;"&amp;Dados!$A506,Projetos!$D$2:$D$11,"USD")</f>
        <v>0</v>
      </c>
      <c r="K506" s="18">
        <f t="shared" ca="1" si="29"/>
        <v>1.5618974640674355E-9</v>
      </c>
    </row>
    <row r="507" spans="1:11" x14ac:dyDescent="0.2">
      <c r="A507" s="45">
        <f t="shared" ca="1" si="30"/>
        <v>2.0304667032876675E-9</v>
      </c>
      <c r="B507" s="18">
        <f>-SUMIFS(Projetos!$F$2:$F$11,Projetos!$D$2:$D$11,"BRL",Projetos!$N$2:$N$11,Dados!$A507)</f>
        <v>0</v>
      </c>
      <c r="C507" s="45">
        <f ca="1">(A507+B507)*((Indicadores_Economicos!D$2+1)^(1/12)-1)</f>
        <v>6.6472196229831166E-12</v>
      </c>
      <c r="D507" s="18">
        <f>SUMIFS(Projetos!$G$2:$G$11,Projetos!$K$2:$K$11,"&lt;="&amp;Dados!$A507,Projetos!$N$2:$N$11,"&gt;"&amp;Dados!A507,Projetos!$D$2:$D$11,"BRL")</f>
        <v>0</v>
      </c>
      <c r="E507" s="18">
        <f t="shared" ca="1" si="28"/>
        <v>2.0371139229106508E-9</v>
      </c>
      <c r="G507" s="45">
        <f t="shared" ca="1" si="31"/>
        <v>1.5618974640674355E-9</v>
      </c>
      <c r="H507" s="18">
        <f>-SUMIFS(Projetos!$F$2:$F$11,Projetos!$D$2:$D$11,"USD",Projetos!$N$2:$N$11,Dados!$A507)</f>
        <v>0</v>
      </c>
      <c r="I507" s="45">
        <f ca="1">(G507+H507)*((Indicadores_Economicos!D$2+1)^(1/12)-1)</f>
        <v>5.113245863833163E-12</v>
      </c>
      <c r="J507" s="18">
        <f>SUMIFS(Projetos!$G$2:$G$11,Projetos!$K$2:$K$11,"&lt;="&amp;Dados!$A507,Projetos!$N$2:$N$11,"&gt;"&amp;Dados!$A507,Projetos!$D$2:$D$11,"USD")</f>
        <v>0</v>
      </c>
      <c r="K507" s="18">
        <f t="shared" ca="1" si="29"/>
        <v>1.5670107099312685E-9</v>
      </c>
    </row>
    <row r="508" spans="1:11" x14ac:dyDescent="0.2">
      <c r="A508" s="45">
        <f t="shared" ca="1" si="30"/>
        <v>2.0371139229106508E-9</v>
      </c>
      <c r="B508" s="18">
        <f>-SUMIFS(Projetos!$F$2:$F$11,Projetos!$D$2:$D$11,"BRL",Projetos!$N$2:$N$11,Dados!$A508)</f>
        <v>0</v>
      </c>
      <c r="C508" s="45">
        <f ca="1">(A508+B508)*((Indicadores_Economicos!D$2+1)^(1/12)-1)</f>
        <v>6.6689808903038901E-12</v>
      </c>
      <c r="D508" s="18">
        <f>SUMIFS(Projetos!$G$2:$G$11,Projetos!$K$2:$K$11,"&lt;="&amp;Dados!$A508,Projetos!$N$2:$N$11,"&gt;"&amp;Dados!A508,Projetos!$D$2:$D$11,"BRL")</f>
        <v>0</v>
      </c>
      <c r="E508" s="18">
        <f t="shared" ca="1" si="28"/>
        <v>2.0437829038009547E-9</v>
      </c>
      <c r="G508" s="45">
        <f t="shared" ca="1" si="31"/>
        <v>1.5670107099312685E-9</v>
      </c>
      <c r="H508" s="18">
        <f>-SUMIFS(Projetos!$F$2:$F$11,Projetos!$D$2:$D$11,"USD",Projetos!$N$2:$N$11,Dados!$A508)</f>
        <v>0</v>
      </c>
      <c r="I508" s="45">
        <f ca="1">(G508+H508)*((Indicadores_Economicos!D$2+1)^(1/12)-1)</f>
        <v>5.1299853002337574E-12</v>
      </c>
      <c r="J508" s="18">
        <f>SUMIFS(Projetos!$G$2:$G$11,Projetos!$K$2:$K$11,"&lt;="&amp;Dados!$A508,Projetos!$N$2:$N$11,"&gt;"&amp;Dados!$A508,Projetos!$D$2:$D$11,"USD")</f>
        <v>0</v>
      </c>
      <c r="K508" s="18">
        <f t="shared" ca="1" si="29"/>
        <v>1.5721406952315022E-9</v>
      </c>
    </row>
    <row r="509" spans="1:11" x14ac:dyDescent="0.2">
      <c r="A509" s="45">
        <f t="shared" ca="1" si="30"/>
        <v>2.0437829038009547E-9</v>
      </c>
      <c r="B509" s="18">
        <f>-SUMIFS(Projetos!$F$2:$F$11,Projetos!$D$2:$D$11,"BRL",Projetos!$N$2:$N$11,Dados!$A509)</f>
        <v>0</v>
      </c>
      <c r="C509" s="45">
        <f ca="1">(A509+B509)*((Indicadores_Economicos!D$2+1)^(1/12)-1)</f>
        <v>6.6908133983512022E-12</v>
      </c>
      <c r="D509" s="18">
        <f>SUMIFS(Projetos!$G$2:$G$11,Projetos!$K$2:$K$11,"&lt;="&amp;Dados!$A509,Projetos!$N$2:$N$11,"&gt;"&amp;Dados!A509,Projetos!$D$2:$D$11,"BRL")</f>
        <v>0</v>
      </c>
      <c r="E509" s="18">
        <f t="shared" ca="1" si="28"/>
        <v>2.0504737171993061E-9</v>
      </c>
      <c r="G509" s="45">
        <f t="shared" ca="1" si="31"/>
        <v>1.5721406952315022E-9</v>
      </c>
      <c r="H509" s="18">
        <f>-SUMIFS(Projetos!$F$2:$F$11,Projetos!$D$2:$D$11,"USD",Projetos!$N$2:$N$11,Dados!$A509)</f>
        <v>0</v>
      </c>
      <c r="I509" s="45">
        <f ca="1">(G509+H509)*((Indicadores_Economicos!D$2+1)^(1/12)-1)</f>
        <v>5.146779537193228E-12</v>
      </c>
      <c r="J509" s="18">
        <f>SUMIFS(Projetos!$G$2:$G$11,Projetos!$K$2:$K$11,"&lt;="&amp;Dados!$A509,Projetos!$N$2:$N$11,"&gt;"&amp;Dados!$A509,Projetos!$D$2:$D$11,"USD")</f>
        <v>0</v>
      </c>
      <c r="K509" s="18">
        <f t="shared" ca="1" si="29"/>
        <v>1.5772874747686955E-9</v>
      </c>
    </row>
    <row r="510" spans="1:11" x14ac:dyDescent="0.2">
      <c r="A510" s="45">
        <f t="shared" ca="1" si="30"/>
        <v>2.0504737171993061E-9</v>
      </c>
      <c r="B510" s="18">
        <f>-SUMIFS(Projetos!$F$2:$F$11,Projetos!$D$2:$D$11,"BRL",Projetos!$N$2:$N$11,Dados!$A510)</f>
        <v>0</v>
      </c>
      <c r="C510" s="45">
        <f ca="1">(A510+B510)*((Indicadores_Economicos!D$2+1)^(1/12)-1)</f>
        <v>6.7127173803486551E-12</v>
      </c>
      <c r="D510" s="18">
        <f>SUMIFS(Projetos!$G$2:$G$11,Projetos!$K$2:$K$11,"&lt;="&amp;Dados!$A510,Projetos!$N$2:$N$11,"&gt;"&amp;Dados!A510,Projetos!$D$2:$D$11,"BRL")</f>
        <v>0</v>
      </c>
      <c r="E510" s="18">
        <f t="shared" ca="1" si="28"/>
        <v>2.0571864345796549E-9</v>
      </c>
      <c r="G510" s="45">
        <f t="shared" ca="1" si="31"/>
        <v>1.5772874747686955E-9</v>
      </c>
      <c r="H510" s="18">
        <f>-SUMIFS(Projetos!$F$2:$F$11,Projetos!$D$2:$D$11,"USD",Projetos!$N$2:$N$11,Dados!$A510)</f>
        <v>0</v>
      </c>
      <c r="I510" s="45">
        <f ca="1">(G510+H510)*((Indicadores_Economicos!D$2+1)^(1/12)-1)</f>
        <v>5.1636287541143454E-12</v>
      </c>
      <c r="J510" s="18">
        <f>SUMIFS(Projetos!$G$2:$G$11,Projetos!$K$2:$K$11,"&lt;="&amp;Dados!$A510,Projetos!$N$2:$N$11,"&gt;"&amp;Dados!$A510,Projetos!$D$2:$D$11,"USD")</f>
        <v>0</v>
      </c>
      <c r="K510" s="18">
        <f t="shared" ca="1" si="29"/>
        <v>1.5824511035228098E-9</v>
      </c>
    </row>
    <row r="511" spans="1:11" x14ac:dyDescent="0.2">
      <c r="A511" s="45">
        <f t="shared" ca="1" si="30"/>
        <v>2.0571864345796549E-9</v>
      </c>
      <c r="B511" s="18">
        <f>-SUMIFS(Projetos!$F$2:$F$11,Projetos!$D$2:$D$11,"BRL",Projetos!$N$2:$N$11,Dados!$A511)</f>
        <v>0</v>
      </c>
      <c r="C511" s="45">
        <f ca="1">(A511+B511)*((Indicadores_Economicos!D$2+1)^(1/12)-1)</f>
        <v>6.7346930702833608E-12</v>
      </c>
      <c r="D511" s="18">
        <f>SUMIFS(Projetos!$G$2:$G$11,Projetos!$K$2:$K$11,"&lt;="&amp;Dados!$A511,Projetos!$N$2:$N$11,"&gt;"&amp;Dados!A511,Projetos!$D$2:$D$11,"BRL")</f>
        <v>0</v>
      </c>
      <c r="E511" s="18">
        <f t="shared" ca="1" si="28"/>
        <v>2.0639211276499384E-9</v>
      </c>
      <c r="G511" s="45">
        <f t="shared" ca="1" si="31"/>
        <v>1.5824511035228098E-9</v>
      </c>
      <c r="H511" s="18">
        <f>-SUMIFS(Projetos!$F$2:$F$11,Projetos!$D$2:$D$11,"USD",Projetos!$N$2:$N$11,Dados!$A511)</f>
        <v>0</v>
      </c>
      <c r="I511" s="45">
        <f ca="1">(G511+H511)*((Indicadores_Economicos!D$2+1)^(1/12)-1)</f>
        <v>5.1805331309871956E-12</v>
      </c>
      <c r="J511" s="18">
        <f>SUMIFS(Projetos!$G$2:$G$11,Projetos!$K$2:$K$11,"&lt;="&amp;Dados!$A511,Projetos!$N$2:$N$11,"&gt;"&amp;Dados!$A511,Projetos!$D$2:$D$11,"USD")</f>
        <v>0</v>
      </c>
      <c r="K511" s="18">
        <f t="shared" ca="1" si="29"/>
        <v>1.5876316366537971E-9</v>
      </c>
    </row>
    <row r="512" spans="1:11" x14ac:dyDescent="0.2">
      <c r="A512" s="45">
        <f t="shared" ca="1" si="30"/>
        <v>2.0639211276499384E-9</v>
      </c>
      <c r="B512" s="18">
        <f>-SUMIFS(Projetos!$F$2:$F$11,Projetos!$D$2:$D$11,"BRL",Projetos!$N$2:$N$11,Dados!$A512)</f>
        <v>0</v>
      </c>
      <c r="C512" s="45">
        <f ca="1">(A512+B512)*((Indicadores_Economicos!D$2+1)^(1/12)-1)</f>
        <v>6.7567407029084472E-12</v>
      </c>
      <c r="D512" s="18">
        <f>SUMIFS(Projetos!$G$2:$G$11,Projetos!$K$2:$K$11,"&lt;="&amp;Dados!$A512,Projetos!$N$2:$N$11,"&gt;"&amp;Dados!A512,Projetos!$D$2:$D$11,"BRL")</f>
        <v>0</v>
      </c>
      <c r="E512" s="18">
        <f t="shared" ca="1" si="28"/>
        <v>2.0706778683528468E-9</v>
      </c>
      <c r="G512" s="45">
        <f t="shared" ca="1" si="31"/>
        <v>1.5876316366537971E-9</v>
      </c>
      <c r="H512" s="18">
        <f>-SUMIFS(Projetos!$F$2:$F$11,Projetos!$D$2:$D$11,"USD",Projetos!$N$2:$N$11,Dados!$A512)</f>
        <v>0</v>
      </c>
      <c r="I512" s="45">
        <f ca="1">(G512+H512)*((Indicadores_Economicos!D$2+1)^(1/12)-1)</f>
        <v>5.1974928483911078E-12</v>
      </c>
      <c r="J512" s="18">
        <f>SUMIFS(Projetos!$G$2:$G$11,Projetos!$K$2:$K$11,"&lt;="&amp;Dados!$A512,Projetos!$N$2:$N$11,"&gt;"&amp;Dados!$A512,Projetos!$D$2:$D$11,"USD")</f>
        <v>0</v>
      </c>
      <c r="K512" s="18">
        <f t="shared" ca="1" si="29"/>
        <v>1.5928291295021883E-9</v>
      </c>
    </row>
    <row r="513" spans="1:11" x14ac:dyDescent="0.2">
      <c r="A513" s="45">
        <f t="shared" ca="1" si="30"/>
        <v>2.0706778683528468E-9</v>
      </c>
      <c r="B513" s="18">
        <f>-SUMIFS(Projetos!$F$2:$F$11,Projetos!$D$2:$D$11,"BRL",Projetos!$N$2:$N$11,Dados!$A513)</f>
        <v>0</v>
      </c>
      <c r="C513" s="45">
        <f ca="1">(A513+B513)*((Indicadores_Economicos!D$2+1)^(1/12)-1)</f>
        <v>6.7788605137455611E-12</v>
      </c>
      <c r="D513" s="18">
        <f>SUMIFS(Projetos!$G$2:$G$11,Projetos!$K$2:$K$11,"&lt;="&amp;Dados!$A513,Projetos!$N$2:$N$11,"&gt;"&amp;Dados!A513,Projetos!$D$2:$D$11,"BRL")</f>
        <v>0</v>
      </c>
      <c r="E513" s="18">
        <f t="shared" ca="1" si="28"/>
        <v>2.0774567288665923E-9</v>
      </c>
      <c r="G513" s="45">
        <f t="shared" ca="1" si="31"/>
        <v>1.5928291295021883E-9</v>
      </c>
      <c r="H513" s="18">
        <f>-SUMIFS(Projetos!$F$2:$F$11,Projetos!$D$2:$D$11,"USD",Projetos!$N$2:$N$11,Dados!$A513)</f>
        <v>0</v>
      </c>
      <c r="I513" s="45">
        <f ca="1">(G513+H513)*((Indicadores_Economicos!D$2+1)^(1/12)-1)</f>
        <v>5.2145080874965805E-12</v>
      </c>
      <c r="J513" s="18">
        <f>SUMIFS(Projetos!$G$2:$G$11,Projetos!$K$2:$K$11,"&lt;="&amp;Dados!$A513,Projetos!$N$2:$N$11,"&gt;"&amp;Dados!$A513,Projetos!$D$2:$D$11,"USD")</f>
        <v>0</v>
      </c>
      <c r="K513" s="18">
        <f t="shared" ca="1" si="29"/>
        <v>1.5980436375896849E-9</v>
      </c>
    </row>
    <row r="514" spans="1:11" x14ac:dyDescent="0.2">
      <c r="A514" s="45">
        <f t="shared" ca="1" si="30"/>
        <v>2.0774567288665923E-9</v>
      </c>
      <c r="B514" s="18">
        <f>-SUMIFS(Projetos!$F$2:$F$11,Projetos!$D$2:$D$11,"BRL",Projetos!$N$2:$N$11,Dados!$A514)</f>
        <v>0</v>
      </c>
      <c r="C514" s="45">
        <f ca="1">(A514+B514)*((Indicadores_Economicos!D$2+1)^(1/12)-1)</f>
        <v>6.801052739087387E-12</v>
      </c>
      <c r="D514" s="18">
        <f>SUMIFS(Projetos!$G$2:$G$11,Projetos!$K$2:$K$11,"&lt;="&amp;Dados!$A514,Projetos!$N$2:$N$11,"&gt;"&amp;Dados!A514,Projetos!$D$2:$D$11,"BRL")</f>
        <v>0</v>
      </c>
      <c r="E514" s="18">
        <f t="shared" ref="E514:E577" ca="1" si="32">A514+B514+C514+D514</f>
        <v>2.0842577816056796E-9</v>
      </c>
      <c r="G514" s="45">
        <f t="shared" ca="1" si="31"/>
        <v>1.5980436375896849E-9</v>
      </c>
      <c r="H514" s="18">
        <f>-SUMIFS(Projetos!$F$2:$F$11,Projetos!$D$2:$D$11,"USD",Projetos!$N$2:$N$11,Dados!$A514)</f>
        <v>0</v>
      </c>
      <c r="I514" s="45">
        <f ca="1">(G514+H514)*((Indicadores_Economicos!D$2+1)^(1/12)-1)</f>
        <v>5.231579030067216E-12</v>
      </c>
      <c r="J514" s="18">
        <f>SUMIFS(Projetos!$G$2:$G$11,Projetos!$K$2:$K$11,"&lt;="&amp;Dados!$A514,Projetos!$N$2:$N$11,"&gt;"&amp;Dados!$A514,Projetos!$D$2:$D$11,"USD")</f>
        <v>0</v>
      </c>
      <c r="K514" s="18">
        <f t="shared" ref="K514:K577" ca="1" si="33">G514+H514+I514+J514</f>
        <v>1.6032752166197521E-9</v>
      </c>
    </row>
    <row r="515" spans="1:11" x14ac:dyDescent="0.2">
      <c r="A515" s="45">
        <f t="shared" ca="1" si="30"/>
        <v>2.0842577816056796E-9</v>
      </c>
      <c r="B515" s="18">
        <f>-SUMIFS(Projetos!$F$2:$F$11,Projetos!$D$2:$D$11,"BRL",Projetos!$N$2:$N$11,Dados!$A515)</f>
        <v>0</v>
      </c>
      <c r="C515" s="45">
        <f ca="1">(A515+B515)*((Indicadores_Economicos!D$2+1)^(1/12)-1)</f>
        <v>6.8233176160001702E-12</v>
      </c>
      <c r="D515" s="18">
        <f>SUMIFS(Projetos!$G$2:$G$11,Projetos!$K$2:$K$11,"&lt;="&amp;Dados!$A515,Projetos!$N$2:$N$11,"&gt;"&amp;Dados!A515,Projetos!$D$2:$D$11,"BRL")</f>
        <v>0</v>
      </c>
      <c r="E515" s="18">
        <f t="shared" ca="1" si="32"/>
        <v>2.0910810992216798E-9</v>
      </c>
      <c r="G515" s="45">
        <f t="shared" ca="1" si="31"/>
        <v>1.6032752166197521E-9</v>
      </c>
      <c r="H515" s="18">
        <f>-SUMIFS(Projetos!$F$2:$F$11,Projetos!$D$2:$D$11,"USD",Projetos!$N$2:$N$11,Dados!$A515)</f>
        <v>0</v>
      </c>
      <c r="I515" s="45">
        <f ca="1">(G515+H515)*((Indicadores_Economicos!D$2+1)^(1/12)-1)</f>
        <v>5.2487058584616649E-12</v>
      </c>
      <c r="J515" s="18">
        <f>SUMIFS(Projetos!$G$2:$G$11,Projetos!$K$2:$K$11,"&lt;="&amp;Dados!$A515,Projetos!$N$2:$N$11,"&gt;"&amp;Dados!$A515,Projetos!$D$2:$D$11,"USD")</f>
        <v>0</v>
      </c>
      <c r="K515" s="18">
        <f t="shared" ca="1" si="33"/>
        <v>1.6085239224782137E-9</v>
      </c>
    </row>
    <row r="516" spans="1:11" x14ac:dyDescent="0.2">
      <c r="A516" s="45">
        <f t="shared" ref="A516:A579" ca="1" si="34">E515</f>
        <v>2.0910810992216798E-9</v>
      </c>
      <c r="B516" s="18">
        <f>-SUMIFS(Projetos!$F$2:$F$11,Projetos!$D$2:$D$11,"BRL",Projetos!$N$2:$N$11,Dados!$A516)</f>
        <v>0</v>
      </c>
      <c r="C516" s="45">
        <f ca="1">(A516+B516)*((Indicadores_Economicos!D$2+1)^(1/12)-1)</f>
        <v>6.8456553823262485E-12</v>
      </c>
      <c r="D516" s="18">
        <f>SUMIFS(Projetos!$G$2:$G$11,Projetos!$K$2:$K$11,"&lt;="&amp;Dados!$A516,Projetos!$N$2:$N$11,"&gt;"&amp;Dados!A516,Projetos!$D$2:$D$11,"BRL")</f>
        <v>0</v>
      </c>
      <c r="E516" s="18">
        <f t="shared" ca="1" si="32"/>
        <v>2.097926754604006E-9</v>
      </c>
      <c r="G516" s="45">
        <f t="shared" ref="G516:G579" ca="1" si="35">K515</f>
        <v>1.6085239224782137E-9</v>
      </c>
      <c r="H516" s="18">
        <f>-SUMIFS(Projetos!$F$2:$F$11,Projetos!$D$2:$D$11,"USD",Projetos!$N$2:$N$11,Dados!$A516)</f>
        <v>0</v>
      </c>
      <c r="I516" s="45">
        <f ca="1">(G516+H516)*((Indicadores_Economicos!D$2+1)^(1/12)-1)</f>
        <v>5.265888755635571E-12</v>
      </c>
      <c r="J516" s="18">
        <f>SUMIFS(Projetos!$G$2:$G$11,Projetos!$K$2:$K$11,"&lt;="&amp;Dados!$A516,Projetos!$N$2:$N$11,"&gt;"&amp;Dados!$A516,Projetos!$D$2:$D$11,"USD")</f>
        <v>0</v>
      </c>
      <c r="K516" s="18">
        <f t="shared" ca="1" si="33"/>
        <v>1.6137898112338493E-9</v>
      </c>
    </row>
    <row r="517" spans="1:11" x14ac:dyDescent="0.2">
      <c r="A517" s="45">
        <f t="shared" ca="1" si="34"/>
        <v>2.097926754604006E-9</v>
      </c>
      <c r="B517" s="18">
        <f>-SUMIFS(Projetos!$F$2:$F$11,Projetos!$D$2:$D$11,"BRL",Projetos!$N$2:$N$11,Dados!$A517)</f>
        <v>0</v>
      </c>
      <c r="C517" s="45">
        <f ca="1">(A517+B517)*((Indicadores_Economicos!D$2+1)^(1/12)-1)</f>
        <v>6.8680662766865943E-12</v>
      </c>
      <c r="D517" s="18">
        <f>SUMIFS(Projetos!$G$2:$G$11,Projetos!$K$2:$K$11,"&lt;="&amp;Dados!$A517,Projetos!$N$2:$N$11,"&gt;"&amp;Dados!A517,Projetos!$D$2:$D$11,"BRL")</f>
        <v>0</v>
      </c>
      <c r="E517" s="18">
        <f t="shared" ca="1" si="32"/>
        <v>2.1047948208806927E-9</v>
      </c>
      <c r="G517" s="45">
        <f t="shared" ca="1" si="35"/>
        <v>1.6137898112338493E-9</v>
      </c>
      <c r="H517" s="18">
        <f>-SUMIFS(Projetos!$F$2:$F$11,Projetos!$D$2:$D$11,"USD",Projetos!$N$2:$N$11,Dados!$A517)</f>
        <v>0</v>
      </c>
      <c r="I517" s="45">
        <f ca="1">(G517+H517)*((Indicadores_Economicos!D$2+1)^(1/12)-1)</f>
        <v>5.2831279051435289E-12</v>
      </c>
      <c r="J517" s="18">
        <f>SUMIFS(Projetos!$G$2:$G$11,Projetos!$K$2:$K$11,"&lt;="&amp;Dados!$A517,Projetos!$N$2:$N$11,"&gt;"&amp;Dados!$A517,Projetos!$D$2:$D$11,"USD")</f>
        <v>0</v>
      </c>
      <c r="K517" s="18">
        <f t="shared" ca="1" si="33"/>
        <v>1.6190729391389928E-9</v>
      </c>
    </row>
    <row r="518" spans="1:11" x14ac:dyDescent="0.2">
      <c r="A518" s="45">
        <f t="shared" ca="1" si="34"/>
        <v>2.1047948208806927E-9</v>
      </c>
      <c r="B518" s="18">
        <f>-SUMIFS(Projetos!$F$2:$F$11,Projetos!$D$2:$D$11,"BRL",Projetos!$N$2:$N$11,Dados!$A518)</f>
        <v>0</v>
      </c>
      <c r="C518" s="45">
        <f ca="1">(A518+B518)*((Indicadores_Economicos!D$2+1)^(1/12)-1)</f>
        <v>6.8905505384833617E-12</v>
      </c>
      <c r="D518" s="18">
        <f>SUMIFS(Projetos!$G$2:$G$11,Projetos!$K$2:$K$11,"&lt;="&amp;Dados!$A518,Projetos!$N$2:$N$11,"&gt;"&amp;Dados!A518,Projetos!$D$2:$D$11,"BRL")</f>
        <v>0</v>
      </c>
      <c r="E518" s="18">
        <f t="shared" ca="1" si="32"/>
        <v>2.111685371419176E-9</v>
      </c>
      <c r="G518" s="45">
        <f t="shared" ca="1" si="35"/>
        <v>1.6190729391389928E-9</v>
      </c>
      <c r="H518" s="18">
        <f>-SUMIFS(Projetos!$F$2:$F$11,Projetos!$D$2:$D$11,"USD",Projetos!$N$2:$N$11,Dados!$A518)</f>
        <v>0</v>
      </c>
      <c r="I518" s="45">
        <f ca="1">(G518+H518)*((Indicadores_Economicos!D$2+1)^(1/12)-1)</f>
        <v>5.3004234911410428E-12</v>
      </c>
      <c r="J518" s="18">
        <f>SUMIFS(Projetos!$G$2:$G$11,Projetos!$K$2:$K$11,"&lt;="&amp;Dados!$A518,Projetos!$N$2:$N$11,"&gt;"&amp;Dados!$A518,Projetos!$D$2:$D$11,"USD")</f>
        <v>0</v>
      </c>
      <c r="K518" s="18">
        <f t="shared" ca="1" si="33"/>
        <v>1.6243733626301338E-9</v>
      </c>
    </row>
    <row r="519" spans="1:11" x14ac:dyDescent="0.2">
      <c r="A519" s="45">
        <f t="shared" ca="1" si="34"/>
        <v>2.111685371419176E-9</v>
      </c>
      <c r="B519" s="18">
        <f>-SUMIFS(Projetos!$F$2:$F$11,Projetos!$D$2:$D$11,"BRL",Projetos!$N$2:$N$11,Dados!$A519)</f>
        <v>0</v>
      </c>
      <c r="C519" s="45">
        <f ca="1">(A519+B519)*((Indicadores_Economicos!D$2+1)^(1/12)-1)</f>
        <v>6.9131084079024471E-12</v>
      </c>
      <c r="D519" s="18">
        <f>SUMIFS(Projetos!$G$2:$G$11,Projetos!$K$2:$K$11,"&lt;="&amp;Dados!$A519,Projetos!$N$2:$N$11,"&gt;"&amp;Dados!A519,Projetos!$D$2:$D$11,"BRL")</f>
        <v>0</v>
      </c>
      <c r="E519" s="18">
        <f t="shared" ca="1" si="32"/>
        <v>2.1185984798270783E-9</v>
      </c>
      <c r="G519" s="45">
        <f t="shared" ca="1" si="35"/>
        <v>1.6243733626301338E-9</v>
      </c>
      <c r="H519" s="18">
        <f>-SUMIFS(Projetos!$F$2:$F$11,Projetos!$D$2:$D$11,"USD",Projetos!$N$2:$N$11,Dados!$A519)</f>
        <v>0</v>
      </c>
      <c r="I519" s="45">
        <f ca="1">(G519+H519)*((Indicadores_Economicos!D$2+1)^(1/12)-1)</f>
        <v>5.3177756983864925E-12</v>
      </c>
      <c r="J519" s="18">
        <f>SUMIFS(Projetos!$G$2:$G$11,Projetos!$K$2:$K$11,"&lt;="&amp;Dados!$A519,Projetos!$N$2:$N$11,"&gt;"&amp;Dados!$A519,Projetos!$D$2:$D$11,"USD")</f>
        <v>0</v>
      </c>
      <c r="K519" s="18">
        <f t="shared" ca="1" si="33"/>
        <v>1.6296911383285204E-9</v>
      </c>
    </row>
    <row r="520" spans="1:11" x14ac:dyDescent="0.2">
      <c r="A520" s="45">
        <f t="shared" ca="1" si="34"/>
        <v>2.1185984798270783E-9</v>
      </c>
      <c r="B520" s="18">
        <f>-SUMIFS(Projetos!$F$2:$F$11,Projetos!$D$2:$D$11,"BRL",Projetos!$N$2:$N$11,Dados!$A520)</f>
        <v>0</v>
      </c>
      <c r="C520" s="45">
        <f ca="1">(A520+B520)*((Indicadores_Economicos!D$2+1)^(1/12)-1)</f>
        <v>6.9357401259160506E-12</v>
      </c>
      <c r="D520" s="18">
        <f>SUMIFS(Projetos!$G$2:$G$11,Projetos!$K$2:$K$11,"&lt;="&amp;Dados!$A520,Projetos!$N$2:$N$11,"&gt;"&amp;Dados!A520,Projetos!$D$2:$D$11,"BRL")</f>
        <v>0</v>
      </c>
      <c r="E520" s="18">
        <f t="shared" ca="1" si="32"/>
        <v>2.1255342199529942E-9</v>
      </c>
      <c r="G520" s="45">
        <f t="shared" ca="1" si="35"/>
        <v>1.6296911383285204E-9</v>
      </c>
      <c r="H520" s="18">
        <f>-SUMIFS(Projetos!$F$2:$F$11,Projetos!$D$2:$D$11,"USD",Projetos!$N$2:$N$11,Dados!$A520)</f>
        <v>0</v>
      </c>
      <c r="I520" s="45">
        <f ca="1">(G520+H520)*((Indicadores_Economicos!D$2+1)^(1/12)-1)</f>
        <v>5.3351847122431109E-12</v>
      </c>
      <c r="J520" s="18">
        <f>SUMIFS(Projetos!$G$2:$G$11,Projetos!$K$2:$K$11,"&lt;="&amp;Dados!$A520,Projetos!$N$2:$N$11,"&gt;"&amp;Dados!$A520,Projetos!$D$2:$D$11,"USD")</f>
        <v>0</v>
      </c>
      <c r="K520" s="18">
        <f t="shared" ca="1" si="33"/>
        <v>1.6350263230407635E-9</v>
      </c>
    </row>
    <row r="521" spans="1:11" x14ac:dyDescent="0.2">
      <c r="A521" s="45">
        <f t="shared" ca="1" si="34"/>
        <v>2.1255342199529942E-9</v>
      </c>
      <c r="B521" s="18">
        <f>-SUMIFS(Projetos!$F$2:$F$11,Projetos!$D$2:$D$11,"BRL",Projetos!$N$2:$N$11,Dados!$A521)</f>
        <v>0</v>
      </c>
      <c r="C521" s="45">
        <f ca="1">(A521+B521)*((Indicadores_Economicos!D$2+1)^(1/12)-1)</f>
        <v>6.9584459342852548E-12</v>
      </c>
      <c r="D521" s="18">
        <f>SUMIFS(Projetos!$G$2:$G$11,Projetos!$K$2:$K$11,"&lt;="&amp;Dados!$A521,Projetos!$N$2:$N$11,"&gt;"&amp;Dados!A521,Projetos!$D$2:$D$11,"BRL")</f>
        <v>0</v>
      </c>
      <c r="E521" s="18">
        <f t="shared" ca="1" si="32"/>
        <v>2.1324926658872796E-9</v>
      </c>
      <c r="G521" s="45">
        <f t="shared" ca="1" si="35"/>
        <v>1.6350263230407635E-9</v>
      </c>
      <c r="H521" s="18">
        <f>-SUMIFS(Projetos!$F$2:$F$11,Projetos!$D$2:$D$11,"USD",Projetos!$N$2:$N$11,Dados!$A521)</f>
        <v>0</v>
      </c>
      <c r="I521" s="45">
        <f ca="1">(G521+H521)*((Indicadores_Economicos!D$2+1)^(1/12)-1)</f>
        <v>5.3526507186809611E-12</v>
      </c>
      <c r="J521" s="18">
        <f>SUMIFS(Projetos!$G$2:$G$11,Projetos!$K$2:$K$11,"&lt;="&amp;Dados!$A521,Projetos!$N$2:$N$11,"&gt;"&amp;Dados!$A521,Projetos!$D$2:$D$11,"USD")</f>
        <v>0</v>
      </c>
      <c r="K521" s="18">
        <f t="shared" ca="1" si="33"/>
        <v>1.6403789737594445E-9</v>
      </c>
    </row>
    <row r="522" spans="1:11" x14ac:dyDescent="0.2">
      <c r="A522" s="45">
        <f t="shared" ca="1" si="34"/>
        <v>2.1324926658872796E-9</v>
      </c>
      <c r="B522" s="18">
        <f>-SUMIFS(Projetos!$F$2:$F$11,Projetos!$D$2:$D$11,"BRL",Projetos!$N$2:$N$11,Dados!$A522)</f>
        <v>0</v>
      </c>
      <c r="C522" s="45">
        <f ca="1">(A522+B522)*((Indicadores_Economicos!D$2+1)^(1/12)-1)</f>
        <v>6.9812260755626047E-12</v>
      </c>
      <c r="D522" s="18">
        <f>SUMIFS(Projetos!$G$2:$G$11,Projetos!$K$2:$K$11,"&lt;="&amp;Dados!$A522,Projetos!$N$2:$N$11,"&gt;"&amp;Dados!A522,Projetos!$D$2:$D$11,"BRL")</f>
        <v>0</v>
      </c>
      <c r="E522" s="18">
        <f t="shared" ca="1" si="32"/>
        <v>2.1394738919628421E-9</v>
      </c>
      <c r="G522" s="45">
        <f t="shared" ca="1" si="35"/>
        <v>1.6403789737594445E-9</v>
      </c>
      <c r="H522" s="18">
        <f>-SUMIFS(Projetos!$F$2:$F$11,Projetos!$D$2:$D$11,"USD",Projetos!$N$2:$N$11,Dados!$A522)</f>
        <v>0</v>
      </c>
      <c r="I522" s="45">
        <f ca="1">(G522+H522)*((Indicadores_Economicos!D$2+1)^(1/12)-1)</f>
        <v>5.3701739042789231E-12</v>
      </c>
      <c r="J522" s="18">
        <f>SUMIFS(Projetos!$G$2:$G$11,Projetos!$K$2:$K$11,"&lt;="&amp;Dados!$A522,Projetos!$N$2:$N$11,"&gt;"&amp;Dados!$A522,Projetos!$D$2:$D$11,"USD")</f>
        <v>0</v>
      </c>
      <c r="K522" s="18">
        <f t="shared" ca="1" si="33"/>
        <v>1.6457491476637235E-9</v>
      </c>
    </row>
    <row r="523" spans="1:11" x14ac:dyDescent="0.2">
      <c r="A523" s="45">
        <f t="shared" ca="1" si="34"/>
        <v>2.1394738919628421E-9</v>
      </c>
      <c r="B523" s="18">
        <f>-SUMIFS(Projetos!$F$2:$F$11,Projetos!$D$2:$D$11,"BRL",Projetos!$N$2:$N$11,Dados!$A523)</f>
        <v>0</v>
      </c>
      <c r="C523" s="45">
        <f ca="1">(A523+B523)*((Indicadores_Economicos!D$2+1)^(1/12)-1)</f>
        <v>7.0040807930946989E-12</v>
      </c>
      <c r="D523" s="18">
        <f>SUMIFS(Projetos!$G$2:$G$11,Projetos!$K$2:$K$11,"&lt;="&amp;Dados!$A523,Projetos!$N$2:$N$11,"&gt;"&amp;Dados!A523,Projetos!$D$2:$D$11,"BRL")</f>
        <v>0</v>
      </c>
      <c r="E523" s="18">
        <f t="shared" ca="1" si="32"/>
        <v>2.1464779727559367E-9</v>
      </c>
      <c r="G523" s="45">
        <f t="shared" ca="1" si="35"/>
        <v>1.6457491476637235E-9</v>
      </c>
      <c r="H523" s="18">
        <f>-SUMIFS(Projetos!$F$2:$F$11,Projetos!$D$2:$D$11,"USD",Projetos!$N$2:$N$11,Dados!$A523)</f>
        <v>0</v>
      </c>
      <c r="I523" s="45">
        <f ca="1">(G523+H523)*((Indicadores_Economicos!D$2+1)^(1/12)-1)</f>
        <v>5.3877544562266874E-12</v>
      </c>
      <c r="J523" s="18">
        <f>SUMIFS(Projetos!$G$2:$G$11,Projetos!$K$2:$K$11,"&lt;="&amp;Dados!$A523,Projetos!$N$2:$N$11,"&gt;"&amp;Dados!$A523,Projetos!$D$2:$D$11,"USD")</f>
        <v>0</v>
      </c>
      <c r="K523" s="18">
        <f t="shared" ca="1" si="33"/>
        <v>1.6511369021199502E-9</v>
      </c>
    </row>
    <row r="524" spans="1:11" x14ac:dyDescent="0.2">
      <c r="A524" s="45">
        <f t="shared" ca="1" si="34"/>
        <v>2.1464779727559367E-9</v>
      </c>
      <c r="B524" s="18">
        <f>-SUMIFS(Projetos!$F$2:$F$11,Projetos!$D$2:$D$11,"BRL",Projetos!$N$2:$N$11,Dados!$A524)</f>
        <v>0</v>
      </c>
      <c r="C524" s="45">
        <f ca="1">(A524+B524)*((Indicadores_Economicos!D$2+1)^(1/12)-1)</f>
        <v>7.0270103310247879E-12</v>
      </c>
      <c r="D524" s="18">
        <f>SUMIFS(Projetos!$G$2:$G$11,Projetos!$K$2:$K$11,"&lt;="&amp;Dados!$A524,Projetos!$N$2:$N$11,"&gt;"&amp;Dados!A524,Projetos!$D$2:$D$11,"BRL")</f>
        <v>0</v>
      </c>
      <c r="E524" s="18">
        <f t="shared" ca="1" si="32"/>
        <v>2.1535049830869614E-9</v>
      </c>
      <c r="G524" s="45">
        <f t="shared" ca="1" si="35"/>
        <v>1.6511369021199502E-9</v>
      </c>
      <c r="H524" s="18">
        <f>-SUMIFS(Projetos!$F$2:$F$11,Projetos!$D$2:$D$11,"USD",Projetos!$N$2:$N$11,Dados!$A524)</f>
        <v>0</v>
      </c>
      <c r="I524" s="45">
        <f ca="1">(G524+H524)*((Indicadores_Economicos!D$2+1)^(1/12)-1)</f>
        <v>5.4053925623267563E-12</v>
      </c>
      <c r="J524" s="18">
        <f>SUMIFS(Projetos!$G$2:$G$11,Projetos!$K$2:$K$11,"&lt;="&amp;Dados!$A524,Projetos!$N$2:$N$11,"&gt;"&amp;Dados!$A524,Projetos!$D$2:$D$11,"USD")</f>
        <v>0</v>
      </c>
      <c r="K524" s="18">
        <f t="shared" ca="1" si="33"/>
        <v>1.656542294682277E-9</v>
      </c>
    </row>
    <row r="525" spans="1:11" x14ac:dyDescent="0.2">
      <c r="A525" s="45">
        <f t="shared" ca="1" si="34"/>
        <v>2.1535049830869614E-9</v>
      </c>
      <c r="B525" s="18">
        <f>-SUMIFS(Projetos!$F$2:$F$11,Projetos!$D$2:$D$11,"BRL",Projetos!$N$2:$N$11,Dados!$A525)</f>
        <v>0</v>
      </c>
      <c r="C525" s="45">
        <f ca="1">(A525+B525)*((Indicadores_Economicos!D$2+1)^(1/12)-1)</f>
        <v>7.0500149342953862E-12</v>
      </c>
      <c r="D525" s="18">
        <f>SUMIFS(Projetos!$G$2:$G$11,Projetos!$K$2:$K$11,"&lt;="&amp;Dados!$A525,Projetos!$N$2:$N$11,"&gt;"&amp;Dados!A525,Projetos!$D$2:$D$11,"BRL")</f>
        <v>0</v>
      </c>
      <c r="E525" s="18">
        <f t="shared" ca="1" si="32"/>
        <v>2.1605549980212569E-9</v>
      </c>
      <c r="G525" s="45">
        <f t="shared" ca="1" si="35"/>
        <v>1.656542294682277E-9</v>
      </c>
      <c r="H525" s="18">
        <f>-SUMIFS(Projetos!$F$2:$F$11,Projetos!$D$2:$D$11,"USD",Projetos!$N$2:$N$11,Dados!$A525)</f>
        <v>0</v>
      </c>
      <c r="I525" s="45">
        <f ca="1">(G525+H525)*((Indicadores_Economicos!D$2+1)^(1/12)-1)</f>
        <v>5.4230884109964477E-12</v>
      </c>
      <c r="J525" s="18">
        <f>SUMIFS(Projetos!$G$2:$G$11,Projetos!$K$2:$K$11,"&lt;="&amp;Dados!$A525,Projetos!$N$2:$N$11,"&gt;"&amp;Dados!$A525,Projetos!$D$2:$D$11,"USD")</f>
        <v>0</v>
      </c>
      <c r="K525" s="18">
        <f t="shared" ca="1" si="33"/>
        <v>1.6619653830932734E-9</v>
      </c>
    </row>
    <row r="526" spans="1:11" x14ac:dyDescent="0.2">
      <c r="A526" s="45">
        <f t="shared" ca="1" si="34"/>
        <v>2.1605549980212569E-9</v>
      </c>
      <c r="B526" s="18">
        <f>-SUMIFS(Projetos!$F$2:$F$11,Projetos!$D$2:$D$11,"BRL",Projetos!$N$2:$N$11,Dados!$A526)</f>
        <v>0</v>
      </c>
      <c r="C526" s="45">
        <f ca="1">(A526+B526)*((Indicadores_Economicos!D$2+1)^(1/12)-1)</f>
        <v>7.0730948486508855E-12</v>
      </c>
      <c r="D526" s="18">
        <f>SUMIFS(Projetos!$G$2:$G$11,Projetos!$K$2:$K$11,"&lt;="&amp;Dados!$A526,Projetos!$N$2:$N$11,"&gt;"&amp;Dados!A526,Projetos!$D$2:$D$11,"BRL")</f>
        <v>0</v>
      </c>
      <c r="E526" s="18">
        <f t="shared" ca="1" si="32"/>
        <v>2.167628092869908E-9</v>
      </c>
      <c r="G526" s="45">
        <f t="shared" ca="1" si="35"/>
        <v>1.6619653830932734E-9</v>
      </c>
      <c r="H526" s="18">
        <f>-SUMIFS(Projetos!$F$2:$F$11,Projetos!$D$2:$D$11,"USD",Projetos!$N$2:$N$11,Dados!$A526)</f>
        <v>0</v>
      </c>
      <c r="I526" s="45">
        <f ca="1">(G526+H526)*((Indicadores_Economicos!D$2+1)^(1/12)-1)</f>
        <v>5.4408421912699085E-12</v>
      </c>
      <c r="J526" s="18">
        <f>SUMIFS(Projetos!$G$2:$G$11,Projetos!$K$2:$K$11,"&lt;="&amp;Dados!$A526,Projetos!$N$2:$N$11,"&gt;"&amp;Dados!$A526,Projetos!$D$2:$D$11,"USD")</f>
        <v>0</v>
      </c>
      <c r="K526" s="18">
        <f t="shared" ca="1" si="33"/>
        <v>1.6674062252845433E-9</v>
      </c>
    </row>
    <row r="527" spans="1:11" x14ac:dyDescent="0.2">
      <c r="A527" s="45">
        <f t="shared" ca="1" si="34"/>
        <v>2.167628092869908E-9</v>
      </c>
      <c r="B527" s="18">
        <f>-SUMIFS(Projetos!$F$2:$F$11,Projetos!$D$2:$D$11,"BRL",Projetos!$N$2:$N$11,Dados!$A527)</f>
        <v>0</v>
      </c>
      <c r="C527" s="45">
        <f ca="1">(A527+B527)*((Indicadores_Economicos!D$2+1)^(1/12)-1)</f>
        <v>7.096250320640181E-12</v>
      </c>
      <c r="D527" s="18">
        <f>SUMIFS(Projetos!$G$2:$G$11,Projetos!$K$2:$K$11,"&lt;="&amp;Dados!$A527,Projetos!$N$2:$N$11,"&gt;"&amp;Dados!A527,Projetos!$D$2:$D$11,"BRL")</f>
        <v>0</v>
      </c>
      <c r="E527" s="18">
        <f t="shared" ca="1" si="32"/>
        <v>2.1747243431905481E-9</v>
      </c>
      <c r="G527" s="45">
        <f t="shared" ca="1" si="35"/>
        <v>1.6674062252845433E-9</v>
      </c>
      <c r="H527" s="18">
        <f>-SUMIFS(Projetos!$F$2:$F$11,Projetos!$D$2:$D$11,"USD",Projetos!$N$2:$N$11,Dados!$A527)</f>
        <v>0</v>
      </c>
      <c r="I527" s="45">
        <f ca="1">(G527+H527)*((Indicadores_Economicos!D$2+1)^(1/12)-1)</f>
        <v>5.458654092800135E-12</v>
      </c>
      <c r="J527" s="18">
        <f>SUMIFS(Projetos!$G$2:$G$11,Projetos!$K$2:$K$11,"&lt;="&amp;Dados!$A527,Projetos!$N$2:$N$11,"&gt;"&amp;Dados!$A527,Projetos!$D$2:$D$11,"USD")</f>
        <v>0</v>
      </c>
      <c r="K527" s="18">
        <f t="shared" ca="1" si="33"/>
        <v>1.6728648793773435E-9</v>
      </c>
    </row>
    <row r="528" spans="1:11" x14ac:dyDescent="0.2">
      <c r="A528" s="45">
        <f t="shared" ca="1" si="34"/>
        <v>2.1747243431905481E-9</v>
      </c>
      <c r="B528" s="18">
        <f>-SUMIFS(Projetos!$F$2:$F$11,Projetos!$D$2:$D$11,"BRL",Projetos!$N$2:$N$11,Dados!$A528)</f>
        <v>0</v>
      </c>
      <c r="C528" s="45">
        <f ca="1">(A528+B528)*((Indicadores_Economicos!D$2+1)^(1/12)-1)</f>
        <v>7.1194815976193023E-12</v>
      </c>
      <c r="D528" s="18">
        <f>SUMIFS(Projetos!$G$2:$G$11,Projetos!$K$2:$K$11,"&lt;="&amp;Dados!$A528,Projetos!$N$2:$N$11,"&gt;"&amp;Dados!A528,Projetos!$D$2:$D$11,"BRL")</f>
        <v>0</v>
      </c>
      <c r="E528" s="18">
        <f t="shared" ca="1" si="32"/>
        <v>2.1818438247881673E-9</v>
      </c>
      <c r="G528" s="45">
        <f t="shared" ca="1" si="35"/>
        <v>1.6728648793773435E-9</v>
      </c>
      <c r="H528" s="18">
        <f>-SUMIFS(Projetos!$F$2:$F$11,Projetos!$D$2:$D$11,"USD",Projetos!$N$2:$N$11,Dados!$A528)</f>
        <v>0</v>
      </c>
      <c r="I528" s="45">
        <f ca="1">(G528+H528)*((Indicadores_Economicos!D$2+1)^(1/12)-1)</f>
        <v>5.4765243058609982E-12</v>
      </c>
      <c r="J528" s="18">
        <f>SUMIFS(Projetos!$G$2:$G$11,Projetos!$K$2:$K$11,"&lt;="&amp;Dados!$A528,Projetos!$N$2:$N$11,"&gt;"&amp;Dados!$A528,Projetos!$D$2:$D$11,"USD")</f>
        <v>0</v>
      </c>
      <c r="K528" s="18">
        <f t="shared" ca="1" si="33"/>
        <v>1.6783414036832045E-9</v>
      </c>
    </row>
    <row r="529" spans="1:11" x14ac:dyDescent="0.2">
      <c r="A529" s="45">
        <f t="shared" ca="1" si="34"/>
        <v>2.1818438247881673E-9</v>
      </c>
      <c r="B529" s="18">
        <f>-SUMIFS(Projetos!$F$2:$F$11,Projetos!$D$2:$D$11,"BRL",Projetos!$N$2:$N$11,Dados!$A529)</f>
        <v>0</v>
      </c>
      <c r="C529" s="45">
        <f ca="1">(A529+B529)*((Indicadores_Economicos!D$2+1)^(1/12)-1)</f>
        <v>7.1427889277540614E-12</v>
      </c>
      <c r="D529" s="18">
        <f>SUMIFS(Projetos!$G$2:$G$11,Projetos!$K$2:$K$11,"&lt;="&amp;Dados!$A529,Projetos!$N$2:$N$11,"&gt;"&amp;Dados!A529,Projetos!$D$2:$D$11,"BRL")</f>
        <v>0</v>
      </c>
      <c r="E529" s="18">
        <f t="shared" ca="1" si="32"/>
        <v>2.1889866137159214E-9</v>
      </c>
      <c r="G529" s="45">
        <f t="shared" ca="1" si="35"/>
        <v>1.6783414036832045E-9</v>
      </c>
      <c r="H529" s="18">
        <f>-SUMIFS(Projetos!$F$2:$F$11,Projetos!$D$2:$D$11,"USD",Projetos!$N$2:$N$11,Dados!$A529)</f>
        <v>0</v>
      </c>
      <c r="I529" s="45">
        <f ca="1">(G529+H529)*((Indicadores_Economicos!D$2+1)^(1/12)-1)</f>
        <v>5.4944530213492743E-12</v>
      </c>
      <c r="J529" s="18">
        <f>SUMIFS(Projetos!$G$2:$G$11,Projetos!$K$2:$K$11,"&lt;="&amp;Dados!$A529,Projetos!$N$2:$N$11,"&gt;"&amp;Dados!$A529,Projetos!$D$2:$D$11,"USD")</f>
        <v>0</v>
      </c>
      <c r="K529" s="18">
        <f t="shared" ca="1" si="33"/>
        <v>1.6838358567045538E-9</v>
      </c>
    </row>
    <row r="530" spans="1:11" x14ac:dyDescent="0.2">
      <c r="A530" s="45">
        <f t="shared" ca="1" si="34"/>
        <v>2.1889866137159214E-9</v>
      </c>
      <c r="B530" s="18">
        <f>-SUMIFS(Projetos!$F$2:$F$11,Projetos!$D$2:$D$11,"BRL",Projetos!$N$2:$N$11,Dados!$A530)</f>
        <v>0</v>
      </c>
      <c r="C530" s="45">
        <f ca="1">(A530+B530)*((Indicadores_Economicos!D$2+1)^(1/12)-1)</f>
        <v>7.1661725600226997E-12</v>
      </c>
      <c r="D530" s="18">
        <f>SUMIFS(Projetos!$G$2:$G$11,Projetos!$K$2:$K$11,"&lt;="&amp;Dados!$A530,Projetos!$N$2:$N$11,"&gt;"&amp;Dados!A530,Projetos!$D$2:$D$11,"BRL")</f>
        <v>0</v>
      </c>
      <c r="E530" s="18">
        <f t="shared" ca="1" si="32"/>
        <v>2.1961527862759443E-9</v>
      </c>
      <c r="G530" s="45">
        <f t="shared" ca="1" si="35"/>
        <v>1.6838358567045538E-9</v>
      </c>
      <c r="H530" s="18">
        <f>-SUMIFS(Projetos!$F$2:$F$11,Projetos!$D$2:$D$11,"USD",Projetos!$N$2:$N$11,Dados!$A530)</f>
        <v>0</v>
      </c>
      <c r="I530" s="45">
        <f ca="1">(G530+H530)*((Indicadores_Economicos!D$2+1)^(1/12)-1)</f>
        <v>5.5124404307866887E-12</v>
      </c>
      <c r="J530" s="18">
        <f>SUMIFS(Projetos!$G$2:$G$11,Projetos!$K$2:$K$11,"&lt;="&amp;Dados!$A530,Projetos!$N$2:$N$11,"&gt;"&amp;Dados!$A530,Projetos!$D$2:$D$11,"USD")</f>
        <v>0</v>
      </c>
      <c r="K530" s="18">
        <f t="shared" ca="1" si="33"/>
        <v>1.6893482971353404E-9</v>
      </c>
    </row>
    <row r="531" spans="1:11" x14ac:dyDescent="0.2">
      <c r="A531" s="45">
        <f t="shared" ca="1" si="34"/>
        <v>2.1961527862759443E-9</v>
      </c>
      <c r="B531" s="18">
        <f>-SUMIFS(Projetos!$F$2:$F$11,Projetos!$D$2:$D$11,"BRL",Projetos!$N$2:$N$11,Dados!$A531)</f>
        <v>0</v>
      </c>
      <c r="C531" s="45">
        <f ca="1">(A531+B531)*((Indicadores_Economicos!D$2+1)^(1/12)-1)</f>
        <v>7.189632744218549E-12</v>
      </c>
      <c r="D531" s="18">
        <f>SUMIFS(Projetos!$G$2:$G$11,Projetos!$K$2:$K$11,"&lt;="&amp;Dados!$A531,Projetos!$N$2:$N$11,"&gt;"&amp;Dados!A531,Projetos!$D$2:$D$11,"BRL")</f>
        <v>0</v>
      </c>
      <c r="E531" s="18">
        <f t="shared" ca="1" si="32"/>
        <v>2.2033424190201628E-9</v>
      </c>
      <c r="G531" s="45">
        <f t="shared" ca="1" si="35"/>
        <v>1.6893482971353404E-9</v>
      </c>
      <c r="H531" s="18">
        <f>-SUMIFS(Projetos!$F$2:$F$11,Projetos!$D$2:$D$11,"USD",Projetos!$N$2:$N$11,Dados!$A531)</f>
        <v>0</v>
      </c>
      <c r="I531" s="45">
        <f ca="1">(G531+H531)*((Indicadores_Economicos!D$2+1)^(1/12)-1)</f>
        <v>5.5304867263219565E-12</v>
      </c>
      <c r="J531" s="18">
        <f>SUMIFS(Projetos!$G$2:$G$11,Projetos!$K$2:$K$11,"&lt;="&amp;Dados!$A531,Projetos!$N$2:$N$11,"&gt;"&amp;Dados!$A531,Projetos!$D$2:$D$11,"USD")</f>
        <v>0</v>
      </c>
      <c r="K531" s="18">
        <f t="shared" ca="1" si="33"/>
        <v>1.6948787838616623E-9</v>
      </c>
    </row>
    <row r="532" spans="1:11" x14ac:dyDescent="0.2">
      <c r="A532" s="45">
        <f t="shared" ca="1" si="34"/>
        <v>2.2033424190201628E-9</v>
      </c>
      <c r="B532" s="18">
        <f>-SUMIFS(Projetos!$F$2:$F$11,Projetos!$D$2:$D$11,"BRL",Projetos!$N$2:$N$11,Dados!$A532)</f>
        <v>0</v>
      </c>
      <c r="C532" s="45">
        <f ca="1">(A532+B532)*((Indicadores_Economicos!D$2+1)^(1/12)-1)</f>
        <v>7.2131697309526973E-12</v>
      </c>
      <c r="D532" s="18">
        <f>SUMIFS(Projetos!$G$2:$G$11,Projetos!$K$2:$K$11,"&lt;="&amp;Dados!$A532,Projetos!$N$2:$N$11,"&gt;"&amp;Dados!A532,Projetos!$D$2:$D$11,"BRL")</f>
        <v>0</v>
      </c>
      <c r="E532" s="18">
        <f t="shared" ca="1" si="32"/>
        <v>2.2105555887511155E-9</v>
      </c>
      <c r="G532" s="45">
        <f t="shared" ca="1" si="35"/>
        <v>1.6948787838616623E-9</v>
      </c>
      <c r="H532" s="18">
        <f>-SUMIFS(Projetos!$F$2:$F$11,Projetos!$D$2:$D$11,"USD",Projetos!$N$2:$N$11,Dados!$A532)</f>
        <v>0</v>
      </c>
      <c r="I532" s="45">
        <f ca="1">(G532+H532)*((Indicadores_Economicos!D$2+1)^(1/12)-1)</f>
        <v>5.5485921007328395E-12</v>
      </c>
      <c r="J532" s="18">
        <f>SUMIFS(Projetos!$G$2:$G$11,Projetos!$K$2:$K$11,"&lt;="&amp;Dados!$A532,Projetos!$N$2:$N$11,"&gt;"&amp;Dados!$A532,Projetos!$D$2:$D$11,"USD")</f>
        <v>0</v>
      </c>
      <c r="K532" s="18">
        <f t="shared" ca="1" si="33"/>
        <v>1.7004273759623952E-9</v>
      </c>
    </row>
    <row r="533" spans="1:11" x14ac:dyDescent="0.2">
      <c r="A533" s="45">
        <f t="shared" ca="1" si="34"/>
        <v>2.2105555887511155E-9</v>
      </c>
      <c r="B533" s="18">
        <f>-SUMIFS(Projetos!$F$2:$F$11,Projetos!$D$2:$D$11,"BRL",Projetos!$N$2:$N$11,Dados!$A533)</f>
        <v>0</v>
      </c>
      <c r="C533" s="45">
        <f ca="1">(A533+B533)*((Indicadores_Economicos!D$2+1)^(1/12)-1)</f>
        <v>7.2367837716566704E-12</v>
      </c>
      <c r="D533" s="18">
        <f>SUMIFS(Projetos!$G$2:$G$11,Projetos!$K$2:$K$11,"&lt;="&amp;Dados!$A533,Projetos!$N$2:$N$11,"&gt;"&amp;Dados!A533,Projetos!$D$2:$D$11,"BRL")</f>
        <v>0</v>
      </c>
      <c r="E533" s="18">
        <f t="shared" ca="1" si="32"/>
        <v>2.2177923725227723E-9</v>
      </c>
      <c r="G533" s="45">
        <f t="shared" ca="1" si="35"/>
        <v>1.7004273759623952E-9</v>
      </c>
      <c r="H533" s="18">
        <f>-SUMIFS(Projetos!$F$2:$F$11,Projetos!$D$2:$D$11,"USD",Projetos!$N$2:$N$11,Dados!$A533)</f>
        <v>0</v>
      </c>
      <c r="I533" s="45">
        <f ca="1">(G533+H533)*((Indicadores_Economicos!D$2+1)^(1/12)-1)</f>
        <v>5.5667567474282035E-12</v>
      </c>
      <c r="J533" s="18">
        <f>SUMIFS(Projetos!$G$2:$G$11,Projetos!$K$2:$K$11,"&lt;="&amp;Dados!$A533,Projetos!$N$2:$N$11,"&gt;"&amp;Dados!$A533,Projetos!$D$2:$D$11,"USD")</f>
        <v>0</v>
      </c>
      <c r="K533" s="18">
        <f t="shared" ca="1" si="33"/>
        <v>1.7059941327098234E-9</v>
      </c>
    </row>
    <row r="534" spans="1:11" x14ac:dyDescent="0.2">
      <c r="A534" s="45">
        <f t="shared" ca="1" si="34"/>
        <v>2.2177923725227723E-9</v>
      </c>
      <c r="B534" s="18">
        <f>-SUMIFS(Projetos!$F$2:$F$11,Projetos!$D$2:$D$11,"BRL",Projetos!$N$2:$N$11,Dados!$A534)</f>
        <v>0</v>
      </c>
      <c r="C534" s="45">
        <f ca="1">(A534+B534)*((Indicadores_Economicos!D$2+1)^(1/12)-1)</f>
        <v>7.2604751185851148E-12</v>
      </c>
      <c r="D534" s="18">
        <f>SUMIFS(Projetos!$G$2:$G$11,Projetos!$K$2:$K$11,"&lt;="&amp;Dados!$A534,Projetos!$N$2:$N$11,"&gt;"&amp;Dados!A534,Projetos!$D$2:$D$11,"BRL")</f>
        <v>0</v>
      </c>
      <c r="E534" s="18">
        <f t="shared" ca="1" si="32"/>
        <v>2.2250528476413573E-9</v>
      </c>
      <c r="G534" s="45">
        <f t="shared" ca="1" si="35"/>
        <v>1.7059941327098234E-9</v>
      </c>
      <c r="H534" s="18">
        <f>-SUMIFS(Projetos!$F$2:$F$11,Projetos!$D$2:$D$11,"USD",Projetos!$N$2:$N$11,Dados!$A534)</f>
        <v>0</v>
      </c>
      <c r="I534" s="45">
        <f ca="1">(G534+H534)*((Indicadores_Economicos!D$2+1)^(1/12)-1)</f>
        <v>5.5849808604500833E-12</v>
      </c>
      <c r="J534" s="18">
        <f>SUMIFS(Projetos!$G$2:$G$11,Projetos!$K$2:$K$11,"&lt;="&amp;Dados!$A534,Projetos!$N$2:$N$11,"&gt;"&amp;Dados!$A534,Projetos!$D$2:$D$11,"USD")</f>
        <v>0</v>
      </c>
      <c r="K534" s="18">
        <f t="shared" ca="1" si="33"/>
        <v>1.7115791135702736E-9</v>
      </c>
    </row>
    <row r="535" spans="1:11" x14ac:dyDescent="0.2">
      <c r="A535" s="45">
        <f t="shared" ca="1" si="34"/>
        <v>2.2250528476413573E-9</v>
      </c>
      <c r="B535" s="18">
        <f>-SUMIFS(Projetos!$F$2:$F$11,Projetos!$D$2:$D$11,"BRL",Projetos!$N$2:$N$11,Dados!$A535)</f>
        <v>0</v>
      </c>
      <c r="C535" s="45">
        <f ca="1">(A535+B535)*((Indicadores_Economicos!D$2+1)^(1/12)-1)</f>
        <v>7.2842440248184916E-12</v>
      </c>
      <c r="D535" s="18">
        <f>SUMIFS(Projetos!$G$2:$G$11,Projetos!$K$2:$K$11,"&lt;="&amp;Dados!$A535,Projetos!$N$2:$N$11,"&gt;"&amp;Dados!A535,Projetos!$D$2:$D$11,"BRL")</f>
        <v>0</v>
      </c>
      <c r="E535" s="18">
        <f t="shared" ca="1" si="32"/>
        <v>2.2323370916661757E-9</v>
      </c>
      <c r="G535" s="45">
        <f t="shared" ca="1" si="35"/>
        <v>1.7115791135702736E-9</v>
      </c>
      <c r="H535" s="18">
        <f>-SUMIFS(Projetos!$F$2:$F$11,Projetos!$D$2:$D$11,"USD",Projetos!$N$2:$N$11,Dados!$A535)</f>
        <v>0</v>
      </c>
      <c r="I535" s="45">
        <f ca="1">(G535+H535)*((Indicadores_Economicos!D$2+1)^(1/12)-1)</f>
        <v>5.603264634475759E-12</v>
      </c>
      <c r="J535" s="18">
        <f>SUMIFS(Projetos!$G$2:$G$11,Projetos!$K$2:$K$11,"&lt;="&amp;Dados!$A535,Projetos!$N$2:$N$11,"&gt;"&amp;Dados!$A535,Projetos!$D$2:$D$11,"USD")</f>
        <v>0</v>
      </c>
      <c r="K535" s="18">
        <f t="shared" ca="1" si="33"/>
        <v>1.7171823782047494E-9</v>
      </c>
    </row>
    <row r="536" spans="1:11" x14ac:dyDescent="0.2">
      <c r="A536" s="45">
        <f t="shared" ca="1" si="34"/>
        <v>2.2323370916661757E-9</v>
      </c>
      <c r="B536" s="18">
        <f>-SUMIFS(Projetos!$F$2:$F$11,Projetos!$D$2:$D$11,"BRL",Projetos!$N$2:$N$11,Dados!$A536)</f>
        <v>0</v>
      </c>
      <c r="C536" s="45">
        <f ca="1">(A536+B536)*((Indicadores_Economicos!D$2+1)^(1/12)-1)</f>
        <v>7.3080907442657835E-12</v>
      </c>
      <c r="D536" s="18">
        <f>SUMIFS(Projetos!$G$2:$G$11,Projetos!$K$2:$K$11,"&lt;="&amp;Dados!$A536,Projetos!$N$2:$N$11,"&gt;"&amp;Dados!A536,Projetos!$D$2:$D$11,"BRL")</f>
        <v>0</v>
      </c>
      <c r="E536" s="18">
        <f t="shared" ca="1" si="32"/>
        <v>2.2396451824104414E-9</v>
      </c>
      <c r="G536" s="45">
        <f t="shared" ca="1" si="35"/>
        <v>1.7171823782047494E-9</v>
      </c>
      <c r="H536" s="18">
        <f>-SUMIFS(Projetos!$F$2:$F$11,Projetos!$D$2:$D$11,"USD",Projetos!$N$2:$N$11,Dados!$A536)</f>
        <v>0</v>
      </c>
      <c r="I536" s="45">
        <f ca="1">(G536+H536)*((Indicadores_Economicos!D$2+1)^(1/12)-1)</f>
        <v>5.6216082648198302E-12</v>
      </c>
      <c r="J536" s="18">
        <f>SUMIFS(Projetos!$G$2:$G$11,Projetos!$K$2:$K$11,"&lt;="&amp;Dados!$A536,Projetos!$N$2:$N$11,"&gt;"&amp;Dados!$A536,Projetos!$D$2:$D$11,"USD")</f>
        <v>0</v>
      </c>
      <c r="K536" s="18">
        <f t="shared" ca="1" si="33"/>
        <v>1.7228039864695692E-9</v>
      </c>
    </row>
    <row r="537" spans="1:11" x14ac:dyDescent="0.2">
      <c r="A537" s="45">
        <f t="shared" ca="1" si="34"/>
        <v>2.2396451824104414E-9</v>
      </c>
      <c r="B537" s="18">
        <f>-SUMIFS(Projetos!$F$2:$F$11,Projetos!$D$2:$D$11,"BRL",Projetos!$N$2:$N$11,Dados!$A537)</f>
        <v>0</v>
      </c>
      <c r="C537" s="45">
        <f ca="1">(A537+B537)*((Indicadores_Economicos!D$2+1)^(1/12)-1)</f>
        <v>7.3320155316672065E-12</v>
      </c>
      <c r="D537" s="18">
        <f>SUMIFS(Projetos!$G$2:$G$11,Projetos!$K$2:$K$11,"&lt;="&amp;Dados!$A537,Projetos!$N$2:$N$11,"&gt;"&amp;Dados!A537,Projetos!$D$2:$D$11,"BRL")</f>
        <v>0</v>
      </c>
      <c r="E537" s="18">
        <f t="shared" ca="1" si="32"/>
        <v>2.2469771979421086E-9</v>
      </c>
      <c r="G537" s="45">
        <f t="shared" ca="1" si="35"/>
        <v>1.7228039864695692E-9</v>
      </c>
      <c r="H537" s="18">
        <f>-SUMIFS(Projetos!$F$2:$F$11,Projetos!$D$2:$D$11,"USD",Projetos!$N$2:$N$11,Dados!$A537)</f>
        <v>0</v>
      </c>
      <c r="I537" s="45">
        <f ca="1">(G537+H537)*((Indicadores_Economicos!D$2+1)^(1/12)-1)</f>
        <v>5.6400119474363094E-12</v>
      </c>
      <c r="J537" s="18">
        <f>SUMIFS(Projetos!$G$2:$G$11,Projetos!$K$2:$K$11,"&lt;="&amp;Dados!$A537,Projetos!$N$2:$N$11,"&gt;"&amp;Dados!$A537,Projetos!$D$2:$D$11,"USD")</f>
        <v>0</v>
      </c>
      <c r="K537" s="18">
        <f t="shared" ca="1" si="33"/>
        <v>1.7284439984170056E-9</v>
      </c>
    </row>
    <row r="538" spans="1:11" x14ac:dyDescent="0.2">
      <c r="A538" s="45">
        <f t="shared" ca="1" si="34"/>
        <v>2.2469771979421086E-9</v>
      </c>
      <c r="B538" s="18">
        <f>-SUMIFS(Projetos!$F$2:$F$11,Projetos!$D$2:$D$11,"BRL",Projetos!$N$2:$N$11,Dados!$A538)</f>
        <v>0</v>
      </c>
      <c r="C538" s="45">
        <f ca="1">(A538+B538)*((Indicadores_Economicos!D$2+1)^(1/12)-1)</f>
        <v>7.3560186425969258E-12</v>
      </c>
      <c r="D538" s="18">
        <f>SUMIFS(Projetos!$G$2:$G$11,Projetos!$K$2:$K$11,"&lt;="&amp;Dados!$A538,Projetos!$N$2:$N$11,"&gt;"&amp;Dados!A538,Projetos!$D$2:$D$11,"BRL")</f>
        <v>0</v>
      </c>
      <c r="E538" s="18">
        <f t="shared" ca="1" si="32"/>
        <v>2.2543332165847055E-9</v>
      </c>
      <c r="G538" s="45">
        <f t="shared" ca="1" si="35"/>
        <v>1.7284439984170056E-9</v>
      </c>
      <c r="H538" s="18">
        <f>-SUMIFS(Projetos!$F$2:$F$11,Projetos!$D$2:$D$11,"USD",Projetos!$N$2:$N$11,Dados!$A538)</f>
        <v>0</v>
      </c>
      <c r="I538" s="45">
        <f ca="1">(G538+H538)*((Indicadores_Economicos!D$2+1)^(1/12)-1)</f>
        <v>5.6584758789207089E-12</v>
      </c>
      <c r="J538" s="18">
        <f>SUMIFS(Projetos!$G$2:$G$11,Projetos!$K$2:$K$11,"&lt;="&amp;Dados!$A538,Projetos!$N$2:$N$11,"&gt;"&amp;Dados!$A538,Projetos!$D$2:$D$11,"USD")</f>
        <v>0</v>
      </c>
      <c r="K538" s="18">
        <f t="shared" ca="1" si="33"/>
        <v>1.7341024742959262E-9</v>
      </c>
    </row>
    <row r="539" spans="1:11" x14ac:dyDescent="0.2">
      <c r="A539" s="45">
        <f t="shared" ca="1" si="34"/>
        <v>2.2543332165847055E-9</v>
      </c>
      <c r="B539" s="18">
        <f>-SUMIFS(Projetos!$F$2:$F$11,Projetos!$D$2:$D$11,"BRL",Projetos!$N$2:$N$11,Dados!$A539)</f>
        <v>0</v>
      </c>
      <c r="C539" s="45">
        <f ca="1">(A539+B539)*((Indicadores_Economicos!D$2+1)^(1/12)-1)</f>
        <v>7.3801003334657915E-12</v>
      </c>
      <c r="D539" s="18">
        <f>SUMIFS(Projetos!$G$2:$G$11,Projetos!$K$2:$K$11,"&lt;="&amp;Dados!$A539,Projetos!$N$2:$N$11,"&gt;"&amp;Dados!A539,Projetos!$D$2:$D$11,"BRL")</f>
        <v>0</v>
      </c>
      <c r="E539" s="18">
        <f t="shared" ca="1" si="32"/>
        <v>2.2617133169181715E-9</v>
      </c>
      <c r="G539" s="45">
        <f t="shared" ca="1" si="35"/>
        <v>1.7341024742959262E-9</v>
      </c>
      <c r="H539" s="18">
        <f>-SUMIFS(Projetos!$F$2:$F$11,Projetos!$D$2:$D$11,"USD",Projetos!$N$2:$N$11,Dados!$A539)</f>
        <v>0</v>
      </c>
      <c r="I539" s="45">
        <f ca="1">(G539+H539)*((Indicadores_Economicos!D$2+1)^(1/12)-1)</f>
        <v>5.6770002565121445E-12</v>
      </c>
      <c r="J539" s="18">
        <f>SUMIFS(Projetos!$G$2:$G$11,Projetos!$K$2:$K$11,"&lt;="&amp;Dados!$A539,Projetos!$N$2:$N$11,"&gt;"&amp;Dados!$A539,Projetos!$D$2:$D$11,"USD")</f>
        <v>0</v>
      </c>
      <c r="K539" s="18">
        <f t="shared" ca="1" si="33"/>
        <v>1.7397794745524384E-9</v>
      </c>
    </row>
    <row r="540" spans="1:11" x14ac:dyDescent="0.2">
      <c r="A540" s="45">
        <f t="shared" ca="1" si="34"/>
        <v>2.2617133169181715E-9</v>
      </c>
      <c r="B540" s="18">
        <f>-SUMIFS(Projetos!$F$2:$F$11,Projetos!$D$2:$D$11,"BRL",Projetos!$N$2:$N$11,Dados!$A540)</f>
        <v>0</v>
      </c>
      <c r="C540" s="45">
        <f ca="1">(A540+B540)*((Indicadores_Economicos!D$2+1)^(1/12)-1)</f>
        <v>7.404260861524079E-12</v>
      </c>
      <c r="D540" s="18">
        <f>SUMIFS(Projetos!$G$2:$G$11,Projetos!$K$2:$K$11,"&lt;="&amp;Dados!$A540,Projetos!$N$2:$N$11,"&gt;"&amp;Dados!A540,Projetos!$D$2:$D$11,"BRL")</f>
        <v>0</v>
      </c>
      <c r="E540" s="18">
        <f t="shared" ca="1" si="32"/>
        <v>2.2691175777796955E-9</v>
      </c>
      <c r="G540" s="45">
        <f t="shared" ca="1" si="35"/>
        <v>1.7397794745524384E-9</v>
      </c>
      <c r="H540" s="18">
        <f>-SUMIFS(Projetos!$F$2:$F$11,Projetos!$D$2:$D$11,"USD",Projetos!$N$2:$N$11,Dados!$A540)</f>
        <v>0</v>
      </c>
      <c r="I540" s="45">
        <f ca="1">(G540+H540)*((Indicadores_Economicos!D$2+1)^(1/12)-1)</f>
        <v>5.695585278095442E-12</v>
      </c>
      <c r="J540" s="18">
        <f>SUMIFS(Projetos!$G$2:$G$11,Projetos!$K$2:$K$11,"&lt;="&amp;Dados!$A540,Projetos!$N$2:$N$11,"&gt;"&amp;Dados!$A540,Projetos!$D$2:$D$11,"USD")</f>
        <v>0</v>
      </c>
      <c r="K540" s="18">
        <f t="shared" ca="1" si="33"/>
        <v>1.7454750598305338E-9</v>
      </c>
    </row>
    <row r="541" spans="1:11" x14ac:dyDescent="0.2">
      <c r="A541" s="45">
        <f t="shared" ca="1" si="34"/>
        <v>2.2691175777796955E-9</v>
      </c>
      <c r="B541" s="18">
        <f>-SUMIFS(Projetos!$F$2:$F$11,Projetos!$D$2:$D$11,"BRL",Projetos!$N$2:$N$11,Dados!$A541)</f>
        <v>0</v>
      </c>
      <c r="C541" s="45">
        <f ca="1">(A541+B541)*((Indicadores_Economicos!D$2+1)^(1/12)-1)</f>
        <v>7.4285004848642289E-12</v>
      </c>
      <c r="D541" s="18">
        <f>SUMIFS(Projetos!$G$2:$G$11,Projetos!$K$2:$K$11,"&lt;="&amp;Dados!$A541,Projetos!$N$2:$N$11,"&gt;"&amp;Dados!A541,Projetos!$D$2:$D$11,"BRL")</f>
        <v>0</v>
      </c>
      <c r="E541" s="18">
        <f t="shared" ca="1" si="32"/>
        <v>2.2765460782645596E-9</v>
      </c>
      <c r="G541" s="45">
        <f t="shared" ca="1" si="35"/>
        <v>1.7454750598305338E-9</v>
      </c>
      <c r="H541" s="18">
        <f>-SUMIFS(Projetos!$F$2:$F$11,Projetos!$D$2:$D$11,"USD",Projetos!$N$2:$N$11,Dados!$A541)</f>
        <v>0</v>
      </c>
      <c r="I541" s="45">
        <f ca="1">(G541+H541)*((Indicadores_Economicos!D$2+1)^(1/12)-1)</f>
        <v>5.7142311422032494E-12</v>
      </c>
      <c r="J541" s="18">
        <f>SUMIFS(Projetos!$G$2:$G$11,Projetos!$K$2:$K$11,"&lt;="&amp;Dados!$A541,Projetos!$N$2:$N$11,"&gt;"&amp;Dados!$A541,Projetos!$D$2:$D$11,"USD")</f>
        <v>0</v>
      </c>
      <c r="K541" s="18">
        <f t="shared" ca="1" si="33"/>
        <v>1.7511892909727371E-9</v>
      </c>
    </row>
    <row r="542" spans="1:11" x14ac:dyDescent="0.2">
      <c r="A542" s="45">
        <f t="shared" ca="1" si="34"/>
        <v>2.2765460782645596E-9</v>
      </c>
      <c r="B542" s="18">
        <f>-SUMIFS(Projetos!$F$2:$F$11,Projetos!$D$2:$D$11,"BRL",Projetos!$N$2:$N$11,Dados!$A542)</f>
        <v>0</v>
      </c>
      <c r="C542" s="45">
        <f ca="1">(A542+B542)*((Indicadores_Economicos!D$2+1)^(1/12)-1)</f>
        <v>7.4528194624236129E-12</v>
      </c>
      <c r="D542" s="18">
        <f>SUMIFS(Projetos!$G$2:$G$11,Projetos!$K$2:$K$11,"&lt;="&amp;Dados!$A542,Projetos!$N$2:$N$11,"&gt;"&amp;Dados!A542,Projetos!$D$2:$D$11,"BRL")</f>
        <v>0</v>
      </c>
      <c r="E542" s="18">
        <f t="shared" ca="1" si="32"/>
        <v>2.2839988977269834E-9</v>
      </c>
      <c r="G542" s="45">
        <f t="shared" ca="1" si="35"/>
        <v>1.7511892909727371E-9</v>
      </c>
      <c r="H542" s="18">
        <f>-SUMIFS(Projetos!$F$2:$F$11,Projetos!$D$2:$D$11,"USD",Projetos!$N$2:$N$11,Dados!$A542)</f>
        <v>0</v>
      </c>
      <c r="I542" s="45">
        <f ca="1">(G542+H542)*((Indicadores_Economicos!D$2+1)^(1/12)-1)</f>
        <v>5.7329380480181598E-12</v>
      </c>
      <c r="J542" s="18">
        <f>SUMIFS(Projetos!$G$2:$G$11,Projetos!$K$2:$K$11,"&lt;="&amp;Dados!$A542,Projetos!$N$2:$N$11,"&gt;"&amp;Dados!$A542,Projetos!$D$2:$D$11,"USD")</f>
        <v>0</v>
      </c>
      <c r="K542" s="18">
        <f t="shared" ca="1" si="33"/>
        <v>1.7569222290207552E-9</v>
      </c>
    </row>
    <row r="543" spans="1:11" x14ac:dyDescent="0.2">
      <c r="A543" s="45">
        <f t="shared" ca="1" si="34"/>
        <v>2.2839988977269834E-9</v>
      </c>
      <c r="B543" s="18">
        <f>-SUMIFS(Projetos!$F$2:$F$11,Projetos!$D$2:$D$11,"BRL",Projetos!$N$2:$N$11,Dados!$A543)</f>
        <v>0</v>
      </c>
      <c r="C543" s="45">
        <f ca="1">(A543+B543)*((Indicadores_Economicos!D$2+1)^(1/12)-1)</f>
        <v>7.4772180539872961E-12</v>
      </c>
      <c r="D543" s="18">
        <f>SUMIFS(Projetos!$G$2:$G$11,Projetos!$K$2:$K$11,"&lt;="&amp;Dados!$A543,Projetos!$N$2:$N$11,"&gt;"&amp;Dados!A543,Projetos!$D$2:$D$11,"BRL")</f>
        <v>0</v>
      </c>
      <c r="E543" s="18">
        <f t="shared" ca="1" si="32"/>
        <v>2.2914761157809708E-9</v>
      </c>
      <c r="G543" s="45">
        <f t="shared" ca="1" si="35"/>
        <v>1.7569222290207552E-9</v>
      </c>
      <c r="H543" s="18">
        <f>-SUMIFS(Projetos!$F$2:$F$11,Projetos!$D$2:$D$11,"USD",Projetos!$N$2:$N$11,Dados!$A543)</f>
        <v>0</v>
      </c>
      <c r="I543" s="45">
        <f ca="1">(G543+H543)*((Indicadores_Economicos!D$2+1)^(1/12)-1)</f>
        <v>5.7517061953748388E-12</v>
      </c>
      <c r="J543" s="18">
        <f>SUMIFS(Projetos!$G$2:$G$11,Projetos!$K$2:$K$11,"&lt;="&amp;Dados!$A543,Projetos!$N$2:$N$11,"&gt;"&amp;Dados!$A543,Projetos!$D$2:$D$11,"USD")</f>
        <v>0</v>
      </c>
      <c r="K543" s="18">
        <f t="shared" ca="1" si="33"/>
        <v>1.76267393521613E-9</v>
      </c>
    </row>
    <row r="544" spans="1:11" x14ac:dyDescent="0.2">
      <c r="A544" s="45">
        <f t="shared" ca="1" si="34"/>
        <v>2.2914761157809708E-9</v>
      </c>
      <c r="B544" s="18">
        <f>-SUMIFS(Projetos!$F$2:$F$11,Projetos!$D$2:$D$11,"BRL",Projetos!$N$2:$N$11,Dados!$A544)</f>
        <v>0</v>
      </c>
      <c r="C544" s="45">
        <f ca="1">(A544+B544)*((Indicadores_Economicos!D$2+1)^(1/12)-1)</f>
        <v>7.5016965201908101E-12</v>
      </c>
      <c r="D544" s="18">
        <f>SUMIFS(Projetos!$G$2:$G$11,Projetos!$K$2:$K$11,"&lt;="&amp;Dados!$A544,Projetos!$N$2:$N$11,"&gt;"&amp;Dados!A544,Projetos!$D$2:$D$11,"BRL")</f>
        <v>0</v>
      </c>
      <c r="E544" s="18">
        <f t="shared" ca="1" si="32"/>
        <v>2.2989778123011617E-9</v>
      </c>
      <c r="G544" s="45">
        <f t="shared" ca="1" si="35"/>
        <v>1.76267393521613E-9</v>
      </c>
      <c r="H544" s="18">
        <f>-SUMIFS(Projetos!$F$2:$F$11,Projetos!$D$2:$D$11,"USD",Projetos!$N$2:$N$11,Dados!$A544)</f>
        <v>0</v>
      </c>
      <c r="I544" s="45">
        <f ca="1">(G544+H544)*((Indicadores_Economicos!D$2+1)^(1/12)-1)</f>
        <v>5.7705357847621567E-12</v>
      </c>
      <c r="J544" s="18">
        <f>SUMIFS(Projetos!$G$2:$G$11,Projetos!$K$2:$K$11,"&lt;="&amp;Dados!$A544,Projetos!$N$2:$N$11,"&gt;"&amp;Dados!$A544,Projetos!$D$2:$D$11,"USD")</f>
        <v>0</v>
      </c>
      <c r="K544" s="18">
        <f t="shared" ca="1" si="33"/>
        <v>1.7684444710008923E-9</v>
      </c>
    </row>
    <row r="545" spans="1:11" x14ac:dyDescent="0.2">
      <c r="A545" s="45">
        <f t="shared" ca="1" si="34"/>
        <v>2.2989778123011617E-9</v>
      </c>
      <c r="B545" s="18">
        <f>-SUMIFS(Projetos!$F$2:$F$11,Projetos!$D$2:$D$11,"BRL",Projetos!$N$2:$N$11,Dados!$A545)</f>
        <v>0</v>
      </c>
      <c r="C545" s="45">
        <f ca="1">(A545+B545)*((Indicadores_Economicos!D$2+1)^(1/12)-1)</f>
        <v>7.5262551225229425E-12</v>
      </c>
      <c r="D545" s="18">
        <f>SUMIFS(Projetos!$G$2:$G$11,Projetos!$K$2:$K$11,"&lt;="&amp;Dados!$A545,Projetos!$N$2:$N$11,"&gt;"&amp;Dados!A545,Projetos!$D$2:$D$11,"BRL")</f>
        <v>0</v>
      </c>
      <c r="E545" s="18">
        <f t="shared" ca="1" si="32"/>
        <v>2.3065040674236848E-9</v>
      </c>
      <c r="G545" s="45">
        <f t="shared" ca="1" si="35"/>
        <v>1.7684444710008923E-9</v>
      </c>
      <c r="H545" s="18">
        <f>-SUMIFS(Projetos!$F$2:$F$11,Projetos!$D$2:$D$11,"USD",Projetos!$N$2:$N$11,Dados!$A545)</f>
        <v>0</v>
      </c>
      <c r="I545" s="45">
        <f ca="1">(G545+H545)*((Indicadores_Economicos!D$2+1)^(1/12)-1)</f>
        <v>5.7894270173253357E-12</v>
      </c>
      <c r="J545" s="18">
        <f>SUMIFS(Projetos!$G$2:$G$11,Projetos!$K$2:$K$11,"&lt;="&amp;Dados!$A545,Projetos!$N$2:$N$11,"&gt;"&amp;Dados!$A545,Projetos!$D$2:$D$11,"USD")</f>
        <v>0</v>
      </c>
      <c r="K545" s="18">
        <f t="shared" ca="1" si="33"/>
        <v>1.7742338980182175E-9</v>
      </c>
    </row>
    <row r="546" spans="1:11" x14ac:dyDescent="0.2">
      <c r="A546" s="45">
        <f t="shared" ca="1" si="34"/>
        <v>2.3065040674236848E-9</v>
      </c>
      <c r="B546" s="18">
        <f>-SUMIFS(Projetos!$F$2:$F$11,Projetos!$D$2:$D$11,"BRL",Projetos!$N$2:$N$11,Dados!$A546)</f>
        <v>0</v>
      </c>
      <c r="C546" s="45">
        <f ca="1">(A546+B546)*((Indicadores_Economicos!D$2+1)^(1/12)-1)</f>
        <v>7.550894123328524E-12</v>
      </c>
      <c r="D546" s="18">
        <f>SUMIFS(Projetos!$G$2:$G$11,Projetos!$K$2:$K$11,"&lt;="&amp;Dados!$A546,Projetos!$N$2:$N$11,"&gt;"&amp;Dados!A546,Projetos!$D$2:$D$11,"BRL")</f>
        <v>0</v>
      </c>
      <c r="E546" s="18">
        <f t="shared" ca="1" si="32"/>
        <v>2.3140549615470131E-9</v>
      </c>
      <c r="G546" s="45">
        <f t="shared" ca="1" si="35"/>
        <v>1.7742338980182175E-9</v>
      </c>
      <c r="H546" s="18">
        <f>-SUMIFS(Projetos!$F$2:$F$11,Projetos!$D$2:$D$11,"USD",Projetos!$N$2:$N$11,Dados!$A546)</f>
        <v>0</v>
      </c>
      <c r="I546" s="45">
        <f ca="1">(G546+H546)*((Indicadores_Economicos!D$2+1)^(1/12)-1)</f>
        <v>5.8083800948680907E-12</v>
      </c>
      <c r="J546" s="18">
        <f>SUMIFS(Projetos!$G$2:$G$11,Projetos!$K$2:$K$11,"&lt;="&amp;Dados!$A546,Projetos!$N$2:$N$11,"&gt;"&amp;Dados!$A546,Projetos!$D$2:$D$11,"USD")</f>
        <v>0</v>
      </c>
      <c r="K546" s="18">
        <f t="shared" ca="1" si="33"/>
        <v>1.7800422781130856E-9</v>
      </c>
    </row>
    <row r="547" spans="1:11" x14ac:dyDescent="0.2">
      <c r="A547" s="45">
        <f t="shared" ca="1" si="34"/>
        <v>2.3140549615470131E-9</v>
      </c>
      <c r="B547" s="18">
        <f>-SUMIFS(Projetos!$F$2:$F$11,Projetos!$D$2:$D$11,"BRL",Projetos!$N$2:$N$11,Dados!$A547)</f>
        <v>0</v>
      </c>
      <c r="C547" s="45">
        <f ca="1">(A547+B547)*((Indicadores_Economicos!D$2+1)^(1/12)-1)</f>
        <v>7.5756137858112361E-12</v>
      </c>
      <c r="D547" s="18">
        <f>SUMIFS(Projetos!$G$2:$G$11,Projetos!$K$2:$K$11,"&lt;="&amp;Dados!$A547,Projetos!$N$2:$N$11,"&gt;"&amp;Dados!A547,Projetos!$D$2:$D$11,"BRL")</f>
        <v>0</v>
      </c>
      <c r="E547" s="18">
        <f t="shared" ca="1" si="32"/>
        <v>2.3216305753328241E-9</v>
      </c>
      <c r="G547" s="45">
        <f t="shared" ca="1" si="35"/>
        <v>1.7800422781130856E-9</v>
      </c>
      <c r="H547" s="18">
        <f>-SUMIFS(Projetos!$F$2:$F$11,Projetos!$D$2:$D$11,"USD",Projetos!$N$2:$N$11,Dados!$A547)</f>
        <v>0</v>
      </c>
      <c r="I547" s="45">
        <f ca="1">(G547+H547)*((Indicadores_Economicos!D$2+1)^(1/12)-1)</f>
        <v>5.8273952198547925E-12</v>
      </c>
      <c r="J547" s="18">
        <f>SUMIFS(Projetos!$G$2:$G$11,Projetos!$K$2:$K$11,"&lt;="&amp;Dados!$A547,Projetos!$N$2:$N$11,"&gt;"&amp;Dados!$A547,Projetos!$D$2:$D$11,"USD")</f>
        <v>0</v>
      </c>
      <c r="K547" s="18">
        <f t="shared" ca="1" si="33"/>
        <v>1.7858696733329404E-9</v>
      </c>
    </row>
    <row r="548" spans="1:11" x14ac:dyDescent="0.2">
      <c r="A548" s="45">
        <f t="shared" ca="1" si="34"/>
        <v>2.3216305753328241E-9</v>
      </c>
      <c r="B548" s="18">
        <f>-SUMIFS(Projetos!$F$2:$F$11,Projetos!$D$2:$D$11,"BRL",Projetos!$N$2:$N$11,Dados!$A548)</f>
        <v>0</v>
      </c>
      <c r="C548" s="45">
        <f ca="1">(A548+B548)*((Indicadores_Economicos!D$2+1)^(1/12)-1)</f>
        <v>7.6004143740364194E-12</v>
      </c>
      <c r="D548" s="18">
        <f>SUMIFS(Projetos!$G$2:$G$11,Projetos!$K$2:$K$11,"&lt;="&amp;Dados!$A548,Projetos!$N$2:$N$11,"&gt;"&amp;Dados!A548,Projetos!$D$2:$D$11,"BRL")</f>
        <v>0</v>
      </c>
      <c r="E548" s="18">
        <f t="shared" ca="1" si="32"/>
        <v>2.3292309897068607E-9</v>
      </c>
      <c r="G548" s="45">
        <f t="shared" ca="1" si="35"/>
        <v>1.7858696733329404E-9</v>
      </c>
      <c r="H548" s="18">
        <f>-SUMIFS(Projetos!$F$2:$F$11,Projetos!$D$2:$D$11,"USD",Projetos!$N$2:$N$11,Dados!$A548)</f>
        <v>0</v>
      </c>
      <c r="I548" s="45">
        <f ca="1">(G548+H548)*((Indicadores_Economicos!D$2+1)^(1/12)-1)</f>
        <v>5.8464725954126265E-12</v>
      </c>
      <c r="J548" s="18">
        <f>SUMIFS(Projetos!$G$2:$G$11,Projetos!$K$2:$K$11,"&lt;="&amp;Dados!$A548,Projetos!$N$2:$N$11,"&gt;"&amp;Dados!$A548,Projetos!$D$2:$D$11,"USD")</f>
        <v>0</v>
      </c>
      <c r="K548" s="18">
        <f t="shared" ca="1" si="33"/>
        <v>1.7917161459283531E-9</v>
      </c>
    </row>
    <row r="549" spans="1:11" x14ac:dyDescent="0.2">
      <c r="A549" s="45">
        <f t="shared" ca="1" si="34"/>
        <v>2.3292309897068607E-9</v>
      </c>
      <c r="B549" s="18">
        <f>-SUMIFS(Projetos!$F$2:$F$11,Projetos!$D$2:$D$11,"BRL",Projetos!$N$2:$N$11,Dados!$A549)</f>
        <v>0</v>
      </c>
      <c r="C549" s="45">
        <f ca="1">(A549+B549)*((Indicadores_Economicos!D$2+1)^(1/12)-1)</f>
        <v>7.6252961529339006E-12</v>
      </c>
      <c r="D549" s="18">
        <f>SUMIFS(Projetos!$G$2:$G$11,Projetos!$K$2:$K$11,"&lt;="&amp;Dados!$A549,Projetos!$N$2:$N$11,"&gt;"&amp;Dados!A549,Projetos!$D$2:$D$11,"BRL")</f>
        <v>0</v>
      </c>
      <c r="E549" s="18">
        <f t="shared" ca="1" si="32"/>
        <v>2.3368562858597947E-9</v>
      </c>
      <c r="G549" s="45">
        <f t="shared" ca="1" si="35"/>
        <v>1.7917161459283531E-9</v>
      </c>
      <c r="H549" s="18">
        <f>-SUMIFS(Projetos!$F$2:$F$11,Projetos!$D$2:$D$11,"USD",Projetos!$N$2:$N$11,Dados!$A549)</f>
        <v>0</v>
      </c>
      <c r="I549" s="45">
        <f ca="1">(G549+H549)*((Indicadores_Economicos!D$2+1)^(1/12)-1)</f>
        <v>5.8656124253337652E-12</v>
      </c>
      <c r="J549" s="18">
        <f>SUMIFS(Projetos!$G$2:$G$11,Projetos!$K$2:$K$11,"&lt;="&amp;Dados!$A549,Projetos!$N$2:$N$11,"&gt;"&amp;Dados!$A549,Projetos!$D$2:$D$11,"USD")</f>
        <v>0</v>
      </c>
      <c r="K549" s="18">
        <f t="shared" ca="1" si="33"/>
        <v>1.7975817583536867E-9</v>
      </c>
    </row>
    <row r="550" spans="1:11" x14ac:dyDescent="0.2">
      <c r="A550" s="45">
        <f t="shared" ca="1" si="34"/>
        <v>2.3368562858597947E-9</v>
      </c>
      <c r="B550" s="18">
        <f>-SUMIFS(Projetos!$F$2:$F$11,Projetos!$D$2:$D$11,"BRL",Projetos!$N$2:$N$11,Dados!$A550)</f>
        <v>0</v>
      </c>
      <c r="C550" s="45">
        <f ca="1">(A550+B550)*((Indicadores_Economicos!D$2+1)^(1/12)-1)</f>
        <v>7.6502593883008084E-12</v>
      </c>
      <c r="D550" s="18">
        <f>SUMIFS(Projetos!$G$2:$G$11,Projetos!$K$2:$K$11,"&lt;="&amp;Dados!$A550,Projetos!$N$2:$N$11,"&gt;"&amp;Dados!A550,Projetos!$D$2:$D$11,"BRL")</f>
        <v>0</v>
      </c>
      <c r="E550" s="18">
        <f t="shared" ca="1" si="32"/>
        <v>2.3445065452480955E-9</v>
      </c>
      <c r="G550" s="45">
        <f t="shared" ca="1" si="35"/>
        <v>1.7975817583536867E-9</v>
      </c>
      <c r="H550" s="18">
        <f>-SUMIFS(Projetos!$F$2:$F$11,Projetos!$D$2:$D$11,"USD",Projetos!$N$2:$N$11,Dados!$A550)</f>
        <v>0</v>
      </c>
      <c r="I550" s="45">
        <f ca="1">(G550+H550)*((Indicadores_Economicos!D$2+1)^(1/12)-1)</f>
        <v>5.8848149140775403E-12</v>
      </c>
      <c r="J550" s="18">
        <f>SUMIFS(Projetos!$G$2:$G$11,Projetos!$K$2:$K$11,"&lt;="&amp;Dados!$A550,Projetos!$N$2:$N$11,"&gt;"&amp;Dados!$A550,Projetos!$D$2:$D$11,"USD")</f>
        <v>0</v>
      </c>
      <c r="K550" s="18">
        <f t="shared" ca="1" si="33"/>
        <v>1.8034665732677642E-9</v>
      </c>
    </row>
    <row r="551" spans="1:11" x14ac:dyDescent="0.2">
      <c r="A551" s="45">
        <f t="shared" ca="1" si="34"/>
        <v>2.3445065452480955E-9</v>
      </c>
      <c r="B551" s="18">
        <f>-SUMIFS(Projetos!$F$2:$F$11,Projetos!$D$2:$D$11,"BRL",Projetos!$N$2:$N$11,Dados!$A551)</f>
        <v>0</v>
      </c>
      <c r="C551" s="45">
        <f ca="1">(A551+B551)*((Indicadores_Economicos!D$2+1)^(1/12)-1)</f>
        <v>7.6753043468044299E-12</v>
      </c>
      <c r="D551" s="18">
        <f>SUMIFS(Projetos!$G$2:$G$11,Projetos!$K$2:$K$11,"&lt;="&amp;Dados!$A551,Projetos!$N$2:$N$11,"&gt;"&amp;Dados!A551,Projetos!$D$2:$D$11,"BRL")</f>
        <v>0</v>
      </c>
      <c r="E551" s="18">
        <f t="shared" ca="1" si="32"/>
        <v>2.3521818495949001E-9</v>
      </c>
      <c r="G551" s="45">
        <f t="shared" ca="1" si="35"/>
        <v>1.8034665732677642E-9</v>
      </c>
      <c r="H551" s="18">
        <f>-SUMIFS(Projetos!$F$2:$F$11,Projetos!$D$2:$D$11,"USD",Projetos!$N$2:$N$11,Dados!$A551)</f>
        <v>0</v>
      </c>
      <c r="I551" s="45">
        <f ca="1">(G551+H551)*((Indicadores_Economicos!D$2+1)^(1/12)-1)</f>
        <v>5.9040802667726332E-12</v>
      </c>
      <c r="J551" s="18">
        <f>SUMIFS(Projetos!$G$2:$G$11,Projetos!$K$2:$K$11,"&lt;="&amp;Dados!$A551,Projetos!$N$2:$N$11,"&gt;"&amp;Dados!$A551,Projetos!$D$2:$D$11,"USD")</f>
        <v>0</v>
      </c>
      <c r="K551" s="18">
        <f t="shared" ca="1" si="33"/>
        <v>1.8093706535345369E-9</v>
      </c>
    </row>
    <row r="552" spans="1:11" x14ac:dyDescent="0.2">
      <c r="A552" s="45">
        <f t="shared" ca="1" si="34"/>
        <v>2.3521818495949001E-9</v>
      </c>
      <c r="B552" s="18">
        <f>-SUMIFS(Projetos!$F$2:$F$11,Projetos!$D$2:$D$11,"BRL",Projetos!$N$2:$N$11,Dados!$A552)</f>
        <v>0</v>
      </c>
      <c r="C552" s="45">
        <f ca="1">(A552+B552)*((Indicadores_Economicos!D$2+1)^(1/12)-1)</f>
        <v>7.7004312959850479E-12</v>
      </c>
      <c r="D552" s="18">
        <f>SUMIFS(Projetos!$G$2:$G$11,Projetos!$K$2:$K$11,"&lt;="&amp;Dados!$A552,Projetos!$N$2:$N$11,"&gt;"&amp;Dados!A552,Projetos!$D$2:$D$11,"BRL")</f>
        <v>0</v>
      </c>
      <c r="E552" s="18">
        <f t="shared" ca="1" si="32"/>
        <v>2.3598822808908853E-9</v>
      </c>
      <c r="G552" s="45">
        <f t="shared" ca="1" si="35"/>
        <v>1.8093706535345369E-9</v>
      </c>
      <c r="H552" s="18">
        <f>-SUMIFS(Projetos!$F$2:$F$11,Projetos!$D$2:$D$11,"USD",Projetos!$N$2:$N$11,Dados!$A552)</f>
        <v>0</v>
      </c>
      <c r="I552" s="45">
        <f ca="1">(G552+H552)*((Indicadores_Economicos!D$2+1)^(1/12)-1)</f>
        <v>5.9234086892192627E-12</v>
      </c>
      <c r="J552" s="18">
        <f>SUMIFS(Projetos!$G$2:$G$11,Projetos!$K$2:$K$11,"&lt;="&amp;Dados!$A552,Projetos!$N$2:$N$11,"&gt;"&amp;Dados!$A552,Projetos!$D$2:$D$11,"USD")</f>
        <v>0</v>
      </c>
      <c r="K552" s="18">
        <f t="shared" ca="1" si="33"/>
        <v>1.8152940622237561E-9</v>
      </c>
    </row>
    <row r="553" spans="1:11" x14ac:dyDescent="0.2">
      <c r="A553" s="45">
        <f t="shared" ca="1" si="34"/>
        <v>2.3598822808908853E-9</v>
      </c>
      <c r="B553" s="18">
        <f>-SUMIFS(Projetos!$F$2:$F$11,Projetos!$D$2:$D$11,"BRL",Projetos!$N$2:$N$11,Dados!$A553)</f>
        <v>0</v>
      </c>
      <c r="C553" s="45">
        <f ca="1">(A553+B553)*((Indicadores_Economicos!D$2+1)^(1/12)-1)</f>
        <v>7.7256405042588049E-12</v>
      </c>
      <c r="D553" s="18">
        <f>SUMIFS(Projetos!$G$2:$G$11,Projetos!$K$2:$K$11,"&lt;="&amp;Dados!$A553,Projetos!$N$2:$N$11,"&gt;"&amp;Dados!A553,Projetos!$D$2:$D$11,"BRL")</f>
        <v>0</v>
      </c>
      <c r="E553" s="18">
        <f t="shared" ca="1" si="32"/>
        <v>2.367607921395144E-9</v>
      </c>
      <c r="G553" s="45">
        <f t="shared" ca="1" si="35"/>
        <v>1.8152940622237561E-9</v>
      </c>
      <c r="H553" s="18">
        <f>-SUMIFS(Projetos!$F$2:$F$11,Projetos!$D$2:$D$11,"USD",Projetos!$N$2:$N$11,Dados!$A553)</f>
        <v>0</v>
      </c>
      <c r="I553" s="45">
        <f ca="1">(G553+H553)*((Indicadores_Economicos!D$2+1)^(1/12)-1)</f>
        <v>5.9428003878913823E-12</v>
      </c>
      <c r="J553" s="18">
        <f>SUMIFS(Projetos!$G$2:$G$11,Projetos!$K$2:$K$11,"&lt;="&amp;Dados!$A553,Projetos!$N$2:$N$11,"&gt;"&amp;Dados!$A553,Projetos!$D$2:$D$11,"USD")</f>
        <v>0</v>
      </c>
      <c r="K553" s="18">
        <f t="shared" ca="1" si="33"/>
        <v>1.8212368626116475E-9</v>
      </c>
    </row>
    <row r="554" spans="1:11" x14ac:dyDescent="0.2">
      <c r="A554" s="45">
        <f t="shared" ca="1" si="34"/>
        <v>2.367607921395144E-9</v>
      </c>
      <c r="B554" s="18">
        <f>-SUMIFS(Projetos!$F$2:$F$11,Projetos!$D$2:$D$11,"BRL",Projetos!$N$2:$N$11,Dados!$A554)</f>
        <v>0</v>
      </c>
      <c r="C554" s="45">
        <f ca="1">(A554+B554)*((Indicadores_Economicos!D$2+1)^(1/12)-1)</f>
        <v>7.7509322409205627E-12</v>
      </c>
      <c r="D554" s="18">
        <f>SUMIFS(Projetos!$G$2:$G$11,Projetos!$K$2:$K$11,"&lt;="&amp;Dados!$A554,Projetos!$N$2:$N$11,"&gt;"&amp;Dados!A554,Projetos!$D$2:$D$11,"BRL")</f>
        <v>0</v>
      </c>
      <c r="E554" s="18">
        <f t="shared" ca="1" si="32"/>
        <v>2.3753588536360647E-9</v>
      </c>
      <c r="G554" s="45">
        <f t="shared" ca="1" si="35"/>
        <v>1.8212368626116475E-9</v>
      </c>
      <c r="H554" s="18">
        <f>-SUMIFS(Projetos!$F$2:$F$11,Projetos!$D$2:$D$11,"USD",Projetos!$N$2:$N$11,Dados!$A554)</f>
        <v>0</v>
      </c>
      <c r="I554" s="45">
        <f ca="1">(G554+H554)*((Indicadores_Economicos!D$2+1)^(1/12)-1)</f>
        <v>5.9622555699388893E-12</v>
      </c>
      <c r="J554" s="18">
        <f>SUMIFS(Projetos!$G$2:$G$11,Projetos!$K$2:$K$11,"&lt;="&amp;Dados!$A554,Projetos!$N$2:$N$11,"&gt;"&amp;Dados!$A554,Projetos!$D$2:$D$11,"USD")</f>
        <v>0</v>
      </c>
      <c r="K554" s="18">
        <f t="shared" ca="1" si="33"/>
        <v>1.8271991181815864E-9</v>
      </c>
    </row>
    <row r="555" spans="1:11" x14ac:dyDescent="0.2">
      <c r="A555" s="45">
        <f t="shared" ca="1" si="34"/>
        <v>2.3753588536360647E-9</v>
      </c>
      <c r="B555" s="18">
        <f>-SUMIFS(Projetos!$F$2:$F$11,Projetos!$D$2:$D$11,"BRL",Projetos!$N$2:$N$11,Dados!$A555)</f>
        <v>0</v>
      </c>
      <c r="C555" s="45">
        <f ca="1">(A555+B555)*((Indicadores_Economicos!D$2+1)^(1/12)-1)</f>
        <v>7.7763067761467932E-12</v>
      </c>
      <c r="D555" s="18">
        <f>SUMIFS(Projetos!$G$2:$G$11,Projetos!$K$2:$K$11,"&lt;="&amp;Dados!$A555,Projetos!$N$2:$N$11,"&gt;"&amp;Dados!A555,Projetos!$D$2:$D$11,"BRL")</f>
        <v>0</v>
      </c>
      <c r="E555" s="18">
        <f t="shared" ca="1" si="32"/>
        <v>2.3831351604122114E-9</v>
      </c>
      <c r="G555" s="45">
        <f t="shared" ca="1" si="35"/>
        <v>1.8271991181815864E-9</v>
      </c>
      <c r="H555" s="18">
        <f>-SUMIFS(Projetos!$F$2:$F$11,Projetos!$D$2:$D$11,"USD",Projetos!$N$2:$N$11,Dados!$A555)</f>
        <v>0</v>
      </c>
      <c r="I555" s="45">
        <f ca="1">(G555+H555)*((Indicadores_Economicos!D$2+1)^(1/12)-1)</f>
        <v>5.981774443189835E-12</v>
      </c>
      <c r="J555" s="18">
        <f>SUMIFS(Projetos!$G$2:$G$11,Projetos!$K$2:$K$11,"&lt;="&amp;Dados!$A555,Projetos!$N$2:$N$11,"&gt;"&amp;Dados!$A555,Projetos!$D$2:$D$11,"USD")</f>
        <v>0</v>
      </c>
      <c r="K555" s="18">
        <f t="shared" ca="1" si="33"/>
        <v>1.8331808926247761E-9</v>
      </c>
    </row>
    <row r="556" spans="1:11" x14ac:dyDescent="0.2">
      <c r="A556" s="45">
        <f t="shared" ca="1" si="34"/>
        <v>2.3831351604122114E-9</v>
      </c>
      <c r="B556" s="18">
        <f>-SUMIFS(Projetos!$F$2:$F$11,Projetos!$D$2:$D$11,"BRL",Projetos!$N$2:$N$11,Dados!$A556)</f>
        <v>0</v>
      </c>
      <c r="C556" s="45">
        <f ca="1">(A556+B556)*((Indicadores_Economicos!D$2+1)^(1/12)-1)</f>
        <v>7.8017643809984486E-12</v>
      </c>
      <c r="D556" s="18">
        <f>SUMIFS(Projetos!$G$2:$G$11,Projetos!$K$2:$K$11,"&lt;="&amp;Dados!$A556,Projetos!$N$2:$N$11,"&gt;"&amp;Dados!A556,Projetos!$D$2:$D$11,"BRL")</f>
        <v>0</v>
      </c>
      <c r="E556" s="18">
        <f t="shared" ca="1" si="32"/>
        <v>2.3909369247932101E-9</v>
      </c>
      <c r="G556" s="45">
        <f t="shared" ca="1" si="35"/>
        <v>1.8331808926247761E-9</v>
      </c>
      <c r="H556" s="18">
        <f>-SUMIFS(Projetos!$F$2:$F$11,Projetos!$D$2:$D$11,"USD",Projetos!$N$2:$N$11,Dados!$A556)</f>
        <v>0</v>
      </c>
      <c r="I556" s="45">
        <f ca="1">(G556+H556)*((Indicadores_Economicos!D$2+1)^(1/12)-1)</f>
        <v>6.001357216152646E-12</v>
      </c>
      <c r="J556" s="18">
        <f>SUMIFS(Projetos!$G$2:$G$11,Projetos!$K$2:$K$11,"&lt;="&amp;Dados!$A556,Projetos!$N$2:$N$11,"&gt;"&amp;Dados!$A556,Projetos!$D$2:$D$11,"USD")</f>
        <v>0</v>
      </c>
      <c r="K556" s="18">
        <f t="shared" ca="1" si="33"/>
        <v>1.8391822498409288E-9</v>
      </c>
    </row>
    <row r="557" spans="1:11" x14ac:dyDescent="0.2">
      <c r="A557" s="45">
        <f t="shared" ca="1" si="34"/>
        <v>2.3909369247932101E-9</v>
      </c>
      <c r="B557" s="18">
        <f>-SUMIFS(Projetos!$F$2:$F$11,Projetos!$D$2:$D$11,"BRL",Projetos!$N$2:$N$11,Dados!$A557)</f>
        <v>0</v>
      </c>
      <c r="C557" s="45">
        <f ca="1">(A557+B557)*((Indicadores_Economicos!D$2+1)^(1/12)-1)</f>
        <v>7.8273053274238652E-12</v>
      </c>
      <c r="D557" s="18">
        <f>SUMIFS(Projetos!$G$2:$G$11,Projetos!$K$2:$K$11,"&lt;="&amp;Dados!$A557,Projetos!$N$2:$N$11,"&gt;"&amp;Dados!A557,Projetos!$D$2:$D$11,"BRL")</f>
        <v>0</v>
      </c>
      <c r="E557" s="18">
        <f t="shared" ca="1" si="32"/>
        <v>2.3987642301206341E-9</v>
      </c>
      <c r="G557" s="45">
        <f t="shared" ca="1" si="35"/>
        <v>1.8391822498409288E-9</v>
      </c>
      <c r="H557" s="18">
        <f>-SUMIFS(Projetos!$F$2:$F$11,Projetos!$D$2:$D$11,"USD",Projetos!$N$2:$N$11,Dados!$A557)</f>
        <v>0</v>
      </c>
      <c r="I557" s="45">
        <f ca="1">(G557+H557)*((Indicadores_Economicos!D$2+1)^(1/12)-1)</f>
        <v>6.0210040980183518E-12</v>
      </c>
      <c r="J557" s="18">
        <f>SUMIFS(Projetos!$G$2:$G$11,Projetos!$K$2:$K$11,"&lt;="&amp;Dados!$A557,Projetos!$N$2:$N$11,"&gt;"&amp;Dados!$A557,Projetos!$D$2:$D$11,"USD")</f>
        <v>0</v>
      </c>
      <c r="K557" s="18">
        <f t="shared" ca="1" si="33"/>
        <v>1.8452032539389472E-9</v>
      </c>
    </row>
    <row r="558" spans="1:11" x14ac:dyDescent="0.2">
      <c r="A558" s="45">
        <f t="shared" ca="1" si="34"/>
        <v>2.3987642301206341E-9</v>
      </c>
      <c r="B558" s="18">
        <f>-SUMIFS(Projetos!$F$2:$F$11,Projetos!$D$2:$D$11,"BRL",Projetos!$N$2:$N$11,Dados!$A558)</f>
        <v>0</v>
      </c>
      <c r="C558" s="45">
        <f ca="1">(A558+B558)*((Indicadores_Economicos!D$2+1)^(1/12)-1)</f>
        <v>7.8529298882616711E-12</v>
      </c>
      <c r="D558" s="18">
        <f>SUMIFS(Projetos!$G$2:$G$11,Projetos!$K$2:$K$11,"&lt;="&amp;Dados!$A558,Projetos!$N$2:$N$11,"&gt;"&amp;Dados!A558,Projetos!$D$2:$D$11,"BRL")</f>
        <v>0</v>
      </c>
      <c r="E558" s="18">
        <f t="shared" ca="1" si="32"/>
        <v>2.4066171600088958E-9</v>
      </c>
      <c r="G558" s="45">
        <f t="shared" ca="1" si="35"/>
        <v>1.8452032539389472E-9</v>
      </c>
      <c r="H558" s="18">
        <f>-SUMIFS(Projetos!$F$2:$F$11,Projetos!$D$2:$D$11,"USD",Projetos!$N$2:$N$11,Dados!$A558)</f>
        <v>0</v>
      </c>
      <c r="I558" s="45">
        <f ca="1">(G558+H558)*((Indicadores_Economicos!D$2+1)^(1/12)-1)</f>
        <v>6.0407152986628176E-12</v>
      </c>
      <c r="J558" s="18">
        <f>SUMIFS(Projetos!$G$2:$G$11,Projetos!$K$2:$K$11,"&lt;="&amp;Dados!$A558,Projetos!$N$2:$N$11,"&gt;"&amp;Dados!$A558,Projetos!$D$2:$D$11,"USD")</f>
        <v>0</v>
      </c>
      <c r="K558" s="18">
        <f t="shared" ca="1" si="33"/>
        <v>1.85124396923761E-9</v>
      </c>
    </row>
    <row r="559" spans="1:11" x14ac:dyDescent="0.2">
      <c r="A559" s="45">
        <f t="shared" ca="1" si="34"/>
        <v>2.4066171600088958E-9</v>
      </c>
      <c r="B559" s="18">
        <f>-SUMIFS(Projetos!$F$2:$F$11,Projetos!$D$2:$D$11,"BRL",Projetos!$N$2:$N$11,Dados!$A559)</f>
        <v>0</v>
      </c>
      <c r="C559" s="45">
        <f ca="1">(A559+B559)*((Indicadores_Economicos!D$2+1)^(1/12)-1)</f>
        <v>7.8786383372436926E-12</v>
      </c>
      <c r="D559" s="18">
        <f>SUMIFS(Projetos!$G$2:$G$11,Projetos!$K$2:$K$11,"&lt;="&amp;Dados!$A559,Projetos!$N$2:$N$11,"&gt;"&amp;Dados!A559,Projetos!$D$2:$D$11,"BRL")</f>
        <v>0</v>
      </c>
      <c r="E559" s="18">
        <f t="shared" ca="1" si="32"/>
        <v>2.4144957983461394E-9</v>
      </c>
      <c r="G559" s="45">
        <f t="shared" ca="1" si="35"/>
        <v>1.85124396923761E-9</v>
      </c>
      <c r="H559" s="18">
        <f>-SUMIFS(Projetos!$F$2:$F$11,Projetos!$D$2:$D$11,"USD",Projetos!$N$2:$N$11,Dados!$A559)</f>
        <v>0</v>
      </c>
      <c r="I559" s="45">
        <f ca="1">(G559+H559)*((Indicadores_Economicos!D$2+1)^(1/12)-1)</f>
        <v>6.0604910286489873E-12</v>
      </c>
      <c r="J559" s="18">
        <f>SUMIFS(Projetos!$G$2:$G$11,Projetos!$K$2:$K$11,"&lt;="&amp;Dados!$A559,Projetos!$N$2:$N$11,"&gt;"&amp;Dados!$A559,Projetos!$D$2:$D$11,"USD")</f>
        <v>0</v>
      </c>
      <c r="K559" s="18">
        <f t="shared" ca="1" si="33"/>
        <v>1.8573044602662589E-9</v>
      </c>
    </row>
    <row r="560" spans="1:11" x14ac:dyDescent="0.2">
      <c r="A560" s="45">
        <f t="shared" ca="1" si="34"/>
        <v>2.4144957983461394E-9</v>
      </c>
      <c r="B560" s="18">
        <f>-SUMIFS(Projetos!$F$2:$F$11,Projetos!$D$2:$D$11,"BRL",Projetos!$N$2:$N$11,Dados!$A560)</f>
        <v>0</v>
      </c>
      <c r="C560" s="45">
        <f ca="1">(A560+B560)*((Indicadores_Economicos!D$2+1)^(1/12)-1)</f>
        <v>7.9044309489978838E-12</v>
      </c>
      <c r="D560" s="18">
        <f>SUMIFS(Projetos!$G$2:$G$11,Projetos!$K$2:$K$11,"&lt;="&amp;Dados!$A560,Projetos!$N$2:$N$11,"&gt;"&amp;Dados!A560,Projetos!$D$2:$D$11,"BRL")</f>
        <v>0</v>
      </c>
      <c r="E560" s="18">
        <f t="shared" ca="1" si="32"/>
        <v>2.4224002292951373E-9</v>
      </c>
      <c r="G560" s="45">
        <f t="shared" ca="1" si="35"/>
        <v>1.8573044602662589E-9</v>
      </c>
      <c r="H560" s="18">
        <f>-SUMIFS(Projetos!$F$2:$F$11,Projetos!$D$2:$D$11,"USD",Projetos!$N$2:$N$11,Dados!$A560)</f>
        <v>0</v>
      </c>
      <c r="I560" s="45">
        <f ca="1">(G560+H560)*((Indicadores_Economicos!D$2+1)^(1/12)-1)</f>
        <v>6.0803314992291346E-12</v>
      </c>
      <c r="J560" s="18">
        <f>SUMIFS(Projetos!$G$2:$G$11,Projetos!$K$2:$K$11,"&lt;="&amp;Dados!$A560,Projetos!$N$2:$N$11,"&gt;"&amp;Dados!$A560,Projetos!$D$2:$D$11,"USD")</f>
        <v>0</v>
      </c>
      <c r="K560" s="18">
        <f t="shared" ca="1" si="33"/>
        <v>1.8633847917654878E-9</v>
      </c>
    </row>
    <row r="561" spans="1:11" x14ac:dyDescent="0.2">
      <c r="A561" s="45">
        <f t="shared" ca="1" si="34"/>
        <v>2.4224002292951373E-9</v>
      </c>
      <c r="B561" s="18">
        <f>-SUMIFS(Projetos!$F$2:$F$11,Projetos!$D$2:$D$11,"BRL",Projetos!$N$2:$N$11,Dados!$A561)</f>
        <v>0</v>
      </c>
      <c r="C561" s="45">
        <f ca="1">(A561+B561)*((Indicadores_Economicos!D$2+1)^(1/12)-1)</f>
        <v>7.930307999051263E-12</v>
      </c>
      <c r="D561" s="18">
        <f>SUMIFS(Projetos!$G$2:$G$11,Projetos!$K$2:$K$11,"&lt;="&amp;Dados!$A561,Projetos!$N$2:$N$11,"&gt;"&amp;Dados!A561,Projetos!$D$2:$D$11,"BRL")</f>
        <v>0</v>
      </c>
      <c r="E561" s="18">
        <f t="shared" ca="1" si="32"/>
        <v>2.4303305372941886E-9</v>
      </c>
      <c r="G561" s="45">
        <f t="shared" ca="1" si="35"/>
        <v>1.8633847917654878E-9</v>
      </c>
      <c r="H561" s="18">
        <f>-SUMIFS(Projetos!$F$2:$F$11,Projetos!$D$2:$D$11,"USD",Projetos!$N$2:$N$11,Dados!$A561)</f>
        <v>0</v>
      </c>
      <c r="I561" s="45">
        <f ca="1">(G561+H561)*((Indicadores_Economicos!D$2+1)^(1/12)-1)</f>
        <v>6.1002369223471176E-12</v>
      </c>
      <c r="J561" s="18">
        <f>SUMIFS(Projetos!$G$2:$G$11,Projetos!$K$2:$K$11,"&lt;="&amp;Dados!$A561,Projetos!$N$2:$N$11,"&gt;"&amp;Dados!$A561,Projetos!$D$2:$D$11,"USD")</f>
        <v>0</v>
      </c>
      <c r="K561" s="18">
        <f t="shared" ca="1" si="33"/>
        <v>1.869485028687835E-9</v>
      </c>
    </row>
    <row r="562" spans="1:11" x14ac:dyDescent="0.2">
      <c r="A562" s="45">
        <f t="shared" ca="1" si="34"/>
        <v>2.4303305372941886E-9</v>
      </c>
      <c r="B562" s="18">
        <f>-SUMIFS(Projetos!$F$2:$F$11,Projetos!$D$2:$D$11,"BRL",Projetos!$N$2:$N$11,Dados!$A562)</f>
        <v>0</v>
      </c>
      <c r="C562" s="45">
        <f ca="1">(A562+B562)*((Indicadores_Economicos!D$2+1)^(1/12)-1)</f>
        <v>7.9562697638328471E-12</v>
      </c>
      <c r="D562" s="18">
        <f>SUMIFS(Projetos!$G$2:$G$11,Projetos!$K$2:$K$11,"&lt;="&amp;Dados!$A562,Projetos!$N$2:$N$11,"&gt;"&amp;Dados!A562,Projetos!$D$2:$D$11,"BRL")</f>
        <v>0</v>
      </c>
      <c r="E562" s="18">
        <f t="shared" ca="1" si="32"/>
        <v>2.4382868070580212E-9</v>
      </c>
      <c r="G562" s="45">
        <f t="shared" ca="1" si="35"/>
        <v>1.869485028687835E-9</v>
      </c>
      <c r="H562" s="18">
        <f>-SUMIFS(Projetos!$F$2:$F$11,Projetos!$D$2:$D$11,"USD",Projetos!$N$2:$N$11,Dados!$A562)</f>
        <v>0</v>
      </c>
      <c r="I562" s="45">
        <f ca="1">(G562+H562)*((Indicadores_Economicos!D$2+1)^(1/12)-1)</f>
        <v>6.1202075106406446E-12</v>
      </c>
      <c r="J562" s="18">
        <f>SUMIFS(Projetos!$G$2:$G$11,Projetos!$K$2:$K$11,"&lt;="&amp;Dados!$A562,Projetos!$N$2:$N$11,"&gt;"&amp;Dados!$A562,Projetos!$D$2:$D$11,"USD")</f>
        <v>0</v>
      </c>
      <c r="K562" s="18">
        <f t="shared" ca="1" si="33"/>
        <v>1.8756052361984758E-9</v>
      </c>
    </row>
    <row r="563" spans="1:11" x14ac:dyDescent="0.2">
      <c r="A563" s="45">
        <f t="shared" ca="1" si="34"/>
        <v>2.4382868070580212E-9</v>
      </c>
      <c r="B563" s="18">
        <f>-SUMIFS(Projetos!$F$2:$F$11,Projetos!$D$2:$D$11,"BRL",Projetos!$N$2:$N$11,Dados!$A563)</f>
        <v>0</v>
      </c>
      <c r="C563" s="45">
        <f ca="1">(A563+B563)*((Indicadores_Economicos!D$2+1)^(1/12)-1)</f>
        <v>7.9823165206766128E-12</v>
      </c>
      <c r="D563" s="18">
        <f>SUMIFS(Projetos!$G$2:$G$11,Projetos!$K$2:$K$11,"&lt;="&amp;Dados!$A563,Projetos!$N$2:$N$11,"&gt;"&amp;Dados!A563,Projetos!$D$2:$D$11,"BRL")</f>
        <v>0</v>
      </c>
      <c r="E563" s="18">
        <f t="shared" ca="1" si="32"/>
        <v>2.4462691235786979E-9</v>
      </c>
      <c r="G563" s="45">
        <f t="shared" ca="1" si="35"/>
        <v>1.8756052361984758E-9</v>
      </c>
      <c r="H563" s="18">
        <f>-SUMIFS(Projetos!$F$2:$F$11,Projetos!$D$2:$D$11,"USD",Projetos!$N$2:$N$11,Dados!$A563)</f>
        <v>0</v>
      </c>
      <c r="I563" s="45">
        <f ca="1">(G563+H563)*((Indicadores_Economicos!D$2+1)^(1/12)-1)</f>
        <v>6.1402434774435417E-12</v>
      </c>
      <c r="J563" s="18">
        <f>SUMIFS(Projetos!$G$2:$G$11,Projetos!$K$2:$K$11,"&lt;="&amp;Dados!$A563,Projetos!$N$2:$N$11,"&gt;"&amp;Dados!$A563,Projetos!$D$2:$D$11,"USD")</f>
        <v>0</v>
      </c>
      <c r="K563" s="18">
        <f t="shared" ca="1" si="33"/>
        <v>1.8817454796759195E-9</v>
      </c>
    </row>
    <row r="564" spans="1:11" x14ac:dyDescent="0.2">
      <c r="A564" s="45">
        <f t="shared" ca="1" si="34"/>
        <v>2.4462691235786979E-9</v>
      </c>
      <c r="B564" s="18">
        <f>-SUMIFS(Projetos!$F$2:$F$11,Projetos!$D$2:$D$11,"BRL",Projetos!$N$2:$N$11,Dados!$A564)</f>
        <v>0</v>
      </c>
      <c r="C564" s="45">
        <f ca="1">(A564+B564)*((Indicadores_Economicos!D$2+1)^(1/12)-1)</f>
        <v>8.0084485478244563E-12</v>
      </c>
      <c r="D564" s="18">
        <f>SUMIFS(Projetos!$G$2:$G$11,Projetos!$K$2:$K$11,"&lt;="&amp;Dados!$A564,Projetos!$N$2:$N$11,"&gt;"&amp;Dados!A564,Projetos!$D$2:$D$11,"BRL")</f>
        <v>0</v>
      </c>
      <c r="E564" s="18">
        <f t="shared" ca="1" si="32"/>
        <v>2.4542775721265226E-9</v>
      </c>
      <c r="G564" s="45">
        <f t="shared" ca="1" si="35"/>
        <v>1.8817454796759195E-9</v>
      </c>
      <c r="H564" s="18">
        <f>-SUMIFS(Projetos!$F$2:$F$11,Projetos!$D$2:$D$11,"USD",Projetos!$N$2:$N$11,Dados!$A564)</f>
        <v>0</v>
      </c>
      <c r="I564" s="45">
        <f ca="1">(G564+H564)*((Indicadores_Economicos!D$2+1)^(1/12)-1)</f>
        <v>6.1603450367880363E-12</v>
      </c>
      <c r="J564" s="18">
        <f>SUMIFS(Projetos!$G$2:$G$11,Projetos!$K$2:$K$11,"&lt;="&amp;Dados!$A564,Projetos!$N$2:$N$11,"&gt;"&amp;Dados!$A564,Projetos!$D$2:$D$11,"USD")</f>
        <v>0</v>
      </c>
      <c r="K564" s="18">
        <f t="shared" ca="1" si="33"/>
        <v>1.8879058247127076E-9</v>
      </c>
    </row>
    <row r="565" spans="1:11" x14ac:dyDescent="0.2">
      <c r="A565" s="45">
        <f t="shared" ca="1" si="34"/>
        <v>2.4542775721265226E-9</v>
      </c>
      <c r="B565" s="18">
        <f>-SUMIFS(Projetos!$F$2:$F$11,Projetos!$D$2:$D$11,"BRL",Projetos!$N$2:$N$11,Dados!$A565)</f>
        <v>0</v>
      </c>
      <c r="C565" s="45">
        <f ca="1">(A565+B565)*((Indicadores_Economicos!D$2+1)^(1/12)-1)</f>
        <v>8.0346661244291629E-12</v>
      </c>
      <c r="D565" s="18">
        <f>SUMIFS(Projetos!$G$2:$G$11,Projetos!$K$2:$K$11,"&lt;="&amp;Dados!$A565,Projetos!$N$2:$N$11,"&gt;"&amp;Dados!A565,Projetos!$D$2:$D$11,"BRL")</f>
        <v>0</v>
      </c>
      <c r="E565" s="18">
        <f t="shared" ca="1" si="32"/>
        <v>2.4623122382509518E-9</v>
      </c>
      <c r="G565" s="45">
        <f t="shared" ca="1" si="35"/>
        <v>1.8879058247127076E-9</v>
      </c>
      <c r="H565" s="18">
        <f>-SUMIFS(Projetos!$F$2:$F$11,Projetos!$D$2:$D$11,"USD",Projetos!$N$2:$N$11,Dados!$A565)</f>
        <v>0</v>
      </c>
      <c r="I565" s="45">
        <f ca="1">(G565+H565)*((Indicadores_Economicos!D$2+1)^(1/12)-1)</f>
        <v>6.1805124034070415E-12</v>
      </c>
      <c r="J565" s="18">
        <f>SUMIFS(Projetos!$G$2:$G$11,Projetos!$K$2:$K$11,"&lt;="&amp;Dados!$A565,Projetos!$N$2:$N$11,"&gt;"&amp;Dados!$A565,Projetos!$D$2:$D$11,"USD")</f>
        <v>0</v>
      </c>
      <c r="K565" s="18">
        <f t="shared" ca="1" si="33"/>
        <v>1.8940863371161145E-9</v>
      </c>
    </row>
    <row r="566" spans="1:11" x14ac:dyDescent="0.2">
      <c r="A566" s="45">
        <f t="shared" ca="1" si="34"/>
        <v>2.4623122382509518E-9</v>
      </c>
      <c r="B566" s="18">
        <f>-SUMIFS(Projetos!$F$2:$F$11,Projetos!$D$2:$D$11,"BRL",Projetos!$N$2:$N$11,Dados!$A566)</f>
        <v>0</v>
      </c>
      <c r="C566" s="45">
        <f ca="1">(A566+B566)*((Indicadores_Economicos!D$2+1)^(1/12)-1)</f>
        <v>8.0609695305573926E-12</v>
      </c>
      <c r="D566" s="18">
        <f>SUMIFS(Projetos!$G$2:$G$11,Projetos!$K$2:$K$11,"&lt;="&amp;Dados!$A566,Projetos!$N$2:$N$11,"&gt;"&amp;Dados!A566,Projetos!$D$2:$D$11,"BRL")</f>
        <v>0</v>
      </c>
      <c r="E566" s="18">
        <f t="shared" ca="1" si="32"/>
        <v>2.4703732077815091E-9</v>
      </c>
      <c r="G566" s="45">
        <f t="shared" ca="1" si="35"/>
        <v>1.8940863371161145E-9</v>
      </c>
      <c r="H566" s="18">
        <f>-SUMIFS(Projetos!$F$2:$F$11,Projetos!$D$2:$D$11,"USD",Projetos!$N$2:$N$11,Dados!$A566)</f>
        <v>0</v>
      </c>
      <c r="I566" s="45">
        <f ca="1">(G566+H566)*((Indicadores_Economicos!D$2+1)^(1/12)-1)</f>
        <v>6.2007457927364481E-12</v>
      </c>
      <c r="J566" s="18">
        <f>SUMIFS(Projetos!$G$2:$G$11,Projetos!$K$2:$K$11,"&lt;="&amp;Dados!$A566,Projetos!$N$2:$N$11,"&gt;"&amp;Dados!$A566,Projetos!$D$2:$D$11,"USD")</f>
        <v>0</v>
      </c>
      <c r="K566" s="18">
        <f t="shared" ca="1" si="33"/>
        <v>1.900287082908851E-9</v>
      </c>
    </row>
    <row r="567" spans="1:11" x14ac:dyDescent="0.2">
      <c r="A567" s="45">
        <f t="shared" ca="1" si="34"/>
        <v>2.4703732077815091E-9</v>
      </c>
      <c r="B567" s="18">
        <f>-SUMIFS(Projetos!$F$2:$F$11,Projetos!$D$2:$D$11,"BRL",Projetos!$N$2:$N$11,Dados!$A567)</f>
        <v>0</v>
      </c>
      <c r="C567" s="45">
        <f ca="1">(A567+B567)*((Indicadores_Economicos!D$2+1)^(1/12)-1)</f>
        <v>8.087359047192672E-12</v>
      </c>
      <c r="D567" s="18">
        <f>SUMIFS(Projetos!$G$2:$G$11,Projetos!$K$2:$K$11,"&lt;="&amp;Dados!$A567,Projetos!$N$2:$N$11,"&gt;"&amp;Dados!A567,Projetos!$D$2:$D$11,"BRL")</f>
        <v>0</v>
      </c>
      <c r="E567" s="18">
        <f t="shared" ca="1" si="32"/>
        <v>2.4784605668287016E-9</v>
      </c>
      <c r="G567" s="45">
        <f t="shared" ca="1" si="35"/>
        <v>1.900287082908851E-9</v>
      </c>
      <c r="H567" s="18">
        <f>-SUMIFS(Projetos!$F$2:$F$11,Projetos!$D$2:$D$11,"USD",Projetos!$N$2:$N$11,Dados!$A567)</f>
        <v>0</v>
      </c>
      <c r="I567" s="45">
        <f ca="1">(G567+H567)*((Indicadores_Economicos!D$2+1)^(1/12)-1)</f>
        <v>6.2210454209174321E-12</v>
      </c>
      <c r="J567" s="18">
        <f>SUMIFS(Projetos!$G$2:$G$11,Projetos!$K$2:$K$11,"&lt;="&amp;Dados!$A567,Projetos!$N$2:$N$11,"&gt;"&amp;Dados!$A567,Projetos!$D$2:$D$11,"USD")</f>
        <v>0</v>
      </c>
      <c r="K567" s="18">
        <f t="shared" ca="1" si="33"/>
        <v>1.9065081283297685E-9</v>
      </c>
    </row>
    <row r="568" spans="1:11" x14ac:dyDescent="0.2">
      <c r="A568" s="45">
        <f t="shared" ca="1" si="34"/>
        <v>2.4784605668287016E-9</v>
      </c>
      <c r="B568" s="18">
        <f>-SUMIFS(Projetos!$F$2:$F$11,Projetos!$D$2:$D$11,"BRL",Projetos!$N$2:$N$11,Dados!$A568)</f>
        <v>0</v>
      </c>
      <c r="C568" s="45">
        <f ca="1">(A568+B568)*((Indicadores_Economicos!D$2+1)^(1/12)-1)</f>
        <v>8.1138349562383914E-12</v>
      </c>
      <c r="D568" s="18">
        <f>SUMIFS(Projetos!$G$2:$G$11,Projetos!$K$2:$K$11,"&lt;="&amp;Dados!$A568,Projetos!$N$2:$N$11,"&gt;"&amp;Dados!A568,Projetos!$D$2:$D$11,"BRL")</f>
        <v>0</v>
      </c>
      <c r="E568" s="18">
        <f t="shared" ca="1" si="32"/>
        <v>2.4865744017849401E-9</v>
      </c>
      <c r="G568" s="45">
        <f t="shared" ca="1" si="35"/>
        <v>1.9065081283297685E-9</v>
      </c>
      <c r="H568" s="18">
        <f>-SUMIFS(Projetos!$F$2:$F$11,Projetos!$D$2:$D$11,"USD",Projetos!$N$2:$N$11,Dados!$A568)</f>
        <v>0</v>
      </c>
      <c r="I568" s="45">
        <f ca="1">(G568+H568)*((Indicadores_Economicos!D$2+1)^(1/12)-1)</f>
        <v>6.2414115047987565E-12</v>
      </c>
      <c r="J568" s="18">
        <f>SUMIFS(Projetos!$G$2:$G$11,Projetos!$K$2:$K$11,"&lt;="&amp;Dados!$A568,Projetos!$N$2:$N$11,"&gt;"&amp;Dados!$A568,Projetos!$D$2:$D$11,"USD")</f>
        <v>0</v>
      </c>
      <c r="K568" s="18">
        <f t="shared" ca="1" si="33"/>
        <v>1.9127495398345672E-9</v>
      </c>
    </row>
    <row r="569" spans="1:11" x14ac:dyDescent="0.2">
      <c r="A569" s="45">
        <f t="shared" ca="1" si="34"/>
        <v>2.4865744017849401E-9</v>
      </c>
      <c r="B569" s="18">
        <f>-SUMIFS(Projetos!$F$2:$F$11,Projetos!$D$2:$D$11,"BRL",Projetos!$N$2:$N$11,Dados!$A569)</f>
        <v>0</v>
      </c>
      <c r="C569" s="45">
        <f ca="1">(A569+B569)*((Indicadores_Economicos!D$2+1)^(1/12)-1)</f>
        <v>8.1403975405208258E-12</v>
      </c>
      <c r="D569" s="18">
        <f>SUMIFS(Projetos!$G$2:$G$11,Projetos!$K$2:$K$11,"&lt;="&amp;Dados!$A569,Projetos!$N$2:$N$11,"&gt;"&amp;Dados!A569,Projetos!$D$2:$D$11,"BRL")</f>
        <v>0</v>
      </c>
      <c r="E569" s="18">
        <f t="shared" ca="1" si="32"/>
        <v>2.4947147993254609E-9</v>
      </c>
      <c r="G569" s="45">
        <f t="shared" ca="1" si="35"/>
        <v>1.9127495398345672E-9</v>
      </c>
      <c r="H569" s="18">
        <f>-SUMIFS(Projetos!$F$2:$F$11,Projetos!$D$2:$D$11,"USD",Projetos!$N$2:$N$11,Dados!$A569)</f>
        <v>0</v>
      </c>
      <c r="I569" s="45">
        <f ca="1">(G569+H569)*((Indicadores_Economicos!D$2+1)^(1/12)-1)</f>
        <v>6.2618442619390899E-12</v>
      </c>
      <c r="J569" s="18">
        <f>SUMIFS(Projetos!$G$2:$G$11,Projetos!$K$2:$K$11,"&lt;="&amp;Dados!$A569,Projetos!$N$2:$N$11,"&gt;"&amp;Dados!$A569,Projetos!$D$2:$D$11,"USD")</f>
        <v>0</v>
      </c>
      <c r="K569" s="18">
        <f t="shared" ca="1" si="33"/>
        <v>1.9190113840965064E-9</v>
      </c>
    </row>
    <row r="570" spans="1:11" x14ac:dyDescent="0.2">
      <c r="A570" s="45">
        <f t="shared" ca="1" si="34"/>
        <v>2.4947147993254609E-9</v>
      </c>
      <c r="B570" s="18">
        <f>-SUMIFS(Projetos!$F$2:$F$11,Projetos!$D$2:$D$11,"BRL",Projetos!$N$2:$N$11,Dados!$A570)</f>
        <v>0</v>
      </c>
      <c r="C570" s="45">
        <f ca="1">(A570+B570)*((Indicadores_Economicos!D$2+1)^(1/12)-1)</f>
        <v>8.1670470837921431E-12</v>
      </c>
      <c r="D570" s="18">
        <f>SUMIFS(Projetos!$G$2:$G$11,Projetos!$K$2:$K$11,"&lt;="&amp;Dados!$A570,Projetos!$N$2:$N$11,"&gt;"&amp;Dados!A570,Projetos!$D$2:$D$11,"BRL")</f>
        <v>0</v>
      </c>
      <c r="E570" s="18">
        <f t="shared" ca="1" si="32"/>
        <v>2.5028818464092529E-9</v>
      </c>
      <c r="G570" s="45">
        <f t="shared" ca="1" si="35"/>
        <v>1.9190113840965064E-9</v>
      </c>
      <c r="H570" s="18">
        <f>-SUMIFS(Projetos!$F$2:$F$11,Projetos!$D$2:$D$11,"USD",Projetos!$N$2:$N$11,Dados!$A570)</f>
        <v>0</v>
      </c>
      <c r="I570" s="45">
        <f ca="1">(G570+H570)*((Indicadores_Economicos!D$2+1)^(1/12)-1)</f>
        <v>6.2823439106093344E-12</v>
      </c>
      <c r="J570" s="18">
        <f>SUMIFS(Projetos!$G$2:$G$11,Projetos!$K$2:$K$11,"&lt;="&amp;Dados!$A570,Projetos!$N$2:$N$11,"&gt;"&amp;Dados!$A570,Projetos!$D$2:$D$11,"USD")</f>
        <v>0</v>
      </c>
      <c r="K570" s="18">
        <f t="shared" ca="1" si="33"/>
        <v>1.9252937280071159E-9</v>
      </c>
    </row>
    <row r="571" spans="1:11" x14ac:dyDescent="0.2">
      <c r="A571" s="45">
        <f t="shared" ca="1" si="34"/>
        <v>2.5028818464092529E-9</v>
      </c>
      <c r="B571" s="18">
        <f>-SUMIFS(Projetos!$F$2:$F$11,Projetos!$D$2:$D$11,"BRL",Projetos!$N$2:$N$11,Dados!$A571)</f>
        <v>0</v>
      </c>
      <c r="C571" s="45">
        <f ca="1">(A571+B571)*((Indicadores_Economicos!D$2+1)^(1/12)-1)</f>
        <v>8.1937838707334449E-12</v>
      </c>
      <c r="D571" s="18">
        <f>SUMIFS(Projetos!$G$2:$G$11,Projetos!$K$2:$K$11,"&lt;="&amp;Dados!$A571,Projetos!$N$2:$N$11,"&gt;"&amp;Dados!A571,Projetos!$D$2:$D$11,"BRL")</f>
        <v>0</v>
      </c>
      <c r="E571" s="18">
        <f t="shared" ca="1" si="32"/>
        <v>2.5110756302799863E-9</v>
      </c>
      <c r="G571" s="45">
        <f t="shared" ca="1" si="35"/>
        <v>1.9252937280071159E-9</v>
      </c>
      <c r="H571" s="18">
        <f>-SUMIFS(Projetos!$F$2:$F$11,Projetos!$D$2:$D$11,"USD",Projetos!$N$2:$N$11,Dados!$A571)</f>
        <v>0</v>
      </c>
      <c r="I571" s="45">
        <f ca="1">(G571+H571)*((Indicadores_Economicos!D$2+1)^(1/12)-1)</f>
        <v>6.3029106697949517E-12</v>
      </c>
      <c r="J571" s="18">
        <f>SUMIFS(Projetos!$G$2:$G$11,Projetos!$K$2:$K$11,"&lt;="&amp;Dados!$A571,Projetos!$N$2:$N$11,"&gt;"&amp;Dados!$A571,Projetos!$D$2:$D$11,"USD")</f>
        <v>0</v>
      </c>
      <c r="K571" s="18">
        <f t="shared" ca="1" si="33"/>
        <v>1.9315966386769107E-9</v>
      </c>
    </row>
    <row r="572" spans="1:11" x14ac:dyDescent="0.2">
      <c r="A572" s="45">
        <f t="shared" ca="1" si="34"/>
        <v>2.5110756302799863E-9</v>
      </c>
      <c r="B572" s="18">
        <f>-SUMIFS(Projetos!$F$2:$F$11,Projetos!$D$2:$D$11,"BRL",Projetos!$N$2:$N$11,Dados!$A572)</f>
        <v>0</v>
      </c>
      <c r="C572" s="45">
        <f ca="1">(A572+B572)*((Indicadores_Economicos!D$2+1)^(1/12)-1)</f>
        <v>8.2206081869578035E-12</v>
      </c>
      <c r="D572" s="18">
        <f>SUMIFS(Projetos!$G$2:$G$11,Projetos!$K$2:$K$11,"&lt;="&amp;Dados!$A572,Projetos!$N$2:$N$11,"&gt;"&amp;Dados!A572,Projetos!$D$2:$D$11,"BRL")</f>
        <v>0</v>
      </c>
      <c r="E572" s="18">
        <f t="shared" ca="1" si="32"/>
        <v>2.519296238466944E-9</v>
      </c>
      <c r="G572" s="45">
        <f t="shared" ca="1" si="35"/>
        <v>1.9315966386769107E-9</v>
      </c>
      <c r="H572" s="18">
        <f>-SUMIFS(Projetos!$F$2:$F$11,Projetos!$D$2:$D$11,"USD",Projetos!$N$2:$N$11,Dados!$A572)</f>
        <v>0</v>
      </c>
      <c r="I572" s="45">
        <f ca="1">(G572+H572)*((Indicadores_Economicos!D$2+1)^(1/12)-1)</f>
        <v>6.3235447591983048E-12</v>
      </c>
      <c r="J572" s="18">
        <f>SUMIFS(Projetos!$G$2:$G$11,Projetos!$K$2:$K$11,"&lt;="&amp;Dados!$A572,Projetos!$N$2:$N$11,"&gt;"&amp;Dados!$A572,Projetos!$D$2:$D$11,"USD")</f>
        <v>0</v>
      </c>
      <c r="K572" s="18">
        <f t="shared" ca="1" si="33"/>
        <v>1.9379201834361089E-9</v>
      </c>
    </row>
    <row r="573" spans="1:11" x14ac:dyDescent="0.2">
      <c r="A573" s="45">
        <f t="shared" ca="1" si="34"/>
        <v>2.519296238466944E-9</v>
      </c>
      <c r="B573" s="18">
        <f>-SUMIFS(Projetos!$F$2:$F$11,Projetos!$D$2:$D$11,"BRL",Projetos!$N$2:$N$11,Dados!$A573)</f>
        <v>0</v>
      </c>
      <c r="C573" s="45">
        <f ca="1">(A573+B573)*((Indicadores_Economicos!D$2+1)^(1/12)-1)</f>
        <v>8.2475203190133172E-12</v>
      </c>
      <c r="D573" s="18">
        <f>SUMIFS(Projetos!$G$2:$G$11,Projetos!$K$2:$K$11,"&lt;="&amp;Dados!$A573,Projetos!$N$2:$N$11,"&gt;"&amp;Dados!A573,Projetos!$D$2:$D$11,"BRL")</f>
        <v>0</v>
      </c>
      <c r="E573" s="18">
        <f t="shared" ca="1" si="32"/>
        <v>2.5275437587859573E-9</v>
      </c>
      <c r="G573" s="45">
        <f t="shared" ca="1" si="35"/>
        <v>1.9379201834361089E-9</v>
      </c>
      <c r="H573" s="18">
        <f>-SUMIFS(Projetos!$F$2:$F$11,Projetos!$D$2:$D$11,"USD",Projetos!$N$2:$N$11,Dados!$A573)</f>
        <v>0</v>
      </c>
      <c r="I573" s="45">
        <f ca="1">(G573+H573)*((Indicadores_Economicos!D$2+1)^(1/12)-1)</f>
        <v>6.3442463992410074E-12</v>
      </c>
      <c r="J573" s="18">
        <f>SUMIFS(Projetos!$G$2:$G$11,Projetos!$K$2:$K$11,"&lt;="&amp;Dados!$A573,Projetos!$N$2:$N$11,"&gt;"&amp;Dados!$A573,Projetos!$D$2:$D$11,"USD")</f>
        <v>0</v>
      </c>
      <c r="K573" s="18">
        <f t="shared" ca="1" si="33"/>
        <v>1.9442644298353499E-9</v>
      </c>
    </row>
    <row r="574" spans="1:11" x14ac:dyDescent="0.2">
      <c r="A574" s="45">
        <f t="shared" ca="1" si="34"/>
        <v>2.5275437587859573E-9</v>
      </c>
      <c r="B574" s="18">
        <f>-SUMIFS(Projetos!$F$2:$F$11,Projetos!$D$2:$D$11,"BRL",Projetos!$N$2:$N$11,Dados!$A574)</f>
        <v>0</v>
      </c>
      <c r="C574" s="45">
        <f ca="1">(A574+B574)*((Indicadores_Economicos!D$2+1)^(1/12)-1)</f>
        <v>8.2745205543861653E-12</v>
      </c>
      <c r="D574" s="18">
        <f>SUMIFS(Projetos!$G$2:$G$11,Projetos!$K$2:$K$11,"&lt;="&amp;Dados!$A574,Projetos!$N$2:$N$11,"&gt;"&amp;Dados!A574,Projetos!$D$2:$D$11,"BRL")</f>
        <v>0</v>
      </c>
      <c r="E574" s="18">
        <f t="shared" ca="1" si="32"/>
        <v>2.5358182793403435E-9</v>
      </c>
      <c r="G574" s="45">
        <f t="shared" ca="1" si="35"/>
        <v>1.9442644298353499E-9</v>
      </c>
      <c r="H574" s="18">
        <f>-SUMIFS(Projetos!$F$2:$F$11,Projetos!$D$2:$D$11,"USD",Projetos!$N$2:$N$11,Dados!$A574)</f>
        <v>0</v>
      </c>
      <c r="I574" s="45">
        <f ca="1">(G574+H574)*((Indicadores_Economicos!D$2+1)^(1/12)-1)</f>
        <v>6.3650158110662749E-12</v>
      </c>
      <c r="J574" s="18">
        <f>SUMIFS(Projetos!$G$2:$G$11,Projetos!$K$2:$K$11,"&lt;="&amp;Dados!$A574,Projetos!$N$2:$N$11,"&gt;"&amp;Dados!$A574,Projetos!$D$2:$D$11,"USD")</f>
        <v>0</v>
      </c>
      <c r="K574" s="18">
        <f t="shared" ca="1" si="33"/>
        <v>1.9506294456464162E-9</v>
      </c>
    </row>
    <row r="575" spans="1:11" x14ac:dyDescent="0.2">
      <c r="A575" s="45">
        <f t="shared" ca="1" si="34"/>
        <v>2.5358182793403435E-9</v>
      </c>
      <c r="B575" s="18">
        <f>-SUMIFS(Projetos!$F$2:$F$11,Projetos!$D$2:$D$11,"BRL",Projetos!$N$2:$N$11,Dados!$A575)</f>
        <v>0</v>
      </c>
      <c r="C575" s="45">
        <f ca="1">(A575+B575)*((Indicadores_Economicos!D$2+1)^(1/12)-1)</f>
        <v>8.3016091815036823E-12</v>
      </c>
      <c r="D575" s="18">
        <f>SUMIFS(Projetos!$G$2:$G$11,Projetos!$K$2:$K$11,"&lt;="&amp;Dados!$A575,Projetos!$N$2:$N$11,"&gt;"&amp;Dados!A575,Projetos!$D$2:$D$11,"BRL")</f>
        <v>0</v>
      </c>
      <c r="E575" s="18">
        <f t="shared" ca="1" si="32"/>
        <v>2.5441198885218471E-9</v>
      </c>
      <c r="G575" s="45">
        <f t="shared" ca="1" si="35"/>
        <v>1.9506294456464162E-9</v>
      </c>
      <c r="H575" s="18">
        <f>-SUMIFS(Projetos!$F$2:$F$11,Projetos!$D$2:$D$11,"USD",Projetos!$N$2:$N$11,Dados!$A575)</f>
        <v>0</v>
      </c>
      <c r="I575" s="45">
        <f ca="1">(G575+H575)*((Indicadores_Economicos!D$2+1)^(1/12)-1)</f>
        <v>6.385853216541288E-12</v>
      </c>
      <c r="J575" s="18">
        <f>SUMIFS(Projetos!$G$2:$G$11,Projetos!$K$2:$K$11,"&lt;="&amp;Dados!$A575,Projetos!$N$2:$N$11,"&gt;"&amp;Dados!$A575,Projetos!$D$2:$D$11,"USD")</f>
        <v>0</v>
      </c>
      <c r="K575" s="18">
        <f t="shared" ca="1" si="33"/>
        <v>1.9570152988629576E-9</v>
      </c>
    </row>
    <row r="576" spans="1:11" x14ac:dyDescent="0.2">
      <c r="A576" s="45">
        <f t="shared" ca="1" si="34"/>
        <v>2.5441198885218471E-9</v>
      </c>
      <c r="B576" s="18">
        <f>-SUMIFS(Projetos!$F$2:$F$11,Projetos!$D$2:$D$11,"BRL",Projetos!$N$2:$N$11,Dados!$A576)</f>
        <v>0</v>
      </c>
      <c r="C576" s="45">
        <f ca="1">(A576+B576)*((Indicadores_Economicos!D$2+1)^(1/12)-1)</f>
        <v>8.3287864897374376E-12</v>
      </c>
      <c r="D576" s="18">
        <f>SUMIFS(Projetos!$G$2:$G$11,Projetos!$K$2:$K$11,"&lt;="&amp;Dados!$A576,Projetos!$N$2:$N$11,"&gt;"&amp;Dados!A576,Projetos!$D$2:$D$11,"BRL")</f>
        <v>0</v>
      </c>
      <c r="E576" s="18">
        <f t="shared" ca="1" si="32"/>
        <v>2.5524486750115845E-9</v>
      </c>
      <c r="G576" s="45">
        <f t="shared" ca="1" si="35"/>
        <v>1.9570152988629576E-9</v>
      </c>
      <c r="H576" s="18">
        <f>-SUMIFS(Projetos!$F$2:$F$11,Projetos!$D$2:$D$11,"USD",Projetos!$N$2:$N$11,Dados!$A576)</f>
        <v>0</v>
      </c>
      <c r="I576" s="45">
        <f ca="1">(G576+H576)*((Indicadores_Economicos!D$2+1)^(1/12)-1)</f>
        <v>6.4067588382595624E-12</v>
      </c>
      <c r="J576" s="18">
        <f>SUMIFS(Projetos!$G$2:$G$11,Projetos!$K$2:$K$11,"&lt;="&amp;Dados!$A576,Projetos!$N$2:$N$11,"&gt;"&amp;Dados!$A576,Projetos!$D$2:$D$11,"USD")</f>
        <v>0</v>
      </c>
      <c r="K576" s="18">
        <f t="shared" ca="1" si="33"/>
        <v>1.963422057701217E-9</v>
      </c>
    </row>
    <row r="577" spans="1:11" x14ac:dyDescent="0.2">
      <c r="A577" s="45">
        <f t="shared" ca="1" si="34"/>
        <v>2.5524486750115845E-9</v>
      </c>
      <c r="B577" s="18">
        <f>-SUMIFS(Projetos!$F$2:$F$11,Projetos!$D$2:$D$11,"BRL",Projetos!$N$2:$N$11,Dados!$A577)</f>
        <v>0</v>
      </c>
      <c r="C577" s="45">
        <f ca="1">(A577+B577)*((Indicadores_Economicos!D$2+1)^(1/12)-1)</f>
        <v>8.3560527694063326E-12</v>
      </c>
      <c r="D577" s="18">
        <f>SUMIFS(Projetos!$G$2:$G$11,Projetos!$K$2:$K$11,"&lt;="&amp;Dados!$A577,Projetos!$N$2:$N$11,"&gt;"&amp;Dados!A577,Projetos!$D$2:$D$11,"BRL")</f>
        <v>0</v>
      </c>
      <c r="E577" s="18">
        <f t="shared" ca="1" si="32"/>
        <v>2.5608047277809907E-9</v>
      </c>
      <c r="G577" s="45">
        <f t="shared" ca="1" si="35"/>
        <v>1.963422057701217E-9</v>
      </c>
      <c r="H577" s="18">
        <f>-SUMIFS(Projetos!$F$2:$F$11,Projetos!$D$2:$D$11,"USD",Projetos!$N$2:$N$11,Dados!$A577)</f>
        <v>0</v>
      </c>
      <c r="I577" s="45">
        <f ca="1">(G577+H577)*((Indicadores_Economicos!D$2+1)^(1/12)-1)</f>
        <v>6.4277328995433266E-12</v>
      </c>
      <c r="J577" s="18">
        <f>SUMIFS(Projetos!$G$2:$G$11,Projetos!$K$2:$K$11,"&lt;="&amp;Dados!$A577,Projetos!$N$2:$N$11,"&gt;"&amp;Dados!$A577,Projetos!$D$2:$D$11,"USD")</f>
        <v>0</v>
      </c>
      <c r="K577" s="18">
        <f t="shared" ca="1" si="33"/>
        <v>1.9698497906007605E-9</v>
      </c>
    </row>
    <row r="578" spans="1:11" x14ac:dyDescent="0.2">
      <c r="A578" s="45">
        <f t="shared" ca="1" si="34"/>
        <v>2.5608047277809907E-9</v>
      </c>
      <c r="B578" s="18">
        <f>-SUMIFS(Projetos!$F$2:$F$11,Projetos!$D$2:$D$11,"BRL",Projetos!$N$2:$N$11,Dados!$A578)</f>
        <v>0</v>
      </c>
      <c r="C578" s="45">
        <f ca="1">(A578+B578)*((Indicadores_Economicos!D$2+1)^(1/12)-1)</f>
        <v>8.3834083117796908E-12</v>
      </c>
      <c r="D578" s="18">
        <f>SUMIFS(Projetos!$G$2:$G$11,Projetos!$K$2:$K$11,"&lt;="&amp;Dados!$A578,Projetos!$N$2:$N$11,"&gt;"&amp;Dados!A578,Projetos!$D$2:$D$11,"BRL")</f>
        <v>0</v>
      </c>
      <c r="E578" s="18">
        <f t="shared" ref="E578:E641" ca="1" si="36">A578+B578+C578+D578</f>
        <v>2.5691881360927705E-9</v>
      </c>
      <c r="G578" s="45">
        <f t="shared" ca="1" si="35"/>
        <v>1.9698497906007605E-9</v>
      </c>
      <c r="H578" s="18">
        <f>-SUMIFS(Projetos!$F$2:$F$11,Projetos!$D$2:$D$11,"USD",Projetos!$N$2:$N$11,Dados!$A578)</f>
        <v>0</v>
      </c>
      <c r="I578" s="45">
        <f ca="1">(G578+H578)*((Indicadores_Economicos!D$2+1)^(1/12)-1)</f>
        <v>6.4487756244459112E-12</v>
      </c>
      <c r="J578" s="18">
        <f>SUMIFS(Projetos!$G$2:$G$11,Projetos!$K$2:$K$11,"&lt;="&amp;Dados!$A578,Projetos!$N$2:$N$11,"&gt;"&amp;Dados!$A578,Projetos!$D$2:$D$11,"USD")</f>
        <v>0</v>
      </c>
      <c r="K578" s="18">
        <f t="shared" ref="K578:K641" ca="1" si="37">G578+H578+I578+J578</f>
        <v>1.9762985662252063E-9</v>
      </c>
    </row>
    <row r="579" spans="1:11" x14ac:dyDescent="0.2">
      <c r="A579" s="45">
        <f t="shared" ca="1" si="34"/>
        <v>2.5691881360927705E-9</v>
      </c>
      <c r="B579" s="18">
        <f>-SUMIFS(Projetos!$F$2:$F$11,Projetos!$D$2:$D$11,"BRL",Projetos!$N$2:$N$11,Dados!$A579)</f>
        <v>0</v>
      </c>
      <c r="C579" s="45">
        <f ca="1">(A579+B579)*((Indicadores_Economicos!D$2+1)^(1/12)-1)</f>
        <v>8.4108534090803814E-12</v>
      </c>
      <c r="D579" s="18">
        <f>SUMIFS(Projetos!$G$2:$G$11,Projetos!$K$2:$K$11,"&lt;="&amp;Dados!$A579,Projetos!$N$2:$N$11,"&gt;"&amp;Dados!A579,Projetos!$D$2:$D$11,"BRL")</f>
        <v>0</v>
      </c>
      <c r="E579" s="18">
        <f t="shared" ca="1" si="36"/>
        <v>2.5775989895018509E-9</v>
      </c>
      <c r="G579" s="45">
        <f t="shared" ca="1" si="35"/>
        <v>1.9762985662252063E-9</v>
      </c>
      <c r="H579" s="18">
        <f>-SUMIFS(Projetos!$F$2:$F$11,Projetos!$D$2:$D$11,"USD",Projetos!$N$2:$N$11,Dados!$A579)</f>
        <v>0</v>
      </c>
      <c r="I579" s="45">
        <f ca="1">(G579+H579)*((Indicadores_Economicos!D$2+1)^(1/12)-1)</f>
        <v>6.4698872377541339E-12</v>
      </c>
      <c r="J579" s="18">
        <f>SUMIFS(Projetos!$G$2:$G$11,Projetos!$K$2:$K$11,"&lt;="&amp;Dados!$A579,Projetos!$N$2:$N$11,"&gt;"&amp;Dados!$A579,Projetos!$D$2:$D$11,"USD")</f>
        <v>0</v>
      </c>
      <c r="K579" s="18">
        <f t="shared" ca="1" si="37"/>
        <v>1.9827684534629603E-9</v>
      </c>
    </row>
    <row r="580" spans="1:11" x14ac:dyDescent="0.2">
      <c r="A580" s="45">
        <f t="shared" ref="A580:A643" ca="1" si="38">E579</f>
        <v>2.5775989895018509E-9</v>
      </c>
      <c r="B580" s="18">
        <f>-SUMIFS(Projetos!$F$2:$F$11,Projetos!$D$2:$D$11,"BRL",Projetos!$N$2:$N$11,Dados!$A580)</f>
        <v>0</v>
      </c>
      <c r="C580" s="45">
        <f ca="1">(A580+B580)*((Indicadores_Economicos!D$2+1)^(1/12)-1)</f>
        <v>8.438388354487932E-12</v>
      </c>
      <c r="D580" s="18">
        <f>SUMIFS(Projetos!$G$2:$G$11,Projetos!$K$2:$K$11,"&lt;="&amp;Dados!$A580,Projetos!$N$2:$N$11,"&gt;"&amp;Dados!A580,Projetos!$D$2:$D$11,"BRL")</f>
        <v>0</v>
      </c>
      <c r="E580" s="18">
        <f t="shared" ca="1" si="36"/>
        <v>2.5860373778563389E-9</v>
      </c>
      <c r="G580" s="45">
        <f t="shared" ref="G580:G643" ca="1" si="39">K579</f>
        <v>1.9827684534629603E-9</v>
      </c>
      <c r="H580" s="18">
        <f>-SUMIFS(Projetos!$F$2:$F$11,Projetos!$D$2:$D$11,"USD",Projetos!$N$2:$N$11,Dados!$A580)</f>
        <v>0</v>
      </c>
      <c r="I580" s="45">
        <f ca="1">(G580+H580)*((Indicadores_Economicos!D$2+1)^(1/12)-1)</f>
        <v>6.4910679649907101E-12</v>
      </c>
      <c r="J580" s="18">
        <f>SUMIFS(Projetos!$G$2:$G$11,Projetos!$K$2:$K$11,"&lt;="&amp;Dados!$A580,Projetos!$N$2:$N$11,"&gt;"&amp;Dados!$A580,Projetos!$D$2:$D$11,"USD")</f>
        <v>0</v>
      </c>
      <c r="K580" s="18">
        <f t="shared" ca="1" si="37"/>
        <v>1.9892595214279509E-9</v>
      </c>
    </row>
    <row r="581" spans="1:11" x14ac:dyDescent="0.2">
      <c r="A581" s="45">
        <f t="shared" ca="1" si="38"/>
        <v>2.5860373778563389E-9</v>
      </c>
      <c r="B581" s="18">
        <f>-SUMIFS(Projetos!$F$2:$F$11,Projetos!$D$2:$D$11,"BRL",Projetos!$N$2:$N$11,Dados!$A581)</f>
        <v>0</v>
      </c>
      <c r="C581" s="45">
        <f ca="1">(A581+B581)*((Indicadores_Economicos!D$2+1)^(1/12)-1)</f>
        <v>8.4660134421416632E-12</v>
      </c>
      <c r="D581" s="18">
        <f>SUMIFS(Projetos!$G$2:$G$11,Projetos!$K$2:$K$11,"&lt;="&amp;Dados!$A581,Projetos!$N$2:$N$11,"&gt;"&amp;Dados!A581,Projetos!$D$2:$D$11,"BRL")</f>
        <v>0</v>
      </c>
      <c r="E581" s="18">
        <f t="shared" ca="1" si="36"/>
        <v>2.5945033912984805E-9</v>
      </c>
      <c r="G581" s="45">
        <f t="shared" ca="1" si="39"/>
        <v>1.9892595214279509E-9</v>
      </c>
      <c r="H581" s="18">
        <f>-SUMIFS(Projetos!$F$2:$F$11,Projetos!$D$2:$D$11,"USD",Projetos!$N$2:$N$11,Dados!$A581)</f>
        <v>0</v>
      </c>
      <c r="I581" s="45">
        <f ca="1">(G581+H581)*((Indicadores_Economicos!D$2+1)^(1/12)-1)</f>
        <v>6.5123180324166564E-12</v>
      </c>
      <c r="J581" s="18">
        <f>SUMIFS(Projetos!$G$2:$G$11,Projetos!$K$2:$K$11,"&lt;="&amp;Dados!$A581,Projetos!$N$2:$N$11,"&gt;"&amp;Dados!$A581,Projetos!$D$2:$D$11,"USD")</f>
        <v>0</v>
      </c>
      <c r="K581" s="18">
        <f t="shared" ca="1" si="37"/>
        <v>1.9957718394603676E-9</v>
      </c>
    </row>
    <row r="582" spans="1:11" x14ac:dyDescent="0.2">
      <c r="A582" s="45">
        <f t="shared" ca="1" si="38"/>
        <v>2.5945033912984805E-9</v>
      </c>
      <c r="B582" s="18">
        <f>-SUMIFS(Projetos!$F$2:$F$11,Projetos!$D$2:$D$11,"BRL",Projetos!$N$2:$N$11,Dados!$A582)</f>
        <v>0</v>
      </c>
      <c r="C582" s="45">
        <f ca="1">(A582+B582)*((Indicadores_Economicos!D$2+1)^(1/12)-1)</f>
        <v>8.4937289671438322E-12</v>
      </c>
      <c r="D582" s="18">
        <f>SUMIFS(Projetos!$G$2:$G$11,Projetos!$K$2:$K$11,"&lt;="&amp;Dados!$A582,Projetos!$N$2:$N$11,"&gt;"&amp;Dados!A582,Projetos!$D$2:$D$11,"BRL")</f>
        <v>0</v>
      </c>
      <c r="E582" s="18">
        <f t="shared" ca="1" si="36"/>
        <v>2.6029971202656244E-9</v>
      </c>
      <c r="G582" s="45">
        <f t="shared" ca="1" si="39"/>
        <v>1.9957718394603676E-9</v>
      </c>
      <c r="H582" s="18">
        <f>-SUMIFS(Projetos!$F$2:$F$11,Projetos!$D$2:$D$11,"USD",Projetos!$N$2:$N$11,Dados!$A582)</f>
        <v>0</v>
      </c>
      <c r="I582" s="45">
        <f ca="1">(G582+H582)*((Indicadores_Economicos!D$2+1)^(1/12)-1)</f>
        <v>6.5336376670337106E-12</v>
      </c>
      <c r="J582" s="18">
        <f>SUMIFS(Projetos!$G$2:$G$11,Projetos!$K$2:$K$11,"&lt;="&amp;Dados!$A582,Projetos!$N$2:$N$11,"&gt;"&amp;Dados!$A582,Projetos!$D$2:$D$11,"USD")</f>
        <v>0</v>
      </c>
      <c r="K582" s="18">
        <f t="shared" ca="1" si="37"/>
        <v>2.0023054771274011E-9</v>
      </c>
    </row>
    <row r="583" spans="1:11" x14ac:dyDescent="0.2">
      <c r="A583" s="45">
        <f t="shared" ca="1" si="38"/>
        <v>2.6029971202656244E-9</v>
      </c>
      <c r="B583" s="18">
        <f>-SUMIFS(Projetos!$F$2:$F$11,Projetos!$D$2:$D$11,"BRL",Projetos!$N$2:$N$11,Dados!$A583)</f>
        <v>0</v>
      </c>
      <c r="C583" s="45">
        <f ca="1">(A583+B583)*((Indicadores_Economicos!D$2+1)^(1/12)-1)</f>
        <v>8.5215352255627867E-12</v>
      </c>
      <c r="D583" s="18">
        <f>SUMIFS(Projetos!$G$2:$G$11,Projetos!$K$2:$K$11,"&lt;="&amp;Dados!$A583,Projetos!$N$2:$N$11,"&gt;"&amp;Dados!A583,Projetos!$D$2:$D$11,"BRL")</f>
        <v>0</v>
      </c>
      <c r="E583" s="18">
        <f t="shared" ca="1" si="36"/>
        <v>2.6115186554911873E-9</v>
      </c>
      <c r="G583" s="45">
        <f t="shared" ca="1" si="39"/>
        <v>2.0023054771274011E-9</v>
      </c>
      <c r="H583" s="18">
        <f>-SUMIFS(Projetos!$F$2:$F$11,Projetos!$D$2:$D$11,"USD",Projetos!$N$2:$N$11,Dados!$A583)</f>
        <v>0</v>
      </c>
      <c r="I583" s="45">
        <f ca="1">(G583+H583)*((Indicadores_Economicos!D$2+1)^(1/12)-1)</f>
        <v>6.5550270965867512E-12</v>
      </c>
      <c r="J583" s="18">
        <f>SUMIFS(Projetos!$G$2:$G$11,Projetos!$K$2:$K$11,"&lt;="&amp;Dados!$A583,Projetos!$N$2:$N$11,"&gt;"&amp;Dados!$A583,Projetos!$D$2:$D$11,"USD")</f>
        <v>0</v>
      </c>
      <c r="K583" s="18">
        <f t="shared" ca="1" si="37"/>
        <v>2.0088605042239876E-9</v>
      </c>
    </row>
    <row r="584" spans="1:11" x14ac:dyDescent="0.2">
      <c r="A584" s="45">
        <f t="shared" ca="1" si="38"/>
        <v>2.6115186554911873E-9</v>
      </c>
      <c r="B584" s="18">
        <f>-SUMIFS(Projetos!$F$2:$F$11,Projetos!$D$2:$D$11,"BRL",Projetos!$N$2:$N$11,Dados!$A584)</f>
        <v>0</v>
      </c>
      <c r="C584" s="45">
        <f ca="1">(A584+B584)*((Indicadores_Economicos!D$2+1)^(1/12)-1)</f>
        <v>8.5494325144361217E-12</v>
      </c>
      <c r="D584" s="18">
        <f>SUMIFS(Projetos!$G$2:$G$11,Projetos!$K$2:$K$11,"&lt;="&amp;Dados!$A584,Projetos!$N$2:$N$11,"&gt;"&amp;Dados!A584,Projetos!$D$2:$D$11,"BRL")</f>
        <v>0</v>
      </c>
      <c r="E584" s="18">
        <f t="shared" ca="1" si="36"/>
        <v>2.6200680880056233E-9</v>
      </c>
      <c r="G584" s="45">
        <f t="shared" ca="1" si="39"/>
        <v>2.0088605042239876E-9</v>
      </c>
      <c r="H584" s="18">
        <f>-SUMIFS(Projetos!$F$2:$F$11,Projetos!$D$2:$D$11,"USD",Projetos!$N$2:$N$11,Dados!$A584)</f>
        <v>0</v>
      </c>
      <c r="I584" s="45">
        <f ca="1">(G584+H584)*((Indicadores_Economicos!D$2+1)^(1/12)-1)</f>
        <v>6.5764865495662391E-12</v>
      </c>
      <c r="J584" s="18">
        <f>SUMIFS(Projetos!$G$2:$G$11,Projetos!$K$2:$K$11,"&lt;="&amp;Dados!$A584,Projetos!$N$2:$N$11,"&gt;"&amp;Dados!$A584,Projetos!$D$2:$D$11,"USD")</f>
        <v>0</v>
      </c>
      <c r="K584" s="18">
        <f t="shared" ca="1" si="37"/>
        <v>2.0154369907735539E-9</v>
      </c>
    </row>
    <row r="585" spans="1:11" x14ac:dyDescent="0.2">
      <c r="A585" s="45">
        <f t="shared" ca="1" si="38"/>
        <v>2.6200680880056233E-9</v>
      </c>
      <c r="B585" s="18">
        <f>-SUMIFS(Projetos!$F$2:$F$11,Projetos!$D$2:$D$11,"BRL",Projetos!$N$2:$N$11,Dados!$A585)</f>
        <v>0</v>
      </c>
      <c r="C585" s="45">
        <f ca="1">(A585+B585)*((Indicadores_Economicos!D$2+1)^(1/12)-1)</f>
        <v>8.5774211317738558E-12</v>
      </c>
      <c r="D585" s="18">
        <f>SUMIFS(Projetos!$G$2:$G$11,Projetos!$K$2:$K$11,"&lt;="&amp;Dados!$A585,Projetos!$N$2:$N$11,"&gt;"&amp;Dados!A585,Projetos!$D$2:$D$11,"BRL")</f>
        <v>0</v>
      </c>
      <c r="E585" s="18">
        <f t="shared" ca="1" si="36"/>
        <v>2.6286455091373971E-9</v>
      </c>
      <c r="G585" s="45">
        <f t="shared" ca="1" si="39"/>
        <v>2.0154369907735539E-9</v>
      </c>
      <c r="H585" s="18">
        <f>-SUMIFS(Projetos!$F$2:$F$11,Projetos!$D$2:$D$11,"USD",Projetos!$N$2:$N$11,Dados!$A585)</f>
        <v>0</v>
      </c>
      <c r="I585" s="45">
        <f ca="1">(G585+H585)*((Indicadores_Economicos!D$2+1)^(1/12)-1)</f>
        <v>6.5980162552106502E-12</v>
      </c>
      <c r="J585" s="18">
        <f>SUMIFS(Projetos!$G$2:$G$11,Projetos!$K$2:$K$11,"&lt;="&amp;Dados!$A585,Projetos!$N$2:$N$11,"&gt;"&amp;Dados!$A585,Projetos!$D$2:$D$11,"USD")</f>
        <v>0</v>
      </c>
      <c r="K585" s="18">
        <f t="shared" ca="1" si="37"/>
        <v>2.0220350070287644E-9</v>
      </c>
    </row>
    <row r="586" spans="1:11" x14ac:dyDescent="0.2">
      <c r="A586" s="45">
        <f t="shared" ca="1" si="38"/>
        <v>2.6286455091373971E-9</v>
      </c>
      <c r="B586" s="18">
        <f>-SUMIFS(Projetos!$F$2:$F$11,Projetos!$D$2:$D$11,"BRL",Projetos!$N$2:$N$11,Dados!$A586)</f>
        <v>0</v>
      </c>
      <c r="C586" s="45">
        <f ca="1">(A586+B586)*((Indicadores_Economicos!D$2+1)^(1/12)-1)</f>
        <v>8.6055013765616169E-12</v>
      </c>
      <c r="D586" s="18">
        <f>SUMIFS(Projetos!$G$2:$G$11,Projetos!$K$2:$K$11,"&lt;="&amp;Dados!$A586,Projetos!$N$2:$N$11,"&gt;"&amp;Dados!A586,Projetos!$D$2:$D$11,"BRL")</f>
        <v>0</v>
      </c>
      <c r="E586" s="18">
        <f t="shared" ca="1" si="36"/>
        <v>2.6372510105139587E-9</v>
      </c>
      <c r="G586" s="45">
        <f t="shared" ca="1" si="39"/>
        <v>2.0220350070287644E-9</v>
      </c>
      <c r="H586" s="18">
        <f>-SUMIFS(Projetos!$F$2:$F$11,Projetos!$D$2:$D$11,"USD",Projetos!$N$2:$N$11,Dados!$A586)</f>
        <v>0</v>
      </c>
      <c r="I586" s="45">
        <f ca="1">(G586+H586)*((Indicadores_Economicos!D$2+1)^(1/12)-1)</f>
        <v>6.6196164435089275E-12</v>
      </c>
      <c r="J586" s="18">
        <f>SUMIFS(Projetos!$G$2:$G$11,Projetos!$K$2:$K$11,"&lt;="&amp;Dados!$A586,Projetos!$N$2:$N$11,"&gt;"&amp;Dados!$A586,Projetos!$D$2:$D$11,"USD")</f>
        <v>0</v>
      </c>
      <c r="K586" s="18">
        <f t="shared" ca="1" si="37"/>
        <v>2.0286546234722733E-9</v>
      </c>
    </row>
    <row r="587" spans="1:11" x14ac:dyDescent="0.2">
      <c r="A587" s="45">
        <f t="shared" ca="1" si="38"/>
        <v>2.6372510105139587E-9</v>
      </c>
      <c r="B587" s="18">
        <f>-SUMIFS(Projetos!$F$2:$F$11,Projetos!$D$2:$D$11,"BRL",Projetos!$N$2:$N$11,Dados!$A587)</f>
        <v>0</v>
      </c>
      <c r="C587" s="45">
        <f ca="1">(A587+B587)*((Indicadores_Economicos!D$2+1)^(1/12)-1)</f>
        <v>8.6336735487638347E-12</v>
      </c>
      <c r="D587" s="18">
        <f>SUMIFS(Projetos!$G$2:$G$11,Projetos!$K$2:$K$11,"&lt;="&amp;Dados!$A587,Projetos!$N$2:$N$11,"&gt;"&amp;Dados!A587,Projetos!$D$2:$D$11,"BRL")</f>
        <v>0</v>
      </c>
      <c r="E587" s="18">
        <f t="shared" ca="1" si="36"/>
        <v>2.6458846840627225E-9</v>
      </c>
      <c r="G587" s="45">
        <f t="shared" ca="1" si="39"/>
        <v>2.0286546234722733E-9</v>
      </c>
      <c r="H587" s="18">
        <f>-SUMIFS(Projetos!$F$2:$F$11,Projetos!$D$2:$D$11,"USD",Projetos!$N$2:$N$11,Dados!$A587)</f>
        <v>0</v>
      </c>
      <c r="I587" s="45">
        <f ca="1">(G587+H587)*((Indicadores_Economicos!D$2+1)^(1/12)-1)</f>
        <v>6.6412873452029413E-12</v>
      </c>
      <c r="J587" s="18">
        <f>SUMIFS(Projetos!$G$2:$G$11,Projetos!$K$2:$K$11,"&lt;="&amp;Dados!$A587,Projetos!$N$2:$N$11,"&gt;"&amp;Dados!$A587,Projetos!$D$2:$D$11,"USD")</f>
        <v>0</v>
      </c>
      <c r="K587" s="18">
        <f t="shared" ca="1" si="37"/>
        <v>2.0352959108174761E-9</v>
      </c>
    </row>
    <row r="588" spans="1:11" x14ac:dyDescent="0.2">
      <c r="A588" s="45">
        <f t="shared" ca="1" si="38"/>
        <v>2.6458846840627225E-9</v>
      </c>
      <c r="B588" s="18">
        <f>-SUMIFS(Projetos!$F$2:$F$11,Projetos!$D$2:$D$11,"BRL",Projetos!$N$2:$N$11,Dados!$A588)</f>
        <v>0</v>
      </c>
      <c r="C588" s="45">
        <f ca="1">(A588+B588)*((Indicadores_Economicos!D$2+1)^(1/12)-1)</f>
        <v>8.6619379493269413E-12</v>
      </c>
      <c r="D588" s="18">
        <f>SUMIFS(Projetos!$G$2:$G$11,Projetos!$K$2:$K$11,"&lt;="&amp;Dados!$A588,Projetos!$N$2:$N$11,"&gt;"&amp;Dados!A588,Projetos!$D$2:$D$11,"BRL")</f>
        <v>0</v>
      </c>
      <c r="E588" s="18">
        <f t="shared" ca="1" si="36"/>
        <v>2.6545466220120494E-9</v>
      </c>
      <c r="G588" s="45">
        <f t="shared" ca="1" si="39"/>
        <v>2.0352959108174761E-9</v>
      </c>
      <c r="H588" s="18">
        <f>-SUMIFS(Projetos!$F$2:$F$11,Projetos!$D$2:$D$11,"USD",Projetos!$N$2:$N$11,Dados!$A588)</f>
        <v>0</v>
      </c>
      <c r="I588" s="45">
        <f ca="1">(G588+H588)*((Indicadores_Economicos!D$2+1)^(1/12)-1)</f>
        <v>6.6630291917899457E-12</v>
      </c>
      <c r="J588" s="18">
        <f>SUMIFS(Projetos!$G$2:$G$11,Projetos!$K$2:$K$11,"&lt;="&amp;Dados!$A588,Projetos!$N$2:$N$11,"&gt;"&amp;Dados!$A588,Projetos!$D$2:$D$11,"USD")</f>
        <v>0</v>
      </c>
      <c r="K588" s="18">
        <f t="shared" ca="1" si="37"/>
        <v>2.0419589400092662E-9</v>
      </c>
    </row>
    <row r="589" spans="1:11" x14ac:dyDescent="0.2">
      <c r="A589" s="45">
        <f t="shared" ca="1" si="38"/>
        <v>2.6545466220120494E-9</v>
      </c>
      <c r="B589" s="18">
        <f>-SUMIFS(Projetos!$F$2:$F$11,Projetos!$D$2:$D$11,"BRL",Projetos!$N$2:$N$11,Dados!$A589)</f>
        <v>0</v>
      </c>
      <c r="C589" s="45">
        <f ca="1">(A589+B589)*((Indicadores_Economicos!D$2+1)^(1/12)-1)</f>
        <v>8.6902948801825912E-12</v>
      </c>
      <c r="D589" s="18">
        <f>SUMIFS(Projetos!$G$2:$G$11,Projetos!$K$2:$K$11,"&lt;="&amp;Dados!$A589,Projetos!$N$2:$N$11,"&gt;"&amp;Dados!A589,Projetos!$D$2:$D$11,"BRL")</f>
        <v>0</v>
      </c>
      <c r="E589" s="18">
        <f t="shared" ca="1" si="36"/>
        <v>2.6632369168922319E-9</v>
      </c>
      <c r="G589" s="45">
        <f t="shared" ca="1" si="39"/>
        <v>2.0419589400092662E-9</v>
      </c>
      <c r="H589" s="18">
        <f>-SUMIFS(Projetos!$F$2:$F$11,Projetos!$D$2:$D$11,"USD",Projetos!$N$2:$N$11,Dados!$A589)</f>
        <v>0</v>
      </c>
      <c r="I589" s="45">
        <f ca="1">(G589+H589)*((Indicadores_Economicos!D$2+1)^(1/12)-1)</f>
        <v>6.6848422155250614E-12</v>
      </c>
      <c r="J589" s="18">
        <f>SUMIFS(Projetos!$G$2:$G$11,Projetos!$K$2:$K$11,"&lt;="&amp;Dados!$A589,Projetos!$N$2:$N$11,"&gt;"&amp;Dados!$A589,Projetos!$D$2:$D$11,"USD")</f>
        <v>0</v>
      </c>
      <c r="K589" s="18">
        <f t="shared" ca="1" si="37"/>
        <v>2.0486437822247911E-9</v>
      </c>
    </row>
    <row r="590" spans="1:11" x14ac:dyDescent="0.2">
      <c r="A590" s="45">
        <f t="shared" ca="1" si="38"/>
        <v>2.6632369168922319E-9</v>
      </c>
      <c r="B590" s="18">
        <f>-SUMIFS(Projetos!$F$2:$F$11,Projetos!$D$2:$D$11,"BRL",Projetos!$N$2:$N$11,Dados!$A590)</f>
        <v>0</v>
      </c>
      <c r="C590" s="45">
        <f ca="1">(A590+B590)*((Indicadores_Economicos!D$2+1)^(1/12)-1)</f>
        <v>8.7187446442508838E-12</v>
      </c>
      <c r="D590" s="18">
        <f>SUMIFS(Projetos!$G$2:$G$11,Projetos!$K$2:$K$11,"&lt;="&amp;Dados!$A590,Projetos!$N$2:$N$11,"&gt;"&amp;Dados!A590,Projetos!$D$2:$D$11,"BRL")</f>
        <v>0</v>
      </c>
      <c r="E590" s="18">
        <f t="shared" ca="1" si="36"/>
        <v>2.6719556615364827E-9</v>
      </c>
      <c r="G590" s="45">
        <f t="shared" ca="1" si="39"/>
        <v>2.0486437822247911E-9</v>
      </c>
      <c r="H590" s="18">
        <f>-SUMIFS(Projetos!$F$2:$F$11,Projetos!$D$2:$D$11,"USD",Projetos!$N$2:$N$11,Dados!$A590)</f>
        <v>0</v>
      </c>
      <c r="I590" s="45">
        <f ca="1">(G590+H590)*((Indicadores_Economicos!D$2+1)^(1/12)-1)</f>
        <v>6.7067266494237485E-12</v>
      </c>
      <c r="J590" s="18">
        <f>SUMIFS(Projetos!$G$2:$G$11,Projetos!$K$2:$K$11,"&lt;="&amp;Dados!$A590,Projetos!$N$2:$N$11,"&gt;"&amp;Dados!$A590,Projetos!$D$2:$D$11,"USD")</f>
        <v>0</v>
      </c>
      <c r="K590" s="18">
        <f t="shared" ca="1" si="37"/>
        <v>2.055350508874215E-9</v>
      </c>
    </row>
    <row r="591" spans="1:11" x14ac:dyDescent="0.2">
      <c r="A591" s="45">
        <f t="shared" ca="1" si="38"/>
        <v>2.6719556615364827E-9</v>
      </c>
      <c r="B591" s="18">
        <f>-SUMIFS(Projetos!$F$2:$F$11,Projetos!$D$2:$D$11,"BRL",Projetos!$N$2:$N$11,Dados!$A591)</f>
        <v>0</v>
      </c>
      <c r="C591" s="45">
        <f ca="1">(A591+B591)*((Indicadores_Economicos!D$2+1)^(1/12)-1)</f>
        <v>8.7472875454436018E-12</v>
      </c>
      <c r="D591" s="18">
        <f>SUMIFS(Projetos!$G$2:$G$11,Projetos!$K$2:$K$11,"&lt;="&amp;Dados!$A591,Projetos!$N$2:$N$11,"&gt;"&amp;Dados!A591,Projetos!$D$2:$D$11,"BRL")</f>
        <v>0</v>
      </c>
      <c r="E591" s="18">
        <f t="shared" ca="1" si="36"/>
        <v>2.6807029490819261E-9</v>
      </c>
      <c r="G591" s="45">
        <f t="shared" ca="1" si="39"/>
        <v>2.055350508874215E-9</v>
      </c>
      <c r="H591" s="18">
        <f>-SUMIFS(Projetos!$F$2:$F$11,Projetos!$D$2:$D$11,"USD",Projetos!$N$2:$N$11,Dados!$A591)</f>
        <v>0</v>
      </c>
      <c r="I591" s="45">
        <f ca="1">(G591+H591)*((Indicadores_Economicos!D$2+1)^(1/12)-1)</f>
        <v>6.7286827272643006E-12</v>
      </c>
      <c r="J591" s="18">
        <f>SUMIFS(Projetos!$G$2:$G$11,Projetos!$K$2:$K$11,"&lt;="&amp;Dados!$A591,Projetos!$N$2:$N$11,"&gt;"&amp;Dados!$A591,Projetos!$D$2:$D$11,"USD")</f>
        <v>0</v>
      </c>
      <c r="K591" s="18">
        <f t="shared" ca="1" si="37"/>
        <v>2.0620791916014795E-9</v>
      </c>
    </row>
    <row r="592" spans="1:11" x14ac:dyDescent="0.2">
      <c r="A592" s="45">
        <f t="shared" ca="1" si="38"/>
        <v>2.6807029490819261E-9</v>
      </c>
      <c r="B592" s="18">
        <f>-SUMIFS(Projetos!$F$2:$F$11,Projetos!$D$2:$D$11,"BRL",Projetos!$N$2:$N$11,Dados!$A592)</f>
        <v>0</v>
      </c>
      <c r="C592" s="45">
        <f ca="1">(A592+B592)*((Indicadores_Economicos!D$2+1)^(1/12)-1)</f>
        <v>8.775923888667453E-12</v>
      </c>
      <c r="D592" s="18">
        <f>SUMIFS(Projetos!$G$2:$G$11,Projetos!$K$2:$K$11,"&lt;="&amp;Dados!$A592,Projetos!$N$2:$N$11,"&gt;"&amp;Dados!A592,Projetos!$D$2:$D$11,"BRL")</f>
        <v>0</v>
      </c>
      <c r="E592" s="18">
        <f t="shared" ca="1" si="36"/>
        <v>2.6894788729705936E-9</v>
      </c>
      <c r="G592" s="45">
        <f t="shared" ca="1" si="39"/>
        <v>2.0620791916014795E-9</v>
      </c>
      <c r="H592" s="18">
        <f>-SUMIFS(Projetos!$F$2:$F$11,Projetos!$D$2:$D$11,"USD",Projetos!$N$2:$N$11,Dados!$A592)</f>
        <v>0</v>
      </c>
      <c r="I592" s="45">
        <f ca="1">(G592+H592)*((Indicadores_Economicos!D$2+1)^(1/12)-1)</f>
        <v>6.7507106835903409E-12</v>
      </c>
      <c r="J592" s="18">
        <f>SUMIFS(Projetos!$G$2:$G$11,Projetos!$K$2:$K$11,"&lt;="&amp;Dados!$A592,Projetos!$N$2:$N$11,"&gt;"&amp;Dados!$A592,Projetos!$D$2:$D$11,"USD")</f>
        <v>0</v>
      </c>
      <c r="K592" s="18">
        <f t="shared" ca="1" si="37"/>
        <v>2.0688299022850696E-9</v>
      </c>
    </row>
    <row r="593" spans="1:11" x14ac:dyDescent="0.2">
      <c r="A593" s="45">
        <f t="shared" ca="1" si="38"/>
        <v>2.6894788729705936E-9</v>
      </c>
      <c r="B593" s="18">
        <f>-SUMIFS(Projetos!$F$2:$F$11,Projetos!$D$2:$D$11,"BRL",Projetos!$N$2:$N$11,Dados!$A593)</f>
        <v>0</v>
      </c>
      <c r="C593" s="45">
        <f ca="1">(A593+B593)*((Indicadores_Economicos!D$2+1)^(1/12)-1)</f>
        <v>8.8046539798273327E-12</v>
      </c>
      <c r="D593" s="18">
        <f>SUMIFS(Projetos!$G$2:$G$11,Projetos!$K$2:$K$11,"&lt;="&amp;Dados!$A593,Projetos!$N$2:$N$11,"&gt;"&amp;Dados!A593,Projetos!$D$2:$D$11,"BRL")</f>
        <v>0</v>
      </c>
      <c r="E593" s="18">
        <f t="shared" ca="1" si="36"/>
        <v>2.698283526950421E-9</v>
      </c>
      <c r="G593" s="45">
        <f t="shared" ca="1" si="39"/>
        <v>2.0688299022850696E-9</v>
      </c>
      <c r="H593" s="18">
        <f>-SUMIFS(Projetos!$F$2:$F$11,Projetos!$D$2:$D$11,"USD",Projetos!$N$2:$N$11,Dados!$A593)</f>
        <v>0</v>
      </c>
      <c r="I593" s="45">
        <f ca="1">(G593+H593)*((Indicadores_Economicos!D$2+1)^(1/12)-1)</f>
        <v>6.7728107537133254E-12</v>
      </c>
      <c r="J593" s="18">
        <f>SUMIFS(Projetos!$G$2:$G$11,Projetos!$K$2:$K$11,"&lt;="&amp;Dados!$A593,Projetos!$N$2:$N$11,"&gt;"&amp;Dados!$A593,Projetos!$D$2:$D$11,"USD")</f>
        <v>0</v>
      </c>
      <c r="K593" s="18">
        <f t="shared" ca="1" si="37"/>
        <v>2.0756027130387828E-9</v>
      </c>
    </row>
    <row r="594" spans="1:11" x14ac:dyDescent="0.2">
      <c r="A594" s="45">
        <f t="shared" ca="1" si="38"/>
        <v>2.698283526950421E-9</v>
      </c>
      <c r="B594" s="18">
        <f>-SUMIFS(Projetos!$F$2:$F$11,Projetos!$D$2:$D$11,"BRL",Projetos!$N$2:$N$11,Dados!$A594)</f>
        <v>0</v>
      </c>
      <c r="C594" s="45">
        <f ca="1">(A594+B594)*((Indicadores_Economicos!D$2+1)^(1/12)-1)</f>
        <v>8.83347812582959E-12</v>
      </c>
      <c r="D594" s="18">
        <f>SUMIFS(Projetos!$G$2:$G$11,Projetos!$K$2:$K$11,"&lt;="&amp;Dados!$A594,Projetos!$N$2:$N$11,"&gt;"&amp;Dados!A594,Projetos!$D$2:$D$11,"BRL")</f>
        <v>0</v>
      </c>
      <c r="E594" s="18">
        <f t="shared" ca="1" si="36"/>
        <v>2.7071170050762506E-9</v>
      </c>
      <c r="G594" s="45">
        <f t="shared" ca="1" si="39"/>
        <v>2.0756027130387828E-9</v>
      </c>
      <c r="H594" s="18">
        <f>-SUMIFS(Projetos!$F$2:$F$11,Projetos!$D$2:$D$11,"USD",Projetos!$N$2:$N$11,Dados!$A594)</f>
        <v>0</v>
      </c>
      <c r="I594" s="45">
        <f ca="1">(G594+H594)*((Indicadores_Economicos!D$2+1)^(1/12)-1)</f>
        <v>6.7949831737150606E-12</v>
      </c>
      <c r="J594" s="18">
        <f>SUMIFS(Projetos!$G$2:$G$11,Projetos!$K$2:$K$11,"&lt;="&amp;Dados!$A594,Projetos!$N$2:$N$11,"&gt;"&amp;Dados!$A594,Projetos!$D$2:$D$11,"USD")</f>
        <v>0</v>
      </c>
      <c r="K594" s="18">
        <f t="shared" ca="1" si="37"/>
        <v>2.0823976962124978E-9</v>
      </c>
    </row>
    <row r="595" spans="1:11" x14ac:dyDescent="0.2">
      <c r="A595" s="45">
        <f t="shared" ca="1" si="38"/>
        <v>2.7071170050762506E-9</v>
      </c>
      <c r="B595" s="18">
        <f>-SUMIFS(Projetos!$F$2:$F$11,Projetos!$D$2:$D$11,"BRL",Projetos!$N$2:$N$11,Dados!$A595)</f>
        <v>0</v>
      </c>
      <c r="C595" s="45">
        <f ca="1">(A595+B595)*((Indicadores_Economicos!D$2+1)^(1/12)-1)</f>
        <v>8.8623966345853031E-12</v>
      </c>
      <c r="D595" s="18">
        <f>SUMIFS(Projetos!$G$2:$G$11,Projetos!$K$2:$K$11,"&lt;="&amp;Dados!$A595,Projetos!$N$2:$N$11,"&gt;"&amp;Dados!A595,Projetos!$D$2:$D$11,"BRL")</f>
        <v>0</v>
      </c>
      <c r="E595" s="18">
        <f t="shared" ca="1" si="36"/>
        <v>2.7159794017108359E-9</v>
      </c>
      <c r="G595" s="45">
        <f t="shared" ca="1" si="39"/>
        <v>2.0823976962124978E-9</v>
      </c>
      <c r="H595" s="18">
        <f>-SUMIFS(Projetos!$F$2:$F$11,Projetos!$D$2:$D$11,"USD",Projetos!$N$2:$N$11,Dados!$A595)</f>
        <v>0</v>
      </c>
      <c r="I595" s="45">
        <f ca="1">(G595+H595)*((Indicadores_Economicos!D$2+1)^(1/12)-1)</f>
        <v>6.8172281804502242E-12</v>
      </c>
      <c r="J595" s="18">
        <f>SUMIFS(Projetos!$G$2:$G$11,Projetos!$K$2:$K$11,"&lt;="&amp;Dados!$A595,Projetos!$N$2:$N$11,"&gt;"&amp;Dados!$A595,Projetos!$D$2:$D$11,"USD")</f>
        <v>0</v>
      </c>
      <c r="K595" s="18">
        <f t="shared" ca="1" si="37"/>
        <v>2.0892149243929478E-9</v>
      </c>
    </row>
    <row r="596" spans="1:11" x14ac:dyDescent="0.2">
      <c r="A596" s="45">
        <f t="shared" ca="1" si="38"/>
        <v>2.7159794017108359E-9</v>
      </c>
      <c r="B596" s="18">
        <f>-SUMIFS(Projetos!$F$2:$F$11,Projetos!$D$2:$D$11,"BRL",Projetos!$N$2:$N$11,Dados!$A596)</f>
        <v>0</v>
      </c>
      <c r="C596" s="45">
        <f ca="1">(A596+B596)*((Indicadores_Economicos!D$2+1)^(1/12)-1)</f>
        <v>8.8914098150135695E-12</v>
      </c>
      <c r="D596" s="18">
        <f>SUMIFS(Projetos!$G$2:$G$11,Projetos!$K$2:$K$11,"&lt;="&amp;Dados!$A596,Projetos!$N$2:$N$11,"&gt;"&amp;Dados!A596,Projetos!$D$2:$D$11,"BRL")</f>
        <v>0</v>
      </c>
      <c r="E596" s="18">
        <f t="shared" ca="1" si="36"/>
        <v>2.7248708115258496E-9</v>
      </c>
      <c r="G596" s="45">
        <f t="shared" ca="1" si="39"/>
        <v>2.0892149243929478E-9</v>
      </c>
      <c r="H596" s="18">
        <f>-SUMIFS(Projetos!$F$2:$F$11,Projetos!$D$2:$D$11,"USD",Projetos!$N$2:$N$11,Dados!$A596)</f>
        <v>0</v>
      </c>
      <c r="I596" s="45">
        <f ca="1">(G596+H596)*((Indicadores_Economicos!D$2+1)^(1/12)-1)</f>
        <v>6.8395460115488909E-12</v>
      </c>
      <c r="J596" s="18">
        <f>SUMIFS(Projetos!$G$2:$G$11,Projetos!$K$2:$K$11,"&lt;="&amp;Dados!$A596,Projetos!$N$2:$N$11,"&gt;"&amp;Dados!$A596,Projetos!$D$2:$D$11,"USD")</f>
        <v>0</v>
      </c>
      <c r="K596" s="18">
        <f t="shared" ca="1" si="37"/>
        <v>2.0960544704044966E-9</v>
      </c>
    </row>
    <row r="597" spans="1:11" x14ac:dyDescent="0.2">
      <c r="A597" s="45">
        <f t="shared" ca="1" si="38"/>
        <v>2.7248708115258496E-9</v>
      </c>
      <c r="B597" s="18">
        <f>-SUMIFS(Projetos!$F$2:$F$11,Projetos!$D$2:$D$11,"BRL",Projetos!$N$2:$N$11,Dados!$A597)</f>
        <v>0</v>
      </c>
      <c r="C597" s="45">
        <f ca="1">(A597+B597)*((Indicadores_Economicos!D$2+1)^(1/12)-1)</f>
        <v>8.920517977044814E-12</v>
      </c>
      <c r="D597" s="18">
        <f>SUMIFS(Projetos!$G$2:$G$11,Projetos!$K$2:$K$11,"&lt;="&amp;Dados!$A597,Projetos!$N$2:$N$11,"&gt;"&amp;Dados!A597,Projetos!$D$2:$D$11,"BRL")</f>
        <v>0</v>
      </c>
      <c r="E597" s="18">
        <f t="shared" ca="1" si="36"/>
        <v>2.7337913295028945E-9</v>
      </c>
      <c r="G597" s="45">
        <f t="shared" ca="1" si="39"/>
        <v>2.0960544704044966E-9</v>
      </c>
      <c r="H597" s="18">
        <f>-SUMIFS(Projetos!$F$2:$F$11,Projetos!$D$2:$D$11,"USD",Projetos!$N$2:$N$11,Dados!$A597)</f>
        <v>0</v>
      </c>
      <c r="I597" s="45">
        <f ca="1">(G597+H597)*((Indicadores_Economicos!D$2+1)^(1/12)-1)</f>
        <v>6.8619369054190779E-12</v>
      </c>
      <c r="J597" s="18">
        <f>SUMIFS(Projetos!$G$2:$G$11,Projetos!$K$2:$K$11,"&lt;="&amp;Dados!$A597,Projetos!$N$2:$N$11,"&gt;"&amp;Dados!$A597,Projetos!$D$2:$D$11,"USD")</f>
        <v>0</v>
      </c>
      <c r="K597" s="18">
        <f t="shared" ca="1" si="37"/>
        <v>2.1029164073099155E-9</v>
      </c>
    </row>
    <row r="598" spans="1:11" x14ac:dyDescent="0.2">
      <c r="A598" s="45">
        <f t="shared" ca="1" si="38"/>
        <v>2.7337913295028945E-9</v>
      </c>
      <c r="B598" s="18">
        <f>-SUMIFS(Projetos!$F$2:$F$11,Projetos!$D$2:$D$11,"BRL",Projetos!$N$2:$N$11,Dados!$A598)</f>
        <v>0</v>
      </c>
      <c r="C598" s="45">
        <f ca="1">(A598+B598)*((Indicadores_Economicos!D$2+1)^(1/12)-1)</f>
        <v>8.949721431624087E-12</v>
      </c>
      <c r="D598" s="18">
        <f>SUMIFS(Projetos!$G$2:$G$11,Projetos!$K$2:$K$11,"&lt;="&amp;Dados!$A598,Projetos!$N$2:$N$11,"&gt;"&amp;Dados!A598,Projetos!$D$2:$D$11,"BRL")</f>
        <v>0</v>
      </c>
      <c r="E598" s="18">
        <f t="shared" ca="1" si="36"/>
        <v>2.7427410509345188E-9</v>
      </c>
      <c r="G598" s="45">
        <f t="shared" ca="1" si="39"/>
        <v>2.1029164073099155E-9</v>
      </c>
      <c r="H598" s="18">
        <f>-SUMIFS(Projetos!$F$2:$F$11,Projetos!$D$2:$D$11,"USD",Projetos!$N$2:$N$11,Dados!$A598)</f>
        <v>0</v>
      </c>
      <c r="I598" s="45">
        <f ca="1">(G598+H598)*((Indicadores_Economicos!D$2+1)^(1/12)-1)</f>
        <v>6.8844011012492865E-12</v>
      </c>
      <c r="J598" s="18">
        <f>SUMIFS(Projetos!$G$2:$G$11,Projetos!$K$2:$K$11,"&lt;="&amp;Dados!$A598,Projetos!$N$2:$N$11,"&gt;"&amp;Dados!$A598,Projetos!$D$2:$D$11,"USD")</f>
        <v>0</v>
      </c>
      <c r="K598" s="18">
        <f t="shared" ca="1" si="37"/>
        <v>2.1098008084111647E-9</v>
      </c>
    </row>
    <row r="599" spans="1:11" x14ac:dyDescent="0.2">
      <c r="A599" s="45">
        <f t="shared" ca="1" si="38"/>
        <v>2.7427410509345188E-9</v>
      </c>
      <c r="B599" s="18">
        <f>-SUMIFS(Projetos!$F$2:$F$11,Projetos!$D$2:$D$11,"BRL",Projetos!$N$2:$N$11,Dados!$A599)</f>
        <v>0</v>
      </c>
      <c r="C599" s="45">
        <f ca="1">(A599+B599)*((Indicadores_Economicos!D$2+1)^(1/12)-1)</f>
        <v>8.9790204907143929E-12</v>
      </c>
      <c r="D599" s="18">
        <f>SUMIFS(Projetos!$G$2:$G$11,Projetos!$K$2:$K$11,"&lt;="&amp;Dados!$A599,Projetos!$N$2:$N$11,"&gt;"&amp;Dados!A599,Projetos!$D$2:$D$11,"BRL")</f>
        <v>0</v>
      </c>
      <c r="E599" s="18">
        <f t="shared" ca="1" si="36"/>
        <v>2.7517200714252332E-9</v>
      </c>
      <c r="G599" s="45">
        <f t="shared" ca="1" si="39"/>
        <v>2.1098008084111647E-9</v>
      </c>
      <c r="H599" s="18">
        <f>-SUMIFS(Projetos!$F$2:$F$11,Projetos!$D$2:$D$11,"USD",Projetos!$N$2:$N$11,Dados!$A599)</f>
        <v>0</v>
      </c>
      <c r="I599" s="45">
        <f ca="1">(G599+H599)*((Indicadores_Economicos!D$2+1)^(1/12)-1)</f>
        <v>6.9069388390110596E-12</v>
      </c>
      <c r="J599" s="18">
        <f>SUMIFS(Projetos!$G$2:$G$11,Projetos!$K$2:$K$11,"&lt;="&amp;Dados!$A599,Projetos!$N$2:$N$11,"&gt;"&amp;Dados!$A599,Projetos!$D$2:$D$11,"USD")</f>
        <v>0</v>
      </c>
      <c r="K599" s="18">
        <f t="shared" ca="1" si="37"/>
        <v>2.1167077472501757E-9</v>
      </c>
    </row>
    <row r="600" spans="1:11" x14ac:dyDescent="0.2">
      <c r="A600" s="45">
        <f t="shared" ca="1" si="38"/>
        <v>2.7517200714252332E-9</v>
      </c>
      <c r="B600" s="18">
        <f>-SUMIFS(Projetos!$F$2:$F$11,Projetos!$D$2:$D$11,"BRL",Projetos!$N$2:$N$11,Dados!$A600)</f>
        <v>0</v>
      </c>
      <c r="C600" s="45">
        <f ca="1">(A600+B600)*((Indicadores_Economicos!D$2+1)^(1/12)-1)</f>
        <v>9.0084154673000248E-12</v>
      </c>
      <c r="D600" s="18">
        <f>SUMIFS(Projetos!$G$2:$G$11,Projetos!$K$2:$K$11,"&lt;="&amp;Dados!$A600,Projetos!$N$2:$N$11,"&gt;"&amp;Dados!A600,Projetos!$D$2:$D$11,"BRL")</f>
        <v>0</v>
      </c>
      <c r="E600" s="18">
        <f t="shared" ca="1" si="36"/>
        <v>2.7607284868925334E-9</v>
      </c>
      <c r="G600" s="45">
        <f t="shared" ca="1" si="39"/>
        <v>2.1167077472501757E-9</v>
      </c>
      <c r="H600" s="18">
        <f>-SUMIFS(Projetos!$F$2:$F$11,Projetos!$D$2:$D$11,"USD",Projetos!$N$2:$N$11,Dados!$A600)</f>
        <v>0</v>
      </c>
      <c r="I600" s="45">
        <f ca="1">(G600+H600)*((Indicadores_Economicos!D$2+1)^(1/12)-1)</f>
        <v>6.929550359461545E-12</v>
      </c>
      <c r="J600" s="18">
        <f>SUMIFS(Projetos!$G$2:$G$11,Projetos!$K$2:$K$11,"&lt;="&amp;Dados!$A600,Projetos!$N$2:$N$11,"&gt;"&amp;Dados!$A600,Projetos!$D$2:$D$11,"USD")</f>
        <v>0</v>
      </c>
      <c r="K600" s="18">
        <f t="shared" ca="1" si="37"/>
        <v>2.1236372976096373E-9</v>
      </c>
    </row>
    <row r="601" spans="1:11" x14ac:dyDescent="0.2">
      <c r="A601" s="45">
        <f t="shared" ca="1" si="38"/>
        <v>2.7607284868925334E-9</v>
      </c>
      <c r="B601" s="18">
        <f>-SUMIFS(Projetos!$F$2:$F$11,Projetos!$D$2:$D$11,"BRL",Projetos!$N$2:$N$11,Dados!$A601)</f>
        <v>0</v>
      </c>
      <c r="C601" s="45">
        <f ca="1">(A601+B601)*((Indicadores_Economicos!D$2+1)^(1/12)-1)</f>
        <v>9.0379066753899005E-12</v>
      </c>
      <c r="D601" s="18">
        <f>SUMIFS(Projetos!$G$2:$G$11,Projetos!$K$2:$K$11,"&lt;="&amp;Dados!$A601,Projetos!$N$2:$N$11,"&gt;"&amp;Dados!A601,Projetos!$D$2:$D$11,"BRL")</f>
        <v>0</v>
      </c>
      <c r="E601" s="18">
        <f t="shared" ca="1" si="36"/>
        <v>2.7697663935679235E-9</v>
      </c>
      <c r="G601" s="45">
        <f t="shared" ca="1" si="39"/>
        <v>2.1236372976096373E-9</v>
      </c>
      <c r="H601" s="18">
        <f>-SUMIFS(Projetos!$F$2:$F$11,Projetos!$D$2:$D$11,"USD",Projetos!$N$2:$N$11,Dados!$A601)</f>
        <v>0</v>
      </c>
      <c r="I601" s="45">
        <f ca="1">(G601+H601)*((Indicadores_Economicos!D$2+1)^(1/12)-1)</f>
        <v>6.9522359041460658E-12</v>
      </c>
      <c r="J601" s="18">
        <f>SUMIFS(Projetos!$G$2:$G$11,Projetos!$K$2:$K$11,"&lt;="&amp;Dados!$A601,Projetos!$N$2:$N$11,"&gt;"&amp;Dados!$A601,Projetos!$D$2:$D$11,"USD")</f>
        <v>0</v>
      </c>
      <c r="K601" s="18">
        <f t="shared" ca="1" si="37"/>
        <v>2.1305895335137834E-9</v>
      </c>
    </row>
    <row r="602" spans="1:11" x14ac:dyDescent="0.2">
      <c r="A602" s="45">
        <f t="shared" ca="1" si="38"/>
        <v>2.7697663935679235E-9</v>
      </c>
      <c r="B602" s="18">
        <f>-SUMIFS(Projetos!$F$2:$F$11,Projetos!$D$2:$D$11,"BRL",Projetos!$N$2:$N$11,Dados!$A602)</f>
        <v>0</v>
      </c>
      <c r="C602" s="45">
        <f ca="1">(A602+B602)*((Indicadores_Economicos!D$2+1)^(1/12)-1)</f>
        <v>9.067494430020926E-12</v>
      </c>
      <c r="D602" s="18">
        <f>SUMIFS(Projetos!$G$2:$G$11,Projetos!$K$2:$K$11,"&lt;="&amp;Dados!$A602,Projetos!$N$2:$N$11,"&gt;"&amp;Dados!A602,Projetos!$D$2:$D$11,"BRL")</f>
        <v>0</v>
      </c>
      <c r="E602" s="18">
        <f t="shared" ca="1" si="36"/>
        <v>2.7788338879979443E-9</v>
      </c>
      <c r="G602" s="45">
        <f t="shared" ca="1" si="39"/>
        <v>2.1305895335137834E-9</v>
      </c>
      <c r="H602" s="18">
        <f>-SUMIFS(Projetos!$F$2:$F$11,Projetos!$D$2:$D$11,"USD",Projetos!$N$2:$N$11,Dados!$A602)</f>
        <v>0</v>
      </c>
      <c r="I602" s="45">
        <f ca="1">(G602+H602)*((Indicadores_Economicos!D$2+1)^(1/12)-1)</f>
        <v>6.9749957154007003E-12</v>
      </c>
      <c r="J602" s="18">
        <f>SUMIFS(Projetos!$G$2:$G$11,Projetos!$K$2:$K$11,"&lt;="&amp;Dados!$A602,Projetos!$N$2:$N$11,"&gt;"&amp;Dados!$A602,Projetos!$D$2:$D$11,"USD")</f>
        <v>0</v>
      </c>
      <c r="K602" s="18">
        <f t="shared" ca="1" si="37"/>
        <v>2.1375645292291842E-9</v>
      </c>
    </row>
    <row r="603" spans="1:11" x14ac:dyDescent="0.2">
      <c r="A603" s="45">
        <f t="shared" ca="1" si="38"/>
        <v>2.7788338879979443E-9</v>
      </c>
      <c r="B603" s="18">
        <f>-SUMIFS(Projetos!$F$2:$F$11,Projetos!$D$2:$D$11,"BRL",Projetos!$N$2:$N$11,Dados!$A603)</f>
        <v>0</v>
      </c>
      <c r="C603" s="45">
        <f ca="1">(A603+B603)*((Indicadores_Economicos!D$2+1)^(1/12)-1)</f>
        <v>9.0971790472613533E-12</v>
      </c>
      <c r="D603" s="18">
        <f>SUMIFS(Projetos!$G$2:$G$11,Projetos!$K$2:$K$11,"&lt;="&amp;Dados!$A603,Projetos!$N$2:$N$11,"&gt;"&amp;Dados!A603,Projetos!$D$2:$D$11,"BRL")</f>
        <v>0</v>
      </c>
      <c r="E603" s="18">
        <f t="shared" ca="1" si="36"/>
        <v>2.7879310670452057E-9</v>
      </c>
      <c r="G603" s="45">
        <f t="shared" ca="1" si="39"/>
        <v>2.1375645292291842E-9</v>
      </c>
      <c r="H603" s="18">
        <f>-SUMIFS(Projetos!$F$2:$F$11,Projetos!$D$2:$D$11,"USD",Projetos!$N$2:$N$11,Dados!$A603)</f>
        <v>0</v>
      </c>
      <c r="I603" s="45">
        <f ca="1">(G603+H603)*((Indicadores_Economicos!D$2+1)^(1/12)-1)</f>
        <v>6.997830036354875E-12</v>
      </c>
      <c r="J603" s="18">
        <f>SUMIFS(Projetos!$G$2:$G$11,Projetos!$K$2:$K$11,"&lt;="&amp;Dados!$A603,Projetos!$N$2:$N$11,"&gt;"&amp;Dados!$A603,Projetos!$D$2:$D$11,"USD")</f>
        <v>0</v>
      </c>
      <c r="K603" s="18">
        <f t="shared" ca="1" si="37"/>
        <v>2.1445623592655389E-9</v>
      </c>
    </row>
    <row r="604" spans="1:11" x14ac:dyDescent="0.2">
      <c r="A604" s="45">
        <f t="shared" ca="1" si="38"/>
        <v>2.7879310670452057E-9</v>
      </c>
      <c r="B604" s="18">
        <f>-SUMIFS(Projetos!$F$2:$F$11,Projetos!$D$2:$D$11,"BRL",Projetos!$N$2:$N$11,Dados!$A604)</f>
        <v>0</v>
      </c>
      <c r="C604" s="45">
        <f ca="1">(A604+B604)*((Indicadores_Economicos!D$2+1)^(1/12)-1)</f>
        <v>9.1269608442141594E-12</v>
      </c>
      <c r="D604" s="18">
        <f>SUMIFS(Projetos!$G$2:$G$11,Projetos!$K$2:$K$11,"&lt;="&amp;Dados!$A604,Projetos!$N$2:$N$11,"&gt;"&amp;Dados!A604,Projetos!$D$2:$D$11,"BRL")</f>
        <v>0</v>
      </c>
      <c r="E604" s="18">
        <f t="shared" ca="1" si="36"/>
        <v>2.7970580278894197E-9</v>
      </c>
      <c r="G604" s="45">
        <f t="shared" ca="1" si="39"/>
        <v>2.1445623592655389E-9</v>
      </c>
      <c r="H604" s="18">
        <f>-SUMIFS(Projetos!$F$2:$F$11,Projetos!$D$2:$D$11,"USD",Projetos!$N$2:$N$11,Dados!$A604)</f>
        <v>0</v>
      </c>
      <c r="I604" s="45">
        <f ca="1">(G604+H604)*((Indicadores_Economicos!D$2+1)^(1/12)-1)</f>
        <v>7.0207391109339558E-12</v>
      </c>
      <c r="J604" s="18">
        <f>SUMIFS(Projetos!$G$2:$G$11,Projetos!$K$2:$K$11,"&lt;="&amp;Dados!$A604,Projetos!$N$2:$N$11,"&gt;"&amp;Dados!$A604,Projetos!$D$2:$D$11,"USD")</f>
        <v>0</v>
      </c>
      <c r="K604" s="18">
        <f t="shared" ca="1" si="37"/>
        <v>2.1515830983764731E-9</v>
      </c>
    </row>
    <row r="605" spans="1:11" x14ac:dyDescent="0.2">
      <c r="A605" s="45">
        <f t="shared" ca="1" si="38"/>
        <v>2.7970580278894197E-9</v>
      </c>
      <c r="B605" s="18">
        <f>-SUMIFS(Projetos!$F$2:$F$11,Projetos!$D$2:$D$11,"BRL",Projetos!$N$2:$N$11,Dados!$A605)</f>
        <v>0</v>
      </c>
      <c r="C605" s="45">
        <f ca="1">(A605+B605)*((Indicadores_Economicos!D$2+1)^(1/12)-1)</f>
        <v>9.1568401390204348E-12</v>
      </c>
      <c r="D605" s="18">
        <f>SUMIFS(Projetos!$G$2:$G$11,Projetos!$K$2:$K$11,"&lt;="&amp;Dados!$A605,Projetos!$N$2:$N$11,"&gt;"&amp;Dados!A605,Projetos!$D$2:$D$11,"BRL")</f>
        <v>0</v>
      </c>
      <c r="E605" s="18">
        <f t="shared" ca="1" si="36"/>
        <v>2.8062148680284402E-9</v>
      </c>
      <c r="G605" s="45">
        <f t="shared" ca="1" si="39"/>
        <v>2.1515830983764731E-9</v>
      </c>
      <c r="H605" s="18">
        <f>-SUMIFS(Projetos!$F$2:$F$11,Projetos!$D$2:$D$11,"USD",Projetos!$N$2:$N$11,Dados!$A605)</f>
        <v>0</v>
      </c>
      <c r="I605" s="45">
        <f ca="1">(G605+H605)*((Indicadores_Economicos!D$2+1)^(1/12)-1)</f>
        <v>7.0437231838618602E-12</v>
      </c>
      <c r="J605" s="18">
        <f>SUMIFS(Projetos!$G$2:$G$11,Projetos!$K$2:$K$11,"&lt;="&amp;Dados!$A605,Projetos!$N$2:$N$11,"&gt;"&amp;Dados!$A605,Projetos!$D$2:$D$11,"USD")</f>
        <v>0</v>
      </c>
      <c r="K605" s="18">
        <f t="shared" ca="1" si="37"/>
        <v>2.1586268215603351E-9</v>
      </c>
    </row>
    <row r="606" spans="1:11" x14ac:dyDescent="0.2">
      <c r="A606" s="45">
        <f t="shared" ca="1" si="38"/>
        <v>2.8062148680284402E-9</v>
      </c>
      <c r="B606" s="18">
        <f>-SUMIFS(Projetos!$F$2:$F$11,Projetos!$D$2:$D$11,"BRL",Projetos!$N$2:$N$11,Dados!$A606)</f>
        <v>0</v>
      </c>
      <c r="C606" s="45">
        <f ca="1">(A606+B606)*((Indicadores_Economicos!D$2+1)^(1/12)-1)</f>
        <v>9.1868172508627807E-12</v>
      </c>
      <c r="D606" s="18">
        <f>SUMIFS(Projetos!$G$2:$G$11,Projetos!$K$2:$K$11,"&lt;="&amp;Dados!$A606,Projetos!$N$2:$N$11,"&gt;"&amp;Dados!A606,Projetos!$D$2:$D$11,"BRL")</f>
        <v>0</v>
      </c>
      <c r="E606" s="18">
        <f t="shared" ca="1" si="36"/>
        <v>2.8154016852793029E-9</v>
      </c>
      <c r="G606" s="45">
        <f t="shared" ca="1" si="39"/>
        <v>2.1586268215603351E-9</v>
      </c>
      <c r="H606" s="18">
        <f>-SUMIFS(Projetos!$F$2:$F$11,Projetos!$D$2:$D$11,"USD",Projetos!$N$2:$N$11,Dados!$A606)</f>
        <v>0</v>
      </c>
      <c r="I606" s="45">
        <f ca="1">(G606+H606)*((Indicadores_Economicos!D$2+1)^(1/12)-1)</f>
        <v>7.0667825006636664E-12</v>
      </c>
      <c r="J606" s="18">
        <f>SUMIFS(Projetos!$G$2:$G$11,Projetos!$K$2:$K$11,"&lt;="&amp;Dados!$A606,Projetos!$N$2:$N$11,"&gt;"&amp;Dados!$A606,Projetos!$D$2:$D$11,"USD")</f>
        <v>0</v>
      </c>
      <c r="K606" s="18">
        <f t="shared" ca="1" si="37"/>
        <v>2.1656936040609987E-9</v>
      </c>
    </row>
    <row r="607" spans="1:11" x14ac:dyDescent="0.2">
      <c r="A607" s="45">
        <f t="shared" ca="1" si="38"/>
        <v>2.8154016852793029E-9</v>
      </c>
      <c r="B607" s="18">
        <f>-SUMIFS(Projetos!$F$2:$F$11,Projetos!$D$2:$D$11,"BRL",Projetos!$N$2:$N$11,Dados!$A607)</f>
        <v>0</v>
      </c>
      <c r="C607" s="45">
        <f ca="1">(A607+B607)*((Indicadores_Economicos!D$2+1)^(1/12)-1)</f>
        <v>9.2168924999687216E-12</v>
      </c>
      <c r="D607" s="18">
        <f>SUMIFS(Projetos!$G$2:$G$11,Projetos!$K$2:$K$11,"&lt;="&amp;Dados!$A607,Projetos!$N$2:$N$11,"&gt;"&amp;Dados!A607,Projetos!$D$2:$D$11,"BRL")</f>
        <v>0</v>
      </c>
      <c r="E607" s="18">
        <f t="shared" ca="1" si="36"/>
        <v>2.8246185777792715E-9</v>
      </c>
      <c r="G607" s="45">
        <f t="shared" ca="1" si="39"/>
        <v>2.1656936040609987E-9</v>
      </c>
      <c r="H607" s="18">
        <f>-SUMIFS(Projetos!$F$2:$F$11,Projetos!$D$2:$D$11,"USD",Projetos!$N$2:$N$11,Dados!$A607)</f>
        <v>0</v>
      </c>
      <c r="I607" s="45">
        <f ca="1">(G607+H607)*((Indicadores_Economicos!D$2+1)^(1/12)-1)</f>
        <v>7.0899173076682355E-12</v>
      </c>
      <c r="J607" s="18">
        <f>SUMIFS(Projetos!$G$2:$G$11,Projetos!$K$2:$K$11,"&lt;="&amp;Dados!$A607,Projetos!$N$2:$N$11,"&gt;"&amp;Dados!$A607,Projetos!$D$2:$D$11,"USD")</f>
        <v>0</v>
      </c>
      <c r="K607" s="18">
        <f t="shared" ca="1" si="37"/>
        <v>2.1727835213686671E-9</v>
      </c>
    </row>
    <row r="608" spans="1:11" x14ac:dyDescent="0.2">
      <c r="A608" s="45">
        <f t="shared" ca="1" si="38"/>
        <v>2.8246185777792715E-9</v>
      </c>
      <c r="B608" s="18">
        <f>-SUMIFS(Projetos!$F$2:$F$11,Projetos!$D$2:$D$11,"BRL",Projetos!$N$2:$N$11,Dados!$A608)</f>
        <v>0</v>
      </c>
      <c r="C608" s="45">
        <f ca="1">(A608+B608)*((Indicadores_Economicos!D$2+1)^(1/12)-1)</f>
        <v>9.2470662076141199E-12</v>
      </c>
      <c r="D608" s="18">
        <f>SUMIFS(Projetos!$G$2:$G$11,Projetos!$K$2:$K$11,"&lt;="&amp;Dados!$A608,Projetos!$N$2:$N$11,"&gt;"&amp;Dados!A608,Projetos!$D$2:$D$11,"BRL")</f>
        <v>0</v>
      </c>
      <c r="E608" s="18">
        <f t="shared" ca="1" si="36"/>
        <v>2.8338656439868855E-9</v>
      </c>
      <c r="G608" s="45">
        <f t="shared" ca="1" si="39"/>
        <v>2.1727835213686671E-9</v>
      </c>
      <c r="H608" s="18">
        <f>-SUMIFS(Projetos!$F$2:$F$11,Projetos!$D$2:$D$11,"USD",Projetos!$N$2:$N$11,Dados!$A608)</f>
        <v>0</v>
      </c>
      <c r="I608" s="45">
        <f ca="1">(G608+H608)*((Indicadores_Economicos!D$2+1)^(1/12)-1)</f>
        <v>7.1131278520108506E-12</v>
      </c>
      <c r="J608" s="18">
        <f>SUMIFS(Projetos!$G$2:$G$11,Projetos!$K$2:$K$11,"&lt;="&amp;Dados!$A608,Projetos!$N$2:$N$11,"&gt;"&amp;Dados!$A608,Projetos!$D$2:$D$11,"USD")</f>
        <v>0</v>
      </c>
      <c r="K608" s="18">
        <f t="shared" ca="1" si="37"/>
        <v>2.179896649220678E-9</v>
      </c>
    </row>
    <row r="609" spans="1:11" x14ac:dyDescent="0.2">
      <c r="A609" s="45">
        <f t="shared" ca="1" si="38"/>
        <v>2.8338656439868855E-9</v>
      </c>
      <c r="B609" s="18">
        <f>-SUMIFS(Projetos!$F$2:$F$11,Projetos!$D$2:$D$11,"BRL",Projetos!$N$2:$N$11,Dados!$A609)</f>
        <v>0</v>
      </c>
      <c r="C609" s="45">
        <f ca="1">(A609+B609)*((Indicadores_Economicos!D$2+1)^(1/12)-1)</f>
        <v>9.2773386961266131E-12</v>
      </c>
      <c r="D609" s="18">
        <f>SUMIFS(Projetos!$G$2:$G$11,Projetos!$K$2:$K$11,"&lt;="&amp;Dados!$A609,Projetos!$N$2:$N$11,"&gt;"&amp;Dados!A609,Projetos!$D$2:$D$11,"BRL")</f>
        <v>0</v>
      </c>
      <c r="E609" s="18">
        <f t="shared" ca="1" si="36"/>
        <v>2.8431429826830122E-9</v>
      </c>
      <c r="G609" s="45">
        <f t="shared" ca="1" si="39"/>
        <v>2.179896649220678E-9</v>
      </c>
      <c r="H609" s="18">
        <f>-SUMIFS(Projetos!$F$2:$F$11,Projetos!$D$2:$D$11,"USD",Projetos!$N$2:$N$11,Dados!$A609)</f>
        <v>0</v>
      </c>
      <c r="I609" s="45">
        <f ca="1">(G609+H609)*((Indicadores_Economicos!D$2+1)^(1/12)-1)</f>
        <v>7.136414381635846E-12</v>
      </c>
      <c r="J609" s="18">
        <f>SUMIFS(Projetos!$G$2:$G$11,Projetos!$K$2:$K$11,"&lt;="&amp;Dados!$A609,Projetos!$N$2:$N$11,"&gt;"&amp;Dados!$A609,Projetos!$D$2:$D$11,"USD")</f>
        <v>0</v>
      </c>
      <c r="K609" s="18">
        <f t="shared" ca="1" si="37"/>
        <v>2.1870330636023137E-9</v>
      </c>
    </row>
    <row r="610" spans="1:11" x14ac:dyDescent="0.2">
      <c r="A610" s="45">
        <f t="shared" ca="1" si="38"/>
        <v>2.8431429826830122E-9</v>
      </c>
      <c r="B610" s="18">
        <f>-SUMIFS(Projetos!$F$2:$F$11,Projetos!$D$2:$D$11,"BRL",Projetos!$N$2:$N$11,Dados!$A610)</f>
        <v>0</v>
      </c>
      <c r="C610" s="45">
        <f ca="1">(A610+B610)*((Indicadores_Economicos!D$2+1)^(1/12)-1)</f>
        <v>9.3077102888890559E-12</v>
      </c>
      <c r="D610" s="18">
        <f>SUMIFS(Projetos!$G$2:$G$11,Projetos!$K$2:$K$11,"&lt;="&amp;Dados!$A610,Projetos!$N$2:$N$11,"&gt;"&amp;Dados!A610,Projetos!$D$2:$D$11,"BRL")</f>
        <v>0</v>
      </c>
      <c r="E610" s="18">
        <f t="shared" ca="1" si="36"/>
        <v>2.8524506929719011E-9</v>
      </c>
      <c r="G610" s="45">
        <f t="shared" ca="1" si="39"/>
        <v>2.1870330636023137E-9</v>
      </c>
      <c r="H610" s="18">
        <f>-SUMIFS(Projetos!$F$2:$F$11,Projetos!$D$2:$D$11,"USD",Projetos!$N$2:$N$11,Dados!$A610)</f>
        <v>0</v>
      </c>
      <c r="I610" s="45">
        <f ca="1">(G610+H610)*((Indicadores_Economicos!D$2+1)^(1/12)-1)</f>
        <v>7.1597771452992634E-12</v>
      </c>
      <c r="J610" s="18">
        <f>SUMIFS(Projetos!$G$2:$G$11,Projetos!$K$2:$K$11,"&lt;="&amp;Dados!$A610,Projetos!$N$2:$N$11,"&gt;"&amp;Dados!$A610,Projetos!$D$2:$D$11,"USD")</f>
        <v>0</v>
      </c>
      <c r="K610" s="18">
        <f t="shared" ca="1" si="37"/>
        <v>2.194192840747613E-9</v>
      </c>
    </row>
    <row r="611" spans="1:11" x14ac:dyDescent="0.2">
      <c r="A611" s="45">
        <f t="shared" ca="1" si="38"/>
        <v>2.8524506929719011E-9</v>
      </c>
      <c r="B611" s="18">
        <f>-SUMIFS(Projetos!$F$2:$F$11,Projetos!$D$2:$D$11,"BRL",Projetos!$N$2:$N$11,Dados!$A611)</f>
        <v>0</v>
      </c>
      <c r="C611" s="45">
        <f ca="1">(A611+B611)*((Indicadores_Economicos!D$2+1)^(1/12)-1)</f>
        <v>9.3381813103429747E-12</v>
      </c>
      <c r="D611" s="18">
        <f>SUMIFS(Projetos!$G$2:$G$11,Projetos!$K$2:$K$11,"&lt;="&amp;Dados!$A611,Projetos!$N$2:$N$11,"&gt;"&amp;Dados!A611,Projetos!$D$2:$D$11,"BRL")</f>
        <v>0</v>
      </c>
      <c r="E611" s="18">
        <f t="shared" ca="1" si="36"/>
        <v>2.8617888742822442E-9</v>
      </c>
      <c r="G611" s="45">
        <f t="shared" ca="1" si="39"/>
        <v>2.194192840747613E-9</v>
      </c>
      <c r="H611" s="18">
        <f>-SUMIFS(Projetos!$F$2:$F$11,Projetos!$D$2:$D$11,"USD",Projetos!$N$2:$N$11,Dados!$A611)</f>
        <v>0</v>
      </c>
      <c r="I611" s="45">
        <f ca="1">(G611+H611)*((Indicadores_Economicos!D$2+1)^(1/12)-1)</f>
        <v>7.1832163925715078E-12</v>
      </c>
      <c r="J611" s="18">
        <f>SUMIFS(Projetos!$G$2:$G$11,Projetos!$K$2:$K$11,"&lt;="&amp;Dados!$A611,Projetos!$N$2:$N$11,"&gt;"&amp;Dados!$A611,Projetos!$D$2:$D$11,"USD")</f>
        <v>0</v>
      </c>
      <c r="K611" s="18">
        <f t="shared" ca="1" si="37"/>
        <v>2.2013760571401843E-9</v>
      </c>
    </row>
    <row r="612" spans="1:11" x14ac:dyDescent="0.2">
      <c r="A612" s="45">
        <f t="shared" ca="1" si="38"/>
        <v>2.8617888742822442E-9</v>
      </c>
      <c r="B612" s="18">
        <f>-SUMIFS(Projetos!$F$2:$F$11,Projetos!$D$2:$D$11,"BRL",Projetos!$N$2:$N$11,Dados!$A612)</f>
        <v>0</v>
      </c>
      <c r="C612" s="45">
        <f ca="1">(A612+B612)*((Indicadores_Economicos!D$2+1)^(1/12)-1)</f>
        <v>9.36875208599203E-12</v>
      </c>
      <c r="D612" s="18">
        <f>SUMIFS(Projetos!$G$2:$G$11,Projetos!$K$2:$K$11,"&lt;="&amp;Dados!$A612,Projetos!$N$2:$N$11,"&gt;"&amp;Dados!A612,Projetos!$D$2:$D$11,"BRL")</f>
        <v>0</v>
      </c>
      <c r="E612" s="18">
        <f t="shared" ca="1" si="36"/>
        <v>2.871157626368236E-9</v>
      </c>
      <c r="G612" s="45">
        <f t="shared" ca="1" si="39"/>
        <v>2.2013760571401843E-9</v>
      </c>
      <c r="H612" s="18">
        <f>-SUMIFS(Projetos!$F$2:$F$11,Projetos!$D$2:$D$11,"USD",Projetos!$N$2:$N$11,Dados!$A612)</f>
        <v>0</v>
      </c>
      <c r="I612" s="45">
        <f ca="1">(G612+H612)*((Indicadores_Economicos!D$2+1)^(1/12)-1)</f>
        <v>7.2067323738400118E-12</v>
      </c>
      <c r="J612" s="18">
        <f>SUMIFS(Projetos!$G$2:$G$11,Projetos!$K$2:$K$11,"&lt;="&amp;Dados!$A612,Projetos!$N$2:$N$11,"&gt;"&amp;Dados!$A612,Projetos!$D$2:$D$11,"USD")</f>
        <v>0</v>
      </c>
      <c r="K612" s="18">
        <f t="shared" ca="1" si="37"/>
        <v>2.2085827895140244E-9</v>
      </c>
    </row>
    <row r="613" spans="1:11" x14ac:dyDescent="0.2">
      <c r="A613" s="45">
        <f t="shared" ca="1" si="38"/>
        <v>2.871157626368236E-9</v>
      </c>
      <c r="B613" s="18">
        <f>-SUMIFS(Projetos!$F$2:$F$11,Projetos!$D$2:$D$11,"BRL",Projetos!$N$2:$N$11,Dados!$A613)</f>
        <v>0</v>
      </c>
      <c r="C613" s="45">
        <f ca="1">(A613+B613)*((Indicadores_Economicos!D$2+1)^(1/12)-1)</f>
        <v>9.3994229424055022E-12</v>
      </c>
      <c r="D613" s="18">
        <f>SUMIFS(Projetos!$G$2:$G$11,Projetos!$K$2:$K$11,"&lt;="&amp;Dados!$A613,Projetos!$N$2:$N$11,"&gt;"&amp;Dados!A613,Projetos!$D$2:$D$11,"BRL")</f>
        <v>0</v>
      </c>
      <c r="E613" s="18">
        <f t="shared" ca="1" si="36"/>
        <v>2.8805570493106414E-9</v>
      </c>
      <c r="G613" s="45">
        <f t="shared" ca="1" si="39"/>
        <v>2.2085827895140244E-9</v>
      </c>
      <c r="H613" s="18">
        <f>-SUMIFS(Projetos!$F$2:$F$11,Projetos!$D$2:$D$11,"USD",Projetos!$N$2:$N$11,Dados!$A613)</f>
        <v>0</v>
      </c>
      <c r="I613" s="45">
        <f ca="1">(G613+H613)*((Indicadores_Economicos!D$2+1)^(1/12)-1)</f>
        <v>7.2303253403119129E-12</v>
      </c>
      <c r="J613" s="18">
        <f>SUMIFS(Projetos!$G$2:$G$11,Projetos!$K$2:$K$11,"&lt;="&amp;Dados!$A613,Projetos!$N$2:$N$11,"&gt;"&amp;Dados!$A613,Projetos!$D$2:$D$11,"USD")</f>
        <v>0</v>
      </c>
      <c r="K613" s="18">
        <f t="shared" ca="1" si="37"/>
        <v>2.2158131148543363E-9</v>
      </c>
    </row>
    <row r="614" spans="1:11" x14ac:dyDescent="0.2">
      <c r="A614" s="45">
        <f t="shared" ca="1" si="38"/>
        <v>2.8805570493106414E-9</v>
      </c>
      <c r="B614" s="18">
        <f>-SUMIFS(Projetos!$F$2:$F$11,Projetos!$D$2:$D$11,"BRL",Projetos!$N$2:$N$11,Dados!$A614)</f>
        <v>0</v>
      </c>
      <c r="C614" s="45">
        <f ca="1">(A614+B614)*((Indicadores_Economicos!D$2+1)^(1/12)-1)</f>
        <v>9.4301942072217672E-12</v>
      </c>
      <c r="D614" s="18">
        <f>SUMIFS(Projetos!$G$2:$G$11,Projetos!$K$2:$K$11,"&lt;="&amp;Dados!$A614,Projetos!$N$2:$N$11,"&gt;"&amp;Dados!A614,Projetos!$D$2:$D$11,"BRL")</f>
        <v>0</v>
      </c>
      <c r="E614" s="18">
        <f t="shared" ca="1" si="36"/>
        <v>2.889987243517863E-9</v>
      </c>
      <c r="G614" s="45">
        <f t="shared" ca="1" si="39"/>
        <v>2.2158131148543363E-9</v>
      </c>
      <c r="H614" s="18">
        <f>-SUMIFS(Projetos!$F$2:$F$11,Projetos!$D$2:$D$11,"USD",Projetos!$N$2:$N$11,Dados!$A614)</f>
        <v>0</v>
      </c>
      <c r="I614" s="45">
        <f ca="1">(G614+H614)*((Indicadores_Economicos!D$2+1)^(1/12)-1)</f>
        <v>7.2539955440167331E-12</v>
      </c>
      <c r="J614" s="18">
        <f>SUMIFS(Projetos!$G$2:$G$11,Projetos!$K$2:$K$11,"&lt;="&amp;Dados!$A614,Projetos!$N$2:$N$11,"&gt;"&amp;Dados!$A614,Projetos!$D$2:$D$11,"USD")</f>
        <v>0</v>
      </c>
      <c r="K614" s="18">
        <f t="shared" ca="1" si="37"/>
        <v>2.2230671103983532E-9</v>
      </c>
    </row>
    <row r="615" spans="1:11" x14ac:dyDescent="0.2">
      <c r="A615" s="45">
        <f t="shared" ca="1" si="38"/>
        <v>2.889987243517863E-9</v>
      </c>
      <c r="B615" s="18">
        <f>-SUMIFS(Projetos!$F$2:$F$11,Projetos!$D$2:$D$11,"BRL",Projetos!$N$2:$N$11,Dados!$A615)</f>
        <v>0</v>
      </c>
      <c r="C615" s="45">
        <f ca="1">(A615+B615)*((Indicadores_Economicos!D$2+1)^(1/12)-1)</f>
        <v>9.4610662091518104E-12</v>
      </c>
      <c r="D615" s="18">
        <f>SUMIFS(Projetos!$G$2:$G$11,Projetos!$K$2:$K$11,"&lt;="&amp;Dados!$A615,Projetos!$N$2:$N$11,"&gt;"&amp;Dados!A615,Projetos!$D$2:$D$11,"BRL")</f>
        <v>0</v>
      </c>
      <c r="E615" s="18">
        <f t="shared" ca="1" si="36"/>
        <v>2.8994483097270148E-9</v>
      </c>
      <c r="G615" s="45">
        <f t="shared" ca="1" si="39"/>
        <v>2.2230671103983532E-9</v>
      </c>
      <c r="H615" s="18">
        <f>-SUMIFS(Projetos!$F$2:$F$11,Projetos!$D$2:$D$11,"USD",Projetos!$N$2:$N$11,Dados!$A615)</f>
        <v>0</v>
      </c>
      <c r="I615" s="45">
        <f ca="1">(G615+H615)*((Indicadores_Economicos!D$2+1)^(1/12)-1)</f>
        <v>7.2777432378090759E-12</v>
      </c>
      <c r="J615" s="18">
        <f>SUMIFS(Projetos!$G$2:$G$11,Projetos!$K$2:$K$11,"&lt;="&amp;Dados!$A615,Projetos!$N$2:$N$11,"&gt;"&amp;Dados!$A615,Projetos!$D$2:$D$11,"USD")</f>
        <v>0</v>
      </c>
      <c r="K615" s="18">
        <f t="shared" ca="1" si="37"/>
        <v>2.2303448536361622E-9</v>
      </c>
    </row>
    <row r="616" spans="1:11" x14ac:dyDescent="0.2">
      <c r="A616" s="45">
        <f t="shared" ca="1" si="38"/>
        <v>2.8994483097270148E-9</v>
      </c>
      <c r="B616" s="18">
        <f>-SUMIFS(Projetos!$F$2:$F$11,Projetos!$D$2:$D$11,"BRL",Projetos!$N$2:$N$11,Dados!$A616)</f>
        <v>0</v>
      </c>
      <c r="C616" s="45">
        <f ca="1">(A616+B616)*((Indicadores_Economicos!D$2+1)^(1/12)-1)</f>
        <v>9.4920392779827273E-12</v>
      </c>
      <c r="D616" s="18">
        <f>SUMIFS(Projetos!$G$2:$G$11,Projetos!$K$2:$K$11,"&lt;="&amp;Dados!$A616,Projetos!$N$2:$N$11,"&gt;"&amp;Dados!A616,Projetos!$D$2:$D$11,"BRL")</f>
        <v>0</v>
      </c>
      <c r="E616" s="18">
        <f t="shared" ca="1" si="36"/>
        <v>2.9089403490049975E-9</v>
      </c>
      <c r="G616" s="45">
        <f t="shared" ca="1" si="39"/>
        <v>2.2303448536361622E-9</v>
      </c>
      <c r="H616" s="18">
        <f>-SUMIFS(Projetos!$F$2:$F$11,Projetos!$D$2:$D$11,"USD",Projetos!$N$2:$N$11,Dados!$A616)</f>
        <v>0</v>
      </c>
      <c r="I616" s="45">
        <f ca="1">(G616+H616)*((Indicadores_Economicos!D$2+1)^(1/12)-1)</f>
        <v>7.3015686753713201E-12</v>
      </c>
      <c r="J616" s="18">
        <f>SUMIFS(Projetos!$G$2:$G$11,Projetos!$K$2:$K$11,"&lt;="&amp;Dados!$A616,Projetos!$N$2:$N$11,"&gt;"&amp;Dados!$A616,Projetos!$D$2:$D$11,"USD")</f>
        <v>0</v>
      </c>
      <c r="K616" s="18">
        <f t="shared" ca="1" si="37"/>
        <v>2.2376464223115337E-9</v>
      </c>
    </row>
    <row r="617" spans="1:11" x14ac:dyDescent="0.2">
      <c r="A617" s="45">
        <f t="shared" ca="1" si="38"/>
        <v>2.9089403490049975E-9</v>
      </c>
      <c r="B617" s="18">
        <f>-SUMIFS(Projetos!$F$2:$F$11,Projetos!$D$2:$D$11,"BRL",Projetos!$N$2:$N$11,Dados!$A617)</f>
        <v>0</v>
      </c>
      <c r="C617" s="45">
        <f ca="1">(A617+B617)*((Indicadores_Economicos!D$2+1)^(1/12)-1)</f>
        <v>9.5231137445812553E-12</v>
      </c>
      <c r="D617" s="18">
        <f>SUMIFS(Projetos!$G$2:$G$11,Projetos!$K$2:$K$11,"&lt;="&amp;Dados!$A617,Projetos!$N$2:$N$11,"&gt;"&amp;Dados!A617,Projetos!$D$2:$D$11,"BRL")</f>
        <v>0</v>
      </c>
      <c r="E617" s="18">
        <f t="shared" ca="1" si="36"/>
        <v>2.9184634627495785E-9</v>
      </c>
      <c r="G617" s="45">
        <f t="shared" ca="1" si="39"/>
        <v>2.2376464223115337E-9</v>
      </c>
      <c r="H617" s="18">
        <f>-SUMIFS(Projetos!$F$2:$F$11,Projetos!$D$2:$D$11,"USD",Projetos!$N$2:$N$11,Dados!$A617)</f>
        <v>0</v>
      </c>
      <c r="I617" s="45">
        <f ca="1">(G617+H617)*((Indicadores_Economicos!D$2+1)^(1/12)-1)</f>
        <v>7.3254721112163404E-12</v>
      </c>
      <c r="J617" s="18">
        <f>SUMIFS(Projetos!$G$2:$G$11,Projetos!$K$2:$K$11,"&lt;="&amp;Dados!$A617,Projetos!$N$2:$N$11,"&gt;"&amp;Dados!$A617,Projetos!$D$2:$D$11,"USD")</f>
        <v>0</v>
      </c>
      <c r="K617" s="18">
        <f t="shared" ca="1" si="37"/>
        <v>2.2449718944227502E-9</v>
      </c>
    </row>
    <row r="618" spans="1:11" x14ac:dyDescent="0.2">
      <c r="A618" s="45">
        <f t="shared" ca="1" si="38"/>
        <v>2.9184634627495785E-9</v>
      </c>
      <c r="B618" s="18">
        <f>-SUMIFS(Projetos!$F$2:$F$11,Projetos!$D$2:$D$11,"BRL",Projetos!$N$2:$N$11,Dados!$A618)</f>
        <v>0</v>
      </c>
      <c r="C618" s="45">
        <f ca="1">(A618+B618)*((Indicadores_Economicos!D$2+1)^(1/12)-1)</f>
        <v>9.5542899408972942E-12</v>
      </c>
      <c r="D618" s="18">
        <f>SUMIFS(Projetos!$G$2:$G$11,Projetos!$K$2:$K$11,"&lt;="&amp;Dados!$A618,Projetos!$N$2:$N$11,"&gt;"&amp;Dados!A618,Projetos!$D$2:$D$11,"BRL")</f>
        <v>0</v>
      </c>
      <c r="E618" s="18">
        <f t="shared" ca="1" si="36"/>
        <v>2.9280177526904758E-9</v>
      </c>
      <c r="G618" s="45">
        <f t="shared" ca="1" si="39"/>
        <v>2.2449718944227502E-9</v>
      </c>
      <c r="H618" s="18">
        <f>-SUMIFS(Projetos!$F$2:$F$11,Projetos!$D$2:$D$11,"USD",Projetos!$N$2:$N$11,Dados!$A618)</f>
        <v>0</v>
      </c>
      <c r="I618" s="45">
        <f ca="1">(G618+H618)*((Indicadores_Economicos!D$2+1)^(1/12)-1)</f>
        <v>7.3494538006902181E-12</v>
      </c>
      <c r="J618" s="18">
        <f>SUMIFS(Projetos!$G$2:$G$11,Projetos!$K$2:$K$11,"&lt;="&amp;Dados!$A618,Projetos!$N$2:$N$11,"&gt;"&amp;Dados!$A618,Projetos!$D$2:$D$11,"USD")</f>
        <v>0</v>
      </c>
      <c r="K618" s="18">
        <f t="shared" ca="1" si="37"/>
        <v>2.2523213482234406E-9</v>
      </c>
    </row>
    <row r="619" spans="1:11" x14ac:dyDescent="0.2">
      <c r="A619" s="45">
        <f t="shared" ca="1" si="38"/>
        <v>2.9280177526904758E-9</v>
      </c>
      <c r="B619" s="18">
        <f>-SUMIFS(Projetos!$F$2:$F$11,Projetos!$D$2:$D$11,"BRL",Projetos!$N$2:$N$11,Dados!$A619)</f>
        <v>0</v>
      </c>
      <c r="C619" s="45">
        <f ca="1">(A619+B619)*((Indicadores_Economicos!D$2+1)^(1/12)-1)</f>
        <v>9.5855681999674735E-12</v>
      </c>
      <c r="D619" s="18">
        <f>SUMIFS(Projetos!$G$2:$G$11,Projetos!$K$2:$K$11,"&lt;="&amp;Dados!$A619,Projetos!$N$2:$N$11,"&gt;"&amp;Dados!A619,Projetos!$D$2:$D$11,"BRL")</f>
        <v>0</v>
      </c>
      <c r="E619" s="18">
        <f t="shared" ca="1" si="36"/>
        <v>2.9376033208904432E-9</v>
      </c>
      <c r="G619" s="45">
        <f t="shared" ca="1" si="39"/>
        <v>2.2523213482234406E-9</v>
      </c>
      <c r="H619" s="18">
        <f>-SUMIFS(Projetos!$F$2:$F$11,Projetos!$D$2:$D$11,"USD",Projetos!$N$2:$N$11,Dados!$A619)</f>
        <v>0</v>
      </c>
      <c r="I619" s="45">
        <f ca="1">(G619+H619)*((Indicadores_Economicos!D$2+1)^(1/12)-1)</f>
        <v>7.3735139999749718E-12</v>
      </c>
      <c r="J619" s="18">
        <f>SUMIFS(Projetos!$G$2:$G$11,Projetos!$K$2:$K$11,"&lt;="&amp;Dados!$A619,Projetos!$N$2:$N$11,"&gt;"&amp;Dados!$A619,Projetos!$D$2:$D$11,"USD")</f>
        <v>0</v>
      </c>
      <c r="K619" s="18">
        <f t="shared" ca="1" si="37"/>
        <v>2.2596948622234154E-9</v>
      </c>
    </row>
    <row r="620" spans="1:11" x14ac:dyDescent="0.2">
      <c r="A620" s="45">
        <f t="shared" ca="1" si="38"/>
        <v>2.9376033208904432E-9</v>
      </c>
      <c r="B620" s="18">
        <f>-SUMIFS(Projetos!$F$2:$F$11,Projetos!$D$2:$D$11,"BRL",Projetos!$N$2:$N$11,Dados!$A620)</f>
        <v>0</v>
      </c>
      <c r="C620" s="45">
        <f ca="1">(A620+B620)*((Indicadores_Economicos!D$2+1)^(1/12)-1)</f>
        <v>9.6169488559186868E-12</v>
      </c>
      <c r="D620" s="18">
        <f>SUMIFS(Projetos!$G$2:$G$11,Projetos!$K$2:$K$11,"&lt;="&amp;Dados!$A620,Projetos!$N$2:$N$11,"&gt;"&amp;Dados!A620,Projetos!$D$2:$D$11,"BRL")</f>
        <v>0</v>
      </c>
      <c r="E620" s="18">
        <f t="shared" ca="1" si="36"/>
        <v>2.9472202697463619E-9</v>
      </c>
      <c r="G620" s="45">
        <f t="shared" ca="1" si="39"/>
        <v>2.2596948622234154E-9</v>
      </c>
      <c r="H620" s="18">
        <f>-SUMIFS(Projetos!$F$2:$F$11,Projetos!$D$2:$D$11,"USD",Projetos!$N$2:$N$11,Dados!$A620)</f>
        <v>0</v>
      </c>
      <c r="I620" s="45">
        <f ca="1">(G620+H620)*((Indicadores_Economicos!D$2+1)^(1/12)-1)</f>
        <v>7.3976529660912904E-12</v>
      </c>
      <c r="J620" s="18">
        <f>SUMIFS(Projetos!$G$2:$G$11,Projetos!$K$2:$K$11,"&lt;="&amp;Dados!$A620,Projetos!$N$2:$N$11,"&gt;"&amp;Dados!$A620,Projetos!$D$2:$D$11,"USD")</f>
        <v>0</v>
      </c>
      <c r="K620" s="18">
        <f t="shared" ca="1" si="37"/>
        <v>2.2670925151895067E-9</v>
      </c>
    </row>
    <row r="621" spans="1:11" x14ac:dyDescent="0.2">
      <c r="A621" s="45">
        <f t="shared" ca="1" si="38"/>
        <v>2.9472202697463619E-9</v>
      </c>
      <c r="B621" s="18">
        <f>-SUMIFS(Projetos!$F$2:$F$11,Projetos!$D$2:$D$11,"BRL",Projetos!$N$2:$N$11,Dados!$A621)</f>
        <v>0</v>
      </c>
      <c r="C621" s="45">
        <f ca="1">(A621+B621)*((Indicadores_Economicos!D$2+1)^(1/12)-1)</f>
        <v>9.6484322439716806E-12</v>
      </c>
      <c r="D621" s="18">
        <f>SUMIFS(Projetos!$G$2:$G$11,Projetos!$K$2:$K$11,"&lt;="&amp;Dados!$A621,Projetos!$N$2:$N$11,"&gt;"&amp;Dados!A621,Projetos!$D$2:$D$11,"BRL")</f>
        <v>0</v>
      </c>
      <c r="E621" s="18">
        <f t="shared" ca="1" si="36"/>
        <v>2.9568687019903334E-9</v>
      </c>
      <c r="G621" s="45">
        <f t="shared" ca="1" si="39"/>
        <v>2.2670925151895067E-9</v>
      </c>
      <c r="H621" s="18">
        <f>-SUMIFS(Projetos!$F$2:$F$11,Projetos!$D$2:$D$11,"USD",Projetos!$N$2:$N$11,Dados!$A621)</f>
        <v>0</v>
      </c>
      <c r="I621" s="45">
        <f ca="1">(G621+H621)*((Indicadores_Economicos!D$2+1)^(1/12)-1)</f>
        <v>7.4218709569012853E-12</v>
      </c>
      <c r="J621" s="18">
        <f>SUMIFS(Projetos!$G$2:$G$11,Projetos!$K$2:$K$11,"&lt;="&amp;Dados!$A621,Projetos!$N$2:$N$11,"&gt;"&amp;Dados!$A621,Projetos!$D$2:$D$11,"USD")</f>
        <v>0</v>
      </c>
      <c r="K621" s="18">
        <f t="shared" ca="1" si="37"/>
        <v>2.274514386146408E-9</v>
      </c>
    </row>
    <row r="622" spans="1:11" x14ac:dyDescent="0.2">
      <c r="A622" s="45">
        <f t="shared" ca="1" si="38"/>
        <v>2.9568687019903334E-9</v>
      </c>
      <c r="B622" s="18">
        <f>-SUMIFS(Projetos!$F$2:$F$11,Projetos!$D$2:$D$11,"BRL",Projetos!$N$2:$N$11,Dados!$A622)</f>
        <v>0</v>
      </c>
      <c r="C622" s="45">
        <f ca="1">(A622+B622)*((Indicadores_Economicos!D$2+1)^(1/12)-1)</f>
        <v>9.6800187004446211E-12</v>
      </c>
      <c r="D622" s="18">
        <f>SUMIFS(Projetos!$G$2:$G$11,Projetos!$K$2:$K$11,"&lt;="&amp;Dados!$A622,Projetos!$N$2:$N$11,"&gt;"&amp;Dados!A622,Projetos!$D$2:$D$11,"BRL")</f>
        <v>0</v>
      </c>
      <c r="E622" s="18">
        <f t="shared" ca="1" si="36"/>
        <v>2.9665487206907781E-9</v>
      </c>
      <c r="G622" s="45">
        <f t="shared" ca="1" si="39"/>
        <v>2.274514386146408E-9</v>
      </c>
      <c r="H622" s="18">
        <f>-SUMIFS(Projetos!$F$2:$F$11,Projetos!$D$2:$D$11,"USD",Projetos!$N$2:$N$11,Dados!$A622)</f>
        <v>0</v>
      </c>
      <c r="I622" s="45">
        <f ca="1">(G622+H622)*((Indicadores_Economicos!D$2+1)^(1/12)-1)</f>
        <v>7.4461682311112392E-12</v>
      </c>
      <c r="J622" s="18">
        <f>SUMIFS(Projetos!$G$2:$G$11,Projetos!$K$2:$K$11,"&lt;="&amp;Dados!$A622,Projetos!$N$2:$N$11,"&gt;"&amp;Dados!$A622,Projetos!$D$2:$D$11,"USD")</f>
        <v>0</v>
      </c>
      <c r="K622" s="18">
        <f t="shared" ca="1" si="37"/>
        <v>2.2819605543775192E-9</v>
      </c>
    </row>
    <row r="623" spans="1:11" x14ac:dyDescent="0.2">
      <c r="A623" s="45">
        <f t="shared" ca="1" si="38"/>
        <v>2.9665487206907781E-9</v>
      </c>
      <c r="B623" s="18">
        <f>-SUMIFS(Projetos!$F$2:$F$11,Projetos!$D$2:$D$11,"BRL",Projetos!$N$2:$N$11,Dados!$A623)</f>
        <v>0</v>
      </c>
      <c r="C623" s="45">
        <f ca="1">(A623+B623)*((Indicadores_Economicos!D$2+1)^(1/12)-1)</f>
        <v>9.7117085627566958E-12</v>
      </c>
      <c r="D623" s="18">
        <f>SUMIFS(Projetos!$G$2:$G$11,Projetos!$K$2:$K$11,"&lt;="&amp;Dados!$A623,Projetos!$N$2:$N$11,"&gt;"&amp;Dados!A623,Projetos!$D$2:$D$11,"BRL")</f>
        <v>0</v>
      </c>
      <c r="E623" s="18">
        <f t="shared" ca="1" si="36"/>
        <v>2.9762604292535347E-9</v>
      </c>
      <c r="G623" s="45">
        <f t="shared" ca="1" si="39"/>
        <v>2.2819605543775192E-9</v>
      </c>
      <c r="H623" s="18">
        <f>-SUMIFS(Projetos!$F$2:$F$11,Projetos!$D$2:$D$11,"USD",Projetos!$N$2:$N$11,Dados!$A623)</f>
        <v>0</v>
      </c>
      <c r="I623" s="45">
        <f ca="1">(G623+H623)*((Indicadores_Economicos!D$2+1)^(1/12)-1)</f>
        <v>7.4705450482743743E-12</v>
      </c>
      <c r="J623" s="18">
        <f>SUMIFS(Projetos!$G$2:$G$11,Projetos!$K$2:$K$11,"&lt;="&amp;Dados!$A623,Projetos!$N$2:$N$11,"&gt;"&amp;Dados!$A623,Projetos!$D$2:$D$11,"USD")</f>
        <v>0</v>
      </c>
      <c r="K623" s="18">
        <f t="shared" ca="1" si="37"/>
        <v>2.2894310994257935E-9</v>
      </c>
    </row>
    <row r="624" spans="1:11" x14ac:dyDescent="0.2">
      <c r="A624" s="45">
        <f t="shared" ca="1" si="38"/>
        <v>2.9762604292535347E-9</v>
      </c>
      <c r="B624" s="18">
        <f>-SUMIFS(Projetos!$F$2:$F$11,Projetos!$D$2:$D$11,"BRL",Projetos!$N$2:$N$11,Dados!$A624)</f>
        <v>0</v>
      </c>
      <c r="C624" s="45">
        <f ca="1">(A624+B624)*((Indicadores_Economicos!D$2+1)^(1/12)-1)</f>
        <v>9.743502169431714E-12</v>
      </c>
      <c r="D624" s="18">
        <f>SUMIFS(Projetos!$G$2:$G$11,Projetos!$K$2:$K$11,"&lt;="&amp;Dados!$A624,Projetos!$N$2:$N$11,"&gt;"&amp;Dados!A624,Projetos!$D$2:$D$11,"BRL")</f>
        <v>0</v>
      </c>
      <c r="E624" s="18">
        <f t="shared" ca="1" si="36"/>
        <v>2.9860039314229663E-9</v>
      </c>
      <c r="G624" s="45">
        <f t="shared" ca="1" si="39"/>
        <v>2.2894310994257935E-9</v>
      </c>
      <c r="H624" s="18">
        <f>-SUMIFS(Projetos!$F$2:$F$11,Projetos!$D$2:$D$11,"USD",Projetos!$N$2:$N$11,Dados!$A624)</f>
        <v>0</v>
      </c>
      <c r="I624" s="45">
        <f ca="1">(G624+H624)*((Indicadores_Economicos!D$2+1)^(1/12)-1)</f>
        <v>7.4950016687936178E-12</v>
      </c>
      <c r="J624" s="18">
        <f>SUMIFS(Projetos!$G$2:$G$11,Projetos!$K$2:$K$11,"&lt;="&amp;Dados!$A624,Projetos!$N$2:$N$11,"&gt;"&amp;Dados!$A624,Projetos!$D$2:$D$11,"USD")</f>
        <v>0</v>
      </c>
      <c r="K624" s="18">
        <f t="shared" ca="1" si="37"/>
        <v>2.2969261010945873E-9</v>
      </c>
    </row>
    <row r="625" spans="1:11" x14ac:dyDescent="0.2">
      <c r="A625" s="45">
        <f t="shared" ca="1" si="38"/>
        <v>2.9860039314229663E-9</v>
      </c>
      <c r="B625" s="18">
        <f>-SUMIFS(Projetos!$F$2:$F$11,Projetos!$D$2:$D$11,"BRL",Projetos!$N$2:$N$11,Dados!$A625)</f>
        <v>0</v>
      </c>
      <c r="C625" s="45">
        <f ca="1">(A625+B625)*((Indicadores_Economicos!D$2+1)^(1/12)-1)</f>
        <v>9.7753998601017248E-12</v>
      </c>
      <c r="D625" s="18">
        <f>SUMIFS(Projetos!$G$2:$G$11,Projetos!$K$2:$K$11,"&lt;="&amp;Dados!$A625,Projetos!$N$2:$N$11,"&gt;"&amp;Dados!A625,Projetos!$D$2:$D$11,"BRL")</f>
        <v>0</v>
      </c>
      <c r="E625" s="18">
        <f t="shared" ca="1" si="36"/>
        <v>2.9957793312830679E-9</v>
      </c>
      <c r="G625" s="45">
        <f t="shared" ca="1" si="39"/>
        <v>2.2969261010945873E-9</v>
      </c>
      <c r="H625" s="18">
        <f>-SUMIFS(Projetos!$F$2:$F$11,Projetos!$D$2:$D$11,"USD",Projetos!$N$2:$N$11,Dados!$A625)</f>
        <v>0</v>
      </c>
      <c r="I625" s="45">
        <f ca="1">(G625+H625)*((Indicadores_Economicos!D$2+1)^(1/12)-1)</f>
        <v>7.5195383539243956E-12</v>
      </c>
      <c r="J625" s="18">
        <f>SUMIFS(Projetos!$G$2:$G$11,Projetos!$K$2:$K$11,"&lt;="&amp;Dados!$A625,Projetos!$N$2:$N$11,"&gt;"&amp;Dados!$A625,Projetos!$D$2:$D$11,"USD")</f>
        <v>0</v>
      </c>
      <c r="K625" s="18">
        <f t="shared" ca="1" si="37"/>
        <v>2.3044456394485115E-9</v>
      </c>
    </row>
    <row r="626" spans="1:11" x14ac:dyDescent="0.2">
      <c r="A626" s="45">
        <f t="shared" ca="1" si="38"/>
        <v>2.9957793312830679E-9</v>
      </c>
      <c r="B626" s="18">
        <f>-SUMIFS(Projetos!$F$2:$F$11,Projetos!$D$2:$D$11,"BRL",Projetos!$N$2:$N$11,Dados!$A626)</f>
        <v>0</v>
      </c>
      <c r="C626" s="45">
        <f ca="1">(A626+B626)*((Indicadores_Economicos!D$2+1)^(1/12)-1)</f>
        <v>9.8074019755106402E-12</v>
      </c>
      <c r="D626" s="18">
        <f>SUMIFS(Projetos!$G$2:$G$11,Projetos!$K$2:$K$11,"&lt;="&amp;Dados!$A626,Projetos!$N$2:$N$11,"&gt;"&amp;Dados!A626,Projetos!$D$2:$D$11,"BRL")</f>
        <v>0</v>
      </c>
      <c r="E626" s="18">
        <f t="shared" ca="1" si="36"/>
        <v>3.0055867332585786E-9</v>
      </c>
      <c r="G626" s="45">
        <f t="shared" ca="1" si="39"/>
        <v>2.3044456394485115E-9</v>
      </c>
      <c r="H626" s="18">
        <f>-SUMIFS(Projetos!$F$2:$F$11,Projetos!$D$2:$D$11,"USD",Projetos!$N$2:$N$11,Dados!$A626)</f>
        <v>0</v>
      </c>
      <c r="I626" s="45">
        <f ca="1">(G626+H626)*((Indicadores_Economicos!D$2+1)^(1/12)-1)</f>
        <v>7.5441553657774089E-12</v>
      </c>
      <c r="J626" s="18">
        <f>SUMIFS(Projetos!$G$2:$G$11,Projetos!$K$2:$K$11,"&lt;="&amp;Dados!$A626,Projetos!$N$2:$N$11,"&gt;"&amp;Dados!$A626,Projetos!$D$2:$D$11,"USD")</f>
        <v>0</v>
      </c>
      <c r="K626" s="18">
        <f t="shared" ca="1" si="37"/>
        <v>2.3119897948142889E-9</v>
      </c>
    </row>
    <row r="627" spans="1:11" x14ac:dyDescent="0.2">
      <c r="A627" s="45">
        <f t="shared" ca="1" si="38"/>
        <v>3.0055867332585786E-9</v>
      </c>
      <c r="B627" s="18">
        <f>-SUMIFS(Projetos!$F$2:$F$11,Projetos!$D$2:$D$11,"BRL",Projetos!$N$2:$N$11,Dados!$A627)</f>
        <v>0</v>
      </c>
      <c r="C627" s="45">
        <f ca="1">(A627+B627)*((Indicadores_Economicos!D$2+1)^(1/12)-1)</f>
        <v>9.8395088575178868E-12</v>
      </c>
      <c r="D627" s="18">
        <f>SUMIFS(Projetos!$G$2:$G$11,Projetos!$K$2:$K$11,"&lt;="&amp;Dados!$A627,Projetos!$N$2:$N$11,"&gt;"&amp;Dados!A627,Projetos!$D$2:$D$11,"BRL")</f>
        <v>0</v>
      </c>
      <c r="E627" s="18">
        <f t="shared" ca="1" si="36"/>
        <v>3.0154262421160963E-9</v>
      </c>
      <c r="G627" s="45">
        <f t="shared" ca="1" si="39"/>
        <v>2.3119897948142889E-9</v>
      </c>
      <c r="H627" s="18">
        <f>-SUMIFS(Projetos!$F$2:$F$11,Projetos!$D$2:$D$11,"USD",Projetos!$N$2:$N$11,Dados!$A627)</f>
        <v>0</v>
      </c>
      <c r="I627" s="45">
        <f ca="1">(G627+H627)*((Indicadores_Economicos!D$2+1)^(1/12)-1)</f>
        <v>7.5688529673214428E-12</v>
      </c>
      <c r="J627" s="18">
        <f>SUMIFS(Projetos!$G$2:$G$11,Projetos!$K$2:$K$11,"&lt;="&amp;Dados!$A627,Projetos!$N$2:$N$11,"&gt;"&amp;Dados!$A627,Projetos!$D$2:$D$11,"USD")</f>
        <v>0</v>
      </c>
      <c r="K627" s="18">
        <f t="shared" ca="1" si="37"/>
        <v>2.3195586477816101E-9</v>
      </c>
    </row>
    <row r="628" spans="1:11" x14ac:dyDescent="0.2">
      <c r="A628" s="45">
        <f t="shared" ca="1" si="38"/>
        <v>3.0154262421160963E-9</v>
      </c>
      <c r="B628" s="18">
        <f>-SUMIFS(Projetos!$F$2:$F$11,Projetos!$D$2:$D$11,"BRL",Projetos!$N$2:$N$11,Dados!$A628)</f>
        <v>0</v>
      </c>
      <c r="C628" s="45">
        <f ca="1">(A628+B628)*((Indicadores_Economicos!D$2+1)^(1/12)-1)</f>
        <v>9.8717208491020409E-12</v>
      </c>
      <c r="D628" s="18">
        <f>SUMIFS(Projetos!$G$2:$G$11,Projetos!$K$2:$K$11,"&lt;="&amp;Dados!$A628,Projetos!$N$2:$N$11,"&gt;"&amp;Dados!A628,Projetos!$D$2:$D$11,"BRL")</f>
        <v>0</v>
      </c>
      <c r="E628" s="18">
        <f t="shared" ca="1" si="36"/>
        <v>3.0252979629651984E-9</v>
      </c>
      <c r="G628" s="45">
        <f t="shared" ca="1" si="39"/>
        <v>2.3195586477816101E-9</v>
      </c>
      <c r="H628" s="18">
        <f>-SUMIFS(Projetos!$F$2:$F$11,Projetos!$D$2:$D$11,"USD",Projetos!$N$2:$N$11,Dados!$A628)</f>
        <v>0</v>
      </c>
      <c r="I628" s="45">
        <f ca="1">(G628+H628)*((Indicadores_Economicos!D$2+1)^(1/12)-1)</f>
        <v>7.593631422386177E-12</v>
      </c>
      <c r="J628" s="18">
        <f>SUMIFS(Projetos!$G$2:$G$11,Projetos!$K$2:$K$11,"&lt;="&amp;Dados!$A628,Projetos!$N$2:$N$11,"&gt;"&amp;Dados!$A628,Projetos!$D$2:$D$11,"USD")</f>
        <v>0</v>
      </c>
      <c r="K628" s="18">
        <f t="shared" ca="1" si="37"/>
        <v>2.3271522792039962E-9</v>
      </c>
    </row>
    <row r="629" spans="1:11" x14ac:dyDescent="0.2">
      <c r="A629" s="45">
        <f t="shared" ca="1" si="38"/>
        <v>3.0252979629651984E-9</v>
      </c>
      <c r="B629" s="18">
        <f>-SUMIFS(Projetos!$F$2:$F$11,Projetos!$D$2:$D$11,"BRL",Projetos!$N$2:$N$11,Dados!$A629)</f>
        <v>0</v>
      </c>
      <c r="C629" s="45">
        <f ca="1">(A629+B629)*((Indicadores_Economicos!D$2+1)^(1/12)-1)</f>
        <v>9.9040382943645083E-12</v>
      </c>
      <c r="D629" s="18">
        <f>SUMIFS(Projetos!$G$2:$G$11,Projetos!$K$2:$K$11,"&lt;="&amp;Dados!$A629,Projetos!$N$2:$N$11,"&gt;"&amp;Dados!A629,Projetos!$D$2:$D$11,"BRL")</f>
        <v>0</v>
      </c>
      <c r="E629" s="18">
        <f t="shared" ca="1" si="36"/>
        <v>3.0352020012595631E-9</v>
      </c>
      <c r="G629" s="45">
        <f t="shared" ca="1" si="39"/>
        <v>2.3271522792039962E-9</v>
      </c>
      <c r="H629" s="18">
        <f>-SUMIFS(Projetos!$F$2:$F$11,Projetos!$D$2:$D$11,"USD",Projetos!$N$2:$N$11,Dados!$A629)</f>
        <v>0</v>
      </c>
      <c r="I629" s="45">
        <f ca="1">(G629+H629)*((Indicadores_Economicos!D$2+1)^(1/12)-1)</f>
        <v>7.6184909956649984E-12</v>
      </c>
      <c r="J629" s="18">
        <f>SUMIFS(Projetos!$G$2:$G$11,Projetos!$K$2:$K$11,"&lt;="&amp;Dados!$A629,Projetos!$N$2:$N$11,"&gt;"&amp;Dados!$A629,Projetos!$D$2:$D$11,"USD")</f>
        <v>0</v>
      </c>
      <c r="K629" s="18">
        <f t="shared" ca="1" si="37"/>
        <v>2.3347707701996612E-9</v>
      </c>
    </row>
    <row r="630" spans="1:11" x14ac:dyDescent="0.2">
      <c r="A630" s="45">
        <f t="shared" ca="1" si="38"/>
        <v>3.0352020012595631E-9</v>
      </c>
      <c r="B630" s="18">
        <f>-SUMIFS(Projetos!$F$2:$F$11,Projetos!$D$2:$D$11,"BRL",Projetos!$N$2:$N$11,Dados!$A630)</f>
        <v>0</v>
      </c>
      <c r="C630" s="45">
        <f ca="1">(A630+B630)*((Indicadores_Economicos!D$2+1)^(1/12)-1)</f>
        <v>9.9364615385331905E-12</v>
      </c>
      <c r="D630" s="18">
        <f>SUMIFS(Projetos!$G$2:$G$11,Projetos!$K$2:$K$11,"&lt;="&amp;Dados!$A630,Projetos!$N$2:$N$11,"&gt;"&amp;Dados!A630,Projetos!$D$2:$D$11,"BRL")</f>
        <v>0</v>
      </c>
      <c r="E630" s="18">
        <f t="shared" ca="1" si="36"/>
        <v>3.0451384627980963E-9</v>
      </c>
      <c r="G630" s="45">
        <f t="shared" ca="1" si="39"/>
        <v>2.3347707701996612E-9</v>
      </c>
      <c r="H630" s="18">
        <f>-SUMIFS(Projetos!$F$2:$F$11,Projetos!$D$2:$D$11,"USD",Projetos!$N$2:$N$11,Dados!$A630)</f>
        <v>0</v>
      </c>
      <c r="I630" s="45">
        <f ca="1">(G630+H630)*((Indicadores_Economicos!D$2+1)^(1/12)-1)</f>
        <v>7.6434319527178305E-12</v>
      </c>
      <c r="J630" s="18">
        <f>SUMIFS(Projetos!$G$2:$G$11,Projetos!$K$2:$K$11,"&lt;="&amp;Dados!$A630,Projetos!$N$2:$N$11,"&gt;"&amp;Dados!$A630,Projetos!$D$2:$D$11,"USD")</f>
        <v>0</v>
      </c>
      <c r="K630" s="18">
        <f t="shared" ca="1" si="37"/>
        <v>2.342414202152379E-9</v>
      </c>
    </row>
    <row r="631" spans="1:11" x14ac:dyDescent="0.2">
      <c r="A631" s="45">
        <f t="shared" ca="1" si="38"/>
        <v>3.0451384627980963E-9</v>
      </c>
      <c r="B631" s="18">
        <f>-SUMIFS(Projetos!$F$2:$F$11,Projetos!$D$2:$D$11,"BRL",Projetos!$N$2:$N$11,Dados!$A631)</f>
        <v>0</v>
      </c>
      <c r="C631" s="45">
        <f ca="1">(A631+B631)*((Indicadores_Economicos!D$2+1)^(1/12)-1)</f>
        <v>9.9689909279661764E-12</v>
      </c>
      <c r="D631" s="18">
        <f>SUMIFS(Projetos!$G$2:$G$11,Projetos!$K$2:$K$11,"&lt;="&amp;Dados!$A631,Projetos!$N$2:$N$11,"&gt;"&amp;Dados!A631,Projetos!$D$2:$D$11,"BRL")</f>
        <v>0</v>
      </c>
      <c r="E631" s="18">
        <f t="shared" ca="1" si="36"/>
        <v>3.0551074537260626E-9</v>
      </c>
      <c r="G631" s="45">
        <f t="shared" ca="1" si="39"/>
        <v>2.342414202152379E-9</v>
      </c>
      <c r="H631" s="18">
        <f>-SUMIFS(Projetos!$F$2:$F$11,Projetos!$D$2:$D$11,"USD",Projetos!$N$2:$N$11,Dados!$A631)</f>
        <v>0</v>
      </c>
      <c r="I631" s="45">
        <f ca="1">(G631+H631)*((Indicadores_Economicos!D$2+1)^(1/12)-1)</f>
        <v>7.6684545599739733E-12</v>
      </c>
      <c r="J631" s="18">
        <f>SUMIFS(Projetos!$G$2:$G$11,Projetos!$K$2:$K$11,"&lt;="&amp;Dados!$A631,Projetos!$N$2:$N$11,"&gt;"&amp;Dados!$A631,Projetos!$D$2:$D$11,"USD")</f>
        <v>0</v>
      </c>
      <c r="K631" s="18">
        <f t="shared" ca="1" si="37"/>
        <v>2.3500826567123529E-9</v>
      </c>
    </row>
    <row r="632" spans="1:11" x14ac:dyDescent="0.2">
      <c r="A632" s="45">
        <f t="shared" ca="1" si="38"/>
        <v>3.0551074537260626E-9</v>
      </c>
      <c r="B632" s="18">
        <f>-SUMIFS(Projetos!$F$2:$F$11,Projetos!$D$2:$D$11,"BRL",Projetos!$N$2:$N$11,Dados!$A632)</f>
        <v>0</v>
      </c>
      <c r="C632" s="45">
        <f ca="1">(A632+B632)*((Indicadores_Economicos!D$2+1)^(1/12)-1)</f>
        <v>1.000162681015544E-11</v>
      </c>
      <c r="D632" s="18">
        <f>SUMIFS(Projetos!$G$2:$G$11,Projetos!$K$2:$K$11,"&lt;="&amp;Dados!$A632,Projetos!$N$2:$N$11,"&gt;"&amp;Dados!A632,Projetos!$D$2:$D$11,"BRL")</f>
        <v>0</v>
      </c>
      <c r="E632" s="18">
        <f t="shared" ca="1" si="36"/>
        <v>3.0651090805362182E-9</v>
      </c>
      <c r="G632" s="45">
        <f t="shared" ca="1" si="39"/>
        <v>2.3500826567123529E-9</v>
      </c>
      <c r="H632" s="18">
        <f>-SUMIFS(Projetos!$F$2:$F$11,Projetos!$D$2:$D$11,"USD",Projetos!$N$2:$N$11,Dados!$A632)</f>
        <v>0</v>
      </c>
      <c r="I632" s="45">
        <f ca="1">(G632+H632)*((Indicadores_Economicos!D$2+1)^(1/12)-1)</f>
        <v>7.6935590847349449E-12</v>
      </c>
      <c r="J632" s="18">
        <f>SUMIFS(Projetos!$G$2:$G$11,Projetos!$K$2:$K$11,"&lt;="&amp;Dados!$A632,Projetos!$N$2:$N$11,"&gt;"&amp;Dados!$A632,Projetos!$D$2:$D$11,"USD")</f>
        <v>0</v>
      </c>
      <c r="K632" s="18">
        <f t="shared" ca="1" si="37"/>
        <v>2.3577762157970881E-9</v>
      </c>
    </row>
    <row r="633" spans="1:11" x14ac:dyDescent="0.2">
      <c r="A633" s="45">
        <f t="shared" ca="1" si="38"/>
        <v>3.0651090805362182E-9</v>
      </c>
      <c r="B633" s="18">
        <f>-SUMIFS(Projetos!$F$2:$F$11,Projetos!$D$2:$D$11,"BRL",Projetos!$N$2:$N$11,Dados!$A633)</f>
        <v>0</v>
      </c>
      <c r="C633" s="45">
        <f ca="1">(A633+B633)*((Indicadores_Economicos!D$2+1)^(1/12)-1)</f>
        <v>1.0034369533730553E-11</v>
      </c>
      <c r="D633" s="18">
        <f>SUMIFS(Projetos!$G$2:$G$11,Projetos!$K$2:$K$11,"&lt;="&amp;Dados!$A633,Projetos!$N$2:$N$11,"&gt;"&amp;Dados!A633,Projetos!$D$2:$D$11,"BRL")</f>
        <v>0</v>
      </c>
      <c r="E633" s="18">
        <f t="shared" ca="1" si="36"/>
        <v>3.0751434500699489E-9</v>
      </c>
      <c r="G633" s="45">
        <f t="shared" ca="1" si="39"/>
        <v>2.3577762157970881E-9</v>
      </c>
      <c r="H633" s="18">
        <f>-SUMIFS(Projetos!$F$2:$F$11,Projetos!$D$2:$D$11,"USD",Projetos!$N$2:$N$11,Dados!$A633)</f>
        <v>0</v>
      </c>
      <c r="I633" s="45">
        <f ca="1">(G633+H633)*((Indicadores_Economicos!D$2+1)^(1/12)-1)</f>
        <v>7.7187457951773399E-12</v>
      </c>
      <c r="J633" s="18">
        <f>SUMIFS(Projetos!$G$2:$G$11,Projetos!$K$2:$K$11,"&lt;="&amp;Dados!$A633,Projetos!$N$2:$N$11,"&gt;"&amp;Dados!$A633,Projetos!$D$2:$D$11,"USD")</f>
        <v>0</v>
      </c>
      <c r="K633" s="18">
        <f t="shared" ca="1" si="37"/>
        <v>2.3654949615922652E-9</v>
      </c>
    </row>
    <row r="634" spans="1:11" x14ac:dyDescent="0.2">
      <c r="A634" s="45">
        <f t="shared" ca="1" si="38"/>
        <v>3.0751434500699489E-9</v>
      </c>
      <c r="B634" s="18">
        <f>-SUMIFS(Projetos!$F$2:$F$11,Projetos!$D$2:$D$11,"BRL",Projetos!$N$2:$N$11,Dados!$A634)</f>
        <v>0</v>
      </c>
      <c r="C634" s="45">
        <f ca="1">(A634+B634)*((Indicadores_Economicos!D$2+1)^(1/12)-1)</f>
        <v>1.0067219448462413E-11</v>
      </c>
      <c r="D634" s="18">
        <f>SUMIFS(Projetos!$G$2:$G$11,Projetos!$K$2:$K$11,"&lt;="&amp;Dados!$A634,Projetos!$N$2:$N$11,"&gt;"&amp;Dados!A634,Projetos!$D$2:$D$11,"BRL")</f>
        <v>0</v>
      </c>
      <c r="E634" s="18">
        <f t="shared" ca="1" si="36"/>
        <v>3.0852106695184115E-9</v>
      </c>
      <c r="G634" s="45">
        <f t="shared" ca="1" si="39"/>
        <v>2.3654949615922652E-9</v>
      </c>
      <c r="H634" s="18">
        <f>-SUMIFS(Projetos!$F$2:$F$11,Projetos!$D$2:$D$11,"USD",Projetos!$N$2:$N$11,Dados!$A634)</f>
        <v>0</v>
      </c>
      <c r="I634" s="45">
        <f ca="1">(G634+H634)*((Indicadores_Economicos!D$2+1)^(1/12)-1)</f>
        <v>7.7440149603556921E-12</v>
      </c>
      <c r="J634" s="18">
        <f>SUMIFS(Projetos!$G$2:$G$11,Projetos!$K$2:$K$11,"&lt;="&amp;Dados!$A634,Projetos!$N$2:$N$11,"&gt;"&amp;Dados!$A634,Projetos!$D$2:$D$11,"USD")</f>
        <v>0</v>
      </c>
      <c r="K634" s="18">
        <f t="shared" ca="1" si="37"/>
        <v>2.373238976552621E-9</v>
      </c>
    </row>
    <row r="635" spans="1:11" x14ac:dyDescent="0.2">
      <c r="A635" s="45">
        <f t="shared" ca="1" si="38"/>
        <v>3.0852106695184115E-9</v>
      </c>
      <c r="B635" s="18">
        <f>-SUMIFS(Projetos!$F$2:$F$11,Projetos!$D$2:$D$11,"BRL",Projetos!$N$2:$N$11,Dados!$A635)</f>
        <v>0</v>
      </c>
      <c r="C635" s="45">
        <f ca="1">(A635+B635)*((Indicadores_Economicos!D$2+1)^(1/12)-1)</f>
        <v>1.0100176905266972E-11</v>
      </c>
      <c r="D635" s="18">
        <f>SUMIFS(Projetos!$G$2:$G$11,Projetos!$K$2:$K$11,"&lt;="&amp;Dados!$A635,Projetos!$N$2:$N$11,"&gt;"&amp;Dados!A635,Projetos!$D$2:$D$11,"BRL")</f>
        <v>0</v>
      </c>
      <c r="E635" s="18">
        <f t="shared" ca="1" si="36"/>
        <v>3.0953108464236784E-9</v>
      </c>
      <c r="G635" s="45">
        <f t="shared" ca="1" si="39"/>
        <v>2.373238976552621E-9</v>
      </c>
      <c r="H635" s="18">
        <f>-SUMIFS(Projetos!$F$2:$F$11,Projetos!$D$2:$D$11,"USD",Projetos!$N$2:$N$11,Dados!$A635)</f>
        <v>0</v>
      </c>
      <c r="I635" s="45">
        <f ca="1">(G635+H635)*((Indicadores_Economicos!D$2+1)^(1/12)-1)</f>
        <v>7.7693668502053515E-12</v>
      </c>
      <c r="J635" s="18">
        <f>SUMIFS(Projetos!$G$2:$G$11,Projetos!$K$2:$K$11,"&lt;="&amp;Dados!$A635,Projetos!$N$2:$N$11,"&gt;"&amp;Dados!$A635,Projetos!$D$2:$D$11,"USD")</f>
        <v>0</v>
      </c>
      <c r="K635" s="18">
        <f t="shared" ca="1" si="37"/>
        <v>2.3810083434028261E-9</v>
      </c>
    </row>
    <row r="636" spans="1:11" x14ac:dyDescent="0.2">
      <c r="A636" s="45">
        <f t="shared" ca="1" si="38"/>
        <v>3.0953108464236784E-9</v>
      </c>
      <c r="B636" s="18">
        <f>-SUMIFS(Projetos!$F$2:$F$11,Projetos!$D$2:$D$11,"BRL",Projetos!$N$2:$N$11,Dados!$A636)</f>
        <v>0</v>
      </c>
      <c r="C636" s="45">
        <f ca="1">(A636+B636)*((Indicadores_Economicos!D$2+1)^(1/12)-1)</f>
        <v>1.0133242256208991E-11</v>
      </c>
      <c r="D636" s="18">
        <f>SUMIFS(Projetos!$G$2:$G$11,Projetos!$K$2:$K$11,"&lt;="&amp;Dados!$A636,Projetos!$N$2:$N$11,"&gt;"&amp;Dados!A636,Projetos!$D$2:$D$11,"BRL")</f>
        <v>0</v>
      </c>
      <c r="E636" s="18">
        <f t="shared" ca="1" si="36"/>
        <v>3.1054440886798874E-9</v>
      </c>
      <c r="G636" s="45">
        <f t="shared" ca="1" si="39"/>
        <v>2.3810083434028261E-9</v>
      </c>
      <c r="H636" s="18">
        <f>-SUMIFS(Projetos!$F$2:$F$11,Projetos!$D$2:$D$11,"USD",Projetos!$N$2:$N$11,Dados!$A636)</f>
        <v>0</v>
      </c>
      <c r="I636" s="45">
        <f ca="1">(G636+H636)*((Indicadores_Economicos!D$2+1)^(1/12)-1)</f>
        <v>7.7948017355453654E-12</v>
      </c>
      <c r="J636" s="18">
        <f>SUMIFS(Projetos!$G$2:$G$11,Projetos!$K$2:$K$11,"&lt;="&amp;Dados!$A636,Projetos!$N$2:$N$11,"&gt;"&amp;Dados!$A636,Projetos!$D$2:$D$11,"USD")</f>
        <v>0</v>
      </c>
      <c r="K636" s="18">
        <f t="shared" ca="1" si="37"/>
        <v>2.3888031451383713E-9</v>
      </c>
    </row>
    <row r="637" spans="1:11" x14ac:dyDescent="0.2">
      <c r="A637" s="45">
        <f t="shared" ca="1" si="38"/>
        <v>3.1054440886798874E-9</v>
      </c>
      <c r="B637" s="18">
        <f>-SUMIFS(Projetos!$F$2:$F$11,Projetos!$D$2:$D$11,"BRL",Projetos!$N$2:$N$11,Dados!$A637)</f>
        <v>0</v>
      </c>
      <c r="C637" s="45">
        <f ca="1">(A637+B637)*((Indicadores_Economicos!D$2+1)^(1/12)-1)</f>
        <v>1.0166415854505801E-11</v>
      </c>
      <c r="D637" s="18">
        <f>SUMIFS(Projetos!$G$2:$G$11,Projetos!$K$2:$K$11,"&lt;="&amp;Dados!$A637,Projetos!$N$2:$N$11,"&gt;"&amp;Dados!A637,Projetos!$D$2:$D$11,"BRL")</f>
        <v>0</v>
      </c>
      <c r="E637" s="18">
        <f t="shared" ca="1" si="36"/>
        <v>3.1156105045343931E-9</v>
      </c>
      <c r="G637" s="45">
        <f t="shared" ca="1" si="39"/>
        <v>2.3888031451383713E-9</v>
      </c>
      <c r="H637" s="18">
        <f>-SUMIFS(Projetos!$F$2:$F$11,Projetos!$D$2:$D$11,"USD",Projetos!$N$2:$N$11,Dados!$A637)</f>
        <v>0</v>
      </c>
      <c r="I637" s="45">
        <f ca="1">(G637+H637)*((Indicadores_Economicos!D$2+1)^(1/12)-1)</f>
        <v>7.8203198880813734E-12</v>
      </c>
      <c r="J637" s="18">
        <f>SUMIFS(Projetos!$G$2:$G$11,Projetos!$K$2:$K$11,"&lt;="&amp;Dados!$A637,Projetos!$N$2:$N$11,"&gt;"&amp;Dados!$A637,Projetos!$D$2:$D$11,"USD")</f>
        <v>0</v>
      </c>
      <c r="K637" s="18">
        <f t="shared" ca="1" si="37"/>
        <v>2.3966234650264528E-9</v>
      </c>
    </row>
    <row r="638" spans="1:11" x14ac:dyDescent="0.2">
      <c r="A638" s="45">
        <f t="shared" ca="1" si="38"/>
        <v>3.1156105045343931E-9</v>
      </c>
      <c r="B638" s="18">
        <f>-SUMIFS(Projetos!$F$2:$F$11,Projetos!$D$2:$D$11,"BRL",Projetos!$N$2:$N$11,Dados!$A638)</f>
        <v>0</v>
      </c>
      <c r="C638" s="45">
        <f ca="1">(A638+B638)*((Indicadores_Economicos!D$2+1)^(1/12)-1)</f>
        <v>1.0199698054531074E-11</v>
      </c>
      <c r="D638" s="18">
        <f>SUMIFS(Projetos!$G$2:$G$11,Projetos!$K$2:$K$11,"&lt;="&amp;Dados!$A638,Projetos!$N$2:$N$11,"&gt;"&amp;Dados!A638,Projetos!$D$2:$D$11,"BRL")</f>
        <v>0</v>
      </c>
      <c r="E638" s="18">
        <f t="shared" ca="1" si="36"/>
        <v>3.125810202588924E-9</v>
      </c>
      <c r="G638" s="45">
        <f t="shared" ca="1" si="39"/>
        <v>2.3966234650264528E-9</v>
      </c>
      <c r="H638" s="18">
        <f>-SUMIFS(Projetos!$F$2:$F$11,Projetos!$D$2:$D$11,"USD",Projetos!$N$2:$N$11,Dados!$A638)</f>
        <v>0</v>
      </c>
      <c r="I638" s="45">
        <f ca="1">(G638+H638)*((Indicadores_Economicos!D$2+1)^(1/12)-1)</f>
        <v>7.845921580408507E-12</v>
      </c>
      <c r="J638" s="18">
        <f>SUMIFS(Projetos!$G$2:$G$11,Projetos!$K$2:$K$11,"&lt;="&amp;Dados!$A638,Projetos!$N$2:$N$11,"&gt;"&amp;Dados!$A638,Projetos!$D$2:$D$11,"USD")</f>
        <v>0</v>
      </c>
      <c r="K638" s="18">
        <f t="shared" ca="1" si="37"/>
        <v>2.4044693866068613E-9</v>
      </c>
    </row>
    <row r="639" spans="1:11" x14ac:dyDescent="0.2">
      <c r="A639" s="45">
        <f t="shared" ca="1" si="38"/>
        <v>3.125810202588924E-9</v>
      </c>
      <c r="B639" s="18">
        <f>-SUMIFS(Projetos!$F$2:$F$11,Projetos!$D$2:$D$11,"BRL",Projetos!$N$2:$N$11,Dados!$A639)</f>
        <v>0</v>
      </c>
      <c r="C639" s="45">
        <f ca="1">(A639+B639)*((Indicadores_Economicos!D$2+1)^(1/12)-1)</f>
        <v>1.0233089211818609E-11</v>
      </c>
      <c r="D639" s="18">
        <f>SUMIFS(Projetos!$G$2:$G$11,Projetos!$K$2:$K$11,"&lt;="&amp;Dados!$A639,Projetos!$N$2:$N$11,"&gt;"&amp;Dados!A639,Projetos!$D$2:$D$11,"BRL")</f>
        <v>0</v>
      </c>
      <c r="E639" s="18">
        <f t="shared" ca="1" si="36"/>
        <v>3.1360432918007427E-9</v>
      </c>
      <c r="G639" s="45">
        <f t="shared" ca="1" si="39"/>
        <v>2.4044693866068613E-9</v>
      </c>
      <c r="H639" s="18">
        <f>-SUMIFS(Projetos!$F$2:$F$11,Projetos!$D$2:$D$11,"USD",Projetos!$N$2:$N$11,Dados!$A639)</f>
        <v>0</v>
      </c>
      <c r="I639" s="45">
        <f ca="1">(G639+H639)*((Indicadores_Economicos!D$2+1)^(1/12)-1)</f>
        <v>7.871607086014303E-12</v>
      </c>
      <c r="J639" s="18">
        <f>SUMIFS(Projetos!$G$2:$G$11,Projetos!$K$2:$K$11,"&lt;="&amp;Dados!$A639,Projetos!$N$2:$N$11,"&gt;"&amp;Dados!$A639,Projetos!$D$2:$D$11,"USD")</f>
        <v>0</v>
      </c>
      <c r="K639" s="18">
        <f t="shared" ca="1" si="37"/>
        <v>2.4123409936928755E-9</v>
      </c>
    </row>
    <row r="640" spans="1:11" x14ac:dyDescent="0.2">
      <c r="A640" s="45">
        <f t="shared" ca="1" si="38"/>
        <v>3.1360432918007427E-9</v>
      </c>
      <c r="B640" s="18">
        <f>-SUMIFS(Projetos!$F$2:$F$11,Projetos!$D$2:$D$11,"BRL",Projetos!$N$2:$N$11,Dados!$A640)</f>
        <v>0</v>
      </c>
      <c r="C640" s="45">
        <f ca="1">(A640+B640)*((Indicadores_Economicos!D$2+1)^(1/12)-1)</f>
        <v>1.0266589683066129E-11</v>
      </c>
      <c r="D640" s="18">
        <f>SUMIFS(Projetos!$G$2:$G$11,Projetos!$K$2:$K$11,"&lt;="&amp;Dados!$A640,Projetos!$N$2:$N$11,"&gt;"&amp;Dados!A640,Projetos!$D$2:$D$11,"BRL")</f>
        <v>0</v>
      </c>
      <c r="E640" s="18">
        <f t="shared" ca="1" si="36"/>
        <v>3.1463098814838089E-9</v>
      </c>
      <c r="G640" s="45">
        <f t="shared" ca="1" si="39"/>
        <v>2.4123409936928755E-9</v>
      </c>
      <c r="H640" s="18">
        <f>-SUMIFS(Projetos!$F$2:$F$11,Projetos!$D$2:$D$11,"USD",Projetos!$N$2:$N$11,Dados!$A640)</f>
        <v>0</v>
      </c>
      <c r="I640" s="45">
        <f ca="1">(G640+H640)*((Indicadores_Economicos!D$2+1)^(1/12)-1)</f>
        <v>7.8973766792816275E-12</v>
      </c>
      <c r="J640" s="18">
        <f>SUMIFS(Projetos!$G$2:$G$11,Projetos!$K$2:$K$11,"&lt;="&amp;Dados!$A640,Projetos!$N$2:$N$11,"&gt;"&amp;Dados!$A640,Projetos!$D$2:$D$11,"USD")</f>
        <v>0</v>
      </c>
      <c r="K640" s="18">
        <f t="shared" ca="1" si="37"/>
        <v>2.4202383703721571E-9</v>
      </c>
    </row>
    <row r="641" spans="1:11" x14ac:dyDescent="0.2">
      <c r="A641" s="45">
        <f t="shared" ca="1" si="38"/>
        <v>3.1463098814838089E-9</v>
      </c>
      <c r="B641" s="18">
        <f>-SUMIFS(Projetos!$F$2:$F$11,Projetos!$D$2:$D$11,"BRL",Projetos!$N$2:$N$11,Dados!$A641)</f>
        <v>0</v>
      </c>
      <c r="C641" s="45">
        <f ca="1">(A641+B641)*((Indicadores_Economicos!D$2+1)^(1/12)-1)</f>
        <v>1.0300199826139096E-11</v>
      </c>
      <c r="D641" s="18">
        <f>SUMIFS(Projetos!$G$2:$G$11,Projetos!$K$2:$K$11,"&lt;="&amp;Dados!$A641,Projetos!$N$2:$N$11,"&gt;"&amp;Dados!A641,Projetos!$D$2:$D$11,"BRL")</f>
        <v>0</v>
      </c>
      <c r="E641" s="18">
        <f t="shared" ca="1" si="36"/>
        <v>3.1566100813099479E-9</v>
      </c>
      <c r="G641" s="45">
        <f t="shared" ca="1" si="39"/>
        <v>2.4202383703721571E-9</v>
      </c>
      <c r="H641" s="18">
        <f>-SUMIFS(Projetos!$F$2:$F$11,Projetos!$D$2:$D$11,"USD",Projetos!$N$2:$N$11,Dados!$A641)</f>
        <v>0</v>
      </c>
      <c r="I641" s="45">
        <f ca="1">(G641+H641)*((Indicadores_Economicos!D$2+1)^(1/12)-1)</f>
        <v>7.9232306354916018E-12</v>
      </c>
      <c r="J641" s="18">
        <f>SUMIFS(Projetos!$G$2:$G$11,Projetos!$K$2:$K$11,"&lt;="&amp;Dados!$A641,Projetos!$N$2:$N$11,"&gt;"&amp;Dados!$A641,Projetos!$D$2:$D$11,"USD")</f>
        <v>0</v>
      </c>
      <c r="K641" s="18">
        <f t="shared" ca="1" si="37"/>
        <v>2.4281616010076488E-9</v>
      </c>
    </row>
    <row r="642" spans="1:11" x14ac:dyDescent="0.2">
      <c r="A642" s="45">
        <f t="shared" ca="1" si="38"/>
        <v>3.1566100813099479E-9</v>
      </c>
      <c r="B642" s="18">
        <f>-SUMIFS(Projetos!$F$2:$F$11,Projetos!$D$2:$D$11,"BRL",Projetos!$N$2:$N$11,Dados!$A642)</f>
        <v>0</v>
      </c>
      <c r="C642" s="45">
        <f ca="1">(A642+B642)*((Indicadores_Economicos!D$2+1)^(1/12)-1)</f>
        <v>1.0333920000074526E-11</v>
      </c>
      <c r="D642" s="18">
        <f>SUMIFS(Projetos!$G$2:$G$11,Projetos!$K$2:$K$11,"&lt;="&amp;Dados!$A642,Projetos!$N$2:$N$11,"&gt;"&amp;Dados!A642,Projetos!$D$2:$D$11,"BRL")</f>
        <v>0</v>
      </c>
      <c r="E642" s="18">
        <f t="shared" ref="E642:E705" ca="1" si="40">A642+B642+C642+D642</f>
        <v>3.1669440013100223E-9</v>
      </c>
      <c r="G642" s="45">
        <f t="shared" ca="1" si="39"/>
        <v>2.4281616010076488E-9</v>
      </c>
      <c r="H642" s="18">
        <f>-SUMIFS(Projetos!$F$2:$F$11,Projetos!$D$2:$D$11,"USD",Projetos!$N$2:$N$11,Dados!$A642)</f>
        <v>0</v>
      </c>
      <c r="I642" s="45">
        <f ca="1">(G642+H642)*((Indicadores_Economicos!D$2+1)^(1/12)-1)</f>
        <v>7.9491692308265472E-12</v>
      </c>
      <c r="J642" s="18">
        <f>SUMIFS(Projetos!$G$2:$G$11,Projetos!$K$2:$K$11,"&lt;="&amp;Dados!$A642,Projetos!$N$2:$N$11,"&gt;"&amp;Dados!$A642,Projetos!$D$2:$D$11,"USD")</f>
        <v>0</v>
      </c>
      <c r="K642" s="18">
        <f t="shared" ref="K642:K705" ca="1" si="41">G642+H642+I642+J642</f>
        <v>2.4361107702384754E-9</v>
      </c>
    </row>
    <row r="643" spans="1:11" x14ac:dyDescent="0.2">
      <c r="A643" s="45">
        <f t="shared" ca="1" si="38"/>
        <v>3.1669440013100223E-9</v>
      </c>
      <c r="B643" s="18">
        <f>-SUMIFS(Projetos!$F$2:$F$11,Projetos!$D$2:$D$11,"BRL",Projetos!$N$2:$N$11,Dados!$A643)</f>
        <v>0</v>
      </c>
      <c r="C643" s="45">
        <f ca="1">(A643+B643)*((Indicadores_Economicos!D$2+1)^(1/12)-1)</f>
        <v>1.0367750565084832E-11</v>
      </c>
      <c r="D643" s="18">
        <f>SUMIFS(Projetos!$G$2:$G$11,Projetos!$K$2:$K$11,"&lt;="&amp;Dados!$A643,Projetos!$N$2:$N$11,"&gt;"&amp;Dados!A643,Projetos!$D$2:$D$11,"BRL")</f>
        <v>0</v>
      </c>
      <c r="E643" s="18">
        <f t="shared" ca="1" si="40"/>
        <v>3.177311751875107E-9</v>
      </c>
      <c r="G643" s="45">
        <f t="shared" ca="1" si="39"/>
        <v>2.4361107702384754E-9</v>
      </c>
      <c r="H643" s="18">
        <f>-SUMIFS(Projetos!$F$2:$F$11,Projetos!$D$2:$D$11,"USD",Projetos!$N$2:$N$11,Dados!$A643)</f>
        <v>0</v>
      </c>
      <c r="I643" s="45">
        <f ca="1">(G643+H643)*((Indicadores_Economicos!D$2+1)^(1/12)-1)</f>
        <v>7.975192742372936E-12</v>
      </c>
      <c r="J643" s="18">
        <f>SUMIFS(Projetos!$G$2:$G$11,Projetos!$K$2:$K$11,"&lt;="&amp;Dados!$A643,Projetos!$N$2:$N$11,"&gt;"&amp;Dados!$A643,Projetos!$D$2:$D$11,"USD")</f>
        <v>0</v>
      </c>
      <c r="K643" s="18">
        <f t="shared" ca="1" si="41"/>
        <v>2.4440859629808485E-9</v>
      </c>
    </row>
    <row r="644" spans="1:11" x14ac:dyDescent="0.2">
      <c r="A644" s="45">
        <f t="shared" ref="A644:A707" ca="1" si="42">E643</f>
        <v>3.177311751875107E-9</v>
      </c>
      <c r="B644" s="18">
        <f>-SUMIFS(Projetos!$F$2:$F$11,Projetos!$D$2:$D$11,"BRL",Projetos!$N$2:$N$11,Dados!$A644)</f>
        <v>0</v>
      </c>
      <c r="C644" s="45">
        <f ca="1">(A644+B644)*((Indicadores_Economicos!D$2+1)^(1/12)-1)</f>
        <v>1.0401691882561664E-11</v>
      </c>
      <c r="D644" s="18">
        <f>SUMIFS(Projetos!$G$2:$G$11,Projetos!$K$2:$K$11,"&lt;="&amp;Dados!$A644,Projetos!$N$2:$N$11,"&gt;"&amp;Dados!A644,Projetos!$D$2:$D$11,"BRL")</f>
        <v>0</v>
      </c>
      <c r="E644" s="18">
        <f t="shared" ca="1" si="40"/>
        <v>3.1877134437576685E-9</v>
      </c>
      <c r="G644" s="45">
        <f t="shared" ref="G644:G707" ca="1" si="43">K643</f>
        <v>2.4440859629808485E-9</v>
      </c>
      <c r="H644" s="18">
        <f>-SUMIFS(Projetos!$F$2:$F$11,Projetos!$D$2:$D$11,"USD",Projetos!$N$2:$N$11,Dados!$A644)</f>
        <v>0</v>
      </c>
      <c r="I644" s="45">
        <f ca="1">(G644+H644)*((Indicadores_Economicos!D$2+1)^(1/12)-1)</f>
        <v>8.0013014481243468E-12</v>
      </c>
      <c r="J644" s="18">
        <f>SUMIFS(Projetos!$G$2:$G$11,Projetos!$K$2:$K$11,"&lt;="&amp;Dados!$A644,Projetos!$N$2:$N$11,"&gt;"&amp;Dados!$A644,Projetos!$D$2:$D$11,"USD")</f>
        <v>0</v>
      </c>
      <c r="K644" s="18">
        <f t="shared" ca="1" si="41"/>
        <v>2.4520872644289729E-9</v>
      </c>
    </row>
    <row r="645" spans="1:11" x14ac:dyDescent="0.2">
      <c r="A645" s="45">
        <f t="shared" ca="1" si="42"/>
        <v>3.1877134437576685E-9</v>
      </c>
      <c r="B645" s="18">
        <f>-SUMIFS(Projetos!$F$2:$F$11,Projetos!$D$2:$D$11,"BRL",Projetos!$N$2:$N$11,Dados!$A645)</f>
        <v>0</v>
      </c>
      <c r="C645" s="45">
        <f ca="1">(A645+B645)*((Indicadores_Economicos!D$2+1)^(1/12)-1)</f>
        <v>1.0435744315079781E-11</v>
      </c>
      <c r="D645" s="18">
        <f>SUMIFS(Projetos!$G$2:$G$11,Projetos!$K$2:$K$11,"&lt;="&amp;Dados!$A645,Projetos!$N$2:$N$11,"&gt;"&amp;Dados!A645,Projetos!$D$2:$D$11,"BRL")</f>
        <v>0</v>
      </c>
      <c r="E645" s="18">
        <f t="shared" ca="1" si="40"/>
        <v>3.1981491880727482E-9</v>
      </c>
      <c r="G645" s="45">
        <f t="shared" ca="1" si="43"/>
        <v>2.4520872644289729E-9</v>
      </c>
      <c r="H645" s="18">
        <f>-SUMIFS(Projetos!$F$2:$F$11,Projetos!$D$2:$D$11,"USD",Projetos!$N$2:$N$11,Dados!$A645)</f>
        <v>0</v>
      </c>
      <c r="I645" s="45">
        <f ca="1">(G645+H645)*((Indicadores_Economicos!D$2+1)^(1/12)-1)</f>
        <v>8.0274956269844384E-12</v>
      </c>
      <c r="J645" s="18">
        <f>SUMIFS(Projetos!$G$2:$G$11,Projetos!$K$2:$K$11,"&lt;="&amp;Dados!$A645,Projetos!$N$2:$N$11,"&gt;"&amp;Dados!$A645,Projetos!$D$2:$D$11,"USD")</f>
        <v>0</v>
      </c>
      <c r="K645" s="18">
        <f t="shared" ca="1" si="41"/>
        <v>2.4601147600559573E-9</v>
      </c>
    </row>
    <row r="646" spans="1:11" x14ac:dyDescent="0.2">
      <c r="A646" s="45">
        <f t="shared" ca="1" si="42"/>
        <v>3.1981491880727482E-9</v>
      </c>
      <c r="B646" s="18">
        <f>-SUMIFS(Projetos!$F$2:$F$11,Projetos!$D$2:$D$11,"BRL",Projetos!$N$2:$N$11,Dados!$A646)</f>
        <v>0</v>
      </c>
      <c r="C646" s="45">
        <f ca="1">(A646+B646)*((Indicadores_Economicos!D$2+1)^(1/12)-1)</f>
        <v>1.0469908226400914E-11</v>
      </c>
      <c r="D646" s="18">
        <f>SUMIFS(Projetos!$G$2:$G$11,Projetos!$K$2:$K$11,"&lt;="&amp;Dados!$A646,Projetos!$N$2:$N$11,"&gt;"&amp;Dados!A646,Projetos!$D$2:$D$11,"BRL")</f>
        <v>0</v>
      </c>
      <c r="E646" s="18">
        <f t="shared" ca="1" si="40"/>
        <v>3.208619096299149E-9</v>
      </c>
      <c r="G646" s="45">
        <f t="shared" ca="1" si="43"/>
        <v>2.4601147600559573E-9</v>
      </c>
      <c r="H646" s="18">
        <f>-SUMIFS(Projetos!$F$2:$F$11,Projetos!$D$2:$D$11,"USD",Projetos!$N$2:$N$11,Dados!$A646)</f>
        <v>0</v>
      </c>
      <c r="I646" s="45">
        <f ca="1">(G646+H646)*((Indicadores_Economicos!D$2+1)^(1/12)-1)</f>
        <v>8.0537755587699247E-12</v>
      </c>
      <c r="J646" s="18">
        <f>SUMIFS(Projetos!$G$2:$G$11,Projetos!$K$2:$K$11,"&lt;="&amp;Dados!$A646,Projetos!$N$2:$N$11,"&gt;"&amp;Dados!$A646,Projetos!$D$2:$D$11,"USD")</f>
        <v>0</v>
      </c>
      <c r="K646" s="18">
        <f t="shared" ca="1" si="41"/>
        <v>2.4681685356147271E-9</v>
      </c>
    </row>
    <row r="647" spans="1:11" x14ac:dyDescent="0.2">
      <c r="A647" s="45">
        <f t="shared" ca="1" si="42"/>
        <v>3.208619096299149E-9</v>
      </c>
      <c r="B647" s="18">
        <f>-SUMIFS(Projetos!$F$2:$F$11,Projetos!$D$2:$D$11,"BRL",Projetos!$N$2:$N$11,Dados!$A647)</f>
        <v>0</v>
      </c>
      <c r="C647" s="45">
        <f ca="1">(A647+B647)*((Indicadores_Economicos!D$2+1)^(1/12)-1)</f>
        <v>1.0504183981477655E-11</v>
      </c>
      <c r="D647" s="18">
        <f>SUMIFS(Projetos!$G$2:$G$11,Projetos!$K$2:$K$11,"&lt;="&amp;Dados!$A647,Projetos!$N$2:$N$11,"&gt;"&amp;Dados!A647,Projetos!$D$2:$D$11,"BRL")</f>
        <v>0</v>
      </c>
      <c r="E647" s="18">
        <f t="shared" ca="1" si="40"/>
        <v>3.2191232802806265E-9</v>
      </c>
      <c r="G647" s="45">
        <f t="shared" ca="1" si="43"/>
        <v>2.4681685356147271E-9</v>
      </c>
      <c r="H647" s="18">
        <f>-SUMIFS(Projetos!$F$2:$F$11,Projetos!$D$2:$D$11,"USD",Projetos!$N$2:$N$11,Dados!$A647)</f>
        <v>0</v>
      </c>
      <c r="I647" s="45">
        <f ca="1">(G647+H647)*((Indicadores_Economicos!D$2+1)^(1/12)-1)</f>
        <v>8.0801415242135706E-12</v>
      </c>
      <c r="J647" s="18">
        <f>SUMIFS(Projetos!$G$2:$G$11,Projetos!$K$2:$K$11,"&lt;="&amp;Dados!$A647,Projetos!$N$2:$N$11,"&gt;"&amp;Dados!$A647,Projetos!$D$2:$D$11,"USD")</f>
        <v>0</v>
      </c>
      <c r="K647" s="18">
        <f t="shared" ca="1" si="41"/>
        <v>2.4762486771389406E-9</v>
      </c>
    </row>
    <row r="648" spans="1:11" x14ac:dyDescent="0.2">
      <c r="A648" s="45">
        <f t="shared" ca="1" si="42"/>
        <v>3.2191232802806265E-9</v>
      </c>
      <c r="B648" s="18">
        <f>-SUMIFS(Projetos!$F$2:$F$11,Projetos!$D$2:$D$11,"BRL",Projetos!$N$2:$N$11,Dados!$A648)</f>
        <v>0</v>
      </c>
      <c r="C648" s="45">
        <f ca="1">(A648+B648)*((Indicadores_Economicos!D$2+1)^(1/12)-1)</f>
        <v>1.0538571946457353E-11</v>
      </c>
      <c r="D648" s="18">
        <f>SUMIFS(Projetos!$G$2:$G$11,Projetos!$K$2:$K$11,"&lt;="&amp;Dados!$A648,Projetos!$N$2:$N$11,"&gt;"&amp;Dados!A648,Projetos!$D$2:$D$11,"BRL")</f>
        <v>0</v>
      </c>
      <c r="E648" s="18">
        <f t="shared" ca="1" si="40"/>
        <v>3.2296618522270837E-9</v>
      </c>
      <c r="G648" s="45">
        <f t="shared" ca="1" si="43"/>
        <v>2.4762486771389406E-9</v>
      </c>
      <c r="H648" s="18">
        <f>-SUMIFS(Projetos!$F$2:$F$11,Projetos!$D$2:$D$11,"USD",Projetos!$N$2:$N$11,Dados!$A648)</f>
        <v>0</v>
      </c>
      <c r="I648" s="45">
        <f ca="1">(G648+H648)*((Indicadores_Economicos!D$2+1)^(1/12)-1)</f>
        <v>8.1065938049671855E-12</v>
      </c>
      <c r="J648" s="18">
        <f>SUMIFS(Projetos!$G$2:$G$11,Projetos!$K$2:$K$11,"&lt;="&amp;Dados!$A648,Projetos!$N$2:$N$11,"&gt;"&amp;Dados!$A648,Projetos!$D$2:$D$11,"USD")</f>
        <v>0</v>
      </c>
      <c r="K648" s="18">
        <f t="shared" ca="1" si="41"/>
        <v>2.4843552709439079E-9</v>
      </c>
    </row>
    <row r="649" spans="1:11" x14ac:dyDescent="0.2">
      <c r="A649" s="45">
        <f t="shared" ca="1" si="42"/>
        <v>3.2296618522270837E-9</v>
      </c>
      <c r="B649" s="18">
        <f>-SUMIFS(Projetos!$F$2:$F$11,Projetos!$D$2:$D$11,"BRL",Projetos!$N$2:$N$11,Dados!$A649)</f>
        <v>0</v>
      </c>
      <c r="C649" s="45">
        <f ca="1">(A649+B649)*((Indicadores_Economicos!D$2+1)^(1/12)-1)</f>
        <v>1.0573072488686035E-11</v>
      </c>
      <c r="D649" s="18">
        <f>SUMIFS(Projetos!$G$2:$G$11,Projetos!$K$2:$K$11,"&lt;="&amp;Dados!$A649,Projetos!$N$2:$N$11,"&gt;"&amp;Dados!A649,Projetos!$D$2:$D$11,"BRL")</f>
        <v>0</v>
      </c>
      <c r="E649" s="18">
        <f t="shared" ca="1" si="40"/>
        <v>3.2402349247157696E-9</v>
      </c>
      <c r="G649" s="45">
        <f t="shared" ca="1" si="43"/>
        <v>2.4843552709439079E-9</v>
      </c>
      <c r="H649" s="18">
        <f>-SUMIFS(Projetos!$F$2:$F$11,Projetos!$D$2:$D$11,"USD",Projetos!$N$2:$N$11,Dados!$A649)</f>
        <v>0</v>
      </c>
      <c r="I649" s="45">
        <f ca="1">(G649+H649)*((Indicadores_Economicos!D$2+1)^(1/12)-1)</f>
        <v>8.1331326836046349E-12</v>
      </c>
      <c r="J649" s="18">
        <f>SUMIFS(Projetos!$G$2:$G$11,Projetos!$K$2:$K$11,"&lt;="&amp;Dados!$A649,Projetos!$N$2:$N$11,"&gt;"&amp;Dados!$A649,Projetos!$D$2:$D$11,"USD")</f>
        <v>0</v>
      </c>
      <c r="K649" s="18">
        <f t="shared" ca="1" si="41"/>
        <v>2.4924884036275127E-9</v>
      </c>
    </row>
    <row r="650" spans="1:11" x14ac:dyDescent="0.2">
      <c r="A650" s="45">
        <f t="shared" ca="1" si="42"/>
        <v>3.2402349247157696E-9</v>
      </c>
      <c r="B650" s="18">
        <f>-SUMIFS(Projetos!$F$2:$F$11,Projetos!$D$2:$D$11,"BRL",Projetos!$N$2:$N$11,Dados!$A650)</f>
        <v>0</v>
      </c>
      <c r="C650" s="45">
        <f ca="1">(A650+B650)*((Indicadores_Economicos!D$2+1)^(1/12)-1)</f>
        <v>1.0607685976712319E-11</v>
      </c>
      <c r="D650" s="18">
        <f>SUMIFS(Projetos!$G$2:$G$11,Projetos!$K$2:$K$11,"&lt;="&amp;Dados!$A650,Projetos!$N$2:$N$11,"&gt;"&amp;Dados!A650,Projetos!$D$2:$D$11,"BRL")</f>
        <v>0</v>
      </c>
      <c r="E650" s="18">
        <f t="shared" ca="1" si="40"/>
        <v>3.2508426106924819E-9</v>
      </c>
      <c r="G650" s="45">
        <f t="shared" ca="1" si="43"/>
        <v>2.4924884036275127E-9</v>
      </c>
      <c r="H650" s="18">
        <f>-SUMIFS(Projetos!$F$2:$F$11,Projetos!$D$2:$D$11,"USD",Projetos!$N$2:$N$11,Dados!$A650)</f>
        <v>0</v>
      </c>
      <c r="I650" s="45">
        <f ca="1">(G650+H650)*((Indicadores_Economicos!D$2+1)^(1/12)-1)</f>
        <v>8.1597584436248531E-12</v>
      </c>
      <c r="J650" s="18">
        <f>SUMIFS(Projetos!$G$2:$G$11,Projetos!$K$2:$K$11,"&lt;="&amp;Dados!$A650,Projetos!$N$2:$N$11,"&gt;"&amp;Dados!$A650,Projetos!$D$2:$D$11,"USD")</f>
        <v>0</v>
      </c>
      <c r="K650" s="18">
        <f t="shared" ca="1" si="41"/>
        <v>2.5006481620711375E-9</v>
      </c>
    </row>
    <row r="651" spans="1:11" x14ac:dyDescent="0.2">
      <c r="A651" s="45">
        <f t="shared" ca="1" si="42"/>
        <v>3.2508426106924819E-9</v>
      </c>
      <c r="B651" s="18">
        <f>-SUMIFS(Projetos!$F$2:$F$11,Projetos!$D$2:$D$11,"BRL",Projetos!$N$2:$N$11,Dados!$A651)</f>
        <v>0</v>
      </c>
      <c r="C651" s="45">
        <f ca="1">(A651+B651)*((Indicadores_Economicos!D$2+1)^(1/12)-1)</f>
        <v>1.0642412780291356E-11</v>
      </c>
      <c r="D651" s="18">
        <f>SUMIFS(Projetos!$G$2:$G$11,Projetos!$K$2:$K$11,"&lt;="&amp;Dados!$A651,Projetos!$N$2:$N$11,"&gt;"&amp;Dados!A651,Projetos!$D$2:$D$11,"BRL")</f>
        <v>0</v>
      </c>
      <c r="E651" s="18">
        <f t="shared" ca="1" si="40"/>
        <v>3.2614850234727733E-9</v>
      </c>
      <c r="G651" s="45">
        <f t="shared" ca="1" si="43"/>
        <v>2.5006481620711375E-9</v>
      </c>
      <c r="H651" s="18">
        <f>-SUMIFS(Projetos!$F$2:$F$11,Projetos!$D$2:$D$11,"USD",Projetos!$N$2:$N$11,Dados!$A651)</f>
        <v>0</v>
      </c>
      <c r="I651" s="45">
        <f ca="1">(G651+H651)*((Indicadores_Economicos!D$2+1)^(1/12)-1)</f>
        <v>8.1864713694548808E-12</v>
      </c>
      <c r="J651" s="18">
        <f>SUMIFS(Projetos!$G$2:$G$11,Projetos!$K$2:$K$11,"&lt;="&amp;Dados!$A651,Projetos!$N$2:$N$11,"&gt;"&amp;Dados!$A651,Projetos!$D$2:$D$11,"USD")</f>
        <v>0</v>
      </c>
      <c r="K651" s="18">
        <f t="shared" ca="1" si="41"/>
        <v>2.5088346334405925E-9</v>
      </c>
    </row>
    <row r="652" spans="1:11" x14ac:dyDescent="0.2">
      <c r="A652" s="45">
        <f t="shared" ca="1" si="42"/>
        <v>3.2614850234727733E-9</v>
      </c>
      <c r="B652" s="18">
        <f>-SUMIFS(Projetos!$F$2:$F$11,Projetos!$D$2:$D$11,"BRL",Projetos!$N$2:$N$11,Dados!$A652)</f>
        <v>0</v>
      </c>
      <c r="C652" s="45">
        <f ca="1">(A652+B652)*((Indicadores_Economicos!D$2+1)^(1/12)-1)</f>
        <v>1.0677253270388779E-11</v>
      </c>
      <c r="D652" s="18">
        <f>SUMIFS(Projetos!$G$2:$G$11,Projetos!$K$2:$K$11,"&lt;="&amp;Dados!$A652,Projetos!$N$2:$N$11,"&gt;"&amp;Dados!A652,Projetos!$D$2:$D$11,"BRL")</f>
        <v>0</v>
      </c>
      <c r="E652" s="18">
        <f t="shared" ca="1" si="40"/>
        <v>3.2721622767431619E-9</v>
      </c>
      <c r="G652" s="45">
        <f t="shared" ca="1" si="43"/>
        <v>2.5088346334405925E-9</v>
      </c>
      <c r="H652" s="18">
        <f>-SUMIFS(Projetos!$F$2:$F$11,Projetos!$D$2:$D$11,"USD",Projetos!$N$2:$N$11,Dados!$A652)</f>
        <v>0</v>
      </c>
      <c r="I652" s="45">
        <f ca="1">(G652+H652)*((Indicadores_Economicos!D$2+1)^(1/12)-1)</f>
        <v>8.2132717464528993E-12</v>
      </c>
      <c r="J652" s="18">
        <f>SUMIFS(Projetos!$G$2:$G$11,Projetos!$K$2:$K$11,"&lt;="&amp;Dados!$A652,Projetos!$N$2:$N$11,"&gt;"&amp;Dados!$A652,Projetos!$D$2:$D$11,"USD")</f>
        <v>0</v>
      </c>
      <c r="K652" s="18">
        <f t="shared" ca="1" si="41"/>
        <v>2.5170479051870452E-9</v>
      </c>
    </row>
    <row r="653" spans="1:11" x14ac:dyDescent="0.2">
      <c r="A653" s="45">
        <f t="shared" ca="1" si="42"/>
        <v>3.2721622767431619E-9</v>
      </c>
      <c r="B653" s="18">
        <f>-SUMIFS(Projetos!$F$2:$F$11,Projetos!$D$2:$D$11,"BRL",Projetos!$N$2:$N$11,Dados!$A653)</f>
        <v>0</v>
      </c>
      <c r="C653" s="45">
        <f ca="1">(A653+B653)*((Indicadores_Economicos!D$2+1)^(1/12)-1)</f>
        <v>1.0712207819184663E-11</v>
      </c>
      <c r="D653" s="18">
        <f>SUMIFS(Projetos!$G$2:$G$11,Projetos!$K$2:$K$11,"&lt;="&amp;Dados!$A653,Projetos!$N$2:$N$11,"&gt;"&amp;Dados!A653,Projetos!$D$2:$D$11,"BRL")</f>
        <v>0</v>
      </c>
      <c r="E653" s="18">
        <f t="shared" ca="1" si="40"/>
        <v>3.2828744845623465E-9</v>
      </c>
      <c r="G653" s="45">
        <f t="shared" ca="1" si="43"/>
        <v>2.5170479051870452E-9</v>
      </c>
      <c r="H653" s="18">
        <f>-SUMIFS(Projetos!$F$2:$F$11,Projetos!$D$2:$D$11,"USD",Projetos!$N$2:$N$11,Dados!$A653)</f>
        <v>0</v>
      </c>
      <c r="I653" s="45">
        <f ca="1">(G653+H653)*((Indicadores_Economicos!D$2+1)^(1/12)-1)</f>
        <v>8.2401598609112706E-12</v>
      </c>
      <c r="J653" s="18">
        <f>SUMIFS(Projetos!$G$2:$G$11,Projetos!$K$2:$K$11,"&lt;="&amp;Dados!$A653,Projetos!$N$2:$N$11,"&gt;"&amp;Dados!$A653,Projetos!$D$2:$D$11,"USD")</f>
        <v>0</v>
      </c>
      <c r="K653" s="18">
        <f t="shared" ca="1" si="41"/>
        <v>2.5252880650479562E-9</v>
      </c>
    </row>
    <row r="654" spans="1:11" x14ac:dyDescent="0.2">
      <c r="A654" s="45">
        <f t="shared" ca="1" si="42"/>
        <v>3.2828744845623465E-9</v>
      </c>
      <c r="B654" s="18">
        <f>-SUMIFS(Projetos!$F$2:$F$11,Projetos!$D$2:$D$11,"BRL",Projetos!$N$2:$N$11,Dados!$A654)</f>
        <v>0</v>
      </c>
      <c r="C654" s="45">
        <f ca="1">(A654+B654)*((Indicadores_Economicos!D$2+1)^(1/12)-1)</f>
        <v>1.0747276800077509E-11</v>
      </c>
      <c r="D654" s="18">
        <f>SUMIFS(Projetos!$G$2:$G$11,Projetos!$K$2:$K$11,"&lt;="&amp;Dados!$A654,Projetos!$N$2:$N$11,"&gt;"&amp;Dados!A654,Projetos!$D$2:$D$11,"BRL")</f>
        <v>0</v>
      </c>
      <c r="E654" s="18">
        <f t="shared" ca="1" si="40"/>
        <v>3.293621761362424E-9</v>
      </c>
      <c r="G654" s="45">
        <f t="shared" ca="1" si="43"/>
        <v>2.5252880650479562E-9</v>
      </c>
      <c r="H654" s="18">
        <f>-SUMIFS(Projetos!$F$2:$F$11,Projetos!$D$2:$D$11,"USD",Projetos!$N$2:$N$11,Dados!$A654)</f>
        <v>0</v>
      </c>
      <c r="I654" s="45">
        <f ca="1">(G654+H654)*((Indicadores_Economicos!D$2+1)^(1/12)-1)</f>
        <v>8.2671360000596139E-12</v>
      </c>
      <c r="J654" s="18">
        <f>SUMIFS(Projetos!$G$2:$G$11,Projetos!$K$2:$K$11,"&lt;="&amp;Dados!$A654,Projetos!$N$2:$N$11,"&gt;"&amp;Dados!$A654,Projetos!$D$2:$D$11,"USD")</f>
        <v>0</v>
      </c>
      <c r="K654" s="18">
        <f t="shared" ca="1" si="41"/>
        <v>2.5335552010480157E-9</v>
      </c>
    </row>
    <row r="655" spans="1:11" x14ac:dyDescent="0.2">
      <c r="A655" s="45">
        <f t="shared" ca="1" si="42"/>
        <v>3.293621761362424E-9</v>
      </c>
      <c r="B655" s="18">
        <f>-SUMIFS(Projetos!$F$2:$F$11,Projetos!$D$2:$D$11,"BRL",Projetos!$N$2:$N$11,Dados!$A655)</f>
        <v>0</v>
      </c>
      <c r="C655" s="45">
        <f ca="1">(A655+B655)*((Indicadores_Economicos!D$2+1)^(1/12)-1)</f>
        <v>1.0782460587688227E-11</v>
      </c>
      <c r="D655" s="18">
        <f>SUMIFS(Projetos!$G$2:$G$11,Projetos!$K$2:$K$11,"&lt;="&amp;Dados!$A655,Projetos!$N$2:$N$11,"&gt;"&amp;Dados!A655,Projetos!$D$2:$D$11,"BRL")</f>
        <v>0</v>
      </c>
      <c r="E655" s="18">
        <f t="shared" ca="1" si="40"/>
        <v>3.3044042219501123E-9</v>
      </c>
      <c r="G655" s="45">
        <f t="shared" ca="1" si="43"/>
        <v>2.5335552010480157E-9</v>
      </c>
      <c r="H655" s="18">
        <f>-SUMIFS(Projetos!$F$2:$F$11,Projetos!$D$2:$D$11,"USD",Projetos!$N$2:$N$11,Dados!$A655)</f>
        <v>0</v>
      </c>
      <c r="I655" s="45">
        <f ca="1">(G655+H655)*((Indicadores_Economicos!D$2+1)^(1/12)-1)</f>
        <v>8.2942004520678572E-12</v>
      </c>
      <c r="J655" s="18">
        <f>SUMIFS(Projetos!$G$2:$G$11,Projetos!$K$2:$K$11,"&lt;="&amp;Dados!$A655,Projetos!$N$2:$N$11,"&gt;"&amp;Dados!$A655,Projetos!$D$2:$D$11,"USD")</f>
        <v>0</v>
      </c>
      <c r="K655" s="18">
        <f t="shared" ca="1" si="41"/>
        <v>2.5418494015000834E-9</v>
      </c>
    </row>
    <row r="656" spans="1:11" x14ac:dyDescent="0.2">
      <c r="A656" s="45">
        <f t="shared" ca="1" si="42"/>
        <v>3.3044042219501123E-9</v>
      </c>
      <c r="B656" s="18">
        <f>-SUMIFS(Projetos!$F$2:$F$11,Projetos!$D$2:$D$11,"BRL",Projetos!$N$2:$N$11,Dados!$A656)</f>
        <v>0</v>
      </c>
      <c r="C656" s="45">
        <f ca="1">(A656+B656)*((Indicadores_Economicos!D$2+1)^(1/12)-1)</f>
        <v>1.0817759557864134E-11</v>
      </c>
      <c r="D656" s="18">
        <f>SUMIFS(Projetos!$G$2:$G$11,Projetos!$K$2:$K$11,"&lt;="&amp;Dados!$A656,Projetos!$N$2:$N$11,"&gt;"&amp;Dados!A656,Projetos!$D$2:$D$11,"BRL")</f>
        <v>0</v>
      </c>
      <c r="E656" s="18">
        <f t="shared" ca="1" si="40"/>
        <v>3.3152219815079765E-9</v>
      </c>
      <c r="G656" s="45">
        <f t="shared" ca="1" si="43"/>
        <v>2.5418494015000834E-9</v>
      </c>
      <c r="H656" s="18">
        <f>-SUMIFS(Projetos!$F$2:$F$11,Projetos!$D$2:$D$11,"USD",Projetos!$N$2:$N$11,Dados!$A656)</f>
        <v>0</v>
      </c>
      <c r="I656" s="45">
        <f ca="1">(G656+H656)*((Indicadores_Economicos!D$2+1)^(1/12)-1)</f>
        <v>8.3213535060493248E-12</v>
      </c>
      <c r="J656" s="18">
        <f>SUMIFS(Projetos!$G$2:$G$11,Projetos!$K$2:$K$11,"&lt;="&amp;Dados!$A656,Projetos!$N$2:$N$11,"&gt;"&amp;Dados!$A656,Projetos!$D$2:$D$11,"USD")</f>
        <v>0</v>
      </c>
      <c r="K656" s="18">
        <f t="shared" ca="1" si="41"/>
        <v>2.5501707550061326E-9</v>
      </c>
    </row>
    <row r="657" spans="1:11" x14ac:dyDescent="0.2">
      <c r="A657" s="45">
        <f t="shared" ca="1" si="42"/>
        <v>3.3152219815079765E-9</v>
      </c>
      <c r="B657" s="18">
        <f>-SUMIFS(Projetos!$F$2:$F$11,Projetos!$D$2:$D$11,"BRL",Projetos!$N$2:$N$11,Dados!$A657)</f>
        <v>0</v>
      </c>
      <c r="C657" s="45">
        <f ca="1">(A657+B657)*((Indicadores_Economicos!D$2+1)^(1/12)-1)</f>
        <v>1.0853174087682977E-11</v>
      </c>
      <c r="D657" s="18">
        <f>SUMIFS(Projetos!$G$2:$G$11,Projetos!$K$2:$K$11,"&lt;="&amp;Dados!$A657,Projetos!$N$2:$N$11,"&gt;"&amp;Dados!A657,Projetos!$D$2:$D$11,"BRL")</f>
        <v>0</v>
      </c>
      <c r="E657" s="18">
        <f t="shared" ca="1" si="40"/>
        <v>3.3260751555956596E-9</v>
      </c>
      <c r="G657" s="45">
        <f t="shared" ca="1" si="43"/>
        <v>2.5501707550061326E-9</v>
      </c>
      <c r="H657" s="18">
        <f>-SUMIFS(Projetos!$F$2:$F$11,Projetos!$D$2:$D$11,"USD",Projetos!$N$2:$N$11,Dados!$A657)</f>
        <v>0</v>
      </c>
      <c r="I657" s="45">
        <f ca="1">(G657+H657)*((Indicadores_Economicos!D$2+1)^(1/12)-1)</f>
        <v>8.348595452063818E-12</v>
      </c>
      <c r="J657" s="18">
        <f>SUMIFS(Projetos!$G$2:$G$11,Projetos!$K$2:$K$11,"&lt;="&amp;Dados!$A657,Projetos!$N$2:$N$11,"&gt;"&amp;Dados!$A657,Projetos!$D$2:$D$11,"USD")</f>
        <v>0</v>
      </c>
      <c r="K657" s="18">
        <f t="shared" ca="1" si="41"/>
        <v>2.5585193504581962E-9</v>
      </c>
    </row>
    <row r="658" spans="1:11" x14ac:dyDescent="0.2">
      <c r="A658" s="45">
        <f t="shared" ca="1" si="42"/>
        <v>3.3260751555956596E-9</v>
      </c>
      <c r="B658" s="18">
        <f>-SUMIFS(Projetos!$F$2:$F$11,Projetos!$D$2:$D$11,"BRL",Projetos!$N$2:$N$11,Dados!$A658)</f>
        <v>0</v>
      </c>
      <c r="C658" s="45">
        <f ca="1">(A658+B658)*((Indicadores_Economicos!D$2+1)^(1/12)-1)</f>
        <v>1.0888704555456955E-11</v>
      </c>
      <c r="D658" s="18">
        <f>SUMIFS(Projetos!$G$2:$G$11,Projetos!$K$2:$K$11,"&lt;="&amp;Dados!$A658,Projetos!$N$2:$N$11,"&gt;"&amp;Dados!A658,Projetos!$D$2:$D$11,"BRL")</f>
        <v>0</v>
      </c>
      <c r="E658" s="18">
        <f t="shared" ca="1" si="40"/>
        <v>3.3369638601511166E-9</v>
      </c>
      <c r="G658" s="45">
        <f t="shared" ca="1" si="43"/>
        <v>2.5585193504581962E-9</v>
      </c>
      <c r="H658" s="18">
        <f>-SUMIFS(Projetos!$F$2:$F$11,Projetos!$D$2:$D$11,"USD",Projetos!$N$2:$N$11,Dados!$A658)</f>
        <v>0</v>
      </c>
      <c r="I658" s="45">
        <f ca="1">(G658+H658)*((Indicadores_Economicos!D$2+1)^(1/12)-1)</f>
        <v>8.375926581120724E-12</v>
      </c>
      <c r="J658" s="18">
        <f>SUMIFS(Projetos!$G$2:$G$11,Projetos!$K$2:$K$11,"&lt;="&amp;Dados!$A658,Projetos!$N$2:$N$11,"&gt;"&amp;Dados!$A658,Projetos!$D$2:$D$11,"USD")</f>
        <v>0</v>
      </c>
      <c r="K658" s="18">
        <f t="shared" ca="1" si="41"/>
        <v>2.5668952770393171E-9</v>
      </c>
    </row>
    <row r="659" spans="1:11" x14ac:dyDescent="0.2">
      <c r="A659" s="45">
        <f t="shared" ca="1" si="42"/>
        <v>3.3369638601511166E-9</v>
      </c>
      <c r="B659" s="18">
        <f>-SUMIFS(Projetos!$F$2:$F$11,Projetos!$D$2:$D$11,"BRL",Projetos!$N$2:$N$11,Dados!$A659)</f>
        <v>0</v>
      </c>
      <c r="C659" s="45">
        <f ca="1">(A659+B659)*((Indicadores_Economicos!D$2+1)^(1/12)-1)</f>
        <v>1.0924351340736765E-11</v>
      </c>
      <c r="D659" s="18">
        <f>SUMIFS(Projetos!$G$2:$G$11,Projetos!$K$2:$K$11,"&lt;="&amp;Dados!$A659,Projetos!$N$2:$N$11,"&gt;"&amp;Dados!A659,Projetos!$D$2:$D$11,"BRL")</f>
        <v>0</v>
      </c>
      <c r="E659" s="18">
        <f t="shared" ca="1" si="40"/>
        <v>3.3478882114918535E-9</v>
      </c>
      <c r="G659" s="45">
        <f t="shared" ca="1" si="43"/>
        <v>2.5668952770393171E-9</v>
      </c>
      <c r="H659" s="18">
        <f>-SUMIFS(Projetos!$F$2:$F$11,Projetos!$D$2:$D$11,"USD",Projetos!$N$2:$N$11,Dados!$A659)</f>
        <v>0</v>
      </c>
      <c r="I659" s="45">
        <f ca="1">(G659+H659)*((Indicadores_Economicos!D$2+1)^(1/12)-1)</f>
        <v>8.4033471851821157E-12</v>
      </c>
      <c r="J659" s="18">
        <f>SUMIFS(Projetos!$G$2:$G$11,Projetos!$K$2:$K$11,"&lt;="&amp;Dados!$A659,Projetos!$N$2:$N$11,"&gt;"&amp;Dados!$A659,Projetos!$D$2:$D$11,"USD")</f>
        <v>0</v>
      </c>
      <c r="K659" s="18">
        <f t="shared" ca="1" si="41"/>
        <v>2.5752986242244991E-9</v>
      </c>
    </row>
    <row r="660" spans="1:11" x14ac:dyDescent="0.2">
      <c r="A660" s="45">
        <f t="shared" ca="1" si="42"/>
        <v>3.3478882114918535E-9</v>
      </c>
      <c r="B660" s="18">
        <f>-SUMIFS(Projetos!$F$2:$F$11,Projetos!$D$2:$D$11,"BRL",Projetos!$N$2:$N$11,Dados!$A660)</f>
        <v>0</v>
      </c>
      <c r="C660" s="45">
        <f ca="1">(A660+B660)*((Indicadores_Economicos!D$2+1)^(1/12)-1)</f>
        <v>1.0960114824315654E-11</v>
      </c>
      <c r="D660" s="18">
        <f>SUMIFS(Projetos!$G$2:$G$11,Projetos!$K$2:$K$11,"&lt;="&amp;Dados!$A660,Projetos!$N$2:$N$11,"&gt;"&amp;Dados!A660,Projetos!$D$2:$D$11,"BRL")</f>
        <v>0</v>
      </c>
      <c r="E660" s="18">
        <f t="shared" ca="1" si="40"/>
        <v>3.358848326316169E-9</v>
      </c>
      <c r="G660" s="45">
        <f t="shared" ca="1" si="43"/>
        <v>2.5752986242244991E-9</v>
      </c>
      <c r="H660" s="18">
        <f>-SUMIFS(Projetos!$F$2:$F$11,Projetos!$D$2:$D$11,"USD",Projetos!$N$2:$N$11,Dados!$A660)</f>
        <v>0</v>
      </c>
      <c r="I660" s="45">
        <f ca="1">(G660+H660)*((Indicadores_Economicos!D$2+1)^(1/12)-1)</f>
        <v>8.4308575571658762E-12</v>
      </c>
      <c r="J660" s="18">
        <f>SUMIFS(Projetos!$G$2:$G$11,Projetos!$K$2:$K$11,"&lt;="&amp;Dados!$A660,Projetos!$N$2:$N$11,"&gt;"&amp;Dados!$A660,Projetos!$D$2:$D$11,"USD")</f>
        <v>0</v>
      </c>
      <c r="K660" s="18">
        <f t="shared" ca="1" si="41"/>
        <v>2.583729481781665E-9</v>
      </c>
    </row>
    <row r="661" spans="1:11" x14ac:dyDescent="0.2">
      <c r="A661" s="45">
        <f t="shared" ca="1" si="42"/>
        <v>3.358848326316169E-9</v>
      </c>
      <c r="B661" s="18">
        <f>-SUMIFS(Projetos!$F$2:$F$11,Projetos!$D$2:$D$11,"BRL",Projetos!$N$2:$N$11,Dados!$A661)</f>
        <v>0</v>
      </c>
      <c r="C661" s="45">
        <f ca="1">(A661+B661)*((Indicadores_Economicos!D$2+1)^(1/12)-1)</f>
        <v>1.0995995388233483E-11</v>
      </c>
      <c r="D661" s="18">
        <f>SUMIFS(Projetos!$G$2:$G$11,Projetos!$K$2:$K$11,"&lt;="&amp;Dados!$A661,Projetos!$N$2:$N$11,"&gt;"&amp;Dados!A661,Projetos!$D$2:$D$11,"BRL")</f>
        <v>0</v>
      </c>
      <c r="E661" s="18">
        <f t="shared" ca="1" si="40"/>
        <v>3.3698443217044026E-9</v>
      </c>
      <c r="G661" s="45">
        <f t="shared" ca="1" si="43"/>
        <v>2.583729481781665E-9</v>
      </c>
      <c r="H661" s="18">
        <f>-SUMIFS(Projetos!$F$2:$F$11,Projetos!$D$2:$D$11,"USD",Projetos!$N$2:$N$11,Dados!$A661)</f>
        <v>0</v>
      </c>
      <c r="I661" s="45">
        <f ca="1">(G661+H661)*((Indicadores_Economicos!D$2+1)^(1/12)-1)</f>
        <v>8.4584579909488225E-12</v>
      </c>
      <c r="J661" s="18">
        <f>SUMIFS(Projetos!$G$2:$G$11,Projetos!$K$2:$K$11,"&lt;="&amp;Dados!$A661,Projetos!$N$2:$N$11,"&gt;"&amp;Dados!$A661,Projetos!$D$2:$D$11,"USD")</f>
        <v>0</v>
      </c>
      <c r="K661" s="18">
        <f t="shared" ca="1" si="41"/>
        <v>2.5921879397726137E-9</v>
      </c>
    </row>
    <row r="662" spans="1:11" x14ac:dyDescent="0.2">
      <c r="A662" s="45">
        <f t="shared" ca="1" si="42"/>
        <v>3.3698443217044026E-9</v>
      </c>
      <c r="B662" s="18">
        <f>-SUMIFS(Projetos!$F$2:$F$11,Projetos!$D$2:$D$11,"BRL",Projetos!$N$2:$N$11,Dados!$A662)</f>
        <v>0</v>
      </c>
      <c r="C662" s="45">
        <f ca="1">(A662+B662)*((Indicadores_Economicos!D$2+1)^(1/12)-1)</f>
        <v>1.1031993415780819E-11</v>
      </c>
      <c r="D662" s="18">
        <f>SUMIFS(Projetos!$G$2:$G$11,Projetos!$K$2:$K$11,"&lt;="&amp;Dados!$A662,Projetos!$N$2:$N$11,"&gt;"&amp;Dados!A662,Projetos!$D$2:$D$11,"BRL")</f>
        <v>0</v>
      </c>
      <c r="E662" s="18">
        <f t="shared" ca="1" si="40"/>
        <v>3.3808763151201834E-9</v>
      </c>
      <c r="G662" s="45">
        <f t="shared" ca="1" si="43"/>
        <v>2.5921879397726137E-9</v>
      </c>
      <c r="H662" s="18">
        <f>-SUMIFS(Projetos!$F$2:$F$11,Projetos!$D$2:$D$11,"USD",Projetos!$N$2:$N$11,Dados!$A662)</f>
        <v>0</v>
      </c>
      <c r="I662" s="45">
        <f ca="1">(G662+H662)*((Indicadores_Economicos!D$2+1)^(1/12)-1)</f>
        <v>8.48614878136985E-12</v>
      </c>
      <c r="J662" s="18">
        <f>SUMIFS(Projetos!$G$2:$G$11,Projetos!$K$2:$K$11,"&lt;="&amp;Dados!$A662,Projetos!$N$2:$N$11,"&gt;"&amp;Dados!$A662,Projetos!$D$2:$D$11,"USD")</f>
        <v>0</v>
      </c>
      <c r="K662" s="18">
        <f t="shared" ca="1" si="41"/>
        <v>2.6006740885539833E-9</v>
      </c>
    </row>
    <row r="663" spans="1:11" x14ac:dyDescent="0.2">
      <c r="A663" s="45">
        <f t="shared" ca="1" si="42"/>
        <v>3.3808763151201834E-9</v>
      </c>
      <c r="B663" s="18">
        <f>-SUMIFS(Projetos!$F$2:$F$11,Projetos!$D$2:$D$11,"BRL",Projetos!$N$2:$N$11,Dados!$A663)</f>
        <v>0</v>
      </c>
      <c r="C663" s="45">
        <f ca="1">(A663+B663)*((Indicadores_Economicos!D$2+1)^(1/12)-1)</f>
        <v>1.1068109291503018E-11</v>
      </c>
      <c r="D663" s="18">
        <f>SUMIFS(Projetos!$G$2:$G$11,Projetos!$K$2:$K$11,"&lt;="&amp;Dados!$A663,Projetos!$N$2:$N$11,"&gt;"&amp;Dados!A663,Projetos!$D$2:$D$11,"BRL")</f>
        <v>0</v>
      </c>
      <c r="E663" s="18">
        <f t="shared" ca="1" si="40"/>
        <v>3.3919444244116863E-9</v>
      </c>
      <c r="G663" s="45">
        <f t="shared" ca="1" si="43"/>
        <v>2.6006740885539833E-9</v>
      </c>
      <c r="H663" s="18">
        <f>-SUMIFS(Projetos!$F$2:$F$11,Projetos!$D$2:$D$11,"USD",Projetos!$N$2:$N$11,Dados!$A663)</f>
        <v>0</v>
      </c>
      <c r="I663" s="45">
        <f ca="1">(G663+H663)*((Indicadores_Economicos!D$2+1)^(1/12)-1)</f>
        <v>8.5139302242330771E-12</v>
      </c>
      <c r="J663" s="18">
        <f>SUMIFS(Projetos!$G$2:$G$11,Projetos!$K$2:$K$11,"&lt;="&amp;Dados!$A663,Projetos!$N$2:$N$11,"&gt;"&amp;Dados!$A663,Projetos!$D$2:$D$11,"USD")</f>
        <v>0</v>
      </c>
      <c r="K663" s="18">
        <f t="shared" ca="1" si="41"/>
        <v>2.6091880187782162E-9</v>
      </c>
    </row>
    <row r="664" spans="1:11" x14ac:dyDescent="0.2">
      <c r="A664" s="45">
        <f t="shared" ca="1" si="42"/>
        <v>3.3919444244116863E-9</v>
      </c>
      <c r="B664" s="18">
        <f>-SUMIFS(Projetos!$F$2:$F$11,Projetos!$D$2:$D$11,"BRL",Projetos!$N$2:$N$11,Dados!$A664)</f>
        <v>0</v>
      </c>
      <c r="C664" s="45">
        <f ca="1">(A664+B664)*((Indicadores_Economicos!D$2+1)^(1/12)-1)</f>
        <v>1.1104343401204337E-11</v>
      </c>
      <c r="D664" s="18">
        <f>SUMIFS(Projetos!$G$2:$G$11,Projetos!$K$2:$K$11,"&lt;="&amp;Dados!$A664,Projetos!$N$2:$N$11,"&gt;"&amp;Dados!A664,Projetos!$D$2:$D$11,"BRL")</f>
        <v>0</v>
      </c>
      <c r="E664" s="18">
        <f t="shared" ca="1" si="40"/>
        <v>3.4030487678128909E-9</v>
      </c>
      <c r="G664" s="45">
        <f t="shared" ca="1" si="43"/>
        <v>2.6091880187782162E-9</v>
      </c>
      <c r="H664" s="18">
        <f>-SUMIFS(Projetos!$F$2:$F$11,Projetos!$D$2:$D$11,"USD",Projetos!$N$2:$N$11,Dados!$A664)</f>
        <v>0</v>
      </c>
      <c r="I664" s="45">
        <f ca="1">(G664+H664)*((Indicadores_Economicos!D$2+1)^(1/12)-1)</f>
        <v>8.5418026163110151E-12</v>
      </c>
      <c r="J664" s="18">
        <f>SUMIFS(Projetos!$G$2:$G$11,Projetos!$K$2:$K$11,"&lt;="&amp;Dados!$A664,Projetos!$N$2:$N$11,"&gt;"&amp;Dados!$A664,Projetos!$D$2:$D$11,"USD")</f>
        <v>0</v>
      </c>
      <c r="K664" s="18">
        <f t="shared" ca="1" si="41"/>
        <v>2.6177298213945271E-9</v>
      </c>
    </row>
    <row r="665" spans="1:11" x14ac:dyDescent="0.2">
      <c r="A665" s="45">
        <f t="shared" ca="1" si="42"/>
        <v>3.4030487678128909E-9</v>
      </c>
      <c r="B665" s="18">
        <f>-SUMIFS(Projetos!$F$2:$F$11,Projetos!$D$2:$D$11,"BRL",Projetos!$N$2:$N$11,Dados!$A665)</f>
        <v>0</v>
      </c>
      <c r="C665" s="45">
        <f ca="1">(A665+B665)*((Indicadores_Economicos!D$2+1)^(1/12)-1)</f>
        <v>1.1140696131952057E-11</v>
      </c>
      <c r="D665" s="18">
        <f>SUMIFS(Projetos!$G$2:$G$11,Projetos!$K$2:$K$11,"&lt;="&amp;Dados!$A665,Projetos!$N$2:$N$11,"&gt;"&amp;Dados!A665,Projetos!$D$2:$D$11,"BRL")</f>
        <v>0</v>
      </c>
      <c r="E665" s="18">
        <f t="shared" ca="1" si="40"/>
        <v>3.4141894639448428E-9</v>
      </c>
      <c r="G665" s="45">
        <f t="shared" ca="1" si="43"/>
        <v>2.6177298213945271E-9</v>
      </c>
      <c r="H665" s="18">
        <f>-SUMIFS(Projetos!$F$2:$F$11,Projetos!$D$2:$D$11,"USD",Projetos!$N$2:$N$11,Dados!$A665)</f>
        <v>0</v>
      </c>
      <c r="I665" s="45">
        <f ca="1">(G665+H665)*((Indicadores_Economicos!D$2+1)^(1/12)-1)</f>
        <v>8.5697662553477227E-12</v>
      </c>
      <c r="J665" s="18">
        <f>SUMIFS(Projetos!$G$2:$G$11,Projetos!$K$2:$K$11,"&lt;="&amp;Dados!$A665,Projetos!$N$2:$N$11,"&gt;"&amp;Dados!$A665,Projetos!$D$2:$D$11,"USD")</f>
        <v>0</v>
      </c>
      <c r="K665" s="18">
        <f t="shared" ca="1" si="41"/>
        <v>2.6262995876498748E-9</v>
      </c>
    </row>
    <row r="666" spans="1:11" x14ac:dyDescent="0.2">
      <c r="A666" s="45">
        <f t="shared" ca="1" si="42"/>
        <v>3.4141894639448428E-9</v>
      </c>
      <c r="B666" s="18">
        <f>-SUMIFS(Projetos!$F$2:$F$11,Projetos!$D$2:$D$11,"BRL",Projetos!$N$2:$N$11,Dados!$A666)</f>
        <v>0</v>
      </c>
      <c r="C666" s="45">
        <f ca="1">(A666+B666)*((Indicadores_Economicos!D$2+1)^(1/12)-1)</f>
        <v>1.1177167872080618E-11</v>
      </c>
      <c r="D666" s="18">
        <f>SUMIFS(Projetos!$G$2:$G$11,Projetos!$K$2:$K$11,"&lt;="&amp;Dados!$A666,Projetos!$N$2:$N$11,"&gt;"&amp;Dados!A666,Projetos!$D$2:$D$11,"BRL")</f>
        <v>0</v>
      </c>
      <c r="E666" s="18">
        <f t="shared" ca="1" si="40"/>
        <v>3.4253666318169235E-9</v>
      </c>
      <c r="G666" s="45">
        <f t="shared" ca="1" si="43"/>
        <v>2.6262995876498748E-9</v>
      </c>
      <c r="H666" s="18">
        <f>-SUMIFS(Projetos!$F$2:$F$11,Projetos!$D$2:$D$11,"USD",Projetos!$N$2:$N$11,Dados!$A666)</f>
        <v>0</v>
      </c>
      <c r="I666" s="45">
        <f ca="1">(G666+H666)*((Indicadores_Economicos!D$2+1)^(1/12)-1)</f>
        <v>8.5978214400620007E-12</v>
      </c>
      <c r="J666" s="18">
        <f>SUMIFS(Projetos!$G$2:$G$11,Projetos!$K$2:$K$11,"&lt;="&amp;Dados!$A666,Projetos!$N$2:$N$11,"&gt;"&amp;Dados!$A666,Projetos!$D$2:$D$11,"USD")</f>
        <v>0</v>
      </c>
      <c r="K666" s="18">
        <f t="shared" ca="1" si="41"/>
        <v>2.6348974090899366E-9</v>
      </c>
    </row>
    <row r="667" spans="1:11" x14ac:dyDescent="0.2">
      <c r="A667" s="45">
        <f t="shared" ca="1" si="42"/>
        <v>3.4253666318169235E-9</v>
      </c>
      <c r="B667" s="18">
        <f>-SUMIFS(Projetos!$F$2:$F$11,Projetos!$D$2:$D$11,"BRL",Projetos!$N$2:$N$11,Dados!$A667)</f>
        <v>0</v>
      </c>
      <c r="C667" s="45">
        <f ca="1">(A667+B667)*((Indicadores_Economicos!D$2+1)^(1/12)-1)</f>
        <v>1.1213759011195765E-11</v>
      </c>
      <c r="D667" s="18">
        <f>SUMIFS(Projetos!$G$2:$G$11,Projetos!$K$2:$K$11,"&lt;="&amp;Dados!$A667,Projetos!$N$2:$N$11,"&gt;"&amp;Dados!A667,Projetos!$D$2:$D$11,"BRL")</f>
        <v>0</v>
      </c>
      <c r="E667" s="18">
        <f t="shared" ca="1" si="40"/>
        <v>3.4365803908281195E-9</v>
      </c>
      <c r="G667" s="45">
        <f t="shared" ca="1" si="43"/>
        <v>2.6348974090899366E-9</v>
      </c>
      <c r="H667" s="18">
        <f>-SUMIFS(Projetos!$F$2:$F$11,Projetos!$D$2:$D$11,"USD",Projetos!$N$2:$N$11,Dados!$A667)</f>
        <v>0</v>
      </c>
      <c r="I667" s="45">
        <f ca="1">(G667+H667)*((Indicadores_Economicos!D$2+1)^(1/12)-1)</f>
        <v>8.6259684701505731E-12</v>
      </c>
      <c r="J667" s="18">
        <f>SUMIFS(Projetos!$G$2:$G$11,Projetos!$K$2:$K$11,"&lt;="&amp;Dados!$A667,Projetos!$N$2:$N$11,"&gt;"&amp;Dados!$A667,Projetos!$D$2:$D$11,"USD")</f>
        <v>0</v>
      </c>
      <c r="K667" s="18">
        <f t="shared" ca="1" si="41"/>
        <v>2.643523377560087E-9</v>
      </c>
    </row>
    <row r="668" spans="1:11" x14ac:dyDescent="0.2">
      <c r="A668" s="45">
        <f t="shared" ca="1" si="42"/>
        <v>3.4365803908281195E-9</v>
      </c>
      <c r="B668" s="18">
        <f>-SUMIFS(Projetos!$F$2:$F$11,Projetos!$D$2:$D$11,"BRL",Projetos!$N$2:$N$11,Dados!$A668)</f>
        <v>0</v>
      </c>
      <c r="C668" s="45">
        <f ca="1">(A668+B668)*((Indicadores_Economicos!D$2+1)^(1/12)-1)</f>
        <v>1.1250469940178708E-11</v>
      </c>
      <c r="D668" s="18">
        <f>SUMIFS(Projetos!$G$2:$G$11,Projetos!$K$2:$K$11,"&lt;="&amp;Dados!$A668,Projetos!$N$2:$N$11,"&gt;"&amp;Dados!A668,Projetos!$D$2:$D$11,"BRL")</f>
        <v>0</v>
      </c>
      <c r="E668" s="18">
        <f t="shared" ca="1" si="40"/>
        <v>3.4478308607682984E-9</v>
      </c>
      <c r="G668" s="45">
        <f t="shared" ca="1" si="43"/>
        <v>2.643523377560087E-9</v>
      </c>
      <c r="H668" s="18">
        <f>-SUMIFS(Projetos!$F$2:$F$11,Projetos!$D$2:$D$11,"USD",Projetos!$N$2:$N$11,Dados!$A668)</f>
        <v>0</v>
      </c>
      <c r="I668" s="45">
        <f ca="1">(G668+H668)*((Indicadores_Economicos!D$2+1)^(1/12)-1)</f>
        <v>8.6542076462912982E-12</v>
      </c>
      <c r="J668" s="18">
        <f>SUMIFS(Projetos!$G$2:$G$11,Projetos!$K$2:$K$11,"&lt;="&amp;Dados!$A668,Projetos!$N$2:$N$11,"&gt;"&amp;Dados!$A668,Projetos!$D$2:$D$11,"USD")</f>
        <v>0</v>
      </c>
      <c r="K668" s="18">
        <f t="shared" ca="1" si="41"/>
        <v>2.6521775852063784E-9</v>
      </c>
    </row>
    <row r="669" spans="1:11" x14ac:dyDescent="0.2">
      <c r="A669" s="45">
        <f t="shared" ca="1" si="42"/>
        <v>3.4478308607682984E-9</v>
      </c>
      <c r="B669" s="18">
        <f>-SUMIFS(Projetos!$F$2:$F$11,Projetos!$D$2:$D$11,"BRL",Projetos!$N$2:$N$11,Dados!$A669)</f>
        <v>0</v>
      </c>
      <c r="C669" s="45">
        <f ca="1">(A669+B669)*((Indicadores_Economicos!D$2+1)^(1/12)-1)</f>
        <v>1.1287301051190305E-11</v>
      </c>
      <c r="D669" s="18">
        <f>SUMIFS(Projetos!$G$2:$G$11,Projetos!$K$2:$K$11,"&lt;="&amp;Dados!$A669,Projetos!$N$2:$N$11,"&gt;"&amp;Dados!A669,Projetos!$D$2:$D$11,"BRL")</f>
        <v>0</v>
      </c>
      <c r="E669" s="18">
        <f t="shared" ca="1" si="40"/>
        <v>3.4591181618194888E-9</v>
      </c>
      <c r="G669" s="45">
        <f t="shared" ca="1" si="43"/>
        <v>2.6521775852063784E-9</v>
      </c>
      <c r="H669" s="18">
        <f>-SUMIFS(Projetos!$F$2:$F$11,Projetos!$D$2:$D$11,"USD",Projetos!$N$2:$N$11,Dados!$A669)</f>
        <v>0</v>
      </c>
      <c r="I669" s="45">
        <f ca="1">(G669+H669)*((Indicadores_Economicos!D$2+1)^(1/12)-1)</f>
        <v>8.6825392701463714E-12</v>
      </c>
      <c r="J669" s="18">
        <f>SUMIFS(Projetos!$G$2:$G$11,Projetos!$K$2:$K$11,"&lt;="&amp;Dados!$A669,Projetos!$N$2:$N$11,"&gt;"&amp;Dados!$A669,Projetos!$D$2:$D$11,"USD")</f>
        <v>0</v>
      </c>
      <c r="K669" s="18">
        <f t="shared" ca="1" si="41"/>
        <v>2.6608601244765248E-9</v>
      </c>
    </row>
    <row r="670" spans="1:11" x14ac:dyDescent="0.2">
      <c r="A670" s="45">
        <f t="shared" ca="1" si="42"/>
        <v>3.4591181618194888E-9</v>
      </c>
      <c r="B670" s="18">
        <f>-SUMIFS(Projetos!$F$2:$F$11,Projetos!$D$2:$D$11,"BRL",Projetos!$N$2:$N$11,Dados!$A670)</f>
        <v>0</v>
      </c>
      <c r="C670" s="45">
        <f ca="1">(A670+B670)*((Indicadores_Economicos!D$2+1)^(1/12)-1)</f>
        <v>1.1324252737675243E-11</v>
      </c>
      <c r="D670" s="18">
        <f>SUMIFS(Projetos!$G$2:$G$11,Projetos!$K$2:$K$11,"&lt;="&amp;Dados!$A670,Projetos!$N$2:$N$11,"&gt;"&amp;Dados!A670,Projetos!$D$2:$D$11,"BRL")</f>
        <v>0</v>
      </c>
      <c r="E670" s="18">
        <f t="shared" ca="1" si="40"/>
        <v>3.4704424145571643E-9</v>
      </c>
      <c r="G670" s="45">
        <f t="shared" ca="1" si="43"/>
        <v>2.6608601244765248E-9</v>
      </c>
      <c r="H670" s="18">
        <f>-SUMIFS(Projetos!$F$2:$F$11,Projetos!$D$2:$D$11,"USD",Projetos!$N$2:$N$11,Dados!$A670)</f>
        <v>0</v>
      </c>
      <c r="I670" s="45">
        <f ca="1">(G670+H670)*((Indicadores_Economicos!D$2+1)^(1/12)-1)</f>
        <v>8.7109636443655546E-12</v>
      </c>
      <c r="J670" s="18">
        <f>SUMIFS(Projetos!$G$2:$G$11,Projetos!$K$2:$K$11,"&lt;="&amp;Dados!$A670,Projetos!$N$2:$N$11,"&gt;"&amp;Dados!$A670,Projetos!$D$2:$D$11,"USD")</f>
        <v>0</v>
      </c>
      <c r="K670" s="18">
        <f t="shared" ca="1" si="41"/>
        <v>2.6695710881208905E-9</v>
      </c>
    </row>
    <row r="671" spans="1:11" x14ac:dyDescent="0.2">
      <c r="A671" s="45">
        <f t="shared" ca="1" si="42"/>
        <v>3.4704424145571643E-9</v>
      </c>
      <c r="B671" s="18">
        <f>-SUMIFS(Projetos!$F$2:$F$11,Projetos!$D$2:$D$11,"BRL",Projetos!$N$2:$N$11,Dados!$A671)</f>
        <v>0</v>
      </c>
      <c r="C671" s="45">
        <f ca="1">(A671+B671)*((Indicadores_Economicos!D$2+1)^(1/12)-1)</f>
        <v>1.1361325394366245E-11</v>
      </c>
      <c r="D671" s="18">
        <f>SUMIFS(Projetos!$G$2:$G$11,Projetos!$K$2:$K$11,"&lt;="&amp;Dados!$A671,Projetos!$N$2:$N$11,"&gt;"&amp;Dados!A671,Projetos!$D$2:$D$11,"BRL")</f>
        <v>0</v>
      </c>
      <c r="E671" s="18">
        <f t="shared" ca="1" si="40"/>
        <v>3.4818037399515303E-9</v>
      </c>
      <c r="G671" s="45">
        <f t="shared" ca="1" si="43"/>
        <v>2.6695710881208905E-9</v>
      </c>
      <c r="H671" s="18">
        <f>-SUMIFS(Projetos!$F$2:$F$11,Projetos!$D$2:$D$11,"USD",Projetos!$N$2:$N$11,Dados!$A671)</f>
        <v>0</v>
      </c>
      <c r="I671" s="45">
        <f ca="1">(G671+H671)*((Indicadores_Economicos!D$2+1)^(1/12)-1)</f>
        <v>8.7394810725894039E-12</v>
      </c>
      <c r="J671" s="18">
        <f>SUMIFS(Projetos!$G$2:$G$11,Projetos!$K$2:$K$11,"&lt;="&amp;Dados!$A671,Projetos!$N$2:$N$11,"&gt;"&amp;Dados!$A671,Projetos!$D$2:$D$11,"USD")</f>
        <v>0</v>
      </c>
      <c r="K671" s="18">
        <f t="shared" ca="1" si="41"/>
        <v>2.6783105691934798E-9</v>
      </c>
    </row>
    <row r="672" spans="1:11" x14ac:dyDescent="0.2">
      <c r="A672" s="45">
        <f t="shared" ca="1" si="42"/>
        <v>3.4818037399515303E-9</v>
      </c>
      <c r="B672" s="18">
        <f>-SUMIFS(Projetos!$F$2:$F$11,Projetos!$D$2:$D$11,"BRL",Projetos!$N$2:$N$11,Dados!$A672)</f>
        <v>0</v>
      </c>
      <c r="C672" s="45">
        <f ca="1">(A672+B672)*((Indicadores_Economicos!D$2+1)^(1/12)-1)</f>
        <v>1.1398519417288289E-11</v>
      </c>
      <c r="D672" s="18">
        <f>SUMIFS(Projetos!$G$2:$G$11,Projetos!$K$2:$K$11,"&lt;="&amp;Dados!$A672,Projetos!$N$2:$N$11,"&gt;"&amp;Dados!A672,Projetos!$D$2:$D$11,"BRL")</f>
        <v>0</v>
      </c>
      <c r="E672" s="18">
        <f t="shared" ca="1" si="40"/>
        <v>3.4932022593688186E-9</v>
      </c>
      <c r="G672" s="45">
        <f t="shared" ca="1" si="43"/>
        <v>2.6783105691934798E-9</v>
      </c>
      <c r="H672" s="18">
        <f>-SUMIFS(Projetos!$F$2:$F$11,Projetos!$D$2:$D$11,"USD",Projetos!$N$2:$N$11,Dados!$A672)</f>
        <v>0</v>
      </c>
      <c r="I672" s="45">
        <f ca="1">(G672+H672)*((Indicadores_Economicos!D$2+1)^(1/12)-1)</f>
        <v>8.7680918594525139E-12</v>
      </c>
      <c r="J672" s="18">
        <f>SUMIFS(Projetos!$G$2:$G$11,Projetos!$K$2:$K$11,"&lt;="&amp;Dados!$A672,Projetos!$N$2:$N$11,"&gt;"&amp;Dados!$A672,Projetos!$D$2:$D$11,"USD")</f>
        <v>0</v>
      </c>
      <c r="K672" s="18">
        <f t="shared" ca="1" si="41"/>
        <v>2.6870786610529323E-9</v>
      </c>
    </row>
    <row r="673" spans="1:11" x14ac:dyDescent="0.2">
      <c r="A673" s="45">
        <f t="shared" ca="1" si="42"/>
        <v>3.4932022593688186E-9</v>
      </c>
      <c r="B673" s="18">
        <f>-SUMIFS(Projetos!$F$2:$F$11,Projetos!$D$2:$D$11,"BRL",Projetos!$N$2:$N$11,Dados!$A673)</f>
        <v>0</v>
      </c>
      <c r="C673" s="45">
        <f ca="1">(A673+B673)*((Indicadores_Economicos!D$2+1)^(1/12)-1)</f>
        <v>1.1435835203762833E-11</v>
      </c>
      <c r="D673" s="18">
        <f>SUMIFS(Projetos!$G$2:$G$11,Projetos!$K$2:$K$11,"&lt;="&amp;Dados!$A673,Projetos!$N$2:$N$11,"&gt;"&amp;Dados!A673,Projetos!$D$2:$D$11,"BRL")</f>
        <v>0</v>
      </c>
      <c r="E673" s="18">
        <f t="shared" ca="1" si="40"/>
        <v>3.5046380945725816E-9</v>
      </c>
      <c r="G673" s="45">
        <f t="shared" ca="1" si="43"/>
        <v>2.6870786610529323E-9</v>
      </c>
      <c r="H673" s="18">
        <f>-SUMIFS(Projetos!$F$2:$F$11,Projetos!$D$2:$D$11,"USD",Projetos!$N$2:$N$11,Dados!$A673)</f>
        <v>0</v>
      </c>
      <c r="I673" s="45">
        <f ca="1">(G673+H673)*((Indicadores_Economicos!D$2+1)^(1/12)-1)</f>
        <v>8.7967963105867778E-12</v>
      </c>
      <c r="J673" s="18">
        <f>SUMIFS(Projetos!$G$2:$G$11,Projetos!$K$2:$K$11,"&lt;="&amp;Dados!$A673,Projetos!$N$2:$N$11,"&gt;"&amp;Dados!$A673,Projetos!$D$2:$D$11,"USD")</f>
        <v>0</v>
      </c>
      <c r="K673" s="18">
        <f t="shared" ca="1" si="41"/>
        <v>2.695875457363519E-9</v>
      </c>
    </row>
    <row r="674" spans="1:11" x14ac:dyDescent="0.2">
      <c r="A674" s="45">
        <f t="shared" ca="1" si="42"/>
        <v>3.5046380945725816E-9</v>
      </c>
      <c r="B674" s="18">
        <f>-SUMIFS(Projetos!$F$2:$F$11,Projetos!$D$2:$D$11,"BRL",Projetos!$N$2:$N$11,Dados!$A674)</f>
        <v>0</v>
      </c>
      <c r="C674" s="45">
        <f ca="1">(A674+B674)*((Indicadores_Economicos!D$2+1)^(1/12)-1)</f>
        <v>1.1473273152412061E-11</v>
      </c>
      <c r="D674" s="18">
        <f>SUMIFS(Projetos!$G$2:$G$11,Projetos!$K$2:$K$11,"&lt;="&amp;Dados!$A674,Projetos!$N$2:$N$11,"&gt;"&amp;Dados!A674,Projetos!$D$2:$D$11,"BRL")</f>
        <v>0</v>
      </c>
      <c r="E674" s="18">
        <f t="shared" ca="1" si="40"/>
        <v>3.5161113677249939E-9</v>
      </c>
      <c r="G674" s="45">
        <f t="shared" ca="1" si="43"/>
        <v>2.695875457363519E-9</v>
      </c>
      <c r="H674" s="18">
        <f>-SUMIFS(Projetos!$F$2:$F$11,Projetos!$D$2:$D$11,"USD",Projetos!$N$2:$N$11,Dados!$A674)</f>
        <v>0</v>
      </c>
      <c r="I674" s="45">
        <f ca="1">(G674+H674)*((Indicadores_Economicos!D$2+1)^(1/12)-1)</f>
        <v>8.8255947326246464E-12</v>
      </c>
      <c r="J674" s="18">
        <f>SUMIFS(Projetos!$G$2:$G$11,Projetos!$K$2:$K$11,"&lt;="&amp;Dados!$A674,Projetos!$N$2:$N$11,"&gt;"&amp;Dados!$A674,Projetos!$D$2:$D$11,"USD")</f>
        <v>0</v>
      </c>
      <c r="K674" s="18">
        <f t="shared" ca="1" si="41"/>
        <v>2.7047010520961438E-9</v>
      </c>
    </row>
    <row r="675" spans="1:11" x14ac:dyDescent="0.2">
      <c r="A675" s="45">
        <f t="shared" ca="1" si="42"/>
        <v>3.5161113677249939E-9</v>
      </c>
      <c r="B675" s="18">
        <f>-SUMIFS(Projetos!$F$2:$F$11,Projetos!$D$2:$D$11,"BRL",Projetos!$N$2:$N$11,Dados!$A675)</f>
        <v>0</v>
      </c>
      <c r="C675" s="45">
        <f ca="1">(A675+B675)*((Indicadores_Economicos!D$2+1)^(1/12)-1)</f>
        <v>1.1510833663163149E-11</v>
      </c>
      <c r="D675" s="18">
        <f>SUMIFS(Projetos!$G$2:$G$11,Projetos!$K$2:$K$11,"&lt;="&amp;Dados!$A675,Projetos!$N$2:$N$11,"&gt;"&amp;Dados!A675,Projetos!$D$2:$D$11,"BRL")</f>
        <v>0</v>
      </c>
      <c r="E675" s="18">
        <f t="shared" ca="1" si="40"/>
        <v>3.5276222013881569E-9</v>
      </c>
      <c r="G675" s="45">
        <f t="shared" ca="1" si="43"/>
        <v>2.7047010520961438E-9</v>
      </c>
      <c r="H675" s="18">
        <f>-SUMIFS(Projetos!$F$2:$F$11,Projetos!$D$2:$D$11,"USD",Projetos!$N$2:$N$11,Dados!$A675)</f>
        <v>0</v>
      </c>
      <c r="I675" s="45">
        <f ca="1">(G675+H675)*((Indicadores_Economicos!D$2+1)^(1/12)-1)</f>
        <v>8.854487433202404E-12</v>
      </c>
      <c r="J675" s="18">
        <f>SUMIFS(Projetos!$G$2:$G$11,Projetos!$K$2:$K$11,"&lt;="&amp;Dados!$A675,Projetos!$N$2:$N$11,"&gt;"&amp;Dados!$A675,Projetos!$D$2:$D$11,"USD")</f>
        <v>0</v>
      </c>
      <c r="K675" s="18">
        <f t="shared" ca="1" si="41"/>
        <v>2.7135555395293461E-9</v>
      </c>
    </row>
    <row r="676" spans="1:11" x14ac:dyDescent="0.2">
      <c r="A676" s="45">
        <f t="shared" ca="1" si="42"/>
        <v>3.5276222013881569E-9</v>
      </c>
      <c r="B676" s="18">
        <f>-SUMIFS(Projetos!$F$2:$F$11,Projetos!$D$2:$D$11,"BRL",Projetos!$N$2:$N$11,Dados!$A676)</f>
        <v>0</v>
      </c>
      <c r="C676" s="45">
        <f ca="1">(A676+B676)*((Indicadores_Economicos!D$2+1)^(1/12)-1)</f>
        <v>1.154851713725252E-11</v>
      </c>
      <c r="D676" s="18">
        <f>SUMIFS(Projetos!$G$2:$G$11,Projetos!$K$2:$K$11,"&lt;="&amp;Dados!$A676,Projetos!$N$2:$N$11,"&gt;"&amp;Dados!A676,Projetos!$D$2:$D$11,"BRL")</f>
        <v>0</v>
      </c>
      <c r="E676" s="18">
        <f t="shared" ca="1" si="40"/>
        <v>3.5391707185254093E-9</v>
      </c>
      <c r="G676" s="45">
        <f t="shared" ca="1" si="43"/>
        <v>2.7135555395293461E-9</v>
      </c>
      <c r="H676" s="18">
        <f>-SUMIFS(Projetos!$F$2:$F$11,Projetos!$D$2:$D$11,"USD",Projetos!$N$2:$N$11,Dados!$A676)</f>
        <v>0</v>
      </c>
      <c r="I676" s="45">
        <f ca="1">(G676+H676)*((Indicadores_Economicos!D$2+1)^(1/12)-1)</f>
        <v>8.8834747209634598E-12</v>
      </c>
      <c r="J676" s="18">
        <f>SUMIFS(Projetos!$G$2:$G$11,Projetos!$K$2:$K$11,"&lt;="&amp;Dados!$A676,Projetos!$N$2:$N$11,"&gt;"&amp;Dados!$A676,Projetos!$D$2:$D$11,"USD")</f>
        <v>0</v>
      </c>
      <c r="K676" s="18">
        <f t="shared" ca="1" si="41"/>
        <v>2.7224390142503095E-9</v>
      </c>
    </row>
    <row r="677" spans="1:11" x14ac:dyDescent="0.2">
      <c r="A677" s="45">
        <f t="shared" ca="1" si="42"/>
        <v>3.5391707185254093E-9</v>
      </c>
      <c r="B677" s="18">
        <f>-SUMIFS(Projetos!$F$2:$F$11,Projetos!$D$2:$D$11,"BRL",Projetos!$N$2:$N$11,Dados!$A677)</f>
        <v>0</v>
      </c>
      <c r="C677" s="45">
        <f ca="1">(A677+B677)*((Indicadores_Economicos!D$2+1)^(1/12)-1)</f>
        <v>1.1586323977230149E-11</v>
      </c>
      <c r="D677" s="18">
        <f>SUMIFS(Projetos!$G$2:$G$11,Projetos!$K$2:$K$11,"&lt;="&amp;Dados!$A677,Projetos!$N$2:$N$11,"&gt;"&amp;Dados!A677,Projetos!$D$2:$D$11,"BRL")</f>
        <v>0</v>
      </c>
      <c r="E677" s="18">
        <f t="shared" ca="1" si="40"/>
        <v>3.5507570425026394E-9</v>
      </c>
      <c r="G677" s="45">
        <f t="shared" ca="1" si="43"/>
        <v>2.7224390142503095E-9</v>
      </c>
      <c r="H677" s="18">
        <f>-SUMIFS(Projetos!$F$2:$F$11,Projetos!$D$2:$D$11,"USD",Projetos!$N$2:$N$11,Dados!$A677)</f>
        <v>0</v>
      </c>
      <c r="I677" s="45">
        <f ca="1">(G677+H677)*((Indicadores_Economicos!D$2+1)^(1/12)-1)</f>
        <v>8.9125569055616353E-12</v>
      </c>
      <c r="J677" s="18">
        <f>SUMIFS(Projetos!$G$2:$G$11,Projetos!$K$2:$K$11,"&lt;="&amp;Dados!$A677,Projetos!$N$2:$N$11,"&gt;"&amp;Dados!$A677,Projetos!$D$2:$D$11,"USD")</f>
        <v>0</v>
      </c>
      <c r="K677" s="18">
        <f t="shared" ca="1" si="41"/>
        <v>2.731351571155871E-9</v>
      </c>
    </row>
    <row r="678" spans="1:11" x14ac:dyDescent="0.2">
      <c r="A678" s="45">
        <f t="shared" ca="1" si="42"/>
        <v>3.5507570425026394E-9</v>
      </c>
      <c r="B678" s="18">
        <f>-SUMIFS(Projetos!$F$2:$F$11,Projetos!$D$2:$D$11,"BRL",Projetos!$N$2:$N$11,Dados!$A678)</f>
        <v>0</v>
      </c>
      <c r="C678" s="45">
        <f ca="1">(A678+B678)*((Indicadores_Economicos!D$2+1)^(1/12)-1)</f>
        <v>1.1624254586963853E-11</v>
      </c>
      <c r="D678" s="18">
        <f>SUMIFS(Projetos!$G$2:$G$11,Projetos!$K$2:$K$11,"&lt;="&amp;Dados!$A678,Projetos!$N$2:$N$11,"&gt;"&amp;Dados!A678,Projetos!$D$2:$D$11,"BRL")</f>
        <v>0</v>
      </c>
      <c r="E678" s="18">
        <f t="shared" ca="1" si="40"/>
        <v>3.5623812970896033E-9</v>
      </c>
      <c r="G678" s="45">
        <f t="shared" ca="1" si="43"/>
        <v>2.731351571155871E-9</v>
      </c>
      <c r="H678" s="18">
        <f>-SUMIFS(Projetos!$F$2:$F$11,Projetos!$D$2:$D$11,"USD",Projetos!$N$2:$N$11,Dados!$A678)</f>
        <v>0</v>
      </c>
      <c r="I678" s="45">
        <f ca="1">(G678+H678)*((Indicadores_Economicos!D$2+1)^(1/12)-1)</f>
        <v>8.9417342976644844E-12</v>
      </c>
      <c r="J678" s="18">
        <f>SUMIFS(Projetos!$G$2:$G$11,Projetos!$K$2:$K$11,"&lt;="&amp;Dados!$A678,Projetos!$N$2:$N$11,"&gt;"&amp;Dados!$A678,Projetos!$D$2:$D$11,"USD")</f>
        <v>0</v>
      </c>
      <c r="K678" s="18">
        <f t="shared" ca="1" si="41"/>
        <v>2.7402933054535357E-9</v>
      </c>
    </row>
    <row r="679" spans="1:11" x14ac:dyDescent="0.2">
      <c r="A679" s="45">
        <f t="shared" ca="1" si="42"/>
        <v>3.5623812970896033E-9</v>
      </c>
      <c r="B679" s="18">
        <f>-SUMIFS(Projetos!$F$2:$F$11,Projetos!$D$2:$D$11,"BRL",Projetos!$N$2:$N$11,Dados!$A679)</f>
        <v>0</v>
      </c>
      <c r="C679" s="45">
        <f ca="1">(A679+B679)*((Indicadores_Economicos!D$2+1)^(1/12)-1)</f>
        <v>1.1662309371643604E-11</v>
      </c>
      <c r="D679" s="18">
        <f>SUMIFS(Projetos!$G$2:$G$11,Projetos!$K$2:$K$11,"&lt;="&amp;Dados!$A679,Projetos!$N$2:$N$11,"&gt;"&amp;Dados!A679,Projetos!$D$2:$D$11,"BRL")</f>
        <v>0</v>
      </c>
      <c r="E679" s="18">
        <f t="shared" ca="1" si="40"/>
        <v>3.5740436064612468E-9</v>
      </c>
      <c r="G679" s="45">
        <f t="shared" ca="1" si="43"/>
        <v>2.7402933054535357E-9</v>
      </c>
      <c r="H679" s="18">
        <f>-SUMIFS(Projetos!$F$2:$F$11,Projetos!$D$2:$D$11,"USD",Projetos!$N$2:$N$11,Dados!$A679)</f>
        <v>0</v>
      </c>
      <c r="I679" s="45">
        <f ca="1">(G679+H679)*((Indicadores_Economicos!D$2+1)^(1/12)-1)</f>
        <v>8.9710072089566008E-12</v>
      </c>
      <c r="J679" s="18">
        <f>SUMIFS(Projetos!$G$2:$G$11,Projetos!$K$2:$K$11,"&lt;="&amp;Dados!$A679,Projetos!$N$2:$N$11,"&gt;"&amp;Dados!$A679,Projetos!$D$2:$D$11,"USD")</f>
        <v>0</v>
      </c>
      <c r="K679" s="18">
        <f t="shared" ca="1" si="41"/>
        <v>2.7492643126624922E-9</v>
      </c>
    </row>
    <row r="680" spans="1:11" x14ac:dyDescent="0.2">
      <c r="A680" s="45">
        <f t="shared" ca="1" si="42"/>
        <v>3.5740436064612468E-9</v>
      </c>
      <c r="B680" s="18">
        <f>-SUMIFS(Projetos!$F$2:$F$11,Projetos!$D$2:$D$11,"BRL",Projetos!$N$2:$N$11,Dados!$A680)</f>
        <v>0</v>
      </c>
      <c r="C680" s="45">
        <f ca="1">(A680+B680)*((Indicadores_Economicos!D$2+1)^(1/12)-1)</f>
        <v>1.1700488737785866E-11</v>
      </c>
      <c r="D680" s="18">
        <f>SUMIFS(Projetos!$G$2:$G$11,Projetos!$K$2:$K$11,"&lt;="&amp;Dados!$A680,Projetos!$N$2:$N$11,"&gt;"&amp;Dados!A680,Projetos!$D$2:$D$11,"BRL")</f>
        <v>0</v>
      </c>
      <c r="E680" s="18">
        <f t="shared" ca="1" si="40"/>
        <v>3.5857440951990327E-9</v>
      </c>
      <c r="G680" s="45">
        <f t="shared" ca="1" si="43"/>
        <v>2.7492643126624922E-9</v>
      </c>
      <c r="H680" s="18">
        <f>-SUMIFS(Projetos!$F$2:$F$11,Projetos!$D$2:$D$11,"USD",Projetos!$N$2:$N$11,Dados!$A680)</f>
        <v>0</v>
      </c>
      <c r="I680" s="45">
        <f ca="1">(G680+H680)*((Indicadores_Economicos!D$2+1)^(1/12)-1)</f>
        <v>9.0003759521429553E-12</v>
      </c>
      <c r="J680" s="18">
        <f>SUMIFS(Projetos!$G$2:$G$11,Projetos!$K$2:$K$11,"&lt;="&amp;Dados!$A680,Projetos!$N$2:$N$11,"&gt;"&amp;Dados!$A680,Projetos!$D$2:$D$11,"USD")</f>
        <v>0</v>
      </c>
      <c r="K680" s="18">
        <f t="shared" ca="1" si="41"/>
        <v>2.758264688614635E-9</v>
      </c>
    </row>
    <row r="681" spans="1:11" x14ac:dyDescent="0.2">
      <c r="A681" s="45">
        <f t="shared" ca="1" si="42"/>
        <v>3.5857440951990327E-9</v>
      </c>
      <c r="B681" s="18">
        <f>-SUMIFS(Projetos!$F$2:$F$11,Projetos!$D$2:$D$11,"BRL",Projetos!$N$2:$N$11,Dados!$A681)</f>
        <v>0</v>
      </c>
      <c r="C681" s="45">
        <f ca="1">(A681+B681)*((Indicadores_Economicos!D$2+1)^(1/12)-1)</f>
        <v>1.1738793093237925E-11</v>
      </c>
      <c r="D681" s="18">
        <f>SUMIFS(Projetos!$G$2:$G$11,Projetos!$K$2:$K$11,"&lt;="&amp;Dados!$A681,Projetos!$N$2:$N$11,"&gt;"&amp;Dados!A681,Projetos!$D$2:$D$11,"BRL")</f>
        <v>0</v>
      </c>
      <c r="E681" s="18">
        <f t="shared" ca="1" si="40"/>
        <v>3.5974828882922704E-9</v>
      </c>
      <c r="G681" s="45">
        <f t="shared" ca="1" si="43"/>
        <v>2.758264688614635E-9</v>
      </c>
      <c r="H681" s="18">
        <f>-SUMIFS(Projetos!$F$2:$F$11,Projetos!$D$2:$D$11,"USD",Projetos!$N$2:$N$11,Dados!$A681)</f>
        <v>0</v>
      </c>
      <c r="I681" s="45">
        <f ca="1">(G681+H681)*((Indicadores_Economicos!D$2+1)^(1/12)-1)</f>
        <v>9.0298408409522325E-12</v>
      </c>
      <c r="J681" s="18">
        <f>SUMIFS(Projetos!$G$2:$G$11,Projetos!$K$2:$K$11,"&lt;="&amp;Dados!$A681,Projetos!$N$2:$N$11,"&gt;"&amp;Dados!$A681,Projetos!$D$2:$D$11,"USD")</f>
        <v>0</v>
      </c>
      <c r="K681" s="18">
        <f t="shared" ca="1" si="41"/>
        <v>2.7672945294555873E-9</v>
      </c>
    </row>
    <row r="682" spans="1:11" x14ac:dyDescent="0.2">
      <c r="A682" s="45">
        <f t="shared" ca="1" si="42"/>
        <v>3.5974828882922704E-9</v>
      </c>
      <c r="B682" s="18">
        <f>-SUMIFS(Projetos!$F$2:$F$11,Projetos!$D$2:$D$11,"BRL",Projetos!$N$2:$N$11,Dados!$A682)</f>
        <v>0</v>
      </c>
      <c r="C682" s="45">
        <f ca="1">(A682+B682)*((Indicadores_Economicos!D$2+1)^(1/12)-1)</f>
        <v>1.1777222847182259E-11</v>
      </c>
      <c r="D682" s="18">
        <f>SUMIFS(Projetos!$G$2:$G$11,Projetos!$K$2:$K$11,"&lt;="&amp;Dados!$A682,Projetos!$N$2:$N$11,"&gt;"&amp;Dados!A682,Projetos!$D$2:$D$11,"BRL")</f>
        <v>0</v>
      </c>
      <c r="E682" s="18">
        <f t="shared" ca="1" si="40"/>
        <v>3.6092601111394527E-9</v>
      </c>
      <c r="G682" s="45">
        <f t="shared" ca="1" si="43"/>
        <v>2.7672945294555873E-9</v>
      </c>
      <c r="H682" s="18">
        <f>-SUMIFS(Projetos!$F$2:$F$11,Projetos!$D$2:$D$11,"USD",Projetos!$N$2:$N$11,Dados!$A682)</f>
        <v>0</v>
      </c>
      <c r="I682" s="45">
        <f ca="1">(G682+H682)*((Indicadores_Economicos!D$2+1)^(1/12)-1)</f>
        <v>9.0594021901401828E-12</v>
      </c>
      <c r="J682" s="18">
        <f>SUMIFS(Projetos!$G$2:$G$11,Projetos!$K$2:$K$11,"&lt;="&amp;Dados!$A682,Projetos!$N$2:$N$11,"&gt;"&amp;Dados!$A682,Projetos!$D$2:$D$11,"USD")</f>
        <v>0</v>
      </c>
      <c r="K682" s="18">
        <f t="shared" ca="1" si="41"/>
        <v>2.7763539316457277E-9</v>
      </c>
    </row>
    <row r="683" spans="1:11" x14ac:dyDescent="0.2">
      <c r="A683" s="45">
        <f t="shared" ca="1" si="42"/>
        <v>3.6092601111394527E-9</v>
      </c>
      <c r="B683" s="18">
        <f>-SUMIFS(Projetos!$F$2:$F$11,Projetos!$D$2:$D$11,"BRL",Projetos!$N$2:$N$11,Dados!$A683)</f>
        <v>0</v>
      </c>
      <c r="C683" s="45">
        <f ca="1">(A683+B683)*((Indicadores_Economicos!D$2+1)^(1/12)-1)</f>
        <v>1.1815778410140902E-11</v>
      </c>
      <c r="D683" s="18">
        <f>SUMIFS(Projetos!$G$2:$G$11,Projetos!$K$2:$K$11,"&lt;="&amp;Dados!$A683,Projetos!$N$2:$N$11,"&gt;"&amp;Dados!A683,Projetos!$D$2:$D$11,"BRL")</f>
        <v>0</v>
      </c>
      <c r="E683" s="18">
        <f t="shared" ca="1" si="40"/>
        <v>3.6210758895495937E-9</v>
      </c>
      <c r="G683" s="45">
        <f t="shared" ca="1" si="43"/>
        <v>2.7763539316457277E-9</v>
      </c>
      <c r="H683" s="18">
        <f>-SUMIFS(Projetos!$F$2:$F$11,Projetos!$D$2:$D$11,"USD",Projetos!$N$2:$N$11,Dados!$A683)</f>
        <v>0</v>
      </c>
      <c r="I683" s="45">
        <f ca="1">(G683+H683)*((Indicadores_Economicos!D$2+1)^(1/12)-1)</f>
        <v>9.0890603154929844E-12</v>
      </c>
      <c r="J683" s="18">
        <f>SUMIFS(Projetos!$G$2:$G$11,Projetos!$K$2:$K$11,"&lt;="&amp;Dados!$A683,Projetos!$N$2:$N$11,"&gt;"&amp;Dados!$A683,Projetos!$D$2:$D$11,"USD")</f>
        <v>0</v>
      </c>
      <c r="K683" s="18">
        <f t="shared" ca="1" si="41"/>
        <v>2.7854429919612206E-9</v>
      </c>
    </row>
    <row r="684" spans="1:11" x14ac:dyDescent="0.2">
      <c r="A684" s="45">
        <f t="shared" ca="1" si="42"/>
        <v>3.6210758895495937E-9</v>
      </c>
      <c r="B684" s="18">
        <f>-SUMIFS(Projetos!$F$2:$F$11,Projetos!$D$2:$D$11,"BRL",Projetos!$N$2:$N$11,Dados!$A684)</f>
        <v>0</v>
      </c>
      <c r="C684" s="45">
        <f ca="1">(A684+B684)*((Indicadores_Economicos!D$2+1)^(1/12)-1)</f>
        <v>1.1854460193979827E-11</v>
      </c>
      <c r="D684" s="18">
        <f>SUMIFS(Projetos!$G$2:$G$11,Projetos!$K$2:$K$11,"&lt;="&amp;Dados!$A684,Projetos!$N$2:$N$11,"&gt;"&amp;Dados!A684,Projetos!$D$2:$D$11,"BRL")</f>
        <v>0</v>
      </c>
      <c r="E684" s="18">
        <f t="shared" ca="1" si="40"/>
        <v>3.6329303497435735E-9</v>
      </c>
      <c r="G684" s="45">
        <f t="shared" ca="1" si="43"/>
        <v>2.7854429919612206E-9</v>
      </c>
      <c r="H684" s="18">
        <f>-SUMIFS(Projetos!$F$2:$F$11,Projetos!$D$2:$D$11,"USD",Projetos!$N$2:$N$11,Dados!$A684)</f>
        <v>0</v>
      </c>
      <c r="I684" s="45">
        <f ca="1">(G684+H684)*((Indicadores_Economicos!D$2+1)^(1/12)-1)</f>
        <v>9.1188155338306187E-12</v>
      </c>
      <c r="J684" s="18">
        <f>SUMIFS(Projetos!$G$2:$G$11,Projetos!$K$2:$K$11,"&lt;="&amp;Dados!$A684,Projetos!$N$2:$N$11,"&gt;"&amp;Dados!$A684,Projetos!$D$2:$D$11,"USD")</f>
        <v>0</v>
      </c>
      <c r="K684" s="18">
        <f t="shared" ca="1" si="41"/>
        <v>2.7945618074950513E-9</v>
      </c>
    </row>
    <row r="685" spans="1:11" x14ac:dyDescent="0.2">
      <c r="A685" s="45">
        <f t="shared" ca="1" si="42"/>
        <v>3.6329303497435735E-9</v>
      </c>
      <c r="B685" s="18">
        <f>-SUMIFS(Projetos!$F$2:$F$11,Projetos!$D$2:$D$11,"BRL",Projetos!$N$2:$N$11,Dados!$A685)</f>
        <v>0</v>
      </c>
      <c r="C685" s="45">
        <f ca="1">(A685+B685)*((Indicadores_Economicos!D$2+1)^(1/12)-1)</f>
        <v>1.1893268611913353E-11</v>
      </c>
      <c r="D685" s="18">
        <f>SUMIFS(Projetos!$G$2:$G$11,Projetos!$K$2:$K$11,"&lt;="&amp;Dados!$A685,Projetos!$N$2:$N$11,"&gt;"&amp;Dados!A685,Projetos!$D$2:$D$11,"BRL")</f>
        <v>0</v>
      </c>
      <c r="E685" s="18">
        <f t="shared" ca="1" si="40"/>
        <v>3.644823618355487E-9</v>
      </c>
      <c r="G685" s="45">
        <f t="shared" ca="1" si="43"/>
        <v>2.7945618074950513E-9</v>
      </c>
      <c r="H685" s="18">
        <f>-SUMIFS(Projetos!$F$2:$F$11,Projetos!$D$2:$D$11,"USD",Projetos!$N$2:$N$11,Dados!$A685)</f>
        <v>0</v>
      </c>
      <c r="I685" s="45">
        <f ca="1">(G685+H685)*((Indicadores_Economicos!D$2+1)^(1/12)-1)</f>
        <v>9.1486681630102543E-12</v>
      </c>
      <c r="J685" s="18">
        <f>SUMIFS(Projetos!$G$2:$G$11,Projetos!$K$2:$K$11,"&lt;="&amp;Dados!$A685,Projetos!$N$2:$N$11,"&gt;"&amp;Dados!$A685,Projetos!$D$2:$D$11,"USD")</f>
        <v>0</v>
      </c>
      <c r="K685" s="18">
        <f t="shared" ca="1" si="41"/>
        <v>2.8037104756580617E-9</v>
      </c>
    </row>
    <row r="686" spans="1:11" x14ac:dyDescent="0.2">
      <c r="A686" s="45">
        <f t="shared" ca="1" si="42"/>
        <v>3.644823618355487E-9</v>
      </c>
      <c r="B686" s="18">
        <f>-SUMIFS(Projetos!$F$2:$F$11,Projetos!$D$2:$D$11,"BRL",Projetos!$N$2:$N$11,Dados!$A686)</f>
        <v>0</v>
      </c>
      <c r="C686" s="45">
        <f ca="1">(A686+B686)*((Indicadores_Economicos!D$2+1)^(1/12)-1)</f>
        <v>1.1932204078508551E-11</v>
      </c>
      <c r="D686" s="18">
        <f>SUMIFS(Projetos!$G$2:$G$11,Projetos!$K$2:$K$11,"&lt;="&amp;Dados!$A686,Projetos!$N$2:$N$11,"&gt;"&amp;Dados!A686,Projetos!$D$2:$D$11,"BRL")</f>
        <v>0</v>
      </c>
      <c r="E686" s="18">
        <f t="shared" ca="1" si="40"/>
        <v>3.6567558224339956E-9</v>
      </c>
      <c r="G686" s="45">
        <f t="shared" ca="1" si="43"/>
        <v>2.8037104756580617E-9</v>
      </c>
      <c r="H686" s="18">
        <f>-SUMIFS(Projetos!$F$2:$F$11,Projetos!$D$2:$D$11,"USD",Projetos!$N$2:$N$11,Dados!$A686)</f>
        <v>0</v>
      </c>
      <c r="I686" s="45">
        <f ca="1">(G686+H686)*((Indicadores_Economicos!D$2+1)^(1/12)-1)</f>
        <v>9.1786185219296371E-12</v>
      </c>
      <c r="J686" s="18">
        <f>SUMIFS(Projetos!$G$2:$G$11,Projetos!$K$2:$K$11,"&lt;="&amp;Dados!$A686,Projetos!$N$2:$N$11,"&gt;"&amp;Dados!$A686,Projetos!$D$2:$D$11,"USD")</f>
        <v>0</v>
      </c>
      <c r="K686" s="18">
        <f t="shared" ca="1" si="41"/>
        <v>2.8128890941799915E-9</v>
      </c>
    </row>
    <row r="687" spans="1:11" x14ac:dyDescent="0.2">
      <c r="A687" s="45">
        <f t="shared" ca="1" si="42"/>
        <v>3.6567558224339956E-9</v>
      </c>
      <c r="B687" s="18">
        <f>-SUMIFS(Projetos!$F$2:$F$11,Projetos!$D$2:$D$11,"BRL",Projetos!$N$2:$N$11,Dados!$A687)</f>
        <v>0</v>
      </c>
      <c r="C687" s="45">
        <f ca="1">(A687+B687)*((Indicadores_Economicos!D$2+1)^(1/12)-1)</f>
        <v>1.1971267009689681E-11</v>
      </c>
      <c r="D687" s="18">
        <f>SUMIFS(Projetos!$G$2:$G$11,Projetos!$K$2:$K$11,"&lt;="&amp;Dados!$A687,Projetos!$N$2:$N$11,"&gt;"&amp;Dados!A687,Projetos!$D$2:$D$11,"BRL")</f>
        <v>0</v>
      </c>
      <c r="E687" s="18">
        <f t="shared" ca="1" si="40"/>
        <v>3.6687270894436851E-9</v>
      </c>
      <c r="G687" s="45">
        <f t="shared" ca="1" si="43"/>
        <v>2.8128890941799915E-9</v>
      </c>
      <c r="H687" s="18">
        <f>-SUMIFS(Projetos!$F$2:$F$11,Projetos!$D$2:$D$11,"USD",Projetos!$N$2:$N$11,Dados!$A687)</f>
        <v>0</v>
      </c>
      <c r="I687" s="45">
        <f ca="1">(G687+H687)*((Indicadores_Economicos!D$2+1)^(1/12)-1)</f>
        <v>9.208666930530507E-12</v>
      </c>
      <c r="J687" s="18">
        <f>SUMIFS(Projetos!$G$2:$G$11,Projetos!$K$2:$K$11,"&lt;="&amp;Dados!$A687,Projetos!$N$2:$N$11,"&gt;"&amp;Dados!$A687,Projetos!$D$2:$D$11,"USD")</f>
        <v>0</v>
      </c>
      <c r="K687" s="18">
        <f t="shared" ca="1" si="41"/>
        <v>2.8220977611105218E-9</v>
      </c>
    </row>
    <row r="688" spans="1:11" x14ac:dyDescent="0.2">
      <c r="A688" s="45">
        <f t="shared" ca="1" si="42"/>
        <v>3.6687270894436851E-9</v>
      </c>
      <c r="B688" s="18">
        <f>-SUMIFS(Projetos!$F$2:$F$11,Projetos!$D$2:$D$11,"BRL",Projetos!$N$2:$N$11,Dados!$A688)</f>
        <v>0</v>
      </c>
      <c r="C688" s="45">
        <f ca="1">(A688+B688)*((Indicadores_Economicos!D$2+1)^(1/12)-1)</f>
        <v>1.2010457822742627E-11</v>
      </c>
      <c r="D688" s="18">
        <f>SUMIFS(Projetos!$G$2:$G$11,Projetos!$K$2:$K$11,"&lt;="&amp;Dados!$A688,Projetos!$N$2:$N$11,"&gt;"&amp;Dados!A688,Projetos!$D$2:$D$11,"BRL")</f>
        <v>0</v>
      </c>
      <c r="E688" s="18">
        <f t="shared" ca="1" si="40"/>
        <v>3.6807375472664277E-9</v>
      </c>
      <c r="G688" s="45">
        <f t="shared" ca="1" si="43"/>
        <v>2.8220977611105218E-9</v>
      </c>
      <c r="H688" s="18">
        <f>-SUMIFS(Projetos!$F$2:$F$11,Projetos!$D$2:$D$11,"USD",Projetos!$N$2:$N$11,Dados!$A688)</f>
        <v>0</v>
      </c>
      <c r="I688" s="45">
        <f ca="1">(G688+H688)*((Indicadores_Economicos!D$2+1)^(1/12)-1)</f>
        <v>9.2388137098020034E-12</v>
      </c>
      <c r="J688" s="18">
        <f>SUMIFS(Projetos!$G$2:$G$11,Projetos!$K$2:$K$11,"&lt;="&amp;Dados!$A688,Projetos!$N$2:$N$11,"&gt;"&amp;Dados!$A688,Projetos!$D$2:$D$11,"USD")</f>
        <v>0</v>
      </c>
      <c r="K688" s="18">
        <f t="shared" ca="1" si="41"/>
        <v>2.831336574820324E-9</v>
      </c>
    </row>
    <row r="689" spans="1:11" x14ac:dyDescent="0.2">
      <c r="A689" s="45">
        <f t="shared" ca="1" si="42"/>
        <v>3.6807375472664277E-9</v>
      </c>
      <c r="B689" s="18">
        <f>-SUMIFS(Projetos!$F$2:$F$11,Projetos!$D$2:$D$11,"BRL",Projetos!$N$2:$N$11,Dados!$A689)</f>
        <v>0</v>
      </c>
      <c r="C689" s="45">
        <f ca="1">(A689+B689)*((Indicadores_Economicos!D$2+1)^(1/12)-1)</f>
        <v>1.2049776936319362E-11</v>
      </c>
      <c r="D689" s="18">
        <f>SUMIFS(Projetos!$G$2:$G$11,Projetos!$K$2:$K$11,"&lt;="&amp;Dados!$A689,Projetos!$N$2:$N$11,"&gt;"&amp;Dados!A689,Projetos!$D$2:$D$11,"BRL")</f>
        <v>0</v>
      </c>
      <c r="E689" s="18">
        <f t="shared" ca="1" si="40"/>
        <v>3.6927873242027472E-9</v>
      </c>
      <c r="G689" s="45">
        <f t="shared" ca="1" si="43"/>
        <v>2.831336574820324E-9</v>
      </c>
      <c r="H689" s="18">
        <f>-SUMIFS(Projetos!$F$2:$F$11,Projetos!$D$2:$D$11,"USD",Projetos!$N$2:$N$11,Dados!$A689)</f>
        <v>0</v>
      </c>
      <c r="I689" s="45">
        <f ca="1">(G689+H689)*((Indicadores_Economicos!D$2+1)^(1/12)-1)</f>
        <v>9.2690591817841085E-12</v>
      </c>
      <c r="J689" s="18">
        <f>SUMIFS(Projetos!$G$2:$G$11,Projetos!$K$2:$K$11,"&lt;="&amp;Dados!$A689,Projetos!$N$2:$N$11,"&gt;"&amp;Dados!$A689,Projetos!$D$2:$D$11,"USD")</f>
        <v>0</v>
      </c>
      <c r="K689" s="18">
        <f t="shared" ca="1" si="41"/>
        <v>2.8406056340021082E-9</v>
      </c>
    </row>
    <row r="690" spans="1:11" x14ac:dyDescent="0.2">
      <c r="A690" s="45">
        <f t="shared" ca="1" si="42"/>
        <v>3.6927873242027472E-9</v>
      </c>
      <c r="B690" s="18">
        <f>-SUMIFS(Projetos!$F$2:$F$11,Projetos!$D$2:$D$11,"BRL",Projetos!$N$2:$N$11,Dados!$A690)</f>
        <v>0</v>
      </c>
      <c r="C690" s="45">
        <f ca="1">(A690+B690)*((Indicadores_Economicos!D$2+1)^(1/12)-1)</f>
        <v>1.2089224770442414E-11</v>
      </c>
      <c r="D690" s="18">
        <f>SUMIFS(Projetos!$G$2:$G$11,Projetos!$K$2:$K$11,"&lt;="&amp;Dados!$A690,Projetos!$N$2:$N$11,"&gt;"&amp;Dados!A690,Projetos!$D$2:$D$11,"BRL")</f>
        <v>0</v>
      </c>
      <c r="E690" s="18">
        <f t="shared" ca="1" si="40"/>
        <v>3.7048765489731895E-9</v>
      </c>
      <c r="G690" s="45">
        <f t="shared" ca="1" si="43"/>
        <v>2.8406056340021082E-9</v>
      </c>
      <c r="H690" s="18">
        <f>-SUMIFS(Projetos!$F$2:$F$11,Projetos!$D$2:$D$11,"USD",Projetos!$N$2:$N$11,Dados!$A690)</f>
        <v>0</v>
      </c>
      <c r="I690" s="45">
        <f ca="1">(G690+H690)*((Indicadores_Economicos!D$2+1)^(1/12)-1)</f>
        <v>9.2994036695710717E-12</v>
      </c>
      <c r="J690" s="18">
        <f>SUMIFS(Projetos!$G$2:$G$11,Projetos!$K$2:$K$11,"&lt;="&amp;Dados!$A690,Projetos!$N$2:$N$11,"&gt;"&amp;Dados!$A690,Projetos!$D$2:$D$11,"USD")</f>
        <v>0</v>
      </c>
      <c r="K690" s="18">
        <f t="shared" ca="1" si="41"/>
        <v>2.8499050376716793E-9</v>
      </c>
    </row>
    <row r="691" spans="1:11" x14ac:dyDescent="0.2">
      <c r="A691" s="45">
        <f t="shared" ca="1" si="42"/>
        <v>3.7048765489731895E-9</v>
      </c>
      <c r="B691" s="18">
        <f>-SUMIFS(Projetos!$F$2:$F$11,Projetos!$D$2:$D$11,"BRL",Projetos!$N$2:$N$11,Dados!$A691)</f>
        <v>0</v>
      </c>
      <c r="C691" s="45">
        <f ca="1">(A691+B691)*((Indicadores_Economicos!D$2+1)^(1/12)-1)</f>
        <v>1.2128801746509355E-11</v>
      </c>
      <c r="D691" s="18">
        <f>SUMIFS(Projetos!$G$2:$G$11,Projetos!$K$2:$K$11,"&lt;="&amp;Dados!$A691,Projetos!$N$2:$N$11,"&gt;"&amp;Dados!A691,Projetos!$D$2:$D$11,"BRL")</f>
        <v>0</v>
      </c>
      <c r="E691" s="18">
        <f t="shared" ca="1" si="40"/>
        <v>3.7170053507196988E-9</v>
      </c>
      <c r="G691" s="45">
        <f t="shared" ca="1" si="43"/>
        <v>2.8499050376716793E-9</v>
      </c>
      <c r="H691" s="18">
        <f>-SUMIFS(Projetos!$F$2:$F$11,Projetos!$D$2:$D$11,"USD",Projetos!$N$2:$N$11,Dados!$A691)</f>
        <v>0</v>
      </c>
      <c r="I691" s="45">
        <f ca="1">(G691+H691)*((Indicadores_Economicos!D$2+1)^(1/12)-1)</f>
        <v>9.3298474973148724E-12</v>
      </c>
      <c r="J691" s="18">
        <f>SUMIFS(Projetos!$G$2:$G$11,Projetos!$K$2:$K$11,"&lt;="&amp;Dados!$A691,Projetos!$N$2:$N$11,"&gt;"&amp;Dados!$A691,Projetos!$D$2:$D$11,"USD")</f>
        <v>0</v>
      </c>
      <c r="K691" s="18">
        <f t="shared" ca="1" si="41"/>
        <v>2.8592348851689942E-9</v>
      </c>
    </row>
    <row r="692" spans="1:11" x14ac:dyDescent="0.2">
      <c r="A692" s="45">
        <f t="shared" ca="1" si="42"/>
        <v>3.7170053507196988E-9</v>
      </c>
      <c r="B692" s="18">
        <f>-SUMIFS(Projetos!$F$2:$F$11,Projetos!$D$2:$D$11,"BRL",Projetos!$N$2:$N$11,Dados!$A692)</f>
        <v>0</v>
      </c>
      <c r="C692" s="45">
        <f ca="1">(A692+B692)*((Indicadores_Economicos!D$2+1)^(1/12)-1)</f>
        <v>1.2168508287297306E-11</v>
      </c>
      <c r="D692" s="18">
        <f>SUMIFS(Projetos!$G$2:$G$11,Projetos!$K$2:$K$11,"&lt;="&amp;Dados!$A692,Projetos!$N$2:$N$11,"&gt;"&amp;Dados!A692,Projetos!$D$2:$D$11,"BRL")</f>
        <v>0</v>
      </c>
      <c r="E692" s="18">
        <f t="shared" ca="1" si="40"/>
        <v>3.7291738590069958E-9</v>
      </c>
      <c r="G692" s="45">
        <f t="shared" ca="1" si="43"/>
        <v>2.8592348851689942E-9</v>
      </c>
      <c r="H692" s="18">
        <f>-SUMIFS(Projetos!$F$2:$F$11,Projetos!$D$2:$D$11,"USD",Projetos!$N$2:$N$11,Dados!$A692)</f>
        <v>0</v>
      </c>
      <c r="I692" s="45">
        <f ca="1">(G692+H692)*((Indicadores_Economicos!D$2+1)^(1/12)-1)</f>
        <v>9.3603909902286819E-12</v>
      </c>
      <c r="J692" s="18">
        <f>SUMIFS(Projetos!$G$2:$G$11,Projetos!$K$2:$K$11,"&lt;="&amp;Dados!$A692,Projetos!$N$2:$N$11,"&gt;"&amp;Dados!$A692,Projetos!$D$2:$D$11,"USD")</f>
        <v>0</v>
      </c>
      <c r="K692" s="18">
        <f t="shared" ca="1" si="41"/>
        <v>2.8685952761592228E-9</v>
      </c>
    </row>
    <row r="693" spans="1:11" x14ac:dyDescent="0.2">
      <c r="A693" s="45">
        <f t="shared" ca="1" si="42"/>
        <v>3.7291738590069958E-9</v>
      </c>
      <c r="B693" s="18">
        <f>-SUMIFS(Projetos!$F$2:$F$11,Projetos!$D$2:$D$11,"BRL",Projetos!$N$2:$N$11,Dados!$A693)</f>
        <v>0</v>
      </c>
      <c r="C693" s="45">
        <f ca="1">(A693+B693)*((Indicadores_Economicos!D$2+1)^(1/12)-1)</f>
        <v>1.2208344816967449E-11</v>
      </c>
      <c r="D693" s="18">
        <f>SUMIFS(Projetos!$G$2:$G$11,Projetos!$K$2:$K$11,"&lt;="&amp;Dados!$A693,Projetos!$N$2:$N$11,"&gt;"&amp;Dados!A693,Projetos!$D$2:$D$11,"BRL")</f>
        <v>0</v>
      </c>
      <c r="E693" s="18">
        <f t="shared" ca="1" si="40"/>
        <v>3.741382203823963E-9</v>
      </c>
      <c r="G693" s="45">
        <f t="shared" ca="1" si="43"/>
        <v>2.8685952761592228E-9</v>
      </c>
      <c r="H693" s="18">
        <f>-SUMIFS(Projetos!$F$2:$F$11,Projetos!$D$2:$D$11,"USD",Projetos!$N$2:$N$11,Dados!$A693)</f>
        <v>0</v>
      </c>
      <c r="I693" s="45">
        <f ca="1">(G693+H693)*((Indicadores_Economicos!D$2+1)^(1/12)-1)</f>
        <v>9.3910344745903287E-12</v>
      </c>
      <c r="J693" s="18">
        <f>SUMIFS(Projetos!$G$2:$G$11,Projetos!$K$2:$K$11,"&lt;="&amp;Dados!$A693,Projetos!$N$2:$N$11,"&gt;"&amp;Dados!$A693,Projetos!$D$2:$D$11,"USD")</f>
        <v>0</v>
      </c>
      <c r="K693" s="18">
        <f t="shared" ca="1" si="41"/>
        <v>2.8779863106338133E-9</v>
      </c>
    </row>
    <row r="694" spans="1:11" x14ac:dyDescent="0.2">
      <c r="A694" s="45">
        <f t="shared" ca="1" si="42"/>
        <v>3.741382203823963E-9</v>
      </c>
      <c r="B694" s="18">
        <f>-SUMIFS(Projetos!$F$2:$F$11,Projetos!$D$2:$D$11,"BRL",Projetos!$N$2:$N$11,Dados!$A694)</f>
        <v>0</v>
      </c>
      <c r="C694" s="45">
        <f ca="1">(A694+B694)*((Indicadores_Economicos!D$2+1)^(1/12)-1)</f>
        <v>1.2248311761069555E-11</v>
      </c>
      <c r="D694" s="18">
        <f>SUMIFS(Projetos!$G$2:$G$11,Projetos!$K$2:$K$11,"&lt;="&amp;Dados!$A694,Projetos!$N$2:$N$11,"&gt;"&amp;Dados!A694,Projetos!$D$2:$D$11,"BRL")</f>
        <v>0</v>
      </c>
      <c r="E694" s="18">
        <f t="shared" ca="1" si="40"/>
        <v>3.7536305155850329E-9</v>
      </c>
      <c r="G694" s="45">
        <f t="shared" ca="1" si="43"/>
        <v>2.8779863106338133E-9</v>
      </c>
      <c r="H694" s="18">
        <f>-SUMIFS(Projetos!$F$2:$F$11,Projetos!$D$2:$D$11,"USD",Projetos!$N$2:$N$11,Dados!$A694)</f>
        <v>0</v>
      </c>
      <c r="I694" s="45">
        <f ca="1">(G694+H694)*((Indicadores_Economicos!D$2+1)^(1/12)-1)</f>
        <v>9.4217782777457966E-12</v>
      </c>
      <c r="J694" s="18">
        <f>SUMIFS(Projetos!$G$2:$G$11,Projetos!$K$2:$K$11,"&lt;="&amp;Dados!$A694,Projetos!$N$2:$N$11,"&gt;"&amp;Dados!$A694,Projetos!$D$2:$D$11,"USD")</f>
        <v>0</v>
      </c>
      <c r="K694" s="18">
        <f t="shared" ca="1" si="41"/>
        <v>2.887408088911559E-9</v>
      </c>
    </row>
    <row r="695" spans="1:11" x14ac:dyDescent="0.2">
      <c r="A695" s="45">
        <f t="shared" ca="1" si="42"/>
        <v>3.7536305155850329E-9</v>
      </c>
      <c r="B695" s="18">
        <f>-SUMIFS(Projetos!$F$2:$F$11,Projetos!$D$2:$D$11,"BRL",Projetos!$N$2:$N$11,Dados!$A695)</f>
        <v>0</v>
      </c>
      <c r="C695" s="45">
        <f ca="1">(A695+B695)*((Indicadores_Economicos!D$2+1)^(1/12)-1)</f>
        <v>1.2288409546546545E-11</v>
      </c>
      <c r="D695" s="18">
        <f>SUMIFS(Projetos!$G$2:$G$11,Projetos!$K$2:$K$11,"&lt;="&amp;Dados!$A695,Projetos!$N$2:$N$11,"&gt;"&amp;Dados!A695,Projetos!$D$2:$D$11,"BRL")</f>
        <v>0</v>
      </c>
      <c r="E695" s="18">
        <f t="shared" ca="1" si="40"/>
        <v>3.7659189251315794E-9</v>
      </c>
      <c r="G695" s="45">
        <f t="shared" ca="1" si="43"/>
        <v>2.887408088911559E-9</v>
      </c>
      <c r="H695" s="18">
        <f>-SUMIFS(Projetos!$F$2:$F$11,Projetos!$D$2:$D$11,"USD",Projetos!$N$2:$N$11,Dados!$A695)</f>
        <v>0</v>
      </c>
      <c r="I695" s="45">
        <f ca="1">(G695+H695)*((Indicadores_Economicos!D$2+1)^(1/12)-1)</f>
        <v>9.4526227281127111E-12</v>
      </c>
      <c r="J695" s="18">
        <f>SUMIFS(Projetos!$G$2:$G$11,Projetos!$K$2:$K$11,"&lt;="&amp;Dados!$A695,Projetos!$N$2:$N$11,"&gt;"&amp;Dados!$A695,Projetos!$D$2:$D$11,"USD")</f>
        <v>0</v>
      </c>
      <c r="K695" s="18">
        <f t="shared" ca="1" si="41"/>
        <v>2.8968607116396717E-9</v>
      </c>
    </row>
    <row r="696" spans="1:11" x14ac:dyDescent="0.2">
      <c r="A696" s="45">
        <f t="shared" ca="1" si="42"/>
        <v>3.7659189251315794E-9</v>
      </c>
      <c r="B696" s="18">
        <f>-SUMIFS(Projetos!$F$2:$F$11,Projetos!$D$2:$D$11,"BRL",Projetos!$N$2:$N$11,Dados!$A696)</f>
        <v>0</v>
      </c>
      <c r="C696" s="45">
        <f ca="1">(A696+B696)*((Indicadores_Economicos!D$2+1)^(1/12)-1)</f>
        <v>1.2328638601739026E-11</v>
      </c>
      <c r="D696" s="18">
        <f>SUMIFS(Projetos!$G$2:$G$11,Projetos!$K$2:$K$11,"&lt;="&amp;Dados!$A696,Projetos!$N$2:$N$11,"&gt;"&amp;Dados!A696,Projetos!$D$2:$D$11,"BRL")</f>
        <v>0</v>
      </c>
      <c r="E696" s="18">
        <f t="shared" ca="1" si="40"/>
        <v>3.7782475637333185E-9</v>
      </c>
      <c r="G696" s="45">
        <f t="shared" ca="1" si="43"/>
        <v>2.8968607116396717E-9</v>
      </c>
      <c r="H696" s="18">
        <f>-SUMIFS(Projetos!$F$2:$F$11,Projetos!$D$2:$D$11,"USD",Projetos!$N$2:$N$11,Dados!$A696)</f>
        <v>0</v>
      </c>
      <c r="I696" s="45">
        <f ca="1">(G696+H696)*((Indicadores_Economicos!D$2+1)^(1/12)-1)</f>
        <v>9.4835681551838511E-12</v>
      </c>
      <c r="J696" s="18">
        <f>SUMIFS(Projetos!$G$2:$G$11,Projetos!$K$2:$K$11,"&lt;="&amp;Dados!$A696,Projetos!$N$2:$N$11,"&gt;"&amp;Dados!$A696,Projetos!$D$2:$D$11,"USD")</f>
        <v>0</v>
      </c>
      <c r="K696" s="18">
        <f t="shared" ca="1" si="41"/>
        <v>2.9063442797948556E-9</v>
      </c>
    </row>
    <row r="697" spans="1:11" x14ac:dyDescent="0.2">
      <c r="A697" s="45">
        <f t="shared" ca="1" si="42"/>
        <v>3.7782475637333185E-9</v>
      </c>
      <c r="B697" s="18">
        <f>-SUMIFS(Projetos!$F$2:$F$11,Projetos!$D$2:$D$11,"BRL",Projetos!$N$2:$N$11,Dados!$A697)</f>
        <v>0</v>
      </c>
      <c r="C697" s="45">
        <f ca="1">(A697+B697)*((Indicadores_Economicos!D$2+1)^(1/12)-1)</f>
        <v>1.2368999356389893E-11</v>
      </c>
      <c r="D697" s="18">
        <f>SUMIFS(Projetos!$G$2:$G$11,Projetos!$K$2:$K$11,"&lt;="&amp;Dados!$A697,Projetos!$N$2:$N$11,"&gt;"&amp;Dados!A697,Projetos!$D$2:$D$11,"BRL")</f>
        <v>0</v>
      </c>
      <c r="E697" s="18">
        <f t="shared" ca="1" si="40"/>
        <v>3.790616563089708E-9</v>
      </c>
      <c r="G697" s="45">
        <f t="shared" ca="1" si="43"/>
        <v>2.9063442797948556E-9</v>
      </c>
      <c r="H697" s="18">
        <f>-SUMIFS(Projetos!$F$2:$F$11,Projetos!$D$2:$D$11,"USD",Projetos!$N$2:$N$11,Dados!$A697)</f>
        <v>0</v>
      </c>
      <c r="I697" s="45">
        <f ca="1">(G697+H697)*((Indicadores_Economicos!D$2+1)^(1/12)-1)</f>
        <v>9.5146148895306718E-12</v>
      </c>
      <c r="J697" s="18">
        <f>SUMIFS(Projetos!$G$2:$G$11,Projetos!$K$2:$K$11,"&lt;="&amp;Dados!$A697,Projetos!$N$2:$N$11,"&gt;"&amp;Dados!$A697,Projetos!$D$2:$D$11,"USD")</f>
        <v>0</v>
      </c>
      <c r="K697" s="18">
        <f t="shared" ca="1" si="41"/>
        <v>2.9158588946843864E-9</v>
      </c>
    </row>
    <row r="698" spans="1:11" x14ac:dyDescent="0.2">
      <c r="A698" s="45">
        <f t="shared" ca="1" si="42"/>
        <v>3.790616563089708E-9</v>
      </c>
      <c r="B698" s="18">
        <f>-SUMIFS(Projetos!$F$2:$F$11,Projetos!$D$2:$D$11,"BRL",Projetos!$N$2:$N$11,Dados!$A698)</f>
        <v>0</v>
      </c>
      <c r="C698" s="45">
        <f ca="1">(A698+B698)*((Indicadores_Economicos!D$2+1)^(1/12)-1)</f>
        <v>1.2409492241648899E-11</v>
      </c>
      <c r="D698" s="18">
        <f>SUMIFS(Projetos!$G$2:$G$11,Projetos!$K$2:$K$11,"&lt;="&amp;Dados!$A698,Projetos!$N$2:$N$11,"&gt;"&amp;Dados!A698,Projetos!$D$2:$D$11,"BRL")</f>
        <v>0</v>
      </c>
      <c r="E698" s="18">
        <f t="shared" ca="1" si="40"/>
        <v>3.8030260553313571E-9</v>
      </c>
      <c r="G698" s="45">
        <f t="shared" ca="1" si="43"/>
        <v>2.9158588946843864E-9</v>
      </c>
      <c r="H698" s="18">
        <f>-SUMIFS(Projetos!$F$2:$F$11,Projetos!$D$2:$D$11,"USD",Projetos!$N$2:$N$11,Dados!$A698)</f>
        <v>0</v>
      </c>
      <c r="I698" s="45">
        <f ca="1">(G698+H698)*((Indicadores_Economicos!D$2+1)^(1/12)-1)</f>
        <v>9.5457632628068309E-12</v>
      </c>
      <c r="J698" s="18">
        <f>SUMIFS(Projetos!$G$2:$G$11,Projetos!$K$2:$K$11,"&lt;="&amp;Dados!$A698,Projetos!$N$2:$N$11,"&gt;"&amp;Dados!$A698,Projetos!$D$2:$D$11,"USD")</f>
        <v>0</v>
      </c>
      <c r="K698" s="18">
        <f t="shared" ca="1" si="41"/>
        <v>2.9254046579471932E-9</v>
      </c>
    </row>
    <row r="699" spans="1:11" x14ac:dyDescent="0.2">
      <c r="A699" s="45">
        <f t="shared" ca="1" si="42"/>
        <v>3.8030260553313571E-9</v>
      </c>
      <c r="B699" s="18">
        <f>-SUMIFS(Projetos!$F$2:$F$11,Projetos!$D$2:$D$11,"BRL",Projetos!$N$2:$N$11,Dados!$A699)</f>
        <v>0</v>
      </c>
      <c r="C699" s="45">
        <f ca="1">(A699+B699)*((Indicadores_Economicos!D$2+1)^(1/12)-1)</f>
        <v>1.2450117690077274E-11</v>
      </c>
      <c r="D699" s="18">
        <f>SUMIFS(Projetos!$G$2:$G$11,Projetos!$K$2:$K$11,"&lt;="&amp;Dados!$A699,Projetos!$N$2:$N$11,"&gt;"&amp;Dados!A699,Projetos!$D$2:$D$11,"BRL")</f>
        <v>0</v>
      </c>
      <c r="E699" s="18">
        <f t="shared" ca="1" si="40"/>
        <v>3.8154761730214342E-9</v>
      </c>
      <c r="G699" s="45">
        <f t="shared" ca="1" si="43"/>
        <v>2.9254046579471932E-9</v>
      </c>
      <c r="H699" s="18">
        <f>-SUMIFS(Projetos!$F$2:$F$11,Projetos!$D$2:$D$11,"USD",Projetos!$N$2:$N$11,Dados!$A699)</f>
        <v>0</v>
      </c>
      <c r="I699" s="45">
        <f ca="1">(G699+H699)*((Indicadores_Economicos!D$2+1)^(1/12)-1)</f>
        <v>9.5770136077517348E-12</v>
      </c>
      <c r="J699" s="18">
        <f>SUMIFS(Projetos!$G$2:$G$11,Projetos!$K$2:$K$11,"&lt;="&amp;Dados!$A699,Projetos!$N$2:$N$11,"&gt;"&amp;Dados!$A699,Projetos!$D$2:$D$11,"USD")</f>
        <v>0</v>
      </c>
      <c r="K699" s="18">
        <f t="shared" ca="1" si="41"/>
        <v>2.9349816715549448E-9</v>
      </c>
    </row>
    <row r="700" spans="1:11" x14ac:dyDescent="0.2">
      <c r="A700" s="45">
        <f t="shared" ca="1" si="42"/>
        <v>3.8154761730214342E-9</v>
      </c>
      <c r="B700" s="18">
        <f>-SUMIFS(Projetos!$F$2:$F$11,Projetos!$D$2:$D$11,"BRL",Projetos!$N$2:$N$11,Dados!$A700)</f>
        <v>0</v>
      </c>
      <c r="C700" s="45">
        <f ca="1">(A700+B700)*((Indicadores_Economicos!D$2+1)^(1/12)-1)</f>
        <v>1.2490876135652338E-11</v>
      </c>
      <c r="D700" s="18">
        <f>SUMIFS(Projetos!$G$2:$G$11,Projetos!$K$2:$K$11,"&lt;="&amp;Dados!$A700,Projetos!$N$2:$N$11,"&gt;"&amp;Dados!A700,Projetos!$D$2:$D$11,"BRL")</f>
        <v>0</v>
      </c>
      <c r="E700" s="18">
        <f t="shared" ca="1" si="40"/>
        <v>3.8279670491570863E-9</v>
      </c>
      <c r="G700" s="45">
        <f t="shared" ca="1" si="43"/>
        <v>2.9349816715549448E-9</v>
      </c>
      <c r="H700" s="18">
        <f>-SUMIFS(Projetos!$F$2:$F$11,Projetos!$D$2:$D$11,"USD",Projetos!$N$2:$N$11,Dados!$A700)</f>
        <v>0</v>
      </c>
      <c r="I700" s="45">
        <f ca="1">(G700+H700)*((Indicadores_Economicos!D$2+1)^(1/12)-1)</f>
        <v>9.6083662581940916E-12</v>
      </c>
      <c r="J700" s="18">
        <f>SUMIFS(Projetos!$G$2:$G$11,Projetos!$K$2:$K$11,"&lt;="&amp;Dados!$A700,Projetos!$N$2:$N$11,"&gt;"&amp;Dados!$A700,Projetos!$D$2:$D$11,"USD")</f>
        <v>0</v>
      </c>
      <c r="K700" s="18">
        <f t="shared" ca="1" si="41"/>
        <v>2.944590037813139E-9</v>
      </c>
    </row>
    <row r="701" spans="1:11" x14ac:dyDescent="0.2">
      <c r="A701" s="45">
        <f t="shared" ca="1" si="42"/>
        <v>3.8279670491570863E-9</v>
      </c>
      <c r="B701" s="18">
        <f>-SUMIFS(Projetos!$F$2:$F$11,Projetos!$D$2:$D$11,"BRL",Projetos!$N$2:$N$11,Dados!$A701)</f>
        <v>0</v>
      </c>
      <c r="C701" s="45">
        <f ca="1">(A701+B701)*((Indicadores_Economicos!D$2+1)^(1/12)-1)</f>
        <v>1.2531768013772141E-11</v>
      </c>
      <c r="D701" s="18">
        <f>SUMIFS(Projetos!$G$2:$G$11,Projetos!$K$2:$K$11,"&lt;="&amp;Dados!$A701,Projetos!$N$2:$N$11,"&gt;"&amp;Dados!A701,Projetos!$D$2:$D$11,"BRL")</f>
        <v>0</v>
      </c>
      <c r="E701" s="18">
        <f t="shared" ca="1" si="40"/>
        <v>3.8404988171708585E-9</v>
      </c>
      <c r="G701" s="45">
        <f t="shared" ca="1" si="43"/>
        <v>2.944590037813139E-9</v>
      </c>
      <c r="H701" s="18">
        <f>-SUMIFS(Projetos!$F$2:$F$11,Projetos!$D$2:$D$11,"USD",Projetos!$N$2:$N$11,Dados!$A701)</f>
        <v>0</v>
      </c>
      <c r="I701" s="45">
        <f ca="1">(G701+H701)*((Indicadores_Economicos!D$2+1)^(1/12)-1)</f>
        <v>9.6398215490554798E-12</v>
      </c>
      <c r="J701" s="18">
        <f>SUMIFS(Projetos!$G$2:$G$11,Projetos!$K$2:$K$11,"&lt;="&amp;Dados!$A701,Projetos!$N$2:$N$11,"&gt;"&amp;Dados!$A701,Projetos!$D$2:$D$11,"USD")</f>
        <v>0</v>
      </c>
      <c r="K701" s="18">
        <f t="shared" ca="1" si="41"/>
        <v>2.9542298593621944E-9</v>
      </c>
    </row>
    <row r="702" spans="1:11" x14ac:dyDescent="0.2">
      <c r="A702" s="45">
        <f t="shared" ca="1" si="42"/>
        <v>3.8404988171708585E-9</v>
      </c>
      <c r="B702" s="18">
        <f>-SUMIFS(Projetos!$F$2:$F$11,Projetos!$D$2:$D$11,"BRL",Projetos!$N$2:$N$11,Dados!$A702)</f>
        <v>0</v>
      </c>
      <c r="C702" s="45">
        <f ca="1">(A702+B702)*((Indicadores_Economicos!D$2+1)^(1/12)-1)</f>
        <v>1.2572793761260114E-11</v>
      </c>
      <c r="D702" s="18">
        <f>SUMIFS(Projetos!$G$2:$G$11,Projetos!$K$2:$K$11,"&lt;="&amp;Dados!$A702,Projetos!$N$2:$N$11,"&gt;"&amp;Dados!A702,Projetos!$D$2:$D$11,"BRL")</f>
        <v>0</v>
      </c>
      <c r="E702" s="18">
        <f t="shared" ca="1" si="40"/>
        <v>3.8530716109321186E-9</v>
      </c>
      <c r="G702" s="45">
        <f t="shared" ca="1" si="43"/>
        <v>2.9542298593621944E-9</v>
      </c>
      <c r="H702" s="18">
        <f>-SUMIFS(Projetos!$F$2:$F$11,Projetos!$D$2:$D$11,"USD",Projetos!$N$2:$N$11,Dados!$A702)</f>
        <v>0</v>
      </c>
      <c r="I702" s="45">
        <f ca="1">(G702+H702)*((Indicadores_Economicos!D$2+1)^(1/12)-1)</f>
        <v>9.6713798163539203E-12</v>
      </c>
      <c r="J702" s="18">
        <f>SUMIFS(Projetos!$G$2:$G$11,Projetos!$K$2:$K$11,"&lt;="&amp;Dados!$A702,Projetos!$N$2:$N$11,"&gt;"&amp;Dados!$A702,Projetos!$D$2:$D$11,"USD")</f>
        <v>0</v>
      </c>
      <c r="K702" s="18">
        <f t="shared" ca="1" si="41"/>
        <v>2.9639012391785482E-9</v>
      </c>
    </row>
    <row r="703" spans="1:11" x14ac:dyDescent="0.2">
      <c r="A703" s="45">
        <f t="shared" ca="1" si="42"/>
        <v>3.8530716109321186E-9</v>
      </c>
      <c r="B703" s="18">
        <f>-SUMIFS(Projetos!$F$2:$F$11,Projetos!$D$2:$D$11,"BRL",Projetos!$N$2:$N$11,Dados!$A703)</f>
        <v>0</v>
      </c>
      <c r="C703" s="45">
        <f ca="1">(A703+B703)*((Indicadores_Economicos!D$2+1)^(1/12)-1)</f>
        <v>1.2613953816369735E-11</v>
      </c>
      <c r="D703" s="18">
        <f>SUMIFS(Projetos!$G$2:$G$11,Projetos!$K$2:$K$11,"&lt;="&amp;Dados!$A703,Projetos!$N$2:$N$11,"&gt;"&amp;Dados!A703,Projetos!$D$2:$D$11,"BRL")</f>
        <v>0</v>
      </c>
      <c r="E703" s="18">
        <f t="shared" ca="1" si="40"/>
        <v>3.8656855647484884E-9</v>
      </c>
      <c r="G703" s="45">
        <f t="shared" ca="1" si="43"/>
        <v>2.9639012391785482E-9</v>
      </c>
      <c r="H703" s="18">
        <f>-SUMIFS(Projetos!$F$2:$F$11,Projetos!$D$2:$D$11,"USD",Projetos!$N$2:$N$11,Dados!$A703)</f>
        <v>0</v>
      </c>
      <c r="I703" s="45">
        <f ca="1">(G703+H703)*((Indicadores_Economicos!D$2+1)^(1/12)-1)</f>
        <v>9.7030413972074728E-12</v>
      </c>
      <c r="J703" s="18">
        <f>SUMIFS(Projetos!$G$2:$G$11,Projetos!$K$2:$K$11,"&lt;="&amp;Dados!$A703,Projetos!$N$2:$N$11,"&gt;"&amp;Dados!$A703,Projetos!$D$2:$D$11,"USD")</f>
        <v>0</v>
      </c>
      <c r="K703" s="18">
        <f t="shared" ca="1" si="41"/>
        <v>2.9736042805757555E-9</v>
      </c>
    </row>
    <row r="704" spans="1:11" x14ac:dyDescent="0.2">
      <c r="A704" s="45">
        <f t="shared" ca="1" si="42"/>
        <v>3.8656855647484884E-9</v>
      </c>
      <c r="B704" s="18">
        <f>-SUMIFS(Projetos!$F$2:$F$11,Projetos!$D$2:$D$11,"BRL",Projetos!$N$2:$N$11,Dados!$A704)</f>
        <v>0</v>
      </c>
      <c r="C704" s="45">
        <f ca="1">(A704+B704)*((Indicadores_Economicos!D$2+1)^(1/12)-1)</f>
        <v>1.2655248618789204E-11</v>
      </c>
      <c r="D704" s="18">
        <f>SUMIFS(Projetos!$G$2:$G$11,Projetos!$K$2:$K$11,"&lt;="&amp;Dados!$A704,Projetos!$N$2:$N$11,"&gt;"&amp;Dados!A704,Projetos!$D$2:$D$11,"BRL")</f>
        <v>0</v>
      </c>
      <c r="E704" s="18">
        <f t="shared" ca="1" si="40"/>
        <v>3.8783408133672779E-9</v>
      </c>
      <c r="G704" s="45">
        <f t="shared" ca="1" si="43"/>
        <v>2.9736042805757555E-9</v>
      </c>
      <c r="H704" s="18">
        <f>-SUMIFS(Projetos!$F$2:$F$11,Projetos!$D$2:$D$11,"USD",Projetos!$N$2:$N$11,Dados!$A704)</f>
        <v>0</v>
      </c>
      <c r="I704" s="45">
        <f ca="1">(G704+H704)*((Indicadores_Economicos!D$2+1)^(1/12)-1)</f>
        <v>9.7348066298378335E-12</v>
      </c>
      <c r="J704" s="18">
        <f>SUMIFS(Projetos!$G$2:$G$11,Projetos!$K$2:$K$11,"&lt;="&amp;Dados!$A704,Projetos!$N$2:$N$11,"&gt;"&amp;Dados!$A704,Projetos!$D$2:$D$11,"USD")</f>
        <v>0</v>
      </c>
      <c r="K704" s="18">
        <f t="shared" ca="1" si="41"/>
        <v>2.9833390872055933E-9</v>
      </c>
    </row>
    <row r="705" spans="1:11" x14ac:dyDescent="0.2">
      <c r="A705" s="45">
        <f t="shared" ca="1" si="42"/>
        <v>3.8783408133672779E-9</v>
      </c>
      <c r="B705" s="18">
        <f>-SUMIFS(Projetos!$F$2:$F$11,Projetos!$D$2:$D$11,"BRL",Projetos!$N$2:$N$11,Dados!$A705)</f>
        <v>0</v>
      </c>
      <c r="C705" s="45">
        <f ca="1">(A705+B705)*((Indicadores_Economicos!D$2+1)^(1/12)-1)</f>
        <v>1.2696678609646153E-11</v>
      </c>
      <c r="D705" s="18">
        <f>SUMIFS(Projetos!$G$2:$G$11,Projetos!$K$2:$K$11,"&lt;="&amp;Dados!$A705,Projetos!$N$2:$N$11,"&gt;"&amp;Dados!A705,Projetos!$D$2:$D$11,"BRL")</f>
        <v>0</v>
      </c>
      <c r="E705" s="18">
        <f t="shared" ca="1" si="40"/>
        <v>3.8910374919769241E-9</v>
      </c>
      <c r="G705" s="45">
        <f t="shared" ca="1" si="43"/>
        <v>2.9833390872055933E-9</v>
      </c>
      <c r="H705" s="18">
        <f>-SUMIFS(Projetos!$F$2:$F$11,Projetos!$D$2:$D$11,"USD",Projetos!$N$2:$N$11,Dados!$A705)</f>
        <v>0</v>
      </c>
      <c r="I705" s="45">
        <f ca="1">(G705+H705)*((Indicadores_Economicos!D$2+1)^(1/12)-1)</f>
        <v>9.7666758535739479E-12</v>
      </c>
      <c r="J705" s="18">
        <f>SUMIFS(Projetos!$G$2:$G$11,Projetos!$K$2:$K$11,"&lt;="&amp;Dados!$A705,Projetos!$N$2:$N$11,"&gt;"&amp;Dados!$A705,Projetos!$D$2:$D$11,"USD")</f>
        <v>0</v>
      </c>
      <c r="K705" s="18">
        <f t="shared" ca="1" si="41"/>
        <v>2.9931057630591674E-9</v>
      </c>
    </row>
    <row r="706" spans="1:11" x14ac:dyDescent="0.2">
      <c r="A706" s="45">
        <f t="shared" ca="1" si="42"/>
        <v>3.8910374919769241E-9</v>
      </c>
      <c r="B706" s="18">
        <f>-SUMIFS(Projetos!$F$2:$F$11,Projetos!$D$2:$D$11,"BRL",Projetos!$N$2:$N$11,Dados!$A706)</f>
        <v>0</v>
      </c>
      <c r="C706" s="45">
        <f ca="1">(A706+B706)*((Indicadores_Economicos!D$2+1)^(1/12)-1)</f>
        <v>1.2738244231512346E-11</v>
      </c>
      <c r="D706" s="18">
        <f>SUMIFS(Projetos!$G$2:$G$11,Projetos!$K$2:$K$11,"&lt;="&amp;Dados!$A706,Projetos!$N$2:$N$11,"&gt;"&amp;Dados!A706,Projetos!$D$2:$D$11,"BRL")</f>
        <v>0</v>
      </c>
      <c r="E706" s="18">
        <f t="shared" ref="E706:E769" ca="1" si="44">A706+B706+C706+D706</f>
        <v>3.9037757362084361E-9</v>
      </c>
      <c r="G706" s="45">
        <f t="shared" ca="1" si="43"/>
        <v>2.9931057630591674E-9</v>
      </c>
      <c r="H706" s="18">
        <f>-SUMIFS(Projetos!$F$2:$F$11,Projetos!$D$2:$D$11,"USD",Projetos!$N$2:$N$11,Dados!$A706)</f>
        <v>0</v>
      </c>
      <c r="I706" s="45">
        <f ca="1">(G706+H706)*((Indicadores_Economicos!D$2+1)^(1/12)-1)</f>
        <v>9.7986494088556342E-12</v>
      </c>
      <c r="J706" s="18">
        <f>SUMIFS(Projetos!$G$2:$G$11,Projetos!$K$2:$K$11,"&lt;="&amp;Dados!$A706,Projetos!$N$2:$N$11,"&gt;"&amp;Dados!$A706,Projetos!$D$2:$D$11,"USD")</f>
        <v>0</v>
      </c>
      <c r="K706" s="18">
        <f t="shared" ref="K706:K769" ca="1" si="45">G706+H706+I706+J706</f>
        <v>3.0029044124680229E-9</v>
      </c>
    </row>
    <row r="707" spans="1:11" x14ac:dyDescent="0.2">
      <c r="A707" s="45">
        <f t="shared" ca="1" si="42"/>
        <v>3.9037757362084361E-9</v>
      </c>
      <c r="B707" s="18">
        <f>-SUMIFS(Projetos!$F$2:$F$11,Projetos!$D$2:$D$11,"BRL",Projetos!$N$2:$N$11,Dados!$A707)</f>
        <v>0</v>
      </c>
      <c r="C707" s="45">
        <f ca="1">(A707+B707)*((Indicadores_Economicos!D$2+1)^(1/12)-1)</f>
        <v>1.2779945928408413E-11</v>
      </c>
      <c r="D707" s="18">
        <f>SUMIFS(Projetos!$G$2:$G$11,Projetos!$K$2:$K$11,"&lt;="&amp;Dados!$A707,Projetos!$N$2:$N$11,"&gt;"&amp;Dados!A707,Projetos!$D$2:$D$11,"BRL")</f>
        <v>0</v>
      </c>
      <c r="E707" s="18">
        <f t="shared" ca="1" si="44"/>
        <v>3.9165556821368447E-9</v>
      </c>
      <c r="G707" s="45">
        <f t="shared" ca="1" si="43"/>
        <v>3.0029044124680229E-9</v>
      </c>
      <c r="H707" s="18">
        <f>-SUMIFS(Projetos!$F$2:$F$11,Projetos!$D$2:$D$11,"USD",Projetos!$N$2:$N$11,Dados!$A707)</f>
        <v>0</v>
      </c>
      <c r="I707" s="45">
        <f ca="1">(G707+H707)*((Indicadores_Economicos!D$2+1)^(1/12)-1)</f>
        <v>9.8307276372372251E-12</v>
      </c>
      <c r="J707" s="18">
        <f>SUMIFS(Projetos!$G$2:$G$11,Projetos!$K$2:$K$11,"&lt;="&amp;Dados!$A707,Projetos!$N$2:$N$11,"&gt;"&amp;Dados!$A707,Projetos!$D$2:$D$11,"USD")</f>
        <v>0</v>
      </c>
      <c r="K707" s="18">
        <f t="shared" ca="1" si="45"/>
        <v>3.0127351401052599E-9</v>
      </c>
    </row>
    <row r="708" spans="1:11" x14ac:dyDescent="0.2">
      <c r="A708" s="45">
        <f t="shared" ref="A708:A771" ca="1" si="46">E707</f>
        <v>3.9165556821368447E-9</v>
      </c>
      <c r="B708" s="18">
        <f>-SUMIFS(Projetos!$F$2:$F$11,Projetos!$D$2:$D$11,"BRL",Projetos!$N$2:$N$11,Dados!$A708)</f>
        <v>0</v>
      </c>
      <c r="C708" s="45">
        <f ca="1">(A708+B708)*((Indicadores_Economicos!D$2+1)^(1/12)-1)</f>
        <v>1.2821784145808595E-11</v>
      </c>
      <c r="D708" s="18">
        <f>SUMIFS(Projetos!$G$2:$G$11,Projetos!$K$2:$K$11,"&lt;="&amp;Dados!$A708,Projetos!$N$2:$N$11,"&gt;"&amp;Dados!A708,Projetos!$D$2:$D$11,"BRL")</f>
        <v>0</v>
      </c>
      <c r="E708" s="18">
        <f t="shared" ca="1" si="44"/>
        <v>3.9293774662826537E-9</v>
      </c>
      <c r="G708" s="45">
        <f t="shared" ref="G708:G771" ca="1" si="47">K707</f>
        <v>3.0127351401052599E-9</v>
      </c>
      <c r="H708" s="18">
        <f>-SUMIFS(Projetos!$F$2:$F$11,Projetos!$D$2:$D$11,"USD",Projetos!$N$2:$N$11,Dados!$A708)</f>
        <v>0</v>
      </c>
      <c r="I708" s="45">
        <f ca="1">(G708+H708)*((Indicadores_Economicos!D$2+1)^(1/12)-1)</f>
        <v>9.8629108813912091E-12</v>
      </c>
      <c r="J708" s="18">
        <f>SUMIFS(Projetos!$G$2:$G$11,Projetos!$K$2:$K$11,"&lt;="&amp;Dados!$A708,Projetos!$N$2:$N$11,"&gt;"&amp;Dados!$A708,Projetos!$D$2:$D$11,"USD")</f>
        <v>0</v>
      </c>
      <c r="K708" s="18">
        <f t="shared" ca="1" si="45"/>
        <v>3.0225980509866512E-9</v>
      </c>
    </row>
    <row r="709" spans="1:11" x14ac:dyDescent="0.2">
      <c r="A709" s="45">
        <f t="shared" ca="1" si="46"/>
        <v>3.9293774662826537E-9</v>
      </c>
      <c r="B709" s="18">
        <f>-SUMIFS(Projetos!$F$2:$F$11,Projetos!$D$2:$D$11,"BRL",Projetos!$N$2:$N$11,Dados!$A709)</f>
        <v>0</v>
      </c>
      <c r="C709" s="45">
        <f ca="1">(A709+B709)*((Indicadores_Economicos!D$2+1)^(1/12)-1)</f>
        <v>1.2863759330645497E-11</v>
      </c>
      <c r="D709" s="18">
        <f>SUMIFS(Projetos!$G$2:$G$11,Projetos!$K$2:$K$11,"&lt;="&amp;Dados!$A709,Projetos!$N$2:$N$11,"&gt;"&amp;Dados!A709,Projetos!$D$2:$D$11,"BRL")</f>
        <v>0</v>
      </c>
      <c r="E709" s="18">
        <f t="shared" ca="1" si="44"/>
        <v>3.9422412256132992E-9</v>
      </c>
      <c r="G709" s="45">
        <f t="shared" ca="1" si="47"/>
        <v>3.0225980509866512E-9</v>
      </c>
      <c r="H709" s="18">
        <f>-SUMIFS(Projetos!$F$2:$F$11,Projetos!$D$2:$D$11,"USD",Projetos!$N$2:$N$11,Dados!$A709)</f>
        <v>0</v>
      </c>
      <c r="I709" s="45">
        <f ca="1">(G709+H709)*((Indicadores_Economicos!D$2+1)^(1/12)-1)</f>
        <v>9.8951994851119031E-12</v>
      </c>
      <c r="J709" s="18">
        <f>SUMIFS(Projetos!$G$2:$G$11,Projetos!$K$2:$K$11,"&lt;="&amp;Dados!$A709,Projetos!$N$2:$N$11,"&gt;"&amp;Dados!$A709,Projetos!$D$2:$D$11,"USD")</f>
        <v>0</v>
      </c>
      <c r="K709" s="18">
        <f t="shared" ca="1" si="45"/>
        <v>3.032493250471763E-9</v>
      </c>
    </row>
    <row r="710" spans="1:11" x14ac:dyDescent="0.2">
      <c r="A710" s="45">
        <f t="shared" ca="1" si="46"/>
        <v>3.9422412256132992E-9</v>
      </c>
      <c r="B710" s="18">
        <f>-SUMIFS(Projetos!$F$2:$F$11,Projetos!$D$2:$D$11,"BRL",Projetos!$N$2:$N$11,Dados!$A710)</f>
        <v>0</v>
      </c>
      <c r="C710" s="45">
        <f ca="1">(A710+B710)*((Indicadores_Economicos!D$2+1)^(1/12)-1)</f>
        <v>1.2905871931314865E-11</v>
      </c>
      <c r="D710" s="18">
        <f>SUMIFS(Projetos!$G$2:$G$11,Projetos!$K$2:$K$11,"&lt;="&amp;Dados!$A710,Projetos!$N$2:$N$11,"&gt;"&amp;Dados!A710,Projetos!$D$2:$D$11,"BRL")</f>
        <v>0</v>
      </c>
      <c r="E710" s="18">
        <f t="shared" ca="1" si="44"/>
        <v>3.9551470975446139E-9</v>
      </c>
      <c r="G710" s="45">
        <f t="shared" ca="1" si="47"/>
        <v>3.032493250471763E-9</v>
      </c>
      <c r="H710" s="18">
        <f>-SUMIFS(Projetos!$F$2:$F$11,Projetos!$D$2:$D$11,"USD",Projetos!$N$2:$N$11,Dados!$A710)</f>
        <v>0</v>
      </c>
      <c r="I710" s="45">
        <f ca="1">(G710+H710)*((Indicadores_Economicos!D$2+1)^(1/12)-1)</f>
        <v>9.927593793319108E-12</v>
      </c>
      <c r="J710" s="18">
        <f>SUMIFS(Projetos!$G$2:$G$11,Projetos!$K$2:$K$11,"&lt;="&amp;Dados!$A710,Projetos!$N$2:$N$11,"&gt;"&amp;Dados!$A710,Projetos!$D$2:$D$11,"USD")</f>
        <v>0</v>
      </c>
      <c r="K710" s="18">
        <f t="shared" ca="1" si="45"/>
        <v>3.0424208442650821E-9</v>
      </c>
    </row>
    <row r="711" spans="1:11" x14ac:dyDescent="0.2">
      <c r="A711" s="45">
        <f t="shared" ca="1" si="46"/>
        <v>3.9551470975446139E-9</v>
      </c>
      <c r="B711" s="18">
        <f>-SUMIFS(Projetos!$F$2:$F$11,Projetos!$D$2:$D$11,"BRL",Projetos!$N$2:$N$11,Dados!$A711)</f>
        <v>0</v>
      </c>
      <c r="C711" s="45">
        <f ca="1">(A711+B711)*((Indicadores_Economicos!D$2+1)^(1/12)-1)</f>
        <v>1.2948122397680374E-11</v>
      </c>
      <c r="D711" s="18">
        <f>SUMIFS(Projetos!$G$2:$G$11,Projetos!$K$2:$K$11,"&lt;="&amp;Dados!$A711,Projetos!$N$2:$N$11,"&gt;"&amp;Dados!A711,Projetos!$D$2:$D$11,"BRL")</f>
        <v>0</v>
      </c>
      <c r="E711" s="18">
        <f t="shared" ca="1" si="44"/>
        <v>3.968095219942294E-9</v>
      </c>
      <c r="G711" s="45">
        <f t="shared" ca="1" si="47"/>
        <v>3.0424208442650821E-9</v>
      </c>
      <c r="H711" s="18">
        <f>-SUMIFS(Projetos!$F$2:$F$11,Projetos!$D$2:$D$11,"USD",Projetos!$N$2:$N$11,Dados!$A711)</f>
        <v>0</v>
      </c>
      <c r="I711" s="45">
        <f ca="1">(G711+H711)*((Indicadores_Economicos!D$2+1)^(1/12)-1)</f>
        <v>9.9600941520618072E-12</v>
      </c>
      <c r="J711" s="18">
        <f>SUMIFS(Projetos!$G$2:$G$11,Projetos!$K$2:$K$11,"&lt;="&amp;Dados!$A711,Projetos!$N$2:$N$11,"&gt;"&amp;Dados!$A711,Projetos!$D$2:$D$11,"USD")</f>
        <v>0</v>
      </c>
      <c r="K711" s="18">
        <f t="shared" ca="1" si="45"/>
        <v>3.0523809384171438E-9</v>
      </c>
    </row>
    <row r="712" spans="1:11" x14ac:dyDescent="0.2">
      <c r="A712" s="45">
        <f t="shared" ca="1" si="46"/>
        <v>3.968095219942294E-9</v>
      </c>
      <c r="B712" s="18">
        <f>-SUMIFS(Projetos!$F$2:$F$11,Projetos!$D$2:$D$11,"BRL",Projetos!$N$2:$N$11,Dados!$A712)</f>
        <v>0</v>
      </c>
      <c r="C712" s="45">
        <f ca="1">(A712+B712)*((Indicadores_Economicos!D$2+1)^(1/12)-1)</f>
        <v>1.2990511181078439E-11</v>
      </c>
      <c r="D712" s="18">
        <f>SUMIFS(Projetos!$G$2:$G$11,Projetos!$K$2:$K$11,"&lt;="&amp;Dados!$A712,Projetos!$N$2:$N$11,"&gt;"&amp;Dados!A712,Projetos!$D$2:$D$11,"BRL")</f>
        <v>0</v>
      </c>
      <c r="E712" s="18">
        <f t="shared" ca="1" si="44"/>
        <v>3.9810857311233722E-9</v>
      </c>
      <c r="G712" s="45">
        <f t="shared" ca="1" si="47"/>
        <v>3.0523809384171438E-9</v>
      </c>
      <c r="H712" s="18">
        <f>-SUMIFS(Projetos!$F$2:$F$11,Projetos!$D$2:$D$11,"USD",Projetos!$N$2:$N$11,Dados!$A712)</f>
        <v>0</v>
      </c>
      <c r="I712" s="45">
        <f ca="1">(G712+H712)*((Indicadores_Economicos!D$2+1)^(1/12)-1)</f>
        <v>9.992700908521858E-12</v>
      </c>
      <c r="J712" s="18">
        <f>SUMIFS(Projetos!$G$2:$G$11,Projetos!$K$2:$K$11,"&lt;="&amp;Dados!$A712,Projetos!$N$2:$N$11,"&gt;"&amp;Dados!$A712,Projetos!$D$2:$D$11,"USD")</f>
        <v>0</v>
      </c>
      <c r="K712" s="18">
        <f t="shared" ca="1" si="45"/>
        <v>3.0623736393256655E-9</v>
      </c>
    </row>
    <row r="713" spans="1:11" x14ac:dyDescent="0.2">
      <c r="A713" s="45">
        <f t="shared" ca="1" si="46"/>
        <v>3.9810857311233722E-9</v>
      </c>
      <c r="B713" s="18">
        <f>-SUMIFS(Projetos!$F$2:$F$11,Projetos!$D$2:$D$11,"BRL",Projetos!$N$2:$N$11,Dados!$A713)</f>
        <v>0</v>
      </c>
      <c r="C713" s="45">
        <f ca="1">(A713+B713)*((Indicadores_Economicos!D$2+1)^(1/12)-1)</f>
        <v>1.3033038734323034E-11</v>
      </c>
      <c r="D713" s="18">
        <f>SUMIFS(Projetos!$G$2:$G$11,Projetos!$K$2:$K$11,"&lt;="&amp;Dados!$A713,Projetos!$N$2:$N$11,"&gt;"&amp;Dados!A713,Projetos!$D$2:$D$11,"BRL")</f>
        <v>0</v>
      </c>
      <c r="E713" s="18">
        <f t="shared" ca="1" si="44"/>
        <v>3.9941187698576955E-9</v>
      </c>
      <c r="G713" s="45">
        <f t="shared" ca="1" si="47"/>
        <v>3.0623736393256655E-9</v>
      </c>
      <c r="H713" s="18">
        <f>-SUMIFS(Projetos!$F$2:$F$11,Projetos!$D$2:$D$11,"USD",Projetos!$N$2:$N$11,Dados!$A713)</f>
        <v>0</v>
      </c>
      <c r="I713" s="45">
        <f ca="1">(G713+H713)*((Indicadores_Economicos!D$2+1)^(1/12)-1)</f>
        <v>1.0025414411017701E-11</v>
      </c>
      <c r="J713" s="18">
        <f>SUMIFS(Projetos!$G$2:$G$11,Projetos!$K$2:$K$11,"&lt;="&amp;Dados!$A713,Projetos!$N$2:$N$11,"&gt;"&amp;Dados!$A713,Projetos!$D$2:$D$11,"USD")</f>
        <v>0</v>
      </c>
      <c r="K713" s="18">
        <f t="shared" ca="1" si="45"/>
        <v>3.0723990537366833E-9</v>
      </c>
    </row>
    <row r="714" spans="1:11" x14ac:dyDescent="0.2">
      <c r="A714" s="45">
        <f t="shared" ca="1" si="46"/>
        <v>3.9941187698576955E-9</v>
      </c>
      <c r="B714" s="18">
        <f>-SUMIFS(Projetos!$F$2:$F$11,Projetos!$D$2:$D$11,"BRL",Projetos!$N$2:$N$11,Dados!$A714)</f>
        <v>0</v>
      </c>
      <c r="C714" s="45">
        <f ca="1">(A714+B714)*((Indicadores_Economicos!D$2+1)^(1/12)-1)</f>
        <v>1.3075705511710528E-11</v>
      </c>
      <c r="D714" s="18">
        <f>SUMIFS(Projetos!$G$2:$G$11,Projetos!$K$2:$K$11,"&lt;="&amp;Dados!$A714,Projetos!$N$2:$N$11,"&gt;"&amp;Dados!A714,Projetos!$D$2:$D$11,"BRL")</f>
        <v>0</v>
      </c>
      <c r="E714" s="18">
        <f t="shared" ca="1" si="44"/>
        <v>4.0071944753694059E-9</v>
      </c>
      <c r="G714" s="45">
        <f t="shared" ca="1" si="47"/>
        <v>3.0723990537366833E-9</v>
      </c>
      <c r="H714" s="18">
        <f>-SUMIFS(Projetos!$F$2:$F$11,Projetos!$D$2:$D$11,"USD",Projetos!$N$2:$N$11,Dados!$A714)</f>
        <v>0</v>
      </c>
      <c r="I714" s="45">
        <f ca="1">(G714+H714)*((Indicadores_Economicos!D$2+1)^(1/12)-1)</f>
        <v>1.005823500900808E-11</v>
      </c>
      <c r="J714" s="18">
        <f>SUMIFS(Projetos!$G$2:$G$11,Projetos!$K$2:$K$11,"&lt;="&amp;Dados!$A714,Projetos!$N$2:$N$11,"&gt;"&amp;Dados!$A714,Projetos!$D$2:$D$11,"USD")</f>
        <v>0</v>
      </c>
      <c r="K714" s="18">
        <f t="shared" ca="1" si="45"/>
        <v>3.0824572887456913E-9</v>
      </c>
    </row>
    <row r="715" spans="1:11" x14ac:dyDescent="0.2">
      <c r="A715" s="45">
        <f t="shared" ca="1" si="46"/>
        <v>4.0071944753694059E-9</v>
      </c>
      <c r="B715" s="18">
        <f>-SUMIFS(Projetos!$F$2:$F$11,Projetos!$D$2:$D$11,"BRL",Projetos!$N$2:$N$11,Dados!$A715)</f>
        <v>0</v>
      </c>
      <c r="C715" s="45">
        <f ca="1">(A715+B715)*((Indicadores_Economicos!D$2+1)^(1/12)-1)</f>
        <v>1.3118511969024532E-11</v>
      </c>
      <c r="D715" s="18">
        <f>SUMIFS(Projetos!$G$2:$G$11,Projetos!$K$2:$K$11,"&lt;="&amp;Dados!$A715,Projetos!$N$2:$N$11,"&gt;"&amp;Dados!A715,Projetos!$D$2:$D$11,"BRL")</f>
        <v>0</v>
      </c>
      <c r="E715" s="18">
        <f t="shared" ca="1" si="44"/>
        <v>4.0203129873384302E-9</v>
      </c>
      <c r="G715" s="45">
        <f t="shared" ca="1" si="47"/>
        <v>3.0824572887456913E-9</v>
      </c>
      <c r="H715" s="18">
        <f>-SUMIFS(Projetos!$F$2:$F$11,Projetos!$D$2:$D$11,"USD",Projetos!$N$2:$N$11,Dados!$A715)</f>
        <v>0</v>
      </c>
      <c r="I715" s="45">
        <f ca="1">(G715+H715)*((Indicadores_Economicos!D$2+1)^(1/12)-1)</f>
        <v>1.0091163053095775E-11</v>
      </c>
      <c r="J715" s="18">
        <f>SUMIFS(Projetos!$G$2:$G$11,Projetos!$K$2:$K$11,"&lt;="&amp;Dados!$A715,Projetos!$N$2:$N$11,"&gt;"&amp;Dados!$A715,Projetos!$D$2:$D$11,"USD")</f>
        <v>0</v>
      </c>
      <c r="K715" s="18">
        <f t="shared" ca="1" si="45"/>
        <v>3.0925484517987869E-9</v>
      </c>
    </row>
    <row r="716" spans="1:11" x14ac:dyDescent="0.2">
      <c r="A716" s="45">
        <f t="shared" ca="1" si="46"/>
        <v>4.0203129873384302E-9</v>
      </c>
      <c r="B716" s="18">
        <f>-SUMIFS(Projetos!$F$2:$F$11,Projetos!$D$2:$D$11,"BRL",Projetos!$N$2:$N$11,Dados!$A716)</f>
        <v>0</v>
      </c>
      <c r="C716" s="45">
        <f ca="1">(A716+B716)*((Indicadores_Economicos!D$2+1)^(1/12)-1)</f>
        <v>1.316145856354078E-11</v>
      </c>
      <c r="D716" s="18">
        <f>SUMIFS(Projetos!$G$2:$G$11,Projetos!$K$2:$K$11,"&lt;="&amp;Dados!$A716,Projetos!$N$2:$N$11,"&gt;"&amp;Dados!A716,Projetos!$D$2:$D$11,"BRL")</f>
        <v>0</v>
      </c>
      <c r="E716" s="18">
        <f t="shared" ca="1" si="44"/>
        <v>4.0334744459019714E-9</v>
      </c>
      <c r="G716" s="45">
        <f t="shared" ca="1" si="47"/>
        <v>3.0925484517987869E-9</v>
      </c>
      <c r="H716" s="18">
        <f>-SUMIFS(Projetos!$F$2:$F$11,Projetos!$D$2:$D$11,"USD",Projetos!$N$2:$N$11,Dados!$A716)</f>
        <v>0</v>
      </c>
      <c r="I716" s="45">
        <f ca="1">(G716+H716)*((Indicadores_Economicos!D$2+1)^(1/12)-1)</f>
        <v>1.0124198895031351E-11</v>
      </c>
      <c r="J716" s="18">
        <f>SUMIFS(Projetos!$G$2:$G$11,Projetos!$K$2:$K$11,"&lt;="&amp;Dados!$A716,Projetos!$N$2:$N$11,"&gt;"&amp;Dados!$A716,Projetos!$D$2:$D$11,"USD")</f>
        <v>0</v>
      </c>
      <c r="K716" s="18">
        <f t="shared" ca="1" si="45"/>
        <v>3.1026726506938184E-9</v>
      </c>
    </row>
    <row r="717" spans="1:11" x14ac:dyDescent="0.2">
      <c r="A717" s="45">
        <f t="shared" ca="1" si="46"/>
        <v>4.0334744459019714E-9</v>
      </c>
      <c r="B717" s="18">
        <f>-SUMIFS(Projetos!$F$2:$F$11,Projetos!$D$2:$D$11,"BRL",Projetos!$N$2:$N$11,Dados!$A717)</f>
        <v>0</v>
      </c>
      <c r="C717" s="45">
        <f ca="1">(A717+B717)*((Indicadores_Economicos!D$2+1)^(1/12)-1)</f>
        <v>1.3204545754032007E-11</v>
      </c>
      <c r="D717" s="18">
        <f>SUMIFS(Projetos!$G$2:$G$11,Projetos!$K$2:$K$11,"&lt;="&amp;Dados!$A717,Projetos!$N$2:$N$11,"&gt;"&amp;Dados!A717,Projetos!$D$2:$D$11,"BRL")</f>
        <v>0</v>
      </c>
      <c r="E717" s="18">
        <f t="shared" ca="1" si="44"/>
        <v>4.0466789916560034E-9</v>
      </c>
      <c r="G717" s="45">
        <f t="shared" ca="1" si="47"/>
        <v>3.1026726506938184E-9</v>
      </c>
      <c r="H717" s="18">
        <f>-SUMIFS(Projetos!$F$2:$F$11,Projetos!$D$2:$D$11,"USD",Projetos!$N$2:$N$11,Dados!$A717)</f>
        <v>0</v>
      </c>
      <c r="I717" s="45">
        <f ca="1">(G717+H717)*((Indicadores_Economicos!D$2+1)^(1/12)-1)</f>
        <v>1.015734288771691E-11</v>
      </c>
      <c r="J717" s="18">
        <f>SUMIFS(Projetos!$G$2:$G$11,Projetos!$K$2:$K$11,"&lt;="&amp;Dados!$A717,Projetos!$N$2:$N$11,"&gt;"&amp;Dados!$A717,Projetos!$D$2:$D$11,"USD")</f>
        <v>0</v>
      </c>
      <c r="K717" s="18">
        <f t="shared" ca="1" si="45"/>
        <v>3.1128299935815354E-9</v>
      </c>
    </row>
    <row r="718" spans="1:11" x14ac:dyDescent="0.2">
      <c r="A718" s="45">
        <f t="shared" ca="1" si="46"/>
        <v>4.0466789916560034E-9</v>
      </c>
      <c r="B718" s="18">
        <f>-SUMIFS(Projetos!$F$2:$F$11,Projetos!$D$2:$D$11,"BRL",Projetos!$N$2:$N$11,Dados!$A718)</f>
        <v>0</v>
      </c>
      <c r="C718" s="45">
        <f ca="1">(A718+B718)*((Indicadores_Economicos!D$2+1)^(1/12)-1)</f>
        <v>1.3247774000772847E-11</v>
      </c>
      <c r="D718" s="18">
        <f>SUMIFS(Projetos!$G$2:$G$11,Projetos!$K$2:$K$11,"&lt;="&amp;Dados!$A718,Projetos!$N$2:$N$11,"&gt;"&amp;Dados!A718,Projetos!$D$2:$D$11,"BRL")</f>
        <v>0</v>
      </c>
      <c r="E718" s="18">
        <f t="shared" ca="1" si="44"/>
        <v>4.0599267656567765E-9</v>
      </c>
      <c r="G718" s="45">
        <f t="shared" ca="1" si="47"/>
        <v>3.1128299935815354E-9</v>
      </c>
      <c r="H718" s="18">
        <f>-SUMIFS(Projetos!$F$2:$F$11,Projetos!$D$2:$D$11,"USD",Projetos!$N$2:$N$11,Dados!$A718)</f>
        <v>0</v>
      </c>
      <c r="I718" s="45">
        <f ca="1">(G718+H718)*((Indicadores_Economicos!D$2+1)^(1/12)-1)</f>
        <v>1.0190595385209864E-11</v>
      </c>
      <c r="J718" s="18">
        <f>SUMIFS(Projetos!$G$2:$G$11,Projetos!$K$2:$K$11,"&lt;="&amp;Dados!$A718,Projetos!$N$2:$N$11,"&gt;"&amp;Dados!$A718,Projetos!$D$2:$D$11,"USD")</f>
        <v>0</v>
      </c>
      <c r="K718" s="18">
        <f t="shared" ca="1" si="45"/>
        <v>3.1230205889667453E-9</v>
      </c>
    </row>
    <row r="719" spans="1:11" x14ac:dyDescent="0.2">
      <c r="A719" s="45">
        <f t="shared" ca="1" si="46"/>
        <v>4.0599267656567765E-9</v>
      </c>
      <c r="B719" s="18">
        <f>-SUMIFS(Projetos!$F$2:$F$11,Projetos!$D$2:$D$11,"BRL",Projetos!$N$2:$N$11,Dados!$A719)</f>
        <v>0</v>
      </c>
      <c r="C719" s="45">
        <f ca="1">(A719+B719)*((Indicadores_Economicos!D$2+1)^(1/12)-1)</f>
        <v>1.3291143765544759E-11</v>
      </c>
      <c r="D719" s="18">
        <f>SUMIFS(Projetos!$G$2:$G$11,Projetos!$K$2:$K$11,"&lt;="&amp;Dados!$A719,Projetos!$N$2:$N$11,"&gt;"&amp;Dados!A719,Projetos!$D$2:$D$11,"BRL")</f>
        <v>0</v>
      </c>
      <c r="E719" s="18">
        <f t="shared" ca="1" si="44"/>
        <v>4.0732179094223212E-9</v>
      </c>
      <c r="G719" s="45">
        <f t="shared" ca="1" si="47"/>
        <v>3.1230205889667453E-9</v>
      </c>
      <c r="H719" s="18">
        <f>-SUMIFS(Projetos!$F$2:$F$11,Projetos!$D$2:$D$11,"USD",Projetos!$N$2:$N$11,Dados!$A719)</f>
        <v>0</v>
      </c>
      <c r="I719" s="45">
        <f ca="1">(G719+H719)*((Indicadores_Economicos!D$2+1)^(1/12)-1)</f>
        <v>1.0223956742726718E-11</v>
      </c>
      <c r="J719" s="18">
        <f>SUMIFS(Projetos!$G$2:$G$11,Projetos!$K$2:$K$11,"&lt;="&amp;Dados!$A719,Projetos!$N$2:$N$11,"&gt;"&amp;Dados!$A719,Projetos!$D$2:$D$11,"USD")</f>
        <v>0</v>
      </c>
      <c r="K719" s="18">
        <f t="shared" ca="1" si="45"/>
        <v>3.1332445457094721E-9</v>
      </c>
    </row>
    <row r="720" spans="1:11" x14ac:dyDescent="0.2">
      <c r="A720" s="45">
        <f t="shared" ca="1" si="46"/>
        <v>4.0732179094223212E-9</v>
      </c>
      <c r="B720" s="18">
        <f>-SUMIFS(Projetos!$F$2:$F$11,Projetos!$D$2:$D$11,"BRL",Projetos!$N$2:$N$11,Dados!$A720)</f>
        <v>0</v>
      </c>
      <c r="C720" s="45">
        <f ca="1">(A720+B720)*((Indicadores_Economicos!D$2+1)^(1/12)-1)</f>
        <v>1.3334655511640948E-11</v>
      </c>
      <c r="D720" s="18">
        <f>SUMIFS(Projetos!$G$2:$G$11,Projetos!$K$2:$K$11,"&lt;="&amp;Dados!$A720,Projetos!$N$2:$N$11,"&gt;"&amp;Dados!A720,Projetos!$D$2:$D$11,"BRL")</f>
        <v>0</v>
      </c>
      <c r="E720" s="18">
        <f t="shared" ca="1" si="44"/>
        <v>4.0865525649339619E-9</v>
      </c>
      <c r="G720" s="45">
        <f t="shared" ca="1" si="47"/>
        <v>3.1332445457094721E-9</v>
      </c>
      <c r="H720" s="18">
        <f>-SUMIFS(Projetos!$F$2:$F$11,Projetos!$D$2:$D$11,"USD",Projetos!$N$2:$N$11,Dados!$A720)</f>
        <v>0</v>
      </c>
      <c r="I720" s="45">
        <f ca="1">(G720+H720)*((Indicadores_Economicos!D$2+1)^(1/12)-1)</f>
        <v>1.0257427316646864E-11</v>
      </c>
      <c r="J720" s="18">
        <f>SUMIFS(Projetos!$G$2:$G$11,Projetos!$K$2:$K$11,"&lt;="&amp;Dados!$A720,Projetos!$N$2:$N$11,"&gt;"&amp;Dados!$A720,Projetos!$D$2:$D$11,"USD")</f>
        <v>0</v>
      </c>
      <c r="K720" s="18">
        <f t="shared" ca="1" si="45"/>
        <v>3.1435019730261191E-9</v>
      </c>
    </row>
    <row r="721" spans="1:11" x14ac:dyDescent="0.2">
      <c r="A721" s="45">
        <f t="shared" ca="1" si="46"/>
        <v>4.0865525649339619E-9</v>
      </c>
      <c r="B721" s="18">
        <f>-SUMIFS(Projetos!$F$2:$F$11,Projetos!$D$2:$D$11,"BRL",Projetos!$N$2:$N$11,Dados!$A721)</f>
        <v>0</v>
      </c>
      <c r="C721" s="45">
        <f ca="1">(A721+B721)*((Indicadores_Economicos!D$2+1)^(1/12)-1)</f>
        <v>1.3378309703871323E-11</v>
      </c>
      <c r="D721" s="18">
        <f>SUMIFS(Projetos!$G$2:$G$11,Projetos!$K$2:$K$11,"&lt;="&amp;Dados!$A721,Projetos!$N$2:$N$11,"&gt;"&amp;Dados!A721,Projetos!$D$2:$D$11,"BRL")</f>
        <v>0</v>
      </c>
      <c r="E721" s="18">
        <f t="shared" ca="1" si="44"/>
        <v>4.0999308746378332E-9</v>
      </c>
      <c r="G721" s="45">
        <f t="shared" ca="1" si="47"/>
        <v>3.1435019730261191E-9</v>
      </c>
      <c r="H721" s="18">
        <f>-SUMIFS(Projetos!$F$2:$F$11,Projetos!$D$2:$D$11,"USD",Projetos!$N$2:$N$11,Dados!$A721)</f>
        <v>0</v>
      </c>
      <c r="I721" s="45">
        <f ca="1">(G721+H721)*((Indicadores_Economicos!D$2+1)^(1/12)-1)</f>
        <v>1.0291007464516386E-11</v>
      </c>
      <c r="J721" s="18">
        <f>SUMIFS(Projetos!$G$2:$G$11,Projetos!$K$2:$K$11,"&lt;="&amp;Dados!$A721,Projetos!$N$2:$N$11,"&gt;"&amp;Dados!$A721,Projetos!$D$2:$D$11,"USD")</f>
        <v>0</v>
      </c>
      <c r="K721" s="18">
        <f t="shared" ca="1" si="45"/>
        <v>3.1537929804906353E-9</v>
      </c>
    </row>
    <row r="722" spans="1:11" x14ac:dyDescent="0.2">
      <c r="A722" s="45">
        <f t="shared" ca="1" si="46"/>
        <v>4.0999308746378332E-9</v>
      </c>
      <c r="B722" s="18">
        <f>-SUMIFS(Projetos!$F$2:$F$11,Projetos!$D$2:$D$11,"BRL",Projetos!$N$2:$N$11,Dados!$A722)</f>
        <v>0</v>
      </c>
      <c r="C722" s="45">
        <f ca="1">(A722+B722)*((Indicadores_Economicos!D$2+1)^(1/12)-1)</f>
        <v>1.3422106808567465E-11</v>
      </c>
      <c r="D722" s="18">
        <f>SUMIFS(Projetos!$G$2:$G$11,Projetos!$K$2:$K$11,"&lt;="&amp;Dados!$A722,Projetos!$N$2:$N$11,"&gt;"&amp;Dados!A722,Projetos!$D$2:$D$11,"BRL")</f>
        <v>0</v>
      </c>
      <c r="E722" s="18">
        <f t="shared" ca="1" si="44"/>
        <v>4.1133529814464011E-9</v>
      </c>
      <c r="G722" s="45">
        <f t="shared" ca="1" si="47"/>
        <v>3.1537929804906353E-9</v>
      </c>
      <c r="H722" s="18">
        <f>-SUMIFS(Projetos!$F$2:$F$11,Projetos!$D$2:$D$11,"USD",Projetos!$N$2:$N$11,Dados!$A722)</f>
        <v>0</v>
      </c>
      <c r="I722" s="45">
        <f ca="1">(G722+H722)*((Indicadores_Economicos!D$2+1)^(1/12)-1)</f>
        <v>1.0324697545051877E-11</v>
      </c>
      <c r="J722" s="18">
        <f>SUMIFS(Projetos!$G$2:$G$11,Projetos!$K$2:$K$11,"&lt;="&amp;Dados!$A722,Projetos!$N$2:$N$11,"&gt;"&amp;Dados!$A722,Projetos!$D$2:$D$11,"USD")</f>
        <v>0</v>
      </c>
      <c r="K722" s="18">
        <f t="shared" ca="1" si="45"/>
        <v>3.1641176780356872E-9</v>
      </c>
    </row>
    <row r="723" spans="1:11" x14ac:dyDescent="0.2">
      <c r="A723" s="45">
        <f t="shared" ca="1" si="46"/>
        <v>4.1133529814464011E-9</v>
      </c>
      <c r="B723" s="18">
        <f>-SUMIFS(Projetos!$F$2:$F$11,Projetos!$D$2:$D$11,"BRL",Projetos!$N$2:$N$11,Dados!$A723)</f>
        <v>0</v>
      </c>
      <c r="C723" s="45">
        <f ca="1">(A723+B723)*((Indicadores_Economicos!D$2+1)^(1/12)-1)</f>
        <v>1.3466047293587597E-11</v>
      </c>
      <c r="D723" s="18">
        <f>SUMIFS(Projetos!$G$2:$G$11,Projetos!$K$2:$K$11,"&lt;="&amp;Dados!$A723,Projetos!$N$2:$N$11,"&gt;"&amp;Dados!A723,Projetos!$D$2:$D$11,"BRL")</f>
        <v>0</v>
      </c>
      <c r="E723" s="18">
        <f t="shared" ca="1" si="44"/>
        <v>4.1268190287399889E-9</v>
      </c>
      <c r="G723" s="45">
        <f t="shared" ca="1" si="47"/>
        <v>3.1641176780356872E-9</v>
      </c>
      <c r="H723" s="18">
        <f>-SUMIFS(Projetos!$F$2:$F$11,Projetos!$D$2:$D$11,"USD",Projetos!$N$2:$N$11,Dados!$A723)</f>
        <v>0</v>
      </c>
      <c r="I723" s="45">
        <f ca="1">(G723+H723)*((Indicadores_Economicos!D$2+1)^(1/12)-1)</f>
        <v>1.0358497918144285E-11</v>
      </c>
      <c r="J723" s="18">
        <f>SUMIFS(Projetos!$G$2:$G$11,Projetos!$K$2:$K$11,"&lt;="&amp;Dados!$A723,Projetos!$N$2:$N$11,"&gt;"&amp;Dados!$A723,Projetos!$D$2:$D$11,"USD")</f>
        <v>0</v>
      </c>
      <c r="K723" s="18">
        <f t="shared" ca="1" si="45"/>
        <v>3.1744761759538315E-9</v>
      </c>
    </row>
    <row r="724" spans="1:11" x14ac:dyDescent="0.2">
      <c r="A724" s="45">
        <f t="shared" ca="1" si="46"/>
        <v>4.1268190287399889E-9</v>
      </c>
      <c r="B724" s="18">
        <f>-SUMIFS(Projetos!$F$2:$F$11,Projetos!$D$2:$D$11,"BRL",Projetos!$N$2:$N$11,Dados!$A724)</f>
        <v>0</v>
      </c>
      <c r="C724" s="45">
        <f ca="1">(A724+B724)*((Indicadores_Economicos!D$2+1)^(1/12)-1)</f>
        <v>1.3510131628321587E-11</v>
      </c>
      <c r="D724" s="18">
        <f>SUMIFS(Projetos!$G$2:$G$11,Projetos!$K$2:$K$11,"&lt;="&amp;Dados!$A724,Projetos!$N$2:$N$11,"&gt;"&amp;Dados!A724,Projetos!$D$2:$D$11,"BRL")</f>
        <v>0</v>
      </c>
      <c r="E724" s="18">
        <f t="shared" ca="1" si="44"/>
        <v>4.1403291603683103E-9</v>
      </c>
      <c r="G724" s="45">
        <f t="shared" ca="1" si="47"/>
        <v>3.1744761759538315E-9</v>
      </c>
      <c r="H724" s="18">
        <f>-SUMIFS(Projetos!$F$2:$F$11,Projetos!$D$2:$D$11,"USD",Projetos!$N$2:$N$11,Dados!$A724)</f>
        <v>0</v>
      </c>
      <c r="I724" s="45">
        <f ca="1">(G724+H724)*((Indicadores_Economicos!D$2+1)^(1/12)-1)</f>
        <v>1.0392408944862739E-11</v>
      </c>
      <c r="J724" s="18">
        <f>SUMIFS(Projetos!$G$2:$G$11,Projetos!$K$2:$K$11,"&lt;="&amp;Dados!$A724,Projetos!$N$2:$N$11,"&gt;"&amp;Dados!$A724,Projetos!$D$2:$D$11,"USD")</f>
        <v>0</v>
      </c>
      <c r="K724" s="18">
        <f t="shared" ca="1" si="45"/>
        <v>3.1848685848986941E-9</v>
      </c>
    </row>
    <row r="725" spans="1:11" x14ac:dyDescent="0.2">
      <c r="A725" s="45">
        <f t="shared" ca="1" si="46"/>
        <v>4.1403291603683103E-9</v>
      </c>
      <c r="B725" s="18">
        <f>-SUMIFS(Projetos!$F$2:$F$11,Projetos!$D$2:$D$11,"BRL",Projetos!$N$2:$N$11,Dados!$A725)</f>
        <v>0</v>
      </c>
      <c r="C725" s="45">
        <f ca="1">(A725+B725)*((Indicadores_Economicos!D$2+1)^(1/12)-1)</f>
        <v>1.3554360283695967E-11</v>
      </c>
      <c r="D725" s="18">
        <f>SUMIFS(Projetos!$G$2:$G$11,Projetos!$K$2:$K$11,"&lt;="&amp;Dados!$A725,Projetos!$N$2:$N$11,"&gt;"&amp;Dados!A725,Projetos!$D$2:$D$11,"BRL")</f>
        <v>0</v>
      </c>
      <c r="E725" s="18">
        <f t="shared" ca="1" si="44"/>
        <v>4.1538835206520062E-9</v>
      </c>
      <c r="G725" s="45">
        <f t="shared" ca="1" si="47"/>
        <v>3.1848685848986941E-9</v>
      </c>
      <c r="H725" s="18">
        <f>-SUMIFS(Projetos!$F$2:$F$11,Projetos!$D$2:$D$11,"USD",Projetos!$N$2:$N$11,Dados!$A725)</f>
        <v>0</v>
      </c>
      <c r="I725" s="45">
        <f ca="1">(G725+H725)*((Indicadores_Economicos!D$2+1)^(1/12)-1)</f>
        <v>1.0426430987458416E-11</v>
      </c>
      <c r="J725" s="18">
        <f>SUMIFS(Projetos!$G$2:$G$11,Projetos!$K$2:$K$11,"&lt;="&amp;Dados!$A725,Projetos!$N$2:$N$11,"&gt;"&amp;Dados!$A725,Projetos!$D$2:$D$11,"USD")</f>
        <v>0</v>
      </c>
      <c r="K725" s="18">
        <f t="shared" ca="1" si="45"/>
        <v>3.1952950158861525E-9</v>
      </c>
    </row>
    <row r="726" spans="1:11" x14ac:dyDescent="0.2">
      <c r="A726" s="45">
        <f t="shared" ca="1" si="46"/>
        <v>4.1538835206520062E-9</v>
      </c>
      <c r="B726" s="18">
        <f>-SUMIFS(Projetos!$F$2:$F$11,Projetos!$D$2:$D$11,"BRL",Projetos!$N$2:$N$11,Dados!$A726)</f>
        <v>0</v>
      </c>
      <c r="C726" s="45">
        <f ca="1">(A726+B726)*((Indicadores_Economicos!D$2+1)^(1/12)-1)</f>
        <v>1.3598733732178959E-11</v>
      </c>
      <c r="D726" s="18">
        <f>SUMIFS(Projetos!$G$2:$G$11,Projetos!$K$2:$K$11,"&lt;="&amp;Dados!$A726,Projetos!$N$2:$N$11,"&gt;"&amp;Dados!A726,Projetos!$D$2:$D$11,"BRL")</f>
        <v>0</v>
      </c>
      <c r="E726" s="18">
        <f t="shared" ca="1" si="44"/>
        <v>4.1674822543841855E-9</v>
      </c>
      <c r="G726" s="45">
        <f t="shared" ca="1" si="47"/>
        <v>3.1952950158861525E-9</v>
      </c>
      <c r="H726" s="18">
        <f>-SUMIFS(Projetos!$F$2:$F$11,Projetos!$D$2:$D$11,"USD",Projetos!$N$2:$N$11,Dados!$A726)</f>
        <v>0</v>
      </c>
      <c r="I726" s="45">
        <f ca="1">(G726+H726)*((Indicadores_Economicos!D$2+1)^(1/12)-1)</f>
        <v>1.046056440936841E-11</v>
      </c>
      <c r="J726" s="18">
        <f>SUMIFS(Projetos!$G$2:$G$11,Projetos!$K$2:$K$11,"&lt;="&amp;Dados!$A726,Projetos!$N$2:$N$11,"&gt;"&amp;Dados!$A726,Projetos!$D$2:$D$11,"USD")</f>
        <v>0</v>
      </c>
      <c r="K726" s="18">
        <f t="shared" ca="1" si="45"/>
        <v>3.2057555802955211E-9</v>
      </c>
    </row>
    <row r="727" spans="1:11" x14ac:dyDescent="0.2">
      <c r="A727" s="45">
        <f t="shared" ca="1" si="46"/>
        <v>4.1674822543841855E-9</v>
      </c>
      <c r="B727" s="18">
        <f>-SUMIFS(Projetos!$F$2:$F$11,Projetos!$D$2:$D$11,"BRL",Projetos!$N$2:$N$11,Dados!$A727)</f>
        <v>0</v>
      </c>
      <c r="C727" s="45">
        <f ca="1">(A727+B727)*((Indicadores_Economicos!D$2+1)^(1/12)-1)</f>
        <v>1.3643252447785524E-11</v>
      </c>
      <c r="D727" s="18">
        <f>SUMIFS(Projetos!$G$2:$G$11,Projetos!$K$2:$K$11,"&lt;="&amp;Dados!$A727,Projetos!$N$2:$N$11,"&gt;"&amp;Dados!A727,Projetos!$D$2:$D$11,"BRL")</f>
        <v>0</v>
      </c>
      <c r="E727" s="18">
        <f t="shared" ca="1" si="44"/>
        <v>4.1811255068319707E-9</v>
      </c>
      <c r="G727" s="45">
        <f t="shared" ca="1" si="47"/>
        <v>3.2057555802955211E-9</v>
      </c>
      <c r="H727" s="18">
        <f>-SUMIFS(Projetos!$F$2:$F$11,Projetos!$D$2:$D$11,"USD",Projetos!$N$2:$N$11,Dados!$A727)</f>
        <v>0</v>
      </c>
      <c r="I727" s="45">
        <f ca="1">(G727+H727)*((Indicadores_Economicos!D$2+1)^(1/12)-1)</f>
        <v>1.0494809575219614E-11</v>
      </c>
      <c r="J727" s="18">
        <f>SUMIFS(Projetos!$G$2:$G$11,Projetos!$K$2:$K$11,"&lt;="&amp;Dados!$A727,Projetos!$N$2:$N$11,"&gt;"&amp;Dados!$A727,Projetos!$D$2:$D$11,"USD")</f>
        <v>0</v>
      </c>
      <c r="K727" s="18">
        <f t="shared" ca="1" si="45"/>
        <v>3.2162503898707408E-9</v>
      </c>
    </row>
    <row r="728" spans="1:11" x14ac:dyDescent="0.2">
      <c r="A728" s="45">
        <f t="shared" ca="1" si="46"/>
        <v>4.1811255068319707E-9</v>
      </c>
      <c r="B728" s="18">
        <f>-SUMIFS(Projetos!$F$2:$F$11,Projetos!$D$2:$D$11,"BRL",Projetos!$N$2:$N$11,Dados!$A728)</f>
        <v>0</v>
      </c>
      <c r="C728" s="45">
        <f ca="1">(A728+B728)*((Indicadores_Economicos!D$2+1)^(1/12)-1)</f>
        <v>1.3687916906082422E-11</v>
      </c>
      <c r="D728" s="18">
        <f>SUMIFS(Projetos!$G$2:$G$11,Projetos!$K$2:$K$11,"&lt;="&amp;Dados!$A728,Projetos!$N$2:$N$11,"&gt;"&amp;Dados!A728,Projetos!$D$2:$D$11,"BRL")</f>
        <v>0</v>
      </c>
      <c r="E728" s="18">
        <f t="shared" ca="1" si="44"/>
        <v>4.1948134237380534E-9</v>
      </c>
      <c r="G728" s="45">
        <f t="shared" ca="1" si="47"/>
        <v>3.2162503898707408E-9</v>
      </c>
      <c r="H728" s="18">
        <f>-SUMIFS(Projetos!$F$2:$F$11,Projetos!$D$2:$D$11,"USD",Projetos!$N$2:$N$11,Dados!$A728)</f>
        <v>0</v>
      </c>
      <c r="I728" s="45">
        <f ca="1">(G728+H728)*((Indicadores_Economicos!D$2+1)^(1/12)-1)</f>
        <v>1.0529166850832612E-11</v>
      </c>
      <c r="J728" s="18">
        <f>SUMIFS(Projetos!$G$2:$G$11,Projetos!$K$2:$K$11,"&lt;="&amp;Dados!$A728,Projetos!$N$2:$N$11,"&gt;"&amp;Dados!$A728,Projetos!$D$2:$D$11,"USD")</f>
        <v>0</v>
      </c>
      <c r="K728" s="18">
        <f t="shared" ca="1" si="45"/>
        <v>3.2267795567215735E-9</v>
      </c>
    </row>
    <row r="729" spans="1:11" x14ac:dyDescent="0.2">
      <c r="A729" s="45">
        <f t="shared" ca="1" si="46"/>
        <v>4.1948134237380534E-9</v>
      </c>
      <c r="B729" s="18">
        <f>-SUMIFS(Projetos!$F$2:$F$11,Projetos!$D$2:$D$11,"BRL",Projetos!$N$2:$N$11,Dados!$A729)</f>
        <v>0</v>
      </c>
      <c r="C729" s="45">
        <f ca="1">(A729+B729)*((Indicadores_Economicos!D$2+1)^(1/12)-1)</f>
        <v>1.3732727584193297E-11</v>
      </c>
      <c r="D729" s="18">
        <f>SUMIFS(Projetos!$G$2:$G$11,Projetos!$K$2:$K$11,"&lt;="&amp;Dados!$A729,Projetos!$N$2:$N$11,"&gt;"&amp;Dados!A729,Projetos!$D$2:$D$11,"BRL")</f>
        <v>0</v>
      </c>
      <c r="E729" s="18">
        <f t="shared" ca="1" si="44"/>
        <v>4.2085461513222465E-9</v>
      </c>
      <c r="G729" s="45">
        <f t="shared" ca="1" si="47"/>
        <v>3.2267795567215735E-9</v>
      </c>
      <c r="H729" s="18">
        <f>-SUMIFS(Projetos!$F$2:$F$11,Projetos!$D$2:$D$11,"USD",Projetos!$N$2:$N$11,Dados!$A729)</f>
        <v>0</v>
      </c>
      <c r="I729" s="45">
        <f ca="1">(G729+H729)*((Indicadores_Economicos!D$2+1)^(1/12)-1)</f>
        <v>1.0563636603225593E-11</v>
      </c>
      <c r="J729" s="18">
        <f>SUMIFS(Projetos!$G$2:$G$11,Projetos!$K$2:$K$11,"&lt;="&amp;Dados!$A729,Projetos!$N$2:$N$11,"&gt;"&amp;Dados!$A729,Projetos!$D$2:$D$11,"USD")</f>
        <v>0</v>
      </c>
      <c r="K729" s="18">
        <f t="shared" ca="1" si="45"/>
        <v>3.237343193324799E-9</v>
      </c>
    </row>
    <row r="730" spans="1:11" x14ac:dyDescent="0.2">
      <c r="A730" s="45">
        <f t="shared" ca="1" si="46"/>
        <v>4.2085461513222465E-9</v>
      </c>
      <c r="B730" s="18">
        <f>-SUMIFS(Projetos!$F$2:$F$11,Projetos!$D$2:$D$11,"BRL",Projetos!$N$2:$N$11,Dados!$A730)</f>
        <v>0</v>
      </c>
      <c r="C730" s="45">
        <f ca="1">(A730+B730)*((Indicadores_Economicos!D$2+1)^(1/12)-1)</f>
        <v>1.3777684960803772E-11</v>
      </c>
      <c r="D730" s="18">
        <f>SUMIFS(Projetos!$G$2:$G$11,Projetos!$K$2:$K$11,"&lt;="&amp;Dados!$A730,Projetos!$N$2:$N$11,"&gt;"&amp;Dados!A730,Projetos!$D$2:$D$11,"BRL")</f>
        <v>0</v>
      </c>
      <c r="E730" s="18">
        <f t="shared" ca="1" si="44"/>
        <v>4.2223238362830504E-9</v>
      </c>
      <c r="G730" s="45">
        <f t="shared" ca="1" si="47"/>
        <v>3.237343193324799E-9</v>
      </c>
      <c r="H730" s="18">
        <f>-SUMIFS(Projetos!$F$2:$F$11,Projetos!$D$2:$D$11,"USD",Projetos!$N$2:$N$11,Dados!$A730)</f>
        <v>0</v>
      </c>
      <c r="I730" s="45">
        <f ca="1">(G730+H730)*((Indicadores_Economicos!D$2+1)^(1/12)-1)</f>
        <v>1.0598219200618266E-11</v>
      </c>
      <c r="J730" s="18">
        <f>SUMIFS(Projetos!$G$2:$G$11,Projetos!$K$2:$K$11,"&lt;="&amp;Dados!$A730,Projetos!$N$2:$N$11,"&gt;"&amp;Dados!$A730,Projetos!$D$2:$D$11,"USD")</f>
        <v>0</v>
      </c>
      <c r="K730" s="18">
        <f t="shared" ca="1" si="45"/>
        <v>3.2479414125254173E-9</v>
      </c>
    </row>
    <row r="731" spans="1:11" x14ac:dyDescent="0.2">
      <c r="A731" s="45">
        <f t="shared" ca="1" si="46"/>
        <v>4.2223238362830504E-9</v>
      </c>
      <c r="B731" s="18">
        <f>-SUMIFS(Projetos!$F$2:$F$11,Projetos!$D$2:$D$11,"BRL",Projetos!$N$2:$N$11,Dados!$A731)</f>
        <v>0</v>
      </c>
      <c r="C731" s="45">
        <f ca="1">(A731+B731)*((Indicadores_Economicos!D$2+1)^(1/12)-1)</f>
        <v>1.3822789516166558E-11</v>
      </c>
      <c r="D731" s="18">
        <f>SUMIFS(Projetos!$G$2:$G$11,Projetos!$K$2:$K$11,"&lt;="&amp;Dados!$A731,Projetos!$N$2:$N$11,"&gt;"&amp;Dados!A731,Projetos!$D$2:$D$11,"BRL")</f>
        <v>0</v>
      </c>
      <c r="E731" s="18">
        <f t="shared" ca="1" si="44"/>
        <v>4.2361466257992168E-9</v>
      </c>
      <c r="G731" s="45">
        <f t="shared" ca="1" si="47"/>
        <v>3.2479414125254173E-9</v>
      </c>
      <c r="H731" s="18">
        <f>-SUMIFS(Projetos!$F$2:$F$11,Projetos!$D$2:$D$11,"USD",Projetos!$N$2:$N$11,Dados!$A731)</f>
        <v>0</v>
      </c>
      <c r="I731" s="45">
        <f ca="1">(G731+H731)*((Indicadores_Economicos!D$2+1)^(1/12)-1)</f>
        <v>1.0632915012435794E-11</v>
      </c>
      <c r="J731" s="18">
        <f>SUMIFS(Projetos!$G$2:$G$11,Projetos!$K$2:$K$11,"&lt;="&amp;Dados!$A731,Projetos!$N$2:$N$11,"&gt;"&amp;Dados!$A731,Projetos!$D$2:$D$11,"USD")</f>
        <v>0</v>
      </c>
      <c r="K731" s="18">
        <f t="shared" ca="1" si="45"/>
        <v>3.258574327537853E-9</v>
      </c>
    </row>
    <row r="732" spans="1:11" x14ac:dyDescent="0.2">
      <c r="A732" s="45">
        <f t="shared" ca="1" si="46"/>
        <v>4.2361466257992168E-9</v>
      </c>
      <c r="B732" s="18">
        <f>-SUMIFS(Projetos!$F$2:$F$11,Projetos!$D$2:$D$11,"BRL",Projetos!$N$2:$N$11,Dados!$A732)</f>
        <v>0</v>
      </c>
      <c r="C732" s="45">
        <f ca="1">(A732+B732)*((Indicadores_Economicos!D$2+1)^(1/12)-1)</f>
        <v>1.3868041732106594E-11</v>
      </c>
      <c r="D732" s="18">
        <f>SUMIFS(Projetos!$G$2:$G$11,Projetos!$K$2:$K$11,"&lt;="&amp;Dados!$A732,Projetos!$N$2:$N$11,"&gt;"&amp;Dados!A732,Projetos!$D$2:$D$11,"BRL")</f>
        <v>0</v>
      </c>
      <c r="E732" s="18">
        <f t="shared" ca="1" si="44"/>
        <v>4.2500146675313235E-9</v>
      </c>
      <c r="G732" s="45">
        <f t="shared" ca="1" si="47"/>
        <v>3.258574327537853E-9</v>
      </c>
      <c r="H732" s="18">
        <f>-SUMIFS(Projetos!$F$2:$F$11,Projetos!$D$2:$D$11,"USD",Projetos!$N$2:$N$11,Dados!$A732)</f>
        <v>0</v>
      </c>
      <c r="I732" s="45">
        <f ca="1">(G732+H732)*((Indicadores_Economicos!D$2+1)^(1/12)-1)</f>
        <v>1.0667724409312745E-11</v>
      </c>
      <c r="J732" s="18">
        <f>SUMIFS(Projetos!$G$2:$G$11,Projetos!$K$2:$K$11,"&lt;="&amp;Dados!$A732,Projetos!$N$2:$N$11,"&gt;"&amp;Dados!$A732,Projetos!$D$2:$D$11,"USD")</f>
        <v>0</v>
      </c>
      <c r="K732" s="18">
        <f t="shared" ca="1" si="45"/>
        <v>3.2692420519471658E-9</v>
      </c>
    </row>
    <row r="733" spans="1:11" x14ac:dyDescent="0.2">
      <c r="A733" s="45">
        <f t="shared" ca="1" si="46"/>
        <v>4.2500146675313235E-9</v>
      </c>
      <c r="B733" s="18">
        <f>-SUMIFS(Projetos!$F$2:$F$11,Projetos!$D$2:$D$11,"BRL",Projetos!$N$2:$N$11,Dados!$A733)</f>
        <v>0</v>
      </c>
      <c r="C733" s="45">
        <f ca="1">(A733+B733)*((Indicadores_Economicos!D$2+1)^(1/12)-1)</f>
        <v>1.3913442092026187E-11</v>
      </c>
      <c r="D733" s="18">
        <f>SUMIFS(Projetos!$G$2:$G$11,Projetos!$K$2:$K$11,"&lt;="&amp;Dados!$A733,Projetos!$N$2:$N$11,"&gt;"&amp;Dados!A733,Projetos!$D$2:$D$11,"BRL")</f>
        <v>0</v>
      </c>
      <c r="E733" s="18">
        <f t="shared" ca="1" si="44"/>
        <v>4.2639281096233493E-9</v>
      </c>
      <c r="G733" s="45">
        <f t="shared" ca="1" si="47"/>
        <v>3.2692420519471658E-9</v>
      </c>
      <c r="H733" s="18">
        <f>-SUMIFS(Projetos!$F$2:$F$11,Projetos!$D$2:$D$11,"USD",Projetos!$N$2:$N$11,Dados!$A733)</f>
        <v>0</v>
      </c>
      <c r="I733" s="45">
        <f ca="1">(G733+H733)*((Indicadores_Economicos!D$2+1)^(1/12)-1)</f>
        <v>1.0702647763097047E-11</v>
      </c>
      <c r="J733" s="18">
        <f>SUMIFS(Projetos!$G$2:$G$11,Projetos!$K$2:$K$11,"&lt;="&amp;Dados!$A733,Projetos!$N$2:$N$11,"&gt;"&amp;Dados!$A733,Projetos!$D$2:$D$11,"USD")</f>
        <v>0</v>
      </c>
      <c r="K733" s="18">
        <f t="shared" ca="1" si="45"/>
        <v>3.279944699710263E-9</v>
      </c>
    </row>
    <row r="734" spans="1:11" x14ac:dyDescent="0.2">
      <c r="A734" s="45">
        <f t="shared" ca="1" si="46"/>
        <v>4.2639281096233493E-9</v>
      </c>
      <c r="B734" s="18">
        <f>-SUMIFS(Projetos!$F$2:$F$11,Projetos!$D$2:$D$11,"BRL",Projetos!$N$2:$N$11,Dados!$A734)</f>
        <v>0</v>
      </c>
      <c r="C734" s="45">
        <f ca="1">(A734+B734)*((Indicadores_Economicos!D$2+1)^(1/12)-1)</f>
        <v>1.3958991080910173E-11</v>
      </c>
      <c r="D734" s="18">
        <f>SUMIFS(Projetos!$G$2:$G$11,Projetos!$K$2:$K$11,"&lt;="&amp;Dados!$A734,Projetos!$N$2:$N$11,"&gt;"&amp;Dados!A734,Projetos!$D$2:$D$11,"BRL")</f>
        <v>0</v>
      </c>
      <c r="E734" s="18">
        <f t="shared" ca="1" si="44"/>
        <v>4.2778871007042598E-9</v>
      </c>
      <c r="G734" s="45">
        <f t="shared" ca="1" si="47"/>
        <v>3.279944699710263E-9</v>
      </c>
      <c r="H734" s="18">
        <f>-SUMIFS(Projetos!$F$2:$F$11,Projetos!$D$2:$D$11,"USD",Projetos!$N$2:$N$11,Dados!$A734)</f>
        <v>0</v>
      </c>
      <c r="I734" s="45">
        <f ca="1">(G734+H734)*((Indicadores_Economicos!D$2+1)^(1/12)-1)</f>
        <v>1.0737685446853961E-11</v>
      </c>
      <c r="J734" s="18">
        <f>SUMIFS(Projetos!$G$2:$G$11,Projetos!$K$2:$K$11,"&lt;="&amp;Dados!$A734,Projetos!$N$2:$N$11,"&gt;"&amp;Dados!$A734,Projetos!$D$2:$D$11,"USD")</f>
        <v>0</v>
      </c>
      <c r="K734" s="18">
        <f t="shared" ca="1" si="45"/>
        <v>3.290682385157117E-9</v>
      </c>
    </row>
    <row r="735" spans="1:11" x14ac:dyDescent="0.2">
      <c r="A735" s="45">
        <f t="shared" ca="1" si="46"/>
        <v>4.2778871007042598E-9</v>
      </c>
      <c r="B735" s="18">
        <f>-SUMIFS(Projetos!$F$2:$F$11,Projetos!$D$2:$D$11,"BRL",Projetos!$N$2:$N$11,Dados!$A735)</f>
        <v>0</v>
      </c>
      <c r="C735" s="45">
        <f ca="1">(A735+B735)*((Indicadores_Economicos!D$2+1)^(1/12)-1)</f>
        <v>1.400468918533111E-11</v>
      </c>
      <c r="D735" s="18">
        <f>SUMIFS(Projetos!$G$2:$G$11,Projetos!$K$2:$K$11,"&lt;="&amp;Dados!$A735,Projetos!$N$2:$N$11,"&gt;"&amp;Dados!A735,Projetos!$D$2:$D$11,"BRL")</f>
        <v>0</v>
      </c>
      <c r="E735" s="18">
        <f t="shared" ca="1" si="44"/>
        <v>4.2918917898895913E-9</v>
      </c>
      <c r="G735" s="45">
        <f t="shared" ca="1" si="47"/>
        <v>3.290682385157117E-9</v>
      </c>
      <c r="H735" s="18">
        <f>-SUMIFS(Projetos!$F$2:$F$11,Projetos!$D$2:$D$11,"USD",Projetos!$N$2:$N$11,Dados!$A735)</f>
        <v>0</v>
      </c>
      <c r="I735" s="45">
        <f ca="1">(G735+H735)*((Indicadores_Economicos!D$2+1)^(1/12)-1)</f>
        <v>1.0772837834870064E-11</v>
      </c>
      <c r="J735" s="18">
        <f>SUMIFS(Projetos!$G$2:$G$11,Projetos!$K$2:$K$11,"&lt;="&amp;Dados!$A735,Projetos!$N$2:$N$11,"&gt;"&amp;Dados!$A735,Projetos!$D$2:$D$11,"USD")</f>
        <v>0</v>
      </c>
      <c r="K735" s="18">
        <f t="shared" ca="1" si="45"/>
        <v>3.3014552229919872E-9</v>
      </c>
    </row>
    <row r="736" spans="1:11" x14ac:dyDescent="0.2">
      <c r="A736" s="45">
        <f t="shared" ca="1" si="46"/>
        <v>4.2918917898895913E-9</v>
      </c>
      <c r="B736" s="18">
        <f>-SUMIFS(Projetos!$F$2:$F$11,Projetos!$D$2:$D$11,"BRL",Projetos!$N$2:$N$11,Dados!$A736)</f>
        <v>0</v>
      </c>
      <c r="C736" s="45">
        <f ca="1">(A736+B736)*((Indicadores_Economicos!D$2+1)^(1/12)-1)</f>
        <v>1.4050536893454461E-11</v>
      </c>
      <c r="D736" s="18">
        <f>SUMIFS(Projetos!$G$2:$G$11,Projetos!$K$2:$K$11,"&lt;="&amp;Dados!$A736,Projetos!$N$2:$N$11,"&gt;"&amp;Dados!A736,Projetos!$D$2:$D$11,"BRL")</f>
        <v>0</v>
      </c>
      <c r="E736" s="18">
        <f t="shared" ca="1" si="44"/>
        <v>4.3059423267830458E-9</v>
      </c>
      <c r="G736" s="45">
        <f t="shared" ca="1" si="47"/>
        <v>3.3014552229919872E-9</v>
      </c>
      <c r="H736" s="18">
        <f>-SUMIFS(Projetos!$F$2:$F$11,Projetos!$D$2:$D$11,"USD",Projetos!$N$2:$N$11,Dados!$A736)</f>
        <v>0</v>
      </c>
      <c r="I736" s="45">
        <f ca="1">(G736+H736)*((Indicadores_Economicos!D$2+1)^(1/12)-1)</f>
        <v>1.0808105302657257E-11</v>
      </c>
      <c r="J736" s="18">
        <f>SUMIFS(Projetos!$G$2:$G$11,Projetos!$K$2:$K$11,"&lt;="&amp;Dados!$A736,Projetos!$N$2:$N$11,"&gt;"&amp;Dados!$A736,Projetos!$D$2:$D$11,"USD")</f>
        <v>0</v>
      </c>
      <c r="K736" s="18">
        <f t="shared" ca="1" si="45"/>
        <v>3.3122633282946444E-9</v>
      </c>
    </row>
    <row r="737" spans="1:11" x14ac:dyDescent="0.2">
      <c r="A737" s="45">
        <f t="shared" ca="1" si="46"/>
        <v>4.3059423267830458E-9</v>
      </c>
      <c r="B737" s="18">
        <f>-SUMIFS(Projetos!$F$2:$F$11,Projetos!$D$2:$D$11,"BRL",Projetos!$N$2:$N$11,Dados!$A737)</f>
        <v>0</v>
      </c>
      <c r="C737" s="45">
        <f ca="1">(A737+B737)*((Indicadores_Economicos!D$2+1)^(1/12)-1)</f>
        <v>1.4096534695043815E-11</v>
      </c>
      <c r="D737" s="18">
        <f>SUMIFS(Projetos!$G$2:$G$11,Projetos!$K$2:$K$11,"&lt;="&amp;Dados!$A737,Projetos!$N$2:$N$11,"&gt;"&amp;Dados!A737,Projetos!$D$2:$D$11,"BRL")</f>
        <v>0</v>
      </c>
      <c r="E737" s="18">
        <f t="shared" ca="1" si="44"/>
        <v>4.3200388614780896E-9</v>
      </c>
      <c r="G737" s="45">
        <f t="shared" ca="1" si="47"/>
        <v>3.3122633282946444E-9</v>
      </c>
      <c r="H737" s="18">
        <f>-SUMIFS(Projetos!$F$2:$F$11,Projetos!$D$2:$D$11,"USD",Projetos!$N$2:$N$11,Dados!$A737)</f>
        <v>0</v>
      </c>
      <c r="I737" s="45">
        <f ca="1">(G737+H737)*((Indicadores_Economicos!D$2+1)^(1/12)-1)</f>
        <v>1.084348822695676E-11</v>
      </c>
      <c r="J737" s="18">
        <f>SUMIFS(Projetos!$G$2:$G$11,Projetos!$K$2:$K$11,"&lt;="&amp;Dados!$A737,Projetos!$N$2:$N$11,"&gt;"&amp;Dados!$A737,Projetos!$D$2:$D$11,"USD")</f>
        <v>0</v>
      </c>
      <c r="K737" s="18">
        <f t="shared" ca="1" si="45"/>
        <v>3.3231068165216013E-9</v>
      </c>
    </row>
    <row r="738" spans="1:11" x14ac:dyDescent="0.2">
      <c r="A738" s="45">
        <f t="shared" ca="1" si="46"/>
        <v>4.3200388614780896E-9</v>
      </c>
      <c r="B738" s="18">
        <f>-SUMIFS(Projetos!$F$2:$F$11,Projetos!$D$2:$D$11,"BRL",Projetos!$N$2:$N$11,Dados!$A738)</f>
        <v>0</v>
      </c>
      <c r="C738" s="45">
        <f ca="1">(A738+B738)*((Indicadores_Economicos!D$2+1)^(1/12)-1)</f>
        <v>1.4142683081466128E-11</v>
      </c>
      <c r="D738" s="18">
        <f>SUMIFS(Projetos!$G$2:$G$11,Projetos!$K$2:$K$11,"&lt;="&amp;Dados!$A738,Projetos!$N$2:$N$11,"&gt;"&amp;Dados!A738,Projetos!$D$2:$D$11,"BRL")</f>
        <v>0</v>
      </c>
      <c r="E738" s="18">
        <f t="shared" ca="1" si="44"/>
        <v>4.3341815445595555E-9</v>
      </c>
      <c r="G738" s="45">
        <f t="shared" ca="1" si="47"/>
        <v>3.3231068165216013E-9</v>
      </c>
      <c r="H738" s="18">
        <f>-SUMIFS(Projetos!$F$2:$F$11,Projetos!$D$2:$D$11,"USD",Projetos!$N$2:$N$11,Dados!$A738)</f>
        <v>0</v>
      </c>
      <c r="I738" s="45">
        <f ca="1">(G738+H738)*((Indicadores_Economicos!D$2+1)^(1/12)-1)</f>
        <v>1.0878986985743155E-11</v>
      </c>
      <c r="J738" s="18">
        <f>SUMIFS(Projetos!$G$2:$G$11,Projetos!$K$2:$K$11,"&lt;="&amp;Dados!$A738,Projetos!$N$2:$N$11,"&gt;"&amp;Dados!$A738,Projetos!$D$2:$D$11,"USD")</f>
        <v>0</v>
      </c>
      <c r="K738" s="18">
        <f t="shared" ca="1" si="45"/>
        <v>3.3339858035073445E-9</v>
      </c>
    </row>
    <row r="739" spans="1:11" x14ac:dyDescent="0.2">
      <c r="A739" s="45">
        <f t="shared" ca="1" si="46"/>
        <v>4.3341815445595555E-9</v>
      </c>
      <c r="B739" s="18">
        <f>-SUMIFS(Projetos!$F$2:$F$11,Projetos!$D$2:$D$11,"BRL",Projetos!$N$2:$N$11,Dados!$A739)</f>
        <v>0</v>
      </c>
      <c r="C739" s="45">
        <f ca="1">(A739+B739)*((Indicadores_Economicos!D$2+1)^(1/12)-1)</f>
        <v>1.4188982545696954E-11</v>
      </c>
      <c r="D739" s="18">
        <f>SUMIFS(Projetos!$G$2:$G$11,Projetos!$K$2:$K$11,"&lt;="&amp;Dados!$A739,Projetos!$N$2:$N$11,"&gt;"&amp;Dados!A739,Projetos!$D$2:$D$11,"BRL")</f>
        <v>0</v>
      </c>
      <c r="E739" s="18">
        <f t="shared" ca="1" si="44"/>
        <v>4.3483705271052521E-9</v>
      </c>
      <c r="G739" s="45">
        <f t="shared" ca="1" si="47"/>
        <v>3.3339858035073445E-9</v>
      </c>
      <c r="H739" s="18">
        <f>-SUMIFS(Projetos!$F$2:$F$11,Projetos!$D$2:$D$11,"USD",Projetos!$N$2:$N$11,Dados!$A739)</f>
        <v>0</v>
      </c>
      <c r="I739" s="45">
        <f ca="1">(G739+H739)*((Indicadores_Economicos!D$2+1)^(1/12)-1)</f>
        <v>1.0914601958228406E-11</v>
      </c>
      <c r="J739" s="18">
        <f>SUMIFS(Projetos!$G$2:$G$11,Projetos!$K$2:$K$11,"&lt;="&amp;Dados!$A739,Projetos!$N$2:$N$11,"&gt;"&amp;Dados!$A739,Projetos!$D$2:$D$11,"USD")</f>
        <v>0</v>
      </c>
      <c r="K739" s="18">
        <f t="shared" ca="1" si="45"/>
        <v>3.3449004054655728E-9</v>
      </c>
    </row>
    <row r="740" spans="1:11" x14ac:dyDescent="0.2">
      <c r="A740" s="45">
        <f t="shared" ca="1" si="46"/>
        <v>4.3483705271052521E-9</v>
      </c>
      <c r="B740" s="18">
        <f>-SUMIFS(Projetos!$F$2:$F$11,Projetos!$D$2:$D$11,"BRL",Projetos!$N$2:$N$11,Dados!$A740)</f>
        <v>0</v>
      </c>
      <c r="C740" s="45">
        <f ca="1">(A740+B740)*((Indicadores_Economicos!D$2+1)^(1/12)-1)</f>
        <v>1.4235433582325727E-11</v>
      </c>
      <c r="D740" s="18">
        <f>SUMIFS(Projetos!$G$2:$G$11,Projetos!$K$2:$K$11,"&lt;="&amp;Dados!$A740,Projetos!$N$2:$N$11,"&gt;"&amp;Dados!A740,Projetos!$D$2:$D$11,"BRL")</f>
        <v>0</v>
      </c>
      <c r="E740" s="18">
        <f t="shared" ca="1" si="44"/>
        <v>4.3626059606875781E-9</v>
      </c>
      <c r="G740" s="45">
        <f t="shared" ca="1" si="47"/>
        <v>3.3449004054655728E-9</v>
      </c>
      <c r="H740" s="18">
        <f>-SUMIFS(Projetos!$F$2:$F$11,Projetos!$D$2:$D$11,"USD",Projetos!$N$2:$N$11,Dados!$A740)</f>
        <v>0</v>
      </c>
      <c r="I740" s="45">
        <f ca="1">(G740+H740)*((Indicadores_Economicos!D$2+1)^(1/12)-1)</f>
        <v>1.0950333524865925E-11</v>
      </c>
      <c r="J740" s="18">
        <f>SUMIFS(Projetos!$G$2:$G$11,Projetos!$K$2:$K$11,"&lt;="&amp;Dados!$A740,Projetos!$N$2:$N$11,"&gt;"&amp;Dados!$A740,Projetos!$D$2:$D$11,"USD")</f>
        <v>0</v>
      </c>
      <c r="K740" s="18">
        <f t="shared" ca="1" si="45"/>
        <v>3.3558507389904386E-9</v>
      </c>
    </row>
    <row r="741" spans="1:11" x14ac:dyDescent="0.2">
      <c r="A741" s="45">
        <f t="shared" ca="1" si="46"/>
        <v>4.3626059606875781E-9</v>
      </c>
      <c r="B741" s="18">
        <f>-SUMIFS(Projetos!$F$2:$F$11,Projetos!$D$2:$D$11,"BRL",Projetos!$N$2:$N$11,Dados!$A741)</f>
        <v>0</v>
      </c>
      <c r="C741" s="45">
        <f ca="1">(A741+B741)*((Indicadores_Economicos!D$2+1)^(1/12)-1)</f>
        <v>1.4282036687561038E-11</v>
      </c>
      <c r="D741" s="18">
        <f>SUMIFS(Projetos!$G$2:$G$11,Projetos!$K$2:$K$11,"&lt;="&amp;Dados!$A741,Projetos!$N$2:$N$11,"&gt;"&amp;Dados!A741,Projetos!$D$2:$D$11,"BRL")</f>
        <v>0</v>
      </c>
      <c r="E741" s="18">
        <f t="shared" ca="1" si="44"/>
        <v>4.3768879973751391E-9</v>
      </c>
      <c r="G741" s="45">
        <f t="shared" ca="1" si="47"/>
        <v>3.3558507389904386E-9</v>
      </c>
      <c r="H741" s="18">
        <f>-SUMIFS(Projetos!$F$2:$F$11,Projetos!$D$2:$D$11,"USD",Projetos!$N$2:$N$11,Dados!$A741)</f>
        <v>0</v>
      </c>
      <c r="I741" s="45">
        <f ca="1">(G741+H741)*((Indicadores_Economicos!D$2+1)^(1/12)-1)</f>
        <v>1.0986182067354624E-11</v>
      </c>
      <c r="J741" s="18">
        <f>SUMIFS(Projetos!$G$2:$G$11,Projetos!$K$2:$K$11,"&lt;="&amp;Dados!$A741,Projetos!$N$2:$N$11,"&gt;"&amp;Dados!$A741,Projetos!$D$2:$D$11,"USD")</f>
        <v>0</v>
      </c>
      <c r="K741" s="18">
        <f t="shared" ca="1" si="45"/>
        <v>3.366836921057793E-9</v>
      </c>
    </row>
    <row r="742" spans="1:11" x14ac:dyDescent="0.2">
      <c r="A742" s="45">
        <f t="shared" ca="1" si="46"/>
        <v>4.3768879973751391E-9</v>
      </c>
      <c r="B742" s="18">
        <f>-SUMIFS(Projetos!$F$2:$F$11,Projetos!$D$2:$D$11,"BRL",Projetos!$N$2:$N$11,Dados!$A742)</f>
        <v>0</v>
      </c>
      <c r="C742" s="45">
        <f ca="1">(A742+B742)*((Indicadores_Economicos!D$2+1)^(1/12)-1)</f>
        <v>1.4328792359235932E-11</v>
      </c>
      <c r="D742" s="18">
        <f>SUMIFS(Projetos!$G$2:$G$11,Projetos!$K$2:$K$11,"&lt;="&amp;Dados!$A742,Projetos!$N$2:$N$11,"&gt;"&amp;Dados!A742,Projetos!$D$2:$D$11,"BRL")</f>
        <v>0</v>
      </c>
      <c r="E742" s="18">
        <f t="shared" ca="1" si="44"/>
        <v>4.391216789734375E-9</v>
      </c>
      <c r="G742" s="45">
        <f t="shared" ca="1" si="47"/>
        <v>3.366836921057793E-9</v>
      </c>
      <c r="H742" s="18">
        <f>-SUMIFS(Projetos!$F$2:$F$11,Projetos!$D$2:$D$11,"USD",Projetos!$N$2:$N$11,Dados!$A742)</f>
        <v>0</v>
      </c>
      <c r="I742" s="45">
        <f ca="1">(G742+H742)*((Indicadores_Economicos!D$2+1)^(1/12)-1)</f>
        <v>1.1022147968643003E-11</v>
      </c>
      <c r="J742" s="18">
        <f>SUMIFS(Projetos!$G$2:$G$11,Projetos!$K$2:$K$11,"&lt;="&amp;Dados!$A742,Projetos!$N$2:$N$11,"&gt;"&amp;Dados!$A742,Projetos!$D$2:$D$11,"USD")</f>
        <v>0</v>
      </c>
      <c r="K742" s="18">
        <f t="shared" ca="1" si="45"/>
        <v>3.3778590690264361E-9</v>
      </c>
    </row>
    <row r="743" spans="1:11" x14ac:dyDescent="0.2">
      <c r="A743" s="45">
        <f t="shared" ca="1" si="46"/>
        <v>4.391216789734375E-9</v>
      </c>
      <c r="B743" s="18">
        <f>-SUMIFS(Projetos!$F$2:$F$11,Projetos!$D$2:$D$11,"BRL",Projetos!$N$2:$N$11,Dados!$A743)</f>
        <v>0</v>
      </c>
      <c r="C743" s="45">
        <f ca="1">(A743+B743)*((Indicadores_Economicos!D$2+1)^(1/12)-1)</f>
        <v>1.437570109681323E-11</v>
      </c>
      <c r="D743" s="18">
        <f>SUMIFS(Projetos!$G$2:$G$11,Projetos!$K$2:$K$11,"&lt;="&amp;Dados!$A743,Projetos!$N$2:$N$11,"&gt;"&amp;Dados!A743,Projetos!$D$2:$D$11,"BRL")</f>
        <v>0</v>
      </c>
      <c r="E743" s="18">
        <f t="shared" ca="1" si="44"/>
        <v>4.4055924908311883E-9</v>
      </c>
      <c r="G743" s="45">
        <f t="shared" ca="1" si="47"/>
        <v>3.3778590690264361E-9</v>
      </c>
      <c r="H743" s="18">
        <f>-SUMIFS(Projetos!$F$2:$F$11,Projetos!$D$2:$D$11,"USD",Projetos!$N$2:$N$11,Dados!$A743)</f>
        <v>0</v>
      </c>
      <c r="I743" s="45">
        <f ca="1">(G743+H743)*((Indicadores_Economicos!D$2+1)^(1/12)-1)</f>
        <v>1.1058231612933233E-11</v>
      </c>
      <c r="J743" s="18">
        <f>SUMIFS(Projetos!$G$2:$G$11,Projetos!$K$2:$K$11,"&lt;="&amp;Dados!$A743,Projetos!$N$2:$N$11,"&gt;"&amp;Dados!$A743,Projetos!$D$2:$D$11,"USD")</f>
        <v>0</v>
      </c>
      <c r="K743" s="18">
        <f t="shared" ca="1" si="45"/>
        <v>3.3889173006393691E-9</v>
      </c>
    </row>
    <row r="744" spans="1:11" x14ac:dyDescent="0.2">
      <c r="A744" s="45">
        <f t="shared" ca="1" si="46"/>
        <v>4.4055924908311883E-9</v>
      </c>
      <c r="B744" s="18">
        <f>-SUMIFS(Projetos!$F$2:$F$11,Projetos!$D$2:$D$11,"BRL",Projetos!$N$2:$N$11,Dados!$A744)</f>
        <v>0</v>
      </c>
      <c r="C744" s="45">
        <f ca="1">(A744+B744)*((Indicadores_Economicos!D$2+1)^(1/12)-1)</f>
        <v>1.4422763401390868E-11</v>
      </c>
      <c r="D744" s="18">
        <f>SUMIFS(Projetos!$G$2:$G$11,Projetos!$K$2:$K$11,"&lt;="&amp;Dados!$A744,Projetos!$N$2:$N$11,"&gt;"&amp;Dados!A744,Projetos!$D$2:$D$11,"BRL")</f>
        <v>0</v>
      </c>
      <c r="E744" s="18">
        <f t="shared" ca="1" si="44"/>
        <v>4.4200152542325789E-9</v>
      </c>
      <c r="G744" s="45">
        <f t="shared" ca="1" si="47"/>
        <v>3.3889173006393691E-9</v>
      </c>
      <c r="H744" s="18">
        <f>-SUMIFS(Projetos!$F$2:$F$11,Projetos!$D$2:$D$11,"USD",Projetos!$N$2:$N$11,Dados!$A744)</f>
        <v>0</v>
      </c>
      <c r="I744" s="45">
        <f ca="1">(G744+H744)*((Indicadores_Economicos!D$2+1)^(1/12)-1)</f>
        <v>1.1094433385685262E-11</v>
      </c>
      <c r="J744" s="18">
        <f>SUMIFS(Projetos!$G$2:$G$11,Projetos!$K$2:$K$11,"&lt;="&amp;Dados!$A744,Projetos!$N$2:$N$11,"&gt;"&amp;Dados!$A744,Projetos!$D$2:$D$11,"USD")</f>
        <v>0</v>
      </c>
      <c r="K744" s="18">
        <f t="shared" ca="1" si="45"/>
        <v>3.4000117340250544E-9</v>
      </c>
    </row>
    <row r="745" spans="1:11" x14ac:dyDescent="0.2">
      <c r="A745" s="45">
        <f t="shared" ca="1" si="46"/>
        <v>4.4200152542325789E-9</v>
      </c>
      <c r="B745" s="18">
        <f>-SUMIFS(Projetos!$F$2:$F$11,Projetos!$D$2:$D$11,"BRL",Projetos!$N$2:$N$11,Dados!$A745)</f>
        <v>0</v>
      </c>
      <c r="C745" s="45">
        <f ca="1">(A745+B745)*((Indicadores_Economicos!D$2+1)^(1/12)-1)</f>
        <v>1.4469979775707243E-11</v>
      </c>
      <c r="D745" s="18">
        <f>SUMIFS(Projetos!$G$2:$G$11,Projetos!$K$2:$K$11,"&lt;="&amp;Dados!$A745,Projetos!$N$2:$N$11,"&gt;"&amp;Dados!A745,Projetos!$D$2:$D$11,"BRL")</f>
        <v>0</v>
      </c>
      <c r="E745" s="18">
        <f t="shared" ca="1" si="44"/>
        <v>4.4344852340082862E-9</v>
      </c>
      <c r="G745" s="45">
        <f t="shared" ca="1" si="47"/>
        <v>3.4000117340250544E-9</v>
      </c>
      <c r="H745" s="18">
        <f>-SUMIFS(Projetos!$F$2:$F$11,Projetos!$D$2:$D$11,"USD",Projetos!$N$2:$N$11,Dados!$A745)</f>
        <v>0</v>
      </c>
      <c r="I745" s="45">
        <f ca="1">(G745+H745)*((Indicadores_Economicos!D$2+1)^(1/12)-1)</f>
        <v>1.1130753673620936E-11</v>
      </c>
      <c r="J745" s="18">
        <f>SUMIFS(Projetos!$G$2:$G$11,Projetos!$K$2:$K$11,"&lt;="&amp;Dados!$A745,Projetos!$N$2:$N$11,"&gt;"&amp;Dados!$A745,Projetos!$D$2:$D$11,"USD")</f>
        <v>0</v>
      </c>
      <c r="K745" s="18">
        <f t="shared" ca="1" si="45"/>
        <v>3.4111424876986752E-9</v>
      </c>
    </row>
    <row r="746" spans="1:11" x14ac:dyDescent="0.2">
      <c r="A746" s="45">
        <f t="shared" ca="1" si="46"/>
        <v>4.4344852340082862E-9</v>
      </c>
      <c r="B746" s="18">
        <f>-SUMIFS(Projetos!$F$2:$F$11,Projetos!$D$2:$D$11,"BRL",Projetos!$N$2:$N$11,Dados!$A746)</f>
        <v>0</v>
      </c>
      <c r="C746" s="45">
        <f ca="1">(A746+B746)*((Indicadores_Economicos!D$2+1)^(1/12)-1)</f>
        <v>1.4517350724146589E-11</v>
      </c>
      <c r="D746" s="18">
        <f>SUMIFS(Projetos!$G$2:$G$11,Projetos!$K$2:$K$11,"&lt;="&amp;Dados!$A746,Projetos!$N$2:$N$11,"&gt;"&amp;Dados!A746,Projetos!$D$2:$D$11,"BRL")</f>
        <v>0</v>
      </c>
      <c r="E746" s="18">
        <f t="shared" ca="1" si="44"/>
        <v>4.4490025847324328E-9</v>
      </c>
      <c r="G746" s="45">
        <f t="shared" ca="1" si="47"/>
        <v>3.4111424876986752E-9</v>
      </c>
      <c r="H746" s="18">
        <f>-SUMIFS(Projetos!$F$2:$F$11,Projetos!$D$2:$D$11,"USD",Projetos!$N$2:$N$11,Dados!$A746)</f>
        <v>0</v>
      </c>
      <c r="I746" s="45">
        <f ca="1">(G746+H746)*((Indicadores_Economicos!D$2+1)^(1/12)-1)</f>
        <v>1.1167192864728124E-11</v>
      </c>
      <c r="J746" s="18">
        <f>SUMIFS(Projetos!$G$2:$G$11,Projetos!$K$2:$K$11,"&lt;="&amp;Dados!$A746,Projetos!$N$2:$N$11,"&gt;"&amp;Dados!$A746,Projetos!$D$2:$D$11,"USD")</f>
        <v>0</v>
      </c>
      <c r="K746" s="18">
        <f t="shared" ca="1" si="45"/>
        <v>3.4223096805634032E-9</v>
      </c>
    </row>
    <row r="747" spans="1:11" x14ac:dyDescent="0.2">
      <c r="A747" s="45">
        <f t="shared" ca="1" si="46"/>
        <v>4.4490025847324328E-9</v>
      </c>
      <c r="B747" s="18">
        <f>-SUMIFS(Projetos!$F$2:$F$11,Projetos!$D$2:$D$11,"BRL",Projetos!$N$2:$N$11,Dados!$A747)</f>
        <v>0</v>
      </c>
      <c r="C747" s="45">
        <f ca="1">(A747+B747)*((Indicadores_Economicos!D$2+1)^(1/12)-1)</f>
        <v>1.4564876752744361E-11</v>
      </c>
      <c r="D747" s="18">
        <f>SUMIFS(Projetos!$G$2:$G$11,Projetos!$K$2:$K$11,"&lt;="&amp;Dados!$A747,Projetos!$N$2:$N$11,"&gt;"&amp;Dados!A747,Projetos!$D$2:$D$11,"BRL")</f>
        <v>0</v>
      </c>
      <c r="E747" s="18">
        <f t="shared" ca="1" si="44"/>
        <v>4.4635674614851775E-9</v>
      </c>
      <c r="G747" s="45">
        <f t="shared" ca="1" si="47"/>
        <v>3.4223096805634032E-9</v>
      </c>
      <c r="H747" s="18">
        <f>-SUMIFS(Projetos!$F$2:$F$11,Projetos!$D$2:$D$11,"USD",Projetos!$N$2:$N$11,Dados!$A747)</f>
        <v>0</v>
      </c>
      <c r="I747" s="45">
        <f ca="1">(G747+H747)*((Indicadores_Economicos!D$2+1)^(1/12)-1)</f>
        <v>1.1203751348264872E-11</v>
      </c>
      <c r="J747" s="18">
        <f>SUMIFS(Projetos!$G$2:$G$11,Projetos!$K$2:$K$11,"&lt;="&amp;Dados!$A747,Projetos!$N$2:$N$11,"&gt;"&amp;Dados!$A747,Projetos!$D$2:$D$11,"USD")</f>
        <v>0</v>
      </c>
      <c r="K747" s="18">
        <f t="shared" ca="1" si="45"/>
        <v>3.433513431911668E-9</v>
      </c>
    </row>
    <row r="748" spans="1:11" x14ac:dyDescent="0.2">
      <c r="A748" s="45">
        <f t="shared" ca="1" si="46"/>
        <v>4.4635674614851775E-9</v>
      </c>
      <c r="B748" s="18">
        <f>-SUMIFS(Projetos!$F$2:$F$11,Projetos!$D$2:$D$11,"BRL",Projetos!$N$2:$N$11,Dados!$A748)</f>
        <v>0</v>
      </c>
      <c r="C748" s="45">
        <f ca="1">(A748+B748)*((Indicadores_Economicos!D$2+1)^(1/12)-1)</f>
        <v>1.4612558369192646E-11</v>
      </c>
      <c r="D748" s="18">
        <f>SUMIFS(Projetos!$G$2:$G$11,Projetos!$K$2:$K$11,"&lt;="&amp;Dados!$A748,Projetos!$N$2:$N$11,"&gt;"&amp;Dados!A748,Projetos!$D$2:$D$11,"BRL")</f>
        <v>0</v>
      </c>
      <c r="E748" s="18">
        <f t="shared" ca="1" si="44"/>
        <v>4.4781800198543703E-9</v>
      </c>
      <c r="G748" s="45">
        <f t="shared" ca="1" si="47"/>
        <v>3.433513431911668E-9</v>
      </c>
      <c r="H748" s="18">
        <f>-SUMIFS(Projetos!$F$2:$F$11,Projetos!$D$2:$D$11,"USD",Projetos!$N$2:$N$11,Dados!$A748)</f>
        <v>0</v>
      </c>
      <c r="I748" s="45">
        <f ca="1">(G748+H748)*((Indicadores_Economicos!D$2+1)^(1/12)-1)</f>
        <v>1.1240429514763551E-11</v>
      </c>
      <c r="J748" s="18">
        <f>SUMIFS(Projetos!$G$2:$G$11,Projetos!$K$2:$K$11,"&lt;="&amp;Dados!$A748,Projetos!$N$2:$N$11,"&gt;"&amp;Dados!$A748,Projetos!$D$2:$D$11,"USD")</f>
        <v>0</v>
      </c>
      <c r="K748" s="18">
        <f t="shared" ca="1" si="45"/>
        <v>3.4447538614264316E-9</v>
      </c>
    </row>
    <row r="749" spans="1:11" x14ac:dyDescent="0.2">
      <c r="A749" s="45">
        <f t="shared" ca="1" si="46"/>
        <v>4.4781800198543703E-9</v>
      </c>
      <c r="B749" s="18">
        <f>-SUMIFS(Projetos!$F$2:$F$11,Projetos!$D$2:$D$11,"BRL",Projetos!$N$2:$N$11,Dados!$A749)</f>
        <v>0</v>
      </c>
      <c r="C749" s="45">
        <f ca="1">(A749+B749)*((Indicadores_Economicos!D$2+1)^(1/12)-1)</f>
        <v>1.4660396082845576E-11</v>
      </c>
      <c r="D749" s="18">
        <f>SUMIFS(Projetos!$G$2:$G$11,Projetos!$K$2:$K$11,"&lt;="&amp;Dados!$A749,Projetos!$N$2:$N$11,"&gt;"&amp;Dados!A749,Projetos!$D$2:$D$11,"BRL")</f>
        <v>0</v>
      </c>
      <c r="E749" s="18">
        <f t="shared" ca="1" si="44"/>
        <v>4.4928404159372157E-9</v>
      </c>
      <c r="G749" s="45">
        <f t="shared" ca="1" si="47"/>
        <v>3.4447538614264316E-9</v>
      </c>
      <c r="H749" s="18">
        <f>-SUMIFS(Projetos!$F$2:$F$11,Projetos!$D$2:$D$11,"USD",Projetos!$N$2:$N$11,Dados!$A749)</f>
        <v>0</v>
      </c>
      <c r="I749" s="45">
        <f ca="1">(G749+H749)*((Indicadores_Economicos!D$2+1)^(1/12)-1)</f>
        <v>1.1277227756035035E-11</v>
      </c>
      <c r="J749" s="18">
        <f>SUMIFS(Projetos!$G$2:$G$11,Projetos!$K$2:$K$11,"&lt;="&amp;Dados!$A749,Projetos!$N$2:$N$11,"&gt;"&amp;Dados!$A749,Projetos!$D$2:$D$11,"USD")</f>
        <v>0</v>
      </c>
      <c r="K749" s="18">
        <f t="shared" ca="1" si="45"/>
        <v>3.4560310891824666E-9</v>
      </c>
    </row>
    <row r="750" spans="1:11" x14ac:dyDescent="0.2">
      <c r="A750" s="45">
        <f t="shared" ca="1" si="46"/>
        <v>4.4928404159372157E-9</v>
      </c>
      <c r="B750" s="18">
        <f>-SUMIFS(Projetos!$F$2:$F$11,Projetos!$D$2:$D$11,"BRL",Projetos!$N$2:$N$11,Dados!$A750)</f>
        <v>0</v>
      </c>
      <c r="C750" s="45">
        <f ca="1">(A750+B750)*((Indicadores_Economicos!D$2+1)^(1/12)-1)</f>
        <v>1.470839040472478E-11</v>
      </c>
      <c r="D750" s="18">
        <f>SUMIFS(Projetos!$G$2:$G$11,Projetos!$K$2:$K$11,"&lt;="&amp;Dados!$A750,Projetos!$N$2:$N$11,"&gt;"&amp;Dados!A750,Projetos!$D$2:$D$11,"BRL")</f>
        <v>0</v>
      </c>
      <c r="E750" s="18">
        <f t="shared" ca="1" si="44"/>
        <v>4.5075488063419407E-9</v>
      </c>
      <c r="G750" s="45">
        <f t="shared" ca="1" si="47"/>
        <v>3.4560310891824666E-9</v>
      </c>
      <c r="H750" s="18">
        <f>-SUMIFS(Projetos!$F$2:$F$11,Projetos!$D$2:$D$11,"USD",Projetos!$N$2:$N$11,Dados!$A750)</f>
        <v>0</v>
      </c>
      <c r="I750" s="45">
        <f ca="1">(G750+H750)*((Indicadores_Economicos!D$2+1)^(1/12)-1)</f>
        <v>1.1314146465172885E-11</v>
      </c>
      <c r="J750" s="18">
        <f>SUMIFS(Projetos!$G$2:$G$11,Projetos!$K$2:$K$11,"&lt;="&amp;Dados!$A750,Projetos!$N$2:$N$11,"&gt;"&amp;Dados!$A750,Projetos!$D$2:$D$11,"USD")</f>
        <v>0</v>
      </c>
      <c r="K750" s="18">
        <f t="shared" ca="1" si="45"/>
        <v>3.4673452356476394E-9</v>
      </c>
    </row>
    <row r="751" spans="1:11" x14ac:dyDescent="0.2">
      <c r="A751" s="45">
        <f t="shared" ca="1" si="46"/>
        <v>4.5075488063419407E-9</v>
      </c>
      <c r="B751" s="18">
        <f>-SUMIFS(Projetos!$F$2:$F$11,Projetos!$D$2:$D$11,"BRL",Projetos!$N$2:$N$11,Dados!$A751)</f>
        <v>0</v>
      </c>
      <c r="C751" s="45">
        <f ca="1">(A751+B751)*((Indicadores_Economicos!D$2+1)^(1/12)-1)</f>
        <v>1.4756541847524841E-11</v>
      </c>
      <c r="D751" s="18">
        <f>SUMIFS(Projetos!$G$2:$G$11,Projetos!$K$2:$K$11,"&lt;="&amp;Dados!$A751,Projetos!$N$2:$N$11,"&gt;"&amp;Dados!A751,Projetos!$D$2:$D$11,"BRL")</f>
        <v>0</v>
      </c>
      <c r="E751" s="18">
        <f t="shared" ca="1" si="44"/>
        <v>4.5223053481894659E-9</v>
      </c>
      <c r="G751" s="45">
        <f t="shared" ca="1" si="47"/>
        <v>3.4673452356476394E-9</v>
      </c>
      <c r="H751" s="18">
        <f>-SUMIFS(Projetos!$F$2:$F$11,Projetos!$D$2:$D$11,"USD",Projetos!$N$2:$N$11,Dados!$A751)</f>
        <v>0</v>
      </c>
      <c r="I751" s="45">
        <f ca="1">(G751+H751)*((Indicadores_Economicos!D$2+1)^(1/12)-1)</f>
        <v>1.1351186036557547E-11</v>
      </c>
      <c r="J751" s="18">
        <f>SUMIFS(Projetos!$G$2:$G$11,Projetos!$K$2:$K$11,"&lt;="&amp;Dados!$A751,Projetos!$N$2:$N$11,"&gt;"&amp;Dados!$A751,Projetos!$D$2:$D$11,"USD")</f>
        <v>0</v>
      </c>
      <c r="K751" s="18">
        <f t="shared" ca="1" si="45"/>
        <v>3.478696421684197E-9</v>
      </c>
    </row>
    <row r="752" spans="1:11" x14ac:dyDescent="0.2">
      <c r="A752" s="45">
        <f t="shared" ca="1" si="46"/>
        <v>4.5223053481894659E-9</v>
      </c>
      <c r="B752" s="18">
        <f>-SUMIFS(Projetos!$F$2:$F$11,Projetos!$D$2:$D$11,"BRL",Projetos!$N$2:$N$11,Dados!$A752)</f>
        <v>0</v>
      </c>
      <c r="C752" s="45">
        <f ca="1">(A752+B752)*((Indicadores_Economicos!D$2+1)^(1/12)-1)</f>
        <v>1.4804850925618768E-11</v>
      </c>
      <c r="D752" s="18">
        <f>SUMIFS(Projetos!$G$2:$G$11,Projetos!$K$2:$K$11,"&lt;="&amp;Dados!$A752,Projetos!$N$2:$N$11,"&gt;"&amp;Dados!A752,Projetos!$D$2:$D$11,"BRL")</f>
        <v>0</v>
      </c>
      <c r="E752" s="18">
        <f t="shared" ca="1" si="44"/>
        <v>4.5371101991150846E-9</v>
      </c>
      <c r="G752" s="45">
        <f t="shared" ca="1" si="47"/>
        <v>3.478696421684197E-9</v>
      </c>
      <c r="H752" s="18">
        <f>-SUMIFS(Projetos!$F$2:$F$11,Projetos!$D$2:$D$11,"USD",Projetos!$N$2:$N$11,Dados!$A752)</f>
        <v>0</v>
      </c>
      <c r="I752" s="45">
        <f ca="1">(G752+H752)*((Indicadores_Economicos!D$2+1)^(1/12)-1)</f>
        <v>1.1388346865860566E-11</v>
      </c>
      <c r="J752" s="18">
        <f>SUMIFS(Projetos!$G$2:$G$11,Projetos!$K$2:$K$11,"&lt;="&amp;Dados!$A752,Projetos!$N$2:$N$11,"&gt;"&amp;Dados!$A752,Projetos!$D$2:$D$11,"USD")</f>
        <v>0</v>
      </c>
      <c r="K752" s="18">
        <f t="shared" ca="1" si="45"/>
        <v>3.4900847685500574E-9</v>
      </c>
    </row>
    <row r="753" spans="1:11" x14ac:dyDescent="0.2">
      <c r="A753" s="45">
        <f t="shared" ca="1" si="46"/>
        <v>4.5371101991150846E-9</v>
      </c>
      <c r="B753" s="18">
        <f>-SUMIFS(Projetos!$F$2:$F$11,Projetos!$D$2:$D$11,"BRL",Projetos!$N$2:$N$11,Dados!$A753)</f>
        <v>0</v>
      </c>
      <c r="C753" s="45">
        <f ca="1">(A753+B753)*((Indicadores_Economicos!D$2+1)^(1/12)-1)</f>
        <v>1.4853318155063489E-11</v>
      </c>
      <c r="D753" s="18">
        <f>SUMIFS(Projetos!$G$2:$G$11,Projetos!$K$2:$K$11,"&lt;="&amp;Dados!$A753,Projetos!$N$2:$N$11,"&gt;"&amp;Dados!A753,Projetos!$D$2:$D$11,"BRL")</f>
        <v>0</v>
      </c>
      <c r="E753" s="18">
        <f t="shared" ca="1" si="44"/>
        <v>4.5519635172701481E-9</v>
      </c>
      <c r="G753" s="45">
        <f t="shared" ca="1" si="47"/>
        <v>3.4900847685500574E-9</v>
      </c>
      <c r="H753" s="18">
        <f>-SUMIFS(Projetos!$F$2:$F$11,Projetos!$D$2:$D$11,"USD",Projetos!$N$2:$N$11,Dados!$A753)</f>
        <v>0</v>
      </c>
      <c r="I753" s="45">
        <f ca="1">(G753+H753)*((Indicadores_Economicos!D$2+1)^(1/12)-1)</f>
        <v>1.1425629350048813E-11</v>
      </c>
      <c r="J753" s="18">
        <f>SUMIFS(Projetos!$G$2:$G$11,Projetos!$K$2:$K$11,"&lt;="&amp;Dados!$A753,Projetos!$N$2:$N$11,"&gt;"&amp;Dados!$A753,Projetos!$D$2:$D$11,"USD")</f>
        <v>0</v>
      </c>
      <c r="K753" s="18">
        <f t="shared" ca="1" si="45"/>
        <v>3.501510397900106E-9</v>
      </c>
    </row>
    <row r="754" spans="1:11" x14ac:dyDescent="0.2">
      <c r="A754" s="45">
        <f t="shared" ca="1" si="46"/>
        <v>4.5519635172701481E-9</v>
      </c>
      <c r="B754" s="18">
        <f>-SUMIFS(Projetos!$F$2:$F$11,Projetos!$D$2:$D$11,"BRL",Projetos!$N$2:$N$11,Dados!$A754)</f>
        <v>0</v>
      </c>
      <c r="C754" s="45">
        <f ca="1">(A754+B754)*((Indicadores_Economicos!D$2+1)^(1/12)-1)</f>
        <v>1.4901944053605381E-11</v>
      </c>
      <c r="D754" s="18">
        <f>SUMIFS(Projetos!$G$2:$G$11,Projetos!$K$2:$K$11,"&lt;="&amp;Dados!$A754,Projetos!$N$2:$N$11,"&gt;"&amp;Dados!A754,Projetos!$D$2:$D$11,"BRL")</f>
        <v>0</v>
      </c>
      <c r="E754" s="18">
        <f t="shared" ca="1" si="44"/>
        <v>4.5668654613237533E-9</v>
      </c>
      <c r="G754" s="45">
        <f t="shared" ca="1" si="47"/>
        <v>3.501510397900106E-9</v>
      </c>
      <c r="H754" s="18">
        <f>-SUMIFS(Projetos!$F$2:$F$11,Projetos!$D$2:$D$11,"USD",Projetos!$N$2:$N$11,Dados!$A754)</f>
        <v>0</v>
      </c>
      <c r="I754" s="45">
        <f ca="1">(G754+H754)*((Indicadores_Economicos!D$2+1)^(1/12)-1)</f>
        <v>1.1463033887388727E-11</v>
      </c>
      <c r="J754" s="18">
        <f>SUMIFS(Projetos!$G$2:$G$11,Projetos!$K$2:$K$11,"&lt;="&amp;Dados!$A754,Projetos!$N$2:$N$11,"&gt;"&amp;Dados!$A754,Projetos!$D$2:$D$11,"USD")</f>
        <v>0</v>
      </c>
      <c r="K754" s="18">
        <f t="shared" ca="1" si="45"/>
        <v>3.5129734317874946E-9</v>
      </c>
    </row>
    <row r="755" spans="1:11" x14ac:dyDescent="0.2">
      <c r="A755" s="45">
        <f t="shared" ca="1" si="46"/>
        <v>4.5668654613237533E-9</v>
      </c>
      <c r="B755" s="18">
        <f>-SUMIFS(Projetos!$F$2:$F$11,Projetos!$D$2:$D$11,"BRL",Projetos!$N$2:$N$11,Dados!$A755)</f>
        <v>0</v>
      </c>
      <c r="C755" s="45">
        <f ca="1">(A755+B755)*((Indicadores_Economicos!D$2+1)^(1/12)-1)</f>
        <v>1.4950729140685769E-11</v>
      </c>
      <c r="D755" s="18">
        <f>SUMIFS(Projetos!$G$2:$G$11,Projetos!$K$2:$K$11,"&lt;="&amp;Dados!$A755,Projetos!$N$2:$N$11,"&gt;"&amp;Dados!A755,Projetos!$D$2:$D$11,"BRL")</f>
        <v>0</v>
      </c>
      <c r="E755" s="18">
        <f t="shared" ca="1" si="44"/>
        <v>4.5818161904644392E-9</v>
      </c>
      <c r="G755" s="45">
        <f t="shared" ca="1" si="47"/>
        <v>3.5129734317874946E-9</v>
      </c>
      <c r="H755" s="18">
        <f>-SUMIFS(Projetos!$F$2:$F$11,Projetos!$D$2:$D$11,"USD",Projetos!$N$2:$N$11,Dados!$A755)</f>
        <v>0</v>
      </c>
      <c r="I755" s="45">
        <f ca="1">(G755+H755)*((Indicadores_Economicos!D$2+1)^(1/12)-1)</f>
        <v>1.1500560877450565E-11</v>
      </c>
      <c r="J755" s="18">
        <f>SUMIFS(Projetos!$G$2:$G$11,Projetos!$K$2:$K$11,"&lt;="&amp;Dados!$A755,Projetos!$N$2:$N$11,"&gt;"&amp;Dados!$A755,Projetos!$D$2:$D$11,"USD")</f>
        <v>0</v>
      </c>
      <c r="K755" s="18">
        <f t="shared" ca="1" si="45"/>
        <v>3.5244739926649453E-9</v>
      </c>
    </row>
    <row r="756" spans="1:11" x14ac:dyDescent="0.2">
      <c r="A756" s="45">
        <f t="shared" ca="1" si="46"/>
        <v>4.5818161904644392E-9</v>
      </c>
      <c r="B756" s="18">
        <f>-SUMIFS(Projetos!$F$2:$F$11,Projetos!$D$2:$D$11,"BRL",Projetos!$N$2:$N$11,Dados!$A756)</f>
        <v>0</v>
      </c>
      <c r="C756" s="45">
        <f ca="1">(A756+B756)*((Indicadores_Economicos!D$2+1)^(1/12)-1)</f>
        <v>1.4999673937446514E-11</v>
      </c>
      <c r="D756" s="18">
        <f>SUMIFS(Projetos!$G$2:$G$11,Projetos!$K$2:$K$11,"&lt;="&amp;Dados!$A756,Projetos!$N$2:$N$11,"&gt;"&amp;Dados!A756,Projetos!$D$2:$D$11,"BRL")</f>
        <v>0</v>
      </c>
      <c r="E756" s="18">
        <f t="shared" ca="1" si="44"/>
        <v>4.5968158644018859E-9</v>
      </c>
      <c r="G756" s="45">
        <f t="shared" ca="1" si="47"/>
        <v>3.5244739926649453E-9</v>
      </c>
      <c r="H756" s="18">
        <f>-SUMIFS(Projetos!$F$2:$F$11,Projetos!$D$2:$D$11,"USD",Projetos!$N$2:$N$11,Dados!$A756)</f>
        <v>0</v>
      </c>
      <c r="I756" s="45">
        <f ca="1">(G756+H756)*((Indicadores_Economicos!D$2+1)^(1/12)-1)</f>
        <v>1.1538210721112676E-11</v>
      </c>
      <c r="J756" s="18">
        <f>SUMIFS(Projetos!$G$2:$G$11,Projetos!$K$2:$K$11,"&lt;="&amp;Dados!$A756,Projetos!$N$2:$N$11,"&gt;"&amp;Dados!$A756,Projetos!$D$2:$D$11,"USD")</f>
        <v>0</v>
      </c>
      <c r="K756" s="18">
        <f t="shared" ca="1" si="45"/>
        <v>3.536012203386058E-9</v>
      </c>
    </row>
    <row r="757" spans="1:11" x14ac:dyDescent="0.2">
      <c r="A757" s="45">
        <f t="shared" ca="1" si="46"/>
        <v>4.5968158644018859E-9</v>
      </c>
      <c r="B757" s="18">
        <f>-SUMIFS(Projetos!$F$2:$F$11,Projetos!$D$2:$D$11,"BRL",Projetos!$N$2:$N$11,Dados!$A757)</f>
        <v>0</v>
      </c>
      <c r="C757" s="45">
        <f ca="1">(A757+B757)*((Indicadores_Economicos!D$2+1)^(1/12)-1)</f>
        <v>1.5048778966735544E-11</v>
      </c>
      <c r="D757" s="18">
        <f>SUMIFS(Projetos!$G$2:$G$11,Projetos!$K$2:$K$11,"&lt;="&amp;Dados!$A757,Projetos!$N$2:$N$11,"&gt;"&amp;Dados!A757,Projetos!$D$2:$D$11,"BRL")</f>
        <v>0</v>
      </c>
      <c r="E757" s="18">
        <f t="shared" ca="1" si="44"/>
        <v>4.6118646433686213E-9</v>
      </c>
      <c r="G757" s="45">
        <f t="shared" ca="1" si="47"/>
        <v>3.536012203386058E-9</v>
      </c>
      <c r="H757" s="18">
        <f>-SUMIFS(Projetos!$F$2:$F$11,Projetos!$D$2:$D$11,"USD",Projetos!$N$2:$N$11,Dados!$A757)</f>
        <v>0</v>
      </c>
      <c r="I757" s="45">
        <f ca="1">(G757+H757)*((Indicadores_Economicos!D$2+1)^(1/12)-1)</f>
        <v>1.1575983820565777E-11</v>
      </c>
      <c r="J757" s="18">
        <f>SUMIFS(Projetos!$G$2:$G$11,Projetos!$K$2:$K$11,"&lt;="&amp;Dados!$A757,Projetos!$N$2:$N$11,"&gt;"&amp;Dados!$A757,Projetos!$D$2:$D$11,"USD")</f>
        <v>0</v>
      </c>
      <c r="K757" s="18">
        <f t="shared" ca="1" si="45"/>
        <v>3.5475881872066236E-9</v>
      </c>
    </row>
    <row r="758" spans="1:11" x14ac:dyDescent="0.2">
      <c r="A758" s="45">
        <f t="shared" ca="1" si="46"/>
        <v>4.6118646433686213E-9</v>
      </c>
      <c r="B758" s="18">
        <f>-SUMIFS(Projetos!$F$2:$F$11,Projetos!$D$2:$D$11,"BRL",Projetos!$N$2:$N$11,Dados!$A758)</f>
        <v>0</v>
      </c>
      <c r="C758" s="45">
        <f ca="1">(A758+B758)*((Indicadores_Economicos!D$2+1)^(1/12)-1)</f>
        <v>1.5098044753112466E-11</v>
      </c>
      <c r="D758" s="18">
        <f>SUMIFS(Projetos!$G$2:$G$11,Projetos!$K$2:$K$11,"&lt;="&amp;Dados!$A758,Projetos!$N$2:$N$11,"&gt;"&amp;Dados!A758,Projetos!$D$2:$D$11,"BRL")</f>
        <v>0</v>
      </c>
      <c r="E758" s="18">
        <f t="shared" ca="1" si="44"/>
        <v>4.6269626881217339E-9</v>
      </c>
      <c r="G758" s="45">
        <f t="shared" ca="1" si="47"/>
        <v>3.5475881872066236E-9</v>
      </c>
      <c r="H758" s="18">
        <f>-SUMIFS(Projetos!$F$2:$F$11,Projetos!$D$2:$D$11,"USD",Projetos!$N$2:$N$11,Dados!$A758)</f>
        <v>0</v>
      </c>
      <c r="I758" s="45">
        <f ca="1">(G758+H758)*((Indicadores_Economicos!D$2+1)^(1/12)-1)</f>
        <v>1.1613880579317254E-11</v>
      </c>
      <c r="J758" s="18">
        <f>SUMIFS(Projetos!$G$2:$G$11,Projetos!$K$2:$K$11,"&lt;="&amp;Dados!$A758,Projetos!$N$2:$N$11,"&gt;"&amp;Dados!$A758,Projetos!$D$2:$D$11,"USD")</f>
        <v>0</v>
      </c>
      <c r="K758" s="18">
        <f t="shared" ca="1" si="45"/>
        <v>3.5592020677859409E-9</v>
      </c>
    </row>
    <row r="759" spans="1:11" x14ac:dyDescent="0.2">
      <c r="A759" s="45">
        <f t="shared" ca="1" si="46"/>
        <v>4.6269626881217339E-9</v>
      </c>
      <c r="B759" s="18">
        <f>-SUMIFS(Projetos!$F$2:$F$11,Projetos!$D$2:$D$11,"BRL",Projetos!$N$2:$N$11,Dados!$A759)</f>
        <v>0</v>
      </c>
      <c r="C759" s="45">
        <f ca="1">(A759+B759)*((Indicadores_Economicos!D$2+1)^(1/12)-1)</f>
        <v>1.5147471822854149E-11</v>
      </c>
      <c r="D759" s="18">
        <f>SUMIFS(Projetos!$G$2:$G$11,Projetos!$K$2:$K$11,"&lt;="&amp;Dados!$A759,Projetos!$N$2:$N$11,"&gt;"&amp;Dados!A759,Projetos!$D$2:$D$11,"BRL")</f>
        <v>0</v>
      </c>
      <c r="E759" s="18">
        <f t="shared" ca="1" si="44"/>
        <v>4.6421101599445877E-9</v>
      </c>
      <c r="G759" s="45">
        <f t="shared" ca="1" si="47"/>
        <v>3.5592020677859409E-9</v>
      </c>
      <c r="H759" s="18">
        <f>-SUMIFS(Projetos!$F$2:$F$11,Projetos!$D$2:$D$11,"USD",Projetos!$N$2:$N$11,Dados!$A759)</f>
        <v>0</v>
      </c>
      <c r="I759" s="45">
        <f ca="1">(G759+H759)*((Indicadores_Economicos!D$2+1)^(1/12)-1)</f>
        <v>1.1651901402195472E-11</v>
      </c>
      <c r="J759" s="18">
        <f>SUMIFS(Projetos!$G$2:$G$11,Projetos!$K$2:$K$11,"&lt;="&amp;Dados!$A759,Projetos!$N$2:$N$11,"&gt;"&amp;Dados!$A759,Projetos!$D$2:$D$11,"USD")</f>
        <v>0</v>
      </c>
      <c r="K759" s="18">
        <f t="shared" ca="1" si="45"/>
        <v>3.5708539691881363E-9</v>
      </c>
    </row>
    <row r="760" spans="1:11" x14ac:dyDescent="0.2">
      <c r="A760" s="45">
        <f t="shared" ca="1" si="46"/>
        <v>4.6421101599445877E-9</v>
      </c>
      <c r="B760" s="18">
        <f>-SUMIFS(Projetos!$F$2:$F$11,Projetos!$D$2:$D$11,"BRL",Projetos!$N$2:$N$11,Dados!$A760)</f>
        <v>0</v>
      </c>
      <c r="C760" s="45">
        <f ca="1">(A760+B760)*((Indicadores_Economicos!D$2+1)^(1/12)-1)</f>
        <v>1.5197060703960363E-11</v>
      </c>
      <c r="D760" s="18">
        <f>SUMIFS(Projetos!$G$2:$G$11,Projetos!$K$2:$K$11,"&lt;="&amp;Dados!$A760,Projetos!$N$2:$N$11,"&gt;"&amp;Dados!A760,Projetos!$D$2:$D$11,"BRL")</f>
        <v>0</v>
      </c>
      <c r="E760" s="18">
        <f t="shared" ca="1" si="44"/>
        <v>4.6573072206485484E-9</v>
      </c>
      <c r="G760" s="45">
        <f t="shared" ca="1" si="47"/>
        <v>3.5708539691881363E-9</v>
      </c>
      <c r="H760" s="18">
        <f>-SUMIFS(Projetos!$F$2:$F$11,Projetos!$D$2:$D$11,"USD",Projetos!$N$2:$N$11,Dados!$A760)</f>
        <v>0</v>
      </c>
      <c r="I760" s="45">
        <f ca="1">(G760+H760)*((Indicadores_Economicos!D$2+1)^(1/12)-1)</f>
        <v>1.1690046695354098E-11</v>
      </c>
      <c r="J760" s="18">
        <f>SUMIFS(Projetos!$G$2:$G$11,Projetos!$K$2:$K$11,"&lt;="&amp;Dados!$A760,Projetos!$N$2:$N$11,"&gt;"&amp;Dados!$A760,Projetos!$D$2:$D$11,"USD")</f>
        <v>0</v>
      </c>
      <c r="K760" s="18">
        <f t="shared" ca="1" si="45"/>
        <v>3.5825440158834902E-9</v>
      </c>
    </row>
    <row r="761" spans="1:11" x14ac:dyDescent="0.2">
      <c r="A761" s="45">
        <f t="shared" ca="1" si="46"/>
        <v>4.6573072206485484E-9</v>
      </c>
      <c r="B761" s="18">
        <f>-SUMIFS(Projetos!$F$2:$F$11,Projetos!$D$2:$D$11,"BRL",Projetos!$N$2:$N$11,Dados!$A761)</f>
        <v>0</v>
      </c>
      <c r="C761" s="45">
        <f ca="1">(A761+B761)*((Indicadores_Economicos!D$2+1)^(1/12)-1)</f>
        <v>1.524681192615941E-11</v>
      </c>
      <c r="D761" s="18">
        <f>SUMIFS(Projetos!$G$2:$G$11,Projetos!$K$2:$K$11,"&lt;="&amp;Dados!$A761,Projetos!$N$2:$N$11,"&gt;"&amp;Dados!A761,Projetos!$D$2:$D$11,"BRL")</f>
        <v>0</v>
      </c>
      <c r="E761" s="18">
        <f t="shared" ca="1" si="44"/>
        <v>4.6725540325747075E-9</v>
      </c>
      <c r="G761" s="45">
        <f t="shared" ca="1" si="47"/>
        <v>3.5825440158834902E-9</v>
      </c>
      <c r="H761" s="18">
        <f>-SUMIFS(Projetos!$F$2:$F$11,Projetos!$D$2:$D$11,"USD",Projetos!$N$2:$N$11,Dados!$A761)</f>
        <v>0</v>
      </c>
      <c r="I761" s="45">
        <f ca="1">(G761+H761)*((Indicadores_Economicos!D$2+1)^(1/12)-1)</f>
        <v>1.1728316866276441E-11</v>
      </c>
      <c r="J761" s="18">
        <f>SUMIFS(Projetos!$G$2:$G$11,Projetos!$K$2:$K$11,"&lt;="&amp;Dados!$A761,Projetos!$N$2:$N$11,"&gt;"&amp;Dados!$A761,Projetos!$D$2:$D$11,"USD")</f>
        <v>0</v>
      </c>
      <c r="K761" s="18">
        <f t="shared" ca="1" si="45"/>
        <v>3.5942723327497668E-9</v>
      </c>
    </row>
    <row r="762" spans="1:11" x14ac:dyDescent="0.2">
      <c r="A762" s="45">
        <f t="shared" ca="1" si="46"/>
        <v>4.6725540325747075E-9</v>
      </c>
      <c r="B762" s="18">
        <f>-SUMIFS(Projetos!$F$2:$F$11,Projetos!$D$2:$D$11,"BRL",Projetos!$N$2:$N$11,Dados!$A762)</f>
        <v>0</v>
      </c>
      <c r="C762" s="45">
        <f ca="1">(A762+B762)*((Indicadores_Economicos!D$2+1)^(1/12)-1)</f>
        <v>1.5296726020913784E-11</v>
      </c>
      <c r="D762" s="18">
        <f>SUMIFS(Projetos!$G$2:$G$11,Projetos!$K$2:$K$11,"&lt;="&amp;Dados!$A762,Projetos!$N$2:$N$11,"&gt;"&amp;Dados!A762,Projetos!$D$2:$D$11,"BRL")</f>
        <v>0</v>
      </c>
      <c r="E762" s="18">
        <f t="shared" ca="1" si="44"/>
        <v>4.6878507585956216E-9</v>
      </c>
      <c r="G762" s="45">
        <f t="shared" ca="1" si="47"/>
        <v>3.5942723327497668E-9</v>
      </c>
      <c r="H762" s="18">
        <f>-SUMIFS(Projetos!$F$2:$F$11,Projetos!$D$2:$D$11,"USD",Projetos!$N$2:$N$11,Dados!$A762)</f>
        <v>0</v>
      </c>
      <c r="I762" s="45">
        <f ca="1">(G762+H762)*((Indicadores_Economicos!D$2+1)^(1/12)-1)</f>
        <v>1.1766712323779807E-11</v>
      </c>
      <c r="J762" s="18">
        <f>SUMIFS(Projetos!$G$2:$G$11,Projetos!$K$2:$K$11,"&lt;="&amp;Dados!$A762,Projetos!$N$2:$N$11,"&gt;"&amp;Dados!$A762,Projetos!$D$2:$D$11,"USD")</f>
        <v>0</v>
      </c>
      <c r="K762" s="18">
        <f t="shared" ca="1" si="45"/>
        <v>3.6060390450735466E-9</v>
      </c>
    </row>
    <row r="763" spans="1:11" x14ac:dyDescent="0.2">
      <c r="A763" s="45">
        <f t="shared" ca="1" si="46"/>
        <v>4.6878507585956216E-9</v>
      </c>
      <c r="B763" s="18">
        <f>-SUMIFS(Projetos!$F$2:$F$11,Projetos!$D$2:$D$11,"BRL",Projetos!$N$2:$N$11,Dados!$A763)</f>
        <v>0</v>
      </c>
      <c r="C763" s="45">
        <f ca="1">(A763+B763)*((Indicadores_Economicos!D$2+1)^(1/12)-1)</f>
        <v>1.5346803521425846E-11</v>
      </c>
      <c r="D763" s="18">
        <f>SUMIFS(Projetos!$G$2:$G$11,Projetos!$K$2:$K$11,"&lt;="&amp;Dados!$A763,Projetos!$N$2:$N$11,"&gt;"&amp;Dados!A763,Projetos!$D$2:$D$11,"BRL")</f>
        <v>0</v>
      </c>
      <c r="E763" s="18">
        <f t="shared" ca="1" si="44"/>
        <v>4.7031975621170471E-9</v>
      </c>
      <c r="G763" s="45">
        <f t="shared" ca="1" si="47"/>
        <v>3.6060390450735466E-9</v>
      </c>
      <c r="H763" s="18">
        <f>-SUMIFS(Projetos!$F$2:$F$11,Projetos!$D$2:$D$11,"USD",Projetos!$N$2:$N$11,Dados!$A763)</f>
        <v>0</v>
      </c>
      <c r="I763" s="45">
        <f ca="1">(G763+H763)*((Indicadores_Economicos!D$2+1)^(1/12)-1)</f>
        <v>1.1805233478019854E-11</v>
      </c>
      <c r="J763" s="18">
        <f>SUMIFS(Projetos!$G$2:$G$11,Projetos!$K$2:$K$11,"&lt;="&amp;Dados!$A763,Projetos!$N$2:$N$11,"&gt;"&amp;Dados!$A763,Projetos!$D$2:$D$11,"USD")</f>
        <v>0</v>
      </c>
      <c r="K763" s="18">
        <f t="shared" ca="1" si="45"/>
        <v>3.6178442785515662E-9</v>
      </c>
    </row>
    <row r="764" spans="1:11" x14ac:dyDescent="0.2">
      <c r="A764" s="45">
        <f t="shared" ca="1" si="46"/>
        <v>4.7031975621170471E-9</v>
      </c>
      <c r="B764" s="18">
        <f>-SUMIFS(Projetos!$F$2:$F$11,Projetos!$D$2:$D$11,"BRL",Projetos!$N$2:$N$11,Dados!$A764)</f>
        <v>0</v>
      </c>
      <c r="C764" s="45">
        <f ca="1">(A764+B764)*((Indicadores_Economicos!D$2+1)^(1/12)-1)</f>
        <v>1.5397044962643528E-11</v>
      </c>
      <c r="D764" s="18">
        <f>SUMIFS(Projetos!$G$2:$G$11,Projetos!$K$2:$K$11,"&lt;="&amp;Dados!$A764,Projetos!$N$2:$N$11,"&gt;"&amp;Dados!A764,Projetos!$D$2:$D$11,"BRL")</f>
        <v>0</v>
      </c>
      <c r="E764" s="18">
        <f t="shared" ca="1" si="44"/>
        <v>4.7185946070796905E-9</v>
      </c>
      <c r="G764" s="45">
        <f t="shared" ca="1" si="47"/>
        <v>3.6178442785515662E-9</v>
      </c>
      <c r="H764" s="18">
        <f>-SUMIFS(Projetos!$F$2:$F$11,Projetos!$D$2:$D$11,"USD",Projetos!$N$2:$N$11,Dados!$A764)</f>
        <v>0</v>
      </c>
      <c r="I764" s="45">
        <f ca="1">(G764+H764)*((Indicadores_Economicos!D$2+1)^(1/12)-1)</f>
        <v>1.1843880740494993E-11</v>
      </c>
      <c r="J764" s="18">
        <f>SUMIFS(Projetos!$G$2:$G$11,Projetos!$K$2:$K$11,"&lt;="&amp;Dados!$A764,Projetos!$N$2:$N$11,"&gt;"&amp;Dados!$A764,Projetos!$D$2:$D$11,"USD")</f>
        <v>0</v>
      </c>
      <c r="K764" s="18">
        <f t="shared" ca="1" si="45"/>
        <v>3.6296881592920614E-9</v>
      </c>
    </row>
    <row r="765" spans="1:11" x14ac:dyDescent="0.2">
      <c r="A765" s="45">
        <f t="shared" ca="1" si="46"/>
        <v>4.7185946070796905E-9</v>
      </c>
      <c r="B765" s="18">
        <f>-SUMIFS(Projetos!$F$2:$F$11,Projetos!$D$2:$D$11,"BRL",Projetos!$N$2:$N$11,Dados!$A765)</f>
        <v>0</v>
      </c>
      <c r="C765" s="45">
        <f ca="1">(A765+B765)*((Indicadores_Economicos!D$2+1)^(1/12)-1)</f>
        <v>1.5447450881266037E-11</v>
      </c>
      <c r="D765" s="18">
        <f>SUMIFS(Projetos!$G$2:$G$11,Projetos!$K$2:$K$11,"&lt;="&amp;Dados!$A765,Projetos!$N$2:$N$11,"&gt;"&amp;Dados!A765,Projetos!$D$2:$D$11,"BRL")</f>
        <v>0</v>
      </c>
      <c r="E765" s="18">
        <f t="shared" ca="1" si="44"/>
        <v>4.7340420579609564E-9</v>
      </c>
      <c r="G765" s="45">
        <f t="shared" ca="1" si="47"/>
        <v>3.6296881592920614E-9</v>
      </c>
      <c r="H765" s="18">
        <f>-SUMIFS(Projetos!$F$2:$F$11,Projetos!$D$2:$D$11,"USD",Projetos!$N$2:$N$11,Dados!$A765)</f>
        <v>0</v>
      </c>
      <c r="I765" s="45">
        <f ca="1">(G765+H765)*((Indicadores_Economicos!D$2+1)^(1/12)-1)</f>
        <v>1.1882654524050772E-11</v>
      </c>
      <c r="J765" s="18">
        <f>SUMIFS(Projetos!$G$2:$G$11,Projetos!$K$2:$K$11,"&lt;="&amp;Dados!$A765,Projetos!$N$2:$N$11,"&gt;"&amp;Dados!$A765,Projetos!$D$2:$D$11,"USD")</f>
        <v>0</v>
      </c>
      <c r="K765" s="18">
        <f t="shared" ca="1" si="45"/>
        <v>3.6415708138161121E-9</v>
      </c>
    </row>
    <row r="766" spans="1:11" x14ac:dyDescent="0.2">
      <c r="A766" s="45">
        <f t="shared" ca="1" si="46"/>
        <v>4.7340420579609564E-9</v>
      </c>
      <c r="B766" s="18">
        <f>-SUMIFS(Projetos!$F$2:$F$11,Projetos!$D$2:$D$11,"BRL",Projetos!$N$2:$N$11,Dados!$A766)</f>
        <v>0</v>
      </c>
      <c r="C766" s="45">
        <f ca="1">(A766+B766)*((Indicadores_Economicos!D$2+1)^(1/12)-1)</f>
        <v>1.5498021815749603E-11</v>
      </c>
      <c r="D766" s="18">
        <f>SUMIFS(Projetos!$G$2:$G$11,Projetos!$K$2:$K$11,"&lt;="&amp;Dados!$A766,Projetos!$N$2:$N$11,"&gt;"&amp;Dados!A766,Projetos!$D$2:$D$11,"BRL")</f>
        <v>0</v>
      </c>
      <c r="E766" s="18">
        <f t="shared" ca="1" si="44"/>
        <v>4.7495400797767056E-9</v>
      </c>
      <c r="G766" s="45">
        <f t="shared" ca="1" si="47"/>
        <v>3.6415708138161121E-9</v>
      </c>
      <c r="H766" s="18">
        <f>-SUMIFS(Projetos!$F$2:$F$11,Projetos!$D$2:$D$11,"USD",Projetos!$N$2:$N$11,Dados!$A766)</f>
        <v>0</v>
      </c>
      <c r="I766" s="45">
        <f ca="1">(G766+H766)*((Indicadores_Economicos!D$2+1)^(1/12)-1)</f>
        <v>1.1921555242884283E-11</v>
      </c>
      <c r="J766" s="18">
        <f>SUMIFS(Projetos!$G$2:$G$11,Projetos!$K$2:$K$11,"&lt;="&amp;Dados!$A766,Projetos!$N$2:$N$11,"&gt;"&amp;Dados!$A766,Projetos!$D$2:$D$11,"USD")</f>
        <v>0</v>
      </c>
      <c r="K766" s="18">
        <f t="shared" ca="1" si="45"/>
        <v>3.6534923690589964E-9</v>
      </c>
    </row>
    <row r="767" spans="1:11" x14ac:dyDescent="0.2">
      <c r="A767" s="45">
        <f t="shared" ca="1" si="46"/>
        <v>4.7495400797767056E-9</v>
      </c>
      <c r="B767" s="18">
        <f>-SUMIFS(Projetos!$F$2:$F$11,Projetos!$D$2:$D$11,"BRL",Projetos!$N$2:$N$11,Dados!$A767)</f>
        <v>0</v>
      </c>
      <c r="C767" s="45">
        <f ca="1">(A767+B767)*((Indicadores_Economicos!D$2+1)^(1/12)-1)</f>
        <v>1.5548758306313208E-11</v>
      </c>
      <c r="D767" s="18">
        <f>SUMIFS(Projetos!$G$2:$G$11,Projetos!$K$2:$K$11,"&lt;="&amp;Dados!$A767,Projetos!$N$2:$N$11,"&gt;"&amp;Dados!A767,Projetos!$D$2:$D$11,"BRL")</f>
        <v>0</v>
      </c>
      <c r="E767" s="18">
        <f t="shared" ca="1" si="44"/>
        <v>4.7650888380830184E-9</v>
      </c>
      <c r="G767" s="45">
        <f t="shared" ca="1" si="47"/>
        <v>3.6534923690589964E-9</v>
      </c>
      <c r="H767" s="18">
        <f>-SUMIFS(Projetos!$F$2:$F$11,Projetos!$D$2:$D$11,"USD",Projetos!$N$2:$N$11,Dados!$A767)</f>
        <v>0</v>
      </c>
      <c r="I767" s="45">
        <f ca="1">(G767+H767)*((Indicadores_Economicos!D$2+1)^(1/12)-1)</f>
        <v>1.1960583312548595E-11</v>
      </c>
      <c r="J767" s="18">
        <f>SUMIFS(Projetos!$G$2:$G$11,Projetos!$K$2:$K$11,"&lt;="&amp;Dados!$A767,Projetos!$N$2:$N$11,"&gt;"&amp;Dados!$A767,Projetos!$D$2:$D$11,"USD")</f>
        <v>0</v>
      </c>
      <c r="K767" s="18">
        <f t="shared" ca="1" si="45"/>
        <v>3.6654529523715451E-9</v>
      </c>
    </row>
    <row r="768" spans="1:11" x14ac:dyDescent="0.2">
      <c r="A768" s="45">
        <f t="shared" ca="1" si="46"/>
        <v>4.7650888380830184E-9</v>
      </c>
      <c r="B768" s="18">
        <f>-SUMIFS(Projetos!$F$2:$F$11,Projetos!$D$2:$D$11,"BRL",Projetos!$N$2:$N$11,Dados!$A768)</f>
        <v>0</v>
      </c>
      <c r="C768" s="45">
        <f ca="1">(A768+B768)*((Indicadores_Economicos!D$2+1)^(1/12)-1)</f>
        <v>1.559966089494438E-11</v>
      </c>
      <c r="D768" s="18">
        <f>SUMIFS(Projetos!$G$2:$G$11,Projetos!$K$2:$K$11,"&lt;="&amp;Dados!$A768,Projetos!$N$2:$N$11,"&gt;"&amp;Dados!A768,Projetos!$D$2:$D$11,"BRL")</f>
        <v>0</v>
      </c>
      <c r="E768" s="18">
        <f t="shared" ca="1" si="44"/>
        <v>4.7806884989779628E-9</v>
      </c>
      <c r="G768" s="45">
        <f t="shared" ca="1" si="47"/>
        <v>3.6654529523715451E-9</v>
      </c>
      <c r="H768" s="18">
        <f>-SUMIFS(Projetos!$F$2:$F$11,Projetos!$D$2:$D$11,"USD",Projetos!$N$2:$N$11,Dados!$A768)</f>
        <v>0</v>
      </c>
      <c r="I768" s="45">
        <f ca="1">(G768+H768)*((Indicadores_Economicos!D$2+1)^(1/12)-1)</f>
        <v>1.199973914995719E-11</v>
      </c>
      <c r="J768" s="18">
        <f>SUMIFS(Projetos!$G$2:$G$11,Projetos!$K$2:$K$11,"&lt;="&amp;Dados!$A768,Projetos!$N$2:$N$11,"&gt;"&amp;Dados!$A768,Projetos!$D$2:$D$11,"USD")</f>
        <v>0</v>
      </c>
      <c r="K768" s="18">
        <f t="shared" ca="1" si="45"/>
        <v>3.6774526915215021E-9</v>
      </c>
    </row>
    <row r="769" spans="1:11" x14ac:dyDescent="0.2">
      <c r="A769" s="45">
        <f t="shared" ca="1" si="46"/>
        <v>4.7806884989779628E-9</v>
      </c>
      <c r="B769" s="18">
        <f>-SUMIFS(Projetos!$F$2:$F$11,Projetos!$D$2:$D$11,"BRL",Projetos!$N$2:$N$11,Dados!$A769)</f>
        <v>0</v>
      </c>
      <c r="C769" s="45">
        <f ca="1">(A769+B769)*((Indicadores_Economicos!D$2+1)^(1/12)-1)</f>
        <v>1.5650730125404972E-11</v>
      </c>
      <c r="D769" s="18">
        <f>SUMIFS(Projetos!$G$2:$G$11,Projetos!$K$2:$K$11,"&lt;="&amp;Dados!$A769,Projetos!$N$2:$N$11,"&gt;"&amp;Dados!A769,Projetos!$D$2:$D$11,"BRL")</f>
        <v>0</v>
      </c>
      <c r="E769" s="18">
        <f t="shared" ca="1" si="44"/>
        <v>4.7963392291033682E-9</v>
      </c>
      <c r="G769" s="45">
        <f t="shared" ca="1" si="47"/>
        <v>3.6774526915215021E-9</v>
      </c>
      <c r="H769" s="18">
        <f>-SUMIFS(Projetos!$F$2:$F$11,Projetos!$D$2:$D$11,"USD",Projetos!$N$2:$N$11,Dados!$A769)</f>
        <v>0</v>
      </c>
      <c r="I769" s="45">
        <f ca="1">(G769+H769)*((Indicadores_Economicos!D$2+1)^(1/12)-1)</f>
        <v>1.2039023173388413E-11</v>
      </c>
      <c r="J769" s="18">
        <f>SUMIFS(Projetos!$G$2:$G$11,Projetos!$K$2:$K$11,"&lt;="&amp;Dados!$A769,Projetos!$N$2:$N$11,"&gt;"&amp;Dados!$A769,Projetos!$D$2:$D$11,"USD")</f>
        <v>0</v>
      </c>
      <c r="K769" s="18">
        <f t="shared" ca="1" si="45"/>
        <v>3.6894917146948904E-9</v>
      </c>
    </row>
    <row r="770" spans="1:11" x14ac:dyDescent="0.2">
      <c r="A770" s="45">
        <f t="shared" ca="1" si="46"/>
        <v>4.7963392291033682E-9</v>
      </c>
      <c r="B770" s="18">
        <f>-SUMIFS(Projetos!$F$2:$F$11,Projetos!$D$2:$D$11,"BRL",Projetos!$N$2:$N$11,Dados!$A770)</f>
        <v>0</v>
      </c>
      <c r="C770" s="45">
        <f ca="1">(A770+B770)*((Indicadores_Economicos!D$2+1)^(1/12)-1)</f>
        <v>1.5701966543236969E-11</v>
      </c>
      <c r="D770" s="18">
        <f>SUMIFS(Projetos!$G$2:$G$11,Projetos!$K$2:$K$11,"&lt;="&amp;Dados!$A770,Projetos!$N$2:$N$11,"&gt;"&amp;Dados!A770,Projetos!$D$2:$D$11,"BRL")</f>
        <v>0</v>
      </c>
      <c r="E770" s="18">
        <f t="shared" ref="E770:E833" ca="1" si="48">A770+B770+C770+D770</f>
        <v>4.8120411956466049E-9</v>
      </c>
      <c r="G770" s="45">
        <f t="shared" ca="1" si="47"/>
        <v>3.6894917146948904E-9</v>
      </c>
      <c r="H770" s="18">
        <f>-SUMIFS(Projetos!$F$2:$F$11,Projetos!$D$2:$D$11,"USD",Projetos!$N$2:$N$11,Dados!$A770)</f>
        <v>0</v>
      </c>
      <c r="I770" s="45">
        <f ca="1">(G770+H770)*((Indicadores_Economicos!D$2+1)^(1/12)-1)</f>
        <v>1.207843580248995E-11</v>
      </c>
      <c r="J770" s="18">
        <f>SUMIFS(Projetos!$G$2:$G$11,Projetos!$K$2:$K$11,"&lt;="&amp;Dados!$A770,Projetos!$N$2:$N$11,"&gt;"&amp;Dados!$A770,Projetos!$D$2:$D$11,"USD")</f>
        <v>0</v>
      </c>
      <c r="K770" s="18">
        <f t="shared" ref="K770:K833" ca="1" si="49">G770+H770+I770+J770</f>
        <v>3.7015701504973805E-9</v>
      </c>
    </row>
    <row r="771" spans="1:11" x14ac:dyDescent="0.2">
      <c r="A771" s="45">
        <f t="shared" ca="1" si="46"/>
        <v>4.8120411956466049E-9</v>
      </c>
      <c r="B771" s="18">
        <f>-SUMIFS(Projetos!$F$2:$F$11,Projetos!$D$2:$D$11,"BRL",Projetos!$N$2:$N$11,Dados!$A771)</f>
        <v>0</v>
      </c>
      <c r="C771" s="45">
        <f ca="1">(A771+B771)*((Indicadores_Economicos!D$2+1)^(1/12)-1)</f>
        <v>1.575337069576832E-11</v>
      </c>
      <c r="D771" s="18">
        <f>SUMIFS(Projetos!$G$2:$G$11,Projetos!$K$2:$K$11,"&lt;="&amp;Dados!$A771,Projetos!$N$2:$N$11,"&gt;"&amp;Dados!A771,Projetos!$D$2:$D$11,"BRL")</f>
        <v>0</v>
      </c>
      <c r="E771" s="18">
        <f t="shared" ca="1" si="48"/>
        <v>4.8277945663423734E-9</v>
      </c>
      <c r="G771" s="45">
        <f t="shared" ca="1" si="47"/>
        <v>3.7015701504973805E-9</v>
      </c>
      <c r="H771" s="18">
        <f>-SUMIFS(Projetos!$F$2:$F$11,Projetos!$D$2:$D$11,"USD",Projetos!$N$2:$N$11,Dados!$A771)</f>
        <v>0</v>
      </c>
      <c r="I771" s="45">
        <f ca="1">(G771+H771)*((Indicadores_Economicos!D$2+1)^(1/12)-1)</f>
        <v>1.2117977458283298E-11</v>
      </c>
      <c r="J771" s="18">
        <f>SUMIFS(Projetos!$G$2:$G$11,Projetos!$K$2:$K$11,"&lt;="&amp;Dados!$A771,Projetos!$N$2:$N$11,"&gt;"&amp;Dados!$A771,Projetos!$D$2:$D$11,"USD")</f>
        <v>0</v>
      </c>
      <c r="K771" s="18">
        <f t="shared" ca="1" si="49"/>
        <v>3.7136881279556636E-9</v>
      </c>
    </row>
    <row r="772" spans="1:11" x14ac:dyDescent="0.2">
      <c r="A772" s="45">
        <f t="shared" ref="A772:A835" ca="1" si="50">E771</f>
        <v>4.8277945663423734E-9</v>
      </c>
      <c r="B772" s="18">
        <f>-SUMIFS(Projetos!$F$2:$F$11,Projetos!$D$2:$D$11,"BRL",Projetos!$N$2:$N$11,Dados!$A772)</f>
        <v>0</v>
      </c>
      <c r="C772" s="45">
        <f ca="1">(A772+B772)*((Indicadores_Economicos!D$2+1)^(1/12)-1)</f>
        <v>1.5804943132118783E-11</v>
      </c>
      <c r="D772" s="18">
        <f>SUMIFS(Projetos!$G$2:$G$11,Projetos!$K$2:$K$11,"&lt;="&amp;Dados!$A772,Projetos!$N$2:$N$11,"&gt;"&amp;Dados!A772,Projetos!$D$2:$D$11,"BRL")</f>
        <v>0</v>
      </c>
      <c r="E772" s="18">
        <f t="shared" ca="1" si="48"/>
        <v>4.8435995094744919E-9</v>
      </c>
      <c r="G772" s="45">
        <f t="shared" ref="G772:G835" ca="1" si="51">K771</f>
        <v>3.7136881279556636E-9</v>
      </c>
      <c r="H772" s="18">
        <f>-SUMIFS(Projetos!$F$2:$F$11,Projetos!$D$2:$D$11,"USD",Projetos!$N$2:$N$11,Dados!$A772)</f>
        <v>0</v>
      </c>
      <c r="I772" s="45">
        <f ca="1">(G772+H772)*((Indicadores_Economicos!D$2+1)^(1/12)-1)</f>
        <v>1.2157648563168269E-11</v>
      </c>
      <c r="J772" s="18">
        <f>SUMIFS(Projetos!$G$2:$G$11,Projetos!$K$2:$K$11,"&lt;="&amp;Dados!$A772,Projetos!$N$2:$N$11,"&gt;"&amp;Dados!$A772,Projetos!$D$2:$D$11,"USD")</f>
        <v>0</v>
      </c>
      <c r="K772" s="18">
        <f t="shared" ca="1" si="49"/>
        <v>3.7258457765188316E-9</v>
      </c>
    </row>
    <row r="773" spans="1:11" x14ac:dyDescent="0.2">
      <c r="A773" s="45">
        <f t="shared" ca="1" si="50"/>
        <v>4.8435995094744919E-9</v>
      </c>
      <c r="B773" s="18">
        <f>-SUMIFS(Projetos!$F$2:$F$11,Projetos!$D$2:$D$11,"BRL",Projetos!$N$2:$N$11,Dados!$A773)</f>
        <v>0</v>
      </c>
      <c r="C773" s="45">
        <f ca="1">(A773+B773)*((Indicadores_Economicos!D$2+1)^(1/12)-1)</f>
        <v>1.5856684403205793E-11</v>
      </c>
      <c r="D773" s="18">
        <f>SUMIFS(Projetos!$G$2:$G$11,Projetos!$K$2:$K$11,"&lt;="&amp;Dados!$A773,Projetos!$N$2:$N$11,"&gt;"&amp;Dados!A773,Projetos!$D$2:$D$11,"BRL")</f>
        <v>0</v>
      </c>
      <c r="E773" s="18">
        <f t="shared" ca="1" si="48"/>
        <v>4.8594561938776977E-9</v>
      </c>
      <c r="G773" s="45">
        <f t="shared" ca="1" si="51"/>
        <v>3.7258457765188316E-9</v>
      </c>
      <c r="H773" s="18">
        <f>-SUMIFS(Projetos!$F$2:$F$11,Projetos!$D$2:$D$11,"USD",Projetos!$N$2:$N$11,Dados!$A773)</f>
        <v>0</v>
      </c>
      <c r="I773" s="45">
        <f ca="1">(G773+H773)*((Indicadores_Economicos!D$2+1)^(1/12)-1)</f>
        <v>1.2197449540927506E-11</v>
      </c>
      <c r="J773" s="18">
        <f>SUMIFS(Projetos!$G$2:$G$11,Projetos!$K$2:$K$11,"&lt;="&amp;Dados!$A773,Projetos!$N$2:$N$11,"&gt;"&amp;Dados!$A773,Projetos!$D$2:$D$11,"USD")</f>
        <v>0</v>
      </c>
      <c r="K773" s="18">
        <f t="shared" ca="1" si="49"/>
        <v>3.7380432260597592E-9</v>
      </c>
    </row>
    <row r="774" spans="1:11" x14ac:dyDescent="0.2">
      <c r="A774" s="45">
        <f t="shared" ca="1" si="50"/>
        <v>4.8594561938776977E-9</v>
      </c>
      <c r="B774" s="18">
        <f>-SUMIFS(Projetos!$F$2:$F$11,Projetos!$D$2:$D$11,"BRL",Projetos!$N$2:$N$11,Dados!$A774)</f>
        <v>0</v>
      </c>
      <c r="C774" s="45">
        <f ca="1">(A774+B774)*((Indicadores_Economicos!D$2+1)^(1/12)-1)</f>
        <v>1.5908595061750341E-11</v>
      </c>
      <c r="D774" s="18">
        <f>SUMIFS(Projetos!$G$2:$G$11,Projetos!$K$2:$K$11,"&lt;="&amp;Dados!$A774,Projetos!$N$2:$N$11,"&gt;"&amp;Dados!A774,Projetos!$D$2:$D$11,"BRL")</f>
        <v>0</v>
      </c>
      <c r="E774" s="18">
        <f t="shared" ca="1" si="48"/>
        <v>4.8753647889394482E-9</v>
      </c>
      <c r="G774" s="45">
        <f t="shared" ca="1" si="51"/>
        <v>3.7380432260597592E-9</v>
      </c>
      <c r="H774" s="18">
        <f>-SUMIFS(Projetos!$F$2:$F$11,Projetos!$D$2:$D$11,"USD",Projetos!$N$2:$N$11,Dados!$A774)</f>
        <v>0</v>
      </c>
      <c r="I774" s="45">
        <f ca="1">(G774+H774)*((Indicadores_Economicos!D$2+1)^(1/12)-1)</f>
        <v>1.2237380816731004E-11</v>
      </c>
      <c r="J774" s="18">
        <f>SUMIFS(Projetos!$G$2:$G$11,Projetos!$K$2:$K$11,"&lt;="&amp;Dados!$A774,Projetos!$N$2:$N$11,"&gt;"&amp;Dados!$A774,Projetos!$D$2:$D$11,"USD")</f>
        <v>0</v>
      </c>
      <c r="K774" s="18">
        <f t="shared" ca="1" si="49"/>
        <v>3.7502806068764903E-9</v>
      </c>
    </row>
    <row r="775" spans="1:11" x14ac:dyDescent="0.2">
      <c r="A775" s="45">
        <f t="shared" ca="1" si="50"/>
        <v>4.8753647889394482E-9</v>
      </c>
      <c r="B775" s="18">
        <f>-SUMIFS(Projetos!$F$2:$F$11,Projetos!$D$2:$D$11,"BRL",Projetos!$N$2:$N$11,Dados!$A775)</f>
        <v>0</v>
      </c>
      <c r="C775" s="45">
        <f ca="1">(A775+B775)*((Indicadores_Economicos!D$2+1)^(1/12)-1)</f>
        <v>1.5960675662282885E-11</v>
      </c>
      <c r="D775" s="18">
        <f>SUMIFS(Projetos!$G$2:$G$11,Projetos!$K$2:$K$11,"&lt;="&amp;Dados!$A775,Projetos!$N$2:$N$11,"&gt;"&amp;Dados!A775,Projetos!$D$2:$D$11,"BRL")</f>
        <v>0</v>
      </c>
      <c r="E775" s="18">
        <f t="shared" ca="1" si="48"/>
        <v>4.8913254646017314E-9</v>
      </c>
      <c r="G775" s="45">
        <f t="shared" ca="1" si="51"/>
        <v>3.7502806068764903E-9</v>
      </c>
      <c r="H775" s="18">
        <f>-SUMIFS(Projetos!$F$2:$F$11,Projetos!$D$2:$D$11,"USD",Projetos!$N$2:$N$11,Dados!$A775)</f>
        <v>0</v>
      </c>
      <c r="I775" s="45">
        <f ca="1">(G775+H775)*((Indicadores_Economicos!D$2+1)^(1/12)-1)</f>
        <v>1.2277442817140655E-11</v>
      </c>
      <c r="J775" s="18">
        <f>SUMIFS(Projetos!$G$2:$G$11,Projetos!$K$2:$K$11,"&lt;="&amp;Dados!$A775,Projetos!$N$2:$N$11,"&gt;"&amp;Dados!$A775,Projetos!$D$2:$D$11,"USD")</f>
        <v>0</v>
      </c>
      <c r="K775" s="18">
        <f t="shared" ca="1" si="49"/>
        <v>3.7625580496936314E-9</v>
      </c>
    </row>
    <row r="776" spans="1:11" x14ac:dyDescent="0.2">
      <c r="A776" s="45">
        <f t="shared" ca="1" si="50"/>
        <v>4.8913254646017314E-9</v>
      </c>
      <c r="B776" s="18">
        <f>-SUMIFS(Projetos!$F$2:$F$11,Projetos!$D$2:$D$11,"BRL",Projetos!$N$2:$N$11,Dados!$A776)</f>
        <v>0</v>
      </c>
      <c r="C776" s="45">
        <f ca="1">(A776+B776)*((Indicadores_Economicos!D$2+1)^(1/12)-1)</f>
        <v>1.6012926761149276E-11</v>
      </c>
      <c r="D776" s="18">
        <f>SUMIFS(Projetos!$G$2:$G$11,Projetos!$K$2:$K$11,"&lt;="&amp;Dados!$A776,Projetos!$N$2:$N$11,"&gt;"&amp;Dados!A776,Projetos!$D$2:$D$11,"BRL")</f>
        <v>0</v>
      </c>
      <c r="E776" s="18">
        <f t="shared" ca="1" si="48"/>
        <v>4.9073383913628804E-9</v>
      </c>
      <c r="G776" s="45">
        <f t="shared" ca="1" si="51"/>
        <v>3.7625580496936314E-9</v>
      </c>
      <c r="H776" s="18">
        <f>-SUMIFS(Projetos!$F$2:$F$11,Projetos!$D$2:$D$11,"USD",Projetos!$N$2:$N$11,Dados!$A776)</f>
        <v>0</v>
      </c>
      <c r="I776" s="45">
        <f ca="1">(G776+H776)*((Indicadores_Economicos!D$2+1)^(1/12)-1)</f>
        <v>1.2317635970114801E-11</v>
      </c>
      <c r="J776" s="18">
        <f>SUMIFS(Projetos!$G$2:$G$11,Projetos!$K$2:$K$11,"&lt;="&amp;Dados!$A776,Projetos!$N$2:$N$11,"&gt;"&amp;Dados!$A776,Projetos!$D$2:$D$11,"USD")</f>
        <v>0</v>
      </c>
      <c r="K776" s="18">
        <f t="shared" ca="1" si="49"/>
        <v>3.7748756856637465E-9</v>
      </c>
    </row>
    <row r="777" spans="1:11" x14ac:dyDescent="0.2">
      <c r="A777" s="45">
        <f t="shared" ca="1" si="50"/>
        <v>4.9073383913628804E-9</v>
      </c>
      <c r="B777" s="18">
        <f>-SUMIFS(Projetos!$F$2:$F$11,Projetos!$D$2:$D$11,"BRL",Projetos!$N$2:$N$11,Dados!$A777)</f>
        <v>0</v>
      </c>
      <c r="C777" s="45">
        <f ca="1">(A777+B777)*((Indicadores_Economicos!D$2+1)^(1/12)-1)</f>
        <v>1.6065348916516686E-11</v>
      </c>
      <c r="D777" s="18">
        <f>SUMIFS(Projetos!$G$2:$G$11,Projetos!$K$2:$K$11,"&lt;="&amp;Dados!$A777,Projetos!$N$2:$N$11,"&gt;"&amp;Dados!A777,Projetos!$D$2:$D$11,"BRL")</f>
        <v>0</v>
      </c>
      <c r="E777" s="18">
        <f t="shared" ca="1" si="48"/>
        <v>4.9234037402793971E-9</v>
      </c>
      <c r="G777" s="45">
        <f t="shared" ca="1" si="51"/>
        <v>3.7748756856637465E-9</v>
      </c>
      <c r="H777" s="18">
        <f>-SUMIFS(Projetos!$F$2:$F$11,Projetos!$D$2:$D$11,"USD",Projetos!$N$2:$N$11,Dados!$A777)</f>
        <v>0</v>
      </c>
      <c r="I777" s="45">
        <f ca="1">(G777+H777)*((Indicadores_Economicos!D$2+1)^(1/12)-1)</f>
        <v>1.2357960705012812E-11</v>
      </c>
      <c r="J777" s="18">
        <f>SUMIFS(Projetos!$G$2:$G$11,Projetos!$K$2:$K$11,"&lt;="&amp;Dados!$A777,Projetos!$N$2:$N$11,"&gt;"&amp;Dados!$A777,Projetos!$D$2:$D$11,"USD")</f>
        <v>0</v>
      </c>
      <c r="K777" s="18">
        <f t="shared" ca="1" si="49"/>
        <v>3.7872336463687593E-9</v>
      </c>
    </row>
    <row r="778" spans="1:11" x14ac:dyDescent="0.2">
      <c r="A778" s="45">
        <f t="shared" ca="1" si="50"/>
        <v>4.9234037402793971E-9</v>
      </c>
      <c r="B778" s="18">
        <f>-SUMIFS(Projetos!$F$2:$F$11,Projetos!$D$2:$D$11,"BRL",Projetos!$N$2:$N$11,Dados!$A778)</f>
        <v>0</v>
      </c>
      <c r="C778" s="45">
        <f ca="1">(A778+B778)*((Indicadores_Economicos!D$2+1)^(1/12)-1)</f>
        <v>1.6117942688379595E-11</v>
      </c>
      <c r="D778" s="18">
        <f>SUMIFS(Projetos!$G$2:$G$11,Projetos!$K$2:$K$11,"&lt;="&amp;Dados!$A778,Projetos!$N$2:$N$11,"&gt;"&amp;Dados!A778,Projetos!$D$2:$D$11,"BRL")</f>
        <v>0</v>
      </c>
      <c r="E778" s="18">
        <f t="shared" ca="1" si="48"/>
        <v>4.9395216829677768E-9</v>
      </c>
      <c r="G778" s="45">
        <f t="shared" ca="1" si="51"/>
        <v>3.7872336463687593E-9</v>
      </c>
      <c r="H778" s="18">
        <f>-SUMIFS(Projetos!$F$2:$F$11,Projetos!$D$2:$D$11,"USD",Projetos!$N$2:$N$11,Dados!$A778)</f>
        <v>0</v>
      </c>
      <c r="I778" s="45">
        <f ca="1">(G778+H778)*((Indicadores_Economicos!D$2+1)^(1/12)-1)</f>
        <v>1.2398417452599662E-11</v>
      </c>
      <c r="J778" s="18">
        <f>SUMIFS(Projetos!$G$2:$G$11,Projetos!$K$2:$K$11,"&lt;="&amp;Dados!$A778,Projetos!$N$2:$N$11,"&gt;"&amp;Dados!$A778,Projetos!$D$2:$D$11,"USD")</f>
        <v>0</v>
      </c>
      <c r="K778" s="18">
        <f t="shared" ca="1" si="49"/>
        <v>3.7996320638213587E-9</v>
      </c>
    </row>
    <row r="779" spans="1:11" x14ac:dyDescent="0.2">
      <c r="A779" s="45">
        <f t="shared" ca="1" si="50"/>
        <v>4.9395216829677768E-9</v>
      </c>
      <c r="B779" s="18">
        <f>-SUMIFS(Projetos!$F$2:$F$11,Projetos!$D$2:$D$11,"BRL",Projetos!$N$2:$N$11,Dados!$A779)</f>
        <v>0</v>
      </c>
      <c r="C779" s="45">
        <f ca="1">(A779+B779)*((Indicadores_Economicos!D$2+1)^(1/12)-1)</f>
        <v>1.6170708638565745E-11</v>
      </c>
      <c r="D779" s="18">
        <f>SUMIFS(Projetos!$G$2:$G$11,Projetos!$K$2:$K$11,"&lt;="&amp;Dados!$A779,Projetos!$N$2:$N$11,"&gt;"&amp;Dados!A779,Projetos!$D$2:$D$11,"BRL")</f>
        <v>0</v>
      </c>
      <c r="E779" s="18">
        <f t="shared" ca="1" si="48"/>
        <v>4.9556923916063421E-9</v>
      </c>
      <c r="G779" s="45">
        <f t="shared" ca="1" si="51"/>
        <v>3.7996320638213587E-9</v>
      </c>
      <c r="H779" s="18">
        <f>-SUMIFS(Projetos!$F$2:$F$11,Projetos!$D$2:$D$11,"USD",Projetos!$N$2:$N$11,Dados!$A779)</f>
        <v>0</v>
      </c>
      <c r="I779" s="45">
        <f ca="1">(G779+H779)*((Indicadores_Economicos!D$2+1)^(1/12)-1)</f>
        <v>1.2439006645050547E-11</v>
      </c>
      <c r="J779" s="18">
        <f>SUMIFS(Projetos!$G$2:$G$11,Projetos!$K$2:$K$11,"&lt;="&amp;Dados!$A779,Projetos!$N$2:$N$11,"&gt;"&amp;Dados!$A779,Projetos!$D$2:$D$11,"USD")</f>
        <v>0</v>
      </c>
      <c r="K779" s="18">
        <f t="shared" ca="1" si="49"/>
        <v>3.8120710704664096E-9</v>
      </c>
    </row>
    <row r="780" spans="1:11" x14ac:dyDescent="0.2">
      <c r="A780" s="45">
        <f t="shared" ca="1" si="50"/>
        <v>4.9556923916063421E-9</v>
      </c>
      <c r="B780" s="18">
        <f>-SUMIFS(Projetos!$F$2:$F$11,Projetos!$D$2:$D$11,"BRL",Projetos!$N$2:$N$11,Dados!$A780)</f>
        <v>0</v>
      </c>
      <c r="C780" s="45">
        <f ca="1">(A780+B780)*((Indicadores_Economicos!D$2+1)^(1/12)-1)</f>
        <v>1.6223647330742163E-11</v>
      </c>
      <c r="D780" s="18">
        <f>SUMIFS(Projetos!$G$2:$G$11,Projetos!$K$2:$K$11,"&lt;="&amp;Dados!$A780,Projetos!$N$2:$N$11,"&gt;"&amp;Dados!A780,Projetos!$D$2:$D$11,"BRL")</f>
        <v>0</v>
      </c>
      <c r="E780" s="18">
        <f t="shared" ca="1" si="48"/>
        <v>4.9719160389370842E-9</v>
      </c>
      <c r="G780" s="45">
        <f t="shared" ca="1" si="51"/>
        <v>3.8120710704664096E-9</v>
      </c>
      <c r="H780" s="18">
        <f>-SUMIFS(Projetos!$F$2:$F$11,Projetos!$D$2:$D$11,"USD",Projetos!$N$2:$N$11,Dados!$A780)</f>
        <v>0</v>
      </c>
      <c r="I780" s="45">
        <f ca="1">(G780+H780)*((Indicadores_Economicos!D$2+1)^(1/12)-1)</f>
        <v>1.2479728715955487E-11</v>
      </c>
      <c r="J780" s="18">
        <f>SUMIFS(Projetos!$G$2:$G$11,Projetos!$K$2:$K$11,"&lt;="&amp;Dados!$A780,Projetos!$N$2:$N$11,"&gt;"&amp;Dados!$A780,Projetos!$D$2:$D$11,"USD")</f>
        <v>0</v>
      </c>
      <c r="K780" s="18">
        <f t="shared" ca="1" si="49"/>
        <v>3.8245507991823653E-9</v>
      </c>
    </row>
    <row r="781" spans="1:11" x14ac:dyDescent="0.2">
      <c r="A781" s="45">
        <f t="shared" ca="1" si="50"/>
        <v>4.9719160389370842E-9</v>
      </c>
      <c r="B781" s="18">
        <f>-SUMIFS(Projetos!$F$2:$F$11,Projetos!$D$2:$D$11,"BRL",Projetos!$N$2:$N$11,Dados!$A781)</f>
        <v>0</v>
      </c>
      <c r="C781" s="45">
        <f ca="1">(A781+B781)*((Indicadores_Economicos!D$2+1)^(1/12)-1)</f>
        <v>1.627675933042118E-11</v>
      </c>
      <c r="D781" s="18">
        <f>SUMIFS(Projetos!$G$2:$G$11,Projetos!$K$2:$K$11,"&lt;="&amp;Dados!$A781,Projetos!$N$2:$N$11,"&gt;"&amp;Dados!A781,Projetos!$D$2:$D$11,"BRL")</f>
        <v>0</v>
      </c>
      <c r="E781" s="18">
        <f t="shared" ca="1" si="48"/>
        <v>4.9881927982675049E-9</v>
      </c>
      <c r="G781" s="45">
        <f t="shared" ca="1" si="51"/>
        <v>3.8245507991823653E-9</v>
      </c>
      <c r="H781" s="18">
        <f>-SUMIFS(Projetos!$F$2:$F$11,Projetos!$D$2:$D$11,"USD",Projetos!$N$2:$N$11,Dados!$A781)</f>
        <v>0</v>
      </c>
      <c r="I781" s="45">
        <f ca="1">(G781+H781)*((Indicadores_Economicos!D$2+1)^(1/12)-1)</f>
        <v>1.2520584100323961E-11</v>
      </c>
      <c r="J781" s="18">
        <f>SUMIFS(Projetos!$G$2:$G$11,Projetos!$K$2:$K$11,"&lt;="&amp;Dados!$A781,Projetos!$N$2:$N$11,"&gt;"&amp;Dados!$A781,Projetos!$D$2:$D$11,"USD")</f>
        <v>0</v>
      </c>
      <c r="K781" s="18">
        <f t="shared" ca="1" si="49"/>
        <v>3.8370713832826892E-9</v>
      </c>
    </row>
    <row r="782" spans="1:11" x14ac:dyDescent="0.2">
      <c r="A782" s="45">
        <f t="shared" ca="1" si="50"/>
        <v>4.9881927982675049E-9</v>
      </c>
      <c r="B782" s="18">
        <f>-SUMIFS(Projetos!$F$2:$F$11,Projetos!$D$2:$D$11,"BRL",Projetos!$N$2:$N$11,Dados!$A782)</f>
        <v>0</v>
      </c>
      <c r="C782" s="45">
        <f ca="1">(A782+B782)*((Indicadores_Economicos!D$2+1)^(1/12)-1)</f>
        <v>1.6330045204966454E-11</v>
      </c>
      <c r="D782" s="18">
        <f>SUMIFS(Projetos!$G$2:$G$11,Projetos!$K$2:$K$11,"&lt;="&amp;Dados!$A782,Projetos!$N$2:$N$11,"&gt;"&amp;Dados!A782,Projetos!$D$2:$D$11,"BRL")</f>
        <v>0</v>
      </c>
      <c r="E782" s="18">
        <f t="shared" ca="1" si="48"/>
        <v>5.0045228434724714E-9</v>
      </c>
      <c r="G782" s="45">
        <f t="shared" ca="1" si="51"/>
        <v>3.8370713832826892E-9</v>
      </c>
      <c r="H782" s="18">
        <f>-SUMIFS(Projetos!$F$2:$F$11,Projetos!$D$2:$D$11,"USD",Projetos!$N$2:$N$11,Dados!$A782)</f>
        <v>0</v>
      </c>
      <c r="I782" s="45">
        <f ca="1">(G782+H782)*((Indicadores_Economicos!D$2+1)^(1/12)-1)</f>
        <v>1.2561573234589559E-11</v>
      </c>
      <c r="J782" s="18">
        <f>SUMIFS(Projetos!$G$2:$G$11,Projetos!$K$2:$K$11,"&lt;="&amp;Dados!$A782,Projetos!$N$2:$N$11,"&gt;"&amp;Dados!$A782,Projetos!$D$2:$D$11,"USD")</f>
        <v>0</v>
      </c>
      <c r="K782" s="18">
        <f t="shared" ca="1" si="49"/>
        <v>3.8496329565172785E-9</v>
      </c>
    </row>
    <row r="783" spans="1:11" x14ac:dyDescent="0.2">
      <c r="A783" s="45">
        <f t="shared" ca="1" si="50"/>
        <v>5.0045228434724714E-9</v>
      </c>
      <c r="B783" s="18">
        <f>-SUMIFS(Projetos!$F$2:$F$11,Projetos!$D$2:$D$11,"BRL",Projetos!$N$2:$N$11,Dados!$A783)</f>
        <v>0</v>
      </c>
      <c r="C783" s="45">
        <f ca="1">(A783+B783)*((Indicadores_Economicos!D$2+1)^(1/12)-1)</f>
        <v>1.6383505523599059E-11</v>
      </c>
      <c r="D783" s="18">
        <f>SUMIFS(Projetos!$G$2:$G$11,Projetos!$K$2:$K$11,"&lt;="&amp;Dados!$A783,Projetos!$N$2:$N$11,"&gt;"&amp;Dados!A783,Projetos!$D$2:$D$11,"BRL")</f>
        <v>0</v>
      </c>
      <c r="E783" s="18">
        <f t="shared" ca="1" si="48"/>
        <v>5.0209063489960706E-9</v>
      </c>
      <c r="G783" s="45">
        <f t="shared" ca="1" si="51"/>
        <v>3.8496329565172785E-9</v>
      </c>
      <c r="H783" s="18">
        <f>-SUMIFS(Projetos!$F$2:$F$11,Projetos!$D$2:$D$11,"USD",Projetos!$N$2:$N$11,Dados!$A783)</f>
        <v>0</v>
      </c>
      <c r="I783" s="45">
        <f ca="1">(G783+H783)*((Indicadores_Economicos!D$2+1)^(1/12)-1)</f>
        <v>1.2602696556614638E-11</v>
      </c>
      <c r="J783" s="18">
        <f>SUMIFS(Projetos!$G$2:$G$11,Projetos!$K$2:$K$11,"&lt;="&amp;Dados!$A783,Projetos!$N$2:$N$11,"&gt;"&amp;Dados!$A783,Projetos!$D$2:$D$11,"USD")</f>
        <v>0</v>
      </c>
      <c r="K783" s="18">
        <f t="shared" ca="1" si="49"/>
        <v>3.8622356530738933E-9</v>
      </c>
    </row>
    <row r="784" spans="1:11" x14ac:dyDescent="0.2">
      <c r="A784" s="45">
        <f t="shared" ca="1" si="50"/>
        <v>5.0209063489960706E-9</v>
      </c>
      <c r="B784" s="18">
        <f>-SUMIFS(Projetos!$F$2:$F$11,Projetos!$D$2:$D$11,"BRL",Projetos!$N$2:$N$11,Dados!$A784)</f>
        <v>0</v>
      </c>
      <c r="C784" s="45">
        <f ca="1">(A784+B784)*((Indicadores_Economicos!D$2+1)^(1/12)-1)</f>
        <v>1.6437140857403544E-11</v>
      </c>
      <c r="D784" s="18">
        <f>SUMIFS(Projetos!$G$2:$G$11,Projetos!$K$2:$K$11,"&lt;="&amp;Dados!$A784,Projetos!$N$2:$N$11,"&gt;"&amp;Dados!A784,Projetos!$D$2:$D$11,"BRL")</f>
        <v>0</v>
      </c>
      <c r="E784" s="18">
        <f t="shared" ca="1" si="48"/>
        <v>5.0373434898534744E-9</v>
      </c>
      <c r="G784" s="45">
        <f t="shared" ca="1" si="51"/>
        <v>3.8622356530738933E-9</v>
      </c>
      <c r="H784" s="18">
        <f>-SUMIFS(Projetos!$F$2:$F$11,Projetos!$D$2:$D$11,"USD",Projetos!$N$2:$N$11,Dados!$A784)</f>
        <v>0</v>
      </c>
      <c r="I784" s="45">
        <f ca="1">(G784+H784)*((Indicadores_Economicos!D$2+1)^(1/12)-1)</f>
        <v>1.264395450569501E-11</v>
      </c>
      <c r="J784" s="18">
        <f>SUMIFS(Projetos!$G$2:$G$11,Projetos!$K$2:$K$11,"&lt;="&amp;Dados!$A784,Projetos!$N$2:$N$11,"&gt;"&amp;Dados!$A784,Projetos!$D$2:$D$11,"USD")</f>
        <v>0</v>
      </c>
      <c r="K784" s="18">
        <f t="shared" ca="1" si="49"/>
        <v>3.8748796075795879E-9</v>
      </c>
    </row>
    <row r="785" spans="1:11" x14ac:dyDescent="0.2">
      <c r="A785" s="45">
        <f t="shared" ca="1" si="50"/>
        <v>5.0373434898534744E-9</v>
      </c>
      <c r="B785" s="18">
        <f>-SUMIFS(Projetos!$F$2:$F$11,Projetos!$D$2:$D$11,"BRL",Projetos!$N$2:$N$11,Dados!$A785)</f>
        <v>0</v>
      </c>
      <c r="C785" s="45">
        <f ca="1">(A785+B785)*((Indicadores_Economicos!D$2+1)^(1/12)-1)</f>
        <v>1.6490951779334033E-11</v>
      </c>
      <c r="D785" s="18">
        <f>SUMIFS(Projetos!$G$2:$G$11,Projetos!$K$2:$K$11,"&lt;="&amp;Dados!$A785,Projetos!$N$2:$N$11,"&gt;"&amp;Dados!A785,Projetos!$D$2:$D$11,"BRL")</f>
        <v>0</v>
      </c>
      <c r="E785" s="18">
        <f t="shared" ca="1" si="48"/>
        <v>5.0538344416328087E-9</v>
      </c>
      <c r="G785" s="45">
        <f t="shared" ca="1" si="51"/>
        <v>3.8748796075795879E-9</v>
      </c>
      <c r="H785" s="18">
        <f>-SUMIFS(Projetos!$F$2:$F$11,Projetos!$D$2:$D$11,"USD",Projetos!$N$2:$N$11,Dados!$A785)</f>
        <v>0</v>
      </c>
      <c r="I785" s="45">
        <f ca="1">(G785+H785)*((Indicadores_Economicos!D$2+1)^(1/12)-1)</f>
        <v>1.2685347522564616E-11</v>
      </c>
      <c r="J785" s="18">
        <f>SUMIFS(Projetos!$G$2:$G$11,Projetos!$K$2:$K$11,"&lt;="&amp;Dados!$A785,Projetos!$N$2:$N$11,"&gt;"&amp;Dados!$A785,Projetos!$D$2:$D$11,"USD")</f>
        <v>0</v>
      </c>
      <c r="K785" s="18">
        <f t="shared" ca="1" si="49"/>
        <v>3.8875649551021527E-9</v>
      </c>
    </row>
    <row r="786" spans="1:11" x14ac:dyDescent="0.2">
      <c r="A786" s="45">
        <f t="shared" ca="1" si="50"/>
        <v>5.0538344416328087E-9</v>
      </c>
      <c r="B786" s="18">
        <f>-SUMIFS(Projetos!$F$2:$F$11,Projetos!$D$2:$D$11,"BRL",Projetos!$N$2:$N$11,Dados!$A786)</f>
        <v>0</v>
      </c>
      <c r="C786" s="45">
        <f ca="1">(A786+B786)*((Indicadores_Economicos!D$2+1)^(1/12)-1)</f>
        <v>1.6544938864220364E-11</v>
      </c>
      <c r="D786" s="18">
        <f>SUMIFS(Projetos!$G$2:$G$11,Projetos!$K$2:$K$11,"&lt;="&amp;Dados!$A786,Projetos!$N$2:$N$11,"&gt;"&amp;Dados!A786,Projetos!$D$2:$D$11,"BRL")</f>
        <v>0</v>
      </c>
      <c r="E786" s="18">
        <f t="shared" ca="1" si="48"/>
        <v>5.0703793804970294E-9</v>
      </c>
      <c r="G786" s="45">
        <f t="shared" ca="1" si="51"/>
        <v>3.8875649551021527E-9</v>
      </c>
      <c r="H786" s="18">
        <f>-SUMIFS(Projetos!$F$2:$F$11,Projetos!$D$2:$D$11,"USD",Projetos!$N$2:$N$11,Dados!$A786)</f>
        <v>0</v>
      </c>
      <c r="I786" s="45">
        <f ca="1">(G786+H786)*((Indicadores_Economicos!D$2+1)^(1/12)-1)</f>
        <v>1.2726876049400254E-11</v>
      </c>
      <c r="J786" s="18">
        <f>SUMIFS(Projetos!$G$2:$G$11,Projetos!$K$2:$K$11,"&lt;="&amp;Dados!$A786,Projetos!$N$2:$N$11,"&gt;"&amp;Dados!$A786,Projetos!$D$2:$D$11,"USD")</f>
        <v>0</v>
      </c>
      <c r="K786" s="18">
        <f t="shared" ca="1" si="49"/>
        <v>3.9002918311515529E-9</v>
      </c>
    </row>
    <row r="787" spans="1:11" x14ac:dyDescent="0.2">
      <c r="A787" s="45">
        <f t="shared" ca="1" si="50"/>
        <v>5.0703793804970294E-9</v>
      </c>
      <c r="B787" s="18">
        <f>-SUMIFS(Projetos!$F$2:$F$11,Projetos!$D$2:$D$11,"BRL",Projetos!$N$2:$N$11,Dados!$A787)</f>
        <v>0</v>
      </c>
      <c r="C787" s="45">
        <f ca="1">(A787+B787)*((Indicadores_Economicos!D$2+1)^(1/12)-1)</f>
        <v>1.6599102688774211E-11</v>
      </c>
      <c r="D787" s="18">
        <f>SUMIFS(Projetos!$G$2:$G$11,Projetos!$K$2:$K$11,"&lt;="&amp;Dados!$A787,Projetos!$N$2:$N$11,"&gt;"&amp;Dados!A787,Projetos!$D$2:$D$11,"BRL")</f>
        <v>0</v>
      </c>
      <c r="E787" s="18">
        <f t="shared" ca="1" si="48"/>
        <v>5.0869784831858038E-9</v>
      </c>
      <c r="G787" s="45">
        <f t="shared" ca="1" si="51"/>
        <v>3.9002918311515529E-9</v>
      </c>
      <c r="H787" s="18">
        <f>-SUMIFS(Projetos!$F$2:$F$11,Projetos!$D$2:$D$11,"USD",Projetos!$N$2:$N$11,Dados!$A787)</f>
        <v>0</v>
      </c>
      <c r="I787" s="45">
        <f ca="1">(G787+H787)*((Indicadores_Economicos!D$2+1)^(1/12)-1)</f>
        <v>1.276854052982629E-11</v>
      </c>
      <c r="J787" s="18">
        <f>SUMIFS(Projetos!$G$2:$G$11,Projetos!$K$2:$K$11,"&lt;="&amp;Dados!$A787,Projetos!$N$2:$N$11,"&gt;"&amp;Dados!$A787,Projetos!$D$2:$D$11,"USD")</f>
        <v>0</v>
      </c>
      <c r="K787" s="18">
        <f t="shared" ca="1" si="49"/>
        <v>3.9130603716813793E-9</v>
      </c>
    </row>
    <row r="788" spans="1:11" x14ac:dyDescent="0.2">
      <c r="A788" s="45">
        <f t="shared" ca="1" si="50"/>
        <v>5.0869784831858038E-9</v>
      </c>
      <c r="B788" s="18">
        <f>-SUMIFS(Projetos!$F$2:$F$11,Projetos!$D$2:$D$11,"BRL",Projetos!$N$2:$N$11,Dados!$A788)</f>
        <v>0</v>
      </c>
      <c r="C788" s="45">
        <f ca="1">(A788+B788)*((Indicadores_Economicos!D$2+1)^(1/12)-1)</f>
        <v>1.6653443831595258E-11</v>
      </c>
      <c r="D788" s="18">
        <f>SUMIFS(Projetos!$G$2:$G$11,Projetos!$K$2:$K$11,"&lt;="&amp;Dados!$A788,Projetos!$N$2:$N$11,"&gt;"&amp;Dados!A788,Projetos!$D$2:$D$11,"BRL")</f>
        <v>0</v>
      </c>
      <c r="E788" s="18">
        <f t="shared" ca="1" si="48"/>
        <v>5.1036319270173987E-9</v>
      </c>
      <c r="G788" s="45">
        <f t="shared" ca="1" si="51"/>
        <v>3.9130603716813793E-9</v>
      </c>
      <c r="H788" s="18">
        <f>-SUMIFS(Projetos!$F$2:$F$11,Projetos!$D$2:$D$11,"USD",Projetos!$N$2:$N$11,Dados!$A788)</f>
        <v>0</v>
      </c>
      <c r="I788" s="45">
        <f ca="1">(G788+H788)*((Indicadores_Economicos!D$2+1)^(1/12)-1)</f>
        <v>1.2810341408919402E-11</v>
      </c>
      <c r="J788" s="18">
        <f>SUMIFS(Projetos!$G$2:$G$11,Projetos!$K$2:$K$11,"&lt;="&amp;Dados!$A788,Projetos!$N$2:$N$11,"&gt;"&amp;Dados!$A788,Projetos!$D$2:$D$11,"USD")</f>
        <v>0</v>
      </c>
      <c r="K788" s="18">
        <f t="shared" ca="1" si="49"/>
        <v>3.9258707130902987E-9</v>
      </c>
    </row>
    <row r="789" spans="1:11" x14ac:dyDescent="0.2">
      <c r="A789" s="45">
        <f t="shared" ca="1" si="50"/>
        <v>5.1036319270173987E-9</v>
      </c>
      <c r="B789" s="18">
        <f>-SUMIFS(Projetos!$F$2:$F$11,Projetos!$D$2:$D$11,"BRL",Projetos!$N$2:$N$11,Dados!$A789)</f>
        <v>0</v>
      </c>
      <c r="C789" s="45">
        <f ca="1">(A789+B789)*((Indicadores_Economicos!D$2+1)^(1/12)-1)</f>
        <v>1.6707962873177366E-11</v>
      </c>
      <c r="D789" s="18">
        <f>SUMIFS(Projetos!$G$2:$G$11,Projetos!$K$2:$K$11,"&lt;="&amp;Dados!$A789,Projetos!$N$2:$N$11,"&gt;"&amp;Dados!A789,Projetos!$D$2:$D$11,"BRL")</f>
        <v>0</v>
      </c>
      <c r="E789" s="18">
        <f t="shared" ca="1" si="48"/>
        <v>5.1203398898905763E-9</v>
      </c>
      <c r="G789" s="45">
        <f t="shared" ca="1" si="51"/>
        <v>3.9258707130902987E-9</v>
      </c>
      <c r="H789" s="18">
        <f>-SUMIFS(Projetos!$F$2:$F$11,Projetos!$D$2:$D$11,"USD",Projetos!$N$2:$N$11,Dados!$A789)</f>
        <v>0</v>
      </c>
      <c r="I789" s="45">
        <f ca="1">(G789+H789)*((Indicadores_Economicos!D$2+1)^(1/12)-1)</f>
        <v>1.2852279133213331E-11</v>
      </c>
      <c r="J789" s="18">
        <f>SUMIFS(Projetos!$G$2:$G$11,Projetos!$K$2:$K$11,"&lt;="&amp;Dados!$A789,Projetos!$N$2:$N$11,"&gt;"&amp;Dados!$A789,Projetos!$D$2:$D$11,"USD")</f>
        <v>0</v>
      </c>
      <c r="K789" s="18">
        <f t="shared" ca="1" si="49"/>
        <v>3.9387229922235121E-9</v>
      </c>
    </row>
    <row r="790" spans="1:11" x14ac:dyDescent="0.2">
      <c r="A790" s="45">
        <f t="shared" ca="1" si="50"/>
        <v>5.1203398898905763E-9</v>
      </c>
      <c r="B790" s="18">
        <f>-SUMIFS(Projetos!$F$2:$F$11,Projetos!$D$2:$D$11,"BRL",Projetos!$N$2:$N$11,Dados!$A790)</f>
        <v>0</v>
      </c>
      <c r="C790" s="45">
        <f ca="1">(A790+B790)*((Indicadores_Economicos!D$2+1)^(1/12)-1)</f>
        <v>1.6762660395914787E-11</v>
      </c>
      <c r="D790" s="18">
        <f>SUMIFS(Projetos!$G$2:$G$11,Projetos!$K$2:$K$11,"&lt;="&amp;Dados!$A790,Projetos!$N$2:$N$11,"&gt;"&amp;Dados!A790,Projetos!$D$2:$D$11,"BRL")</f>
        <v>0</v>
      </c>
      <c r="E790" s="18">
        <f t="shared" ca="1" si="48"/>
        <v>5.1371025502864911E-9</v>
      </c>
      <c r="G790" s="45">
        <f t="shared" ca="1" si="51"/>
        <v>3.9387229922235121E-9</v>
      </c>
      <c r="H790" s="18">
        <f>-SUMIFS(Projetos!$F$2:$F$11,Projetos!$D$2:$D$11,"USD",Projetos!$N$2:$N$11,Dados!$A790)</f>
        <v>0</v>
      </c>
      <c r="I790" s="45">
        <f ca="1">(G790+H790)*((Indicadores_Economicos!D$2+1)^(1/12)-1)</f>
        <v>1.2894354150703658E-11</v>
      </c>
      <c r="J790" s="18">
        <f>SUMIFS(Projetos!$G$2:$G$11,Projetos!$K$2:$K$11,"&lt;="&amp;Dados!$A790,Projetos!$N$2:$N$11,"&gt;"&amp;Dados!$A790,Projetos!$D$2:$D$11,"USD")</f>
        <v>0</v>
      </c>
      <c r="K790" s="18">
        <f t="shared" ca="1" si="49"/>
        <v>3.9516173463742159E-9</v>
      </c>
    </row>
    <row r="791" spans="1:11" x14ac:dyDescent="0.2">
      <c r="A791" s="45">
        <f t="shared" ca="1" si="50"/>
        <v>5.1371025502864911E-9</v>
      </c>
      <c r="B791" s="18">
        <f>-SUMIFS(Projetos!$F$2:$F$11,Projetos!$D$2:$D$11,"BRL",Projetos!$N$2:$N$11,Dados!$A791)</f>
        <v>0</v>
      </c>
      <c r="C791" s="45">
        <f ca="1">(A791+B791)*((Indicadores_Economicos!D$2+1)^(1/12)-1)</f>
        <v>1.6817536984108387E-11</v>
      </c>
      <c r="D791" s="18">
        <f>SUMIFS(Projetos!$G$2:$G$11,Projetos!$K$2:$K$11,"&lt;="&amp;Dados!$A791,Projetos!$N$2:$N$11,"&gt;"&amp;Dados!A791,Projetos!$D$2:$D$11,"BRL")</f>
        <v>0</v>
      </c>
      <c r="E791" s="18">
        <f t="shared" ca="1" si="48"/>
        <v>5.1539200872705998E-9</v>
      </c>
      <c r="G791" s="45">
        <f t="shared" ca="1" si="51"/>
        <v>3.9516173463742159E-9</v>
      </c>
      <c r="H791" s="18">
        <f>-SUMIFS(Projetos!$F$2:$F$11,Projetos!$D$2:$D$11,"USD",Projetos!$N$2:$N$11,Dados!$A791)</f>
        <v>0</v>
      </c>
      <c r="I791" s="45">
        <f ca="1">(G791+H791)*((Indicadores_Economicos!D$2+1)^(1/12)-1)</f>
        <v>1.2936566910852579E-11</v>
      </c>
      <c r="J791" s="18">
        <f>SUMIFS(Projetos!$G$2:$G$11,Projetos!$K$2:$K$11,"&lt;="&amp;Dados!$A791,Projetos!$N$2:$N$11,"&gt;"&amp;Dados!$A791,Projetos!$D$2:$D$11,"USD")</f>
        <v>0</v>
      </c>
      <c r="K791" s="18">
        <f t="shared" ca="1" si="49"/>
        <v>3.9645539132850686E-9</v>
      </c>
    </row>
    <row r="792" spans="1:11" x14ac:dyDescent="0.2">
      <c r="A792" s="45">
        <f t="shared" ca="1" si="50"/>
        <v>5.1539200872705998E-9</v>
      </c>
      <c r="B792" s="18">
        <f>-SUMIFS(Projetos!$F$2:$F$11,Projetos!$D$2:$D$11,"BRL",Projetos!$N$2:$N$11,Dados!$A792)</f>
        <v>0</v>
      </c>
      <c r="C792" s="45">
        <f ca="1">(A792+B792)*((Indicadores_Economicos!D$2+1)^(1/12)-1)</f>
        <v>1.6872593223971865E-11</v>
      </c>
      <c r="D792" s="18">
        <f>SUMIFS(Projetos!$G$2:$G$11,Projetos!$K$2:$K$11,"&lt;="&amp;Dados!$A792,Projetos!$N$2:$N$11,"&gt;"&amp;Dados!A792,Projetos!$D$2:$D$11,"BRL")</f>
        <v>0</v>
      </c>
      <c r="E792" s="18">
        <f t="shared" ca="1" si="48"/>
        <v>5.1707926804945713E-9</v>
      </c>
      <c r="G792" s="45">
        <f t="shared" ca="1" si="51"/>
        <v>3.9645539132850686E-9</v>
      </c>
      <c r="H792" s="18">
        <f>-SUMIFS(Projetos!$F$2:$F$11,Projetos!$D$2:$D$11,"USD",Projetos!$N$2:$N$11,Dados!$A792)</f>
        <v>0</v>
      </c>
      <c r="I792" s="45">
        <f ca="1">(G792+H792)*((Indicadores_Economicos!D$2+1)^(1/12)-1)</f>
        <v>1.2978917864593714E-11</v>
      </c>
      <c r="J792" s="18">
        <f>SUMIFS(Projetos!$G$2:$G$11,Projetos!$K$2:$K$11,"&lt;="&amp;Dados!$A792,Projetos!$N$2:$N$11,"&gt;"&amp;Dados!$A792,Projetos!$D$2:$D$11,"USD")</f>
        <v>0</v>
      </c>
      <c r="K792" s="18">
        <f t="shared" ca="1" si="49"/>
        <v>3.9775328311496624E-9</v>
      </c>
    </row>
    <row r="793" spans="1:11" x14ac:dyDescent="0.2">
      <c r="A793" s="45">
        <f t="shared" ca="1" si="50"/>
        <v>5.1707926804945713E-9</v>
      </c>
      <c r="B793" s="18">
        <f>-SUMIFS(Projetos!$F$2:$F$11,Projetos!$D$2:$D$11,"BRL",Projetos!$N$2:$N$11,Dados!$A793)</f>
        <v>0</v>
      </c>
      <c r="C793" s="45">
        <f ca="1">(A793+B793)*((Indicadores_Economicos!D$2+1)^(1/12)-1)</f>
        <v>1.6927829703638038E-11</v>
      </c>
      <c r="D793" s="18">
        <f>SUMIFS(Projetos!$G$2:$G$11,Projetos!$K$2:$K$11,"&lt;="&amp;Dados!$A793,Projetos!$N$2:$N$11,"&gt;"&amp;Dados!A793,Projetos!$D$2:$D$11,"BRL")</f>
        <v>0</v>
      </c>
      <c r="E793" s="18">
        <f t="shared" ca="1" si="48"/>
        <v>5.187720510198209E-9</v>
      </c>
      <c r="G793" s="45">
        <f t="shared" ca="1" si="51"/>
        <v>3.9775328311496624E-9</v>
      </c>
      <c r="H793" s="18">
        <f>-SUMIFS(Projetos!$F$2:$F$11,Projetos!$D$2:$D$11,"USD",Projetos!$N$2:$N$11,Dados!$A793)</f>
        <v>0</v>
      </c>
      <c r="I793" s="45">
        <f ca="1">(G793+H793)*((Indicadores_Economicos!D$2+1)^(1/12)-1)</f>
        <v>1.3021407464336928E-11</v>
      </c>
      <c r="J793" s="18">
        <f>SUMIFS(Projetos!$G$2:$G$11,Projetos!$K$2:$K$11,"&lt;="&amp;Dados!$A793,Projetos!$N$2:$N$11,"&gt;"&amp;Dados!$A793,Projetos!$D$2:$D$11,"USD")</f>
        <v>0</v>
      </c>
      <c r="K793" s="18">
        <f t="shared" ca="1" si="49"/>
        <v>3.9905542386139996E-9</v>
      </c>
    </row>
    <row r="794" spans="1:11" x14ac:dyDescent="0.2">
      <c r="A794" s="45">
        <f t="shared" ca="1" si="50"/>
        <v>5.187720510198209E-9</v>
      </c>
      <c r="B794" s="18">
        <f>-SUMIFS(Projetos!$F$2:$F$11,Projetos!$D$2:$D$11,"BRL",Projetos!$N$2:$N$11,Dados!$A794)</f>
        <v>0</v>
      </c>
      <c r="C794" s="45">
        <f ca="1">(A794+B794)*((Indicadores_Economicos!D$2+1)^(1/12)-1)</f>
        <v>1.6983247013165125E-11</v>
      </c>
      <c r="D794" s="18">
        <f>SUMIFS(Projetos!$G$2:$G$11,Projetos!$K$2:$K$11,"&lt;="&amp;Dados!$A794,Projetos!$N$2:$N$11,"&gt;"&amp;Dados!A794,Projetos!$D$2:$D$11,"BRL")</f>
        <v>0</v>
      </c>
      <c r="E794" s="18">
        <f t="shared" ca="1" si="48"/>
        <v>5.2047037572113738E-9</v>
      </c>
      <c r="G794" s="45">
        <f t="shared" ca="1" si="51"/>
        <v>3.9905542386139996E-9</v>
      </c>
      <c r="H794" s="18">
        <f>-SUMIFS(Projetos!$F$2:$F$11,Projetos!$D$2:$D$11,"USD",Projetos!$N$2:$N$11,Dados!$A794)</f>
        <v>0</v>
      </c>
      <c r="I794" s="45">
        <f ca="1">(G794+H794)*((Indicadores_Economicos!D$2+1)^(1/12)-1)</f>
        <v>1.306403616397315E-11</v>
      </c>
      <c r="J794" s="18">
        <f>SUMIFS(Projetos!$G$2:$G$11,Projetos!$K$2:$K$11,"&lt;="&amp;Dados!$A794,Projetos!$N$2:$N$11,"&gt;"&amp;Dados!$A794,Projetos!$D$2:$D$11,"USD")</f>
        <v>0</v>
      </c>
      <c r="K794" s="18">
        <f t="shared" ca="1" si="49"/>
        <v>4.0036182747779725E-9</v>
      </c>
    </row>
    <row r="795" spans="1:11" x14ac:dyDescent="0.2">
      <c r="A795" s="45">
        <f t="shared" ca="1" si="50"/>
        <v>5.2047037572113738E-9</v>
      </c>
      <c r="B795" s="18">
        <f>-SUMIFS(Projetos!$F$2:$F$11,Projetos!$D$2:$D$11,"BRL",Projetos!$N$2:$N$11,Dados!$A795)</f>
        <v>0</v>
      </c>
      <c r="C795" s="45">
        <f ca="1">(A795+B795)*((Indicadores_Economicos!D$2+1)^(1/12)-1)</f>
        <v>1.7038845744543036E-11</v>
      </c>
      <c r="D795" s="18">
        <f>SUMIFS(Projetos!$G$2:$G$11,Projetos!$K$2:$K$11,"&lt;="&amp;Dados!$A795,Projetos!$N$2:$N$11,"&gt;"&amp;Dados!A795,Projetos!$D$2:$D$11,"BRL")</f>
        <v>0</v>
      </c>
      <c r="E795" s="18">
        <f t="shared" ca="1" si="48"/>
        <v>5.2217426029559169E-9</v>
      </c>
      <c r="G795" s="45">
        <f t="shared" ca="1" si="51"/>
        <v>4.0036182747779725E-9</v>
      </c>
      <c r="H795" s="18">
        <f>-SUMIFS(Projetos!$F$2:$F$11,Projetos!$D$2:$D$11,"USD",Projetos!$N$2:$N$11,Dados!$A795)</f>
        <v>0</v>
      </c>
      <c r="I795" s="45">
        <f ca="1">(G795+H795)*((Indicadores_Economicos!D$2+1)^(1/12)-1)</f>
        <v>1.3106804418879233E-11</v>
      </c>
      <c r="J795" s="18">
        <f>SUMIFS(Projetos!$G$2:$G$11,Projetos!$K$2:$K$11,"&lt;="&amp;Dados!$A795,Projetos!$N$2:$N$11,"&gt;"&amp;Dados!$A795,Projetos!$D$2:$D$11,"USD")</f>
        <v>0</v>
      </c>
      <c r="K795" s="18">
        <f t="shared" ca="1" si="49"/>
        <v>4.0167250791968515E-9</v>
      </c>
    </row>
    <row r="796" spans="1:11" x14ac:dyDescent="0.2">
      <c r="A796" s="45">
        <f t="shared" ca="1" si="50"/>
        <v>5.2217426029559169E-9</v>
      </c>
      <c r="B796" s="18">
        <f>-SUMIFS(Projetos!$F$2:$F$11,Projetos!$D$2:$D$11,"BRL",Projetos!$N$2:$N$11,Dados!$A796)</f>
        <v>0</v>
      </c>
      <c r="C796" s="45">
        <f ca="1">(A796+B796)*((Indicadores_Economicos!D$2+1)^(1/12)-1)</f>
        <v>1.7094626491699696E-11</v>
      </c>
      <c r="D796" s="18">
        <f>SUMIFS(Projetos!$G$2:$G$11,Projetos!$K$2:$K$11,"&lt;="&amp;Dados!$A796,Projetos!$N$2:$N$11,"&gt;"&amp;Dados!A796,Projetos!$D$2:$D$11,"BRL")</f>
        <v>0</v>
      </c>
      <c r="E796" s="18">
        <f t="shared" ca="1" si="48"/>
        <v>5.2388372294476166E-9</v>
      </c>
      <c r="G796" s="45">
        <f t="shared" ca="1" si="51"/>
        <v>4.0167250791968515E-9</v>
      </c>
      <c r="H796" s="18">
        <f>-SUMIFS(Projetos!$F$2:$F$11,Projetos!$D$2:$D$11,"USD",Projetos!$N$2:$N$11,Dados!$A796)</f>
        <v>0</v>
      </c>
      <c r="I796" s="45">
        <f ca="1">(G796+H796)*((Indicadores_Economicos!D$2+1)^(1/12)-1)</f>
        <v>1.3149712685922817E-11</v>
      </c>
      <c r="J796" s="18">
        <f>SUMIFS(Projetos!$G$2:$G$11,Projetos!$K$2:$K$11,"&lt;="&amp;Dados!$A796,Projetos!$N$2:$N$11,"&gt;"&amp;Dados!$A796,Projetos!$D$2:$D$11,"USD")</f>
        <v>0</v>
      </c>
      <c r="K796" s="18">
        <f t="shared" ca="1" si="49"/>
        <v>4.0298747918827742E-9</v>
      </c>
    </row>
    <row r="797" spans="1:11" x14ac:dyDescent="0.2">
      <c r="A797" s="45">
        <f t="shared" ca="1" si="50"/>
        <v>5.2388372294476166E-9</v>
      </c>
      <c r="B797" s="18">
        <f>-SUMIFS(Projetos!$F$2:$F$11,Projetos!$D$2:$D$11,"BRL",Projetos!$N$2:$N$11,Dados!$A797)</f>
        <v>0</v>
      </c>
      <c r="C797" s="45">
        <f ca="1">(A797+B797)*((Indicadores_Economicos!D$2+1)^(1/12)-1)</f>
        <v>1.7150589850507404E-11</v>
      </c>
      <c r="D797" s="18">
        <f>SUMIFS(Projetos!$G$2:$G$11,Projetos!$K$2:$K$11,"&lt;="&amp;Dados!$A797,Projetos!$N$2:$N$11,"&gt;"&amp;Dados!A797,Projetos!$D$2:$D$11,"BRL")</f>
        <v>0</v>
      </c>
      <c r="E797" s="18">
        <f t="shared" ca="1" si="48"/>
        <v>5.255987819298124E-9</v>
      </c>
      <c r="G797" s="45">
        <f t="shared" ca="1" si="51"/>
        <v>4.0298747918827742E-9</v>
      </c>
      <c r="H797" s="18">
        <f>-SUMIFS(Projetos!$F$2:$F$11,Projetos!$D$2:$D$11,"USD",Projetos!$N$2:$N$11,Dados!$A797)</f>
        <v>0</v>
      </c>
      <c r="I797" s="45">
        <f ca="1">(G797+H797)*((Indicadores_Economicos!D$2+1)^(1/12)-1)</f>
        <v>1.3192761423467209E-11</v>
      </c>
      <c r="J797" s="18">
        <f>SUMIFS(Projetos!$G$2:$G$11,Projetos!$K$2:$K$11,"&lt;="&amp;Dados!$A797,Projetos!$N$2:$N$11,"&gt;"&amp;Dados!$A797,Projetos!$D$2:$D$11,"USD")</f>
        <v>0</v>
      </c>
      <c r="K797" s="18">
        <f t="shared" ca="1" si="49"/>
        <v>4.0430675533062411E-9</v>
      </c>
    </row>
    <row r="798" spans="1:11" x14ac:dyDescent="0.2">
      <c r="A798" s="45">
        <f t="shared" ca="1" si="50"/>
        <v>5.255987819298124E-9</v>
      </c>
      <c r="B798" s="18">
        <f>-SUMIFS(Projetos!$F$2:$F$11,Projetos!$D$2:$D$11,"BRL",Projetos!$N$2:$N$11,Dados!$A798)</f>
        <v>0</v>
      </c>
      <c r="C798" s="45">
        <f ca="1">(A798+B798)*((Indicadores_Economicos!D$2+1)^(1/12)-1)</f>
        <v>1.7206736418789189E-11</v>
      </c>
      <c r="D798" s="18">
        <f>SUMIFS(Projetos!$G$2:$G$11,Projetos!$K$2:$K$11,"&lt;="&amp;Dados!$A798,Projetos!$N$2:$N$11,"&gt;"&amp;Dados!A798,Projetos!$D$2:$D$11,"BRL")</f>
        <v>0</v>
      </c>
      <c r="E798" s="18">
        <f t="shared" ca="1" si="48"/>
        <v>5.2731945557169135E-9</v>
      </c>
      <c r="G798" s="45">
        <f t="shared" ca="1" si="51"/>
        <v>4.0430675533062411E-9</v>
      </c>
      <c r="H798" s="18">
        <f>-SUMIFS(Projetos!$F$2:$F$11,Projetos!$D$2:$D$11,"USD",Projetos!$N$2:$N$11,Dados!$A798)</f>
        <v>0</v>
      </c>
      <c r="I798" s="45">
        <f ca="1">(G798+H798)*((Indicadores_Economicos!D$2+1)^(1/12)-1)</f>
        <v>1.3235951091376272E-11</v>
      </c>
      <c r="J798" s="18">
        <f>SUMIFS(Projetos!$G$2:$G$11,Projetos!$K$2:$K$11,"&lt;="&amp;Dados!$A798,Projetos!$N$2:$N$11,"&gt;"&amp;Dados!$A798,Projetos!$D$2:$D$11,"USD")</f>
        <v>0</v>
      </c>
      <c r="K798" s="18">
        <f t="shared" ca="1" si="49"/>
        <v>4.0563035043976172E-9</v>
      </c>
    </row>
    <row r="799" spans="1:11" x14ac:dyDescent="0.2">
      <c r="A799" s="45">
        <f t="shared" ca="1" si="50"/>
        <v>5.2731945557169135E-9</v>
      </c>
      <c r="B799" s="18">
        <f>-SUMIFS(Projetos!$F$2:$F$11,Projetos!$D$2:$D$11,"BRL",Projetos!$N$2:$N$11,Dados!$A799)</f>
        <v>0</v>
      </c>
      <c r="C799" s="45">
        <f ca="1">(A799+B799)*((Indicadores_Economicos!D$2+1)^(1/12)-1)</f>
        <v>1.7263066796325189E-11</v>
      </c>
      <c r="D799" s="18">
        <f>SUMIFS(Projetos!$G$2:$G$11,Projetos!$K$2:$K$11,"&lt;="&amp;Dados!$A799,Projetos!$N$2:$N$11,"&gt;"&amp;Dados!A799,Projetos!$D$2:$D$11,"BRL")</f>
        <v>0</v>
      </c>
      <c r="E799" s="18">
        <f t="shared" ca="1" si="48"/>
        <v>5.2904576225132391E-9</v>
      </c>
      <c r="G799" s="45">
        <f t="shared" ca="1" si="51"/>
        <v>4.0563035043976172E-9</v>
      </c>
      <c r="H799" s="18">
        <f>-SUMIFS(Projetos!$F$2:$F$11,Projetos!$D$2:$D$11,"USD",Projetos!$N$2:$N$11,Dados!$A799)</f>
        <v>0</v>
      </c>
      <c r="I799" s="45">
        <f ca="1">(G799+H799)*((Indicadores_Economicos!D$2+1)^(1/12)-1)</f>
        <v>1.3279282151019349E-11</v>
      </c>
      <c r="J799" s="18">
        <f>SUMIFS(Projetos!$G$2:$G$11,Projetos!$K$2:$K$11,"&lt;="&amp;Dados!$A799,Projetos!$N$2:$N$11,"&gt;"&amp;Dados!$A799,Projetos!$D$2:$D$11,"USD")</f>
        <v>0</v>
      </c>
      <c r="K799" s="18">
        <f t="shared" ca="1" si="49"/>
        <v>4.0695827865486366E-9</v>
      </c>
    </row>
    <row r="800" spans="1:11" x14ac:dyDescent="0.2">
      <c r="A800" s="45">
        <f t="shared" ca="1" si="50"/>
        <v>5.2904576225132391E-9</v>
      </c>
      <c r="B800" s="18">
        <f>-SUMIFS(Projetos!$F$2:$F$11,Projetos!$D$2:$D$11,"BRL",Projetos!$N$2:$N$11,Dados!$A800)</f>
        <v>0</v>
      </c>
      <c r="C800" s="45">
        <f ca="1">(A800+B800)*((Indicadores_Economicos!D$2+1)^(1/12)-1)</f>
        <v>1.7319581584859078E-11</v>
      </c>
      <c r="D800" s="18">
        <f>SUMIFS(Projetos!$G$2:$G$11,Projetos!$K$2:$K$11,"&lt;="&amp;Dados!$A800,Projetos!$N$2:$N$11,"&gt;"&amp;Dados!A800,Projetos!$D$2:$D$11,"BRL")</f>
        <v>0</v>
      </c>
      <c r="E800" s="18">
        <f t="shared" ca="1" si="48"/>
        <v>5.307777204098098E-9</v>
      </c>
      <c r="G800" s="45">
        <f t="shared" ca="1" si="51"/>
        <v>4.0695827865486366E-9</v>
      </c>
      <c r="H800" s="18">
        <f>-SUMIFS(Projetos!$F$2:$F$11,Projetos!$D$2:$D$11,"USD",Projetos!$N$2:$N$11,Dados!$A800)</f>
        <v>0</v>
      </c>
      <c r="I800" s="45">
        <f ca="1">(G800+H800)*((Indicadores_Economicos!D$2+1)^(1/12)-1)</f>
        <v>1.3322755065276185E-11</v>
      </c>
      <c r="J800" s="18">
        <f>SUMIFS(Projetos!$G$2:$G$11,Projetos!$K$2:$K$11,"&lt;="&amp;Dados!$A800,Projetos!$N$2:$N$11,"&gt;"&amp;Dados!$A800,Projetos!$D$2:$D$11,"USD")</f>
        <v>0</v>
      </c>
      <c r="K800" s="18">
        <f t="shared" ca="1" si="49"/>
        <v>4.0829055416139128E-9</v>
      </c>
    </row>
    <row r="801" spans="1:11" x14ac:dyDescent="0.2">
      <c r="A801" s="45">
        <f t="shared" ca="1" si="50"/>
        <v>5.307777204098098E-9</v>
      </c>
      <c r="B801" s="18">
        <f>-SUMIFS(Projetos!$F$2:$F$11,Projetos!$D$2:$D$11,"BRL",Projetos!$N$2:$N$11,Dados!$A801)</f>
        <v>0</v>
      </c>
      <c r="C801" s="45">
        <f ca="1">(A801+B801)*((Indicadores_Economicos!D$2+1)^(1/12)-1)</f>
        <v>1.7376281388104472E-11</v>
      </c>
      <c r="D801" s="18">
        <f>SUMIFS(Projetos!$G$2:$G$11,Projetos!$K$2:$K$11,"&lt;="&amp;Dados!$A801,Projetos!$N$2:$N$11,"&gt;"&amp;Dados!A801,Projetos!$D$2:$D$11,"BRL")</f>
        <v>0</v>
      </c>
      <c r="E801" s="18">
        <f t="shared" ca="1" si="48"/>
        <v>5.3251534854862028E-9</v>
      </c>
      <c r="G801" s="45">
        <f t="shared" ca="1" si="51"/>
        <v>4.0829055416139128E-9</v>
      </c>
      <c r="H801" s="18">
        <f>-SUMIFS(Projetos!$F$2:$F$11,Projetos!$D$2:$D$11,"USD",Projetos!$N$2:$N$11,Dados!$A801)</f>
        <v>0</v>
      </c>
      <c r="I801" s="45">
        <f ca="1">(G801+H801)*((Indicadores_Economicos!D$2+1)^(1/12)-1)</f>
        <v>1.3366370298541873E-11</v>
      </c>
      <c r="J801" s="18">
        <f>SUMIFS(Projetos!$G$2:$G$11,Projetos!$K$2:$K$11,"&lt;="&amp;Dados!$A801,Projetos!$N$2:$N$11,"&gt;"&amp;Dados!$A801,Projetos!$D$2:$D$11,"USD")</f>
        <v>0</v>
      </c>
      <c r="K801" s="18">
        <f t="shared" ca="1" si="49"/>
        <v>4.0962719119124544E-9</v>
      </c>
    </row>
    <row r="802" spans="1:11" x14ac:dyDescent="0.2">
      <c r="A802" s="45">
        <f t="shared" ca="1" si="50"/>
        <v>5.3251534854862028E-9</v>
      </c>
      <c r="B802" s="18">
        <f>-SUMIFS(Projetos!$F$2:$F$11,Projetos!$D$2:$D$11,"BRL",Projetos!$N$2:$N$11,Dados!$A802)</f>
        <v>0</v>
      </c>
      <c r="C802" s="45">
        <f ca="1">(A802+B802)*((Indicadores_Economicos!D$2+1)^(1/12)-1)</f>
        <v>1.7433166811751391E-11</v>
      </c>
      <c r="D802" s="18">
        <f>SUMIFS(Projetos!$G$2:$G$11,Projetos!$K$2:$K$11,"&lt;="&amp;Dados!$A802,Projetos!$N$2:$N$11,"&gt;"&amp;Dados!A802,Projetos!$D$2:$D$11,"BRL")</f>
        <v>0</v>
      </c>
      <c r="E802" s="18">
        <f t="shared" ca="1" si="48"/>
        <v>5.3425866522979541E-9</v>
      </c>
      <c r="G802" s="45">
        <f t="shared" ca="1" si="51"/>
        <v>4.0962719119124544E-9</v>
      </c>
      <c r="H802" s="18">
        <f>-SUMIFS(Projetos!$F$2:$F$11,Projetos!$D$2:$D$11,"USD",Projetos!$N$2:$N$11,Dados!$A802)</f>
        <v>0</v>
      </c>
      <c r="I802" s="45">
        <f ca="1">(G802+H802)*((Indicadores_Economicos!D$2+1)^(1/12)-1)</f>
        <v>1.3410128316731809E-11</v>
      </c>
      <c r="J802" s="18">
        <f>SUMIFS(Projetos!$G$2:$G$11,Projetos!$K$2:$K$11,"&lt;="&amp;Dados!$A802,Projetos!$N$2:$N$11,"&gt;"&amp;Dados!$A802,Projetos!$D$2:$D$11,"USD")</f>
        <v>0</v>
      </c>
      <c r="K802" s="18">
        <f t="shared" ca="1" si="49"/>
        <v>4.1096820402291859E-9</v>
      </c>
    </row>
    <row r="803" spans="1:11" x14ac:dyDescent="0.2">
      <c r="A803" s="45">
        <f t="shared" ca="1" si="50"/>
        <v>5.3425866522979541E-9</v>
      </c>
      <c r="B803" s="18">
        <f>-SUMIFS(Projetos!$F$2:$F$11,Projetos!$D$2:$D$11,"BRL",Projetos!$N$2:$N$11,Dados!$A803)</f>
        <v>0</v>
      </c>
      <c r="C803" s="45">
        <f ca="1">(A803+B803)*((Indicadores_Economicos!D$2+1)^(1/12)-1)</f>
        <v>1.7490238463472733E-11</v>
      </c>
      <c r="D803" s="18">
        <f>SUMIFS(Projetos!$G$2:$G$11,Projetos!$K$2:$K$11,"&lt;="&amp;Dados!$A803,Projetos!$N$2:$N$11,"&gt;"&amp;Dados!A803,Projetos!$D$2:$D$11,"BRL")</f>
        <v>0</v>
      </c>
      <c r="E803" s="18">
        <f t="shared" ca="1" si="48"/>
        <v>5.3600768907614267E-9</v>
      </c>
      <c r="G803" s="45">
        <f t="shared" ca="1" si="51"/>
        <v>4.1096820402291859E-9</v>
      </c>
      <c r="H803" s="18">
        <f>-SUMIFS(Projetos!$F$2:$F$11,Projetos!$D$2:$D$11,"USD",Projetos!$N$2:$N$11,Dados!$A803)</f>
        <v>0</v>
      </c>
      <c r="I803" s="45">
        <f ca="1">(G803+H803)*((Indicadores_Economicos!D$2+1)^(1/12)-1)</f>
        <v>1.3454029587286685E-11</v>
      </c>
      <c r="J803" s="18">
        <f>SUMIFS(Projetos!$G$2:$G$11,Projetos!$K$2:$K$11,"&lt;="&amp;Dados!$A803,Projetos!$N$2:$N$11,"&gt;"&amp;Dados!$A803,Projetos!$D$2:$D$11,"USD")</f>
        <v>0</v>
      </c>
      <c r="K803" s="18">
        <f t="shared" ca="1" si="49"/>
        <v>4.1231360698164726E-9</v>
      </c>
    </row>
    <row r="804" spans="1:11" x14ac:dyDescent="0.2">
      <c r="A804" s="45">
        <f t="shared" ca="1" si="50"/>
        <v>5.3600768907614267E-9</v>
      </c>
      <c r="B804" s="18">
        <f>-SUMIFS(Projetos!$F$2:$F$11,Projetos!$D$2:$D$11,"BRL",Projetos!$N$2:$N$11,Dados!$A804)</f>
        <v>0</v>
      </c>
      <c r="C804" s="45">
        <f ca="1">(A804+B804)*((Indicadores_Economicos!D$2+1)^(1/12)-1)</f>
        <v>1.7547496952930747E-11</v>
      </c>
      <c r="D804" s="18">
        <f>SUMIFS(Projetos!$G$2:$G$11,Projetos!$K$2:$K$11,"&lt;="&amp;Dados!$A804,Projetos!$N$2:$N$11,"&gt;"&amp;Dados!A804,Projetos!$D$2:$D$11,"BRL")</f>
        <v>0</v>
      </c>
      <c r="E804" s="18">
        <f t="shared" ca="1" si="48"/>
        <v>5.3776243877143575E-9</v>
      </c>
      <c r="G804" s="45">
        <f t="shared" ca="1" si="51"/>
        <v>4.1231360698164726E-9</v>
      </c>
      <c r="H804" s="18">
        <f>-SUMIFS(Projetos!$F$2:$F$11,Projetos!$D$2:$D$11,"USD",Projetos!$N$2:$N$11,Dados!$A804)</f>
        <v>0</v>
      </c>
      <c r="I804" s="45">
        <f ca="1">(G804+H804)*((Indicadores_Economicos!D$2+1)^(1/12)-1)</f>
        <v>1.3498074579177467E-11</v>
      </c>
      <c r="J804" s="18">
        <f>SUMIFS(Projetos!$G$2:$G$11,Projetos!$K$2:$K$11,"&lt;="&amp;Dados!$A804,Projetos!$N$2:$N$11,"&gt;"&amp;Dados!$A804,Projetos!$D$2:$D$11,"USD")</f>
        <v>0</v>
      </c>
      <c r="K804" s="18">
        <f t="shared" ca="1" si="49"/>
        <v>4.1366341443956504E-9</v>
      </c>
    </row>
    <row r="805" spans="1:11" x14ac:dyDescent="0.2">
      <c r="A805" s="45">
        <f t="shared" ca="1" si="50"/>
        <v>5.3776243877143575E-9</v>
      </c>
      <c r="B805" s="18">
        <f>-SUMIFS(Projetos!$F$2:$F$11,Projetos!$D$2:$D$11,"BRL",Projetos!$N$2:$N$11,Dados!$A805)</f>
        <v>0</v>
      </c>
      <c r="C805" s="45">
        <f ca="1">(A805+B805)*((Indicadores_Economicos!D$2+1)^(1/12)-1)</f>
        <v>1.7604942891783573E-11</v>
      </c>
      <c r="D805" s="18">
        <f>SUMIFS(Projetos!$G$2:$G$11,Projetos!$K$2:$K$11,"&lt;="&amp;Dados!$A805,Projetos!$N$2:$N$11,"&gt;"&amp;Dados!A805,Projetos!$D$2:$D$11,"BRL")</f>
        <v>0</v>
      </c>
      <c r="E805" s="18">
        <f t="shared" ca="1" si="48"/>
        <v>5.3952293306061409E-9</v>
      </c>
      <c r="G805" s="45">
        <f t="shared" ca="1" si="51"/>
        <v>4.1366341443956504E-9</v>
      </c>
      <c r="H805" s="18">
        <f>-SUMIFS(Projetos!$F$2:$F$11,Projetos!$D$2:$D$11,"USD",Projetos!$N$2:$N$11,Dados!$A805)</f>
        <v>0</v>
      </c>
      <c r="I805" s="45">
        <f ca="1">(G805+H805)*((Indicadores_Economicos!D$2+1)^(1/12)-1)</f>
        <v>1.3542263762910409E-11</v>
      </c>
      <c r="J805" s="18">
        <f>SUMIFS(Projetos!$G$2:$G$11,Projetos!$K$2:$K$11,"&lt;="&amp;Dados!$A805,Projetos!$N$2:$N$11,"&gt;"&amp;Dados!$A805,Projetos!$D$2:$D$11,"USD")</f>
        <v>0</v>
      </c>
      <c r="K805" s="18">
        <f t="shared" ca="1" si="49"/>
        <v>4.1501764081585609E-9</v>
      </c>
    </row>
    <row r="806" spans="1:11" x14ac:dyDescent="0.2">
      <c r="A806" s="45">
        <f t="shared" ca="1" si="50"/>
        <v>5.3952293306061409E-9</v>
      </c>
      <c r="B806" s="18">
        <f>-SUMIFS(Projetos!$F$2:$F$11,Projetos!$D$2:$D$11,"BRL",Projetos!$N$2:$N$11,Dados!$A806)</f>
        <v>0</v>
      </c>
      <c r="C806" s="45">
        <f ca="1">(A806+B806)*((Indicadores_Economicos!D$2+1)^(1/12)-1)</f>
        <v>1.7662576893691744E-11</v>
      </c>
      <c r="D806" s="18">
        <f>SUMIFS(Projetos!$G$2:$G$11,Projetos!$K$2:$K$11,"&lt;="&amp;Dados!$A806,Projetos!$N$2:$N$11,"&gt;"&amp;Dados!A806,Projetos!$D$2:$D$11,"BRL")</f>
        <v>0</v>
      </c>
      <c r="E806" s="18">
        <f t="shared" ca="1" si="48"/>
        <v>5.4128919074998329E-9</v>
      </c>
      <c r="G806" s="45">
        <f t="shared" ca="1" si="51"/>
        <v>4.1501764081585609E-9</v>
      </c>
      <c r="H806" s="18">
        <f>-SUMIFS(Projetos!$F$2:$F$11,Projetos!$D$2:$D$11,"USD",Projetos!$N$2:$N$11,Dados!$A806)</f>
        <v>0</v>
      </c>
      <c r="I806" s="45">
        <f ca="1">(G806+H806)*((Indicadores_Economicos!D$2+1)^(1/12)-1)</f>
        <v>1.3586597610532081E-11</v>
      </c>
      <c r="J806" s="18">
        <f>SUMIFS(Projetos!$G$2:$G$11,Projetos!$K$2:$K$11,"&lt;="&amp;Dados!$A806,Projetos!$N$2:$N$11,"&gt;"&amp;Dados!$A806,Projetos!$D$2:$D$11,"USD")</f>
        <v>0</v>
      </c>
      <c r="K806" s="18">
        <f t="shared" ca="1" si="49"/>
        <v>4.1637630057690932E-9</v>
      </c>
    </row>
    <row r="807" spans="1:11" x14ac:dyDescent="0.2">
      <c r="A807" s="45">
        <f t="shared" ca="1" si="50"/>
        <v>5.4128919074998329E-9</v>
      </c>
      <c r="B807" s="18">
        <f>-SUMIFS(Projetos!$F$2:$F$11,Projetos!$D$2:$D$11,"BRL",Projetos!$N$2:$N$11,Dados!$A807)</f>
        <v>0</v>
      </c>
      <c r="C807" s="45">
        <f ca="1">(A807+B807)*((Indicadores_Economicos!D$2+1)^(1/12)-1)</f>
        <v>1.7720399574324769E-11</v>
      </c>
      <c r="D807" s="18">
        <f>SUMIFS(Projetos!$G$2:$G$11,Projetos!$K$2:$K$11,"&lt;="&amp;Dados!$A807,Projetos!$N$2:$N$11,"&gt;"&amp;Dados!A807,Projetos!$D$2:$D$11,"BRL")</f>
        <v>0</v>
      </c>
      <c r="E807" s="18">
        <f t="shared" ca="1" si="48"/>
        <v>5.4306123070741574E-9</v>
      </c>
      <c r="G807" s="45">
        <f t="shared" ca="1" si="51"/>
        <v>4.1637630057690932E-9</v>
      </c>
      <c r="H807" s="18">
        <f>-SUMIFS(Projetos!$F$2:$F$11,Projetos!$D$2:$D$11,"USD",Projetos!$N$2:$N$11,Dados!$A807)</f>
        <v>0</v>
      </c>
      <c r="I807" s="45">
        <f ca="1">(G807+H807)*((Indicadores_Economicos!D$2+1)^(1/12)-1)</f>
        <v>1.3631076595634409E-11</v>
      </c>
      <c r="J807" s="18">
        <f>SUMIFS(Projetos!$G$2:$G$11,Projetos!$K$2:$K$11,"&lt;="&amp;Dados!$A807,Projetos!$N$2:$N$11,"&gt;"&amp;Dados!$A807,Projetos!$D$2:$D$11,"USD")</f>
        <v>0</v>
      </c>
      <c r="K807" s="18">
        <f t="shared" ca="1" si="49"/>
        <v>4.1773940823647276E-9</v>
      </c>
    </row>
    <row r="808" spans="1:11" x14ac:dyDescent="0.2">
      <c r="A808" s="45">
        <f t="shared" ca="1" si="50"/>
        <v>5.4306123070741574E-9</v>
      </c>
      <c r="B808" s="18">
        <f>-SUMIFS(Projetos!$F$2:$F$11,Projetos!$D$2:$D$11,"BRL",Projetos!$N$2:$N$11,Dados!$A808)</f>
        <v>0</v>
      </c>
      <c r="C808" s="45">
        <f ca="1">(A808+B808)*((Indicadores_Economicos!D$2+1)^(1/12)-1)</f>
        <v>1.7778411551367696E-11</v>
      </c>
      <c r="D808" s="18">
        <f>SUMIFS(Projetos!$G$2:$G$11,Projetos!$K$2:$K$11,"&lt;="&amp;Dados!$A808,Projetos!$N$2:$N$11,"&gt;"&amp;Dados!A808,Projetos!$D$2:$D$11,"BRL")</f>
        <v>0</v>
      </c>
      <c r="E808" s="18">
        <f t="shared" ca="1" si="48"/>
        <v>5.4483907186255248E-9</v>
      </c>
      <c r="G808" s="45">
        <f t="shared" ca="1" si="51"/>
        <v>4.1773940823647276E-9</v>
      </c>
      <c r="H808" s="18">
        <f>-SUMIFS(Projetos!$F$2:$F$11,Projetos!$D$2:$D$11,"USD",Projetos!$N$2:$N$11,Dados!$A808)</f>
        <v>0</v>
      </c>
      <c r="I808" s="45">
        <f ca="1">(G808+H808)*((Indicadores_Economicos!D$2+1)^(1/12)-1)</f>
        <v>1.3675701193359738E-11</v>
      </c>
      <c r="J808" s="18">
        <f>SUMIFS(Projetos!$G$2:$G$11,Projetos!$K$2:$K$11,"&lt;="&amp;Dados!$A808,Projetos!$N$2:$N$11,"&gt;"&amp;Dados!$A808,Projetos!$D$2:$D$11,"USD")</f>
        <v>0</v>
      </c>
      <c r="K808" s="18">
        <f t="shared" ca="1" si="49"/>
        <v>4.1910697835580871E-9</v>
      </c>
    </row>
    <row r="809" spans="1:11" x14ac:dyDescent="0.2">
      <c r="A809" s="45">
        <f t="shared" ca="1" si="50"/>
        <v>5.4483907186255248E-9</v>
      </c>
      <c r="B809" s="18">
        <f>-SUMIFS(Projetos!$F$2:$F$11,Projetos!$D$2:$D$11,"BRL",Projetos!$N$2:$N$11,Dados!$A809)</f>
        <v>0</v>
      </c>
      <c r="C809" s="45">
        <f ca="1">(A809+B809)*((Indicadores_Economicos!D$2+1)^(1/12)-1)</f>
        <v>1.7836613444527714E-11</v>
      </c>
      <c r="D809" s="18">
        <f>SUMIFS(Projetos!$G$2:$G$11,Projetos!$K$2:$K$11,"&lt;="&amp;Dados!$A809,Projetos!$N$2:$N$11,"&gt;"&amp;Dados!A809,Projetos!$D$2:$D$11,"BRL")</f>
        <v>0</v>
      </c>
      <c r="E809" s="18">
        <f t="shared" ca="1" si="48"/>
        <v>5.4662273320700525E-9</v>
      </c>
      <c r="G809" s="45">
        <f t="shared" ca="1" si="51"/>
        <v>4.1910697835580871E-9</v>
      </c>
      <c r="H809" s="18">
        <f>-SUMIFS(Projetos!$F$2:$F$11,Projetos!$D$2:$D$11,"USD",Projetos!$N$2:$N$11,Dados!$A809)</f>
        <v>0</v>
      </c>
      <c r="I809" s="45">
        <f ca="1">(G809+H809)*((Indicadores_Economicos!D$2+1)^(1/12)-1)</f>
        <v>1.3720471880405904E-11</v>
      </c>
      <c r="J809" s="18">
        <f>SUMIFS(Projetos!$G$2:$G$11,Projetos!$K$2:$K$11,"&lt;="&amp;Dados!$A809,Projetos!$N$2:$N$11,"&gt;"&amp;Dados!$A809,Projetos!$D$2:$D$11,"USD")</f>
        <v>0</v>
      </c>
      <c r="K809" s="18">
        <f t="shared" ca="1" si="49"/>
        <v>4.2047902554384929E-9</v>
      </c>
    </row>
    <row r="810" spans="1:11" x14ac:dyDescent="0.2">
      <c r="A810" s="45">
        <f t="shared" ca="1" si="50"/>
        <v>5.4662273320700525E-9</v>
      </c>
      <c r="B810" s="18">
        <f>-SUMIFS(Projetos!$F$2:$F$11,Projetos!$D$2:$D$11,"BRL",Projetos!$N$2:$N$11,Dados!$A810)</f>
        <v>0</v>
      </c>
      <c r="C810" s="45">
        <f ca="1">(A810+B810)*((Indicadores_Economicos!D$2+1)^(1/12)-1)</f>
        <v>1.7895005875540767E-11</v>
      </c>
      <c r="D810" s="18">
        <f>SUMIFS(Projetos!$G$2:$G$11,Projetos!$K$2:$K$11,"&lt;="&amp;Dados!$A810,Projetos!$N$2:$N$11,"&gt;"&amp;Dados!A810,Projetos!$D$2:$D$11,"BRL")</f>
        <v>0</v>
      </c>
      <c r="E810" s="18">
        <f t="shared" ca="1" si="48"/>
        <v>5.4841223379455935E-9</v>
      </c>
      <c r="G810" s="45">
        <f t="shared" ca="1" si="51"/>
        <v>4.2047902554384929E-9</v>
      </c>
      <c r="H810" s="18">
        <f>-SUMIFS(Projetos!$F$2:$F$11,Projetos!$D$2:$D$11,"USD",Projetos!$N$2:$N$11,Dados!$A810)</f>
        <v>0</v>
      </c>
      <c r="I810" s="45">
        <f ca="1">(G810+H810)*((Indicadores_Economicos!D$2+1)^(1/12)-1)</f>
        <v>1.376538913503133E-11</v>
      </c>
      <c r="J810" s="18">
        <f>SUMIFS(Projetos!$G$2:$G$11,Projetos!$K$2:$K$11,"&lt;="&amp;Dados!$A810,Projetos!$N$2:$N$11,"&gt;"&amp;Dados!$A810,Projetos!$D$2:$D$11,"USD")</f>
        <v>0</v>
      </c>
      <c r="K810" s="18">
        <f t="shared" ca="1" si="49"/>
        <v>4.2185556445735242E-9</v>
      </c>
    </row>
    <row r="811" spans="1:11" x14ac:dyDescent="0.2">
      <c r="A811" s="45">
        <f t="shared" ca="1" si="50"/>
        <v>5.4841223379455935E-9</v>
      </c>
      <c r="B811" s="18">
        <f>-SUMIFS(Projetos!$F$2:$F$11,Projetos!$D$2:$D$11,"BRL",Projetos!$N$2:$N$11,Dados!$A811)</f>
        <v>0</v>
      </c>
      <c r="C811" s="45">
        <f ca="1">(A811+B811)*((Indicadores_Economicos!D$2+1)^(1/12)-1)</f>
        <v>1.7953589468178208E-11</v>
      </c>
      <c r="D811" s="18">
        <f>SUMIFS(Projetos!$G$2:$G$11,Projetos!$K$2:$K$11,"&lt;="&amp;Dados!$A811,Projetos!$N$2:$N$11,"&gt;"&amp;Dados!A811,Projetos!$D$2:$D$11,"BRL")</f>
        <v>0</v>
      </c>
      <c r="E811" s="18">
        <f t="shared" ca="1" si="48"/>
        <v>5.5020759274137718E-9</v>
      </c>
      <c r="G811" s="45">
        <f t="shared" ca="1" si="51"/>
        <v>4.2185556445735242E-9</v>
      </c>
      <c r="H811" s="18">
        <f>-SUMIFS(Projetos!$F$2:$F$11,Projetos!$D$2:$D$11,"USD",Projetos!$N$2:$N$11,Dados!$A811)</f>
        <v>0</v>
      </c>
      <c r="I811" s="45">
        <f ca="1">(G811+H811)*((Indicadores_Economicos!D$2+1)^(1/12)-1)</f>
        <v>1.381045343706013E-11</v>
      </c>
      <c r="J811" s="18">
        <f>SUMIFS(Projetos!$G$2:$G$11,Projetos!$K$2:$K$11,"&lt;="&amp;Dados!$A811,Projetos!$N$2:$N$11,"&gt;"&amp;Dados!$A811,Projetos!$D$2:$D$11,"USD")</f>
        <v>0</v>
      </c>
      <c r="K811" s="18">
        <f t="shared" ca="1" si="49"/>
        <v>4.2323660980105846E-9</v>
      </c>
    </row>
    <row r="812" spans="1:11" x14ac:dyDescent="0.2">
      <c r="A812" s="45">
        <f t="shared" ca="1" si="50"/>
        <v>5.5020759274137718E-9</v>
      </c>
      <c r="B812" s="18">
        <f>-SUMIFS(Projetos!$F$2:$F$11,Projetos!$D$2:$D$11,"BRL",Projetos!$N$2:$N$11,Dados!$A812)</f>
        <v>0</v>
      </c>
      <c r="C812" s="45">
        <f ca="1">(A812+B812)*((Indicadores_Economicos!D$2+1)^(1/12)-1)</f>
        <v>1.8012364848253451E-11</v>
      </c>
      <c r="D812" s="18">
        <f>SUMIFS(Projetos!$G$2:$G$11,Projetos!$K$2:$K$11,"&lt;="&amp;Dados!$A812,Projetos!$N$2:$N$11,"&gt;"&amp;Dados!A812,Projetos!$D$2:$D$11,"BRL")</f>
        <v>0</v>
      </c>
      <c r="E812" s="18">
        <f t="shared" ca="1" si="48"/>
        <v>5.5200882922620256E-9</v>
      </c>
      <c r="G812" s="45">
        <f t="shared" ca="1" si="51"/>
        <v>4.2323660980105846E-9</v>
      </c>
      <c r="H812" s="18">
        <f>-SUMIFS(Projetos!$F$2:$F$11,Projetos!$D$2:$D$11,"USD",Projetos!$N$2:$N$11,Dados!$A812)</f>
        <v>0</v>
      </c>
      <c r="I812" s="45">
        <f ca="1">(G812+H812)*((Indicadores_Economicos!D$2+1)^(1/12)-1)</f>
        <v>1.3855665267887241E-11</v>
      </c>
      <c r="J812" s="18">
        <f>SUMIFS(Projetos!$G$2:$G$11,Projetos!$K$2:$K$11,"&lt;="&amp;Dados!$A812,Projetos!$N$2:$N$11,"&gt;"&amp;Dados!$A812,Projetos!$D$2:$D$11,"USD")</f>
        <v>0</v>
      </c>
      <c r="K812" s="18">
        <f t="shared" ca="1" si="49"/>
        <v>4.2462217632784723E-9</v>
      </c>
    </row>
    <row r="813" spans="1:11" x14ac:dyDescent="0.2">
      <c r="A813" s="45">
        <f t="shared" ca="1" si="50"/>
        <v>5.5200882922620256E-9</v>
      </c>
      <c r="B813" s="18">
        <f>-SUMIFS(Projetos!$F$2:$F$11,Projetos!$D$2:$D$11,"BRL",Projetos!$N$2:$N$11,Dados!$A813)</f>
        <v>0</v>
      </c>
      <c r="C813" s="45">
        <f ca="1">(A813+B813)*((Indicadores_Economicos!D$2+1)^(1/12)-1)</f>
        <v>1.8071332643628661E-11</v>
      </c>
      <c r="D813" s="18">
        <f>SUMIFS(Projetos!$G$2:$G$11,Projetos!$K$2:$K$11,"&lt;="&amp;Dados!$A813,Projetos!$N$2:$N$11,"&gt;"&amp;Dados!A813,Projetos!$D$2:$D$11,"BRL")</f>
        <v>0</v>
      </c>
      <c r="E813" s="18">
        <f t="shared" ca="1" si="48"/>
        <v>5.538159624905654E-9</v>
      </c>
      <c r="G813" s="45">
        <f t="shared" ca="1" si="51"/>
        <v>4.2462217632784723E-9</v>
      </c>
      <c r="H813" s="18">
        <f>-SUMIFS(Projetos!$F$2:$F$11,Projetos!$D$2:$D$11,"USD",Projetos!$N$2:$N$11,Dados!$A813)</f>
        <v>0</v>
      </c>
      <c r="I813" s="45">
        <f ca="1">(G813+H813)*((Indicadores_Economicos!D$2+1)^(1/12)-1)</f>
        <v>1.3901025110483557E-11</v>
      </c>
      <c r="J813" s="18">
        <f>SUMIFS(Projetos!$G$2:$G$11,Projetos!$K$2:$K$11,"&lt;="&amp;Dados!$A813,Projetos!$N$2:$N$11,"&gt;"&amp;Dados!$A813,Projetos!$D$2:$D$11,"USD")</f>
        <v>0</v>
      </c>
      <c r="K813" s="18">
        <f t="shared" ca="1" si="49"/>
        <v>4.2601227883889559E-9</v>
      </c>
    </row>
    <row r="814" spans="1:11" x14ac:dyDescent="0.2">
      <c r="A814" s="45">
        <f t="shared" ca="1" si="50"/>
        <v>5.538159624905654E-9</v>
      </c>
      <c r="B814" s="18">
        <f>-SUMIFS(Projetos!$F$2:$F$11,Projetos!$D$2:$D$11,"BRL",Projetos!$N$2:$N$11,Dados!$A814)</f>
        <v>0</v>
      </c>
      <c r="C814" s="45">
        <f ca="1">(A814+B814)*((Indicadores_Economicos!D$2+1)^(1/12)-1)</f>
        <v>1.8130493484221459E-11</v>
      </c>
      <c r="D814" s="18">
        <f>SUMIFS(Projetos!$G$2:$G$11,Projetos!$K$2:$K$11,"&lt;="&amp;Dados!$A814,Projetos!$N$2:$N$11,"&gt;"&amp;Dados!A814,Projetos!$D$2:$D$11,"BRL")</f>
        <v>0</v>
      </c>
      <c r="E814" s="18">
        <f t="shared" ca="1" si="48"/>
        <v>5.5562901183898753E-9</v>
      </c>
      <c r="G814" s="45">
        <f t="shared" ca="1" si="51"/>
        <v>4.2601227883889559E-9</v>
      </c>
      <c r="H814" s="18">
        <f>-SUMIFS(Projetos!$F$2:$F$11,Projetos!$D$2:$D$11,"USD",Projetos!$N$2:$N$11,Dados!$A814)</f>
        <v>0</v>
      </c>
      <c r="I814" s="45">
        <f ca="1">(G814+H814)*((Indicadores_Economicos!D$2+1)^(1/12)-1)</f>
        <v>1.3946533449401092E-11</v>
      </c>
      <c r="J814" s="18">
        <f>SUMIFS(Projetos!$G$2:$G$11,Projetos!$K$2:$K$11,"&lt;="&amp;Dados!$A814,Projetos!$N$2:$N$11,"&gt;"&amp;Dados!$A814,Projetos!$D$2:$D$11,"USD")</f>
        <v>0</v>
      </c>
      <c r="K814" s="18">
        <f t="shared" ca="1" si="49"/>
        <v>4.274069321838357E-9</v>
      </c>
    </row>
    <row r="815" spans="1:11" x14ac:dyDescent="0.2">
      <c r="A815" s="45">
        <f t="shared" ca="1" si="50"/>
        <v>5.5562901183898753E-9</v>
      </c>
      <c r="B815" s="18">
        <f>-SUMIFS(Projetos!$F$2:$F$11,Projetos!$D$2:$D$11,"BRL",Projetos!$N$2:$N$11,Dados!$A815)</f>
        <v>0</v>
      </c>
      <c r="C815" s="45">
        <f ca="1">(A815+B815)*((Indicadores_Economicos!D$2+1)^(1/12)-1)</f>
        <v>1.8189848002011652E-11</v>
      </c>
      <c r="D815" s="18">
        <f>SUMIFS(Projetos!$G$2:$G$11,Projetos!$K$2:$K$11,"&lt;="&amp;Dados!$A815,Projetos!$N$2:$N$11,"&gt;"&amp;Dados!A815,Projetos!$D$2:$D$11,"BRL")</f>
        <v>0</v>
      </c>
      <c r="E815" s="18">
        <f t="shared" ca="1" si="48"/>
        <v>5.5744799663918866E-9</v>
      </c>
      <c r="G815" s="45">
        <f t="shared" ca="1" si="51"/>
        <v>4.274069321838357E-9</v>
      </c>
      <c r="H815" s="18">
        <f>-SUMIFS(Projetos!$F$2:$F$11,Projetos!$D$2:$D$11,"USD",Projetos!$N$2:$N$11,Dados!$A815)</f>
        <v>0</v>
      </c>
      <c r="I815" s="45">
        <f ca="1">(G815+H815)*((Indicadores_Economicos!D$2+1)^(1/12)-1)</f>
        <v>1.3992190770778164E-11</v>
      </c>
      <c r="J815" s="18">
        <f>SUMIFS(Projetos!$G$2:$G$11,Projetos!$K$2:$K$11,"&lt;="&amp;Dados!$A815,Projetos!$N$2:$N$11,"&gt;"&amp;Dados!$A815,Projetos!$D$2:$D$11,"USD")</f>
        <v>0</v>
      </c>
      <c r="K815" s="18">
        <f t="shared" ca="1" si="49"/>
        <v>4.2880615126091349E-9</v>
      </c>
    </row>
    <row r="816" spans="1:11" x14ac:dyDescent="0.2">
      <c r="A816" s="45">
        <f t="shared" ca="1" si="50"/>
        <v>5.5744799663918866E-9</v>
      </c>
      <c r="B816" s="18">
        <f>-SUMIFS(Projetos!$F$2:$F$11,Projetos!$D$2:$D$11,"BRL",Projetos!$N$2:$N$11,Dados!$A816)</f>
        <v>0</v>
      </c>
      <c r="C816" s="45">
        <f ca="1">(A816+B816)*((Indicadores_Economicos!D$2+1)^(1/12)-1)</f>
        <v>1.8249396831047988E-11</v>
      </c>
      <c r="D816" s="18">
        <f>SUMIFS(Projetos!$G$2:$G$11,Projetos!$K$2:$K$11,"&lt;="&amp;Dados!$A816,Projetos!$N$2:$N$11,"&gt;"&amp;Dados!A816,Projetos!$D$2:$D$11,"BRL")</f>
        <v>0</v>
      </c>
      <c r="E816" s="18">
        <f t="shared" ca="1" si="48"/>
        <v>5.5927293632229343E-9</v>
      </c>
      <c r="G816" s="45">
        <f t="shared" ca="1" si="51"/>
        <v>4.2880615126091349E-9</v>
      </c>
      <c r="H816" s="18">
        <f>-SUMIFS(Projetos!$F$2:$F$11,Projetos!$D$2:$D$11,"USD",Projetos!$N$2:$N$11,Dados!$A816)</f>
        <v>0</v>
      </c>
      <c r="I816" s="45">
        <f ca="1">(G816+H816)*((Indicadores_Economicos!D$2+1)^(1/12)-1)</f>
        <v>1.4037997562344577E-11</v>
      </c>
      <c r="J816" s="18">
        <f>SUMIFS(Projetos!$G$2:$G$11,Projetos!$K$2:$K$11,"&lt;="&amp;Dados!$A816,Projetos!$N$2:$N$11,"&gt;"&amp;Dados!$A816,Projetos!$D$2:$D$11,"USD")</f>
        <v>0</v>
      </c>
      <c r="K816" s="18">
        <f t="shared" ca="1" si="49"/>
        <v>4.3020995101714799E-9</v>
      </c>
    </row>
    <row r="817" spans="1:11" x14ac:dyDescent="0.2">
      <c r="A817" s="45">
        <f t="shared" ca="1" si="50"/>
        <v>5.5927293632229343E-9</v>
      </c>
      <c r="B817" s="18">
        <f>-SUMIFS(Projetos!$F$2:$F$11,Projetos!$D$2:$D$11,"BRL",Projetos!$N$2:$N$11,Dados!$A817)</f>
        <v>0</v>
      </c>
      <c r="C817" s="45">
        <f ca="1">(A817+B817)*((Indicadores_Economicos!D$2+1)^(1/12)-1)</f>
        <v>1.8309140607454924E-11</v>
      </c>
      <c r="D817" s="18">
        <f>SUMIFS(Projetos!$G$2:$G$11,Projetos!$K$2:$K$11,"&lt;="&amp;Dados!$A817,Projetos!$N$2:$N$11,"&gt;"&amp;Dados!A817,Projetos!$D$2:$D$11,"BRL")</f>
        <v>0</v>
      </c>
      <c r="E817" s="18">
        <f t="shared" ca="1" si="48"/>
        <v>5.6110385038303893E-9</v>
      </c>
      <c r="G817" s="45">
        <f t="shared" ca="1" si="51"/>
        <v>4.3020995101714799E-9</v>
      </c>
      <c r="H817" s="18">
        <f>-SUMIFS(Projetos!$F$2:$F$11,Projetos!$D$2:$D$11,"USD",Projetos!$N$2:$N$11,Dados!$A817)</f>
        <v>0</v>
      </c>
      <c r="I817" s="45">
        <f ca="1">(G817+H817)*((Indicadores_Economicos!D$2+1)^(1/12)-1)</f>
        <v>1.4083954313426837E-11</v>
      </c>
      <c r="J817" s="18">
        <f>SUMIFS(Projetos!$G$2:$G$11,Projetos!$K$2:$K$11,"&lt;="&amp;Dados!$A817,Projetos!$N$2:$N$11,"&gt;"&amp;Dados!$A817,Projetos!$D$2:$D$11,"USD")</f>
        <v>0</v>
      </c>
      <c r="K817" s="18">
        <f t="shared" ca="1" si="49"/>
        <v>4.3161834644849071E-9</v>
      </c>
    </row>
    <row r="818" spans="1:11" x14ac:dyDescent="0.2">
      <c r="A818" s="45">
        <f t="shared" ca="1" si="50"/>
        <v>5.6110385038303893E-9</v>
      </c>
      <c r="B818" s="18">
        <f>-SUMIFS(Projetos!$F$2:$F$11,Projetos!$D$2:$D$11,"BRL",Projetos!$N$2:$N$11,Dados!$A818)</f>
        <v>0</v>
      </c>
      <c r="C818" s="45">
        <f ca="1">(A818+B818)*((Indicadores_Economicos!D$2+1)^(1/12)-1)</f>
        <v>1.836907996943942E-11</v>
      </c>
      <c r="D818" s="18">
        <f>SUMIFS(Projetos!$G$2:$G$11,Projetos!$K$2:$K$11,"&lt;="&amp;Dados!$A818,Projetos!$N$2:$N$11,"&gt;"&amp;Dados!A818,Projetos!$D$2:$D$11,"BRL")</f>
        <v>0</v>
      </c>
      <c r="E818" s="18">
        <f t="shared" ca="1" si="48"/>
        <v>5.6294075837998286E-9</v>
      </c>
      <c r="G818" s="45">
        <f t="shared" ca="1" si="51"/>
        <v>4.3161834644849071E-9</v>
      </c>
      <c r="H818" s="18">
        <f>-SUMIFS(Projetos!$F$2:$F$11,Projetos!$D$2:$D$11,"USD",Projetos!$N$2:$N$11,Dados!$A818)</f>
        <v>0</v>
      </c>
      <c r="I818" s="45">
        <f ca="1">(G818+H818)*((Indicadores_Economicos!D$2+1)^(1/12)-1)</f>
        <v>1.4130061514953376E-11</v>
      </c>
      <c r="J818" s="18">
        <f>SUMIFS(Projetos!$G$2:$G$11,Projetos!$K$2:$K$11,"&lt;="&amp;Dados!$A818,Projetos!$N$2:$N$11,"&gt;"&amp;Dados!$A818,Projetos!$D$2:$D$11,"USD")</f>
        <v>0</v>
      </c>
      <c r="K818" s="18">
        <f t="shared" ca="1" si="49"/>
        <v>4.3303135259998604E-9</v>
      </c>
    </row>
    <row r="819" spans="1:11" x14ac:dyDescent="0.2">
      <c r="A819" s="45">
        <f t="shared" ca="1" si="50"/>
        <v>5.6294075837998286E-9</v>
      </c>
      <c r="B819" s="18">
        <f>-SUMIFS(Projetos!$F$2:$F$11,Projetos!$D$2:$D$11,"BRL",Projetos!$N$2:$N$11,Dados!$A819)</f>
        <v>0</v>
      </c>
      <c r="C819" s="45">
        <f ca="1">(A819+B819)*((Indicadores_Economicos!D$2+1)^(1/12)-1)</f>
        <v>1.8429215557297768E-11</v>
      </c>
      <c r="D819" s="18">
        <f>SUMIFS(Projetos!$G$2:$G$11,Projetos!$K$2:$K$11,"&lt;="&amp;Dados!$A819,Projetos!$N$2:$N$11,"&gt;"&amp;Dados!A819,Projetos!$D$2:$D$11,"BRL")</f>
        <v>0</v>
      </c>
      <c r="E819" s="18">
        <f t="shared" ca="1" si="48"/>
        <v>5.6478367993571264E-9</v>
      </c>
      <c r="G819" s="45">
        <f t="shared" ca="1" si="51"/>
        <v>4.3303135259998604E-9</v>
      </c>
      <c r="H819" s="18">
        <f>-SUMIFS(Projetos!$F$2:$F$11,Projetos!$D$2:$D$11,"USD",Projetos!$N$2:$N$11,Dados!$A819)</f>
        <v>0</v>
      </c>
      <c r="I819" s="45">
        <f ca="1">(G819+H819)*((Indicadores_Economicos!D$2+1)^(1/12)-1)</f>
        <v>1.4176319659459796E-11</v>
      </c>
      <c r="J819" s="18">
        <f>SUMIFS(Projetos!$G$2:$G$11,Projetos!$K$2:$K$11,"&lt;="&amp;Dados!$A819,Projetos!$N$2:$N$11,"&gt;"&amp;Dados!$A819,Projetos!$D$2:$D$11,"USD")</f>
        <v>0</v>
      </c>
      <c r="K819" s="18">
        <f t="shared" ca="1" si="49"/>
        <v>4.3444898456593198E-9</v>
      </c>
    </row>
    <row r="820" spans="1:11" x14ac:dyDescent="0.2">
      <c r="A820" s="45">
        <f t="shared" ca="1" si="50"/>
        <v>5.6478367993571264E-9</v>
      </c>
      <c r="B820" s="18">
        <f>-SUMIFS(Projetos!$F$2:$F$11,Projetos!$D$2:$D$11,"BRL",Projetos!$N$2:$N$11,Dados!$A820)</f>
        <v>0</v>
      </c>
      <c r="C820" s="45">
        <f ca="1">(A820+B820)*((Indicadores_Economicos!D$2+1)^(1/12)-1)</f>
        <v>1.8489548013422414E-11</v>
      </c>
      <c r="D820" s="18">
        <f>SUMIFS(Projetos!$G$2:$G$11,Projetos!$K$2:$K$11,"&lt;="&amp;Dados!$A820,Projetos!$N$2:$N$11,"&gt;"&amp;Dados!A820,Projetos!$D$2:$D$11,"BRL")</f>
        <v>0</v>
      </c>
      <c r="E820" s="18">
        <f t="shared" ca="1" si="48"/>
        <v>5.6663263473705491E-9</v>
      </c>
      <c r="G820" s="45">
        <f t="shared" ca="1" si="51"/>
        <v>4.3444898456593198E-9</v>
      </c>
      <c r="H820" s="18">
        <f>-SUMIFS(Projetos!$F$2:$F$11,Projetos!$D$2:$D$11,"USD",Projetos!$N$2:$N$11,Dados!$A820)</f>
        <v>0</v>
      </c>
      <c r="I820" s="45">
        <f ca="1">(G820+H820)*((Indicadores_Economicos!D$2+1)^(1/12)-1)</f>
        <v>1.4222729241094138E-11</v>
      </c>
      <c r="J820" s="18">
        <f>SUMIFS(Projetos!$G$2:$G$11,Projetos!$K$2:$K$11,"&lt;="&amp;Dados!$A820,Projetos!$N$2:$N$11,"&gt;"&amp;Dados!$A820,Projetos!$D$2:$D$11,"USD")</f>
        <v>0</v>
      </c>
      <c r="K820" s="18">
        <f t="shared" ca="1" si="49"/>
        <v>4.3587125749004142E-9</v>
      </c>
    </row>
    <row r="821" spans="1:11" x14ac:dyDescent="0.2">
      <c r="A821" s="45">
        <f t="shared" ca="1" si="50"/>
        <v>5.6663263473705491E-9</v>
      </c>
      <c r="B821" s="18">
        <f>-SUMIFS(Projetos!$F$2:$F$11,Projetos!$D$2:$D$11,"BRL",Projetos!$N$2:$N$11,Dados!$A821)</f>
        <v>0</v>
      </c>
      <c r="C821" s="45">
        <f ca="1">(A821+B821)*((Indicadores_Economicos!D$2+1)^(1/12)-1)</f>
        <v>1.8550077982308833E-11</v>
      </c>
      <c r="D821" s="18">
        <f>SUMIFS(Projetos!$G$2:$G$11,Projetos!$K$2:$K$11,"&lt;="&amp;Dados!$A821,Projetos!$N$2:$N$11,"&gt;"&amp;Dados!A821,Projetos!$D$2:$D$11,"BRL")</f>
        <v>0</v>
      </c>
      <c r="E821" s="18">
        <f t="shared" ca="1" si="48"/>
        <v>5.6848764253528579E-9</v>
      </c>
      <c r="G821" s="45">
        <f t="shared" ca="1" si="51"/>
        <v>4.3587125749004142E-9</v>
      </c>
      <c r="H821" s="18">
        <f>-SUMIFS(Projetos!$F$2:$F$11,Projetos!$D$2:$D$11,"USD",Projetos!$N$2:$N$11,Dados!$A821)</f>
        <v>0</v>
      </c>
      <c r="I821" s="45">
        <f ca="1">(G821+H821)*((Indicadores_Economicos!D$2+1)^(1/12)-1)</f>
        <v>1.4269290755622152E-11</v>
      </c>
      <c r="J821" s="18">
        <f>SUMIFS(Projetos!$G$2:$G$11,Projetos!$K$2:$K$11,"&lt;="&amp;Dados!$A821,Projetos!$N$2:$N$11,"&gt;"&amp;Dados!$A821,Projetos!$D$2:$D$11,"USD")</f>
        <v>0</v>
      </c>
      <c r="K821" s="18">
        <f t="shared" ca="1" si="49"/>
        <v>4.3729818656560364E-9</v>
      </c>
    </row>
    <row r="822" spans="1:11" x14ac:dyDescent="0.2">
      <c r="A822" s="45">
        <f t="shared" ca="1" si="50"/>
        <v>5.6848764253528579E-9</v>
      </c>
      <c r="B822" s="18">
        <f>-SUMIFS(Projetos!$F$2:$F$11,Projetos!$D$2:$D$11,"BRL",Projetos!$N$2:$N$11,Dados!$A822)</f>
        <v>0</v>
      </c>
      <c r="C822" s="45">
        <f ca="1">(A822+B822)*((Indicadores_Economicos!D$2+1)^(1/12)-1)</f>
        <v>1.8610806110562409E-11</v>
      </c>
      <c r="D822" s="18">
        <f>SUMIFS(Projetos!$G$2:$G$11,Projetos!$K$2:$K$11,"&lt;="&amp;Dados!$A822,Projetos!$N$2:$N$11,"&gt;"&amp;Dados!A822,Projetos!$D$2:$D$11,"BRL")</f>
        <v>0</v>
      </c>
      <c r="E822" s="18">
        <f t="shared" ca="1" si="48"/>
        <v>5.7034872314634206E-9</v>
      </c>
      <c r="G822" s="45">
        <f t="shared" ca="1" si="51"/>
        <v>4.3729818656560364E-9</v>
      </c>
      <c r="H822" s="18">
        <f>-SUMIFS(Projetos!$F$2:$F$11,Projetos!$D$2:$D$11,"USD",Projetos!$N$2:$N$11,Dados!$A822)</f>
        <v>0</v>
      </c>
      <c r="I822" s="45">
        <f ca="1">(G822+H822)*((Indicadores_Economicos!D$2+1)^(1/12)-1)</f>
        <v>1.4316004700432596E-11</v>
      </c>
      <c r="J822" s="18">
        <f>SUMIFS(Projetos!$G$2:$G$11,Projetos!$K$2:$K$11,"&lt;="&amp;Dados!$A822,Projetos!$N$2:$N$11,"&gt;"&amp;Dados!$A822,Projetos!$D$2:$D$11,"USD")</f>
        <v>0</v>
      </c>
      <c r="K822" s="18">
        <f t="shared" ca="1" si="49"/>
        <v>4.3872978703564687E-9</v>
      </c>
    </row>
    <row r="823" spans="1:11" x14ac:dyDescent="0.2">
      <c r="A823" s="45">
        <f t="shared" ca="1" si="50"/>
        <v>5.7034872314634206E-9</v>
      </c>
      <c r="B823" s="18">
        <f>-SUMIFS(Projetos!$F$2:$F$11,Projetos!$D$2:$D$11,"BRL",Projetos!$N$2:$N$11,Dados!$A823)</f>
        <v>0</v>
      </c>
      <c r="C823" s="45">
        <f ca="1">(A823+B823)*((Indicadores_Economicos!D$2+1)^(1/12)-1)</f>
        <v>1.8671733046905348E-11</v>
      </c>
      <c r="D823" s="18">
        <f>SUMIFS(Projetos!$G$2:$G$11,Projetos!$K$2:$K$11,"&lt;="&amp;Dados!$A823,Projetos!$N$2:$N$11,"&gt;"&amp;Dados!A823,Projetos!$D$2:$D$11,"BRL")</f>
        <v>0</v>
      </c>
      <c r="E823" s="18">
        <f t="shared" ca="1" si="48"/>
        <v>5.7221589645103263E-9</v>
      </c>
      <c r="G823" s="45">
        <f t="shared" ca="1" si="51"/>
        <v>4.3872978703564687E-9</v>
      </c>
      <c r="H823" s="18">
        <f>-SUMIFS(Projetos!$F$2:$F$11,Projetos!$D$2:$D$11,"USD",Projetos!$N$2:$N$11,Dados!$A823)</f>
        <v>0</v>
      </c>
      <c r="I823" s="45">
        <f ca="1">(G823+H823)*((Indicadores_Economicos!D$2+1)^(1/12)-1)</f>
        <v>1.4362871574542547E-11</v>
      </c>
      <c r="J823" s="18">
        <f>SUMIFS(Projetos!$G$2:$G$11,Projetos!$K$2:$K$11,"&lt;="&amp;Dados!$A823,Projetos!$N$2:$N$11,"&gt;"&amp;Dados!$A823,Projetos!$D$2:$D$11,"USD")</f>
        <v>0</v>
      </c>
      <c r="K823" s="18">
        <f t="shared" ca="1" si="49"/>
        <v>4.4016607419310116E-9</v>
      </c>
    </row>
    <row r="824" spans="1:11" x14ac:dyDescent="0.2">
      <c r="A824" s="45">
        <f t="shared" ca="1" si="50"/>
        <v>5.7221589645103263E-9</v>
      </c>
      <c r="B824" s="18">
        <f>-SUMIFS(Projetos!$F$2:$F$11,Projetos!$D$2:$D$11,"BRL",Projetos!$N$2:$N$11,Dados!$A824)</f>
        <v>0</v>
      </c>
      <c r="C824" s="45">
        <f ca="1">(A824+B824)*((Indicadores_Economicos!D$2+1)^(1/12)-1)</f>
        <v>1.8732859442183603E-11</v>
      </c>
      <c r="D824" s="18">
        <f>SUMIFS(Projetos!$G$2:$G$11,Projetos!$K$2:$K$11,"&lt;="&amp;Dados!$A824,Projetos!$N$2:$N$11,"&gt;"&amp;Dados!A824,Projetos!$D$2:$D$11,"BRL")</f>
        <v>0</v>
      </c>
      <c r="E824" s="18">
        <f t="shared" ca="1" si="48"/>
        <v>5.7408918239525095E-9</v>
      </c>
      <c r="G824" s="45">
        <f t="shared" ca="1" si="51"/>
        <v>4.4016607419310116E-9</v>
      </c>
      <c r="H824" s="18">
        <f>-SUMIFS(Projetos!$F$2:$F$11,Projetos!$D$2:$D$11,"USD",Projetos!$N$2:$N$11,Dados!$A824)</f>
        <v>0</v>
      </c>
      <c r="I824" s="45">
        <f ca="1">(G824+H824)*((Indicadores_Economicos!D$2+1)^(1/12)-1)</f>
        <v>1.4409891878602743E-11</v>
      </c>
      <c r="J824" s="18">
        <f>SUMIFS(Projetos!$G$2:$G$11,Projetos!$K$2:$K$11,"&lt;="&amp;Dados!$A824,Projetos!$N$2:$N$11,"&gt;"&amp;Dados!$A824,Projetos!$D$2:$D$11,"USD")</f>
        <v>0</v>
      </c>
      <c r="K824" s="18">
        <f t="shared" ca="1" si="49"/>
        <v>4.4160706338096144E-9</v>
      </c>
    </row>
    <row r="825" spans="1:11" x14ac:dyDescent="0.2">
      <c r="A825" s="45">
        <f t="shared" ca="1" si="50"/>
        <v>5.7408918239525095E-9</v>
      </c>
      <c r="B825" s="18">
        <f>-SUMIFS(Projetos!$F$2:$F$11,Projetos!$D$2:$D$11,"BRL",Projetos!$N$2:$N$11,Dados!$A825)</f>
        <v>0</v>
      </c>
      <c r="C825" s="45">
        <f ca="1">(A825+B825)*((Indicadores_Economicos!D$2+1)^(1/12)-1)</f>
        <v>1.8794185949373816E-11</v>
      </c>
      <c r="D825" s="18">
        <f>SUMIFS(Projetos!$G$2:$G$11,Projetos!$K$2:$K$11,"&lt;="&amp;Dados!$A825,Projetos!$N$2:$N$11,"&gt;"&amp;Dados!A825,Projetos!$D$2:$D$11,"BRL")</f>
        <v>0</v>
      </c>
      <c r="E825" s="18">
        <f t="shared" ca="1" si="48"/>
        <v>5.7596860099018829E-9</v>
      </c>
      <c r="G825" s="45">
        <f t="shared" ca="1" si="51"/>
        <v>4.4160706338096144E-9</v>
      </c>
      <c r="H825" s="18">
        <f>-SUMIFS(Projetos!$F$2:$F$11,Projetos!$D$2:$D$11,"USD",Projetos!$N$2:$N$11,Dados!$A825)</f>
        <v>0</v>
      </c>
      <c r="I825" s="45">
        <f ca="1">(G825+H825)*((Indicadores_Economicos!D$2+1)^(1/12)-1)</f>
        <v>1.445706611490291E-11</v>
      </c>
      <c r="J825" s="18">
        <f>SUMIFS(Projetos!$G$2:$G$11,Projetos!$K$2:$K$11,"&lt;="&amp;Dados!$A825,Projetos!$N$2:$N$11,"&gt;"&amp;Dados!$A825,Projetos!$D$2:$D$11,"USD")</f>
        <v>0</v>
      </c>
      <c r="K825" s="18">
        <f t="shared" ca="1" si="49"/>
        <v>4.4305276999245174E-9</v>
      </c>
    </row>
    <row r="826" spans="1:11" x14ac:dyDescent="0.2">
      <c r="A826" s="45">
        <f t="shared" ca="1" si="50"/>
        <v>5.7596860099018829E-9</v>
      </c>
      <c r="B826" s="18">
        <f>-SUMIFS(Projetos!$F$2:$F$11,Projetos!$D$2:$D$11,"BRL",Projetos!$N$2:$N$11,Dados!$A826)</f>
        <v>0</v>
      </c>
      <c r="C826" s="45">
        <f ca="1">(A826+B826)*((Indicadores_Economicos!D$2+1)^(1/12)-1)</f>
        <v>1.8855713223590326E-11</v>
      </c>
      <c r="D826" s="18">
        <f>SUMIFS(Projetos!$G$2:$G$11,Projetos!$K$2:$K$11,"&lt;="&amp;Dados!$A826,Projetos!$N$2:$N$11,"&gt;"&amp;Dados!A826,Projetos!$D$2:$D$11,"BRL")</f>
        <v>0</v>
      </c>
      <c r="E826" s="18">
        <f t="shared" ca="1" si="48"/>
        <v>5.778541723125473E-9</v>
      </c>
      <c r="G826" s="45">
        <f t="shared" ca="1" si="51"/>
        <v>4.4305276999245174E-9</v>
      </c>
      <c r="H826" s="18">
        <f>-SUMIFS(Projetos!$F$2:$F$11,Projetos!$D$2:$D$11,"USD",Projetos!$N$2:$N$11,Dados!$A826)</f>
        <v>0</v>
      </c>
      <c r="I826" s="45">
        <f ca="1">(G826+H826)*((Indicadores_Economicos!D$2+1)^(1/12)-1)</f>
        <v>1.4504394787377147E-11</v>
      </c>
      <c r="J826" s="18">
        <f>SUMIFS(Projetos!$G$2:$G$11,Projetos!$K$2:$K$11,"&lt;="&amp;Dados!$A826,Projetos!$N$2:$N$11,"&gt;"&amp;Dados!$A826,Projetos!$D$2:$D$11,"USD")</f>
        <v>0</v>
      </c>
      <c r="K826" s="18">
        <f t="shared" ca="1" si="49"/>
        <v>4.4450320947118945E-9</v>
      </c>
    </row>
    <row r="827" spans="1:11" x14ac:dyDescent="0.2">
      <c r="A827" s="45">
        <f t="shared" ca="1" si="50"/>
        <v>5.778541723125473E-9</v>
      </c>
      <c r="B827" s="18">
        <f>-SUMIFS(Projetos!$F$2:$F$11,Projetos!$D$2:$D$11,"BRL",Projetos!$N$2:$N$11,Dados!$A827)</f>
        <v>0</v>
      </c>
      <c r="C827" s="45">
        <f ca="1">(A827+B827)*((Indicadores_Economicos!D$2+1)^(1/12)-1)</f>
        <v>1.8917441922092127E-11</v>
      </c>
      <c r="D827" s="18">
        <f>SUMIFS(Projetos!$G$2:$G$11,Projetos!$K$2:$K$11,"&lt;="&amp;Dados!$A827,Projetos!$N$2:$N$11,"&gt;"&amp;Dados!A827,Projetos!$D$2:$D$11,"BRL")</f>
        <v>0</v>
      </c>
      <c r="E827" s="18">
        <f t="shared" ca="1" si="48"/>
        <v>5.7974591650475648E-9</v>
      </c>
      <c r="G827" s="45">
        <f t="shared" ca="1" si="51"/>
        <v>4.4450320947118945E-9</v>
      </c>
      <c r="H827" s="18">
        <f>-SUMIFS(Projetos!$F$2:$F$11,Projetos!$D$2:$D$11,"USD",Projetos!$N$2:$N$11,Dados!$A827)</f>
        <v>0</v>
      </c>
      <c r="I827" s="45">
        <f ca="1">(G827+H827)*((Indicadores_Economicos!D$2+1)^(1/12)-1)</f>
        <v>1.4551878401609302E-11</v>
      </c>
      <c r="J827" s="18">
        <f>SUMIFS(Projetos!$G$2:$G$11,Projetos!$K$2:$K$11,"&lt;="&amp;Dados!$A827,Projetos!$N$2:$N$11,"&gt;"&amp;Dados!$A827,Projetos!$D$2:$D$11,"USD")</f>
        <v>0</v>
      </c>
      <c r="K827" s="18">
        <f t="shared" ca="1" si="49"/>
        <v>4.4595839731135038E-9</v>
      </c>
    </row>
    <row r="828" spans="1:11" x14ac:dyDescent="0.2">
      <c r="A828" s="45">
        <f t="shared" ca="1" si="50"/>
        <v>5.7974591650475648E-9</v>
      </c>
      <c r="B828" s="18">
        <f>-SUMIFS(Projetos!$F$2:$F$11,Projetos!$D$2:$D$11,"BRL",Projetos!$N$2:$N$11,Dados!$A828)</f>
        <v>0</v>
      </c>
      <c r="C828" s="45">
        <f ca="1">(A828+B828)*((Indicadores_Economicos!D$2+1)^(1/12)-1)</f>
        <v>1.8979372704289915E-11</v>
      </c>
      <c r="D828" s="18">
        <f>SUMIFS(Projetos!$G$2:$G$11,Projetos!$K$2:$K$11,"&lt;="&amp;Dados!$A828,Projetos!$N$2:$N$11,"&gt;"&amp;Dados!A828,Projetos!$D$2:$D$11,"BRL")</f>
        <v>0</v>
      </c>
      <c r="E828" s="18">
        <f t="shared" ca="1" si="48"/>
        <v>5.8164385377518546E-9</v>
      </c>
      <c r="G828" s="45">
        <f t="shared" ca="1" si="51"/>
        <v>4.4595839731135038E-9</v>
      </c>
      <c r="H828" s="18">
        <f>-SUMIFS(Projetos!$F$2:$F$11,Projetos!$D$2:$D$11,"USD",Projetos!$N$2:$N$11,Dados!$A828)</f>
        <v>0</v>
      </c>
      <c r="I828" s="45">
        <f ca="1">(G828+H828)*((Indicadores_Economicos!D$2+1)^(1/12)-1)</f>
        <v>1.4599517464838371E-11</v>
      </c>
      <c r="J828" s="18">
        <f>SUMIFS(Projetos!$G$2:$G$11,Projetos!$K$2:$K$11,"&lt;="&amp;Dados!$A828,Projetos!$N$2:$N$11,"&gt;"&amp;Dados!$A828,Projetos!$D$2:$D$11,"USD")</f>
        <v>0</v>
      </c>
      <c r="K828" s="18">
        <f t="shared" ca="1" si="49"/>
        <v>4.4741834905783423E-9</v>
      </c>
    </row>
    <row r="829" spans="1:11" x14ac:dyDescent="0.2">
      <c r="A829" s="45">
        <f t="shared" ca="1" si="50"/>
        <v>5.8164385377518546E-9</v>
      </c>
      <c r="B829" s="18">
        <f>-SUMIFS(Projetos!$F$2:$F$11,Projetos!$D$2:$D$11,"BRL",Projetos!$N$2:$N$11,Dados!$A829)</f>
        <v>0</v>
      </c>
      <c r="C829" s="45">
        <f ca="1">(A829+B829)*((Indicadores_Economicos!D$2+1)^(1/12)-1)</f>
        <v>1.9041506231753128E-11</v>
      </c>
      <c r="D829" s="18">
        <f>SUMIFS(Projetos!$G$2:$G$11,Projetos!$K$2:$K$11,"&lt;="&amp;Dados!$A829,Projetos!$N$2:$N$11,"&gt;"&amp;Dados!A829,Projetos!$D$2:$D$11,"BRL")</f>
        <v>0</v>
      </c>
      <c r="E829" s="18">
        <f t="shared" ca="1" si="48"/>
        <v>5.8354800439836075E-9</v>
      </c>
      <c r="G829" s="45">
        <f t="shared" ca="1" si="51"/>
        <v>4.4741834905783423E-9</v>
      </c>
      <c r="H829" s="18">
        <f>-SUMIFS(Projetos!$F$2:$F$11,Projetos!$D$2:$D$11,"USD",Projetos!$N$2:$N$11,Dados!$A829)</f>
        <v>0</v>
      </c>
      <c r="I829" s="45">
        <f ca="1">(G829+H829)*((Indicadores_Economicos!D$2+1)^(1/12)-1)</f>
        <v>1.464731248596392E-11</v>
      </c>
      <c r="J829" s="18">
        <f>SUMIFS(Projetos!$G$2:$G$11,Projetos!$K$2:$K$11,"&lt;="&amp;Dados!$A829,Projetos!$N$2:$N$11,"&gt;"&amp;Dados!$A829,Projetos!$D$2:$D$11,"USD")</f>
        <v>0</v>
      </c>
      <c r="K829" s="18">
        <f t="shared" ca="1" si="49"/>
        <v>4.4888308030643067E-9</v>
      </c>
    </row>
    <row r="830" spans="1:11" x14ac:dyDescent="0.2">
      <c r="A830" s="45">
        <f t="shared" ca="1" si="50"/>
        <v>5.8354800439836075E-9</v>
      </c>
      <c r="B830" s="18">
        <f>-SUMIFS(Projetos!$F$2:$F$11,Projetos!$D$2:$D$11,"BRL",Projetos!$N$2:$N$11,Dados!$A830)</f>
        <v>0</v>
      </c>
      <c r="C830" s="45">
        <f ca="1">(A830+B830)*((Indicadores_Economicos!D$2+1)^(1/12)-1)</f>
        <v>1.9103843168217006E-11</v>
      </c>
      <c r="D830" s="18">
        <f>SUMIFS(Projetos!$G$2:$G$11,Projetos!$K$2:$K$11,"&lt;="&amp;Dados!$A830,Projetos!$N$2:$N$11,"&gt;"&amp;Dados!A830,Projetos!$D$2:$D$11,"BRL")</f>
        <v>0</v>
      </c>
      <c r="E830" s="18">
        <f t="shared" ca="1" si="48"/>
        <v>5.8545838871518244E-9</v>
      </c>
      <c r="G830" s="45">
        <f t="shared" ca="1" si="51"/>
        <v>4.4888308030643067E-9</v>
      </c>
      <c r="H830" s="18">
        <f>-SUMIFS(Projetos!$F$2:$F$11,Projetos!$D$2:$D$11,"USD",Projetos!$N$2:$N$11,Dados!$A830)</f>
        <v>0</v>
      </c>
      <c r="I830" s="45">
        <f ca="1">(G830+H830)*((Indicadores_Economicos!D$2+1)^(1/12)-1)</f>
        <v>1.4695263975551521E-11</v>
      </c>
      <c r="J830" s="18">
        <f>SUMIFS(Projetos!$G$2:$G$11,Projetos!$K$2:$K$11,"&lt;="&amp;Dados!$A830,Projetos!$N$2:$N$11,"&gt;"&amp;Dados!$A830,Projetos!$D$2:$D$11,"USD")</f>
        <v>0</v>
      </c>
      <c r="K830" s="18">
        <f t="shared" ca="1" si="49"/>
        <v>4.5035260670398582E-9</v>
      </c>
    </row>
    <row r="831" spans="1:11" x14ac:dyDescent="0.2">
      <c r="A831" s="45">
        <f t="shared" ca="1" si="50"/>
        <v>5.8545838871518244E-9</v>
      </c>
      <c r="B831" s="18">
        <f>-SUMIFS(Projetos!$F$2:$F$11,Projetos!$D$2:$D$11,"BRL",Projetos!$N$2:$N$11,Dados!$A831)</f>
        <v>0</v>
      </c>
      <c r="C831" s="45">
        <f ca="1">(A831+B831)*((Indicadores_Economicos!D$2+1)^(1/12)-1)</f>
        <v>1.9166384179589687E-11</v>
      </c>
      <c r="D831" s="18">
        <f>SUMIFS(Projetos!$G$2:$G$11,Projetos!$K$2:$K$11,"&lt;="&amp;Dados!$A831,Projetos!$N$2:$N$11,"&gt;"&amp;Dados!A831,Projetos!$D$2:$D$11,"BRL")</f>
        <v>0</v>
      </c>
      <c r="E831" s="18">
        <f t="shared" ca="1" si="48"/>
        <v>5.8737502713314139E-9</v>
      </c>
      <c r="G831" s="45">
        <f t="shared" ca="1" si="51"/>
        <v>4.5035260670398582E-9</v>
      </c>
      <c r="H831" s="18">
        <f>-SUMIFS(Projetos!$F$2:$F$11,Projetos!$D$2:$D$11,"USD",Projetos!$N$2:$N$11,Dados!$A831)</f>
        <v>0</v>
      </c>
      <c r="I831" s="45">
        <f ca="1">(G831+H831)*((Indicadores_Economicos!D$2+1)^(1/12)-1)</f>
        <v>1.4743372445838198E-11</v>
      </c>
      <c r="J831" s="18">
        <f>SUMIFS(Projetos!$G$2:$G$11,Projetos!$K$2:$K$11,"&lt;="&amp;Dados!$A831,Projetos!$N$2:$N$11,"&gt;"&amp;Dados!$A831,Projetos!$D$2:$D$11,"USD")</f>
        <v>0</v>
      </c>
      <c r="K831" s="18">
        <f t="shared" ca="1" si="49"/>
        <v>4.5182694394856967E-9</v>
      </c>
    </row>
    <row r="832" spans="1:11" x14ac:dyDescent="0.2">
      <c r="A832" s="45">
        <f t="shared" ca="1" si="50"/>
        <v>5.8737502713314139E-9</v>
      </c>
      <c r="B832" s="18">
        <f>-SUMIFS(Projetos!$F$2:$F$11,Projetos!$D$2:$D$11,"BRL",Projetos!$N$2:$N$11,Dados!$A832)</f>
        <v>0</v>
      </c>
      <c r="C832" s="45">
        <f ca="1">(A832+B832)*((Indicadores_Economicos!D$2+1)^(1/12)-1)</f>
        <v>1.9229129933959318E-11</v>
      </c>
      <c r="D832" s="18">
        <f>SUMIFS(Projetos!$G$2:$G$11,Projetos!$K$2:$K$11,"&lt;="&amp;Dados!$A832,Projetos!$N$2:$N$11,"&gt;"&amp;Dados!A832,Projetos!$D$2:$D$11,"BRL")</f>
        <v>0</v>
      </c>
      <c r="E832" s="18">
        <f t="shared" ca="1" si="48"/>
        <v>5.8929794012653732E-9</v>
      </c>
      <c r="G832" s="45">
        <f t="shared" ca="1" si="51"/>
        <v>4.5182694394856967E-9</v>
      </c>
      <c r="H832" s="18">
        <f>-SUMIFS(Projetos!$F$2:$F$11,Projetos!$D$2:$D$11,"USD",Projetos!$N$2:$N$11,Dados!$A832)</f>
        <v>0</v>
      </c>
      <c r="I832" s="45">
        <f ca="1">(G832+H832)*((Indicadores_Economicos!D$2+1)^(1/12)-1)</f>
        <v>1.4791638410737916E-11</v>
      </c>
      <c r="J832" s="18">
        <f>SUMIFS(Projetos!$G$2:$G$11,Projetos!$K$2:$K$11,"&lt;="&amp;Dados!$A832,Projetos!$N$2:$N$11,"&gt;"&amp;Dados!$A832,Projetos!$D$2:$D$11,"USD")</f>
        <v>0</v>
      </c>
      <c r="K832" s="18">
        <f t="shared" ca="1" si="49"/>
        <v>4.5330610778964349E-9</v>
      </c>
    </row>
    <row r="833" spans="1:11" x14ac:dyDescent="0.2">
      <c r="A833" s="45">
        <f t="shared" ca="1" si="50"/>
        <v>5.8929794012653732E-9</v>
      </c>
      <c r="B833" s="18">
        <f>-SUMIFS(Projetos!$F$2:$F$11,Projetos!$D$2:$D$11,"BRL",Projetos!$N$2:$N$11,Dados!$A833)</f>
        <v>0</v>
      </c>
      <c r="C833" s="45">
        <f ca="1">(A833+B833)*((Indicadores_Economicos!D$2+1)^(1/12)-1)</f>
        <v>1.9292081101601194E-11</v>
      </c>
      <c r="D833" s="18">
        <f>SUMIFS(Projetos!$G$2:$G$11,Projetos!$K$2:$K$11,"&lt;="&amp;Dados!$A833,Projetos!$N$2:$N$11,"&gt;"&amp;Dados!A833,Projetos!$D$2:$D$11,"BRL")</f>
        <v>0</v>
      </c>
      <c r="E833" s="18">
        <f t="shared" ca="1" si="48"/>
        <v>5.9122714823669743E-9</v>
      </c>
      <c r="G833" s="45">
        <f t="shared" ca="1" si="51"/>
        <v>4.5330610778964349E-9</v>
      </c>
      <c r="H833" s="18">
        <f>-SUMIFS(Projetos!$F$2:$F$11,Projetos!$D$2:$D$11,"USD",Projetos!$N$2:$N$11,Dados!$A833)</f>
        <v>0</v>
      </c>
      <c r="I833" s="45">
        <f ca="1">(G833+H833)*((Indicadores_Economicos!D$2+1)^(1/12)-1)</f>
        <v>1.4840062385847051E-11</v>
      </c>
      <c r="J833" s="18">
        <f>SUMIFS(Projetos!$G$2:$G$11,Projetos!$K$2:$K$11,"&lt;="&amp;Dados!$A833,Projetos!$N$2:$N$11,"&gt;"&amp;Dados!$A833,Projetos!$D$2:$D$11,"USD")</f>
        <v>0</v>
      </c>
      <c r="K833" s="18">
        <f t="shared" ca="1" si="49"/>
        <v>4.5479011402822817E-9</v>
      </c>
    </row>
    <row r="834" spans="1:11" x14ac:dyDescent="0.2">
      <c r="A834" s="45">
        <f t="shared" ca="1" si="50"/>
        <v>5.9122714823669743E-9</v>
      </c>
      <c r="B834" s="18">
        <f>-SUMIFS(Projetos!$F$2:$F$11,Projetos!$D$2:$D$11,"BRL",Projetos!$N$2:$N$11,Dados!$A834)</f>
        <v>0</v>
      </c>
      <c r="C834" s="45">
        <f ca="1">(A834+B834)*((Indicadores_Economicos!D$2+1)^(1/12)-1)</f>
        <v>1.9355238354984911E-11</v>
      </c>
      <c r="D834" s="18">
        <f>SUMIFS(Projetos!$G$2:$G$11,Projetos!$K$2:$K$11,"&lt;="&amp;Dados!$A834,Projetos!$N$2:$N$11,"&gt;"&amp;Dados!A834,Projetos!$D$2:$D$11,"BRL")</f>
        <v>0</v>
      </c>
      <c r="E834" s="18">
        <f t="shared" ref="E834:E897" ca="1" si="52">A834+B834+C834+D834</f>
        <v>5.9316267207219595E-9</v>
      </c>
      <c r="G834" s="45">
        <f t="shared" ca="1" si="51"/>
        <v>4.5479011402822817E-9</v>
      </c>
      <c r="H834" s="18">
        <f>-SUMIFS(Projetos!$F$2:$F$11,Projetos!$D$2:$D$11,"USD",Projetos!$N$2:$N$11,Dados!$A834)</f>
        <v>0</v>
      </c>
      <c r="I834" s="45">
        <f ca="1">(G834+H834)*((Indicadores_Economicos!D$2+1)^(1/12)-1)</f>
        <v>1.4888644888449912E-11</v>
      </c>
      <c r="J834" s="18">
        <f>SUMIFS(Projetos!$G$2:$G$11,Projetos!$K$2:$K$11,"&lt;="&amp;Dados!$A834,Projetos!$N$2:$N$11,"&gt;"&amp;Dados!$A834,Projetos!$D$2:$D$11,"USD")</f>
        <v>0</v>
      </c>
      <c r="K834" s="18">
        <f t="shared" ref="K834:K897" ca="1" si="53">G834+H834+I834+J834</f>
        <v>4.5627897851707312E-9</v>
      </c>
    </row>
    <row r="835" spans="1:11" x14ac:dyDescent="0.2">
      <c r="A835" s="45">
        <f t="shared" ca="1" si="50"/>
        <v>5.9316267207219595E-9</v>
      </c>
      <c r="B835" s="18">
        <f>-SUMIFS(Projetos!$F$2:$F$11,Projetos!$D$2:$D$11,"BRL",Projetos!$N$2:$N$11,Dados!$A835)</f>
        <v>0</v>
      </c>
      <c r="C835" s="45">
        <f ca="1">(A835+B835)*((Indicadores_Economicos!D$2+1)^(1/12)-1)</f>
        <v>1.9418602368781571E-11</v>
      </c>
      <c r="D835" s="18">
        <f>SUMIFS(Projetos!$G$2:$G$11,Projetos!$K$2:$K$11,"&lt;="&amp;Dados!$A835,Projetos!$N$2:$N$11,"&gt;"&amp;Dados!A835,Projetos!$D$2:$D$11,"BRL")</f>
        <v>0</v>
      </c>
      <c r="E835" s="18">
        <f t="shared" ca="1" si="52"/>
        <v>5.9510453230907412E-9</v>
      </c>
      <c r="G835" s="45">
        <f t="shared" ca="1" si="51"/>
        <v>4.5627897851707312E-9</v>
      </c>
      <c r="H835" s="18">
        <f>-SUMIFS(Projetos!$F$2:$F$11,Projetos!$D$2:$D$11,"USD",Projetos!$N$2:$N$11,Dados!$A835)</f>
        <v>0</v>
      </c>
      <c r="I835" s="45">
        <f ca="1">(G835+H835)*((Indicadores_Economicos!D$2+1)^(1/12)-1)</f>
        <v>1.4937386437524262E-11</v>
      </c>
      <c r="J835" s="18">
        <f>SUMIFS(Projetos!$G$2:$G$11,Projetos!$K$2:$K$11,"&lt;="&amp;Dados!$A835,Projetos!$N$2:$N$11,"&gt;"&amp;Dados!$A835,Projetos!$D$2:$D$11,"USD")</f>
        <v>0</v>
      </c>
      <c r="K835" s="18">
        <f t="shared" ca="1" si="53"/>
        <v>4.5777271716082551E-9</v>
      </c>
    </row>
    <row r="836" spans="1:11" x14ac:dyDescent="0.2">
      <c r="A836" s="45">
        <f t="shared" ref="A836:A899" ca="1" si="54">E835</f>
        <v>5.9510453230907412E-9</v>
      </c>
      <c r="B836" s="18">
        <f>-SUMIFS(Projetos!$F$2:$F$11,Projetos!$D$2:$D$11,"BRL",Projetos!$N$2:$N$11,Dados!$A836)</f>
        <v>0</v>
      </c>
      <c r="C836" s="45">
        <f ca="1">(A836+B836)*((Indicadores_Economicos!D$2+1)^(1/12)-1)</f>
        <v>1.9482173819870951E-11</v>
      </c>
      <c r="D836" s="18">
        <f>SUMIFS(Projetos!$G$2:$G$11,Projetos!$K$2:$K$11,"&lt;="&amp;Dados!$A836,Projetos!$N$2:$N$11,"&gt;"&amp;Dados!A836,Projetos!$D$2:$D$11,"BRL")</f>
        <v>0</v>
      </c>
      <c r="E836" s="18">
        <f t="shared" ca="1" si="52"/>
        <v>5.970527496910612E-9</v>
      </c>
      <c r="G836" s="45">
        <f t="shared" ref="G836:G899" ca="1" si="55">K835</f>
        <v>4.5777271716082551E-9</v>
      </c>
      <c r="H836" s="18">
        <f>-SUMIFS(Projetos!$F$2:$F$11,Projetos!$D$2:$D$11,"USD",Projetos!$N$2:$N$11,Dados!$A836)</f>
        <v>0</v>
      </c>
      <c r="I836" s="45">
        <f ca="1">(G836+H836)*((Indicadores_Economicos!D$2+1)^(1/12)-1)</f>
        <v>1.4986287553746862E-11</v>
      </c>
      <c r="J836" s="18">
        <f>SUMIFS(Projetos!$G$2:$G$11,Projetos!$K$2:$K$11,"&lt;="&amp;Dados!$A836,Projetos!$N$2:$N$11,"&gt;"&amp;Dados!$A836,Projetos!$D$2:$D$11,"USD")</f>
        <v>0</v>
      </c>
      <c r="K836" s="18">
        <f t="shared" ca="1" si="53"/>
        <v>4.592713459162002E-9</v>
      </c>
    </row>
    <row r="837" spans="1:11" x14ac:dyDescent="0.2">
      <c r="A837" s="45">
        <f t="shared" ca="1" si="54"/>
        <v>5.970527496910612E-9</v>
      </c>
      <c r="B837" s="18">
        <f>-SUMIFS(Projetos!$F$2:$F$11,Projetos!$D$2:$D$11,"BRL",Projetos!$N$2:$N$11,Dados!$A837)</f>
        <v>0</v>
      </c>
      <c r="C837" s="45">
        <f ca="1">(A837+B837)*((Indicadores_Economicos!D$2+1)^(1/12)-1)</f>
        <v>1.9545953387348776E-11</v>
      </c>
      <c r="D837" s="18">
        <f>SUMIFS(Projetos!$G$2:$G$11,Projetos!$K$2:$K$11,"&lt;="&amp;Dados!$A837,Projetos!$N$2:$N$11,"&gt;"&amp;Dados!A837,Projetos!$D$2:$D$11,"BRL")</f>
        <v>0</v>
      </c>
      <c r="E837" s="18">
        <f t="shared" ca="1" si="52"/>
        <v>5.9900734502979608E-9</v>
      </c>
      <c r="G837" s="45">
        <f t="shared" ca="1" si="55"/>
        <v>4.592713459162002E-9</v>
      </c>
      <c r="H837" s="18">
        <f>-SUMIFS(Projetos!$F$2:$F$11,Projetos!$D$2:$D$11,"USD",Projetos!$N$2:$N$11,Dados!$A837)</f>
        <v>0</v>
      </c>
      <c r="I837" s="45">
        <f ca="1">(G837+H837)*((Indicadores_Economicos!D$2+1)^(1/12)-1)</f>
        <v>1.5035348759499034E-11</v>
      </c>
      <c r="J837" s="18">
        <f>SUMIFS(Projetos!$G$2:$G$11,Projetos!$K$2:$K$11,"&lt;="&amp;Dados!$A837,Projetos!$N$2:$N$11,"&gt;"&amp;Dados!$A837,Projetos!$D$2:$D$11,"USD")</f>
        <v>0</v>
      </c>
      <c r="K837" s="18">
        <f t="shared" ca="1" si="53"/>
        <v>4.6077488079215009E-9</v>
      </c>
    </row>
    <row r="838" spans="1:11" x14ac:dyDescent="0.2">
      <c r="A838" s="45">
        <f t="shared" ca="1" si="54"/>
        <v>5.9900734502979608E-9</v>
      </c>
      <c r="B838" s="18">
        <f>-SUMIFS(Projetos!$F$2:$F$11,Projetos!$D$2:$D$11,"BRL",Projetos!$N$2:$N$11,Dados!$A838)</f>
        <v>0</v>
      </c>
      <c r="C838" s="45">
        <f ca="1">(A838+B838)*((Indicadores_Economicos!D$2+1)^(1/12)-1)</f>
        <v>1.9609941752533946E-11</v>
      </c>
      <c r="D838" s="18">
        <f>SUMIFS(Projetos!$G$2:$G$11,Projetos!$K$2:$K$11,"&lt;="&amp;Dados!$A838,Projetos!$N$2:$N$11,"&gt;"&amp;Dados!A838,Projetos!$D$2:$D$11,"BRL")</f>
        <v>0</v>
      </c>
      <c r="E838" s="18">
        <f t="shared" ca="1" si="52"/>
        <v>6.0096833920504946E-9</v>
      </c>
      <c r="G838" s="45">
        <f t="shared" ca="1" si="55"/>
        <v>4.6077488079215009E-9</v>
      </c>
      <c r="H838" s="18">
        <f>-SUMIFS(Projetos!$F$2:$F$11,Projetos!$D$2:$D$11,"USD",Projetos!$N$2:$N$11,Dados!$A838)</f>
        <v>0</v>
      </c>
      <c r="I838" s="45">
        <f ca="1">(G838+H838)*((Indicadores_Economicos!D$2+1)^(1/12)-1)</f>
        <v>1.5084570578872243E-11</v>
      </c>
      <c r="J838" s="18">
        <f>SUMIFS(Projetos!$G$2:$G$11,Projetos!$K$2:$K$11,"&lt;="&amp;Dados!$A838,Projetos!$N$2:$N$11,"&gt;"&amp;Dados!$A838,Projetos!$D$2:$D$11,"USD")</f>
        <v>0</v>
      </c>
      <c r="K838" s="18">
        <f t="shared" ca="1" si="53"/>
        <v>4.6228333785003733E-9</v>
      </c>
    </row>
    <row r="839" spans="1:11" x14ac:dyDescent="0.2">
      <c r="A839" s="45">
        <f t="shared" ca="1" si="54"/>
        <v>6.0096833920504946E-9</v>
      </c>
      <c r="B839" s="18">
        <f>-SUMIFS(Projetos!$F$2:$F$11,Projetos!$D$2:$D$11,"BRL",Projetos!$N$2:$N$11,Dados!$A839)</f>
        <v>0</v>
      </c>
      <c r="C839" s="45">
        <f ca="1">(A839+B839)*((Indicadores_Economicos!D$2+1)^(1/12)-1)</f>
        <v>1.9674139598975821E-11</v>
      </c>
      <c r="D839" s="18">
        <f>SUMIFS(Projetos!$G$2:$G$11,Projetos!$K$2:$K$11,"&lt;="&amp;Dados!$A839,Projetos!$N$2:$N$11,"&gt;"&amp;Dados!A839,Projetos!$D$2:$D$11,"BRL")</f>
        <v>0</v>
      </c>
      <c r="E839" s="18">
        <f t="shared" ca="1" si="52"/>
        <v>6.02935753164947E-9</v>
      </c>
      <c r="G839" s="45">
        <f t="shared" ca="1" si="55"/>
        <v>4.6228333785003733E-9</v>
      </c>
      <c r="H839" s="18">
        <f>-SUMIFS(Projetos!$F$2:$F$11,Projetos!$D$2:$D$11,"USD",Projetos!$N$2:$N$11,Dados!$A839)</f>
        <v>0</v>
      </c>
      <c r="I839" s="45">
        <f ca="1">(G839+H839)*((Indicadores_Economicos!D$2+1)^(1/12)-1)</f>
        <v>1.5133953537673684E-11</v>
      </c>
      <c r="J839" s="18">
        <f>SUMIFS(Projetos!$G$2:$G$11,Projetos!$K$2:$K$11,"&lt;="&amp;Dados!$A839,Projetos!$N$2:$N$11,"&gt;"&amp;Dados!$A839,Projetos!$D$2:$D$11,"USD")</f>
        <v>0</v>
      </c>
      <c r="K839" s="18">
        <f t="shared" ca="1" si="53"/>
        <v>4.637967332038047E-9</v>
      </c>
    </row>
    <row r="840" spans="1:11" x14ac:dyDescent="0.2">
      <c r="A840" s="45">
        <f t="shared" ca="1" si="54"/>
        <v>6.02935753164947E-9</v>
      </c>
      <c r="B840" s="18">
        <f>-SUMIFS(Projetos!$F$2:$F$11,Projetos!$D$2:$D$11,"BRL",Projetos!$N$2:$N$11,Dados!$A840)</f>
        <v>0</v>
      </c>
      <c r="C840" s="45">
        <f ca="1">(A840+B840)*((Indicadores_Economicos!D$2+1)^(1/12)-1)</f>
        <v>1.9738547612461521E-11</v>
      </c>
      <c r="D840" s="18">
        <f>SUMIFS(Projetos!$G$2:$G$11,Projetos!$K$2:$K$11,"&lt;="&amp;Dados!$A840,Projetos!$N$2:$N$11,"&gt;"&amp;Dados!A840,Projetos!$D$2:$D$11,"BRL")</f>
        <v>0</v>
      </c>
      <c r="E840" s="18">
        <f t="shared" ca="1" si="52"/>
        <v>6.0490960792619312E-9</v>
      </c>
      <c r="G840" s="45">
        <f t="shared" ca="1" si="55"/>
        <v>4.637967332038047E-9</v>
      </c>
      <c r="H840" s="18">
        <f>-SUMIFS(Projetos!$F$2:$F$11,Projetos!$D$2:$D$11,"USD",Projetos!$N$2:$N$11,Dados!$A840)</f>
        <v>0</v>
      </c>
      <c r="I840" s="45">
        <f ca="1">(G840+H840)*((Indicadores_Economicos!D$2+1)^(1/12)-1)</f>
        <v>1.5183498163431918E-11</v>
      </c>
      <c r="J840" s="18">
        <f>SUMIFS(Projetos!$G$2:$G$11,Projetos!$K$2:$K$11,"&lt;="&amp;Dados!$A840,Projetos!$N$2:$N$11,"&gt;"&amp;Dados!$A840,Projetos!$D$2:$D$11,"USD")</f>
        <v>0</v>
      </c>
      <c r="K840" s="18">
        <f t="shared" ca="1" si="53"/>
        <v>4.6531508302014788E-9</v>
      </c>
    </row>
    <row r="841" spans="1:11" x14ac:dyDescent="0.2">
      <c r="A841" s="45">
        <f t="shared" ca="1" si="54"/>
        <v>6.0490960792619312E-9</v>
      </c>
      <c r="B841" s="18">
        <f>-SUMIFS(Projetos!$F$2:$F$11,Projetos!$D$2:$D$11,"BRL",Projetos!$N$2:$N$11,Dados!$A841)</f>
        <v>0</v>
      </c>
      <c r="C841" s="45">
        <f ca="1">(A841+B841)*((Indicadores_Economicos!D$2+1)^(1/12)-1)</f>
        <v>1.9803166481023263E-11</v>
      </c>
      <c r="D841" s="18">
        <f>SUMIFS(Projetos!$G$2:$G$11,Projetos!$K$2:$K$11,"&lt;="&amp;Dados!$A841,Projetos!$N$2:$N$11,"&gt;"&amp;Dados!A841,Projetos!$D$2:$D$11,"BRL")</f>
        <v>0</v>
      </c>
      <c r="E841" s="18">
        <f t="shared" ca="1" si="52"/>
        <v>6.0688992457429544E-9</v>
      </c>
      <c r="G841" s="45">
        <f t="shared" ca="1" si="55"/>
        <v>4.6531508302014788E-9</v>
      </c>
      <c r="H841" s="18">
        <f>-SUMIFS(Projetos!$F$2:$F$11,Projetos!$D$2:$D$11,"USD",Projetos!$N$2:$N$11,Dados!$A841)</f>
        <v>0</v>
      </c>
      <c r="I841" s="45">
        <f ca="1">(G841+H841)*((Indicadores_Economicos!D$2+1)^(1/12)-1)</f>
        <v>1.5233204985402486E-11</v>
      </c>
      <c r="J841" s="18">
        <f>SUMIFS(Projetos!$G$2:$G$11,Projetos!$K$2:$K$11,"&lt;="&amp;Dados!$A841,Projetos!$N$2:$N$11,"&gt;"&amp;Dados!$A841,Projetos!$D$2:$D$11,"USD")</f>
        <v>0</v>
      </c>
      <c r="K841" s="18">
        <f t="shared" ca="1" si="53"/>
        <v>4.668384035186881E-9</v>
      </c>
    </row>
    <row r="842" spans="1:11" x14ac:dyDescent="0.2">
      <c r="A842" s="45">
        <f t="shared" ca="1" si="54"/>
        <v>6.0688992457429544E-9</v>
      </c>
      <c r="B842" s="18">
        <f>-SUMIFS(Projetos!$F$2:$F$11,Projetos!$D$2:$D$11,"BRL",Projetos!$N$2:$N$11,Dados!$A842)</f>
        <v>0</v>
      </c>
      <c r="C842" s="45">
        <f ca="1">(A842+B842)*((Indicadores_Economicos!D$2+1)^(1/12)-1)</f>
        <v>1.9867996894945696E-11</v>
      </c>
      <c r="D842" s="18">
        <f>SUMIFS(Projetos!$G$2:$G$11,Projetos!$K$2:$K$11,"&lt;="&amp;Dados!$A842,Projetos!$N$2:$N$11,"&gt;"&amp;Dados!A842,Projetos!$D$2:$D$11,"BRL")</f>
        <v>0</v>
      </c>
      <c r="E842" s="18">
        <f t="shared" ca="1" si="52"/>
        <v>6.0887672426379E-9</v>
      </c>
      <c r="G842" s="45">
        <f t="shared" ca="1" si="55"/>
        <v>4.668384035186881E-9</v>
      </c>
      <c r="H842" s="18">
        <f>-SUMIFS(Projetos!$F$2:$F$11,Projetos!$D$2:$D$11,"USD",Projetos!$N$2:$N$11,Dados!$A842)</f>
        <v>0</v>
      </c>
      <c r="I842" s="45">
        <f ca="1">(G842+H842)*((Indicadores_Economicos!D$2+1)^(1/12)-1)</f>
        <v>1.5283074534573589E-11</v>
      </c>
      <c r="J842" s="18">
        <f>SUMIFS(Projetos!$G$2:$G$11,Projetos!$K$2:$K$11,"&lt;="&amp;Dados!$A842,Projetos!$N$2:$N$11,"&gt;"&amp;Dados!$A842,Projetos!$D$2:$D$11,"USD")</f>
        <v>0</v>
      </c>
      <c r="K842" s="18">
        <f t="shared" ca="1" si="53"/>
        <v>4.6836671097214548E-9</v>
      </c>
    </row>
    <row r="843" spans="1:11" x14ac:dyDescent="0.2">
      <c r="A843" s="45">
        <f t="shared" ca="1" si="54"/>
        <v>6.0887672426379E-9</v>
      </c>
      <c r="B843" s="18">
        <f>-SUMIFS(Projetos!$F$2:$F$11,Projetos!$D$2:$D$11,"BRL",Projetos!$N$2:$N$11,Dados!$A843)</f>
        <v>0</v>
      </c>
      <c r="C843" s="45">
        <f ca="1">(A843+B843)*((Indicadores_Economicos!D$2+1)^(1/12)-1)</f>
        <v>1.9933039546773283E-11</v>
      </c>
      <c r="D843" s="18">
        <f>SUMIFS(Projetos!$G$2:$G$11,Projetos!$K$2:$K$11,"&lt;="&amp;Dados!$A843,Projetos!$N$2:$N$11,"&gt;"&amp;Dados!A843,Projetos!$D$2:$D$11,"BRL")</f>
        <v>0</v>
      </c>
      <c r="E843" s="18">
        <f t="shared" ca="1" si="52"/>
        <v>6.1087002821846736E-9</v>
      </c>
      <c r="G843" s="45">
        <f t="shared" ca="1" si="55"/>
        <v>4.6836671097214548E-9</v>
      </c>
      <c r="H843" s="18">
        <f>-SUMIFS(Projetos!$F$2:$F$11,Projetos!$D$2:$D$11,"USD",Projetos!$N$2:$N$11,Dados!$A843)</f>
        <v>0</v>
      </c>
      <c r="I843" s="45">
        <f ca="1">(G843+H843)*((Indicadores_Economicos!D$2+1)^(1/12)-1)</f>
        <v>1.5333107343671735E-11</v>
      </c>
      <c r="J843" s="18">
        <f>SUMIFS(Projetos!$G$2:$G$11,Projetos!$K$2:$K$11,"&lt;="&amp;Dados!$A843,Projetos!$N$2:$N$11,"&gt;"&amp;Dados!$A843,Projetos!$D$2:$D$11,"USD")</f>
        <v>0</v>
      </c>
      <c r="K843" s="18">
        <f t="shared" ca="1" si="53"/>
        <v>4.6990002170651261E-9</v>
      </c>
    </row>
    <row r="844" spans="1:11" x14ac:dyDescent="0.2">
      <c r="A844" s="45">
        <f t="shared" ca="1" si="54"/>
        <v>6.1087002821846736E-9</v>
      </c>
      <c r="B844" s="18">
        <f>-SUMIFS(Projetos!$F$2:$F$11,Projetos!$D$2:$D$11,"BRL",Projetos!$N$2:$N$11,Dados!$A844)</f>
        <v>0</v>
      </c>
      <c r="C844" s="45">
        <f ca="1">(A844+B844)*((Indicadores_Economicos!D$2+1)^(1/12)-1)</f>
        <v>1.9998295131317701E-11</v>
      </c>
      <c r="D844" s="18">
        <f>SUMIFS(Projetos!$G$2:$G$11,Projetos!$K$2:$K$11,"&lt;="&amp;Dados!$A844,Projetos!$N$2:$N$11,"&gt;"&amp;Dados!A844,Projetos!$D$2:$D$11,"BRL")</f>
        <v>0</v>
      </c>
      <c r="E844" s="18">
        <f t="shared" ca="1" si="52"/>
        <v>6.1286985773159908E-9</v>
      </c>
      <c r="G844" s="45">
        <f t="shared" ca="1" si="55"/>
        <v>4.6990002170651261E-9</v>
      </c>
      <c r="H844" s="18">
        <f>-SUMIFS(Projetos!$F$2:$F$11,Projetos!$D$2:$D$11,"USD",Projetos!$N$2:$N$11,Dados!$A844)</f>
        <v>0</v>
      </c>
      <c r="I844" s="45">
        <f ca="1">(G844+H844)*((Indicadores_Economicos!D$2+1)^(1/12)-1)</f>
        <v>1.5383303947167438E-11</v>
      </c>
      <c r="J844" s="18">
        <f>SUMIFS(Projetos!$G$2:$G$11,Projetos!$K$2:$K$11,"&lt;="&amp;Dados!$A844,Projetos!$N$2:$N$11,"&gt;"&amp;Dados!$A844,Projetos!$D$2:$D$11,"USD")</f>
        <v>0</v>
      </c>
      <c r="K844" s="18">
        <f t="shared" ca="1" si="53"/>
        <v>4.7143835210122933E-9</v>
      </c>
    </row>
    <row r="845" spans="1:11" x14ac:dyDescent="0.2">
      <c r="A845" s="45">
        <f t="shared" ca="1" si="54"/>
        <v>6.1286985773159908E-9</v>
      </c>
      <c r="B845" s="18">
        <f>-SUMIFS(Projetos!$F$2:$F$11,Projetos!$D$2:$D$11,"BRL",Projetos!$N$2:$N$11,Dados!$A845)</f>
        <v>0</v>
      </c>
      <c r="C845" s="45">
        <f ca="1">(A845+B845)*((Indicadores_Economicos!D$2+1)^(1/12)-1)</f>
        <v>2.006376434566525E-11</v>
      </c>
      <c r="D845" s="18">
        <f>SUMIFS(Projetos!$G$2:$G$11,Projetos!$K$2:$K$11,"&lt;="&amp;Dados!$A845,Projetos!$N$2:$N$11,"&gt;"&amp;Dados!A845,Projetos!$D$2:$D$11,"BRL")</f>
        <v>0</v>
      </c>
      <c r="E845" s="18">
        <f t="shared" ca="1" si="52"/>
        <v>6.148762341661656E-9</v>
      </c>
      <c r="G845" s="45">
        <f t="shared" ca="1" si="55"/>
        <v>4.7143835210122933E-9</v>
      </c>
      <c r="H845" s="18">
        <f>-SUMIFS(Projetos!$F$2:$F$11,Projetos!$D$2:$D$11,"USD",Projetos!$N$2:$N$11,Dados!$A845)</f>
        <v>0</v>
      </c>
      <c r="I845" s="45">
        <f ca="1">(G845+H845)*((Indicadores_Economicos!D$2+1)^(1/12)-1)</f>
        <v>1.5433664881280936E-11</v>
      </c>
      <c r="J845" s="18">
        <f>SUMIFS(Projetos!$G$2:$G$11,Projetos!$K$2:$K$11,"&lt;="&amp;Dados!$A845,Projetos!$N$2:$N$11,"&gt;"&amp;Dados!$A845,Projetos!$D$2:$D$11,"USD")</f>
        <v>0</v>
      </c>
      <c r="K845" s="18">
        <f t="shared" ca="1" si="53"/>
        <v>4.7298171858935741E-9</v>
      </c>
    </row>
    <row r="846" spans="1:11" x14ac:dyDescent="0.2">
      <c r="A846" s="45">
        <f t="shared" ca="1" si="54"/>
        <v>6.148762341661656E-9</v>
      </c>
      <c r="B846" s="18">
        <f>-SUMIFS(Projetos!$F$2:$F$11,Projetos!$D$2:$D$11,"BRL",Projetos!$N$2:$N$11,Dados!$A846)</f>
        <v>0</v>
      </c>
      <c r="C846" s="45">
        <f ca="1">(A846+B846)*((Indicadores_Economicos!D$2+1)^(1/12)-1)</f>
        <v>2.0129447889184317E-11</v>
      </c>
      <c r="D846" s="18">
        <f>SUMIFS(Projetos!$G$2:$G$11,Projetos!$K$2:$K$11,"&lt;="&amp;Dados!$A846,Projetos!$N$2:$N$11,"&gt;"&amp;Dados!A846,Projetos!$D$2:$D$11,"BRL")</f>
        <v>0</v>
      </c>
      <c r="E846" s="18">
        <f t="shared" ca="1" si="52"/>
        <v>6.1688917895508402E-9</v>
      </c>
      <c r="G846" s="45">
        <f t="shared" ca="1" si="55"/>
        <v>4.7298171858935741E-9</v>
      </c>
      <c r="H846" s="18">
        <f>-SUMIFS(Projetos!$F$2:$F$11,Projetos!$D$2:$D$11,"USD",Projetos!$N$2:$N$11,Dados!$A846)</f>
        <v>0</v>
      </c>
      <c r="I846" s="45">
        <f ca="1">(G846+H846)*((Indicadores_Economicos!D$2+1)^(1/12)-1)</f>
        <v>1.5484190683987913E-11</v>
      </c>
      <c r="J846" s="18">
        <f>SUMIFS(Projetos!$G$2:$G$11,Projetos!$K$2:$K$11,"&lt;="&amp;Dados!$A846,Projetos!$N$2:$N$11,"&gt;"&amp;Dados!$A846,Projetos!$D$2:$D$11,"USD")</f>
        <v>0</v>
      </c>
      <c r="K846" s="18">
        <f t="shared" ca="1" si="53"/>
        <v>4.7453013765775618E-9</v>
      </c>
    </row>
    <row r="847" spans="1:11" x14ac:dyDescent="0.2">
      <c r="A847" s="45">
        <f t="shared" ca="1" si="54"/>
        <v>6.1688917895508402E-9</v>
      </c>
      <c r="B847" s="18">
        <f>-SUMIFS(Projetos!$F$2:$F$11,Projetos!$D$2:$D$11,"BRL",Projetos!$N$2:$N$11,Dados!$A847)</f>
        <v>0</v>
      </c>
      <c r="C847" s="45">
        <f ca="1">(A847+B847)*((Indicadores_Economicos!D$2+1)^(1/12)-1)</f>
        <v>2.0195346463532839E-11</v>
      </c>
      <c r="D847" s="18">
        <f>SUMIFS(Projetos!$G$2:$G$11,Projetos!$K$2:$K$11,"&lt;="&amp;Dados!$A847,Projetos!$N$2:$N$11,"&gt;"&amp;Dados!A847,Projetos!$D$2:$D$11,"BRL")</f>
        <v>0</v>
      </c>
      <c r="E847" s="18">
        <f t="shared" ca="1" si="52"/>
        <v>6.1890871360143732E-9</v>
      </c>
      <c r="G847" s="45">
        <f t="shared" ca="1" si="55"/>
        <v>4.7453013765775618E-9</v>
      </c>
      <c r="H847" s="18">
        <f>-SUMIFS(Projetos!$F$2:$F$11,Projetos!$D$2:$D$11,"USD",Projetos!$N$2:$N$11,Dados!$A847)</f>
        <v>0</v>
      </c>
      <c r="I847" s="45">
        <f ca="1">(G847+H847)*((Indicadores_Economicos!D$2+1)^(1/12)-1)</f>
        <v>1.5534881895025236E-11</v>
      </c>
      <c r="J847" s="18">
        <f>SUMIFS(Projetos!$G$2:$G$11,Projetos!$K$2:$K$11,"&lt;="&amp;Dados!$A847,Projetos!$N$2:$N$11,"&gt;"&amp;Dados!$A847,Projetos!$D$2:$D$11,"USD")</f>
        <v>0</v>
      </c>
      <c r="K847" s="18">
        <f t="shared" ca="1" si="53"/>
        <v>4.7608362584725872E-9</v>
      </c>
    </row>
    <row r="848" spans="1:11" x14ac:dyDescent="0.2">
      <c r="A848" s="45">
        <f t="shared" ca="1" si="54"/>
        <v>6.1890871360143732E-9</v>
      </c>
      <c r="B848" s="18">
        <f>-SUMIFS(Projetos!$F$2:$F$11,Projetos!$D$2:$D$11,"BRL",Projetos!$N$2:$N$11,Dados!$A848)</f>
        <v>0</v>
      </c>
      <c r="C848" s="45">
        <f ca="1">(A848+B848)*((Indicadores_Economicos!D$2+1)^(1/12)-1)</f>
        <v>2.0261460772665797E-11</v>
      </c>
      <c r="D848" s="18">
        <f>SUMIFS(Projetos!$G$2:$G$11,Projetos!$K$2:$K$11,"&lt;="&amp;Dados!$A848,Projetos!$N$2:$N$11,"&gt;"&amp;Dados!A848,Projetos!$D$2:$D$11,"BRL")</f>
        <v>0</v>
      </c>
      <c r="E848" s="18">
        <f t="shared" ca="1" si="52"/>
        <v>6.2093485967870393E-9</v>
      </c>
      <c r="G848" s="45">
        <f t="shared" ca="1" si="55"/>
        <v>4.7608362584725872E-9</v>
      </c>
      <c r="H848" s="18">
        <f>-SUMIFS(Projetos!$F$2:$F$11,Projetos!$D$2:$D$11,"USD",Projetos!$N$2:$N$11,Dados!$A848)</f>
        <v>0</v>
      </c>
      <c r="I848" s="45">
        <f ca="1">(G848+H848)*((Indicadores_Economicos!D$2+1)^(1/12)-1)</f>
        <v>1.5585739055896743E-11</v>
      </c>
      <c r="J848" s="18">
        <f>SUMIFS(Projetos!$G$2:$G$11,Projetos!$K$2:$K$11,"&lt;="&amp;Dados!$A848,Projetos!$N$2:$N$11,"&gt;"&amp;Dados!$A848,Projetos!$D$2:$D$11,"USD")</f>
        <v>0</v>
      </c>
      <c r="K848" s="18">
        <f t="shared" ca="1" si="53"/>
        <v>4.7764219975284842E-9</v>
      </c>
    </row>
    <row r="849" spans="1:11" x14ac:dyDescent="0.2">
      <c r="A849" s="45">
        <f t="shared" ca="1" si="54"/>
        <v>6.2093485967870393E-9</v>
      </c>
      <c r="B849" s="18">
        <f>-SUMIFS(Projetos!$F$2:$F$11,Projetos!$D$2:$D$11,"BRL",Projetos!$N$2:$N$11,Dados!$A849)</f>
        <v>0</v>
      </c>
      <c r="C849" s="45">
        <f ca="1">(A849+B849)*((Indicadores_Economicos!D$2+1)^(1/12)-1)</f>
        <v>2.0327791522842739E-11</v>
      </c>
      <c r="D849" s="18">
        <f>SUMIFS(Projetos!$G$2:$G$11,Projetos!$K$2:$K$11,"&lt;="&amp;Dados!$A849,Projetos!$N$2:$N$11,"&gt;"&amp;Dados!A849,Projetos!$D$2:$D$11,"BRL")</f>
        <v>0</v>
      </c>
      <c r="E849" s="18">
        <f t="shared" ca="1" si="52"/>
        <v>6.229676388309882E-9</v>
      </c>
      <c r="G849" s="45">
        <f t="shared" ca="1" si="55"/>
        <v>4.7764219975284842E-9</v>
      </c>
      <c r="H849" s="18">
        <f>-SUMIFS(Projetos!$F$2:$F$11,Projetos!$D$2:$D$11,"USD",Projetos!$N$2:$N$11,Dados!$A849)</f>
        <v>0</v>
      </c>
      <c r="I849" s="45">
        <f ca="1">(G849+H849)*((Indicadores_Economicos!D$2+1)^(1/12)-1)</f>
        <v>1.5636762709879004E-11</v>
      </c>
      <c r="J849" s="18">
        <f>SUMIFS(Projetos!$G$2:$G$11,Projetos!$K$2:$K$11,"&lt;="&amp;Dados!$A849,Projetos!$N$2:$N$11,"&gt;"&amp;Dados!$A849,Projetos!$D$2:$D$11,"USD")</f>
        <v>0</v>
      </c>
      <c r="K849" s="18">
        <f t="shared" ca="1" si="53"/>
        <v>4.7920587602383632E-9</v>
      </c>
    </row>
    <row r="850" spans="1:11" x14ac:dyDescent="0.2">
      <c r="A850" s="45">
        <f t="shared" ca="1" si="54"/>
        <v>6.229676388309882E-9</v>
      </c>
      <c r="B850" s="18">
        <f>-SUMIFS(Projetos!$F$2:$F$11,Projetos!$D$2:$D$11,"BRL",Projetos!$N$2:$N$11,Dados!$A850)</f>
        <v>0</v>
      </c>
      <c r="C850" s="45">
        <f ca="1">(A850+B850)*((Indicadores_Economicos!D$2+1)^(1/12)-1)</f>
        <v>2.0394339422635314E-11</v>
      </c>
      <c r="D850" s="18">
        <f>SUMIFS(Projetos!$G$2:$G$11,Projetos!$K$2:$K$11,"&lt;="&amp;Dados!$A850,Projetos!$N$2:$N$11,"&gt;"&amp;Dados!A850,Projetos!$D$2:$D$11,"BRL")</f>
        <v>0</v>
      </c>
      <c r="E850" s="18">
        <f t="shared" ca="1" si="52"/>
        <v>6.250070727732517E-9</v>
      </c>
      <c r="G850" s="45">
        <f t="shared" ca="1" si="55"/>
        <v>4.7920587602383632E-9</v>
      </c>
      <c r="H850" s="18">
        <f>-SUMIFS(Projetos!$F$2:$F$11,Projetos!$D$2:$D$11,"USD",Projetos!$N$2:$N$11,Dados!$A850)</f>
        <v>0</v>
      </c>
      <c r="I850" s="45">
        <f ca="1">(G850+H850)*((Indicadores_Economicos!D$2+1)^(1/12)-1)</f>
        <v>1.5687953402027139E-11</v>
      </c>
      <c r="J850" s="18">
        <f>SUMIFS(Projetos!$G$2:$G$11,Projetos!$K$2:$K$11,"&lt;="&amp;Dados!$A850,Projetos!$N$2:$N$11,"&gt;"&amp;Dados!$A850,Projetos!$D$2:$D$11,"USD")</f>
        <v>0</v>
      </c>
      <c r="K850" s="18">
        <f t="shared" ca="1" si="53"/>
        <v>4.8077467136403905E-9</v>
      </c>
    </row>
    <row r="851" spans="1:11" x14ac:dyDescent="0.2">
      <c r="A851" s="45">
        <f t="shared" ca="1" si="54"/>
        <v>6.250070727732517E-9</v>
      </c>
      <c r="B851" s="18">
        <f>-SUMIFS(Projetos!$F$2:$F$11,Projetos!$D$2:$D$11,"BRL",Projetos!$N$2:$N$11,Dados!$A851)</f>
        <v>0</v>
      </c>
      <c r="C851" s="45">
        <f ca="1">(A851+B851)*((Indicadores_Economicos!D$2+1)^(1/12)-1)</f>
        <v>2.0461105182934861E-11</v>
      </c>
      <c r="D851" s="18">
        <f>SUMIFS(Projetos!$G$2:$G$11,Projetos!$K$2:$K$11,"&lt;="&amp;Dados!$A851,Projetos!$N$2:$N$11,"&gt;"&amp;Dados!A851,Projetos!$D$2:$D$11,"BRL")</f>
        <v>0</v>
      </c>
      <c r="E851" s="18">
        <f t="shared" ca="1" si="52"/>
        <v>6.2705318329154522E-9</v>
      </c>
      <c r="G851" s="45">
        <f t="shared" ca="1" si="55"/>
        <v>4.8077467136403905E-9</v>
      </c>
      <c r="H851" s="18">
        <f>-SUMIFS(Projetos!$F$2:$F$11,Projetos!$D$2:$D$11,"USD",Projetos!$N$2:$N$11,Dados!$A851)</f>
        <v>0</v>
      </c>
      <c r="I851" s="45">
        <f ca="1">(G851+H851)*((Indicadores_Economicos!D$2+1)^(1/12)-1)</f>
        <v>1.5739311679180638E-11</v>
      </c>
      <c r="J851" s="18">
        <f>SUMIFS(Projetos!$G$2:$G$11,Projetos!$K$2:$K$11,"&lt;="&amp;Dados!$A851,Projetos!$N$2:$N$11,"&gt;"&amp;Dados!$A851,Projetos!$D$2:$D$11,"USD")</f>
        <v>0</v>
      </c>
      <c r="K851" s="18">
        <f t="shared" ca="1" si="53"/>
        <v>4.8234860253195715E-9</v>
      </c>
    </row>
    <row r="852" spans="1:11" x14ac:dyDescent="0.2">
      <c r="A852" s="45">
        <f t="shared" ca="1" si="54"/>
        <v>6.2705318329154522E-9</v>
      </c>
      <c r="B852" s="18">
        <f>-SUMIFS(Projetos!$F$2:$F$11,Projetos!$D$2:$D$11,"BRL",Projetos!$N$2:$N$11,Dados!$A852)</f>
        <v>0</v>
      </c>
      <c r="C852" s="45">
        <f ca="1">(A852+B852)*((Indicadores_Economicos!D$2+1)^(1/12)-1)</f>
        <v>2.0528089516959992E-11</v>
      </c>
      <c r="D852" s="18">
        <f>SUMIFS(Projetos!$G$2:$G$11,Projetos!$K$2:$K$11,"&lt;="&amp;Dados!$A852,Projetos!$N$2:$N$11,"&gt;"&amp;Dados!A852,Projetos!$D$2:$D$11,"BRL")</f>
        <v>0</v>
      </c>
      <c r="E852" s="18">
        <f t="shared" ca="1" si="52"/>
        <v>6.2910599224324119E-9</v>
      </c>
      <c r="G852" s="45">
        <f t="shared" ca="1" si="55"/>
        <v>4.8234860253195715E-9</v>
      </c>
      <c r="H852" s="18">
        <f>-SUMIFS(Projetos!$F$2:$F$11,Projetos!$D$2:$D$11,"USD",Projetos!$N$2:$N$11,Dados!$A852)</f>
        <v>0</v>
      </c>
      <c r="I852" s="45">
        <f ca="1">(G852+H852)*((Indicadores_Economicos!D$2+1)^(1/12)-1)</f>
        <v>1.5790838089969201E-11</v>
      </c>
      <c r="J852" s="18">
        <f>SUMIFS(Projetos!$G$2:$G$11,Projetos!$K$2:$K$11,"&lt;="&amp;Dados!$A852,Projetos!$N$2:$N$11,"&gt;"&amp;Dados!$A852,Projetos!$D$2:$D$11,"USD")</f>
        <v>0</v>
      </c>
      <c r="K852" s="18">
        <f t="shared" ca="1" si="53"/>
        <v>4.8392768634095408E-9</v>
      </c>
    </row>
    <row r="853" spans="1:11" x14ac:dyDescent="0.2">
      <c r="A853" s="45">
        <f t="shared" ca="1" si="54"/>
        <v>6.2910599224324119E-9</v>
      </c>
      <c r="B853" s="18">
        <f>-SUMIFS(Projetos!$F$2:$F$11,Projetos!$D$2:$D$11,"BRL",Projetos!$N$2:$N$11,Dados!$A853)</f>
        <v>0</v>
      </c>
      <c r="C853" s="45">
        <f ca="1">(A853+B853)*((Indicadores_Economicos!D$2+1)^(1/12)-1)</f>
        <v>2.0595293140264204E-11</v>
      </c>
      <c r="D853" s="18">
        <f>SUMIFS(Projetos!$G$2:$G$11,Projetos!$K$2:$K$11,"&lt;="&amp;Dados!$A853,Projetos!$N$2:$N$11,"&gt;"&amp;Dados!A853,Projetos!$D$2:$D$11,"BRL")</f>
        <v>0</v>
      </c>
      <c r="E853" s="18">
        <f t="shared" ca="1" si="52"/>
        <v>6.3116552155726757E-9</v>
      </c>
      <c r="G853" s="45">
        <f t="shared" ca="1" si="55"/>
        <v>4.8392768634095408E-9</v>
      </c>
      <c r="H853" s="18">
        <f>-SUMIFS(Projetos!$F$2:$F$11,Projetos!$D$2:$D$11,"USD",Projetos!$N$2:$N$11,Dados!$A853)</f>
        <v>0</v>
      </c>
      <c r="I853" s="45">
        <f ca="1">(G853+H853)*((Indicadores_Economicos!D$2+1)^(1/12)-1)</f>
        <v>1.5842533184818595E-11</v>
      </c>
      <c r="J853" s="18">
        <f>SUMIFS(Projetos!$G$2:$G$11,Projetos!$K$2:$K$11,"&lt;="&amp;Dados!$A853,Projetos!$N$2:$N$11,"&gt;"&amp;Dados!$A853,Projetos!$D$2:$D$11,"USD")</f>
        <v>0</v>
      </c>
      <c r="K853" s="18">
        <f t="shared" ca="1" si="53"/>
        <v>4.8551193965943596E-9</v>
      </c>
    </row>
    <row r="854" spans="1:11" x14ac:dyDescent="0.2">
      <c r="A854" s="45">
        <f t="shared" ca="1" si="54"/>
        <v>6.3116552155726757E-9</v>
      </c>
      <c r="B854" s="18">
        <f>-SUMIFS(Projetos!$F$2:$F$11,Projetos!$D$2:$D$11,"BRL",Projetos!$N$2:$N$11,Dados!$A854)</f>
        <v>0</v>
      </c>
      <c r="C854" s="45">
        <f ca="1">(A854+B854)*((Indicadores_Economicos!D$2+1)^(1/12)-1)</f>
        <v>2.0662716770743534E-11</v>
      </c>
      <c r="D854" s="18">
        <f>SUMIFS(Projetos!$G$2:$G$11,Projetos!$K$2:$K$11,"&lt;="&amp;Dados!$A854,Projetos!$N$2:$N$11,"&gt;"&amp;Dados!A854,Projetos!$D$2:$D$11,"BRL")</f>
        <v>0</v>
      </c>
      <c r="E854" s="18">
        <f t="shared" ca="1" si="52"/>
        <v>6.3323179323434192E-9</v>
      </c>
      <c r="G854" s="45">
        <f t="shared" ca="1" si="55"/>
        <v>4.8551193965943596E-9</v>
      </c>
      <c r="H854" s="18">
        <f>-SUMIFS(Projetos!$F$2:$F$11,Projetos!$D$2:$D$11,"USD",Projetos!$N$2:$N$11,Dados!$A854)</f>
        <v>0</v>
      </c>
      <c r="I854" s="45">
        <f ca="1">(G854+H854)*((Indicadores_Economicos!D$2+1)^(1/12)-1)</f>
        <v>1.5894397515956545E-11</v>
      </c>
      <c r="J854" s="18">
        <f>SUMIFS(Projetos!$G$2:$G$11,Projetos!$K$2:$K$11,"&lt;="&amp;Dados!$A854,Projetos!$N$2:$N$11,"&gt;"&amp;Dados!$A854,Projetos!$D$2:$D$11,"USD")</f>
        <v>0</v>
      </c>
      <c r="K854" s="18">
        <f t="shared" ca="1" si="53"/>
        <v>4.8710137941103157E-9</v>
      </c>
    </row>
    <row r="855" spans="1:11" x14ac:dyDescent="0.2">
      <c r="A855" s="45">
        <f t="shared" ca="1" si="54"/>
        <v>6.3323179323434192E-9</v>
      </c>
      <c r="B855" s="18">
        <f>-SUMIFS(Projetos!$F$2:$F$11,Projetos!$D$2:$D$11,"BRL",Projetos!$N$2:$N$11,Dados!$A855)</f>
        <v>0</v>
      </c>
      <c r="C855" s="45">
        <f ca="1">(A855+B855)*((Indicadores_Economicos!D$2+1)^(1/12)-1)</f>
        <v>2.0730361128644225E-11</v>
      </c>
      <c r="D855" s="18">
        <f>SUMIFS(Projetos!$G$2:$G$11,Projetos!$K$2:$K$11,"&lt;="&amp;Dados!$A855,Projetos!$N$2:$N$11,"&gt;"&amp;Dados!A855,Projetos!$D$2:$D$11,"BRL")</f>
        <v>0</v>
      </c>
      <c r="E855" s="18">
        <f t="shared" ca="1" si="52"/>
        <v>6.353048293472063E-9</v>
      </c>
      <c r="G855" s="45">
        <f t="shared" ca="1" si="55"/>
        <v>4.8710137941103157E-9</v>
      </c>
      <c r="H855" s="18">
        <f>-SUMIFS(Projetos!$F$2:$F$11,Projetos!$D$2:$D$11,"USD",Projetos!$N$2:$N$11,Dados!$A855)</f>
        <v>0</v>
      </c>
      <c r="I855" s="45">
        <f ca="1">(G855+H855)*((Indicadores_Economicos!D$2+1)^(1/12)-1)</f>
        <v>1.5946431637418612E-11</v>
      </c>
      <c r="J855" s="18">
        <f>SUMIFS(Projetos!$G$2:$G$11,Projetos!$K$2:$K$11,"&lt;="&amp;Dados!$A855,Projetos!$N$2:$N$11,"&gt;"&amp;Dados!$A855,Projetos!$D$2:$D$11,"USD")</f>
        <v>0</v>
      </c>
      <c r="K855" s="18">
        <f t="shared" ca="1" si="53"/>
        <v>4.8869602257477344E-9</v>
      </c>
    </row>
    <row r="856" spans="1:11" x14ac:dyDescent="0.2">
      <c r="A856" s="45">
        <f t="shared" ca="1" si="54"/>
        <v>6.353048293472063E-9</v>
      </c>
      <c r="B856" s="18">
        <f>-SUMIFS(Projetos!$F$2:$F$11,Projetos!$D$2:$D$11,"BRL",Projetos!$N$2:$N$11,Dados!$A856)</f>
        <v>0</v>
      </c>
      <c r="C856" s="45">
        <f ca="1">(A856+B856)*((Indicadores_Economicos!D$2+1)^(1/12)-1)</f>
        <v>2.0798226936570417E-11</v>
      </c>
      <c r="D856" s="18">
        <f>SUMIFS(Projetos!$G$2:$G$11,Projetos!$K$2:$K$11,"&lt;="&amp;Dados!$A856,Projetos!$N$2:$N$11,"&gt;"&amp;Dados!A856,Projetos!$D$2:$D$11,"BRL")</f>
        <v>0</v>
      </c>
      <c r="E856" s="18">
        <f t="shared" ca="1" si="52"/>
        <v>6.3738465204086331E-9</v>
      </c>
      <c r="G856" s="45">
        <f t="shared" ca="1" si="55"/>
        <v>4.8869602257477344E-9</v>
      </c>
      <c r="H856" s="18">
        <f>-SUMIFS(Projetos!$F$2:$F$11,Projetos!$D$2:$D$11,"USD",Projetos!$N$2:$N$11,Dados!$A856)</f>
        <v>0</v>
      </c>
      <c r="I856" s="45">
        <f ca="1">(G856+H856)*((Indicadores_Economicos!D$2+1)^(1/12)-1)</f>
        <v>1.5998636105054145E-11</v>
      </c>
      <c r="J856" s="18">
        <f>SUMIFS(Projetos!$G$2:$G$11,Projetos!$K$2:$K$11,"&lt;="&amp;Dados!$A856,Projetos!$N$2:$N$11,"&gt;"&amp;Dados!$A856,Projetos!$D$2:$D$11,"USD")</f>
        <v>0</v>
      </c>
      <c r="K856" s="18">
        <f t="shared" ca="1" si="53"/>
        <v>4.9029588618527887E-9</v>
      </c>
    </row>
    <row r="857" spans="1:11" x14ac:dyDescent="0.2">
      <c r="A857" s="45">
        <f t="shared" ca="1" si="54"/>
        <v>6.3738465204086331E-9</v>
      </c>
      <c r="B857" s="18">
        <f>-SUMIFS(Projetos!$F$2:$F$11,Projetos!$D$2:$D$11,"BRL",Projetos!$N$2:$N$11,Dados!$A857)</f>
        <v>0</v>
      </c>
      <c r="C857" s="45">
        <f ca="1">(A857+B857)*((Indicadores_Economicos!D$2+1)^(1/12)-1)</f>
        <v>2.0866314919491868E-11</v>
      </c>
      <c r="D857" s="18">
        <f>SUMIFS(Projetos!$G$2:$G$11,Projetos!$K$2:$K$11,"&lt;="&amp;Dados!$A857,Projetos!$N$2:$N$11,"&gt;"&amp;Dados!A857,Projetos!$D$2:$D$11,"BRL")</f>
        <v>0</v>
      </c>
      <c r="E857" s="18">
        <f t="shared" ca="1" si="52"/>
        <v>6.3947128353281252E-9</v>
      </c>
      <c r="G857" s="45">
        <f t="shared" ca="1" si="55"/>
        <v>4.9029588618527887E-9</v>
      </c>
      <c r="H857" s="18">
        <f>-SUMIFS(Projetos!$F$2:$F$11,Projetos!$D$2:$D$11,"USD",Projetos!$N$2:$N$11,Dados!$A857)</f>
        <v>0</v>
      </c>
      <c r="I857" s="45">
        <f ca="1">(G857+H857)*((Indicadores_Economicos!D$2+1)^(1/12)-1)</f>
        <v>1.6051011476532186E-11</v>
      </c>
      <c r="J857" s="18">
        <f>SUMIFS(Projetos!$G$2:$G$11,Projetos!$K$2:$K$11,"&lt;="&amp;Dados!$A857,Projetos!$N$2:$N$11,"&gt;"&amp;Dados!$A857,Projetos!$D$2:$D$11,"USD")</f>
        <v>0</v>
      </c>
      <c r="K857" s="18">
        <f t="shared" ca="1" si="53"/>
        <v>4.9190098733293205E-9</v>
      </c>
    </row>
    <row r="858" spans="1:11" x14ac:dyDescent="0.2">
      <c r="A858" s="45">
        <f t="shared" ca="1" si="54"/>
        <v>6.3947128353281252E-9</v>
      </c>
      <c r="B858" s="18">
        <f>-SUMIFS(Projetos!$F$2:$F$11,Projetos!$D$2:$D$11,"BRL",Projetos!$N$2:$N$11,Dados!$A858)</f>
        <v>0</v>
      </c>
      <c r="C858" s="45">
        <f ca="1">(A858+B858)*((Indicadores_Economicos!D$2+1)^(1/12)-1)</f>
        <v>2.0934625804751701E-11</v>
      </c>
      <c r="D858" s="18">
        <f>SUMIFS(Projetos!$G$2:$G$11,Projetos!$K$2:$K$11,"&lt;="&amp;Dados!$A858,Projetos!$N$2:$N$11,"&gt;"&amp;Dados!A858,Projetos!$D$2:$D$11,"BRL")</f>
        <v>0</v>
      </c>
      <c r="E858" s="18">
        <f t="shared" ca="1" si="52"/>
        <v>6.4156474611328769E-9</v>
      </c>
      <c r="G858" s="45">
        <f t="shared" ca="1" si="55"/>
        <v>4.9190098733293205E-9</v>
      </c>
      <c r="H858" s="18">
        <f>-SUMIFS(Projetos!$F$2:$F$11,Projetos!$D$2:$D$11,"USD",Projetos!$N$2:$N$11,Dados!$A858)</f>
        <v>0</v>
      </c>
      <c r="I858" s="45">
        <f ca="1">(G858+H858)*((Indicadores_Economicos!D$2+1)^(1/12)-1)</f>
        <v>1.6103558311347438E-11</v>
      </c>
      <c r="J858" s="18">
        <f>SUMIFS(Projetos!$G$2:$G$11,Projetos!$K$2:$K$11,"&lt;="&amp;Dados!$A858,Projetos!$N$2:$N$11,"&gt;"&amp;Dados!$A858,Projetos!$D$2:$D$11,"USD")</f>
        <v>0</v>
      </c>
      <c r="K858" s="18">
        <f t="shared" ca="1" si="53"/>
        <v>4.9351134316406682E-9</v>
      </c>
    </row>
    <row r="859" spans="1:11" x14ac:dyDescent="0.2">
      <c r="A859" s="45">
        <f t="shared" ca="1" si="54"/>
        <v>6.4156474611328769E-9</v>
      </c>
      <c r="B859" s="18">
        <f>-SUMIFS(Projetos!$F$2:$F$11,Projetos!$D$2:$D$11,"BRL",Projetos!$N$2:$N$11,Dados!$A859)</f>
        <v>0</v>
      </c>
      <c r="C859" s="45">
        <f ca="1">(A859+B859)*((Indicadores_Economicos!D$2+1)^(1/12)-1)</f>
        <v>2.1003160322074162E-11</v>
      </c>
      <c r="D859" s="18">
        <f>SUMIFS(Projetos!$G$2:$G$11,Projetos!$K$2:$K$11,"&lt;="&amp;Dados!$A859,Projetos!$N$2:$N$11,"&gt;"&amp;Dados!A859,Projetos!$D$2:$D$11,"BRL")</f>
        <v>0</v>
      </c>
      <c r="E859" s="18">
        <f t="shared" ca="1" si="52"/>
        <v>6.4366506214549511E-9</v>
      </c>
      <c r="G859" s="45">
        <f t="shared" ca="1" si="55"/>
        <v>4.9351134316406682E-9</v>
      </c>
      <c r="H859" s="18">
        <f>-SUMIFS(Projetos!$F$2:$F$11,Projetos!$D$2:$D$11,"USD",Projetos!$N$2:$N$11,Dados!$A859)</f>
        <v>0</v>
      </c>
      <c r="I859" s="45">
        <f ca="1">(G859+H859)*((Indicadores_Economicos!D$2+1)^(1/12)-1)</f>
        <v>1.6156277170826259E-11</v>
      </c>
      <c r="J859" s="18">
        <f>SUMIFS(Projetos!$G$2:$G$11,Projetos!$K$2:$K$11,"&lt;="&amp;Dados!$A859,Projetos!$N$2:$N$11,"&gt;"&amp;Dados!$A859,Projetos!$D$2:$D$11,"USD")</f>
        <v>0</v>
      </c>
      <c r="K859" s="18">
        <f t="shared" ca="1" si="53"/>
        <v>4.9512697088114942E-9</v>
      </c>
    </row>
    <row r="860" spans="1:11" x14ac:dyDescent="0.2">
      <c r="A860" s="45">
        <f t="shared" ca="1" si="54"/>
        <v>6.4366506214549511E-9</v>
      </c>
      <c r="B860" s="18">
        <f>-SUMIFS(Projetos!$F$2:$F$11,Projetos!$D$2:$D$11,"BRL",Projetos!$N$2:$N$11,Dados!$A860)</f>
        <v>0</v>
      </c>
      <c r="C860" s="45">
        <f ca="1">(A860+B860)*((Indicadores_Economicos!D$2+1)^(1/12)-1)</f>
        <v>2.1071919203572439E-11</v>
      </c>
      <c r="D860" s="18">
        <f>SUMIFS(Projetos!$G$2:$G$11,Projetos!$K$2:$K$11,"&lt;="&amp;Dados!$A860,Projetos!$N$2:$N$11,"&gt;"&amp;Dados!A860,Projetos!$D$2:$D$11,"BRL")</f>
        <v>0</v>
      </c>
      <c r="E860" s="18">
        <f t="shared" ca="1" si="52"/>
        <v>6.4577225406585235E-9</v>
      </c>
      <c r="G860" s="45">
        <f t="shared" ca="1" si="55"/>
        <v>4.9512697088114942E-9</v>
      </c>
      <c r="H860" s="18">
        <f>-SUMIFS(Projetos!$F$2:$F$11,Projetos!$D$2:$D$11,"USD",Projetos!$N$2:$N$11,Dados!$A860)</f>
        <v>0</v>
      </c>
      <c r="I860" s="45">
        <f ca="1">(G860+H860)*((Indicadores_Economicos!D$2+1)^(1/12)-1)</f>
        <v>1.6209168618132623E-11</v>
      </c>
      <c r="J860" s="18">
        <f>SUMIFS(Projetos!$G$2:$G$11,Projetos!$K$2:$K$11,"&lt;="&amp;Dados!$A860,Projetos!$N$2:$N$11,"&gt;"&amp;Dados!$A860,Projetos!$D$2:$D$11,"USD")</f>
        <v>0</v>
      </c>
      <c r="K860" s="18">
        <f t="shared" ca="1" si="53"/>
        <v>4.9674788774296271E-9</v>
      </c>
    </row>
    <row r="861" spans="1:11" x14ac:dyDescent="0.2">
      <c r="A861" s="45">
        <f t="shared" ca="1" si="54"/>
        <v>6.4577225406585235E-9</v>
      </c>
      <c r="B861" s="18">
        <f>-SUMIFS(Projetos!$F$2:$F$11,Projetos!$D$2:$D$11,"BRL",Projetos!$N$2:$N$11,Dados!$A861)</f>
        <v>0</v>
      </c>
      <c r="C861" s="45">
        <f ca="1">(A861+B861)*((Indicadores_Economicos!D$2+1)^(1/12)-1)</f>
        <v>2.1140903183756456E-11</v>
      </c>
      <c r="D861" s="18">
        <f>SUMIFS(Projetos!$G$2:$G$11,Projetos!$K$2:$K$11,"&lt;="&amp;Dados!$A861,Projetos!$N$2:$N$11,"&gt;"&amp;Dados!A861,Projetos!$D$2:$D$11,"BRL")</f>
        <v>0</v>
      </c>
      <c r="E861" s="18">
        <f t="shared" ca="1" si="52"/>
        <v>6.4788634438422797E-9</v>
      </c>
      <c r="G861" s="45">
        <f t="shared" ca="1" si="55"/>
        <v>4.9674788774296271E-9</v>
      </c>
      <c r="H861" s="18">
        <f>-SUMIFS(Projetos!$F$2:$F$11,Projetos!$D$2:$D$11,"USD",Projetos!$N$2:$N$11,Dados!$A861)</f>
        <v>0</v>
      </c>
      <c r="I861" s="45">
        <f ca="1">(G861+H861)*((Indicadores_Economicos!D$2+1)^(1/12)-1)</f>
        <v>1.6262233218274175E-11</v>
      </c>
      <c r="J861" s="18">
        <f>SUMIFS(Projetos!$G$2:$G$11,Projetos!$K$2:$K$11,"&lt;="&amp;Dados!$A861,Projetos!$N$2:$N$11,"&gt;"&amp;Dados!$A861,Projetos!$D$2:$D$11,"USD")</f>
        <v>0</v>
      </c>
      <c r="K861" s="18">
        <f t="shared" ca="1" si="53"/>
        <v>4.983741110647901E-9</v>
      </c>
    </row>
    <row r="862" spans="1:11" x14ac:dyDescent="0.2">
      <c r="A862" s="45">
        <f t="shared" ca="1" si="54"/>
        <v>6.4788634438422797E-9</v>
      </c>
      <c r="B862" s="18">
        <f>-SUMIFS(Projetos!$F$2:$F$11,Projetos!$D$2:$D$11,"BRL",Projetos!$N$2:$N$11,Dados!$A862)</f>
        <v>0</v>
      </c>
      <c r="C862" s="45">
        <f ca="1">(A862+B862)*((Indicadores_Economicos!D$2+1)^(1/12)-1)</f>
        <v>2.1210112999540735E-11</v>
      </c>
      <c r="D862" s="18">
        <f>SUMIFS(Projetos!$G$2:$G$11,Projetos!$K$2:$K$11,"&lt;="&amp;Dados!$A862,Projetos!$N$2:$N$11,"&gt;"&amp;Dados!A862,Projetos!$D$2:$D$11,"BRL")</f>
        <v>0</v>
      </c>
      <c r="E862" s="18">
        <f t="shared" ca="1" si="52"/>
        <v>6.5000735568418207E-9</v>
      </c>
      <c r="G862" s="45">
        <f t="shared" ca="1" si="55"/>
        <v>4.983741110647901E-9</v>
      </c>
      <c r="H862" s="18">
        <f>-SUMIFS(Projetos!$F$2:$F$11,Projetos!$D$2:$D$11,"USD",Projetos!$N$2:$N$11,Dados!$A862)</f>
        <v>0</v>
      </c>
      <c r="I862" s="45">
        <f ca="1">(G862+H862)*((Indicadores_Economicos!D$2+1)^(1/12)-1)</f>
        <v>1.6315471538108235E-11</v>
      </c>
      <c r="J862" s="18">
        <f>SUMIFS(Projetos!$G$2:$G$11,Projetos!$K$2:$K$11,"&lt;="&amp;Dados!$A862,Projetos!$N$2:$N$11,"&gt;"&amp;Dados!$A862,Projetos!$D$2:$D$11,"USD")</f>
        <v>0</v>
      </c>
      <c r="K862" s="18">
        <f t="shared" ca="1" si="53"/>
        <v>5.0000565821860095E-9</v>
      </c>
    </row>
    <row r="863" spans="1:11" x14ac:dyDescent="0.2">
      <c r="A863" s="45">
        <f t="shared" ca="1" si="54"/>
        <v>6.5000735568418207E-9</v>
      </c>
      <c r="B863" s="18">
        <f>-SUMIFS(Projetos!$F$2:$F$11,Projetos!$D$2:$D$11,"BRL",Projetos!$N$2:$N$11,Dados!$A863)</f>
        <v>0</v>
      </c>
      <c r="C863" s="45">
        <f ca="1">(A863+B863)*((Indicadores_Economicos!D$2+1)^(1/12)-1)</f>
        <v>2.1279549390252266E-11</v>
      </c>
      <c r="D863" s="18">
        <f>SUMIFS(Projetos!$G$2:$G$11,Projetos!$K$2:$K$11,"&lt;="&amp;Dados!$A863,Projetos!$N$2:$N$11,"&gt;"&amp;Dados!A863,Projetos!$D$2:$D$11,"BRL")</f>
        <v>0</v>
      </c>
      <c r="E863" s="18">
        <f t="shared" ca="1" si="52"/>
        <v>6.5213531062320732E-9</v>
      </c>
      <c r="G863" s="45">
        <f t="shared" ca="1" si="55"/>
        <v>5.0000565821860095E-9</v>
      </c>
      <c r="H863" s="18">
        <f>-SUMIFS(Projetos!$F$2:$F$11,Projetos!$D$2:$D$11,"USD",Projetos!$N$2:$N$11,Dados!$A863)</f>
        <v>0</v>
      </c>
      <c r="I863" s="45">
        <f ca="1">(G863+H863)*((Indicadores_Economicos!D$2+1)^(1/12)-1)</f>
        <v>1.6368884146347876E-11</v>
      </c>
      <c r="J863" s="18">
        <f>SUMIFS(Projetos!$G$2:$G$11,Projetos!$K$2:$K$11,"&lt;="&amp;Dados!$A863,Projetos!$N$2:$N$11,"&gt;"&amp;Dados!$A863,Projetos!$D$2:$D$11,"USD")</f>
        <v>0</v>
      </c>
      <c r="K863" s="18">
        <f t="shared" ca="1" si="53"/>
        <v>5.0164254663323578E-9</v>
      </c>
    </row>
    <row r="864" spans="1:11" x14ac:dyDescent="0.2">
      <c r="A864" s="45">
        <f t="shared" ca="1" si="54"/>
        <v>6.5213531062320732E-9</v>
      </c>
      <c r="B864" s="18">
        <f>-SUMIFS(Projetos!$F$2:$F$11,Projetos!$D$2:$D$11,"BRL",Projetos!$N$2:$N$11,Dados!$A864)</f>
        <v>0</v>
      </c>
      <c r="C864" s="45">
        <f ca="1">(A864+B864)*((Indicadores_Economicos!D$2+1)^(1/12)-1)</f>
        <v>2.1349213097638403E-11</v>
      </c>
      <c r="D864" s="18">
        <f>SUMIFS(Projetos!$G$2:$G$11,Projetos!$K$2:$K$11,"&lt;="&amp;Dados!$A864,Projetos!$N$2:$N$11,"&gt;"&amp;Dados!A864,Projetos!$D$2:$D$11,"BRL")</f>
        <v>0</v>
      </c>
      <c r="E864" s="18">
        <f t="shared" ca="1" si="52"/>
        <v>6.5427023193297117E-9</v>
      </c>
      <c r="G864" s="45">
        <f t="shared" ca="1" si="55"/>
        <v>5.0164254663323578E-9</v>
      </c>
      <c r="H864" s="18">
        <f>-SUMIFS(Projetos!$F$2:$F$11,Projetos!$D$2:$D$11,"USD",Projetos!$N$2:$N$11,Dados!$A864)</f>
        <v>0</v>
      </c>
      <c r="I864" s="45">
        <f ca="1">(G864+H864)*((Indicadores_Economicos!D$2+1)^(1/12)-1)</f>
        <v>1.642247161356798E-11</v>
      </c>
      <c r="J864" s="18">
        <f>SUMIFS(Projetos!$G$2:$G$11,Projetos!$K$2:$K$11,"&lt;="&amp;Dados!$A864,Projetos!$N$2:$N$11,"&gt;"&amp;Dados!$A864,Projetos!$D$2:$D$11,"USD")</f>
        <v>0</v>
      </c>
      <c r="K864" s="18">
        <f t="shared" ca="1" si="53"/>
        <v>5.032847937945926E-9</v>
      </c>
    </row>
    <row r="865" spans="1:11" x14ac:dyDescent="0.2">
      <c r="A865" s="45">
        <f t="shared" ca="1" si="54"/>
        <v>6.5427023193297117E-9</v>
      </c>
      <c r="B865" s="18">
        <f>-SUMIFS(Projetos!$F$2:$F$11,Projetos!$D$2:$D$11,"BRL",Projetos!$N$2:$N$11,Dados!$A865)</f>
        <v>0</v>
      </c>
      <c r="C865" s="45">
        <f ca="1">(A865+B865)*((Indicadores_Economicos!D$2+1)^(1/12)-1)</f>
        <v>2.1419104865874782E-11</v>
      </c>
      <c r="D865" s="18">
        <f>SUMIFS(Projetos!$G$2:$G$11,Projetos!$K$2:$K$11,"&lt;="&amp;Dados!$A865,Projetos!$N$2:$N$11,"&gt;"&amp;Dados!A865,Projetos!$D$2:$D$11,"BRL")</f>
        <v>0</v>
      </c>
      <c r="E865" s="18">
        <f t="shared" ca="1" si="52"/>
        <v>6.5641214241955862E-9</v>
      </c>
      <c r="G865" s="45">
        <f t="shared" ca="1" si="55"/>
        <v>5.032847937945926E-9</v>
      </c>
      <c r="H865" s="18">
        <f>-SUMIFS(Projetos!$F$2:$F$11,Projetos!$D$2:$D$11,"USD",Projetos!$N$2:$N$11,Dados!$A865)</f>
        <v>0</v>
      </c>
      <c r="I865" s="45">
        <f ca="1">(G865+H865)*((Indicadores_Economicos!D$2+1)^(1/12)-1)</f>
        <v>1.6476234512211352E-11</v>
      </c>
      <c r="J865" s="18">
        <f>SUMIFS(Projetos!$G$2:$G$11,Projetos!$K$2:$K$11,"&lt;="&amp;Dados!$A865,Projetos!$N$2:$N$11,"&gt;"&amp;Dados!$A865,Projetos!$D$2:$D$11,"USD")</f>
        <v>0</v>
      </c>
      <c r="K865" s="18">
        <f t="shared" ca="1" si="53"/>
        <v>5.0493241724581374E-9</v>
      </c>
    </row>
    <row r="866" spans="1:11" x14ac:dyDescent="0.2">
      <c r="A866" s="45">
        <f t="shared" ca="1" si="54"/>
        <v>6.5641214241955862E-9</v>
      </c>
      <c r="B866" s="18">
        <f>-SUMIFS(Projetos!$F$2:$F$11,Projetos!$D$2:$D$11,"BRL",Projetos!$N$2:$N$11,Dados!$A866)</f>
        <v>0</v>
      </c>
      <c r="C866" s="45">
        <f ca="1">(A866+B866)*((Indicadores_Economicos!D$2+1)^(1/12)-1)</f>
        <v>2.1489225441573287E-11</v>
      </c>
      <c r="D866" s="18">
        <f>SUMIFS(Projetos!$G$2:$G$11,Projetos!$K$2:$K$11,"&lt;="&amp;Dados!$A866,Projetos!$N$2:$N$11,"&gt;"&amp;Dados!A866,Projetos!$D$2:$D$11,"BRL")</f>
        <v>0</v>
      </c>
      <c r="E866" s="18">
        <f t="shared" ca="1" si="52"/>
        <v>6.5856106496371599E-9</v>
      </c>
      <c r="G866" s="45">
        <f t="shared" ca="1" si="55"/>
        <v>5.0493241724581374E-9</v>
      </c>
      <c r="H866" s="18">
        <f>-SUMIFS(Projetos!$F$2:$F$11,Projetos!$D$2:$D$11,"USD",Projetos!$N$2:$N$11,Dados!$A866)</f>
        <v>0</v>
      </c>
      <c r="I866" s="45">
        <f ca="1">(G866+H866)*((Indicadores_Economicos!D$2+1)^(1/12)-1)</f>
        <v>1.6530173416594817E-11</v>
      </c>
      <c r="J866" s="18">
        <f>SUMIFS(Projetos!$G$2:$G$11,Projetos!$K$2:$K$11,"&lt;="&amp;Dados!$A866,Projetos!$N$2:$N$11,"&gt;"&amp;Dados!$A866,Projetos!$D$2:$D$11,"USD")</f>
        <v>0</v>
      </c>
      <c r="K866" s="18">
        <f t="shared" ca="1" si="53"/>
        <v>5.0658543458747324E-9</v>
      </c>
    </row>
    <row r="867" spans="1:11" x14ac:dyDescent="0.2">
      <c r="A867" s="45">
        <f t="shared" ca="1" si="54"/>
        <v>6.5856106496371599E-9</v>
      </c>
      <c r="B867" s="18">
        <f>-SUMIFS(Projetos!$F$2:$F$11,Projetos!$D$2:$D$11,"BRL",Projetos!$N$2:$N$11,Dados!$A867)</f>
        <v>0</v>
      </c>
      <c r="C867" s="45">
        <f ca="1">(A867+B867)*((Indicadores_Economicos!D$2+1)^(1/12)-1)</f>
        <v>2.1559575573790008E-11</v>
      </c>
      <c r="D867" s="18">
        <f>SUMIFS(Projetos!$G$2:$G$11,Projetos!$K$2:$K$11,"&lt;="&amp;Dados!$A867,Projetos!$N$2:$N$11,"&gt;"&amp;Dados!A867,Projetos!$D$2:$D$11,"BRL")</f>
        <v>0</v>
      </c>
      <c r="E867" s="18">
        <f t="shared" ca="1" si="52"/>
        <v>6.6071702252109502E-9</v>
      </c>
      <c r="G867" s="45">
        <f t="shared" ca="1" si="55"/>
        <v>5.0658543458747324E-9</v>
      </c>
      <c r="H867" s="18">
        <f>-SUMIFS(Projetos!$F$2:$F$11,Projetos!$D$2:$D$11,"USD",Projetos!$N$2:$N$11,Dados!$A867)</f>
        <v>0</v>
      </c>
      <c r="I867" s="45">
        <f ca="1">(G867+H867)*((Indicadores_Economicos!D$2+1)^(1/12)-1)</f>
        <v>1.6584288902915372E-11</v>
      </c>
      <c r="J867" s="18">
        <f>SUMIFS(Projetos!$G$2:$G$11,Projetos!$K$2:$K$11,"&lt;="&amp;Dados!$A867,Projetos!$N$2:$N$11,"&gt;"&amp;Dados!$A867,Projetos!$D$2:$D$11,"USD")</f>
        <v>0</v>
      </c>
      <c r="K867" s="18">
        <f t="shared" ca="1" si="53"/>
        <v>5.082438634777648E-9</v>
      </c>
    </row>
    <row r="868" spans="1:11" x14ac:dyDescent="0.2">
      <c r="A868" s="45">
        <f t="shared" ca="1" si="54"/>
        <v>6.6071702252109502E-9</v>
      </c>
      <c r="B868" s="18">
        <f>-SUMIFS(Projetos!$F$2:$F$11,Projetos!$D$2:$D$11,"BRL",Projetos!$N$2:$N$11,Dados!$A868)</f>
        <v>0</v>
      </c>
      <c r="C868" s="45">
        <f ca="1">(A868+B868)*((Indicadores_Economicos!D$2+1)^(1/12)-1)</f>
        <v>2.1630156014033248E-11</v>
      </c>
      <c r="D868" s="18">
        <f>SUMIFS(Projetos!$G$2:$G$11,Projetos!$K$2:$K$11,"&lt;="&amp;Dados!$A868,Projetos!$N$2:$N$11,"&gt;"&amp;Dados!A868,Projetos!$D$2:$D$11,"BRL")</f>
        <v>0</v>
      </c>
      <c r="E868" s="18">
        <f t="shared" ca="1" si="52"/>
        <v>6.6288003812249831E-9</v>
      </c>
      <c r="G868" s="45">
        <f t="shared" ca="1" si="55"/>
        <v>5.082438634777648E-9</v>
      </c>
      <c r="H868" s="18">
        <f>-SUMIFS(Projetos!$F$2:$F$11,Projetos!$D$2:$D$11,"USD",Projetos!$N$2:$N$11,Dados!$A868)</f>
        <v>0</v>
      </c>
      <c r="I868" s="45">
        <f ca="1">(G868+H868)*((Indicadores_Economicos!D$2+1)^(1/12)-1)</f>
        <v>1.6638581549256326E-11</v>
      </c>
      <c r="J868" s="18">
        <f>SUMIFS(Projetos!$G$2:$G$11,Projetos!$K$2:$K$11,"&lt;="&amp;Dados!$A868,Projetos!$N$2:$N$11,"&gt;"&amp;Dados!$A868,Projetos!$D$2:$D$11,"USD")</f>
        <v>0</v>
      </c>
      <c r="K868" s="18">
        <f t="shared" ca="1" si="53"/>
        <v>5.0990772163269047E-9</v>
      </c>
    </row>
    <row r="869" spans="1:11" x14ac:dyDescent="0.2">
      <c r="A869" s="45">
        <f t="shared" ca="1" si="54"/>
        <v>6.6288003812249831E-9</v>
      </c>
      <c r="B869" s="18">
        <f>-SUMIFS(Projetos!$F$2:$F$11,Projetos!$D$2:$D$11,"BRL",Projetos!$N$2:$N$11,Dados!$A869)</f>
        <v>0</v>
      </c>
      <c r="C869" s="45">
        <f ca="1">(A869+B869)*((Indicadores_Economicos!D$2+1)^(1/12)-1)</f>
        <v>2.1700967516271557E-11</v>
      </c>
      <c r="D869" s="18">
        <f>SUMIFS(Projetos!$G$2:$G$11,Projetos!$K$2:$K$11,"&lt;="&amp;Dados!$A869,Projetos!$N$2:$N$11,"&gt;"&amp;Dados!A869,Projetos!$D$2:$D$11,"BRL")</f>
        <v>0</v>
      </c>
      <c r="E869" s="18">
        <f t="shared" ca="1" si="52"/>
        <v>6.6505013487412546E-9</v>
      </c>
      <c r="G869" s="45">
        <f t="shared" ca="1" si="55"/>
        <v>5.0990772163269047E-9</v>
      </c>
      <c r="H869" s="18">
        <f>-SUMIFS(Projetos!$F$2:$F$11,Projetos!$D$2:$D$11,"USD",Projetos!$N$2:$N$11,Dados!$A869)</f>
        <v>0</v>
      </c>
      <c r="I869" s="45">
        <f ca="1">(G869+H869)*((Indicadores_Economicos!D$2+1)^(1/12)-1)</f>
        <v>1.6693051935593488E-11</v>
      </c>
      <c r="J869" s="18">
        <f>SUMIFS(Projetos!$G$2:$G$11,Projetos!$K$2:$K$11,"&lt;="&amp;Dados!$A869,Projetos!$N$2:$N$11,"&gt;"&amp;Dados!$A869,Projetos!$D$2:$D$11,"USD")</f>
        <v>0</v>
      </c>
      <c r="K869" s="18">
        <f t="shared" ca="1" si="53"/>
        <v>5.1157702682624982E-9</v>
      </c>
    </row>
    <row r="870" spans="1:11" x14ac:dyDescent="0.2">
      <c r="A870" s="45">
        <f t="shared" ca="1" si="54"/>
        <v>6.6505013487412546E-9</v>
      </c>
      <c r="B870" s="18">
        <f>-SUMIFS(Projetos!$F$2:$F$11,Projetos!$D$2:$D$11,"BRL",Projetos!$N$2:$N$11,Dados!$A870)</f>
        <v>0</v>
      </c>
      <c r="C870" s="45">
        <f ca="1">(A870+B870)*((Indicadores_Economicos!D$2+1)^(1/12)-1)</f>
        <v>2.1772010836941783E-11</v>
      </c>
      <c r="D870" s="18">
        <f>SUMIFS(Projetos!$G$2:$G$11,Projetos!$K$2:$K$11,"&lt;="&amp;Dados!$A870,Projetos!$N$2:$N$11,"&gt;"&amp;Dados!A870,Projetos!$D$2:$D$11,"BRL")</f>
        <v>0</v>
      </c>
      <c r="E870" s="18">
        <f t="shared" ca="1" si="52"/>
        <v>6.672273359578196E-9</v>
      </c>
      <c r="G870" s="45">
        <f t="shared" ca="1" si="55"/>
        <v>5.1157702682624982E-9</v>
      </c>
      <c r="H870" s="18">
        <f>-SUMIFS(Projetos!$F$2:$F$11,Projetos!$D$2:$D$11,"USD",Projetos!$N$2:$N$11,Dados!$A870)</f>
        <v>0</v>
      </c>
      <c r="I870" s="45">
        <f ca="1">(G870+H870)*((Indicadores_Economicos!D$2+1)^(1/12)-1)</f>
        <v>1.6747700643801353E-11</v>
      </c>
      <c r="J870" s="18">
        <f>SUMIFS(Projetos!$G$2:$G$11,Projetos!$K$2:$K$11,"&lt;="&amp;Dados!$A870,Projetos!$N$2:$N$11,"&gt;"&amp;Dados!$A870,Projetos!$D$2:$D$11,"USD")</f>
        <v>0</v>
      </c>
      <c r="K870" s="18">
        <f t="shared" ca="1" si="53"/>
        <v>5.1325179689062995E-9</v>
      </c>
    </row>
    <row r="871" spans="1:11" x14ac:dyDescent="0.2">
      <c r="A871" s="45">
        <f t="shared" ca="1" si="54"/>
        <v>6.672273359578196E-9</v>
      </c>
      <c r="B871" s="18">
        <f>-SUMIFS(Projetos!$F$2:$F$11,Projetos!$D$2:$D$11,"BRL",Projetos!$N$2:$N$11,Dados!$A871)</f>
        <v>0</v>
      </c>
      <c r="C871" s="45">
        <f ca="1">(A871+B871)*((Indicadores_Economicos!D$2+1)^(1/12)-1)</f>
        <v>2.1843286734957143E-11</v>
      </c>
      <c r="D871" s="18">
        <f>SUMIFS(Projetos!$G$2:$G$11,Projetos!$K$2:$K$11,"&lt;="&amp;Dados!$A871,Projetos!$N$2:$N$11,"&gt;"&amp;Dados!A871,Projetos!$D$2:$D$11,"BRL")</f>
        <v>0</v>
      </c>
      <c r="E871" s="18">
        <f t="shared" ca="1" si="52"/>
        <v>6.6941166463131528E-9</v>
      </c>
      <c r="G871" s="45">
        <f t="shared" ca="1" si="55"/>
        <v>5.1325179689062995E-9</v>
      </c>
      <c r="H871" s="18">
        <f>-SUMIFS(Projetos!$F$2:$F$11,Projetos!$D$2:$D$11,"USD",Projetos!$N$2:$N$11,Dados!$A871)</f>
        <v>0</v>
      </c>
      <c r="I871" s="45">
        <f ca="1">(G871+H871)*((Indicadores_Economicos!D$2+1)^(1/12)-1)</f>
        <v>1.6802528257659324E-11</v>
      </c>
      <c r="J871" s="18">
        <f>SUMIFS(Projetos!$G$2:$G$11,Projetos!$K$2:$K$11,"&lt;="&amp;Dados!$A871,Projetos!$N$2:$N$11,"&gt;"&amp;Dados!$A871,Projetos!$D$2:$D$11,"USD")</f>
        <v>0</v>
      </c>
      <c r="K871" s="18">
        <f t="shared" ca="1" si="53"/>
        <v>5.1493204971639591E-9</v>
      </c>
    </row>
    <row r="872" spans="1:11" x14ac:dyDescent="0.2">
      <c r="A872" s="45">
        <f t="shared" ca="1" si="54"/>
        <v>6.6941166463131528E-9</v>
      </c>
      <c r="B872" s="18">
        <f>-SUMIFS(Projetos!$F$2:$F$11,Projetos!$D$2:$D$11,"BRL",Projetos!$N$2:$N$11,Dados!$A872)</f>
        <v>0</v>
      </c>
      <c r="C872" s="45">
        <f ca="1">(A872+B872)*((Indicadores_Economicos!D$2+1)^(1/12)-1)</f>
        <v>2.1914795971715349E-11</v>
      </c>
      <c r="D872" s="18">
        <f>SUMIFS(Projetos!$G$2:$G$11,Projetos!$K$2:$K$11,"&lt;="&amp;Dados!$A872,Projetos!$N$2:$N$11,"&gt;"&amp;Dados!A872,Projetos!$D$2:$D$11,"BRL")</f>
        <v>0</v>
      </c>
      <c r="E872" s="18">
        <f t="shared" ca="1" si="52"/>
        <v>6.7160314422848679E-9</v>
      </c>
      <c r="G872" s="45">
        <f t="shared" ca="1" si="55"/>
        <v>5.1493204971639591E-9</v>
      </c>
      <c r="H872" s="18">
        <f>-SUMIFS(Projetos!$F$2:$F$11,Projetos!$D$2:$D$11,"USD",Projetos!$N$2:$N$11,Dados!$A872)</f>
        <v>0</v>
      </c>
      <c r="I872" s="45">
        <f ca="1">(G872+H872)*((Indicadores_Economicos!D$2+1)^(1/12)-1)</f>
        <v>1.6857535362857945E-11</v>
      </c>
      <c r="J872" s="18">
        <f>SUMIFS(Projetos!$G$2:$G$11,Projetos!$K$2:$K$11,"&lt;="&amp;Dados!$A872,Projetos!$N$2:$N$11,"&gt;"&amp;Dados!$A872,Projetos!$D$2:$D$11,"USD")</f>
        <v>0</v>
      </c>
      <c r="K872" s="18">
        <f t="shared" ca="1" si="53"/>
        <v>5.1661780325268173E-9</v>
      </c>
    </row>
    <row r="873" spans="1:11" x14ac:dyDescent="0.2">
      <c r="A873" s="45">
        <f t="shared" ca="1" si="54"/>
        <v>6.7160314422848679E-9</v>
      </c>
      <c r="B873" s="18">
        <f>-SUMIFS(Projetos!$F$2:$F$11,Projetos!$D$2:$D$11,"BRL",Projetos!$N$2:$N$11,Dados!$A873)</f>
        <v>0</v>
      </c>
      <c r="C873" s="45">
        <f ca="1">(A873+B873)*((Indicadores_Economicos!D$2+1)^(1/12)-1)</f>
        <v>2.1986539311106724E-11</v>
      </c>
      <c r="D873" s="18">
        <f>SUMIFS(Projetos!$G$2:$G$11,Projetos!$K$2:$K$11,"&lt;="&amp;Dados!$A873,Projetos!$N$2:$N$11,"&gt;"&amp;Dados!A873,Projetos!$D$2:$D$11,"BRL")</f>
        <v>0</v>
      </c>
      <c r="E873" s="18">
        <f t="shared" ca="1" si="52"/>
        <v>6.7380179815959746E-9</v>
      </c>
      <c r="G873" s="45">
        <f t="shared" ca="1" si="55"/>
        <v>5.1661780325268173E-9</v>
      </c>
      <c r="H873" s="18">
        <f>-SUMIFS(Projetos!$F$2:$F$11,Projetos!$D$2:$D$11,"USD",Projetos!$N$2:$N$11,Dados!$A873)</f>
        <v>0</v>
      </c>
      <c r="I873" s="45">
        <f ca="1">(G873+H873)*((Indicadores_Economicos!D$2+1)^(1/12)-1)</f>
        <v>1.691272254700516E-11</v>
      </c>
      <c r="J873" s="18">
        <f>SUMIFS(Projetos!$G$2:$G$11,Projetos!$K$2:$K$11,"&lt;="&amp;Dados!$A873,Projetos!$N$2:$N$11,"&gt;"&amp;Dados!$A873,Projetos!$D$2:$D$11,"USD")</f>
        <v>0</v>
      </c>
      <c r="K873" s="18">
        <f t="shared" ca="1" si="53"/>
        <v>5.1830907550738224E-9</v>
      </c>
    </row>
    <row r="874" spans="1:11" x14ac:dyDescent="0.2">
      <c r="A874" s="45">
        <f t="shared" ca="1" si="54"/>
        <v>6.7380179815959746E-9</v>
      </c>
      <c r="B874" s="18">
        <f>-SUMIFS(Projetos!$F$2:$F$11,Projetos!$D$2:$D$11,"BRL",Projetos!$N$2:$N$11,Dados!$A874)</f>
        <v>0</v>
      </c>
      <c r="C874" s="45">
        <f ca="1">(A874+B874)*((Indicadores_Economicos!D$2+1)^(1/12)-1)</f>
        <v>2.2058517519522377E-11</v>
      </c>
      <c r="D874" s="18">
        <f>SUMIFS(Projetos!$G$2:$G$11,Projetos!$K$2:$K$11,"&lt;="&amp;Dados!$A874,Projetos!$N$2:$N$11,"&gt;"&amp;Dados!A874,Projetos!$D$2:$D$11,"BRL")</f>
        <v>0</v>
      </c>
      <c r="E874" s="18">
        <f t="shared" ca="1" si="52"/>
        <v>6.7600764991154968E-9</v>
      </c>
      <c r="G874" s="45">
        <f t="shared" ca="1" si="55"/>
        <v>5.1830907550738224E-9</v>
      </c>
      <c r="H874" s="18">
        <f>-SUMIFS(Projetos!$F$2:$F$11,Projetos!$D$2:$D$11,"USD",Projetos!$N$2:$N$11,Dados!$A874)</f>
        <v>0</v>
      </c>
      <c r="I874" s="45">
        <f ca="1">(G874+H874)*((Indicadores_Economicos!D$2+1)^(1/12)-1)</f>
        <v>1.6968090399632583E-11</v>
      </c>
      <c r="J874" s="18">
        <f>SUMIFS(Projetos!$G$2:$G$11,Projetos!$K$2:$K$11,"&lt;="&amp;Dados!$A874,Projetos!$N$2:$N$11,"&gt;"&amp;Dados!$A874,Projetos!$D$2:$D$11,"USD")</f>
        <v>0</v>
      </c>
      <c r="K874" s="18">
        <f t="shared" ca="1" si="53"/>
        <v>5.2000588454734551E-9</v>
      </c>
    </row>
    <row r="875" spans="1:11" x14ac:dyDescent="0.2">
      <c r="A875" s="45">
        <f t="shared" ca="1" si="54"/>
        <v>6.7600764991154968E-9</v>
      </c>
      <c r="B875" s="18">
        <f>-SUMIFS(Projetos!$F$2:$F$11,Projetos!$D$2:$D$11,"BRL",Projetos!$N$2:$N$11,Dados!$A875)</f>
        <v>0</v>
      </c>
      <c r="C875" s="45">
        <f ca="1">(A875+B875)*((Indicadores_Economicos!D$2+1)^(1/12)-1)</f>
        <v>2.2130731365862367E-11</v>
      </c>
      <c r="D875" s="18">
        <f>SUMIFS(Projetos!$G$2:$G$11,Projetos!$K$2:$K$11,"&lt;="&amp;Dados!$A875,Projetos!$N$2:$N$11,"&gt;"&amp;Dados!A875,Projetos!$D$2:$D$11,"BRL")</f>
        <v>0</v>
      </c>
      <c r="E875" s="18">
        <f t="shared" ca="1" si="52"/>
        <v>6.7822072304813589E-9</v>
      </c>
      <c r="G875" s="45">
        <f t="shared" ca="1" si="55"/>
        <v>5.2000588454734551E-9</v>
      </c>
      <c r="H875" s="18">
        <f>-SUMIFS(Projetos!$F$2:$F$11,Projetos!$D$2:$D$11,"USD",Projetos!$N$2:$N$11,Dados!$A875)</f>
        <v>0</v>
      </c>
      <c r="I875" s="45">
        <f ca="1">(G875+H875)*((Indicadores_Economicos!D$2+1)^(1/12)-1)</f>
        <v>1.7023639512201806E-11</v>
      </c>
      <c r="J875" s="18">
        <f>SUMIFS(Projetos!$G$2:$G$11,Projetos!$K$2:$K$11,"&lt;="&amp;Dados!$A875,Projetos!$N$2:$N$11,"&gt;"&amp;Dados!$A875,Projetos!$D$2:$D$11,"USD")</f>
        <v>0</v>
      </c>
      <c r="K875" s="18">
        <f t="shared" ca="1" si="53"/>
        <v>5.2170824849856573E-9</v>
      </c>
    </row>
    <row r="876" spans="1:11" x14ac:dyDescent="0.2">
      <c r="A876" s="45">
        <f t="shared" ca="1" si="54"/>
        <v>6.7822072304813589E-9</v>
      </c>
      <c r="B876" s="18">
        <f>-SUMIFS(Projetos!$F$2:$F$11,Projetos!$D$2:$D$11,"BRL",Projetos!$N$2:$N$11,Dados!$A876)</f>
        <v>0</v>
      </c>
      <c r="C876" s="45">
        <f ca="1">(A876+B876)*((Indicadores_Economicos!D$2+1)^(1/12)-1)</f>
        <v>2.2203181621543948E-11</v>
      </c>
      <c r="D876" s="18">
        <f>SUMIFS(Projetos!$G$2:$G$11,Projetos!$K$2:$K$11,"&lt;="&amp;Dados!$A876,Projetos!$N$2:$N$11,"&gt;"&amp;Dados!A876,Projetos!$D$2:$D$11,"BRL")</f>
        <v>0</v>
      </c>
      <c r="E876" s="18">
        <f t="shared" ca="1" si="52"/>
        <v>6.8044104121029024E-9</v>
      </c>
      <c r="G876" s="45">
        <f t="shared" ca="1" si="55"/>
        <v>5.2170824849856573E-9</v>
      </c>
      <c r="H876" s="18">
        <f>-SUMIFS(Projetos!$F$2:$F$11,Projetos!$D$2:$D$11,"USD",Projetos!$N$2:$N$11,Dados!$A876)</f>
        <v>0</v>
      </c>
      <c r="I876" s="45">
        <f ca="1">(G876+H876)*((Indicadores_Economicos!D$2+1)^(1/12)-1)</f>
        <v>1.7079370478110716E-11</v>
      </c>
      <c r="J876" s="18">
        <f>SUMIFS(Projetos!$G$2:$G$11,Projetos!$K$2:$K$11,"&lt;="&amp;Dados!$A876,Projetos!$N$2:$N$11,"&gt;"&amp;Dados!$A876,Projetos!$D$2:$D$11,"USD")</f>
        <v>0</v>
      </c>
      <c r="K876" s="18">
        <f t="shared" ca="1" si="53"/>
        <v>5.2341618554637681E-9</v>
      </c>
    </row>
    <row r="877" spans="1:11" x14ac:dyDescent="0.2">
      <c r="A877" s="45">
        <f t="shared" ca="1" si="54"/>
        <v>6.8044104121029024E-9</v>
      </c>
      <c r="B877" s="18">
        <f>-SUMIFS(Projetos!$F$2:$F$11,Projetos!$D$2:$D$11,"BRL",Projetos!$N$2:$N$11,Dados!$A877)</f>
        <v>0</v>
      </c>
      <c r="C877" s="45">
        <f ca="1">(A877+B877)*((Indicadores_Economicos!D$2+1)^(1/12)-1)</f>
        <v>2.2275869060509783E-11</v>
      </c>
      <c r="D877" s="18">
        <f>SUMIFS(Projetos!$G$2:$G$11,Projetos!$K$2:$K$11,"&lt;="&amp;Dados!$A877,Projetos!$N$2:$N$11,"&gt;"&amp;Dados!A877,Projetos!$D$2:$D$11,"BRL")</f>
        <v>0</v>
      </c>
      <c r="E877" s="18">
        <f t="shared" ca="1" si="52"/>
        <v>6.8266862811634123E-9</v>
      </c>
      <c r="G877" s="45">
        <f t="shared" ca="1" si="55"/>
        <v>5.2341618554637681E-9</v>
      </c>
      <c r="H877" s="18">
        <f>-SUMIFS(Projetos!$F$2:$F$11,Projetos!$D$2:$D$11,"USD",Projetos!$N$2:$N$11,Dados!$A877)</f>
        <v>0</v>
      </c>
      <c r="I877" s="45">
        <f ca="1">(G877+H877)*((Indicadores_Economicos!D$2+1)^(1/12)-1)</f>
        <v>1.7135283892699821E-11</v>
      </c>
      <c r="J877" s="18">
        <f>SUMIFS(Projetos!$G$2:$G$11,Projetos!$K$2:$K$11,"&lt;="&amp;Dados!$A877,Projetos!$N$2:$N$11,"&gt;"&amp;Dados!$A877,Projetos!$D$2:$D$11,"USD")</f>
        <v>0</v>
      </c>
      <c r="K877" s="18">
        <f t="shared" ca="1" si="53"/>
        <v>5.2512971393564675E-9</v>
      </c>
    </row>
    <row r="878" spans="1:11" x14ac:dyDescent="0.2">
      <c r="A878" s="45">
        <f t="shared" ca="1" si="54"/>
        <v>6.8266862811634123E-9</v>
      </c>
      <c r="B878" s="18">
        <f>-SUMIFS(Projetos!$F$2:$F$11,Projetos!$D$2:$D$11,"BRL",Projetos!$N$2:$N$11,Dados!$A878)</f>
        <v>0</v>
      </c>
      <c r="C878" s="45">
        <f ca="1">(A878+B878)*((Indicadores_Economicos!D$2+1)^(1/12)-1)</f>
        <v>2.2348794459236227E-11</v>
      </c>
      <c r="D878" s="18">
        <f>SUMIFS(Projetos!$G$2:$G$11,Projetos!$K$2:$K$11,"&lt;="&amp;Dados!$A878,Projetos!$N$2:$N$11,"&gt;"&amp;Dados!A878,Projetos!$D$2:$D$11,"BRL")</f>
        <v>0</v>
      </c>
      <c r="E878" s="18">
        <f t="shared" ca="1" si="52"/>
        <v>6.8490350756226485E-9</v>
      </c>
      <c r="G878" s="45">
        <f t="shared" ca="1" si="55"/>
        <v>5.2512971393564675E-9</v>
      </c>
      <c r="H878" s="18">
        <f>-SUMIFS(Projetos!$F$2:$F$11,Projetos!$D$2:$D$11,"USD",Projetos!$N$2:$N$11,Dados!$A878)</f>
        <v>0</v>
      </c>
      <c r="I878" s="45">
        <f ca="1">(G878+H878)*((Indicadores_Economicos!D$2+1)^(1/12)-1)</f>
        <v>1.7191380353258624E-11</v>
      </c>
      <c r="J878" s="18">
        <f>SUMIFS(Projetos!$G$2:$G$11,Projetos!$K$2:$K$11,"&lt;="&amp;Dados!$A878,Projetos!$N$2:$N$11,"&gt;"&amp;Dados!$A878,Projetos!$D$2:$D$11,"USD")</f>
        <v>0</v>
      </c>
      <c r="K878" s="18">
        <f t="shared" ca="1" si="53"/>
        <v>5.2684885197097261E-9</v>
      </c>
    </row>
    <row r="879" spans="1:11" x14ac:dyDescent="0.2">
      <c r="A879" s="45">
        <f t="shared" ca="1" si="54"/>
        <v>6.8490350756226485E-9</v>
      </c>
      <c r="B879" s="18">
        <f>-SUMIFS(Projetos!$F$2:$F$11,Projetos!$D$2:$D$11,"BRL",Projetos!$N$2:$N$11,Dados!$A879)</f>
        <v>0</v>
      </c>
      <c r="C879" s="45">
        <f ca="1">(A879+B879)*((Indicadores_Economicos!D$2+1)^(1/12)-1)</f>
        <v>2.2421958596741614E-11</v>
      </c>
      <c r="D879" s="18">
        <f>SUMIFS(Projetos!$G$2:$G$11,Projetos!$K$2:$K$11,"&lt;="&amp;Dados!$A879,Projetos!$N$2:$N$11,"&gt;"&amp;Dados!A879,Projetos!$D$2:$D$11,"BRL")</f>
        <v>0</v>
      </c>
      <c r="E879" s="18">
        <f t="shared" ca="1" si="52"/>
        <v>6.87145703421939E-9</v>
      </c>
      <c r="G879" s="45">
        <f t="shared" ca="1" si="55"/>
        <v>5.2684885197097261E-9</v>
      </c>
      <c r="H879" s="18">
        <f>-SUMIFS(Projetos!$F$2:$F$11,Projetos!$D$2:$D$11,"USD",Projetos!$N$2:$N$11,Dados!$A879)</f>
        <v>0</v>
      </c>
      <c r="I879" s="45">
        <f ca="1">(G879+H879)*((Indicadores_Economicos!D$2+1)^(1/12)-1)</f>
        <v>1.7247660459032002E-11</v>
      </c>
      <c r="J879" s="18">
        <f>SUMIFS(Projetos!$G$2:$G$11,Projetos!$K$2:$K$11,"&lt;="&amp;Dados!$A879,Projetos!$N$2:$N$11,"&gt;"&amp;Dados!$A879,Projetos!$D$2:$D$11,"USD")</f>
        <v>0</v>
      </c>
      <c r="K879" s="18">
        <f t="shared" ca="1" si="53"/>
        <v>5.285736180168758E-9</v>
      </c>
    </row>
    <row r="880" spans="1:11" x14ac:dyDescent="0.2">
      <c r="A880" s="45">
        <f t="shared" ca="1" si="54"/>
        <v>6.87145703421939E-9</v>
      </c>
      <c r="B880" s="18">
        <f>-SUMIFS(Projetos!$F$2:$F$11,Projetos!$D$2:$D$11,"BRL",Projetos!$N$2:$N$11,Dados!$A880)</f>
        <v>0</v>
      </c>
      <c r="C880" s="45">
        <f ca="1">(A880+B880)*((Indicadores_Economicos!D$2+1)^(1/12)-1)</f>
        <v>2.2495362254594584E-11</v>
      </c>
      <c r="D880" s="18">
        <f>SUMIFS(Projetos!$G$2:$G$11,Projetos!$K$2:$K$11,"&lt;="&amp;Dados!$A880,Projetos!$N$2:$N$11,"&gt;"&amp;Dados!A880,Projetos!$D$2:$D$11,"BRL")</f>
        <v>0</v>
      </c>
      <c r="E880" s="18">
        <f t="shared" ca="1" si="52"/>
        <v>6.8939523964739848E-9</v>
      </c>
      <c r="G880" s="45">
        <f t="shared" ca="1" si="55"/>
        <v>5.285736180168758E-9</v>
      </c>
      <c r="H880" s="18">
        <f>-SUMIFS(Projetos!$F$2:$F$11,Projetos!$D$2:$D$11,"USD",Projetos!$N$2:$N$11,Dados!$A880)</f>
        <v>0</v>
      </c>
      <c r="I880" s="45">
        <f ca="1">(G880+H880)*((Indicadores_Economicos!D$2+1)^(1/12)-1)</f>
        <v>1.7304124811226593E-11</v>
      </c>
      <c r="J880" s="18">
        <f>SUMIFS(Projetos!$G$2:$G$11,Projetos!$K$2:$K$11,"&lt;="&amp;Dados!$A880,Projetos!$N$2:$N$11,"&gt;"&amp;Dados!$A880,Projetos!$D$2:$D$11,"USD")</f>
        <v>0</v>
      </c>
      <c r="K880" s="18">
        <f t="shared" ca="1" si="53"/>
        <v>5.3030403049799846E-9</v>
      </c>
    </row>
    <row r="881" spans="1:11" x14ac:dyDescent="0.2">
      <c r="A881" s="45">
        <f t="shared" ca="1" si="54"/>
        <v>6.8939523964739848E-9</v>
      </c>
      <c r="B881" s="18">
        <f>-SUMIFS(Projetos!$F$2:$F$11,Projetos!$D$2:$D$11,"BRL",Projetos!$N$2:$N$11,Dados!$A881)</f>
        <v>0</v>
      </c>
      <c r="C881" s="45">
        <f ca="1">(A881+B881)*((Indicadores_Economicos!D$2+1)^(1/12)-1)</f>
        <v>2.2569006216922426E-11</v>
      </c>
      <c r="D881" s="18">
        <f>SUMIFS(Projetos!$G$2:$G$11,Projetos!$K$2:$K$11,"&lt;="&amp;Dados!$A881,Projetos!$N$2:$N$11,"&gt;"&amp;Dados!A881,Projetos!$D$2:$D$11,"BRL")</f>
        <v>0</v>
      </c>
      <c r="E881" s="18">
        <f t="shared" ca="1" si="52"/>
        <v>6.9165214026909075E-9</v>
      </c>
      <c r="G881" s="45">
        <f t="shared" ca="1" si="55"/>
        <v>5.3030403049799846E-9</v>
      </c>
      <c r="H881" s="18">
        <f>-SUMIFS(Projetos!$F$2:$F$11,Projetos!$D$2:$D$11,"USD",Projetos!$N$2:$N$11,Dados!$A881)</f>
        <v>0</v>
      </c>
      <c r="I881" s="45">
        <f ca="1">(G881+H881)*((Indicadores_Economicos!D$2+1)^(1/12)-1)</f>
        <v>1.7360774013017241E-11</v>
      </c>
      <c r="J881" s="18">
        <f>SUMIFS(Projetos!$G$2:$G$11,Projetos!$K$2:$K$11,"&lt;="&amp;Dados!$A881,Projetos!$N$2:$N$11,"&gt;"&amp;Dados!$A881,Projetos!$D$2:$D$11,"USD")</f>
        <v>0</v>
      </c>
      <c r="K881" s="18">
        <f t="shared" ca="1" si="53"/>
        <v>5.3204010789930017E-9</v>
      </c>
    </row>
    <row r="882" spans="1:11" x14ac:dyDescent="0.2">
      <c r="A882" s="45">
        <f t="shared" ca="1" si="54"/>
        <v>6.9165214026909075E-9</v>
      </c>
      <c r="B882" s="18">
        <f>-SUMIFS(Projetos!$F$2:$F$11,Projetos!$D$2:$D$11,"BRL",Projetos!$N$2:$N$11,Dados!$A882)</f>
        <v>0</v>
      </c>
      <c r="C882" s="45">
        <f ca="1">(A882+B882)*((Indicadores_Economicos!D$2+1)^(1/12)-1)</f>
        <v>2.2642891270419463E-11</v>
      </c>
      <c r="D882" s="18">
        <f>SUMIFS(Projetos!$G$2:$G$11,Projetos!$K$2:$K$11,"&lt;="&amp;Dados!$A882,Projetos!$N$2:$N$11,"&gt;"&amp;Dados!A882,Projetos!$D$2:$D$11,"BRL")</f>
        <v>0</v>
      </c>
      <c r="E882" s="18">
        <f t="shared" ca="1" si="52"/>
        <v>6.9391642939613271E-9</v>
      </c>
      <c r="G882" s="45">
        <f t="shared" ca="1" si="55"/>
        <v>5.3204010789930017E-9</v>
      </c>
      <c r="H882" s="18">
        <f>-SUMIFS(Projetos!$F$2:$F$11,Projetos!$D$2:$D$11,"USD",Projetos!$N$2:$N$11,Dados!$A882)</f>
        <v>0</v>
      </c>
      <c r="I882" s="45">
        <f ca="1">(G882+H882)*((Indicadores_Economicos!D$2+1)^(1/12)-1)</f>
        <v>1.7417608669553419E-11</v>
      </c>
      <c r="J882" s="18">
        <f>SUMIFS(Projetos!$G$2:$G$11,Projetos!$K$2:$K$11,"&lt;="&amp;Dados!$A882,Projetos!$N$2:$N$11,"&gt;"&amp;Dados!$A882,Projetos!$D$2:$D$11,"USD")</f>
        <v>0</v>
      </c>
      <c r="K882" s="18">
        <f t="shared" ca="1" si="53"/>
        <v>5.3378186876625553E-9</v>
      </c>
    </row>
    <row r="883" spans="1:11" x14ac:dyDescent="0.2">
      <c r="A883" s="45">
        <f t="shared" ca="1" si="54"/>
        <v>6.9391642939613271E-9</v>
      </c>
      <c r="B883" s="18">
        <f>-SUMIFS(Projetos!$F$2:$F$11,Projetos!$D$2:$D$11,"BRL",Projetos!$N$2:$N$11,Dados!$A883)</f>
        <v>0</v>
      </c>
      <c r="C883" s="45">
        <f ca="1">(A883+B883)*((Indicadores_Economicos!D$2+1)^(1/12)-1)</f>
        <v>2.271701820435544E-11</v>
      </c>
      <c r="D883" s="18">
        <f>SUMIFS(Projetos!$G$2:$G$11,Projetos!$K$2:$K$11,"&lt;="&amp;Dados!$A883,Projetos!$N$2:$N$11,"&gt;"&amp;Dados!A883,Projetos!$D$2:$D$11,"BRL")</f>
        <v>0</v>
      </c>
      <c r="E883" s="18">
        <f t="shared" ca="1" si="52"/>
        <v>6.9618813121656827E-9</v>
      </c>
      <c r="G883" s="45">
        <f t="shared" ca="1" si="55"/>
        <v>5.3378186876625553E-9</v>
      </c>
      <c r="H883" s="18">
        <f>-SUMIFS(Projetos!$F$2:$F$11,Projetos!$D$2:$D$11,"USD",Projetos!$N$2:$N$11,Dados!$A883)</f>
        <v>0</v>
      </c>
      <c r="I883" s="45">
        <f ca="1">(G883+H883)*((Indicadores_Economicos!D$2+1)^(1/12)-1)</f>
        <v>1.747462938796571E-11</v>
      </c>
      <c r="J883" s="18">
        <f>SUMIFS(Projetos!$G$2:$G$11,Projetos!$K$2:$K$11,"&lt;="&amp;Dados!$A883,Projetos!$N$2:$N$11,"&gt;"&amp;Dados!$A883,Projetos!$D$2:$D$11,"USD")</f>
        <v>0</v>
      </c>
      <c r="K883" s="18">
        <f t="shared" ca="1" si="53"/>
        <v>5.3552933170505208E-9</v>
      </c>
    </row>
    <row r="884" spans="1:11" x14ac:dyDescent="0.2">
      <c r="A884" s="45">
        <f t="shared" ca="1" si="54"/>
        <v>6.9618813121656827E-9</v>
      </c>
      <c r="B884" s="18">
        <f>-SUMIFS(Projetos!$F$2:$F$11,Projetos!$D$2:$D$11,"BRL",Projetos!$N$2:$N$11,Dados!$A884)</f>
        <v>0</v>
      </c>
      <c r="C884" s="45">
        <f ca="1">(A884+B884)*((Indicadores_Economicos!D$2+1)^(1/12)-1)</f>
        <v>2.2791387810583976E-11</v>
      </c>
      <c r="D884" s="18">
        <f>SUMIFS(Projetos!$G$2:$G$11,Projetos!$K$2:$K$11,"&lt;="&amp;Dados!$A884,Projetos!$N$2:$N$11,"&gt;"&amp;Dados!A884,Projetos!$D$2:$D$11,"BRL")</f>
        <v>0</v>
      </c>
      <c r="E884" s="18">
        <f t="shared" ca="1" si="52"/>
        <v>6.9846726999762666E-9</v>
      </c>
      <c r="G884" s="45">
        <f t="shared" ca="1" si="55"/>
        <v>5.3552933170505208E-9</v>
      </c>
      <c r="H884" s="18">
        <f>-SUMIFS(Projetos!$F$2:$F$11,Projetos!$D$2:$D$11,"USD",Projetos!$N$2:$N$11,Dados!$A884)</f>
        <v>0</v>
      </c>
      <c r="I884" s="45">
        <f ca="1">(G884+H884)*((Indicadores_Economicos!D$2+1)^(1/12)-1)</f>
        <v>1.7531836777372274E-11</v>
      </c>
      <c r="J884" s="18">
        <f>SUMIFS(Projetos!$G$2:$G$11,Projetos!$K$2:$K$11,"&lt;="&amp;Dados!$A884,Projetos!$N$2:$N$11,"&gt;"&amp;Dados!$A884,Projetos!$D$2:$D$11,"USD")</f>
        <v>0</v>
      </c>
      <c r="K884" s="18">
        <f t="shared" ca="1" si="53"/>
        <v>5.3728251538278933E-9</v>
      </c>
    </row>
    <row r="885" spans="1:11" x14ac:dyDescent="0.2">
      <c r="A885" s="45">
        <f t="shared" ca="1" si="54"/>
        <v>6.9846726999762666E-9</v>
      </c>
      <c r="B885" s="18">
        <f>-SUMIFS(Projetos!$F$2:$F$11,Projetos!$D$2:$D$11,"BRL",Projetos!$N$2:$N$11,Dados!$A885)</f>
        <v>0</v>
      </c>
      <c r="C885" s="45">
        <f ca="1">(A885+B885)*((Indicadores_Economicos!D$2+1)^(1/12)-1)</f>
        <v>2.2866000883551006E-11</v>
      </c>
      <c r="D885" s="18">
        <f>SUMIFS(Projetos!$G$2:$G$11,Projetos!$K$2:$K$11,"&lt;="&amp;Dados!$A885,Projetos!$N$2:$N$11,"&gt;"&amp;Dados!A885,Projetos!$D$2:$D$11,"BRL")</f>
        <v>0</v>
      </c>
      <c r="E885" s="18">
        <f t="shared" ca="1" si="52"/>
        <v>7.0075387008598178E-9</v>
      </c>
      <c r="G885" s="45">
        <f t="shared" ca="1" si="55"/>
        <v>5.3728251538278933E-9</v>
      </c>
      <c r="H885" s="18">
        <f>-SUMIFS(Projetos!$F$2:$F$11,Projetos!$D$2:$D$11,"USD",Projetos!$N$2:$N$11,Dados!$A885)</f>
        <v>0</v>
      </c>
      <c r="I885" s="45">
        <f ca="1">(G885+H885)*((Indicadores_Economicos!D$2+1)^(1/12)-1)</f>
        <v>1.7589231448885376E-11</v>
      </c>
      <c r="J885" s="18">
        <f>SUMIFS(Projetos!$G$2:$G$11,Projetos!$K$2:$K$11,"&lt;="&amp;Dados!$A885,Projetos!$N$2:$N$11,"&gt;"&amp;Dados!$A885,Projetos!$D$2:$D$11,"USD")</f>
        <v>0</v>
      </c>
      <c r="K885" s="18">
        <f t="shared" ca="1" si="53"/>
        <v>5.3904143852767786E-9</v>
      </c>
    </row>
    <row r="886" spans="1:11" x14ac:dyDescent="0.2">
      <c r="A886" s="45">
        <f t="shared" ca="1" si="54"/>
        <v>7.0075387008598178E-9</v>
      </c>
      <c r="B886" s="18">
        <f>-SUMIFS(Projetos!$F$2:$F$11,Projetos!$D$2:$D$11,"BRL",Projetos!$N$2:$N$11,Dados!$A886)</f>
        <v>0</v>
      </c>
      <c r="C886" s="45">
        <f ca="1">(A886+B886)*((Indicadores_Economicos!D$2+1)^(1/12)-1)</f>
        <v>2.2940858220303285E-11</v>
      </c>
      <c r="D886" s="18">
        <f>SUMIFS(Projetos!$G$2:$G$11,Projetos!$K$2:$K$11,"&lt;="&amp;Dados!$A886,Projetos!$N$2:$N$11,"&gt;"&amp;Dados!A886,Projetos!$D$2:$D$11,"BRL")</f>
        <v>0</v>
      </c>
      <c r="E886" s="18">
        <f t="shared" ca="1" si="52"/>
        <v>7.030479559080121E-9</v>
      </c>
      <c r="G886" s="45">
        <f t="shared" ca="1" si="55"/>
        <v>5.3904143852767786E-9</v>
      </c>
      <c r="H886" s="18">
        <f>-SUMIFS(Projetos!$F$2:$F$11,Projetos!$D$2:$D$11,"USD",Projetos!$N$2:$N$11,Dados!$A886)</f>
        <v>0</v>
      </c>
      <c r="I886" s="45">
        <f ca="1">(G886+H886)*((Indicadores_Economicos!D$2+1)^(1/12)-1)</f>
        <v>1.7646814015617898E-11</v>
      </c>
      <c r="J886" s="18">
        <f>SUMIFS(Projetos!$G$2:$G$11,Projetos!$K$2:$K$11,"&lt;="&amp;Dados!$A886,Projetos!$N$2:$N$11,"&gt;"&amp;Dados!$A886,Projetos!$D$2:$D$11,"USD")</f>
        <v>0</v>
      </c>
      <c r="K886" s="18">
        <f t="shared" ca="1" si="53"/>
        <v>5.4080611992923966E-9</v>
      </c>
    </row>
    <row r="887" spans="1:11" x14ac:dyDescent="0.2">
      <c r="A887" s="45">
        <f t="shared" ca="1" si="54"/>
        <v>7.030479559080121E-9</v>
      </c>
      <c r="B887" s="18">
        <f>-SUMIFS(Projetos!$F$2:$F$11,Projetos!$D$2:$D$11,"BRL",Projetos!$N$2:$N$11,Dados!$A887)</f>
        <v>0</v>
      </c>
      <c r="C887" s="45">
        <f ca="1">(A887+B887)*((Indicadores_Economicos!D$2+1)^(1/12)-1)</f>
        <v>2.3015960620496876E-11</v>
      </c>
      <c r="D887" s="18">
        <f>SUMIFS(Projetos!$G$2:$G$11,Projetos!$K$2:$K$11,"&lt;="&amp;Dados!$A887,Projetos!$N$2:$N$11,"&gt;"&amp;Dados!A887,Projetos!$D$2:$D$11,"BRL")</f>
        <v>0</v>
      </c>
      <c r="E887" s="18">
        <f t="shared" ca="1" si="52"/>
        <v>7.0534955197006177E-9</v>
      </c>
      <c r="G887" s="45">
        <f t="shared" ca="1" si="55"/>
        <v>5.4080611992923966E-9</v>
      </c>
      <c r="H887" s="18">
        <f>-SUMIFS(Projetos!$F$2:$F$11,Projetos!$D$2:$D$11,"USD",Projetos!$N$2:$N$11,Dados!$A887)</f>
        <v>0</v>
      </c>
      <c r="I887" s="45">
        <f ca="1">(G887+H887)*((Indicadores_Economicos!D$2+1)^(1/12)-1)</f>
        <v>1.770458509268989E-11</v>
      </c>
      <c r="J887" s="18">
        <f>SUMIFS(Projetos!$G$2:$G$11,Projetos!$K$2:$K$11,"&lt;="&amp;Dados!$A887,Projetos!$N$2:$N$11,"&gt;"&amp;Dados!$A887,Projetos!$D$2:$D$11,"USD")</f>
        <v>0</v>
      </c>
      <c r="K887" s="18">
        <f t="shared" ca="1" si="53"/>
        <v>5.4257657843850865E-9</v>
      </c>
    </row>
    <row r="888" spans="1:11" x14ac:dyDescent="0.2">
      <c r="A888" s="45">
        <f t="shared" ca="1" si="54"/>
        <v>7.0534955197006177E-9</v>
      </c>
      <c r="B888" s="18">
        <f>-SUMIFS(Projetos!$F$2:$F$11,Projetos!$D$2:$D$11,"BRL",Projetos!$N$2:$N$11,Dados!$A888)</f>
        <v>0</v>
      </c>
      <c r="C888" s="45">
        <f ca="1">(A888+B888)*((Indicadores_Economicos!D$2+1)^(1/12)-1)</f>
        <v>2.309130888640572E-11</v>
      </c>
      <c r="D888" s="18">
        <f>SUMIFS(Projetos!$G$2:$G$11,Projetos!$K$2:$K$11,"&lt;="&amp;Dados!$A888,Projetos!$N$2:$N$11,"&gt;"&amp;Dados!A888,Projetos!$D$2:$D$11,"BRL")</f>
        <v>0</v>
      </c>
      <c r="E888" s="18">
        <f t="shared" ca="1" si="52"/>
        <v>7.0765868285870237E-9</v>
      </c>
      <c r="G888" s="45">
        <f t="shared" ca="1" si="55"/>
        <v>5.4257657843850865E-9</v>
      </c>
      <c r="H888" s="18">
        <f>-SUMIFS(Projetos!$F$2:$F$11,Projetos!$D$2:$D$11,"USD",Projetos!$N$2:$N$11,Dados!$A888)</f>
        <v>0</v>
      </c>
      <c r="I888" s="45">
        <f ca="1">(G888+H888)*((Indicadores_Economicos!D$2+1)^(1/12)-1)</f>
        <v>1.7762545297235156E-11</v>
      </c>
      <c r="J888" s="18">
        <f>SUMIFS(Projetos!$G$2:$G$11,Projetos!$K$2:$K$11,"&lt;="&amp;Dados!$A888,Projetos!$N$2:$N$11,"&gt;"&amp;Dados!$A888,Projetos!$D$2:$D$11,"USD")</f>
        <v>0</v>
      </c>
      <c r="K888" s="18">
        <f t="shared" ca="1" si="53"/>
        <v>5.4435283296823216E-9</v>
      </c>
    </row>
    <row r="889" spans="1:11" x14ac:dyDescent="0.2">
      <c r="A889" s="45">
        <f t="shared" ca="1" si="54"/>
        <v>7.0765868285870237E-9</v>
      </c>
      <c r="B889" s="18">
        <f>-SUMIFS(Projetos!$F$2:$F$11,Projetos!$D$2:$D$11,"BRL",Projetos!$N$2:$N$11,Dados!$A889)</f>
        <v>0</v>
      </c>
      <c r="C889" s="45">
        <f ca="1">(A889+B889)*((Indicadores_Economicos!D$2+1)^(1/12)-1)</f>
        <v>2.3166903822930188E-11</v>
      </c>
      <c r="D889" s="18">
        <f>SUMIFS(Projetos!$G$2:$G$11,Projetos!$K$2:$K$11,"&lt;="&amp;Dados!$A889,Projetos!$N$2:$N$11,"&gt;"&amp;Dados!A889,Projetos!$D$2:$D$11,"BRL")</f>
        <v>0</v>
      </c>
      <c r="E889" s="18">
        <f t="shared" ca="1" si="52"/>
        <v>7.0997537324099538E-9</v>
      </c>
      <c r="G889" s="45">
        <f t="shared" ca="1" si="55"/>
        <v>5.4435283296823216E-9</v>
      </c>
      <c r="H889" s="18">
        <f>-SUMIFS(Projetos!$F$2:$F$11,Projetos!$D$2:$D$11,"USD",Projetos!$N$2:$N$11,Dados!$A889)</f>
        <v>0</v>
      </c>
      <c r="I889" s="45">
        <f ca="1">(G889+H889)*((Indicadores_Economicos!D$2+1)^(1/12)-1)</f>
        <v>1.7820695248407825E-11</v>
      </c>
      <c r="J889" s="18">
        <f>SUMIFS(Projetos!$G$2:$G$11,Projetos!$K$2:$K$11,"&lt;="&amp;Dados!$A889,Projetos!$N$2:$N$11,"&gt;"&amp;Dados!$A889,Projetos!$D$2:$D$11,"USD")</f>
        <v>0</v>
      </c>
      <c r="K889" s="18">
        <f t="shared" ca="1" si="53"/>
        <v>5.4613490249307295E-9</v>
      </c>
    </row>
    <row r="890" spans="1:11" x14ac:dyDescent="0.2">
      <c r="A890" s="45">
        <f t="shared" ca="1" si="54"/>
        <v>7.0997537324099538E-9</v>
      </c>
      <c r="B890" s="18">
        <f>-SUMIFS(Projetos!$F$2:$F$11,Projetos!$D$2:$D$11,"BRL",Projetos!$N$2:$N$11,Dados!$A890)</f>
        <v>0</v>
      </c>
      <c r="C890" s="45">
        <f ca="1">(A890+B890)*((Indicadores_Economicos!D$2+1)^(1/12)-1)</f>
        <v>2.3242746237605693E-11</v>
      </c>
      <c r="D890" s="18">
        <f>SUMIFS(Projetos!$G$2:$G$11,Projetos!$K$2:$K$11,"&lt;="&amp;Dados!$A890,Projetos!$N$2:$N$11,"&gt;"&amp;Dados!A890,Projetos!$D$2:$D$11,"BRL")</f>
        <v>0</v>
      </c>
      <c r="E890" s="18">
        <f t="shared" ca="1" si="52"/>
        <v>7.1229964786475592E-9</v>
      </c>
      <c r="G890" s="45">
        <f t="shared" ca="1" si="55"/>
        <v>5.4613490249307295E-9</v>
      </c>
      <c r="H890" s="18">
        <f>-SUMIFS(Projetos!$F$2:$F$11,Projetos!$D$2:$D$11,"USD",Projetos!$N$2:$N$11,Dados!$A890)</f>
        <v>0</v>
      </c>
      <c r="I890" s="45">
        <f ca="1">(G890+H890)*((Indicadores_Economicos!D$2+1)^(1/12)-1)</f>
        <v>1.7879035567388979E-11</v>
      </c>
      <c r="J890" s="18">
        <f>SUMIFS(Projetos!$G$2:$G$11,Projetos!$K$2:$K$11,"&lt;="&amp;Dados!$A890,Projetos!$N$2:$N$11,"&gt;"&amp;Dados!$A890,Projetos!$D$2:$D$11,"USD")</f>
        <v>0</v>
      </c>
      <c r="K890" s="18">
        <f t="shared" ca="1" si="53"/>
        <v>5.4792280604981186E-9</v>
      </c>
    </row>
    <row r="891" spans="1:11" x14ac:dyDescent="0.2">
      <c r="A891" s="45">
        <f t="shared" ca="1" si="54"/>
        <v>7.1229964786475592E-9</v>
      </c>
      <c r="B891" s="18">
        <f>-SUMIFS(Projetos!$F$2:$F$11,Projetos!$D$2:$D$11,"BRL",Projetos!$N$2:$N$11,Dados!$A891)</f>
        <v>0</v>
      </c>
      <c r="C891" s="45">
        <f ca="1">(A891+B891)*((Indicadores_Economicos!D$2+1)^(1/12)-1)</f>
        <v>2.3318836940611296E-11</v>
      </c>
      <c r="D891" s="18">
        <f>SUMIFS(Projetos!$G$2:$G$11,Projetos!$K$2:$K$11,"&lt;="&amp;Dados!$A891,Projetos!$N$2:$N$11,"&gt;"&amp;Dados!A891,Projetos!$D$2:$D$11,"BRL")</f>
        <v>0</v>
      </c>
      <c r="E891" s="18">
        <f t="shared" ca="1" si="52"/>
        <v>7.1463153155881702E-9</v>
      </c>
      <c r="G891" s="45">
        <f t="shared" ca="1" si="55"/>
        <v>5.4792280604981186E-9</v>
      </c>
      <c r="H891" s="18">
        <f>-SUMIFS(Projetos!$F$2:$F$11,Projetos!$D$2:$D$11,"USD",Projetos!$N$2:$N$11,Dados!$A891)</f>
        <v>0</v>
      </c>
      <c r="I891" s="45">
        <f ca="1">(G891+H891)*((Indicadores_Economicos!D$2+1)^(1/12)-1)</f>
        <v>1.7937566877393292E-11</v>
      </c>
      <c r="J891" s="18">
        <f>SUMIFS(Projetos!$G$2:$G$11,Projetos!$K$2:$K$11,"&lt;="&amp;Dados!$A891,Projetos!$N$2:$N$11,"&gt;"&amp;Dados!$A891,Projetos!$D$2:$D$11,"USD")</f>
        <v>0</v>
      </c>
      <c r="K891" s="18">
        <f t="shared" ca="1" si="53"/>
        <v>5.497165627375512E-9</v>
      </c>
    </row>
    <row r="892" spans="1:11" x14ac:dyDescent="0.2">
      <c r="A892" s="45">
        <f t="shared" ca="1" si="54"/>
        <v>7.1463153155881702E-9</v>
      </c>
      <c r="B892" s="18">
        <f>-SUMIFS(Projetos!$F$2:$F$11,Projetos!$D$2:$D$11,"BRL",Projetos!$N$2:$N$11,Dados!$A892)</f>
        <v>0</v>
      </c>
      <c r="C892" s="45">
        <f ca="1">(A892+B892)*((Indicadores_Economicos!D$2+1)^(1/12)-1)</f>
        <v>2.3395176744778384E-11</v>
      </c>
      <c r="D892" s="18">
        <f>SUMIFS(Projetos!$G$2:$G$11,Projetos!$K$2:$K$11,"&lt;="&amp;Dados!$A892,Projetos!$N$2:$N$11,"&gt;"&amp;Dados!A892,Projetos!$D$2:$D$11,"BRL")</f>
        <v>0</v>
      </c>
      <c r="E892" s="18">
        <f t="shared" ca="1" si="52"/>
        <v>7.1697104923329483E-9</v>
      </c>
      <c r="G892" s="45">
        <f t="shared" ca="1" si="55"/>
        <v>5.497165627375512E-9</v>
      </c>
      <c r="H892" s="18">
        <f>-SUMIFS(Projetos!$F$2:$F$11,Projetos!$D$2:$D$11,"USD",Projetos!$N$2:$N$11,Dados!$A892)</f>
        <v>0</v>
      </c>
      <c r="I892" s="45">
        <f ca="1">(G892+H892)*((Indicadores_Economicos!D$2+1)^(1/12)-1)</f>
        <v>1.7996289803675667E-11</v>
      </c>
      <c r="J892" s="18">
        <f>SUMIFS(Projetos!$G$2:$G$11,Projetos!$K$2:$K$11,"&lt;="&amp;Dados!$A892,Projetos!$N$2:$N$11,"&gt;"&amp;Dados!$A892,Projetos!$D$2:$D$11,"USD")</f>
        <v>0</v>
      </c>
      <c r="K892" s="18">
        <f t="shared" ca="1" si="53"/>
        <v>5.5151619171791876E-9</v>
      </c>
    </row>
    <row r="893" spans="1:11" x14ac:dyDescent="0.2">
      <c r="A893" s="45">
        <f t="shared" ca="1" si="54"/>
        <v>7.1697104923329483E-9</v>
      </c>
      <c r="B893" s="18">
        <f>-SUMIFS(Projetos!$F$2:$F$11,Projetos!$D$2:$D$11,"BRL",Projetos!$N$2:$N$11,Dados!$A893)</f>
        <v>0</v>
      </c>
      <c r="C893" s="45">
        <f ca="1">(A893+B893)*((Indicadores_Economicos!D$2+1)^(1/12)-1)</f>
        <v>2.3471766465599338E-11</v>
      </c>
      <c r="D893" s="18">
        <f>SUMIFS(Projetos!$G$2:$G$11,Projetos!$K$2:$K$11,"&lt;="&amp;Dados!$A893,Projetos!$N$2:$N$11,"&gt;"&amp;Dados!A893,Projetos!$D$2:$D$11,"BRL")</f>
        <v>0</v>
      </c>
      <c r="E893" s="18">
        <f t="shared" ca="1" si="52"/>
        <v>7.1931822587985478E-9</v>
      </c>
      <c r="G893" s="45">
        <f t="shared" ca="1" si="55"/>
        <v>5.5151619171791876E-9</v>
      </c>
      <c r="H893" s="18">
        <f>-SUMIFS(Projetos!$F$2:$F$11,Projetos!$D$2:$D$11,"USD",Projetos!$N$2:$N$11,Dados!$A893)</f>
        <v>0</v>
      </c>
      <c r="I893" s="45">
        <f ca="1">(G893+H893)*((Indicadores_Economicos!D$2+1)^(1/12)-1)</f>
        <v>1.8055204973537941E-11</v>
      </c>
      <c r="J893" s="18">
        <f>SUMIFS(Projetos!$G$2:$G$11,Projetos!$K$2:$K$11,"&lt;="&amp;Dados!$A893,Projetos!$N$2:$N$11,"&gt;"&amp;Dados!$A893,Projetos!$D$2:$D$11,"USD")</f>
        <v>0</v>
      </c>
      <c r="K893" s="18">
        <f t="shared" ca="1" si="53"/>
        <v>5.5332171221527252E-9</v>
      </c>
    </row>
    <row r="894" spans="1:11" x14ac:dyDescent="0.2">
      <c r="A894" s="45">
        <f t="shared" ca="1" si="54"/>
        <v>7.1931822587985478E-9</v>
      </c>
      <c r="B894" s="18">
        <f>-SUMIFS(Projetos!$F$2:$F$11,Projetos!$D$2:$D$11,"BRL",Projetos!$N$2:$N$11,Dados!$A894)</f>
        <v>0</v>
      </c>
      <c r="C894" s="45">
        <f ca="1">(A894+B894)*((Indicadores_Economicos!D$2+1)^(1/12)-1)</f>
        <v>2.3548606921236252E-11</v>
      </c>
      <c r="D894" s="18">
        <f>SUMIFS(Projetos!$G$2:$G$11,Projetos!$K$2:$K$11,"&lt;="&amp;Dados!$A894,Projetos!$N$2:$N$11,"&gt;"&amp;Dados!A894,Projetos!$D$2:$D$11,"BRL")</f>
        <v>0</v>
      </c>
      <c r="E894" s="18">
        <f t="shared" ca="1" si="52"/>
        <v>7.2167308657197838E-9</v>
      </c>
      <c r="G894" s="45">
        <f t="shared" ca="1" si="55"/>
        <v>5.5332171221527252E-9</v>
      </c>
      <c r="H894" s="18">
        <f>-SUMIFS(Projetos!$F$2:$F$11,Projetos!$D$2:$D$11,"USD",Projetos!$N$2:$N$11,Dados!$A894)</f>
        <v>0</v>
      </c>
      <c r="I894" s="45">
        <f ca="1">(G894+H894)*((Indicadores_Economicos!D$2+1)^(1/12)-1)</f>
        <v>1.8114313016335568E-11</v>
      </c>
      <c r="J894" s="18">
        <f>SUMIFS(Projetos!$G$2:$G$11,Projetos!$K$2:$K$11,"&lt;="&amp;Dados!$A894,Projetos!$N$2:$N$11,"&gt;"&amp;Dados!$A894,Projetos!$D$2:$D$11,"USD")</f>
        <v>0</v>
      </c>
      <c r="K894" s="18">
        <f t="shared" ca="1" si="53"/>
        <v>5.5513314351690604E-9</v>
      </c>
    </row>
    <row r="895" spans="1:11" x14ac:dyDescent="0.2">
      <c r="A895" s="45">
        <f t="shared" ca="1" si="54"/>
        <v>7.2167308657197838E-9</v>
      </c>
      <c r="B895" s="18">
        <f>-SUMIFS(Projetos!$F$2:$F$11,Projetos!$D$2:$D$11,"BRL",Projetos!$N$2:$N$11,Dados!$A895)</f>
        <v>0</v>
      </c>
      <c r="C895" s="45">
        <f ca="1">(A895+B895)*((Indicadores_Economicos!D$2+1)^(1/12)-1)</f>
        <v>2.3625698932529668E-11</v>
      </c>
      <c r="D895" s="18">
        <f>SUMIFS(Projetos!$G$2:$G$11,Projetos!$K$2:$K$11,"&lt;="&amp;Dados!$A895,Projetos!$N$2:$N$11,"&gt;"&amp;Dados!A895,Projetos!$D$2:$D$11,"BRL")</f>
        <v>0</v>
      </c>
      <c r="E895" s="18">
        <f t="shared" ca="1" si="52"/>
        <v>7.2403565646523136E-9</v>
      </c>
      <c r="G895" s="45">
        <f t="shared" ca="1" si="55"/>
        <v>5.5513314351690604E-9</v>
      </c>
      <c r="H895" s="18">
        <f>-SUMIFS(Projetos!$F$2:$F$11,Projetos!$D$2:$D$11,"USD",Projetos!$N$2:$N$11,Dados!$A895)</f>
        <v>0</v>
      </c>
      <c r="I895" s="45">
        <f ca="1">(G895+H895)*((Indicadores_Economicos!D$2+1)^(1/12)-1)</f>
        <v>1.8173614563484347E-11</v>
      </c>
      <c r="J895" s="18">
        <f>SUMIFS(Projetos!$G$2:$G$11,Projetos!$K$2:$K$11,"&lt;="&amp;Dados!$A895,Projetos!$N$2:$N$11,"&gt;"&amp;Dados!$A895,Projetos!$D$2:$D$11,"USD")</f>
        <v>0</v>
      </c>
      <c r="K895" s="18">
        <f t="shared" ca="1" si="53"/>
        <v>5.569505049732545E-9</v>
      </c>
    </row>
    <row r="896" spans="1:11" x14ac:dyDescent="0.2">
      <c r="A896" s="45">
        <f t="shared" ca="1" si="54"/>
        <v>7.2403565646523136E-9</v>
      </c>
      <c r="B896" s="18">
        <f>-SUMIFS(Projetos!$F$2:$F$11,Projetos!$D$2:$D$11,"BRL",Projetos!$N$2:$N$11,Dados!$A896)</f>
        <v>0</v>
      </c>
      <c r="C896" s="45">
        <f ca="1">(A896+B896)*((Indicadores_Economicos!D$2+1)^(1/12)-1)</f>
        <v>2.3703043323007346E-11</v>
      </c>
      <c r="D896" s="18">
        <f>SUMIFS(Projetos!$G$2:$G$11,Projetos!$K$2:$K$11,"&lt;="&amp;Dados!$A896,Projetos!$N$2:$N$11,"&gt;"&amp;Dados!A896,Projetos!$D$2:$D$11,"BRL")</f>
        <v>0</v>
      </c>
      <c r="E896" s="18">
        <f t="shared" ca="1" si="52"/>
        <v>7.2640596079753211E-9</v>
      </c>
      <c r="G896" s="45">
        <f t="shared" ca="1" si="55"/>
        <v>5.569505049732545E-9</v>
      </c>
      <c r="H896" s="18">
        <f>-SUMIFS(Projetos!$F$2:$F$11,Projetos!$D$2:$D$11,"USD",Projetos!$N$2:$N$11,Dados!$A896)</f>
        <v>0</v>
      </c>
      <c r="I896" s="45">
        <f ca="1">(G896+H896)*((Indicadores_Economicos!D$2+1)^(1/12)-1)</f>
        <v>1.8233110248467175E-11</v>
      </c>
      <c r="J896" s="18">
        <f>SUMIFS(Projetos!$G$2:$G$11,Projetos!$K$2:$K$11,"&lt;="&amp;Dados!$A896,Projetos!$N$2:$N$11,"&gt;"&amp;Dados!$A896,Projetos!$D$2:$D$11,"USD")</f>
        <v>0</v>
      </c>
      <c r="K896" s="18">
        <f t="shared" ca="1" si="53"/>
        <v>5.5877381599810121E-9</v>
      </c>
    </row>
    <row r="897" spans="1:11" x14ac:dyDescent="0.2">
      <c r="A897" s="45">
        <f t="shared" ca="1" si="54"/>
        <v>7.2640596079753211E-9</v>
      </c>
      <c r="B897" s="18">
        <f>-SUMIFS(Projetos!$F$2:$F$11,Projetos!$D$2:$D$11,"BRL",Projetos!$N$2:$N$11,Dados!$A897)</f>
        <v>0</v>
      </c>
      <c r="C897" s="45">
        <f ca="1">(A897+B897)*((Indicadores_Economicos!D$2+1)^(1/12)-1)</f>
        <v>2.378064091889306E-11</v>
      </c>
      <c r="D897" s="18">
        <f>SUMIFS(Projetos!$G$2:$G$11,Projetos!$K$2:$K$11,"&lt;="&amp;Dados!$A897,Projetos!$N$2:$N$11,"&gt;"&amp;Dados!A897,Projetos!$D$2:$D$11,"BRL")</f>
        <v>0</v>
      </c>
      <c r="E897" s="18">
        <f t="shared" ca="1" si="52"/>
        <v>7.2878402488942142E-9</v>
      </c>
      <c r="G897" s="45">
        <f t="shared" ca="1" si="55"/>
        <v>5.5877381599810121E-9</v>
      </c>
      <c r="H897" s="18">
        <f>-SUMIFS(Projetos!$F$2:$F$11,Projetos!$D$2:$D$11,"USD",Projetos!$N$2:$N$11,Dados!$A897)</f>
        <v>0</v>
      </c>
      <c r="I897" s="45">
        <f ca="1">(G897+H897)*((Indicadores_Economicos!D$2+1)^(1/12)-1)</f>
        <v>1.8292800706840803E-11</v>
      </c>
      <c r="J897" s="18">
        <f>SUMIFS(Projetos!$G$2:$G$11,Projetos!$K$2:$K$11,"&lt;="&amp;Dados!$A897,Projetos!$N$2:$N$11,"&gt;"&amp;Dados!$A897,Projetos!$D$2:$D$11,"USD")</f>
        <v>0</v>
      </c>
      <c r="K897" s="18">
        <f t="shared" ca="1" si="53"/>
        <v>5.6060309606878533E-9</v>
      </c>
    </row>
    <row r="898" spans="1:11" x14ac:dyDescent="0.2">
      <c r="A898" s="45">
        <f t="shared" ca="1" si="54"/>
        <v>7.2878402488942142E-9</v>
      </c>
      <c r="B898" s="18">
        <f>-SUMIFS(Projetos!$F$2:$F$11,Projetos!$D$2:$D$11,"BRL",Projetos!$N$2:$N$11,Dados!$A898)</f>
        <v>0</v>
      </c>
      <c r="C898" s="45">
        <f ca="1">(A898+B898)*((Indicadores_Economicos!D$2+1)^(1/12)-1)</f>
        <v>2.3858492549115427E-11</v>
      </c>
      <c r="D898" s="18">
        <f>SUMIFS(Projetos!$G$2:$G$11,Projetos!$K$2:$K$11,"&lt;="&amp;Dados!$A898,Projetos!$N$2:$N$11,"&gt;"&amp;Dados!A898,Projetos!$D$2:$D$11,"BRL")</f>
        <v>0</v>
      </c>
      <c r="E898" s="18">
        <f t="shared" ref="E898:E961" ca="1" si="56">A898+B898+C898+D898</f>
        <v>7.3116987414433297E-9</v>
      </c>
      <c r="G898" s="45">
        <f t="shared" ca="1" si="55"/>
        <v>5.6060309606878533E-9</v>
      </c>
      <c r="H898" s="18">
        <f>-SUMIFS(Projetos!$F$2:$F$11,Projetos!$D$2:$D$11,"USD",Projetos!$N$2:$N$11,Dados!$A898)</f>
        <v>0</v>
      </c>
      <c r="I898" s="45">
        <f ca="1">(G898+H898)*((Indicadores_Economicos!D$2+1)^(1/12)-1)</f>
        <v>1.8352686576242623E-11</v>
      </c>
      <c r="J898" s="18">
        <f>SUMIFS(Projetos!$G$2:$G$11,Projetos!$K$2:$K$11,"&lt;="&amp;Dados!$A898,Projetos!$N$2:$N$11,"&gt;"&amp;Dados!$A898,Projetos!$D$2:$D$11,"USD")</f>
        <v>0</v>
      </c>
      <c r="K898" s="18">
        <f t="shared" ref="K898:K961" ca="1" si="57">G898+H898+I898+J898</f>
        <v>5.6243836472640963E-9</v>
      </c>
    </row>
    <row r="899" spans="1:11" x14ac:dyDescent="0.2">
      <c r="A899" s="45">
        <f t="shared" ca="1" si="54"/>
        <v>7.3116987414433297E-9</v>
      </c>
      <c r="B899" s="18">
        <f>-SUMIFS(Projetos!$F$2:$F$11,Projetos!$D$2:$D$11,"BRL",Projetos!$N$2:$N$11,Dados!$A899)</f>
        <v>0</v>
      </c>
      <c r="C899" s="45">
        <f ca="1">(A899+B899)*((Indicadores_Economicos!D$2+1)^(1/12)-1)</f>
        <v>2.3936599045316765E-11</v>
      </c>
      <c r="D899" s="18">
        <f>SUMIFS(Projetos!$G$2:$G$11,Projetos!$K$2:$K$11,"&lt;="&amp;Dados!$A899,Projetos!$N$2:$N$11,"&gt;"&amp;Dados!A899,Projetos!$D$2:$D$11,"BRL")</f>
        <v>0</v>
      </c>
      <c r="E899" s="18">
        <f t="shared" ca="1" si="56"/>
        <v>7.3356353404886462E-9</v>
      </c>
      <c r="G899" s="45">
        <f t="shared" ca="1" si="55"/>
        <v>5.6243836472640963E-9</v>
      </c>
      <c r="H899" s="18">
        <f>-SUMIFS(Projetos!$F$2:$F$11,Projetos!$D$2:$D$11,"USD",Projetos!$N$2:$N$11,Dados!$A899)</f>
        <v>0</v>
      </c>
      <c r="I899" s="45">
        <f ca="1">(G899+H899)*((Indicadores_Economicos!D$2+1)^(1/12)-1)</f>
        <v>1.8412768496397499E-11</v>
      </c>
      <c r="J899" s="18">
        <f>SUMIFS(Projetos!$G$2:$G$11,Projetos!$K$2:$K$11,"&lt;="&amp;Dados!$A899,Projetos!$N$2:$N$11,"&gt;"&amp;Dados!$A899,Projetos!$D$2:$D$11,"USD")</f>
        <v>0</v>
      </c>
      <c r="K899" s="18">
        <f t="shared" ca="1" si="57"/>
        <v>5.642796415760494E-9</v>
      </c>
    </row>
    <row r="900" spans="1:11" x14ac:dyDescent="0.2">
      <c r="A900" s="45">
        <f t="shared" ref="A900:A963" ca="1" si="58">E899</f>
        <v>7.3356353404886462E-9</v>
      </c>
      <c r="B900" s="18">
        <f>-SUMIFS(Projetos!$F$2:$F$11,Projetos!$D$2:$D$11,"BRL",Projetos!$N$2:$N$11,Dados!$A900)</f>
        <v>0</v>
      </c>
      <c r="C900" s="45">
        <f ca="1">(A900+B900)*((Indicadores_Economicos!D$2+1)^(1/12)-1)</f>
        <v>2.401496124186196E-11</v>
      </c>
      <c r="D900" s="18">
        <f>SUMIFS(Projetos!$G$2:$G$11,Projetos!$K$2:$K$11,"&lt;="&amp;Dados!$A900,Projetos!$N$2:$N$11,"&gt;"&amp;Dados!A900,Projetos!$D$2:$D$11,"BRL")</f>
        <v>0</v>
      </c>
      <c r="E900" s="18">
        <f t="shared" ca="1" si="56"/>
        <v>7.3596503017305086E-9</v>
      </c>
      <c r="G900" s="45">
        <f t="shared" ref="G900:G963" ca="1" si="59">K899</f>
        <v>5.642796415760494E-9</v>
      </c>
      <c r="H900" s="18">
        <f>-SUMIFS(Projetos!$F$2:$F$11,Projetos!$D$2:$D$11,"USD",Projetos!$N$2:$N$11,Dados!$A900)</f>
        <v>0</v>
      </c>
      <c r="I900" s="45">
        <f ca="1">(G900+H900)*((Indicadores_Economicos!D$2+1)^(1/12)-1)</f>
        <v>1.8473047109124574E-11</v>
      </c>
      <c r="J900" s="18">
        <f>SUMIFS(Projetos!$G$2:$G$11,Projetos!$K$2:$K$11,"&lt;="&amp;Dados!$A900,Projetos!$N$2:$N$11,"&gt;"&amp;Dados!$A900,Projetos!$D$2:$D$11,"USD")</f>
        <v>0</v>
      </c>
      <c r="K900" s="18">
        <f t="shared" ca="1" si="57"/>
        <v>5.6612694628696185E-9</v>
      </c>
    </row>
    <row r="901" spans="1:11" x14ac:dyDescent="0.2">
      <c r="A901" s="45">
        <f t="shared" ca="1" si="58"/>
        <v>7.3596503017305086E-9</v>
      </c>
      <c r="B901" s="18">
        <f>-SUMIFS(Projetos!$F$2:$F$11,Projetos!$D$2:$D$11,"BRL",Projetos!$N$2:$N$11,Dados!$A901)</f>
        <v>0</v>
      </c>
      <c r="C901" s="45">
        <f ca="1">(A901+B901)*((Indicadores_Economicos!D$2+1)^(1/12)-1)</f>
        <v>2.4093579975847411E-11</v>
      </c>
      <c r="D901" s="18">
        <f>SUMIFS(Projetos!$G$2:$G$11,Projetos!$K$2:$K$11,"&lt;="&amp;Dados!$A901,Projetos!$N$2:$N$11,"&gt;"&amp;Dados!A901,Projetos!$D$2:$D$11,"BRL")</f>
        <v>0</v>
      </c>
      <c r="E901" s="18">
        <f t="shared" ca="1" si="56"/>
        <v>7.383743881706356E-9</v>
      </c>
      <c r="G901" s="45">
        <f t="shared" ca="1" si="59"/>
        <v>5.6612694628696185E-9</v>
      </c>
      <c r="H901" s="18">
        <f>-SUMIFS(Projetos!$F$2:$F$11,Projetos!$D$2:$D$11,"USD",Projetos!$N$2:$N$11,Dados!$A901)</f>
        <v>0</v>
      </c>
      <c r="I901" s="45">
        <f ca="1">(G901+H901)*((Indicadores_Economicos!D$2+1)^(1/12)-1)</f>
        <v>1.8533523058344151E-11</v>
      </c>
      <c r="J901" s="18">
        <f>SUMIFS(Projetos!$G$2:$G$11,Projetos!$K$2:$K$11,"&lt;="&amp;Dados!$A901,Projetos!$N$2:$N$11,"&gt;"&amp;Dados!$A901,Projetos!$D$2:$D$11,"USD")</f>
        <v>0</v>
      </c>
      <c r="K901" s="18">
        <f t="shared" ca="1" si="57"/>
        <v>5.6798029859279624E-9</v>
      </c>
    </row>
    <row r="902" spans="1:11" x14ac:dyDescent="0.2">
      <c r="A902" s="45">
        <f t="shared" ca="1" si="58"/>
        <v>7.383743881706356E-9</v>
      </c>
      <c r="B902" s="18">
        <f>-SUMIFS(Projetos!$F$2:$F$11,Projetos!$D$2:$D$11,"BRL",Projetos!$N$2:$N$11,Dados!$A902)</f>
        <v>0</v>
      </c>
      <c r="C902" s="45">
        <f ca="1">(A902+B902)*((Indicadores_Economicos!D$2+1)^(1/12)-1)</f>
        <v>2.4172456087109933E-11</v>
      </c>
      <c r="D902" s="18">
        <f>SUMIFS(Projetos!$G$2:$G$11,Projetos!$K$2:$K$11,"&lt;="&amp;Dados!$A902,Projetos!$N$2:$N$11,"&gt;"&amp;Dados!A902,Projetos!$D$2:$D$11,"BRL")</f>
        <v>0</v>
      </c>
      <c r="E902" s="18">
        <f t="shared" ca="1" si="56"/>
        <v>7.407916337793466E-9</v>
      </c>
      <c r="G902" s="45">
        <f t="shared" ca="1" si="59"/>
        <v>5.6798029859279624E-9</v>
      </c>
      <c r="H902" s="18">
        <f>-SUMIFS(Projetos!$F$2:$F$11,Projetos!$D$2:$D$11,"USD",Projetos!$N$2:$N$11,Dados!$A902)</f>
        <v>0</v>
      </c>
      <c r="I902" s="45">
        <f ca="1">(G902+H902)*((Indicadores_Economicos!D$2+1)^(1/12)-1)</f>
        <v>1.859419699008455E-11</v>
      </c>
      <c r="J902" s="18">
        <f>SUMIFS(Projetos!$G$2:$G$11,Projetos!$K$2:$K$11,"&lt;="&amp;Dados!$A902,Projetos!$N$2:$N$11,"&gt;"&amp;Dados!$A902,Projetos!$D$2:$D$11,"USD")</f>
        <v>0</v>
      </c>
      <c r="K902" s="18">
        <f t="shared" ca="1" si="57"/>
        <v>5.6983971829180471E-9</v>
      </c>
    </row>
    <row r="903" spans="1:11" x14ac:dyDescent="0.2">
      <c r="A903" s="45">
        <f t="shared" ca="1" si="58"/>
        <v>7.407916337793466E-9</v>
      </c>
      <c r="B903" s="18">
        <f>-SUMIFS(Projetos!$F$2:$F$11,Projetos!$D$2:$D$11,"BRL",Projetos!$N$2:$N$11,Dados!$A903)</f>
        <v>0</v>
      </c>
      <c r="C903" s="45">
        <f ca="1">(A903+B903)*((Indicadores_Economicos!D$2+1)^(1/12)-1)</f>
        <v>2.4251590418235763E-11</v>
      </c>
      <c r="D903" s="18">
        <f>SUMIFS(Projetos!$G$2:$G$11,Projetos!$K$2:$K$11,"&lt;="&amp;Dados!$A903,Projetos!$N$2:$N$11,"&gt;"&amp;Dados!A903,Projetos!$D$2:$D$11,"BRL")</f>
        <v>0</v>
      </c>
      <c r="E903" s="18">
        <f t="shared" ca="1" si="56"/>
        <v>7.4321679282117018E-9</v>
      </c>
      <c r="G903" s="45">
        <f t="shared" ca="1" si="59"/>
        <v>5.6983971829180471E-9</v>
      </c>
      <c r="H903" s="18">
        <f>-SUMIFS(Projetos!$F$2:$F$11,Projetos!$D$2:$D$11,"USD",Projetos!$N$2:$N$11,Dados!$A903)</f>
        <v>0</v>
      </c>
      <c r="I903" s="45">
        <f ca="1">(G903+H903)*((Indicadores_Economicos!D$2+1)^(1/12)-1)</f>
        <v>1.8655069552489034E-11</v>
      </c>
      <c r="J903" s="18">
        <f>SUMIFS(Projetos!$G$2:$G$11,Projetos!$K$2:$K$11,"&lt;="&amp;Dados!$A903,Projetos!$N$2:$N$11,"&gt;"&amp;Dados!$A903,Projetos!$D$2:$D$11,"USD")</f>
        <v>0</v>
      </c>
      <c r="K903" s="18">
        <f t="shared" ca="1" si="57"/>
        <v>5.7170522524705363E-9</v>
      </c>
    </row>
    <row r="904" spans="1:11" x14ac:dyDescent="0.2">
      <c r="A904" s="45">
        <f t="shared" ca="1" si="58"/>
        <v>7.4321679282117018E-9</v>
      </c>
      <c r="B904" s="18">
        <f>-SUMIFS(Projetos!$F$2:$F$11,Projetos!$D$2:$D$11,"BRL",Projetos!$N$2:$N$11,Dados!$A904)</f>
        <v>0</v>
      </c>
      <c r="C904" s="45">
        <f ca="1">(A904+B904)*((Indicadores_Economicos!D$2+1)^(1/12)-1)</f>
        <v>2.4330983814569534E-11</v>
      </c>
      <c r="D904" s="18">
        <f>SUMIFS(Projetos!$G$2:$G$11,Projetos!$K$2:$K$11,"&lt;="&amp;Dados!$A904,Projetos!$N$2:$N$11,"&gt;"&amp;Dados!A904,Projetos!$D$2:$D$11,"BRL")</f>
        <v>0</v>
      </c>
      <c r="E904" s="18">
        <f t="shared" ca="1" si="56"/>
        <v>7.4564989120262707E-9</v>
      </c>
      <c r="G904" s="45">
        <f t="shared" ca="1" si="59"/>
        <v>5.7170522524705363E-9</v>
      </c>
      <c r="H904" s="18">
        <f>-SUMIFS(Projetos!$F$2:$F$11,Projetos!$D$2:$D$11,"USD",Projetos!$N$2:$N$11,Dados!$A904)</f>
        <v>0</v>
      </c>
      <c r="I904" s="45">
        <f ca="1">(G904+H904)*((Indicadores_Economicos!D$2+1)^(1/12)-1)</f>
        <v>1.8716141395822705E-11</v>
      </c>
      <c r="J904" s="18">
        <f>SUMIFS(Projetos!$G$2:$G$11,Projetos!$K$2:$K$11,"&lt;="&amp;Dados!$A904,Projetos!$N$2:$N$11,"&gt;"&amp;Dados!$A904,Projetos!$D$2:$D$11,"USD")</f>
        <v>0</v>
      </c>
      <c r="K904" s="18">
        <f t="shared" ca="1" si="57"/>
        <v>5.7357683938663588E-9</v>
      </c>
    </row>
    <row r="905" spans="1:11" x14ac:dyDescent="0.2">
      <c r="A905" s="45">
        <f t="shared" ca="1" si="58"/>
        <v>7.4564989120262707E-9</v>
      </c>
      <c r="B905" s="18">
        <f>-SUMIFS(Projetos!$F$2:$F$11,Projetos!$D$2:$D$11,"BRL",Projetos!$N$2:$N$11,Dados!$A905)</f>
        <v>0</v>
      </c>
      <c r="C905" s="45">
        <f ca="1">(A905+B905)*((Indicadores_Economicos!D$2+1)^(1/12)-1)</f>
        <v>2.4410637124223327E-11</v>
      </c>
      <c r="D905" s="18">
        <f>SUMIFS(Projetos!$G$2:$G$11,Projetos!$K$2:$K$11,"&lt;="&amp;Dados!$A905,Projetos!$N$2:$N$11,"&gt;"&amp;Dados!A905,Projetos!$D$2:$D$11,"BRL")</f>
        <v>0</v>
      </c>
      <c r="E905" s="18">
        <f t="shared" ca="1" si="56"/>
        <v>7.4809095491504932E-9</v>
      </c>
      <c r="G905" s="45">
        <f t="shared" ca="1" si="59"/>
        <v>5.7357683938663588E-9</v>
      </c>
      <c r="H905" s="18">
        <f>-SUMIFS(Projetos!$F$2:$F$11,Projetos!$D$2:$D$11,"USD",Projetos!$N$2:$N$11,Dados!$A905)</f>
        <v>0</v>
      </c>
      <c r="I905" s="45">
        <f ca="1">(G905+H905)*((Indicadores_Economicos!D$2+1)^(1/12)-1)</f>
        <v>1.877741317247947E-11</v>
      </c>
      <c r="J905" s="18">
        <f>SUMIFS(Projetos!$G$2:$G$11,Projetos!$K$2:$K$11,"&lt;="&amp;Dados!$A905,Projetos!$N$2:$N$11,"&gt;"&amp;Dados!$A905,Projetos!$D$2:$D$11,"USD")</f>
        <v>0</v>
      </c>
      <c r="K905" s="18">
        <f t="shared" ca="1" si="57"/>
        <v>5.7545458070388381E-9</v>
      </c>
    </row>
    <row r="906" spans="1:11" x14ac:dyDescent="0.2">
      <c r="A906" s="45">
        <f t="shared" ca="1" si="58"/>
        <v>7.4809095491504932E-9</v>
      </c>
      <c r="B906" s="18">
        <f>-SUMIFS(Projetos!$F$2:$F$11,Projetos!$D$2:$D$11,"BRL",Projetos!$N$2:$N$11,Dados!$A906)</f>
        <v>0</v>
      </c>
      <c r="C906" s="45">
        <f ca="1">(A906+B906)*((Indicadores_Economicos!D$2+1)^(1/12)-1)</f>
        <v>2.4490551198085716E-11</v>
      </c>
      <c r="D906" s="18">
        <f>SUMIFS(Projetos!$G$2:$G$11,Projetos!$K$2:$K$11,"&lt;="&amp;Dados!$A906,Projetos!$N$2:$N$11,"&gt;"&amp;Dados!A906,Projetos!$D$2:$D$11,"BRL")</f>
        <v>0</v>
      </c>
      <c r="E906" s="18">
        <f t="shared" ca="1" si="56"/>
        <v>7.5054001003485791E-9</v>
      </c>
      <c r="G906" s="45">
        <f t="shared" ca="1" si="59"/>
        <v>5.7545458070388381E-9</v>
      </c>
      <c r="H906" s="18">
        <f>-SUMIFS(Projetos!$F$2:$F$11,Projetos!$D$2:$D$11,"USD",Projetos!$N$2:$N$11,Dados!$A906)</f>
        <v>0</v>
      </c>
      <c r="I906" s="45">
        <f ca="1">(G906+H906)*((Indicadores_Economicos!D$2+1)^(1/12)-1)</f>
        <v>1.8838885536989002E-11</v>
      </c>
      <c r="J906" s="18">
        <f>SUMIFS(Projetos!$G$2:$G$11,Projetos!$K$2:$K$11,"&lt;="&amp;Dados!$A906,Projetos!$N$2:$N$11,"&gt;"&amp;Dados!$A906,Projetos!$D$2:$D$11,"USD")</f>
        <v>0</v>
      </c>
      <c r="K906" s="18">
        <f t="shared" ca="1" si="57"/>
        <v>5.7733846925758274E-9</v>
      </c>
    </row>
    <row r="907" spans="1:11" x14ac:dyDescent="0.2">
      <c r="A907" s="45">
        <f t="shared" ca="1" si="58"/>
        <v>7.5054001003485791E-9</v>
      </c>
      <c r="B907" s="18">
        <f>-SUMIFS(Projetos!$F$2:$F$11,Projetos!$D$2:$D$11,"BRL",Projetos!$N$2:$N$11,Dados!$A907)</f>
        <v>0</v>
      </c>
      <c r="C907" s="45">
        <f ca="1">(A907+B907)*((Indicadores_Economicos!D$2+1)^(1/12)-1)</f>
        <v>2.4570726889830869E-11</v>
      </c>
      <c r="D907" s="18">
        <f>SUMIFS(Projetos!$G$2:$G$11,Projetos!$K$2:$K$11,"&lt;="&amp;Dados!$A907,Projetos!$N$2:$N$11,"&gt;"&amp;Dados!A907,Projetos!$D$2:$D$11,"BRL")</f>
        <v>0</v>
      </c>
      <c r="E907" s="18">
        <f t="shared" ca="1" si="56"/>
        <v>7.5299708272384099E-9</v>
      </c>
      <c r="G907" s="45">
        <f t="shared" ca="1" si="59"/>
        <v>5.7733846925758274E-9</v>
      </c>
      <c r="H907" s="18">
        <f>-SUMIFS(Projetos!$F$2:$F$11,Projetos!$D$2:$D$11,"USD",Projetos!$N$2:$N$11,Dados!$A907)</f>
        <v>0</v>
      </c>
      <c r="I907" s="45">
        <f ca="1">(G907+H907)*((Indicadores_Economicos!D$2+1)^(1/12)-1)</f>
        <v>1.8900559146023735E-11</v>
      </c>
      <c r="J907" s="18">
        <f>SUMIFS(Projetos!$G$2:$G$11,Projetos!$K$2:$K$11,"&lt;="&amp;Dados!$A907,Projetos!$N$2:$N$11,"&gt;"&amp;Dados!$A907,Projetos!$D$2:$D$11,"USD")</f>
        <v>0</v>
      </c>
      <c r="K907" s="18">
        <f t="shared" ca="1" si="57"/>
        <v>5.7922852517218515E-9</v>
      </c>
    </row>
    <row r="908" spans="1:11" x14ac:dyDescent="0.2">
      <c r="A908" s="45">
        <f t="shared" ca="1" si="58"/>
        <v>7.5299708272384099E-9</v>
      </c>
      <c r="B908" s="18">
        <f>-SUMIFS(Projetos!$F$2:$F$11,Projetos!$D$2:$D$11,"BRL",Projetos!$N$2:$N$11,Dados!$A908)</f>
        <v>0</v>
      </c>
      <c r="C908" s="45">
        <f ca="1">(A908+B908)*((Indicadores_Economicos!D$2+1)^(1/12)-1)</f>
        <v>2.4651165055927653E-11</v>
      </c>
      <c r="D908" s="18">
        <f>SUMIFS(Projetos!$G$2:$G$11,Projetos!$K$2:$K$11,"&lt;="&amp;Dados!$A908,Projetos!$N$2:$N$11,"&gt;"&amp;Dados!A908,Projetos!$D$2:$D$11,"BRL")</f>
        <v>0</v>
      </c>
      <c r="E908" s="18">
        <f t="shared" ca="1" si="56"/>
        <v>7.5546219922943369E-9</v>
      </c>
      <c r="G908" s="45">
        <f t="shared" ca="1" si="59"/>
        <v>5.7922852517218515E-9</v>
      </c>
      <c r="H908" s="18">
        <f>-SUMIFS(Projetos!$F$2:$F$11,Projetos!$D$2:$D$11,"USD",Projetos!$N$2:$N$11,Dados!$A908)</f>
        <v>0</v>
      </c>
      <c r="I908" s="45">
        <f ca="1">(G908+H908)*((Indicadores_Economicos!D$2+1)^(1/12)-1)</f>
        <v>1.8962434658405877E-11</v>
      </c>
      <c r="J908" s="18">
        <f>SUMIFS(Projetos!$G$2:$G$11,Projetos!$K$2:$K$11,"&lt;="&amp;Dados!$A908,Projetos!$N$2:$N$11,"&gt;"&amp;Dados!$A908,Projetos!$D$2:$D$11,"USD")</f>
        <v>0</v>
      </c>
      <c r="K908" s="18">
        <f t="shared" ca="1" si="57"/>
        <v>5.8112476863802572E-9</v>
      </c>
    </row>
    <row r="909" spans="1:11" x14ac:dyDescent="0.2">
      <c r="A909" s="45">
        <f t="shared" ca="1" si="58"/>
        <v>7.5546219922943369E-9</v>
      </c>
      <c r="B909" s="18">
        <f>-SUMIFS(Projetos!$F$2:$F$11,Projetos!$D$2:$D$11,"BRL",Projetos!$N$2:$N$11,Dados!$A909)</f>
        <v>0</v>
      </c>
      <c r="C909" s="45">
        <f ca="1">(A909+B909)*((Indicadores_Economicos!D$2+1)^(1/12)-1)</f>
        <v>2.4731866555648792E-11</v>
      </c>
      <c r="D909" s="18">
        <f>SUMIFS(Projetos!$G$2:$G$11,Projetos!$K$2:$K$11,"&lt;="&amp;Dados!$A909,Projetos!$N$2:$N$11,"&gt;"&amp;Dados!A909,Projetos!$D$2:$D$11,"BRL")</f>
        <v>0</v>
      </c>
      <c r="E909" s="18">
        <f t="shared" ca="1" si="56"/>
        <v>7.5793538588499862E-9</v>
      </c>
      <c r="G909" s="45">
        <f t="shared" ca="1" si="59"/>
        <v>5.8112476863802572E-9</v>
      </c>
      <c r="H909" s="18">
        <f>-SUMIFS(Projetos!$F$2:$F$11,Projetos!$D$2:$D$11,"USD",Projetos!$N$2:$N$11,Dados!$A909)</f>
        <v>0</v>
      </c>
      <c r="I909" s="45">
        <f ca="1">(G909+H909)*((Indicadores_Economicos!D$2+1)^(1/12)-1)</f>
        <v>1.902451273511445E-11</v>
      </c>
      <c r="J909" s="18">
        <f>SUMIFS(Projetos!$G$2:$G$11,Projetos!$K$2:$K$11,"&lt;="&amp;Dados!$A909,Projetos!$N$2:$N$11,"&gt;"&amp;Dados!$A909,Projetos!$D$2:$D$11,"USD")</f>
        <v>0</v>
      </c>
      <c r="K909" s="18">
        <f t="shared" ca="1" si="57"/>
        <v>5.8302721991153715E-9</v>
      </c>
    </row>
    <row r="910" spans="1:11" x14ac:dyDescent="0.2">
      <c r="A910" s="45">
        <f t="shared" ca="1" si="58"/>
        <v>7.5793538588499862E-9</v>
      </c>
      <c r="B910" s="18">
        <f>-SUMIFS(Projetos!$F$2:$F$11,Projetos!$D$2:$D$11,"BRL",Projetos!$N$2:$N$11,Dados!$A910)</f>
        <v>0</v>
      </c>
      <c r="C910" s="45">
        <f ca="1">(A910+B910)*((Indicadores_Economicos!D$2+1)^(1/12)-1)</f>
        <v>2.4812832251080057E-11</v>
      </c>
      <c r="D910" s="18">
        <f>SUMIFS(Projetos!$G$2:$G$11,Projetos!$K$2:$K$11,"&lt;="&amp;Dados!$A910,Projetos!$N$2:$N$11,"&gt;"&amp;Dados!A910,Projetos!$D$2:$D$11,"BRL")</f>
        <v>0</v>
      </c>
      <c r="E910" s="18">
        <f t="shared" ca="1" si="56"/>
        <v>7.6041666911010669E-9</v>
      </c>
      <c r="G910" s="45">
        <f t="shared" ca="1" si="59"/>
        <v>5.8302721991153715E-9</v>
      </c>
      <c r="H910" s="18">
        <f>-SUMIFS(Projetos!$F$2:$F$11,Projetos!$D$2:$D$11,"USD",Projetos!$N$2:$N$11,Dados!$A910)</f>
        <v>0</v>
      </c>
      <c r="I910" s="45">
        <f ca="1">(G910+H910)*((Indicadores_Economicos!D$2+1)^(1/12)-1)</f>
        <v>1.9086794039292342E-11</v>
      </c>
      <c r="J910" s="18">
        <f>SUMIFS(Projetos!$G$2:$G$11,Projetos!$K$2:$K$11,"&lt;="&amp;Dados!$A910,Projetos!$N$2:$N$11,"&gt;"&amp;Dados!$A910,Projetos!$D$2:$D$11,"USD")</f>
        <v>0</v>
      </c>
      <c r="K910" s="18">
        <f t="shared" ca="1" si="57"/>
        <v>5.8493589931546638E-9</v>
      </c>
    </row>
    <row r="911" spans="1:11" x14ac:dyDescent="0.2">
      <c r="A911" s="45">
        <f t="shared" ca="1" si="58"/>
        <v>7.6041666911010669E-9</v>
      </c>
      <c r="B911" s="18">
        <f>-SUMIFS(Projetos!$F$2:$F$11,Projetos!$D$2:$D$11,"BRL",Projetos!$N$2:$N$11,Dados!$A911)</f>
        <v>0</v>
      </c>
      <c r="C911" s="45">
        <f ca="1">(A911+B911)*((Indicadores_Economicos!D$2+1)^(1/12)-1)</f>
        <v>2.4894063007129447E-11</v>
      </c>
      <c r="D911" s="18">
        <f>SUMIFS(Projetos!$G$2:$G$11,Projetos!$K$2:$K$11,"&lt;="&amp;Dados!$A911,Projetos!$N$2:$N$11,"&gt;"&amp;Dados!A911,Projetos!$D$2:$D$11,"BRL")</f>
        <v>0</v>
      </c>
      <c r="E911" s="18">
        <f t="shared" ca="1" si="56"/>
        <v>7.6290607541081962E-9</v>
      </c>
      <c r="G911" s="45">
        <f t="shared" ca="1" si="59"/>
        <v>5.8493589931546638E-9</v>
      </c>
      <c r="H911" s="18">
        <f>-SUMIFS(Projetos!$F$2:$F$11,Projetos!$D$2:$D$11,"USD",Projetos!$N$2:$N$11,Dados!$A911)</f>
        <v>0</v>
      </c>
      <c r="I911" s="45">
        <f ca="1">(G911+H911)*((Indicadores_Economicos!D$2+1)^(1/12)-1)</f>
        <v>1.9149279236253411E-11</v>
      </c>
      <c r="J911" s="18">
        <f>SUMIFS(Projetos!$G$2:$G$11,Projetos!$K$2:$K$11,"&lt;="&amp;Dados!$A911,Projetos!$N$2:$N$11,"&gt;"&amp;Dados!$A911,Projetos!$D$2:$D$11,"USD")</f>
        <v>0</v>
      </c>
      <c r="K911" s="18">
        <f t="shared" ca="1" si="57"/>
        <v>5.8685082723909172E-9</v>
      </c>
    </row>
    <row r="912" spans="1:11" x14ac:dyDescent="0.2">
      <c r="A912" s="45">
        <f t="shared" ca="1" si="58"/>
        <v>7.6290607541081962E-9</v>
      </c>
      <c r="B912" s="18">
        <f>-SUMIFS(Projetos!$F$2:$F$11,Projetos!$D$2:$D$11,"BRL",Projetos!$N$2:$N$11,Dados!$A912)</f>
        <v>0</v>
      </c>
      <c r="C912" s="45">
        <f ca="1">(A912+B912)*((Indicadores_Economicos!D$2+1)^(1/12)-1)</f>
        <v>2.4975559691536452E-11</v>
      </c>
      <c r="D912" s="18">
        <f>SUMIFS(Projetos!$G$2:$G$11,Projetos!$K$2:$K$11,"&lt;="&amp;Dados!$A912,Projetos!$N$2:$N$11,"&gt;"&amp;Dados!A912,Projetos!$D$2:$D$11,"BRL")</f>
        <v>0</v>
      </c>
      <c r="E912" s="18">
        <f t="shared" ca="1" si="56"/>
        <v>7.654036313799732E-9</v>
      </c>
      <c r="G912" s="45">
        <f t="shared" ca="1" si="59"/>
        <v>5.8685082723909172E-9</v>
      </c>
      <c r="H912" s="18">
        <f>-SUMIFS(Projetos!$F$2:$F$11,Projetos!$D$2:$D$11,"USD",Projetos!$N$2:$N$11,Dados!$A912)</f>
        <v>0</v>
      </c>
      <c r="I912" s="45">
        <f ca="1">(G912+H912)*((Indicadores_Economicos!D$2+1)^(1/12)-1)</f>
        <v>1.9211968993489568E-11</v>
      </c>
      <c r="J912" s="18">
        <f>SUMIFS(Projetos!$G$2:$G$11,Projetos!$K$2:$K$11,"&lt;="&amp;Dados!$A912,Projetos!$N$2:$N$11,"&gt;"&amp;Dados!$A912,Projetos!$D$2:$D$11,"USD")</f>
        <v>0</v>
      </c>
      <c r="K912" s="18">
        <f t="shared" ca="1" si="57"/>
        <v>5.8877202413844065E-9</v>
      </c>
    </row>
    <row r="913" spans="1:11" x14ac:dyDescent="0.2">
      <c r="A913" s="45">
        <f t="shared" ca="1" si="58"/>
        <v>7.654036313799732E-9</v>
      </c>
      <c r="B913" s="18">
        <f>-SUMIFS(Projetos!$F$2:$F$11,Projetos!$D$2:$D$11,"BRL",Projetos!$N$2:$N$11,Dados!$A913)</f>
        <v>0</v>
      </c>
      <c r="C913" s="45">
        <f ca="1">(A913+B913)*((Indicadores_Economicos!D$2+1)^(1/12)-1)</f>
        <v>2.5057323174881318E-11</v>
      </c>
      <c r="D913" s="18">
        <f>SUMIFS(Projetos!$G$2:$G$11,Projetos!$K$2:$K$11,"&lt;="&amp;Dados!$A913,Projetos!$N$2:$N$11,"&gt;"&amp;Dados!A913,Projetos!$D$2:$D$11,"BRL")</f>
        <v>0</v>
      </c>
      <c r="E913" s="18">
        <f t="shared" ca="1" si="56"/>
        <v>7.6790936369746133E-9</v>
      </c>
      <c r="G913" s="45">
        <f t="shared" ca="1" si="59"/>
        <v>5.8877202413844065E-9</v>
      </c>
      <c r="H913" s="18">
        <f>-SUMIFS(Projetos!$F$2:$F$11,Projetos!$D$2:$D$11,"USD",Projetos!$N$2:$N$11,Dados!$A913)</f>
        <v>0</v>
      </c>
      <c r="I913" s="45">
        <f ca="1">(G913+H913)*((Indicadores_Economicos!D$2+1)^(1/12)-1)</f>
        <v>1.9274863980677928E-11</v>
      </c>
      <c r="J913" s="18">
        <f>SUMIFS(Projetos!$G$2:$G$11,Projetos!$K$2:$K$11,"&lt;="&amp;Dados!$A913,Projetos!$N$2:$N$11,"&gt;"&amp;Dados!$A913,Projetos!$D$2:$D$11,"USD")</f>
        <v>0</v>
      </c>
      <c r="K913" s="18">
        <f t="shared" ca="1" si="57"/>
        <v>5.9069951053650848E-9</v>
      </c>
    </row>
    <row r="914" spans="1:11" x14ac:dyDescent="0.2">
      <c r="A914" s="45">
        <f t="shared" ca="1" si="58"/>
        <v>7.6790936369746133E-9</v>
      </c>
      <c r="B914" s="18">
        <f>-SUMIFS(Projetos!$F$2:$F$11,Projetos!$D$2:$D$11,"BRL",Projetos!$N$2:$N$11,Dados!$A914)</f>
        <v>0</v>
      </c>
      <c r="C914" s="45">
        <f ca="1">(A914+B914)*((Indicadores_Economicos!D$2+1)^(1/12)-1)</f>
        <v>2.513935433059434E-11</v>
      </c>
      <c r="D914" s="18">
        <f>SUMIFS(Projetos!$G$2:$G$11,Projetos!$K$2:$K$11,"&lt;="&amp;Dados!$A914,Projetos!$N$2:$N$11,"&gt;"&amp;Dados!A914,Projetos!$D$2:$D$11,"BRL")</f>
        <v>0</v>
      </c>
      <c r="E914" s="18">
        <f t="shared" ca="1" si="56"/>
        <v>7.7042329913052073E-9</v>
      </c>
      <c r="G914" s="45">
        <f t="shared" ca="1" si="59"/>
        <v>5.9069951053650848E-9</v>
      </c>
      <c r="H914" s="18">
        <f>-SUMIFS(Projetos!$F$2:$F$11,Projetos!$D$2:$D$11,"USD",Projetos!$N$2:$N$11,Dados!$A914)</f>
        <v>0</v>
      </c>
      <c r="I914" s="45">
        <f ca="1">(G914+H914)*((Indicadores_Economicos!D$2+1)^(1/12)-1)</f>
        <v>1.9337964869687946E-11</v>
      </c>
      <c r="J914" s="18">
        <f>SUMIFS(Projetos!$G$2:$G$11,Projetos!$K$2:$K$11,"&lt;="&amp;Dados!$A914,Projetos!$N$2:$N$11,"&gt;"&amp;Dados!$A914,Projetos!$D$2:$D$11,"USD")</f>
        <v>0</v>
      </c>
      <c r="K914" s="18">
        <f t="shared" ca="1" si="57"/>
        <v>5.9263330702347724E-9</v>
      </c>
    </row>
    <row r="915" spans="1:11" x14ac:dyDescent="0.2">
      <c r="A915" s="45">
        <f t="shared" ca="1" si="58"/>
        <v>7.7042329913052073E-9</v>
      </c>
      <c r="B915" s="18">
        <f>-SUMIFS(Projetos!$F$2:$F$11,Projetos!$D$2:$D$11,"BRL",Projetos!$N$2:$N$11,Dados!$A915)</f>
        <v>0</v>
      </c>
      <c r="C915" s="45">
        <f ca="1">(A915+B915)*((Indicadores_Economicos!D$2+1)^(1/12)-1)</f>
        <v>2.5221654034965202E-11</v>
      </c>
      <c r="D915" s="18">
        <f>SUMIFS(Projetos!$G$2:$G$11,Projetos!$K$2:$K$11,"&lt;="&amp;Dados!$A915,Projetos!$N$2:$N$11,"&gt;"&amp;Dados!A915,Projetos!$D$2:$D$11,"BRL")</f>
        <v>0</v>
      </c>
      <c r="E915" s="18">
        <f t="shared" ca="1" si="56"/>
        <v>7.7294546453401718E-9</v>
      </c>
      <c r="G915" s="45">
        <f t="shared" ca="1" si="59"/>
        <v>5.9263330702347724E-9</v>
      </c>
      <c r="H915" s="18">
        <f>-SUMIFS(Projetos!$F$2:$F$11,Projetos!$D$2:$D$11,"USD",Projetos!$N$2:$N$11,Dados!$A915)</f>
        <v>0</v>
      </c>
      <c r="I915" s="45">
        <f ca="1">(G915+H915)*((Indicadores_Economicos!D$2+1)^(1/12)-1)</f>
        <v>1.9401272334588609E-11</v>
      </c>
      <c r="J915" s="18">
        <f>SUMIFS(Projetos!$G$2:$G$11,Projetos!$K$2:$K$11,"&lt;="&amp;Dados!$A915,Projetos!$N$2:$N$11,"&gt;"&amp;Dados!$A915,Projetos!$D$2:$D$11,"USD")</f>
        <v>0</v>
      </c>
      <c r="K915" s="18">
        <f t="shared" ca="1" si="57"/>
        <v>5.9457343425693609E-9</v>
      </c>
    </row>
    <row r="916" spans="1:11" x14ac:dyDescent="0.2">
      <c r="A916" s="45">
        <f t="shared" ca="1" si="58"/>
        <v>7.7294546453401718E-9</v>
      </c>
      <c r="B916" s="18">
        <f>-SUMIFS(Projetos!$F$2:$F$11,Projetos!$D$2:$D$11,"BRL",Projetos!$N$2:$N$11,Dados!$A916)</f>
        <v>0</v>
      </c>
      <c r="C916" s="45">
        <f ca="1">(A916+B916)*((Indicadores_Economicos!D$2+1)^(1/12)-1)</f>
        <v>2.5304223167152323E-11</v>
      </c>
      <c r="D916" s="18">
        <f>SUMIFS(Projetos!$G$2:$G$11,Projetos!$K$2:$K$11,"&lt;="&amp;Dados!$A916,Projetos!$N$2:$N$11,"&gt;"&amp;Dados!A916,Projetos!$D$2:$D$11,"BRL")</f>
        <v>0</v>
      </c>
      <c r="E916" s="18">
        <f t="shared" ca="1" si="56"/>
        <v>7.7547588685073248E-9</v>
      </c>
      <c r="G916" s="45">
        <f t="shared" ca="1" si="59"/>
        <v>5.9457343425693609E-9</v>
      </c>
      <c r="H916" s="18">
        <f>-SUMIFS(Projetos!$F$2:$F$11,Projetos!$D$2:$D$11,"USD",Projetos!$N$2:$N$11,Dados!$A916)</f>
        <v>0</v>
      </c>
      <c r="I916" s="45">
        <f ca="1">(G916+H916)*((Indicadores_Economicos!D$2+1)^(1/12)-1)</f>
        <v>1.9464787051655627E-11</v>
      </c>
      <c r="J916" s="18">
        <f>SUMIFS(Projetos!$G$2:$G$11,Projetos!$K$2:$K$11,"&lt;="&amp;Dados!$A916,Projetos!$N$2:$N$11,"&gt;"&amp;Dados!$A916,Projetos!$D$2:$D$11,"USD")</f>
        <v>0</v>
      </c>
      <c r="K916" s="18">
        <f t="shared" ca="1" si="57"/>
        <v>5.9651991296210165E-9</v>
      </c>
    </row>
    <row r="917" spans="1:11" x14ac:dyDescent="0.2">
      <c r="A917" s="45">
        <f t="shared" ca="1" si="58"/>
        <v>7.7547588685073248E-9</v>
      </c>
      <c r="B917" s="18">
        <f>-SUMIFS(Projetos!$F$2:$F$11,Projetos!$D$2:$D$11,"BRL",Projetos!$N$2:$N$11,Dados!$A917)</f>
        <v>0</v>
      </c>
      <c r="C917" s="45">
        <f ca="1">(A917+B917)*((Indicadores_Economicos!D$2+1)^(1/12)-1)</f>
        <v>2.538706260919227E-11</v>
      </c>
      <c r="D917" s="18">
        <f>SUMIFS(Projetos!$G$2:$G$11,Projetos!$K$2:$K$11,"&lt;="&amp;Dados!$A917,Projetos!$N$2:$N$11,"&gt;"&amp;Dados!A917,Projetos!$D$2:$D$11,"BRL")</f>
        <v>0</v>
      </c>
      <c r="E917" s="18">
        <f t="shared" ca="1" si="56"/>
        <v>7.7801459311165174E-9</v>
      </c>
      <c r="G917" s="45">
        <f t="shared" ca="1" si="59"/>
        <v>5.9651991296210165E-9</v>
      </c>
      <c r="H917" s="18">
        <f>-SUMIFS(Projetos!$F$2:$F$11,Projetos!$D$2:$D$11,"USD",Projetos!$N$2:$N$11,Dados!$A917)</f>
        <v>0</v>
      </c>
      <c r="I917" s="45">
        <f ca="1">(G917+H917)*((Indicadores_Economicos!D$2+1)^(1/12)-1)</f>
        <v>1.952850969937866E-11</v>
      </c>
      <c r="J917" s="18">
        <f>SUMIFS(Projetos!$G$2:$G$11,Projetos!$K$2:$K$11,"&lt;="&amp;Dados!$A917,Projetos!$N$2:$N$11,"&gt;"&amp;Dados!$A917,Projetos!$D$2:$D$11,"USD")</f>
        <v>0</v>
      </c>
      <c r="K917" s="18">
        <f t="shared" ca="1" si="57"/>
        <v>5.9847276393203955E-9</v>
      </c>
    </row>
    <row r="918" spans="1:11" x14ac:dyDescent="0.2">
      <c r="A918" s="45">
        <f t="shared" ca="1" si="58"/>
        <v>7.7801459311165174E-9</v>
      </c>
      <c r="B918" s="18">
        <f>-SUMIFS(Projetos!$F$2:$F$11,Projetos!$D$2:$D$11,"BRL",Projetos!$N$2:$N$11,Dados!$A918)</f>
        <v>0</v>
      </c>
      <c r="C918" s="45">
        <f ca="1">(A918+B918)*((Indicadores_Economicos!D$2+1)^(1/12)-1)</f>
        <v>2.5470173246009159E-11</v>
      </c>
      <c r="D918" s="18">
        <f>SUMIFS(Projetos!$G$2:$G$11,Projetos!$K$2:$K$11,"&lt;="&amp;Dados!$A918,Projetos!$N$2:$N$11,"&gt;"&amp;Dados!A918,Projetos!$D$2:$D$11,"BRL")</f>
        <v>0</v>
      </c>
      <c r="E918" s="18">
        <f t="shared" ca="1" si="56"/>
        <v>7.8056161043625263E-9</v>
      </c>
      <c r="G918" s="45">
        <f t="shared" ca="1" si="59"/>
        <v>5.9847276393203955E-9</v>
      </c>
      <c r="H918" s="18">
        <f>-SUMIFS(Projetos!$F$2:$F$11,Projetos!$D$2:$D$11,"USD",Projetos!$N$2:$N$11,Dados!$A918)</f>
        <v>0</v>
      </c>
      <c r="I918" s="45">
        <f ca="1">(G918+H918)*((Indicadores_Economicos!D$2+1)^(1/12)-1)</f>
        <v>1.9592440958468574E-11</v>
      </c>
      <c r="J918" s="18">
        <f>SUMIFS(Projetos!$G$2:$G$11,Projetos!$K$2:$K$11,"&lt;="&amp;Dados!$A918,Projetos!$N$2:$N$11,"&gt;"&amp;Dados!$A918,Projetos!$D$2:$D$11,"USD")</f>
        <v>0</v>
      </c>
      <c r="K918" s="18">
        <f t="shared" ca="1" si="57"/>
        <v>6.0043200802788642E-9</v>
      </c>
    </row>
    <row r="919" spans="1:11" x14ac:dyDescent="0.2">
      <c r="A919" s="45">
        <f t="shared" ca="1" si="58"/>
        <v>7.8056161043625263E-9</v>
      </c>
      <c r="B919" s="18">
        <f>-SUMIFS(Projetos!$F$2:$F$11,Projetos!$D$2:$D$11,"BRL",Projetos!$N$2:$N$11,Dados!$A919)</f>
        <v>0</v>
      </c>
      <c r="C919" s="45">
        <f ca="1">(A919+B919)*((Indicadores_Economicos!D$2+1)^(1/12)-1)</f>
        <v>2.5553555965424115E-11</v>
      </c>
      <c r="D919" s="18">
        <f>SUMIFS(Projetos!$G$2:$G$11,Projetos!$K$2:$K$11,"&lt;="&amp;Dados!$A919,Projetos!$N$2:$N$11,"&gt;"&amp;Dados!A919,Projetos!$D$2:$D$11,"BRL")</f>
        <v>0</v>
      </c>
      <c r="E919" s="18">
        <f t="shared" ca="1" si="56"/>
        <v>7.8311696603279499E-9</v>
      </c>
      <c r="G919" s="45">
        <f t="shared" ca="1" si="59"/>
        <v>6.0043200802788642E-9</v>
      </c>
      <c r="H919" s="18">
        <f>-SUMIFS(Projetos!$F$2:$F$11,Projetos!$D$2:$D$11,"USD",Projetos!$N$2:$N$11,Dados!$A919)</f>
        <v>0</v>
      </c>
      <c r="I919" s="45">
        <f ca="1">(G919+H919)*((Indicadores_Economicos!D$2+1)^(1/12)-1)</f>
        <v>1.9656581511864698E-11</v>
      </c>
      <c r="J919" s="18">
        <f>SUMIFS(Projetos!$G$2:$G$11,Projetos!$K$2:$K$11,"&lt;="&amp;Dados!$A919,Projetos!$N$2:$N$11,"&gt;"&amp;Dados!$A919,Projetos!$D$2:$D$11,"USD")</f>
        <v>0</v>
      </c>
      <c r="K919" s="18">
        <f t="shared" ca="1" si="57"/>
        <v>6.0239766617907291E-9</v>
      </c>
    </row>
    <row r="920" spans="1:11" x14ac:dyDescent="0.2">
      <c r="A920" s="45">
        <f t="shared" ca="1" si="58"/>
        <v>7.8311696603279499E-9</v>
      </c>
      <c r="B920" s="18">
        <f>-SUMIFS(Projetos!$F$2:$F$11,Projetos!$D$2:$D$11,"BRL",Projetos!$N$2:$N$11,Dados!$A920)</f>
        <v>0</v>
      </c>
      <c r="C920" s="45">
        <f ca="1">(A920+B920)*((Indicadores_Economicos!D$2+1)^(1/12)-1)</f>
        <v>2.563721165816477E-11</v>
      </c>
      <c r="D920" s="18">
        <f>SUMIFS(Projetos!$G$2:$G$11,Projetos!$K$2:$K$11,"&lt;="&amp;Dados!$A920,Projetos!$N$2:$N$11,"&gt;"&amp;Dados!A920,Projetos!$D$2:$D$11,"BRL")</f>
        <v>0</v>
      </c>
      <c r="E920" s="18">
        <f t="shared" ca="1" si="56"/>
        <v>7.8568068719861142E-9</v>
      </c>
      <c r="G920" s="45">
        <f t="shared" ca="1" si="59"/>
        <v>6.0239766617907291E-9</v>
      </c>
      <c r="H920" s="18">
        <f>-SUMIFS(Projetos!$F$2:$F$11,Projetos!$D$2:$D$11,"USD",Projetos!$N$2:$N$11,Dados!$A920)</f>
        <v>0</v>
      </c>
      <c r="I920" s="45">
        <f ca="1">(G920+H920)*((Indicadores_Economicos!D$2+1)^(1/12)-1)</f>
        <v>1.9720932044742124E-11</v>
      </c>
      <c r="J920" s="18">
        <f>SUMIFS(Projetos!$G$2:$G$11,Projetos!$K$2:$K$11,"&lt;="&amp;Dados!$A920,Projetos!$N$2:$N$11,"&gt;"&amp;Dados!$A920,Projetos!$D$2:$D$11,"USD")</f>
        <v>0</v>
      </c>
      <c r="K920" s="18">
        <f t="shared" ca="1" si="57"/>
        <v>6.043697593835471E-9</v>
      </c>
    </row>
    <row r="921" spans="1:11" x14ac:dyDescent="0.2">
      <c r="A921" s="45">
        <f t="shared" ca="1" si="58"/>
        <v>7.8568068719861142E-9</v>
      </c>
      <c r="B921" s="18">
        <f>-SUMIFS(Projetos!$F$2:$F$11,Projetos!$D$2:$D$11,"BRL",Projetos!$N$2:$N$11,Dados!$A921)</f>
        <v>0</v>
      </c>
      <c r="C921" s="45">
        <f ca="1">(A921+B921)*((Indicadores_Economicos!D$2+1)^(1/12)-1)</f>
        <v>2.5721141217874755E-11</v>
      </c>
      <c r="D921" s="18">
        <f>SUMIFS(Projetos!$G$2:$G$11,Projetos!$K$2:$K$11,"&lt;="&amp;Dados!$A921,Projetos!$N$2:$N$11,"&gt;"&amp;Dados!A921,Projetos!$D$2:$D$11,"BRL")</f>
        <v>0</v>
      </c>
      <c r="E921" s="18">
        <f t="shared" ca="1" si="56"/>
        <v>7.8825280132039883E-9</v>
      </c>
      <c r="G921" s="45">
        <f t="shared" ca="1" si="59"/>
        <v>6.043697593835471E-9</v>
      </c>
      <c r="H921" s="18">
        <f>-SUMIFS(Projetos!$F$2:$F$11,Projetos!$D$2:$D$11,"USD",Projetos!$N$2:$N$11,Dados!$A921)</f>
        <v>0</v>
      </c>
      <c r="I921" s="45">
        <f ca="1">(G921+H921)*((Indicadores_Economicos!D$2+1)^(1/12)-1)</f>
        <v>1.9785493244519038E-11</v>
      </c>
      <c r="J921" s="18">
        <f>SUMIFS(Projetos!$G$2:$G$11,Projetos!$K$2:$K$11,"&lt;="&amp;Dados!$A921,Projetos!$N$2:$N$11,"&gt;"&amp;Dados!$A921,Projetos!$D$2:$D$11,"USD")</f>
        <v>0</v>
      </c>
      <c r="K921" s="18">
        <f t="shared" ca="1" si="57"/>
        <v>6.0634830870799901E-9</v>
      </c>
    </row>
    <row r="922" spans="1:11" x14ac:dyDescent="0.2">
      <c r="A922" s="45">
        <f t="shared" ca="1" si="58"/>
        <v>7.8825280132039883E-9</v>
      </c>
      <c r="B922" s="18">
        <f>-SUMIFS(Projetos!$F$2:$F$11,Projetos!$D$2:$D$11,"BRL",Projetos!$N$2:$N$11,Dados!$A922)</f>
        <v>0</v>
      </c>
      <c r="C922" s="45">
        <f ca="1">(A922+B922)*((Indicadores_Economicos!D$2+1)^(1/12)-1)</f>
        <v>2.5805345541123265E-11</v>
      </c>
      <c r="D922" s="18">
        <f>SUMIFS(Projetos!$G$2:$G$11,Projetos!$K$2:$K$11,"&lt;="&amp;Dados!$A922,Projetos!$N$2:$N$11,"&gt;"&amp;Dados!A922,Projetos!$D$2:$D$11,"BRL")</f>
        <v>0</v>
      </c>
      <c r="E922" s="18">
        <f t="shared" ca="1" si="56"/>
        <v>7.9083333587451122E-9</v>
      </c>
      <c r="G922" s="45">
        <f t="shared" ca="1" si="59"/>
        <v>6.0634830870799901E-9</v>
      </c>
      <c r="H922" s="18">
        <f>-SUMIFS(Projetos!$F$2:$F$11,Projetos!$D$2:$D$11,"USD",Projetos!$N$2:$N$11,Dados!$A922)</f>
        <v>0</v>
      </c>
      <c r="I922" s="45">
        <f ca="1">(G922+H922)*((Indicadores_Economicos!D$2+1)^(1/12)-1)</f>
        <v>1.9850265800864048E-11</v>
      </c>
      <c r="J922" s="18">
        <f>SUMIFS(Projetos!$G$2:$G$11,Projetos!$K$2:$K$11,"&lt;="&amp;Dados!$A922,Projetos!$N$2:$N$11,"&gt;"&amp;Dados!$A922,Projetos!$D$2:$D$11,"USD")</f>
        <v>0</v>
      </c>
      <c r="K922" s="18">
        <f t="shared" ca="1" si="57"/>
        <v>6.0833333528808543E-9</v>
      </c>
    </row>
    <row r="923" spans="1:11" x14ac:dyDescent="0.2">
      <c r="A923" s="45">
        <f t="shared" ca="1" si="58"/>
        <v>7.9083333587451122E-9</v>
      </c>
      <c r="B923" s="18">
        <f>-SUMIFS(Projetos!$F$2:$F$11,Projetos!$D$2:$D$11,"BRL",Projetos!$N$2:$N$11,Dados!$A923)</f>
        <v>0</v>
      </c>
      <c r="C923" s="45">
        <f ca="1">(A923+B923)*((Indicadores_Economicos!D$2+1)^(1/12)-1)</f>
        <v>2.5889825527414633E-11</v>
      </c>
      <c r="D923" s="18">
        <f>SUMIFS(Projetos!$G$2:$G$11,Projetos!$K$2:$K$11,"&lt;="&amp;Dados!$A923,Projetos!$N$2:$N$11,"&gt;"&amp;Dados!A923,Projetos!$D$2:$D$11,"BRL")</f>
        <v>0</v>
      </c>
      <c r="E923" s="18">
        <f t="shared" ca="1" si="56"/>
        <v>7.9342231842725273E-9</v>
      </c>
      <c r="G923" s="45">
        <f t="shared" ca="1" si="59"/>
        <v>6.0833333528808543E-9</v>
      </c>
      <c r="H923" s="18">
        <f>-SUMIFS(Projetos!$F$2:$F$11,Projetos!$D$2:$D$11,"USD",Projetos!$N$2:$N$11,Dados!$A923)</f>
        <v>0</v>
      </c>
      <c r="I923" s="45">
        <f ca="1">(G923+H923)*((Indicadores_Economicos!D$2+1)^(1/12)-1)</f>
        <v>1.9915250405703561E-11</v>
      </c>
      <c r="J923" s="18">
        <f>SUMIFS(Projetos!$G$2:$G$11,Projetos!$K$2:$K$11,"&lt;="&amp;Dados!$A923,Projetos!$N$2:$N$11,"&gt;"&amp;Dados!$A923,Projetos!$D$2:$D$11,"USD")</f>
        <v>0</v>
      </c>
      <c r="K923" s="18">
        <f t="shared" ca="1" si="57"/>
        <v>6.1032486032865581E-9</v>
      </c>
    </row>
    <row r="924" spans="1:11" x14ac:dyDescent="0.2">
      <c r="A924" s="45">
        <f t="shared" ca="1" si="58"/>
        <v>7.9342231842725273E-9</v>
      </c>
      <c r="B924" s="18">
        <f>-SUMIFS(Projetos!$F$2:$F$11,Projetos!$D$2:$D$11,"BRL",Projetos!$N$2:$N$11,Dados!$A924)</f>
        <v>0</v>
      </c>
      <c r="C924" s="45">
        <f ca="1">(A924+B924)*((Indicadores_Economicos!D$2+1)^(1/12)-1)</f>
        <v>2.597458207919792E-11</v>
      </c>
      <c r="D924" s="18">
        <f>SUMIFS(Projetos!$G$2:$G$11,Projetos!$K$2:$K$11,"&lt;="&amp;Dados!$A924,Projetos!$N$2:$N$11,"&gt;"&amp;Dados!A924,Projetos!$D$2:$D$11,"BRL")</f>
        <v>0</v>
      </c>
      <c r="E924" s="18">
        <f t="shared" ca="1" si="56"/>
        <v>7.9601977663517254E-9</v>
      </c>
      <c r="G924" s="45">
        <f t="shared" ca="1" si="59"/>
        <v>6.1032486032865581E-9</v>
      </c>
      <c r="H924" s="18">
        <f>-SUMIFS(Projetos!$F$2:$F$11,Projetos!$D$2:$D$11,"USD",Projetos!$N$2:$N$11,Dados!$A924)</f>
        <v>0</v>
      </c>
      <c r="I924" s="45">
        <f ca="1">(G924+H924)*((Indicadores_Economicos!D$2+1)^(1/12)-1)</f>
        <v>1.9980447753229165E-11</v>
      </c>
      <c r="J924" s="18">
        <f>SUMIFS(Projetos!$G$2:$G$11,Projetos!$K$2:$K$11,"&lt;="&amp;Dados!$A924,Projetos!$N$2:$N$11,"&gt;"&amp;Dados!$A924,Projetos!$D$2:$D$11,"USD")</f>
        <v>0</v>
      </c>
      <c r="K924" s="18">
        <f t="shared" ca="1" si="57"/>
        <v>6.1232290510397874E-9</v>
      </c>
    </row>
    <row r="925" spans="1:11" x14ac:dyDescent="0.2">
      <c r="A925" s="45">
        <f t="shared" ca="1" si="58"/>
        <v>7.9601977663517254E-9</v>
      </c>
      <c r="B925" s="18">
        <f>-SUMIFS(Projetos!$F$2:$F$11,Projetos!$D$2:$D$11,"BRL",Projetos!$N$2:$N$11,Dados!$A925)</f>
        <v>0</v>
      </c>
      <c r="C925" s="45">
        <f ca="1">(A925+B925)*((Indicadores_Economicos!D$2+1)^(1/12)-1)</f>
        <v>2.6059616101876582E-11</v>
      </c>
      <c r="D925" s="18">
        <f>SUMIFS(Projetos!$G$2:$G$11,Projetos!$K$2:$K$11,"&lt;="&amp;Dados!$A925,Projetos!$N$2:$N$11,"&gt;"&amp;Dados!A925,Projetos!$D$2:$D$11,"BRL")</f>
        <v>0</v>
      </c>
      <c r="E925" s="18">
        <f t="shared" ca="1" si="56"/>
        <v>7.9862573824536022E-9</v>
      </c>
      <c r="G925" s="45">
        <f t="shared" ca="1" si="59"/>
        <v>6.1232290510397874E-9</v>
      </c>
      <c r="H925" s="18">
        <f>-SUMIFS(Projetos!$F$2:$F$11,Projetos!$D$2:$D$11,"USD",Projetos!$N$2:$N$11,Dados!$A925)</f>
        <v>0</v>
      </c>
      <c r="I925" s="45">
        <f ca="1">(G925+H925)*((Indicadores_Economicos!D$2+1)^(1/12)-1)</f>
        <v>2.0045858539905059E-11</v>
      </c>
      <c r="J925" s="18">
        <f>SUMIFS(Projetos!$G$2:$G$11,Projetos!$K$2:$K$11,"&lt;="&amp;Dados!$A925,Projetos!$N$2:$N$11,"&gt;"&amp;Dados!$A925,Projetos!$D$2:$D$11,"USD")</f>
        <v>0</v>
      </c>
      <c r="K925" s="18">
        <f t="shared" ca="1" si="57"/>
        <v>6.1432749095796928E-9</v>
      </c>
    </row>
    <row r="926" spans="1:11" x14ac:dyDescent="0.2">
      <c r="A926" s="45">
        <f t="shared" ca="1" si="58"/>
        <v>7.9862573824536022E-9</v>
      </c>
      <c r="B926" s="18">
        <f>-SUMIFS(Projetos!$F$2:$F$11,Projetos!$D$2:$D$11,"BRL",Projetos!$N$2:$N$11,Dados!$A926)</f>
        <v>0</v>
      </c>
      <c r="C926" s="45">
        <f ca="1">(A926+B926)*((Indicadores_Economicos!D$2+1)^(1/12)-1)</f>
        <v>2.6144928503818128E-11</v>
      </c>
      <c r="D926" s="18">
        <f>SUMIFS(Projetos!$G$2:$G$11,Projetos!$K$2:$K$11,"&lt;="&amp;Dados!$A926,Projetos!$N$2:$N$11,"&gt;"&amp;Dados!A926,Projetos!$D$2:$D$11,"BRL")</f>
        <v>0</v>
      </c>
      <c r="E926" s="18">
        <f t="shared" ca="1" si="56"/>
        <v>8.0124023109574201E-9</v>
      </c>
      <c r="G926" s="45">
        <f t="shared" ca="1" si="59"/>
        <v>6.1432749095796928E-9</v>
      </c>
      <c r="H926" s="18">
        <f>-SUMIFS(Projetos!$F$2:$F$11,Projetos!$D$2:$D$11,"USD",Projetos!$N$2:$N$11,Dados!$A926)</f>
        <v>0</v>
      </c>
      <c r="I926" s="45">
        <f ca="1">(G926+H926)*((Indicadores_Economicos!D$2+1)^(1/12)-1)</f>
        <v>2.011148346447548E-11</v>
      </c>
      <c r="J926" s="18">
        <f>SUMIFS(Projetos!$G$2:$G$11,Projetos!$K$2:$K$11,"&lt;="&amp;Dados!$A926,Projetos!$N$2:$N$11,"&gt;"&amp;Dados!$A926,Projetos!$D$2:$D$11,"USD")</f>
        <v>0</v>
      </c>
      <c r="K926" s="18">
        <f t="shared" ca="1" si="57"/>
        <v>6.1633863930441682E-9</v>
      </c>
    </row>
    <row r="927" spans="1:11" x14ac:dyDescent="0.2">
      <c r="A927" s="45">
        <f t="shared" ca="1" si="58"/>
        <v>8.0124023109574201E-9</v>
      </c>
      <c r="B927" s="18">
        <f>-SUMIFS(Projetos!$F$2:$F$11,Projetos!$D$2:$D$11,"BRL",Projetos!$N$2:$N$11,Dados!$A927)</f>
        <v>0</v>
      </c>
      <c r="C927" s="45">
        <f ca="1">(A927+B927)*((Indicadores_Economicos!D$2+1)^(1/12)-1)</f>
        <v>2.6230520196363823E-11</v>
      </c>
      <c r="D927" s="18">
        <f>SUMIFS(Projetos!$G$2:$G$11,Projetos!$K$2:$K$11,"&lt;="&amp;Dados!$A927,Projetos!$N$2:$N$11,"&gt;"&amp;Dados!A927,Projetos!$D$2:$D$11,"BRL")</f>
        <v>0</v>
      </c>
      <c r="E927" s="18">
        <f t="shared" ca="1" si="56"/>
        <v>8.0386328311537846E-9</v>
      </c>
      <c r="G927" s="45">
        <f t="shared" ca="1" si="59"/>
        <v>6.1633863930441682E-9</v>
      </c>
      <c r="H927" s="18">
        <f>-SUMIFS(Projetos!$F$2:$F$11,Projetos!$D$2:$D$11,"USD",Projetos!$N$2:$N$11,Dados!$A927)</f>
        <v>0</v>
      </c>
      <c r="I927" s="45">
        <f ca="1">(G927+H927)*((Indicadores_Economicos!D$2+1)^(1/12)-1)</f>
        <v>2.0177323227972167E-11</v>
      </c>
      <c r="J927" s="18">
        <f>SUMIFS(Projetos!$G$2:$G$11,Projetos!$K$2:$K$11,"&lt;="&amp;Dados!$A927,Projetos!$N$2:$N$11,"&gt;"&amp;Dados!$A927,Projetos!$D$2:$D$11,"USD")</f>
        <v>0</v>
      </c>
      <c r="K927" s="18">
        <f t="shared" ca="1" si="57"/>
        <v>6.1835637162721407E-9</v>
      </c>
    </row>
    <row r="928" spans="1:11" x14ac:dyDescent="0.2">
      <c r="A928" s="45">
        <f t="shared" ca="1" si="58"/>
        <v>8.0386328311537846E-9</v>
      </c>
      <c r="B928" s="18">
        <f>-SUMIFS(Projetos!$F$2:$F$11,Projetos!$D$2:$D$11,"BRL",Projetos!$N$2:$N$11,Dados!$A928)</f>
        <v>0</v>
      </c>
      <c r="C928" s="45">
        <f ca="1">(A928+B928)*((Indicadores_Economicos!D$2+1)^(1/12)-1)</f>
        <v>2.6316392093838433E-11</v>
      </c>
      <c r="D928" s="18">
        <f>SUMIFS(Projetos!$G$2:$G$11,Projetos!$K$2:$K$11,"&lt;="&amp;Dados!$A928,Projetos!$N$2:$N$11,"&gt;"&amp;Dados!A928,Projetos!$D$2:$D$11,"BRL")</f>
        <v>0</v>
      </c>
      <c r="E928" s="18">
        <f t="shared" ca="1" si="56"/>
        <v>8.0649492232476234E-9</v>
      </c>
      <c r="G928" s="45">
        <f t="shared" ca="1" si="59"/>
        <v>6.1835637162721407E-9</v>
      </c>
      <c r="H928" s="18">
        <f>-SUMIFS(Projetos!$F$2:$F$11,Projetos!$D$2:$D$11,"USD",Projetos!$N$2:$N$11,Dados!$A928)</f>
        <v>0</v>
      </c>
      <c r="I928" s="45">
        <f ca="1">(G928+H928)*((Indicadores_Economicos!D$2+1)^(1/12)-1)</f>
        <v>2.0243378533721867E-11</v>
      </c>
      <c r="J928" s="18">
        <f>SUMIFS(Projetos!$G$2:$G$11,Projetos!$K$2:$K$11,"&lt;="&amp;Dados!$A928,Projetos!$N$2:$N$11,"&gt;"&amp;Dados!$A928,Projetos!$D$2:$D$11,"USD")</f>
        <v>0</v>
      </c>
      <c r="K928" s="18">
        <f t="shared" ca="1" si="57"/>
        <v>6.2038070948058627E-9</v>
      </c>
    </row>
    <row r="929" spans="1:11" x14ac:dyDescent="0.2">
      <c r="A929" s="45">
        <f t="shared" ca="1" si="58"/>
        <v>8.0649492232476234E-9</v>
      </c>
      <c r="B929" s="18">
        <f>-SUMIFS(Projetos!$F$2:$F$11,Projetos!$D$2:$D$11,"BRL",Projetos!$N$2:$N$11,Dados!$A929)</f>
        <v>0</v>
      </c>
      <c r="C929" s="45">
        <f ca="1">(A929+B929)*((Indicadores_Economicos!D$2+1)^(1/12)-1)</f>
        <v>2.6402545113559978E-11</v>
      </c>
      <c r="D929" s="18">
        <f>SUMIFS(Projetos!$G$2:$G$11,Projetos!$K$2:$K$11,"&lt;="&amp;Dados!$A929,Projetos!$N$2:$N$11,"&gt;"&amp;Dados!A929,Projetos!$D$2:$D$11,"BRL")</f>
        <v>0</v>
      </c>
      <c r="E929" s="18">
        <f t="shared" ca="1" si="56"/>
        <v>8.0913517683611827E-9</v>
      </c>
      <c r="G929" s="45">
        <f t="shared" ca="1" si="59"/>
        <v>6.2038070948058627E-9</v>
      </c>
      <c r="H929" s="18">
        <f>-SUMIFS(Projetos!$F$2:$F$11,Projetos!$D$2:$D$11,"USD",Projetos!$N$2:$N$11,Dados!$A929)</f>
        <v>0</v>
      </c>
      <c r="I929" s="45">
        <f ca="1">(G929+H929)*((Indicadores_Economicos!D$2+1)^(1/12)-1)</f>
        <v>2.0309650087353824E-11</v>
      </c>
      <c r="J929" s="18">
        <f>SUMIFS(Projetos!$G$2:$G$11,Projetos!$K$2:$K$11,"&lt;="&amp;Dados!$A929,Projetos!$N$2:$N$11,"&gt;"&amp;Dados!$A929,Projetos!$D$2:$D$11,"USD")</f>
        <v>0</v>
      </c>
      <c r="K929" s="18">
        <f t="shared" ca="1" si="57"/>
        <v>6.2241167448932169E-9</v>
      </c>
    </row>
    <row r="930" spans="1:11" x14ac:dyDescent="0.2">
      <c r="A930" s="45">
        <f t="shared" ca="1" si="58"/>
        <v>8.0913517683611827E-9</v>
      </c>
      <c r="B930" s="18">
        <f>-SUMIFS(Projetos!$F$2:$F$11,Projetos!$D$2:$D$11,"BRL",Projetos!$N$2:$N$11,Dados!$A930)</f>
        <v>0</v>
      </c>
      <c r="C930" s="45">
        <f ca="1">(A930+B930)*((Indicadores_Economicos!D$2+1)^(1/12)-1)</f>
        <v>2.6488980175849541E-11</v>
      </c>
      <c r="D930" s="18">
        <f>SUMIFS(Projetos!$G$2:$G$11,Projetos!$K$2:$K$11,"&lt;="&amp;Dados!$A930,Projetos!$N$2:$N$11,"&gt;"&amp;Dados!A930,Projetos!$D$2:$D$11,"BRL")</f>
        <v>0</v>
      </c>
      <c r="E930" s="18">
        <f t="shared" ca="1" si="56"/>
        <v>8.1178407485370318E-9</v>
      </c>
      <c r="G930" s="45">
        <f t="shared" ca="1" si="59"/>
        <v>6.2241167448932169E-9</v>
      </c>
      <c r="H930" s="18">
        <f>-SUMIFS(Projetos!$F$2:$F$11,Projetos!$D$2:$D$11,"USD",Projetos!$N$2:$N$11,Dados!$A930)</f>
        <v>0</v>
      </c>
      <c r="I930" s="45">
        <f ca="1">(G930+H930)*((Indicadores_Economicos!D$2+1)^(1/12)-1)</f>
        <v>2.0376138596807337E-11</v>
      </c>
      <c r="J930" s="18">
        <f>SUMIFS(Projetos!$G$2:$G$11,Projetos!$K$2:$K$11,"&lt;="&amp;Dados!$A930,Projetos!$N$2:$N$11,"&gt;"&amp;Dados!$A930,Projetos!$D$2:$D$11,"USD")</f>
        <v>0</v>
      </c>
      <c r="K930" s="18">
        <f t="shared" ca="1" si="57"/>
        <v>6.2444928834900245E-9</v>
      </c>
    </row>
    <row r="931" spans="1:11" x14ac:dyDescent="0.2">
      <c r="A931" s="45">
        <f t="shared" ca="1" si="58"/>
        <v>8.1178407485370318E-9</v>
      </c>
      <c r="B931" s="18">
        <f>-SUMIFS(Projetos!$F$2:$F$11,Projetos!$D$2:$D$11,"BRL",Projetos!$N$2:$N$11,Dados!$A931)</f>
        <v>0</v>
      </c>
      <c r="C931" s="45">
        <f ca="1">(A931+B931)*((Indicadores_Economicos!D$2+1)^(1/12)-1)</f>
        <v>2.6575698204041096E-11</v>
      </c>
      <c r="D931" s="18">
        <f>SUMIFS(Projetos!$G$2:$G$11,Projetos!$K$2:$K$11,"&lt;="&amp;Dados!$A931,Projetos!$N$2:$N$11,"&gt;"&amp;Dados!A931,Projetos!$D$2:$D$11,"BRL")</f>
        <v>0</v>
      </c>
      <c r="E931" s="18">
        <f t="shared" ca="1" si="56"/>
        <v>8.1444164467410734E-9</v>
      </c>
      <c r="G931" s="45">
        <f t="shared" ca="1" si="59"/>
        <v>6.2444928834900245E-9</v>
      </c>
      <c r="H931" s="18">
        <f>-SUMIFS(Projetos!$F$2:$F$11,Projetos!$D$2:$D$11,"USD",Projetos!$N$2:$N$11,Dados!$A931)</f>
        <v>0</v>
      </c>
      <c r="I931" s="45">
        <f ca="1">(G931+H931)*((Indicadores_Economicos!D$2+1)^(1/12)-1)</f>
        <v>2.0442844772339303E-11</v>
      </c>
      <c r="J931" s="18">
        <f>SUMIFS(Projetos!$G$2:$G$11,Projetos!$K$2:$K$11,"&lt;="&amp;Dados!$A931,Projetos!$N$2:$N$11,"&gt;"&amp;Dados!$A931,Projetos!$D$2:$D$11,"USD")</f>
        <v>0</v>
      </c>
      <c r="K931" s="18">
        <f t="shared" ca="1" si="57"/>
        <v>6.2649357282623639E-9</v>
      </c>
    </row>
    <row r="932" spans="1:11" x14ac:dyDescent="0.2">
      <c r="A932" s="45">
        <f t="shared" ca="1" si="58"/>
        <v>8.1444164467410734E-9</v>
      </c>
      <c r="B932" s="18">
        <f>-SUMIFS(Projetos!$F$2:$F$11,Projetos!$D$2:$D$11,"BRL",Projetos!$N$2:$N$11,Dados!$A932)</f>
        <v>0</v>
      </c>
      <c r="C932" s="45">
        <f ca="1">(A932+B932)*((Indicadores_Economicos!D$2+1)^(1/12)-1)</f>
        <v>2.666270012449138E-11</v>
      </c>
      <c r="D932" s="18">
        <f>SUMIFS(Projetos!$G$2:$G$11,Projetos!$K$2:$K$11,"&lt;="&amp;Dados!$A932,Projetos!$N$2:$N$11,"&gt;"&amp;Dados!A932,Projetos!$D$2:$D$11,"BRL")</f>
        <v>0</v>
      </c>
      <c r="E932" s="18">
        <f t="shared" ca="1" si="56"/>
        <v>8.1710791468655649E-9</v>
      </c>
      <c r="G932" s="45">
        <f t="shared" ca="1" si="59"/>
        <v>6.2649357282623639E-9</v>
      </c>
      <c r="H932" s="18">
        <f>-SUMIFS(Projetos!$F$2:$F$11,Projetos!$D$2:$D$11,"USD",Projetos!$N$2:$N$11,Dados!$A932)</f>
        <v>0</v>
      </c>
      <c r="I932" s="45">
        <f ca="1">(G932+H932)*((Indicadores_Economicos!D$2+1)^(1/12)-1)</f>
        <v>2.0509769326531829E-11</v>
      </c>
      <c r="J932" s="18">
        <f>SUMIFS(Projetos!$G$2:$G$11,Projetos!$K$2:$K$11,"&lt;="&amp;Dados!$A932,Projetos!$N$2:$N$11,"&gt;"&amp;Dados!$A932,Projetos!$D$2:$D$11,"USD")</f>
        <v>0</v>
      </c>
      <c r="K932" s="18">
        <f t="shared" ca="1" si="57"/>
        <v>6.2854454975888953E-9</v>
      </c>
    </row>
    <row r="933" spans="1:11" x14ac:dyDescent="0.2">
      <c r="A933" s="45">
        <f t="shared" ca="1" si="58"/>
        <v>8.1710791468655649E-9</v>
      </c>
      <c r="B933" s="18">
        <f>-SUMIFS(Projetos!$F$2:$F$11,Projetos!$D$2:$D$11,"BRL",Projetos!$N$2:$N$11,Dados!$A933)</f>
        <v>0</v>
      </c>
      <c r="C933" s="45">
        <f ca="1">(A933+B933)*((Indicadores_Economicos!D$2+1)^(1/12)-1)</f>
        <v>2.6749986866589765E-11</v>
      </c>
      <c r="D933" s="18">
        <f>SUMIFS(Projetos!$G$2:$G$11,Projetos!$K$2:$K$11,"&lt;="&amp;Dados!$A933,Projetos!$N$2:$N$11,"&gt;"&amp;Dados!A933,Projetos!$D$2:$D$11,"BRL")</f>
        <v>0</v>
      </c>
      <c r="E933" s="18">
        <f t="shared" ca="1" si="56"/>
        <v>8.1978291337321542E-9</v>
      </c>
      <c r="G933" s="45">
        <f t="shared" ca="1" si="59"/>
        <v>6.2854454975888953E-9</v>
      </c>
      <c r="H933" s="18">
        <f>-SUMIFS(Projetos!$F$2:$F$11,Projetos!$D$2:$D$11,"USD",Projetos!$N$2:$N$11,Dados!$A933)</f>
        <v>0</v>
      </c>
      <c r="I933" s="45">
        <f ca="1">(G933+H933)*((Indicadores_Economicos!D$2+1)^(1/12)-1)</f>
        <v>2.0576912974299818E-11</v>
      </c>
      <c r="J933" s="18">
        <f>SUMIFS(Projetos!$G$2:$G$11,Projetos!$K$2:$K$11,"&lt;="&amp;Dados!$A933,Projetos!$N$2:$N$11,"&gt;"&amp;Dados!$A933,Projetos!$D$2:$D$11,"USD")</f>
        <v>0</v>
      </c>
      <c r="K933" s="18">
        <f t="shared" ca="1" si="57"/>
        <v>6.3060224105631949E-9</v>
      </c>
    </row>
    <row r="934" spans="1:11" x14ac:dyDescent="0.2">
      <c r="A934" s="45">
        <f t="shared" ca="1" si="58"/>
        <v>8.1978291337321542E-9</v>
      </c>
      <c r="B934" s="18">
        <f>-SUMIFS(Projetos!$F$2:$F$11,Projetos!$D$2:$D$11,"BRL",Projetos!$N$2:$N$11,Dados!$A934)</f>
        <v>0</v>
      </c>
      <c r="C934" s="45">
        <f ca="1">(A934+B934)*((Indicadores_Economicos!D$2+1)^(1/12)-1)</f>
        <v>2.6837559362768217E-11</v>
      </c>
      <c r="D934" s="18">
        <f>SUMIFS(Projetos!$G$2:$G$11,Projetos!$K$2:$K$11,"&lt;="&amp;Dados!$A934,Projetos!$N$2:$N$11,"&gt;"&amp;Dados!A934,Projetos!$D$2:$D$11,"BRL")</f>
        <v>0</v>
      </c>
      <c r="E934" s="18">
        <f t="shared" ca="1" si="56"/>
        <v>8.2246666930949217E-9</v>
      </c>
      <c r="G934" s="45">
        <f t="shared" ca="1" si="59"/>
        <v>6.3060224105631949E-9</v>
      </c>
      <c r="H934" s="18">
        <f>-SUMIFS(Projetos!$F$2:$F$11,Projetos!$D$2:$D$11,"USD",Projetos!$N$2:$N$11,Dados!$A934)</f>
        <v>0</v>
      </c>
      <c r="I934" s="45">
        <f ca="1">(G934+H934)*((Indicadores_Economicos!D$2+1)^(1/12)-1)</f>
        <v>2.0644276432898627E-11</v>
      </c>
      <c r="J934" s="18">
        <f>SUMIFS(Projetos!$G$2:$G$11,Projetos!$K$2:$K$11,"&lt;="&amp;Dados!$A934,Projetos!$N$2:$N$11,"&gt;"&amp;Dados!$A934,Projetos!$D$2:$D$11,"USD")</f>
        <v>0</v>
      </c>
      <c r="K934" s="18">
        <f t="shared" ca="1" si="57"/>
        <v>6.3266666869960936E-9</v>
      </c>
    </row>
    <row r="935" spans="1:11" x14ac:dyDescent="0.2">
      <c r="A935" s="45">
        <f t="shared" ca="1" si="58"/>
        <v>8.2246666930949217E-9</v>
      </c>
      <c r="B935" s="18">
        <f>-SUMIFS(Projetos!$F$2:$F$11,Projetos!$D$2:$D$11,"BRL",Projetos!$N$2:$N$11,Dados!$A935)</f>
        <v>0</v>
      </c>
      <c r="C935" s="45">
        <f ca="1">(A935+B935)*((Indicadores_Economicos!D$2+1)^(1/12)-1)</f>
        <v>2.6925418548511234E-11</v>
      </c>
      <c r="D935" s="18">
        <f>SUMIFS(Projetos!$G$2:$G$11,Projetos!$K$2:$K$11,"&lt;="&amp;Dados!$A935,Projetos!$N$2:$N$11,"&gt;"&amp;Dados!A935,Projetos!$D$2:$D$11,"BRL")</f>
        <v>0</v>
      </c>
      <c r="E935" s="18">
        <f t="shared" ca="1" si="56"/>
        <v>8.2515921116434331E-9</v>
      </c>
      <c r="G935" s="45">
        <f t="shared" ca="1" si="59"/>
        <v>6.3266666869960936E-9</v>
      </c>
      <c r="H935" s="18">
        <f>-SUMIFS(Projetos!$F$2:$F$11,Projetos!$D$2:$D$11,"USD",Projetos!$N$2:$N$11,Dados!$A935)</f>
        <v>0</v>
      </c>
      <c r="I935" s="45">
        <f ca="1">(G935+H935)*((Indicadores_Economicos!D$2+1)^(1/12)-1)</f>
        <v>2.0711860421931718E-11</v>
      </c>
      <c r="J935" s="18">
        <f>SUMIFS(Projetos!$G$2:$G$11,Projetos!$K$2:$K$11,"&lt;="&amp;Dados!$A935,Projetos!$N$2:$N$11,"&gt;"&amp;Dados!$A935,Projetos!$D$2:$D$11,"USD")</f>
        <v>0</v>
      </c>
      <c r="K935" s="18">
        <f t="shared" ca="1" si="57"/>
        <v>6.3473785474180256E-9</v>
      </c>
    </row>
    <row r="936" spans="1:11" x14ac:dyDescent="0.2">
      <c r="A936" s="45">
        <f t="shared" ca="1" si="58"/>
        <v>8.2515921116434331E-9</v>
      </c>
      <c r="B936" s="18">
        <f>-SUMIFS(Projetos!$F$2:$F$11,Projetos!$D$2:$D$11,"BRL",Projetos!$N$2:$N$11,Dados!$A936)</f>
        <v>0</v>
      </c>
      <c r="C936" s="45">
        <f ca="1">(A936+B936)*((Indicadores_Economicos!D$2+1)^(1/12)-1)</f>
        <v>2.7013565362365853E-11</v>
      </c>
      <c r="D936" s="18">
        <f>SUMIFS(Projetos!$G$2:$G$11,Projetos!$K$2:$K$11,"&lt;="&amp;Dados!$A936,Projetos!$N$2:$N$11,"&gt;"&amp;Dados!A936,Projetos!$D$2:$D$11,"BRL")</f>
        <v>0</v>
      </c>
      <c r="E936" s="18">
        <f t="shared" ca="1" si="56"/>
        <v>8.2786056770057993E-9</v>
      </c>
      <c r="G936" s="45">
        <f t="shared" ca="1" si="59"/>
        <v>6.3473785474180256E-9</v>
      </c>
      <c r="H936" s="18">
        <f>-SUMIFS(Projetos!$F$2:$F$11,Projetos!$D$2:$D$11,"USD",Projetos!$N$2:$N$11,Dados!$A936)</f>
        <v>0</v>
      </c>
      <c r="I936" s="45">
        <f ca="1">(G936+H936)*((Indicadores_Economicos!D$2+1)^(1/12)-1)</f>
        <v>2.0779665663358351E-11</v>
      </c>
      <c r="J936" s="18">
        <f>SUMIFS(Projetos!$G$2:$G$11,Projetos!$K$2:$K$11,"&lt;="&amp;Dados!$A936,Projetos!$N$2:$N$11,"&gt;"&amp;Dados!$A936,Projetos!$D$2:$D$11,"USD")</f>
        <v>0</v>
      </c>
      <c r="K936" s="18">
        <f t="shared" ca="1" si="57"/>
        <v>6.3681582130813836E-9</v>
      </c>
    </row>
    <row r="937" spans="1:11" x14ac:dyDescent="0.2">
      <c r="A937" s="45">
        <f t="shared" ca="1" si="58"/>
        <v>8.2786056770057993E-9</v>
      </c>
      <c r="B937" s="18">
        <f>-SUMIFS(Projetos!$F$2:$F$11,Projetos!$D$2:$D$11,"BRL",Projetos!$N$2:$N$11,Dados!$A937)</f>
        <v>0</v>
      </c>
      <c r="C937" s="45">
        <f ca="1">(A937+B937)*((Indicadores_Economicos!D$2+1)^(1/12)-1)</f>
        <v>2.7102000745951664E-11</v>
      </c>
      <c r="D937" s="18">
        <f>SUMIFS(Projetos!$G$2:$G$11,Projetos!$K$2:$K$11,"&lt;="&amp;Dados!$A937,Projetos!$N$2:$N$11,"&gt;"&amp;Dados!A937,Projetos!$D$2:$D$11,"BRL")</f>
        <v>0</v>
      </c>
      <c r="E937" s="18">
        <f t="shared" ca="1" si="56"/>
        <v>8.3057076777517511E-9</v>
      </c>
      <c r="G937" s="45">
        <f t="shared" ca="1" si="59"/>
        <v>6.3681582130813836E-9</v>
      </c>
      <c r="H937" s="18">
        <f>-SUMIFS(Projetos!$F$2:$F$11,Projetos!$D$2:$D$11,"USD",Projetos!$N$2:$N$11,Dados!$A937)</f>
        <v>0</v>
      </c>
      <c r="I937" s="45">
        <f ca="1">(G937+H937)*((Indicadores_Economicos!D$2+1)^(1/12)-1)</f>
        <v>2.0847692881501276E-11</v>
      </c>
      <c r="J937" s="18">
        <f>SUMIFS(Projetos!$G$2:$G$11,Projetos!$K$2:$K$11,"&lt;="&amp;Dados!$A937,Projetos!$N$2:$N$11,"&gt;"&amp;Dados!$A937,Projetos!$D$2:$D$11,"USD")</f>
        <v>0</v>
      </c>
      <c r="K937" s="18">
        <f t="shared" ca="1" si="57"/>
        <v>6.3890059059628849E-9</v>
      </c>
    </row>
    <row r="938" spans="1:11" x14ac:dyDescent="0.2">
      <c r="A938" s="45">
        <f t="shared" ca="1" si="58"/>
        <v>8.3057076777517511E-9</v>
      </c>
      <c r="B938" s="18">
        <f>-SUMIFS(Projetos!$F$2:$F$11,Projetos!$D$2:$D$11,"BRL",Projetos!$N$2:$N$11,Dados!$A938)</f>
        <v>0</v>
      </c>
      <c r="C938" s="45">
        <f ca="1">(A938+B938)*((Indicadores_Economicos!D$2+1)^(1/12)-1)</f>
        <v>2.719072564397087E-11</v>
      </c>
      <c r="D938" s="18">
        <f>SUMIFS(Projetos!$G$2:$G$11,Projetos!$K$2:$K$11,"&lt;="&amp;Dados!$A938,Projetos!$N$2:$N$11,"&gt;"&amp;Dados!A938,Projetos!$D$2:$D$11,"BRL")</f>
        <v>0</v>
      </c>
      <c r="E938" s="18">
        <f t="shared" ca="1" si="56"/>
        <v>8.3328984033957219E-9</v>
      </c>
      <c r="G938" s="45">
        <f t="shared" ca="1" si="59"/>
        <v>6.3890059059628849E-9</v>
      </c>
      <c r="H938" s="18">
        <f>-SUMIFS(Projetos!$F$2:$F$11,Projetos!$D$2:$D$11,"USD",Projetos!$N$2:$N$11,Dados!$A938)</f>
        <v>0</v>
      </c>
      <c r="I938" s="45">
        <f ca="1">(G938+H938)*((Indicadores_Economicos!D$2+1)^(1/12)-1)</f>
        <v>2.0915942803054514E-11</v>
      </c>
      <c r="J938" s="18">
        <f>SUMIFS(Projetos!$G$2:$G$11,Projetos!$K$2:$K$11,"&lt;="&amp;Dados!$A938,Projetos!$N$2:$N$11,"&gt;"&amp;Dados!$A938,Projetos!$D$2:$D$11,"USD")</f>
        <v>0</v>
      </c>
      <c r="K938" s="18">
        <f t="shared" ca="1" si="57"/>
        <v>6.4099218487659391E-9</v>
      </c>
    </row>
    <row r="939" spans="1:11" x14ac:dyDescent="0.2">
      <c r="A939" s="45">
        <f t="shared" ca="1" si="58"/>
        <v>8.3328984033957219E-9</v>
      </c>
      <c r="B939" s="18">
        <f>-SUMIFS(Projetos!$F$2:$F$11,Projetos!$D$2:$D$11,"BRL",Projetos!$N$2:$N$11,Dados!$A939)</f>
        <v>0</v>
      </c>
      <c r="C939" s="45">
        <f ca="1">(A939+B939)*((Indicadores_Economicos!D$2+1)^(1/12)-1)</f>
        <v>2.7279741004218393E-11</v>
      </c>
      <c r="D939" s="18">
        <f>SUMIFS(Projetos!$G$2:$G$11,Projetos!$K$2:$K$11,"&lt;="&amp;Dados!$A939,Projetos!$N$2:$N$11,"&gt;"&amp;Dados!A939,Projetos!$D$2:$D$11,"BRL")</f>
        <v>0</v>
      </c>
      <c r="E939" s="18">
        <f t="shared" ca="1" si="56"/>
        <v>8.3601781443999407E-9</v>
      </c>
      <c r="G939" s="45">
        <f t="shared" ca="1" si="59"/>
        <v>6.4099218487659391E-9</v>
      </c>
      <c r="H939" s="18">
        <f>-SUMIFS(Projetos!$F$2:$F$11,Projetos!$D$2:$D$11,"USD",Projetos!$N$2:$N$11,Dados!$A939)</f>
        <v>0</v>
      </c>
      <c r="I939" s="45">
        <f ca="1">(G939+H939)*((Indicadores_Economicos!D$2+1)^(1/12)-1)</f>
        <v>2.098441615709107E-11</v>
      </c>
      <c r="J939" s="18">
        <f>SUMIFS(Projetos!$G$2:$G$11,Projetos!$K$2:$K$11,"&lt;="&amp;Dados!$A939,Projetos!$N$2:$N$11,"&gt;"&amp;Dados!$A939,Projetos!$D$2:$D$11,"USD")</f>
        <v>0</v>
      </c>
      <c r="K939" s="18">
        <f t="shared" ca="1" si="57"/>
        <v>6.4309062649230303E-9</v>
      </c>
    </row>
    <row r="940" spans="1:11" x14ac:dyDescent="0.2">
      <c r="A940" s="45">
        <f t="shared" ca="1" si="58"/>
        <v>8.3601781443999407E-9</v>
      </c>
      <c r="B940" s="18">
        <f>-SUMIFS(Projetos!$F$2:$F$11,Projetos!$D$2:$D$11,"BRL",Projetos!$N$2:$N$11,Dados!$A940)</f>
        <v>0</v>
      </c>
      <c r="C940" s="45">
        <f ca="1">(A940+B940)*((Indicadores_Economicos!D$2+1)^(1/12)-1)</f>
        <v>2.7369047777591989E-11</v>
      </c>
      <c r="D940" s="18">
        <f>SUMIFS(Projetos!$G$2:$G$11,Projetos!$K$2:$K$11,"&lt;="&amp;Dados!$A940,Projetos!$N$2:$N$11,"&gt;"&amp;Dados!A940,Projetos!$D$2:$D$11,"BRL")</f>
        <v>0</v>
      </c>
      <c r="E940" s="18">
        <f t="shared" ca="1" si="56"/>
        <v>8.3875471921775333E-9</v>
      </c>
      <c r="G940" s="45">
        <f t="shared" ca="1" si="59"/>
        <v>6.4309062649230303E-9</v>
      </c>
      <c r="H940" s="18">
        <f>-SUMIFS(Projetos!$F$2:$F$11,Projetos!$D$2:$D$11,"USD",Projetos!$N$2:$N$11,Dados!$A940)</f>
        <v>0</v>
      </c>
      <c r="I940" s="45">
        <f ca="1">(G940+H940)*((Indicadores_Economicos!D$2+1)^(1/12)-1)</f>
        <v>2.1053113675070756E-11</v>
      </c>
      <c r="J940" s="18">
        <f>SUMIFS(Projetos!$G$2:$G$11,Projetos!$K$2:$K$11,"&lt;="&amp;Dados!$A940,Projetos!$N$2:$N$11,"&gt;"&amp;Dados!$A940,Projetos!$D$2:$D$11,"USD")</f>
        <v>0</v>
      </c>
      <c r="K940" s="18">
        <f t="shared" ca="1" si="57"/>
        <v>6.4519593785981012E-9</v>
      </c>
    </row>
    <row r="941" spans="1:11" x14ac:dyDescent="0.2">
      <c r="A941" s="45">
        <f t="shared" ca="1" si="58"/>
        <v>8.3875471921775333E-9</v>
      </c>
      <c r="B941" s="18">
        <f>-SUMIFS(Projetos!$F$2:$F$11,Projetos!$D$2:$D$11,"BRL",Projetos!$N$2:$N$11,Dados!$A941)</f>
        <v>0</v>
      </c>
      <c r="C941" s="45">
        <f ca="1">(A941+B941)*((Indicadores_Economicos!D$2+1)^(1/12)-1)</f>
        <v>2.7458646918102394E-11</v>
      </c>
      <c r="D941" s="18">
        <f>SUMIFS(Projetos!$G$2:$G$11,Projetos!$K$2:$K$11,"&lt;="&amp;Dados!$A941,Projetos!$N$2:$N$11,"&gt;"&amp;Dados!A941,Projetos!$D$2:$D$11,"BRL")</f>
        <v>0</v>
      </c>
      <c r="E941" s="18">
        <f t="shared" ca="1" si="56"/>
        <v>8.4150058390956359E-9</v>
      </c>
      <c r="G941" s="45">
        <f t="shared" ca="1" si="59"/>
        <v>6.4519593785981012E-9</v>
      </c>
      <c r="H941" s="18">
        <f>-SUMIFS(Projetos!$F$2:$F$11,Projetos!$D$2:$D$11,"USD",Projetos!$N$2:$N$11,Dados!$A941)</f>
        <v>0</v>
      </c>
      <c r="I941" s="45">
        <f ca="1">(G941+H941)*((Indicadores_Economicos!D$2+1)^(1/12)-1)</f>
        <v>2.1122036090847993E-11</v>
      </c>
      <c r="J941" s="18">
        <f>SUMIFS(Projetos!$G$2:$G$11,Projetos!$K$2:$K$11,"&lt;="&amp;Dados!$A941,Projetos!$N$2:$N$11,"&gt;"&amp;Dados!$A941,Projetos!$D$2:$D$11,"USD")</f>
        <v>0</v>
      </c>
      <c r="K941" s="18">
        <f t="shared" ca="1" si="57"/>
        <v>6.473081414688949E-9</v>
      </c>
    </row>
    <row r="942" spans="1:11" x14ac:dyDescent="0.2">
      <c r="A942" s="45">
        <f t="shared" ca="1" si="58"/>
        <v>8.4150058390956359E-9</v>
      </c>
      <c r="B942" s="18">
        <f>-SUMIFS(Projetos!$F$2:$F$11,Projetos!$D$2:$D$11,"BRL",Projetos!$N$2:$N$11,Dados!$A942)</f>
        <v>0</v>
      </c>
      <c r="C942" s="45">
        <f ca="1">(A942+B942)*((Indicadores_Economicos!D$2+1)^(1/12)-1)</f>
        <v>2.7548539382883541E-11</v>
      </c>
      <c r="D942" s="18">
        <f>SUMIFS(Projetos!$G$2:$G$11,Projetos!$K$2:$K$11,"&lt;="&amp;Dados!$A942,Projetos!$N$2:$N$11,"&gt;"&amp;Dados!A942,Projetos!$D$2:$D$11,"BRL")</f>
        <v>0</v>
      </c>
      <c r="E942" s="18">
        <f t="shared" ca="1" si="56"/>
        <v>8.4425543784785192E-9</v>
      </c>
      <c r="G942" s="45">
        <f t="shared" ca="1" si="59"/>
        <v>6.473081414688949E-9</v>
      </c>
      <c r="H942" s="18">
        <f>-SUMIFS(Projetos!$F$2:$F$11,Projetos!$D$2:$D$11,"USD",Projetos!$N$2:$N$11,Dados!$A942)</f>
        <v>0</v>
      </c>
      <c r="I942" s="45">
        <f ca="1">(G942+H942)*((Indicadores_Economicos!D$2+1)^(1/12)-1)</f>
        <v>2.1191184140679642E-11</v>
      </c>
      <c r="J942" s="18">
        <f>SUMIFS(Projetos!$G$2:$G$11,Projetos!$K$2:$K$11,"&lt;="&amp;Dados!$A942,Projetos!$N$2:$N$11,"&gt;"&amp;Dados!$A942,Projetos!$D$2:$D$11,"USD")</f>
        <v>0</v>
      </c>
      <c r="K942" s="18">
        <f t="shared" ca="1" si="57"/>
        <v>6.4942725988296289E-9</v>
      </c>
    </row>
    <row r="943" spans="1:11" x14ac:dyDescent="0.2">
      <c r="A943" s="45">
        <f t="shared" ca="1" si="58"/>
        <v>8.4425543784785192E-9</v>
      </c>
      <c r="B943" s="18">
        <f>-SUMIFS(Projetos!$F$2:$F$11,Projetos!$D$2:$D$11,"BRL",Projetos!$N$2:$N$11,Dados!$A943)</f>
        <v>0</v>
      </c>
      <c r="C943" s="45">
        <f ca="1">(A943+B943)*((Indicadores_Economicos!D$2+1)^(1/12)-1)</f>
        <v>2.7638726132202761E-11</v>
      </c>
      <c r="D943" s="18">
        <f>SUMIFS(Projetos!$G$2:$G$11,Projetos!$K$2:$K$11,"&lt;="&amp;Dados!$A943,Projetos!$N$2:$N$11,"&gt;"&amp;Dados!A943,Projetos!$D$2:$D$11,"BRL")</f>
        <v>0</v>
      </c>
      <c r="E943" s="18">
        <f t="shared" ca="1" si="56"/>
        <v>8.4701931046107224E-9</v>
      </c>
      <c r="G943" s="45">
        <f t="shared" ca="1" si="59"/>
        <v>6.4942725988296289E-9</v>
      </c>
      <c r="H943" s="18">
        <f>-SUMIFS(Projetos!$F$2:$F$11,Projetos!$D$2:$D$11,"USD",Projetos!$N$2:$N$11,Dados!$A943)</f>
        <v>0</v>
      </c>
      <c r="I943" s="45">
        <f ca="1">(G943+H943)*((Indicadores_Economicos!D$2+1)^(1/12)-1)</f>
        <v>2.1260558563232887E-11</v>
      </c>
      <c r="J943" s="18">
        <f>SUMIFS(Projetos!$G$2:$G$11,Projetos!$K$2:$K$11,"&lt;="&amp;Dados!$A943,Projetos!$N$2:$N$11,"&gt;"&amp;Dados!$A943,Projetos!$D$2:$D$11,"USD")</f>
        <v>0</v>
      </c>
      <c r="K943" s="18">
        <f t="shared" ca="1" si="57"/>
        <v>6.5155331573928617E-9</v>
      </c>
    </row>
    <row r="944" spans="1:11" x14ac:dyDescent="0.2">
      <c r="A944" s="45">
        <f t="shared" ca="1" si="58"/>
        <v>8.4701931046107224E-9</v>
      </c>
      <c r="B944" s="18">
        <f>-SUMIFS(Projetos!$F$2:$F$11,Projetos!$D$2:$D$11,"BRL",Projetos!$N$2:$N$11,Dados!$A944)</f>
        <v>0</v>
      </c>
      <c r="C944" s="45">
        <f ca="1">(A944+B944)*((Indicadores_Economicos!D$2+1)^(1/12)-1)</f>
        <v>2.7729208129471055E-11</v>
      </c>
      <c r="D944" s="18">
        <f>SUMIFS(Projetos!$G$2:$G$11,Projetos!$K$2:$K$11,"&lt;="&amp;Dados!$A944,Projetos!$N$2:$N$11,"&gt;"&amp;Dados!A944,Projetos!$D$2:$D$11,"BRL")</f>
        <v>0</v>
      </c>
      <c r="E944" s="18">
        <f t="shared" ca="1" si="56"/>
        <v>8.4979223127401939E-9</v>
      </c>
      <c r="G944" s="45">
        <f t="shared" ca="1" si="59"/>
        <v>6.5155331573928617E-9</v>
      </c>
      <c r="H944" s="18">
        <f>-SUMIFS(Projetos!$F$2:$F$11,Projetos!$D$2:$D$11,"USD",Projetos!$N$2:$N$11,Dados!$A944)</f>
        <v>0</v>
      </c>
      <c r="I944" s="45">
        <f ca="1">(G944+H944)*((Indicadores_Economicos!D$2+1)^(1/12)-1)</f>
        <v>2.1330160099593112E-11</v>
      </c>
      <c r="J944" s="18">
        <f>SUMIFS(Projetos!$G$2:$G$11,Projetos!$K$2:$K$11,"&lt;="&amp;Dados!$A944,Projetos!$N$2:$N$11,"&gt;"&amp;Dados!$A944,Projetos!$D$2:$D$11,"USD")</f>
        <v>0</v>
      </c>
      <c r="K944" s="18">
        <f t="shared" ca="1" si="57"/>
        <v>6.5368633174924549E-9</v>
      </c>
    </row>
    <row r="945" spans="1:11" x14ac:dyDescent="0.2">
      <c r="A945" s="45">
        <f t="shared" ca="1" si="58"/>
        <v>8.4979223127401939E-9</v>
      </c>
      <c r="B945" s="18">
        <f>-SUMIFS(Projetos!$F$2:$F$11,Projetos!$D$2:$D$11,"BRL",Projetos!$N$2:$N$11,Dados!$A945)</f>
        <v>0</v>
      </c>
      <c r="C945" s="45">
        <f ca="1">(A945+B945)*((Indicadores_Economicos!D$2+1)^(1/12)-1)</f>
        <v>2.7819986341253377E-11</v>
      </c>
      <c r="D945" s="18">
        <f>SUMIFS(Projetos!$G$2:$G$11,Projetos!$K$2:$K$11,"&lt;="&amp;Dados!$A945,Projetos!$N$2:$N$11,"&gt;"&amp;Dados!A945,Projetos!$D$2:$D$11,"BRL")</f>
        <v>0</v>
      </c>
      <c r="E945" s="18">
        <f t="shared" ca="1" si="56"/>
        <v>8.5257422990814476E-9</v>
      </c>
      <c r="G945" s="45">
        <f t="shared" ca="1" si="59"/>
        <v>6.5368633174924549E-9</v>
      </c>
      <c r="H945" s="18">
        <f>-SUMIFS(Projetos!$F$2:$F$11,Projetos!$D$2:$D$11,"USD",Projetos!$N$2:$N$11,Dados!$A945)</f>
        <v>0</v>
      </c>
      <c r="I945" s="45">
        <f ca="1">(G945+H945)*((Indicadores_Economicos!D$2+1)^(1/12)-1)</f>
        <v>2.1399989493271822E-11</v>
      </c>
      <c r="J945" s="18">
        <f>SUMIFS(Projetos!$G$2:$G$11,Projetos!$K$2:$K$11,"&lt;="&amp;Dados!$A945,Projetos!$N$2:$N$11,"&gt;"&amp;Dados!$A945,Projetos!$D$2:$D$11,"USD")</f>
        <v>0</v>
      </c>
      <c r="K945" s="18">
        <f t="shared" ca="1" si="57"/>
        <v>6.5582633069857267E-9</v>
      </c>
    </row>
    <row r="946" spans="1:11" x14ac:dyDescent="0.2">
      <c r="A946" s="45">
        <f t="shared" ca="1" si="58"/>
        <v>8.5257422990814476E-9</v>
      </c>
      <c r="B946" s="18">
        <f>-SUMIFS(Projetos!$F$2:$F$11,Projetos!$D$2:$D$11,"BRL",Projetos!$N$2:$N$11,Dados!$A946)</f>
        <v>0</v>
      </c>
      <c r="C946" s="45">
        <f ca="1">(A946+B946)*((Indicadores_Economicos!D$2+1)^(1/12)-1)</f>
        <v>2.7911061737278971E-11</v>
      </c>
      <c r="D946" s="18">
        <f>SUMIFS(Projetos!$G$2:$G$11,Projetos!$K$2:$K$11,"&lt;="&amp;Dados!$A946,Projetos!$N$2:$N$11,"&gt;"&amp;Dados!A946,Projetos!$D$2:$D$11,"BRL")</f>
        <v>0</v>
      </c>
      <c r="E946" s="18">
        <f t="shared" ca="1" si="56"/>
        <v>8.5536533608187262E-9</v>
      </c>
      <c r="G946" s="45">
        <f t="shared" ca="1" si="59"/>
        <v>6.5582633069857267E-9</v>
      </c>
      <c r="H946" s="18">
        <f>-SUMIFS(Projetos!$F$2:$F$11,Projetos!$D$2:$D$11,"USD",Projetos!$N$2:$N$11,Dados!$A946)</f>
        <v>0</v>
      </c>
      <c r="I946" s="45">
        <f ca="1">(G946+H946)*((Indicadores_Economicos!D$2+1)^(1/12)-1)</f>
        <v>2.1470047490214585E-11</v>
      </c>
      <c r="J946" s="18">
        <f>SUMIFS(Projetos!$G$2:$G$11,Projetos!$K$2:$K$11,"&lt;="&amp;Dados!$A946,Projetos!$N$2:$N$11,"&gt;"&amp;Dados!$A946,Projetos!$D$2:$D$11,"USD")</f>
        <v>0</v>
      </c>
      <c r="K946" s="18">
        <f t="shared" ca="1" si="57"/>
        <v>6.5797333544759415E-9</v>
      </c>
    </row>
    <row r="947" spans="1:11" x14ac:dyDescent="0.2">
      <c r="A947" s="45">
        <f t="shared" ca="1" si="58"/>
        <v>8.5536533608187262E-9</v>
      </c>
      <c r="B947" s="18">
        <f>-SUMIFS(Projetos!$F$2:$F$11,Projetos!$D$2:$D$11,"BRL",Projetos!$N$2:$N$11,Dados!$A947)</f>
        <v>0</v>
      </c>
      <c r="C947" s="45">
        <f ca="1">(A947+B947)*((Indicadores_Economicos!D$2+1)^(1/12)-1)</f>
        <v>2.8002435290451709E-11</v>
      </c>
      <c r="D947" s="18">
        <f>SUMIFS(Projetos!$G$2:$G$11,Projetos!$K$2:$K$11,"&lt;="&amp;Dados!$A947,Projetos!$N$2:$N$11,"&gt;"&amp;Dados!A947,Projetos!$D$2:$D$11,"BRL")</f>
        <v>0</v>
      </c>
      <c r="E947" s="18">
        <f t="shared" ca="1" si="56"/>
        <v>8.5816557961091771E-9</v>
      </c>
      <c r="G947" s="45">
        <f t="shared" ca="1" si="59"/>
        <v>6.5797333544759415E-9</v>
      </c>
      <c r="H947" s="18">
        <f>-SUMIFS(Projetos!$F$2:$F$11,Projetos!$D$2:$D$11,"USD",Projetos!$N$2:$N$11,Dados!$A947)</f>
        <v>0</v>
      </c>
      <c r="I947" s="45">
        <f ca="1">(G947+H947)*((Indicadores_Economicos!D$2+1)^(1/12)-1)</f>
        <v>2.1540334838809001E-11</v>
      </c>
      <c r="J947" s="18">
        <f>SUMIFS(Projetos!$G$2:$G$11,Projetos!$K$2:$K$11,"&lt;="&amp;Dados!$A947,Projetos!$N$2:$N$11,"&gt;"&amp;Dados!$A947,Projetos!$D$2:$D$11,"USD")</f>
        <v>0</v>
      </c>
      <c r="K947" s="18">
        <f t="shared" ca="1" si="57"/>
        <v>6.6012736893147508E-9</v>
      </c>
    </row>
    <row r="948" spans="1:11" x14ac:dyDescent="0.2">
      <c r="A948" s="45">
        <f t="shared" ca="1" si="58"/>
        <v>8.5816557961091771E-9</v>
      </c>
      <c r="B948" s="18">
        <f>-SUMIFS(Projetos!$F$2:$F$11,Projetos!$D$2:$D$11,"BRL",Projetos!$N$2:$N$11,Dados!$A948)</f>
        <v>0</v>
      </c>
      <c r="C948" s="45">
        <f ca="1">(A948+B948)*((Indicadores_Economicos!D$2+1)^(1/12)-1)</f>
        <v>2.8094107976860511E-11</v>
      </c>
      <c r="D948" s="18">
        <f>SUMIFS(Projetos!$G$2:$G$11,Projetos!$K$2:$K$11,"&lt;="&amp;Dados!$A948,Projetos!$N$2:$N$11,"&gt;"&amp;Dados!A948,Projetos!$D$2:$D$11,"BRL")</f>
        <v>0</v>
      </c>
      <c r="E948" s="18">
        <f t="shared" ca="1" si="56"/>
        <v>8.6097499040860377E-9</v>
      </c>
      <c r="G948" s="45">
        <f t="shared" ca="1" si="59"/>
        <v>6.6012736893147508E-9</v>
      </c>
      <c r="H948" s="18">
        <f>-SUMIFS(Projetos!$F$2:$F$11,Projetos!$D$2:$D$11,"USD",Projetos!$N$2:$N$11,Dados!$A948)</f>
        <v>0</v>
      </c>
      <c r="I948" s="45">
        <f ca="1">(G948+H948)*((Indicadores_Economicos!D$2+1)^(1/12)-1)</f>
        <v>2.1610852289892697E-11</v>
      </c>
      <c r="J948" s="18">
        <f>SUMIFS(Projetos!$G$2:$G$11,Projetos!$K$2:$K$11,"&lt;="&amp;Dados!$A948,Projetos!$N$2:$N$11,"&gt;"&amp;Dados!$A948,Projetos!$D$2:$D$11,"USD")</f>
        <v>0</v>
      </c>
      <c r="K948" s="18">
        <f t="shared" ca="1" si="57"/>
        <v>6.6228845416046433E-9</v>
      </c>
    </row>
    <row r="949" spans="1:11" x14ac:dyDescent="0.2">
      <c r="A949" s="45">
        <f t="shared" ca="1" si="58"/>
        <v>8.6097499040860377E-9</v>
      </c>
      <c r="B949" s="18">
        <f>-SUMIFS(Projetos!$F$2:$F$11,Projetos!$D$2:$D$11,"BRL",Projetos!$N$2:$N$11,Dados!$A949)</f>
        <v>0</v>
      </c>
      <c r="C949" s="45">
        <f ca="1">(A949+B949)*((Indicadores_Economicos!D$2+1)^(1/12)-1)</f>
        <v>2.8186080775789749E-11</v>
      </c>
      <c r="D949" s="18">
        <f>SUMIFS(Projetos!$G$2:$G$11,Projetos!$K$2:$K$11,"&lt;="&amp;Dados!$A949,Projetos!$N$2:$N$11,"&gt;"&amp;Dados!A949,Projetos!$D$2:$D$11,"BRL")</f>
        <v>0</v>
      </c>
      <c r="E949" s="18">
        <f t="shared" ca="1" si="56"/>
        <v>8.6379359848618276E-9</v>
      </c>
      <c r="G949" s="45">
        <f t="shared" ca="1" si="59"/>
        <v>6.6228845416046433E-9</v>
      </c>
      <c r="H949" s="18">
        <f>-SUMIFS(Projetos!$F$2:$F$11,Projetos!$D$2:$D$11,"USD",Projetos!$N$2:$N$11,Dados!$A949)</f>
        <v>0</v>
      </c>
      <c r="I949" s="45">
        <f ca="1">(G949+H949)*((Indicadores_Economicos!D$2+1)^(1/12)-1)</f>
        <v>2.1681600596761342E-11</v>
      </c>
      <c r="J949" s="18">
        <f>SUMIFS(Projetos!$G$2:$G$11,Projetos!$K$2:$K$11,"&lt;="&amp;Dados!$A949,Projetos!$N$2:$N$11,"&gt;"&amp;Dados!$A949,Projetos!$D$2:$D$11,"USD")</f>
        <v>0</v>
      </c>
      <c r="K949" s="18">
        <f t="shared" ca="1" si="57"/>
        <v>6.6445661422014048E-9</v>
      </c>
    </row>
    <row r="950" spans="1:11" x14ac:dyDescent="0.2">
      <c r="A950" s="45">
        <f t="shared" ca="1" si="58"/>
        <v>8.6379359848618276E-9</v>
      </c>
      <c r="B950" s="18">
        <f>-SUMIFS(Projetos!$F$2:$F$11,Projetos!$D$2:$D$11,"BRL",Projetos!$N$2:$N$11,Dados!$A950)</f>
        <v>0</v>
      </c>
      <c r="C950" s="45">
        <f ca="1">(A950+B950)*((Indicadores_Economicos!D$2+1)^(1/12)-1)</f>
        <v>2.8278354669729725E-11</v>
      </c>
      <c r="D950" s="18">
        <f>SUMIFS(Projetos!$G$2:$G$11,Projetos!$K$2:$K$11,"&lt;="&amp;Dados!$A950,Projetos!$N$2:$N$11,"&gt;"&amp;Dados!A950,Projetos!$D$2:$D$11,"BRL")</f>
        <v>0</v>
      </c>
      <c r="E950" s="18">
        <f t="shared" ca="1" si="56"/>
        <v>8.6662143395315572E-9</v>
      </c>
      <c r="G950" s="45">
        <f t="shared" ca="1" si="59"/>
        <v>6.6445661422014048E-9</v>
      </c>
      <c r="H950" s="18">
        <f>-SUMIFS(Projetos!$F$2:$F$11,Projetos!$D$2:$D$11,"USD",Projetos!$N$2:$N$11,Dados!$A950)</f>
        <v>0</v>
      </c>
      <c r="I950" s="45">
        <f ca="1">(G950+H950)*((Indicadores_Economicos!D$2+1)^(1/12)-1)</f>
        <v>2.1752580515176708E-11</v>
      </c>
      <c r="J950" s="18">
        <f>SUMIFS(Projetos!$G$2:$G$11,Projetos!$K$2:$K$11,"&lt;="&amp;Dados!$A950,Projetos!$N$2:$N$11,"&gt;"&amp;Dados!$A950,Projetos!$D$2:$D$11,"USD")</f>
        <v>0</v>
      </c>
      <c r="K950" s="18">
        <f t="shared" ca="1" si="57"/>
        <v>6.6663187227165814E-9</v>
      </c>
    </row>
    <row r="951" spans="1:11" x14ac:dyDescent="0.2">
      <c r="A951" s="45">
        <f t="shared" ca="1" si="58"/>
        <v>8.6662143395315572E-9</v>
      </c>
      <c r="B951" s="18">
        <f>-SUMIFS(Projetos!$F$2:$F$11,Projetos!$D$2:$D$11,"BRL",Projetos!$N$2:$N$11,Dados!$A951)</f>
        <v>0</v>
      </c>
      <c r="C951" s="45">
        <f ca="1">(A951+B951)*((Indicadores_Economicos!D$2+1)^(1/12)-1)</f>
        <v>2.837093064438715E-11</v>
      </c>
      <c r="D951" s="18">
        <f>SUMIFS(Projetos!$G$2:$G$11,Projetos!$K$2:$K$11,"&lt;="&amp;Dados!$A951,Projetos!$N$2:$N$11,"&gt;"&amp;Dados!A951,Projetos!$D$2:$D$11,"BRL")</f>
        <v>0</v>
      </c>
      <c r="E951" s="18">
        <f t="shared" ca="1" si="56"/>
        <v>8.6945852701759447E-9</v>
      </c>
      <c r="G951" s="45">
        <f t="shared" ca="1" si="59"/>
        <v>6.6663187227165814E-9</v>
      </c>
      <c r="H951" s="18">
        <f>-SUMIFS(Projetos!$F$2:$F$11,Projetos!$D$2:$D$11,"USD",Projetos!$N$2:$N$11,Dados!$A951)</f>
        <v>0</v>
      </c>
      <c r="I951" s="45">
        <f ca="1">(G951+H951)*((Indicadores_Economicos!D$2+1)^(1/12)-1)</f>
        <v>2.1823792803374726E-11</v>
      </c>
      <c r="J951" s="18">
        <f>SUMIFS(Projetos!$G$2:$G$11,Projetos!$K$2:$K$11,"&lt;="&amp;Dados!$A951,Projetos!$N$2:$N$11,"&gt;"&amp;Dados!$A951,Projetos!$D$2:$D$11,"USD")</f>
        <v>0</v>
      </c>
      <c r="K951" s="18">
        <f t="shared" ca="1" si="57"/>
        <v>6.6881425155199564E-9</v>
      </c>
    </row>
    <row r="952" spans="1:11" x14ac:dyDescent="0.2">
      <c r="A952" s="45">
        <f t="shared" ca="1" si="58"/>
        <v>8.6945852701759447E-9</v>
      </c>
      <c r="B952" s="18">
        <f>-SUMIFS(Projetos!$F$2:$F$11,Projetos!$D$2:$D$11,"BRL",Projetos!$N$2:$N$11,Dados!$A952)</f>
        <v>0</v>
      </c>
      <c r="C952" s="45">
        <f ca="1">(A952+B952)*((Indicadores_Economicos!D$2+1)^(1/12)-1)</f>
        <v>2.8463809688695688E-11</v>
      </c>
      <c r="D952" s="18">
        <f>SUMIFS(Projetos!$G$2:$G$11,Projetos!$K$2:$K$11,"&lt;="&amp;Dados!$A952,Projetos!$N$2:$N$11,"&gt;"&amp;Dados!A952,Projetos!$D$2:$D$11,"BRL")</f>
        <v>0</v>
      </c>
      <c r="E952" s="18">
        <f t="shared" ca="1" si="56"/>
        <v>8.723049079864641E-9</v>
      </c>
      <c r="G952" s="45">
        <f t="shared" ca="1" si="59"/>
        <v>6.6881425155199564E-9</v>
      </c>
      <c r="H952" s="18">
        <f>-SUMIFS(Projetos!$F$2:$F$11,Projetos!$D$2:$D$11,"USD",Projetos!$N$2:$N$11,Dados!$A952)</f>
        <v>0</v>
      </c>
      <c r="I952" s="45">
        <f ca="1">(G952+H952)*((Indicadores_Economicos!D$2+1)^(1/12)-1)</f>
        <v>2.1895238222073603E-11</v>
      </c>
      <c r="J952" s="18">
        <f>SUMIFS(Projetos!$G$2:$G$11,Projetos!$K$2:$K$11,"&lt;="&amp;Dados!$A952,Projetos!$N$2:$N$11,"&gt;"&amp;Dados!$A952,Projetos!$D$2:$D$11,"USD")</f>
        <v>0</v>
      </c>
      <c r="K952" s="18">
        <f t="shared" ca="1" si="57"/>
        <v>6.7100377537420301E-9</v>
      </c>
    </row>
    <row r="953" spans="1:11" x14ac:dyDescent="0.2">
      <c r="A953" s="45">
        <f t="shared" ca="1" si="58"/>
        <v>8.723049079864641E-9</v>
      </c>
      <c r="B953" s="18">
        <f>-SUMIFS(Projetos!$F$2:$F$11,Projetos!$D$2:$D$11,"BRL",Projetos!$N$2:$N$11,Dados!$A953)</f>
        <v>0</v>
      </c>
      <c r="C953" s="45">
        <f ca="1">(A953+B953)*((Indicadores_Economicos!D$2+1)^(1/12)-1)</f>
        <v>2.8556992794826511E-11</v>
      </c>
      <c r="D953" s="18">
        <f>SUMIFS(Projetos!$G$2:$G$11,Projetos!$K$2:$K$11,"&lt;="&amp;Dados!$A953,Projetos!$N$2:$N$11,"&gt;"&amp;Dados!A953,Projetos!$D$2:$D$11,"BRL")</f>
        <v>0</v>
      </c>
      <c r="E953" s="18">
        <f t="shared" ca="1" si="56"/>
        <v>8.7516060726594669E-9</v>
      </c>
      <c r="G953" s="45">
        <f t="shared" ca="1" si="59"/>
        <v>6.7100377537420301E-9</v>
      </c>
      <c r="H953" s="18">
        <f>-SUMIFS(Projetos!$F$2:$F$11,Projetos!$D$2:$D$11,"USD",Projetos!$N$2:$N$11,Dados!$A953)</f>
        <v>0</v>
      </c>
      <c r="I953" s="45">
        <f ca="1">(G953+H953)*((Indicadores_Economicos!D$2+1)^(1/12)-1)</f>
        <v>2.1966917534481926E-11</v>
      </c>
      <c r="J953" s="18">
        <f>SUMIFS(Projetos!$G$2:$G$11,Projetos!$K$2:$K$11,"&lt;="&amp;Dados!$A953,Projetos!$N$2:$N$11,"&gt;"&amp;Dados!$A953,Projetos!$D$2:$D$11,"USD")</f>
        <v>0</v>
      </c>
      <c r="K953" s="18">
        <f t="shared" ca="1" si="57"/>
        <v>6.7320046712765124E-9</v>
      </c>
    </row>
    <row r="954" spans="1:11" x14ac:dyDescent="0.2">
      <c r="A954" s="45">
        <f t="shared" ca="1" si="58"/>
        <v>8.7516060726594669E-9</v>
      </c>
      <c r="B954" s="18">
        <f>-SUMIFS(Projetos!$F$2:$F$11,Projetos!$D$2:$D$11,"BRL",Projetos!$N$2:$N$11,Dados!$A954)</f>
        <v>0</v>
      </c>
      <c r="C954" s="45">
        <f ca="1">(A954+B954)*((Indicadores_Economicos!D$2+1)^(1/12)-1)</f>
        <v>2.8650480958198902E-11</v>
      </c>
      <c r="D954" s="18">
        <f>SUMIFS(Projetos!$G$2:$G$11,Projetos!$K$2:$K$11,"&lt;="&amp;Dados!$A954,Projetos!$N$2:$N$11,"&gt;"&amp;Dados!A954,Projetos!$D$2:$D$11,"BRL")</f>
        <v>0</v>
      </c>
      <c r="E954" s="18">
        <f t="shared" ca="1" si="56"/>
        <v>8.7802565536176659E-9</v>
      </c>
      <c r="G954" s="45">
        <f t="shared" ca="1" si="59"/>
        <v>6.7320046712765124E-9</v>
      </c>
      <c r="H954" s="18">
        <f>-SUMIFS(Projetos!$F$2:$F$11,Projetos!$D$2:$D$11,"USD",Projetos!$N$2:$N$11,Dados!$A954)</f>
        <v>0</v>
      </c>
      <c r="I954" s="45">
        <f ca="1">(G954+H954)*((Indicadores_Economicos!D$2+1)^(1/12)-1)</f>
        <v>2.2038831506306845E-11</v>
      </c>
      <c r="J954" s="18">
        <f>SUMIFS(Projetos!$G$2:$G$11,Projetos!$K$2:$K$11,"&lt;="&amp;Dados!$A954,Projetos!$N$2:$N$11,"&gt;"&amp;Dados!$A954,Projetos!$D$2:$D$11,"USD")</f>
        <v>0</v>
      </c>
      <c r="K954" s="18">
        <f t="shared" ca="1" si="57"/>
        <v>6.7540435027828195E-9</v>
      </c>
    </row>
    <row r="955" spans="1:11" x14ac:dyDescent="0.2">
      <c r="A955" s="45">
        <f t="shared" ca="1" si="58"/>
        <v>8.7802565536176659E-9</v>
      </c>
      <c r="B955" s="18">
        <f>-SUMIFS(Projetos!$F$2:$F$11,Projetos!$D$2:$D$11,"BRL",Projetos!$N$2:$N$11,Dados!$A955)</f>
        <v>0</v>
      </c>
      <c r="C955" s="45">
        <f ca="1">(A955+B955)*((Indicadores_Economicos!D$2+1)^(1/12)-1)</f>
        <v>2.8744275177490889E-11</v>
      </c>
      <c r="D955" s="18">
        <f>SUMIFS(Projetos!$G$2:$G$11,Projetos!$K$2:$K$11,"&lt;="&amp;Dados!$A955,Projetos!$N$2:$N$11,"&gt;"&amp;Dados!A955,Projetos!$D$2:$D$11,"BRL")</f>
        <v>0</v>
      </c>
      <c r="E955" s="18">
        <f t="shared" ca="1" si="56"/>
        <v>8.8090008287951563E-9</v>
      </c>
      <c r="G955" s="45">
        <f t="shared" ca="1" si="59"/>
        <v>6.7540435027828195E-9</v>
      </c>
      <c r="H955" s="18">
        <f>-SUMIFS(Projetos!$F$2:$F$11,Projetos!$D$2:$D$11,"USD",Projetos!$N$2:$N$11,Dados!$A955)</f>
        <v>0</v>
      </c>
      <c r="I955" s="45">
        <f ca="1">(G955+H955)*((Indicadores_Economicos!D$2+1)^(1/12)-1)</f>
        <v>2.211098090576222E-11</v>
      </c>
      <c r="J955" s="18">
        <f>SUMIFS(Projetos!$G$2:$G$11,Projetos!$K$2:$K$11,"&lt;="&amp;Dados!$A955,Projetos!$N$2:$N$11,"&gt;"&amp;Dados!$A955,Projetos!$D$2:$D$11,"USD")</f>
        <v>0</v>
      </c>
      <c r="K955" s="18">
        <f t="shared" ca="1" si="57"/>
        <v>6.7761544836885817E-9</v>
      </c>
    </row>
    <row r="956" spans="1:11" x14ac:dyDescent="0.2">
      <c r="A956" s="45">
        <f t="shared" ca="1" si="58"/>
        <v>8.8090008287951563E-9</v>
      </c>
      <c r="B956" s="18">
        <f>-SUMIFS(Projetos!$F$2:$F$11,Projetos!$D$2:$D$11,"BRL",Projetos!$N$2:$N$11,Dados!$A956)</f>
        <v>0</v>
      </c>
      <c r="C956" s="45">
        <f ca="1">(A956+B956)*((Indicadores_Economicos!D$2+1)^(1/12)-1)</f>
        <v>2.8838376454649911E-11</v>
      </c>
      <c r="D956" s="18">
        <f>SUMIFS(Projetos!$G$2:$G$11,Projetos!$K$2:$K$11,"&lt;="&amp;Dados!$A956,Projetos!$N$2:$N$11,"&gt;"&amp;Dados!A956,Projetos!$D$2:$D$11,"BRL")</f>
        <v>0</v>
      </c>
      <c r="E956" s="18">
        <f t="shared" ca="1" si="56"/>
        <v>8.8378392052498055E-9</v>
      </c>
      <c r="G956" s="45">
        <f t="shared" ca="1" si="59"/>
        <v>6.7761544836885817E-9</v>
      </c>
      <c r="H956" s="18">
        <f>-SUMIFS(Projetos!$F$2:$F$11,Projetos!$D$2:$D$11,"USD",Projetos!$N$2:$N$11,Dados!$A956)</f>
        <v>0</v>
      </c>
      <c r="I956" s="45">
        <f ca="1">(G956+H956)*((Indicadores_Economicos!D$2+1)^(1/12)-1)</f>
        <v>2.2183366503576854E-11</v>
      </c>
      <c r="J956" s="18">
        <f>SUMIFS(Projetos!$G$2:$G$11,Projetos!$K$2:$K$11,"&lt;="&amp;Dados!$A956,Projetos!$N$2:$N$11,"&gt;"&amp;Dados!$A956,Projetos!$D$2:$D$11,"USD")</f>
        <v>0</v>
      </c>
      <c r="K956" s="18">
        <f t="shared" ca="1" si="57"/>
        <v>6.7983378501921582E-9</v>
      </c>
    </row>
    <row r="957" spans="1:11" x14ac:dyDescent="0.2">
      <c r="A957" s="45">
        <f t="shared" ca="1" si="58"/>
        <v>8.8378392052498055E-9</v>
      </c>
      <c r="B957" s="18">
        <f>-SUMIFS(Projetos!$F$2:$F$11,Projetos!$D$2:$D$11,"BRL",Projetos!$N$2:$N$11,Dados!$A957)</f>
        <v>0</v>
      </c>
      <c r="C957" s="45">
        <f ca="1">(A957+B957)*((Indicadores_Economicos!D$2+1)^(1/12)-1)</f>
        <v>2.8932785794903527E-11</v>
      </c>
      <c r="D957" s="18">
        <f>SUMIFS(Projetos!$G$2:$G$11,Projetos!$K$2:$K$11,"&lt;="&amp;Dados!$A957,Projetos!$N$2:$N$11,"&gt;"&amp;Dados!A957,Projetos!$D$2:$D$11,"BRL")</f>
        <v>0</v>
      </c>
      <c r="E957" s="18">
        <f t="shared" ca="1" si="56"/>
        <v>8.8667719910447088E-9</v>
      </c>
      <c r="G957" s="45">
        <f t="shared" ca="1" si="59"/>
        <v>6.7983378501921582E-9</v>
      </c>
      <c r="H957" s="18">
        <f>-SUMIFS(Projetos!$F$2:$F$11,Projetos!$D$2:$D$11,"USD",Projetos!$N$2:$N$11,Dados!$A957)</f>
        <v>0</v>
      </c>
      <c r="I957" s="45">
        <f ca="1">(G957+H957)*((Indicadores_Economicos!D$2+1)^(1/12)-1)</f>
        <v>2.2255989073002712E-11</v>
      </c>
      <c r="J957" s="18">
        <f>SUMIFS(Projetos!$G$2:$G$11,Projetos!$K$2:$K$11,"&lt;="&amp;Dados!$A957,Projetos!$N$2:$N$11,"&gt;"&amp;Dados!$A957,Projetos!$D$2:$D$11,"USD")</f>
        <v>0</v>
      </c>
      <c r="K957" s="18">
        <f t="shared" ca="1" si="57"/>
        <v>6.8205938392651609E-9</v>
      </c>
    </row>
    <row r="958" spans="1:11" x14ac:dyDescent="0.2">
      <c r="A958" s="45">
        <f t="shared" ca="1" si="58"/>
        <v>8.8667719910447088E-9</v>
      </c>
      <c r="B958" s="18">
        <f>-SUMIFS(Projetos!$F$2:$F$11,Projetos!$D$2:$D$11,"BRL",Projetos!$N$2:$N$11,Dados!$A958)</f>
        <v>0</v>
      </c>
      <c r="C958" s="45">
        <f ca="1">(A958+B958)*((Indicadores_Economicos!D$2+1)^(1/12)-1)</f>
        <v>2.902750420677014E-11</v>
      </c>
      <c r="D958" s="18">
        <f>SUMIFS(Projetos!$G$2:$G$11,Projetos!$K$2:$K$11,"&lt;="&amp;Dados!$A958,Projetos!$N$2:$N$11,"&gt;"&amp;Dados!A958,Projetos!$D$2:$D$11,"BRL")</f>
        <v>0</v>
      </c>
      <c r="E958" s="18">
        <f t="shared" ca="1" si="56"/>
        <v>8.8957994952514784E-9</v>
      </c>
      <c r="G958" s="45">
        <f t="shared" ca="1" si="59"/>
        <v>6.8205938392651609E-9</v>
      </c>
      <c r="H958" s="18">
        <f>-SUMIFS(Projetos!$F$2:$F$11,Projetos!$D$2:$D$11,"USD",Projetos!$N$2:$N$11,Dados!$A958)</f>
        <v>0</v>
      </c>
      <c r="I958" s="45">
        <f ca="1">(G958+H958)*((Indicadores_Economicos!D$2+1)^(1/12)-1)</f>
        <v>2.2328849389823187E-11</v>
      </c>
      <c r="J958" s="18">
        <f>SUMIFS(Projetos!$G$2:$G$11,Projetos!$K$2:$K$11,"&lt;="&amp;Dados!$A958,Projetos!$N$2:$N$11,"&gt;"&amp;Dados!$A958,Projetos!$D$2:$D$11,"USD")</f>
        <v>0</v>
      </c>
      <c r="K958" s="18">
        <f t="shared" ca="1" si="57"/>
        <v>6.8429226886549844E-9</v>
      </c>
    </row>
    <row r="959" spans="1:11" x14ac:dyDescent="0.2">
      <c r="A959" s="45">
        <f t="shared" ca="1" si="58"/>
        <v>8.8957994952514784E-9</v>
      </c>
      <c r="B959" s="18">
        <f>-SUMIFS(Projetos!$F$2:$F$11,Projetos!$D$2:$D$11,"BRL",Projetos!$N$2:$N$11,Dados!$A959)</f>
        <v>0</v>
      </c>
      <c r="C959" s="45">
        <f ca="1">(A959+B959)*((Indicadores_Economicos!D$2+1)^(1/12)-1)</f>
        <v>2.912253270206979E-11</v>
      </c>
      <c r="D959" s="18">
        <f>SUMIFS(Projetos!$G$2:$G$11,Projetos!$K$2:$K$11,"&lt;="&amp;Dados!$A959,Projetos!$N$2:$N$11,"&gt;"&amp;Dados!A959,Projetos!$D$2:$D$11,"BRL")</f>
        <v>0</v>
      </c>
      <c r="E959" s="18">
        <f t="shared" ca="1" si="56"/>
        <v>8.9249220279535485E-9</v>
      </c>
      <c r="G959" s="45">
        <f t="shared" ca="1" si="59"/>
        <v>6.8429226886549844E-9</v>
      </c>
      <c r="H959" s="18">
        <f>-SUMIFS(Projetos!$F$2:$F$11,Projetos!$D$2:$D$11,"USD",Projetos!$N$2:$N$11,Dados!$A959)</f>
        <v>0</v>
      </c>
      <c r="I959" s="45">
        <f ca="1">(G959+H959)*((Indicadores_Economicos!D$2+1)^(1/12)-1)</f>
        <v>2.2401948232361378E-11</v>
      </c>
      <c r="J959" s="18">
        <f>SUMIFS(Projetos!$G$2:$G$11,Projetos!$K$2:$K$11,"&lt;="&amp;Dados!$A959,Projetos!$N$2:$N$11,"&gt;"&amp;Dados!$A959,Projetos!$D$2:$D$11,"USD")</f>
        <v>0</v>
      </c>
      <c r="K959" s="18">
        <f t="shared" ca="1" si="57"/>
        <v>6.8653246368873458E-9</v>
      </c>
    </row>
    <row r="960" spans="1:11" x14ac:dyDescent="0.2">
      <c r="A960" s="45">
        <f t="shared" ca="1" si="58"/>
        <v>8.9249220279535485E-9</v>
      </c>
      <c r="B960" s="18">
        <f>-SUMIFS(Projetos!$F$2:$F$11,Projetos!$D$2:$D$11,"BRL",Projetos!$N$2:$N$11,Dados!$A960)</f>
        <v>0</v>
      </c>
      <c r="C960" s="45">
        <f ca="1">(A960+B960)*((Indicadores_Economicos!D$2+1)^(1/12)-1)</f>
        <v>2.9217872295934944E-11</v>
      </c>
      <c r="D960" s="18">
        <f>SUMIFS(Projetos!$G$2:$G$11,Projetos!$K$2:$K$11,"&lt;="&amp;Dados!$A960,Projetos!$N$2:$N$11,"&gt;"&amp;Dados!A960,Projetos!$D$2:$D$11,"BRL")</f>
        <v>0</v>
      </c>
      <c r="E960" s="18">
        <f t="shared" ca="1" si="56"/>
        <v>8.9541399002494829E-9</v>
      </c>
      <c r="G960" s="45">
        <f t="shared" ca="1" si="59"/>
        <v>6.8653246368873458E-9</v>
      </c>
      <c r="H960" s="18">
        <f>-SUMIFS(Projetos!$F$2:$F$11,Projetos!$D$2:$D$11,"USD",Projetos!$N$2:$N$11,Dados!$A960)</f>
        <v>0</v>
      </c>
      <c r="I960" s="45">
        <f ca="1">(G960+H960)*((Indicadores_Economicos!D$2+1)^(1/12)-1)</f>
        <v>2.2475286381488421E-11</v>
      </c>
      <c r="J960" s="18">
        <f>SUMIFS(Projetos!$G$2:$G$11,Projetos!$K$2:$K$11,"&lt;="&amp;Dados!$A960,Projetos!$N$2:$N$11,"&gt;"&amp;Dados!$A960,Projetos!$D$2:$D$11,"USD")</f>
        <v>0</v>
      </c>
      <c r="K960" s="18">
        <f t="shared" ca="1" si="57"/>
        <v>6.8877999232688339E-9</v>
      </c>
    </row>
    <row r="961" spans="1:11" x14ac:dyDescent="0.2">
      <c r="A961" s="45">
        <f t="shared" ca="1" si="58"/>
        <v>8.9541399002494829E-9</v>
      </c>
      <c r="B961" s="18">
        <f>-SUMIFS(Projetos!$F$2:$F$11,Projetos!$D$2:$D$11,"BRL",Projetos!$N$2:$N$11,Dados!$A961)</f>
        <v>0</v>
      </c>
      <c r="C961" s="45">
        <f ca="1">(A961+B961)*((Indicadores_Economicos!D$2+1)^(1/12)-1)</f>
        <v>2.931352400682135E-11</v>
      </c>
      <c r="D961" s="18">
        <f>SUMIFS(Projetos!$G$2:$G$11,Projetos!$K$2:$K$11,"&lt;="&amp;Dados!$A961,Projetos!$N$2:$N$11,"&gt;"&amp;Dados!A961,Projetos!$D$2:$D$11,"BRL")</f>
        <v>0</v>
      </c>
      <c r="E961" s="18">
        <f t="shared" ca="1" si="56"/>
        <v>8.9834534242563045E-9</v>
      </c>
      <c r="G961" s="45">
        <f t="shared" ca="1" si="59"/>
        <v>6.8877999232688339E-9</v>
      </c>
      <c r="H961" s="18">
        <f>-SUMIFS(Projetos!$F$2:$F$11,Projetos!$D$2:$D$11,"USD",Projetos!$N$2:$N$11,Dados!$A961)</f>
        <v>0</v>
      </c>
      <c r="I961" s="45">
        <f ca="1">(G961+H961)*((Indicadores_Economicos!D$2+1)^(1/12)-1)</f>
        <v>2.2548864620631813E-11</v>
      </c>
      <c r="J961" s="18">
        <f>SUMIFS(Projetos!$G$2:$G$11,Projetos!$K$2:$K$11,"&lt;="&amp;Dados!$A961,Projetos!$N$2:$N$11,"&gt;"&amp;Dados!$A961,Projetos!$D$2:$D$11,"USD")</f>
        <v>0</v>
      </c>
      <c r="K961" s="18">
        <f t="shared" ca="1" si="57"/>
        <v>6.9103487878894661E-9</v>
      </c>
    </row>
    <row r="962" spans="1:11" x14ac:dyDescent="0.2">
      <c r="A962" s="45">
        <f t="shared" ca="1" si="58"/>
        <v>8.9834534242563045E-9</v>
      </c>
      <c r="B962" s="18">
        <f>-SUMIFS(Projetos!$F$2:$F$11,Projetos!$D$2:$D$11,"BRL",Projetos!$N$2:$N$11,Dados!$A962)</f>
        <v>0</v>
      </c>
      <c r="C962" s="45">
        <f ca="1">(A962+B962)*((Indicadores_Economicos!D$2+1)^(1/12)-1)</f>
        <v>2.9409488856518925E-11</v>
      </c>
      <c r="D962" s="18">
        <f>SUMIFS(Projetos!$G$2:$G$11,Projetos!$K$2:$K$11,"&lt;="&amp;Dados!$A962,Projetos!$N$2:$N$11,"&gt;"&amp;Dados!A962,Projetos!$D$2:$D$11,"BRL")</f>
        <v>0</v>
      </c>
      <c r="E962" s="18">
        <f t="shared" ref="E962:E1025" ca="1" si="60">A962+B962+C962+D962</f>
        <v>9.0128629131128231E-9</v>
      </c>
      <c r="G962" s="45">
        <f t="shared" ca="1" si="59"/>
        <v>6.9103487878894661E-9</v>
      </c>
      <c r="H962" s="18">
        <f>-SUMIFS(Projetos!$F$2:$F$11,Projetos!$D$2:$D$11,"USD",Projetos!$N$2:$N$11,Dados!$A962)</f>
        <v>0</v>
      </c>
      <c r="I962" s="45">
        <f ca="1">(G962+H962)*((Indicadores_Economicos!D$2+1)^(1/12)-1)</f>
        <v>2.2622683735783795E-11</v>
      </c>
      <c r="J962" s="18">
        <f>SUMIFS(Projetos!$G$2:$G$11,Projetos!$K$2:$K$11,"&lt;="&amp;Dados!$A962,Projetos!$N$2:$N$11,"&gt;"&amp;Dados!$A962,Projetos!$D$2:$D$11,"USD")</f>
        <v>0</v>
      </c>
      <c r="K962" s="18">
        <f t="shared" ref="K962:K1025" ca="1" si="61">G962+H962+I962+J962</f>
        <v>6.9329714716252499E-9</v>
      </c>
    </row>
    <row r="963" spans="1:11" x14ac:dyDescent="0.2">
      <c r="A963" s="45">
        <f t="shared" ca="1" si="58"/>
        <v>9.0128629131128231E-9</v>
      </c>
      <c r="B963" s="18">
        <f>-SUMIFS(Projetos!$F$2:$F$11,Projetos!$D$2:$D$11,"BRL",Projetos!$N$2:$N$11,Dados!$A963)</f>
        <v>0</v>
      </c>
      <c r="C963" s="45">
        <f ca="1">(A963+B963)*((Indicadores_Economicos!D$2+1)^(1/12)-1)</f>
        <v>2.9505767870162645E-11</v>
      </c>
      <c r="D963" s="18">
        <f>SUMIFS(Projetos!$G$2:$G$11,Projetos!$K$2:$K$11,"&lt;="&amp;Dados!$A963,Projetos!$N$2:$N$11,"&gt;"&amp;Dados!A963,Projetos!$D$2:$D$11,"BRL")</f>
        <v>0</v>
      </c>
      <c r="E963" s="18">
        <f t="shared" ca="1" si="60"/>
        <v>9.0423686809829863E-9</v>
      </c>
      <c r="G963" s="45">
        <f t="shared" ca="1" si="59"/>
        <v>6.9329714716252499E-9</v>
      </c>
      <c r="H963" s="18">
        <f>-SUMIFS(Projetos!$F$2:$F$11,Projetos!$D$2:$D$11,"USD",Projetos!$N$2:$N$11,Dados!$A963)</f>
        <v>0</v>
      </c>
      <c r="I963" s="45">
        <f ca="1">(G963+H963)*((Indicadores_Economicos!D$2+1)^(1/12)-1)</f>
        <v>2.2696744515509734E-11</v>
      </c>
      <c r="J963" s="18">
        <f>SUMIFS(Projetos!$G$2:$G$11,Projetos!$K$2:$K$11,"&lt;="&amp;Dados!$A963,Projetos!$N$2:$N$11,"&gt;"&amp;Dados!$A963,Projetos!$D$2:$D$11,"USD")</f>
        <v>0</v>
      </c>
      <c r="K963" s="18">
        <f t="shared" ca="1" si="61"/>
        <v>6.9556682161407592E-9</v>
      </c>
    </row>
    <row r="964" spans="1:11" x14ac:dyDescent="0.2">
      <c r="A964" s="45">
        <f t="shared" ref="A964:A1027" ca="1" si="62">E963</f>
        <v>9.0423686809829863E-9</v>
      </c>
      <c r="B964" s="18">
        <f>-SUMIFS(Projetos!$F$2:$F$11,Projetos!$D$2:$D$11,"BRL",Projetos!$N$2:$N$11,Dados!$A964)</f>
        <v>0</v>
      </c>
      <c r="C964" s="45">
        <f ca="1">(A964+B964)*((Indicadores_Economicos!D$2+1)^(1/12)-1)</f>
        <v>2.9602362076243525E-11</v>
      </c>
      <c r="D964" s="18">
        <f>SUMIFS(Projetos!$G$2:$G$11,Projetos!$K$2:$K$11,"&lt;="&amp;Dados!$A964,Projetos!$N$2:$N$11,"&gt;"&amp;Dados!A964,Projetos!$D$2:$D$11,"BRL")</f>
        <v>0</v>
      </c>
      <c r="E964" s="18">
        <f t="shared" ca="1" si="60"/>
        <v>9.07197104305923E-9</v>
      </c>
      <c r="G964" s="45">
        <f t="shared" ref="G964:G1027" ca="1" si="63">K963</f>
        <v>6.9556682161407592E-9</v>
      </c>
      <c r="H964" s="18">
        <f>-SUMIFS(Projetos!$F$2:$F$11,Projetos!$D$2:$D$11,"USD",Projetos!$N$2:$N$11,Dados!$A964)</f>
        <v>0</v>
      </c>
      <c r="I964" s="45">
        <f ca="1">(G964+H964)*((Indicadores_Economicos!D$2+1)^(1/12)-1)</f>
        <v>2.2771047750956562E-11</v>
      </c>
      <c r="J964" s="18">
        <f>SUMIFS(Projetos!$G$2:$G$11,Projetos!$K$2:$K$11,"&lt;="&amp;Dados!$A964,Projetos!$N$2:$N$11,"&gt;"&amp;Dados!$A964,Projetos!$D$2:$D$11,"USD")</f>
        <v>0</v>
      </c>
      <c r="K964" s="18">
        <f t="shared" ca="1" si="61"/>
        <v>6.9784392638917158E-9</v>
      </c>
    </row>
    <row r="965" spans="1:11" x14ac:dyDescent="0.2">
      <c r="A965" s="45">
        <f t="shared" ca="1" si="62"/>
        <v>9.07197104305923E-9</v>
      </c>
      <c r="B965" s="18">
        <f>-SUMIFS(Projetos!$F$2:$F$11,Projetos!$D$2:$D$11,"BRL",Projetos!$N$2:$N$11,Dados!$A965)</f>
        <v>0</v>
      </c>
      <c r="C965" s="45">
        <f ca="1">(A965+B965)*((Indicadores_Economicos!D$2+1)^(1/12)-1)</f>
        <v>2.9699272506619586E-11</v>
      </c>
      <c r="D965" s="18">
        <f>SUMIFS(Projetos!$G$2:$G$11,Projetos!$K$2:$K$11,"&lt;="&amp;Dados!$A965,Projetos!$N$2:$N$11,"&gt;"&amp;Dados!A965,Projetos!$D$2:$D$11,"BRL")</f>
        <v>0</v>
      </c>
      <c r="E965" s="18">
        <f t="shared" ca="1" si="60"/>
        <v>9.1016703155658502E-9</v>
      </c>
      <c r="G965" s="45">
        <f t="shared" ca="1" si="63"/>
        <v>6.9784392638917158E-9</v>
      </c>
      <c r="H965" s="18">
        <f>-SUMIFS(Projetos!$F$2:$F$11,Projetos!$D$2:$D$11,"USD",Projetos!$N$2:$N$11,Dados!$A965)</f>
        <v>0</v>
      </c>
      <c r="I965" s="45">
        <f ca="1">(G965+H965)*((Indicadores_Economicos!D$2+1)^(1/12)-1)</f>
        <v>2.284559423586122E-11</v>
      </c>
      <c r="J965" s="18">
        <f>SUMIFS(Projetos!$G$2:$G$11,Projetos!$K$2:$K$11,"&lt;="&amp;Dados!$A965,Projetos!$N$2:$N$11,"&gt;"&amp;Dados!$A965,Projetos!$D$2:$D$11,"USD")</f>
        <v>0</v>
      </c>
      <c r="K965" s="18">
        <f t="shared" ca="1" si="61"/>
        <v>7.0012848581275772E-9</v>
      </c>
    </row>
    <row r="966" spans="1:11" x14ac:dyDescent="0.2">
      <c r="A966" s="45">
        <f t="shared" ca="1" si="62"/>
        <v>9.1016703155658502E-9</v>
      </c>
      <c r="B966" s="18">
        <f>-SUMIFS(Projetos!$F$2:$F$11,Projetos!$D$2:$D$11,"BRL",Projetos!$N$2:$N$11,Dados!$A966)</f>
        <v>0</v>
      </c>
      <c r="C966" s="45">
        <f ca="1">(A966+B966)*((Indicadores_Economicos!D$2+1)^(1/12)-1)</f>
        <v>2.9796500196526874E-11</v>
      </c>
      <c r="D966" s="18">
        <f>SUMIFS(Projetos!$G$2:$G$11,Projetos!$K$2:$K$11,"&lt;="&amp;Dados!$A966,Projetos!$N$2:$N$11,"&gt;"&amp;Dados!A966,Projetos!$D$2:$D$11,"BRL")</f>
        <v>0</v>
      </c>
      <c r="E966" s="18">
        <f t="shared" ca="1" si="60"/>
        <v>9.1314668157623773E-9</v>
      </c>
      <c r="G966" s="45">
        <f t="shared" ca="1" si="63"/>
        <v>7.0012848581275772E-9</v>
      </c>
      <c r="H966" s="18">
        <f>-SUMIFS(Projetos!$F$2:$F$11,Projetos!$D$2:$D$11,"USD",Projetos!$N$2:$N$11,Dados!$A966)</f>
        <v>0</v>
      </c>
      <c r="I966" s="45">
        <f ca="1">(G966+H966)*((Indicadores_Economicos!D$2+1)^(1/12)-1)</f>
        <v>2.2920384766559132E-11</v>
      </c>
      <c r="J966" s="18">
        <f>SUMIFS(Projetos!$G$2:$G$11,Projetos!$K$2:$K$11,"&lt;="&amp;Dados!$A966,Projetos!$N$2:$N$11,"&gt;"&amp;Dados!$A966,Projetos!$D$2:$D$11,"USD")</f>
        <v>0</v>
      </c>
      <c r="K966" s="18">
        <f t="shared" ca="1" si="61"/>
        <v>7.0242052428941362E-9</v>
      </c>
    </row>
    <row r="967" spans="1:11" x14ac:dyDescent="0.2">
      <c r="A967" s="45">
        <f t="shared" ca="1" si="62"/>
        <v>9.1314668157623773E-9</v>
      </c>
      <c r="B967" s="18">
        <f>-SUMIFS(Projetos!$F$2:$F$11,Projetos!$D$2:$D$11,"BRL",Projetos!$N$2:$N$11,Dados!$A967)</f>
        <v>0</v>
      </c>
      <c r="C967" s="45">
        <f ca="1">(A967+B967)*((Indicadores_Economicos!D$2+1)^(1/12)-1)</f>
        <v>2.9894046184590539E-11</v>
      </c>
      <c r="D967" s="18">
        <f>SUMIFS(Projetos!$G$2:$G$11,Projetos!$K$2:$K$11,"&lt;="&amp;Dados!$A967,Projetos!$N$2:$N$11,"&gt;"&amp;Dados!A967,Projetos!$D$2:$D$11,"BRL")</f>
        <v>0</v>
      </c>
      <c r="E967" s="18">
        <f t="shared" ca="1" si="60"/>
        <v>9.1613608619469681E-9</v>
      </c>
      <c r="G967" s="45">
        <f t="shared" ca="1" si="63"/>
        <v>7.0242052428941362E-9</v>
      </c>
      <c r="H967" s="18">
        <f>-SUMIFS(Projetos!$F$2:$F$11,Projetos!$D$2:$D$11,"USD",Projetos!$N$2:$N$11,Dados!$A967)</f>
        <v>0</v>
      </c>
      <c r="I967" s="45">
        <f ca="1">(G967+H967)*((Indicadores_Economicos!D$2+1)^(1/12)-1)</f>
        <v>2.2995420141992723E-11</v>
      </c>
      <c r="J967" s="18">
        <f>SUMIFS(Projetos!$G$2:$G$11,Projetos!$K$2:$K$11,"&lt;="&amp;Dados!$A967,Projetos!$N$2:$N$11,"&gt;"&amp;Dados!$A967,Projetos!$D$2:$D$11,"USD")</f>
        <v>0</v>
      </c>
      <c r="K967" s="18">
        <f t="shared" ca="1" si="61"/>
        <v>7.0472006630361287E-9</v>
      </c>
    </row>
    <row r="968" spans="1:11" x14ac:dyDescent="0.2">
      <c r="A968" s="45">
        <f t="shared" ca="1" si="62"/>
        <v>9.1613608619469681E-9</v>
      </c>
      <c r="B968" s="18">
        <f>-SUMIFS(Projetos!$F$2:$F$11,Projetos!$D$2:$D$11,"BRL",Projetos!$N$2:$N$11,Dados!$A968)</f>
        <v>0</v>
      </c>
      <c r="C968" s="45">
        <f ca="1">(A968+B968)*((Indicadores_Economicos!D$2+1)^(1/12)-1)</f>
        <v>2.999191151283593E-11</v>
      </c>
      <c r="D968" s="18">
        <f>SUMIFS(Projetos!$G$2:$G$11,Projetos!$K$2:$K$11,"&lt;="&amp;Dados!$A968,Projetos!$N$2:$N$11,"&gt;"&amp;Dados!A968,Projetos!$D$2:$D$11,"BRL")</f>
        <v>0</v>
      </c>
      <c r="E968" s="18">
        <f t="shared" ca="1" si="60"/>
        <v>9.1913527734598035E-9</v>
      </c>
      <c r="G968" s="45">
        <f t="shared" ca="1" si="63"/>
        <v>7.0472006630361287E-9</v>
      </c>
      <c r="H968" s="18">
        <f>-SUMIFS(Projetos!$F$2:$F$11,Projetos!$D$2:$D$11,"USD",Projetos!$N$2:$N$11,Dados!$A968)</f>
        <v>0</v>
      </c>
      <c r="I968" s="45">
        <f ca="1">(G968+H968)*((Indicadores_Economicos!D$2+1)^(1/12)-1)</f>
        <v>2.3070701163719941E-11</v>
      </c>
      <c r="J968" s="18">
        <f>SUMIFS(Projetos!$G$2:$G$11,Projetos!$K$2:$K$11,"&lt;="&amp;Dados!$A968,Projetos!$N$2:$N$11,"&gt;"&amp;Dados!$A968,Projetos!$D$2:$D$11,"USD")</f>
        <v>0</v>
      </c>
      <c r="K968" s="18">
        <f t="shared" ca="1" si="61"/>
        <v>7.0702713641998484E-9</v>
      </c>
    </row>
    <row r="969" spans="1:11" x14ac:dyDescent="0.2">
      <c r="A969" s="45">
        <f t="shared" ca="1" si="62"/>
        <v>9.1913527734598035E-9</v>
      </c>
      <c r="B969" s="18">
        <f>-SUMIFS(Projetos!$F$2:$F$11,Projetos!$D$2:$D$11,"BRL",Projetos!$N$2:$N$11,Dados!$A969)</f>
        <v>0</v>
      </c>
      <c r="C969" s="45">
        <f ca="1">(A969+B969)*((Indicadores_Economicos!D$2+1)^(1/12)-1)</f>
        <v>3.0090097226699685E-11</v>
      </c>
      <c r="D969" s="18">
        <f>SUMIFS(Projetos!$G$2:$G$11,Projetos!$K$2:$K$11,"&lt;="&amp;Dados!$A969,Projetos!$N$2:$N$11,"&gt;"&amp;Dados!A969,Projetos!$D$2:$D$11,"BRL")</f>
        <v>0</v>
      </c>
      <c r="E969" s="18">
        <f t="shared" ca="1" si="60"/>
        <v>9.2214428706865034E-9</v>
      </c>
      <c r="G969" s="45">
        <f t="shared" ca="1" si="63"/>
        <v>7.0702713641998484E-9</v>
      </c>
      <c r="H969" s="18">
        <f>-SUMIFS(Projetos!$F$2:$F$11,Projetos!$D$2:$D$11,"USD",Projetos!$N$2:$N$11,Dados!$A969)</f>
        <v>0</v>
      </c>
      <c r="I969" s="45">
        <f ca="1">(G969+H969)*((Indicadores_Economicos!D$2+1)^(1/12)-1)</f>
        <v>2.3146228635922835E-11</v>
      </c>
      <c r="J969" s="18">
        <f>SUMIFS(Projetos!$G$2:$G$11,Projetos!$K$2:$K$11,"&lt;="&amp;Dados!$A969,Projetos!$N$2:$N$11,"&gt;"&amp;Dados!$A969,Projetos!$D$2:$D$11,"USD")</f>
        <v>0</v>
      </c>
      <c r="K969" s="18">
        <f t="shared" ca="1" si="61"/>
        <v>7.0934175928357715E-9</v>
      </c>
    </row>
    <row r="970" spans="1:11" x14ac:dyDescent="0.2">
      <c r="A970" s="45">
        <f t="shared" ca="1" si="62"/>
        <v>9.2214428706865034E-9</v>
      </c>
      <c r="B970" s="18">
        <f>-SUMIFS(Projetos!$F$2:$F$11,Projetos!$D$2:$D$11,"BRL",Projetos!$N$2:$N$11,Dados!$A970)</f>
        <v>0</v>
      </c>
      <c r="C970" s="45">
        <f ca="1">(A970+B970)*((Indicadores_Economicos!D$2+1)^(1/12)-1)</f>
        <v>3.0188604375040966E-11</v>
      </c>
      <c r="D970" s="18">
        <f>SUMIFS(Projetos!$G$2:$G$11,Projetos!$K$2:$K$11,"&lt;="&amp;Dados!$A970,Projetos!$N$2:$N$11,"&gt;"&amp;Dados!A970,Projetos!$D$2:$D$11,"BRL")</f>
        <v>0</v>
      </c>
      <c r="E970" s="18">
        <f t="shared" ca="1" si="60"/>
        <v>9.2516314750615442E-9</v>
      </c>
      <c r="G970" s="45">
        <f t="shared" ca="1" si="63"/>
        <v>7.0934175928357715E-9</v>
      </c>
      <c r="H970" s="18">
        <f>-SUMIFS(Projetos!$F$2:$F$11,Projetos!$D$2:$D$11,"USD",Projetos!$N$2:$N$11,Dados!$A970)</f>
        <v>0</v>
      </c>
      <c r="I970" s="45">
        <f ca="1">(G970+H970)*((Indicadores_Economicos!D$2+1)^(1/12)-1)</f>
        <v>2.3222003365416126E-11</v>
      </c>
      <c r="J970" s="18">
        <f>SUMIFS(Projetos!$G$2:$G$11,Projetos!$K$2:$K$11,"&lt;="&amp;Dados!$A970,Projetos!$N$2:$N$11,"&gt;"&amp;Dados!$A970,Projetos!$D$2:$D$11,"USD")</f>
        <v>0</v>
      </c>
      <c r="K970" s="18">
        <f t="shared" ca="1" si="61"/>
        <v>7.1166395962011873E-9</v>
      </c>
    </row>
    <row r="971" spans="1:11" x14ac:dyDescent="0.2">
      <c r="A971" s="45">
        <f t="shared" ca="1" si="62"/>
        <v>9.2516314750615442E-9</v>
      </c>
      <c r="B971" s="18">
        <f>-SUMIFS(Projetos!$F$2:$F$11,Projetos!$D$2:$D$11,"BRL",Projetos!$N$2:$N$11,Dados!$A971)</f>
        <v>0</v>
      </c>
      <c r="C971" s="45">
        <f ca="1">(A971+B971)*((Indicadores_Economicos!D$2+1)^(1/12)-1)</f>
        <v>3.02874340101526E-11</v>
      </c>
      <c r="D971" s="18">
        <f>SUMIFS(Projetos!$G$2:$G$11,Projetos!$K$2:$K$11,"&lt;="&amp;Dados!$A971,Projetos!$N$2:$N$11,"&gt;"&amp;Dados!A971,Projetos!$D$2:$D$11,"BRL")</f>
        <v>0</v>
      </c>
      <c r="E971" s="18">
        <f t="shared" ca="1" si="60"/>
        <v>9.281918909071697E-9</v>
      </c>
      <c r="G971" s="45">
        <f t="shared" ca="1" si="63"/>
        <v>7.1166395962011873E-9</v>
      </c>
      <c r="H971" s="18">
        <f>-SUMIFS(Projetos!$F$2:$F$11,Projetos!$D$2:$D$11,"USD",Projetos!$N$2:$N$11,Dados!$A971)</f>
        <v>0</v>
      </c>
      <c r="I971" s="45">
        <f ca="1">(G971+H971)*((Indicadores_Economicos!D$2+1)^(1/12)-1)</f>
        <v>2.3298026161655846E-11</v>
      </c>
      <c r="J971" s="18">
        <f>SUMIFS(Projetos!$G$2:$G$11,Projetos!$K$2:$K$11,"&lt;="&amp;Dados!$A971,Projetos!$N$2:$N$11,"&gt;"&amp;Dados!$A971,Projetos!$D$2:$D$11,"USD")</f>
        <v>0</v>
      </c>
      <c r="K971" s="18">
        <f t="shared" ca="1" si="61"/>
        <v>7.1399376223628433E-9</v>
      </c>
    </row>
    <row r="972" spans="1:11" x14ac:dyDescent="0.2">
      <c r="A972" s="45">
        <f t="shared" ca="1" si="62"/>
        <v>9.281918909071697E-9</v>
      </c>
      <c r="B972" s="18">
        <f>-SUMIFS(Projetos!$F$2:$F$11,Projetos!$D$2:$D$11,"BRL",Projetos!$N$2:$N$11,Dados!$A972)</f>
        <v>0</v>
      </c>
      <c r="C972" s="45">
        <f ca="1">(A972+B972)*((Indicadores_Economicos!D$2+1)^(1/12)-1)</f>
        <v>3.0386587187772363E-11</v>
      </c>
      <c r="D972" s="18">
        <f>SUMIFS(Projetos!$G$2:$G$11,Projetos!$K$2:$K$11,"&lt;="&amp;Dados!$A972,Projetos!$N$2:$N$11,"&gt;"&amp;Dados!A972,Projetos!$D$2:$D$11,"BRL")</f>
        <v>0</v>
      </c>
      <c r="E972" s="18">
        <f t="shared" ca="1" si="60"/>
        <v>9.3123054962594701E-9</v>
      </c>
      <c r="G972" s="45">
        <f t="shared" ca="1" si="63"/>
        <v>7.1399376223628433E-9</v>
      </c>
      <c r="H972" s="18">
        <f>-SUMIFS(Projetos!$F$2:$F$11,Projetos!$D$2:$D$11,"USD",Projetos!$N$2:$N$11,Dados!$A972)</f>
        <v>0</v>
      </c>
      <c r="I972" s="45">
        <f ca="1">(G972+H972)*((Indicadores_Economicos!D$2+1)^(1/12)-1)</f>
        <v>2.3374297836747969E-11</v>
      </c>
      <c r="J972" s="18">
        <f>SUMIFS(Projetos!$G$2:$G$11,Projetos!$K$2:$K$11,"&lt;="&amp;Dados!$A972,Projetos!$N$2:$N$11,"&gt;"&amp;Dados!$A972,Projetos!$D$2:$D$11,"USD")</f>
        <v>0</v>
      </c>
      <c r="K972" s="18">
        <f t="shared" ca="1" si="61"/>
        <v>7.1633119201995913E-9</v>
      </c>
    </row>
    <row r="973" spans="1:11" x14ac:dyDescent="0.2">
      <c r="A973" s="45">
        <f t="shared" ca="1" si="62"/>
        <v>9.3123054962594701E-9</v>
      </c>
      <c r="B973" s="18">
        <f>-SUMIFS(Projetos!$F$2:$F$11,Projetos!$D$2:$D$11,"BRL",Projetos!$N$2:$N$11,Dados!$A973)</f>
        <v>0</v>
      </c>
      <c r="C973" s="45">
        <f ca="1">(A973+B973)*((Indicadores_Economicos!D$2+1)^(1/12)-1)</f>
        <v>3.0486064967094231E-11</v>
      </c>
      <c r="D973" s="18">
        <f>SUMIFS(Projetos!$G$2:$G$11,Projetos!$K$2:$K$11,"&lt;="&amp;Dados!$A973,Projetos!$N$2:$N$11,"&gt;"&amp;Dados!A973,Projetos!$D$2:$D$11,"BRL")</f>
        <v>0</v>
      </c>
      <c r="E973" s="18">
        <f t="shared" ca="1" si="60"/>
        <v>9.342791561226565E-9</v>
      </c>
      <c r="G973" s="45">
        <f t="shared" ca="1" si="63"/>
        <v>7.1633119201995913E-9</v>
      </c>
      <c r="H973" s="18">
        <f>-SUMIFS(Projetos!$F$2:$F$11,Projetos!$D$2:$D$11,"USD",Projetos!$N$2:$N$11,Dados!$A973)</f>
        <v>0</v>
      </c>
      <c r="I973" s="45">
        <f ca="1">(G973+H973)*((Indicadores_Economicos!D$2+1)^(1/12)-1)</f>
        <v>2.3450819205457096E-11</v>
      </c>
      <c r="J973" s="18">
        <f>SUMIFS(Projetos!$G$2:$G$11,Projetos!$K$2:$K$11,"&lt;="&amp;Dados!$A973,Projetos!$N$2:$N$11,"&gt;"&amp;Dados!$A973,Projetos!$D$2:$D$11,"USD")</f>
        <v>0</v>
      </c>
      <c r="K973" s="18">
        <f t="shared" ca="1" si="61"/>
        <v>7.1867627394050486E-9</v>
      </c>
    </row>
    <row r="974" spans="1:11" x14ac:dyDescent="0.2">
      <c r="A974" s="45">
        <f t="shared" ca="1" si="62"/>
        <v>9.342791561226565E-9</v>
      </c>
      <c r="B974" s="18">
        <f>-SUMIFS(Projetos!$F$2:$F$11,Projetos!$D$2:$D$11,"BRL",Projetos!$N$2:$N$11,Dados!$A974)</f>
        <v>0</v>
      </c>
      <c r="C974" s="45">
        <f ca="1">(A974+B974)*((Indicadores_Economicos!D$2+1)^(1/12)-1)</f>
        <v>3.0585868410779709E-11</v>
      </c>
      <c r="D974" s="18">
        <f>SUMIFS(Projetos!$G$2:$G$11,Projetos!$K$2:$K$11,"&lt;="&amp;Dados!$A974,Projetos!$N$2:$N$11,"&gt;"&amp;Dados!A974,Projetos!$D$2:$D$11,"BRL")</f>
        <v>0</v>
      </c>
      <c r="E974" s="18">
        <f t="shared" ca="1" si="60"/>
        <v>9.3733774296373455E-9</v>
      </c>
      <c r="G974" s="45">
        <f t="shared" ca="1" si="63"/>
        <v>7.1867627394050486E-9</v>
      </c>
      <c r="H974" s="18">
        <f>-SUMIFS(Projetos!$F$2:$F$11,Projetos!$D$2:$D$11,"USD",Projetos!$N$2:$N$11,Dados!$A974)</f>
        <v>0</v>
      </c>
      <c r="I974" s="45">
        <f ca="1">(G974+H974)*((Indicadores_Economicos!D$2+1)^(1/12)-1)</f>
        <v>2.3527591085215158E-11</v>
      </c>
      <c r="J974" s="18">
        <f>SUMIFS(Projetos!$G$2:$G$11,Projetos!$K$2:$K$11,"&lt;="&amp;Dados!$A974,Projetos!$N$2:$N$11,"&gt;"&amp;Dados!$A974,Projetos!$D$2:$D$11,"USD")</f>
        <v>0</v>
      </c>
      <c r="K974" s="18">
        <f t="shared" ca="1" si="61"/>
        <v>7.2102903304902641E-9</v>
      </c>
    </row>
    <row r="975" spans="1:11" x14ac:dyDescent="0.2">
      <c r="A975" s="45">
        <f t="shared" ca="1" si="62"/>
        <v>9.3733774296373455E-9</v>
      </c>
      <c r="B975" s="18">
        <f>-SUMIFS(Projetos!$F$2:$F$11,Projetos!$D$2:$D$11,"BRL",Projetos!$N$2:$N$11,Dados!$A975)</f>
        <v>0</v>
      </c>
      <c r="C975" s="45">
        <f ca="1">(A975+B975)*((Indicadores_Economicos!D$2+1)^(1/12)-1)</f>
        <v>3.0685998584969181E-11</v>
      </c>
      <c r="D975" s="18">
        <f>SUMIFS(Projetos!$G$2:$G$11,Projetos!$K$2:$K$11,"&lt;="&amp;Dados!$A975,Projetos!$N$2:$N$11,"&gt;"&amp;Dados!A975,Projetos!$D$2:$D$11,"BRL")</f>
        <v>0</v>
      </c>
      <c r="E975" s="18">
        <f t="shared" ca="1" si="60"/>
        <v>9.4040634282223153E-9</v>
      </c>
      <c r="G975" s="45">
        <f t="shared" ca="1" si="63"/>
        <v>7.2102903304902641E-9</v>
      </c>
      <c r="H975" s="18">
        <f>-SUMIFS(Projetos!$F$2:$F$11,Projetos!$D$2:$D$11,"USD",Projetos!$N$2:$N$11,Dados!$A975)</f>
        <v>0</v>
      </c>
      <c r="I975" s="45">
        <f ca="1">(G975+H975)*((Indicadores_Economicos!D$2+1)^(1/12)-1)</f>
        <v>2.3604614296130135E-11</v>
      </c>
      <c r="J975" s="18">
        <f>SUMIFS(Projetos!$G$2:$G$11,Projetos!$K$2:$K$11,"&lt;="&amp;Dados!$A975,Projetos!$N$2:$N$11,"&gt;"&amp;Dados!$A975,Projetos!$D$2:$D$11,"USD")</f>
        <v>0</v>
      </c>
      <c r="K975" s="18">
        <f t="shared" ca="1" si="61"/>
        <v>7.233894944786394E-9</v>
      </c>
    </row>
    <row r="976" spans="1:11" x14ac:dyDescent="0.2">
      <c r="A976" s="45">
        <f t="shared" ca="1" si="62"/>
        <v>9.4040634282223153E-9</v>
      </c>
      <c r="B976" s="18">
        <f>-SUMIFS(Projetos!$F$2:$F$11,Projetos!$D$2:$D$11,"BRL",Projetos!$N$2:$N$11,Dados!$A976)</f>
        <v>0</v>
      </c>
      <c r="C976" s="45">
        <f ca="1">(A976+B976)*((Indicadores_Economicos!D$2+1)^(1/12)-1)</f>
        <v>3.0786456559293299E-11</v>
      </c>
      <c r="D976" s="18">
        <f>SUMIFS(Projetos!$G$2:$G$11,Projetos!$K$2:$K$11,"&lt;="&amp;Dados!$A976,Projetos!$N$2:$N$11,"&gt;"&amp;Dados!A976,Projetos!$D$2:$D$11,"BRL")</f>
        <v>0</v>
      </c>
      <c r="E976" s="18">
        <f t="shared" ca="1" si="60"/>
        <v>9.4348498847816088E-9</v>
      </c>
      <c r="G976" s="45">
        <f t="shared" ca="1" si="63"/>
        <v>7.233894944786394E-9</v>
      </c>
      <c r="H976" s="18">
        <f>-SUMIFS(Projetos!$F$2:$F$11,Projetos!$D$2:$D$11,"USD",Projetos!$N$2:$N$11,Dados!$A976)</f>
        <v>0</v>
      </c>
      <c r="I976" s="45">
        <f ca="1">(G976+H976)*((Indicadores_Economicos!D$2+1)^(1/12)-1)</f>
        <v>2.3681889660994839E-11</v>
      </c>
      <c r="J976" s="18">
        <f>SUMIFS(Projetos!$G$2:$G$11,Projetos!$K$2:$K$11,"&lt;="&amp;Dados!$A976,Projetos!$N$2:$N$11,"&gt;"&amp;Dados!$A976,Projetos!$D$2:$D$11,"USD")</f>
        <v>0</v>
      </c>
      <c r="K976" s="18">
        <f t="shared" ca="1" si="61"/>
        <v>7.2575768344473885E-9</v>
      </c>
    </row>
    <row r="977" spans="1:11" x14ac:dyDescent="0.2">
      <c r="A977" s="45">
        <f t="shared" ca="1" si="62"/>
        <v>9.4348498847816088E-9</v>
      </c>
      <c r="B977" s="18">
        <f>-SUMIFS(Projetos!$F$2:$F$11,Projetos!$D$2:$D$11,"BRL",Projetos!$N$2:$N$11,Dados!$A977)</f>
        <v>0</v>
      </c>
      <c r="C977" s="45">
        <f ca="1">(A977+B977)*((Indicadores_Economicos!D$2+1)^(1/12)-1)</f>
        <v>3.0887243406884399E-11</v>
      </c>
      <c r="D977" s="18">
        <f>SUMIFS(Projetos!$G$2:$G$11,Projetos!$K$2:$K$11,"&lt;="&amp;Dados!$A977,Projetos!$N$2:$N$11,"&gt;"&amp;Dados!A977,Projetos!$D$2:$D$11,"BRL")</f>
        <v>0</v>
      </c>
      <c r="E977" s="18">
        <f t="shared" ca="1" si="60"/>
        <v>9.4657371281884929E-9</v>
      </c>
      <c r="G977" s="45">
        <f t="shared" ca="1" si="63"/>
        <v>7.2575768344473885E-9</v>
      </c>
      <c r="H977" s="18">
        <f>-SUMIFS(Projetos!$F$2:$F$11,Projetos!$D$2:$D$11,"USD",Projetos!$N$2:$N$11,Dados!$A977)</f>
        <v>0</v>
      </c>
      <c r="I977" s="45">
        <f ca="1">(G977+H977)*((Indicadores_Economicos!D$2+1)^(1/12)-1)</f>
        <v>2.3759418005295682E-11</v>
      </c>
      <c r="J977" s="18">
        <f>SUMIFS(Projetos!$G$2:$G$11,Projetos!$K$2:$K$11,"&lt;="&amp;Dados!$A977,Projetos!$N$2:$N$11,"&gt;"&amp;Dados!$A977,Projetos!$D$2:$D$11,"USD")</f>
        <v>0</v>
      </c>
      <c r="K977" s="18">
        <f t="shared" ca="1" si="61"/>
        <v>7.2813362524526845E-9</v>
      </c>
    </row>
    <row r="978" spans="1:11" x14ac:dyDescent="0.2">
      <c r="A978" s="45">
        <f t="shared" ca="1" si="62"/>
        <v>9.4657371281884929E-9</v>
      </c>
      <c r="B978" s="18">
        <f>-SUMIFS(Projetos!$F$2:$F$11,Projetos!$D$2:$D$11,"BRL",Projetos!$N$2:$N$11,Dados!$A978)</f>
        <v>0</v>
      </c>
      <c r="C978" s="45">
        <f ca="1">(A978+B978)*((Indicadores_Economicos!D$2+1)^(1/12)-1)</f>
        <v>3.0988360204387978E-11</v>
      </c>
      <c r="D978" s="18">
        <f>SUMIFS(Projetos!$G$2:$G$11,Projetos!$K$2:$K$11,"&lt;="&amp;Dados!$A978,Projetos!$N$2:$N$11,"&gt;"&amp;Dados!A978,Projetos!$D$2:$D$11,"BRL")</f>
        <v>0</v>
      </c>
      <c r="E978" s="18">
        <f t="shared" ca="1" si="60"/>
        <v>9.4967254883928817E-9</v>
      </c>
      <c r="G978" s="45">
        <f t="shared" ca="1" si="63"/>
        <v>7.2813362524526845E-9</v>
      </c>
      <c r="H978" s="18">
        <f>-SUMIFS(Projetos!$F$2:$F$11,Projetos!$D$2:$D$11,"USD",Projetos!$N$2:$N$11,Dados!$A978)</f>
        <v>0</v>
      </c>
      <c r="I978" s="45">
        <f ca="1">(G978+H978)*((Indicadores_Economicos!D$2+1)^(1/12)-1)</f>
        <v>2.3837200157221512E-11</v>
      </c>
      <c r="J978" s="18">
        <f>SUMIFS(Projetos!$G$2:$G$11,Projetos!$K$2:$K$11,"&lt;="&amp;Dados!$A978,Projetos!$N$2:$N$11,"&gt;"&amp;Dados!$A978,Projetos!$D$2:$D$11,"USD")</f>
        <v>0</v>
      </c>
      <c r="K978" s="18">
        <f t="shared" ca="1" si="61"/>
        <v>7.305173452609906E-9</v>
      </c>
    </row>
    <row r="979" spans="1:11" x14ac:dyDescent="0.2">
      <c r="A979" s="45">
        <f t="shared" ca="1" si="62"/>
        <v>9.4967254883928817E-9</v>
      </c>
      <c r="B979" s="18">
        <f>-SUMIFS(Projetos!$F$2:$F$11,Projetos!$D$2:$D$11,"BRL",Projetos!$N$2:$N$11,Dados!$A979)</f>
        <v>0</v>
      </c>
      <c r="C979" s="45">
        <f ca="1">(A979+B979)*((Indicadores_Economicos!D$2+1)^(1/12)-1)</f>
        <v>3.1089808031974193E-11</v>
      </c>
      <c r="D979" s="18">
        <f>SUMIFS(Projetos!$G$2:$G$11,Projetos!$K$2:$K$11,"&lt;="&amp;Dados!$A979,Projetos!$N$2:$N$11,"&gt;"&amp;Dados!A979,Projetos!$D$2:$D$11,"BRL")</f>
        <v>0</v>
      </c>
      <c r="E979" s="18">
        <f t="shared" ca="1" si="60"/>
        <v>9.5278152964248559E-9</v>
      </c>
      <c r="G979" s="45">
        <f t="shared" ca="1" si="63"/>
        <v>7.305173452609906E-9</v>
      </c>
      <c r="H979" s="18">
        <f>-SUMIFS(Projetos!$F$2:$F$11,Projetos!$D$2:$D$11,"USD",Projetos!$N$2:$N$11,Dados!$A979)</f>
        <v>0</v>
      </c>
      <c r="I979" s="45">
        <f ca="1">(G979+H979)*((Indicadores_Economicos!D$2+1)^(1/12)-1)</f>
        <v>2.3915236947672445E-11</v>
      </c>
      <c r="J979" s="18">
        <f>SUMIFS(Projetos!$G$2:$G$11,Projetos!$K$2:$K$11,"&lt;="&amp;Dados!$A979,Projetos!$N$2:$N$11,"&gt;"&amp;Dados!$A979,Projetos!$D$2:$D$11,"USD")</f>
        <v>0</v>
      </c>
      <c r="K979" s="18">
        <f t="shared" ca="1" si="61"/>
        <v>7.3290886895575784E-9</v>
      </c>
    </row>
    <row r="980" spans="1:11" x14ac:dyDescent="0.2">
      <c r="A980" s="45">
        <f t="shared" ca="1" si="62"/>
        <v>9.5278152964248559E-9</v>
      </c>
      <c r="B980" s="18">
        <f>-SUMIFS(Projetos!$F$2:$F$11,Projetos!$D$2:$D$11,"BRL",Projetos!$N$2:$N$11,Dados!$A980)</f>
        <v>0</v>
      </c>
      <c r="C980" s="45">
        <f ca="1">(A980+B980)*((Indicadores_Economicos!D$2+1)^(1/12)-1)</f>
        <v>3.1191587973349394E-11</v>
      </c>
      <c r="D980" s="18">
        <f>SUMIFS(Projetos!$G$2:$G$11,Projetos!$K$2:$K$11,"&lt;="&amp;Dados!$A980,Projetos!$N$2:$N$11,"&gt;"&amp;Dados!A980,Projetos!$D$2:$D$11,"BRL")</f>
        <v>0</v>
      </c>
      <c r="E980" s="18">
        <f t="shared" ca="1" si="60"/>
        <v>9.559006884398206E-9</v>
      </c>
      <c r="G980" s="45">
        <f t="shared" ca="1" si="63"/>
        <v>7.3290886895575784E-9</v>
      </c>
      <c r="H980" s="18">
        <f>-SUMIFS(Projetos!$F$2:$F$11,Projetos!$D$2:$D$11,"USD",Projetos!$N$2:$N$11,Dados!$A980)</f>
        <v>0</v>
      </c>
      <c r="I980" s="45">
        <f ca="1">(G980+H980)*((Indicadores_Economicos!D$2+1)^(1/12)-1)</f>
        <v>2.3993529210268754E-11</v>
      </c>
      <c r="J980" s="18">
        <f>SUMIFS(Projetos!$G$2:$G$11,Projetos!$K$2:$K$11,"&lt;="&amp;Dados!$A980,Projetos!$N$2:$N$11,"&gt;"&amp;Dados!$A980,Projetos!$D$2:$D$11,"USD")</f>
        <v>0</v>
      </c>
      <c r="K980" s="18">
        <f t="shared" ca="1" si="61"/>
        <v>7.3530822187678474E-9</v>
      </c>
    </row>
    <row r="981" spans="1:11" x14ac:dyDescent="0.2">
      <c r="A981" s="45">
        <f t="shared" ca="1" si="62"/>
        <v>9.559006884398206E-9</v>
      </c>
      <c r="B981" s="18">
        <f>-SUMIFS(Projetos!$F$2:$F$11,Projetos!$D$2:$D$11,"BRL",Projetos!$N$2:$N$11,Dados!$A981)</f>
        <v>0</v>
      </c>
      <c r="C981" s="45">
        <f ca="1">(A981+B981)*((Indicadores_Economicos!D$2+1)^(1/12)-1)</f>
        <v>3.1293701115767707E-11</v>
      </c>
      <c r="D981" s="18">
        <f>SUMIFS(Projetos!$G$2:$G$11,Projetos!$K$2:$K$11,"&lt;="&amp;Dados!$A981,Projetos!$N$2:$N$11,"&gt;"&amp;Dados!A981,Projetos!$D$2:$D$11,"BRL")</f>
        <v>0</v>
      </c>
      <c r="E981" s="18">
        <f t="shared" ca="1" si="60"/>
        <v>9.5903005855139731E-9</v>
      </c>
      <c r="G981" s="45">
        <f t="shared" ca="1" si="63"/>
        <v>7.3530822187678474E-9</v>
      </c>
      <c r="H981" s="18">
        <f>-SUMIFS(Projetos!$F$2:$F$11,Projetos!$D$2:$D$11,"USD",Projetos!$N$2:$N$11,Dados!$A981)</f>
        <v>0</v>
      </c>
      <c r="I981" s="45">
        <f ca="1">(G981+H981)*((Indicadores_Economicos!D$2+1)^(1/12)-1)</f>
        <v>2.4072077781359764E-11</v>
      </c>
      <c r="J981" s="18">
        <f>SUMIFS(Projetos!$G$2:$G$11,Projetos!$K$2:$K$11,"&lt;="&amp;Dados!$A981,Projetos!$N$2:$N$11,"&gt;"&amp;Dados!$A981,Projetos!$D$2:$D$11,"USD")</f>
        <v>0</v>
      </c>
      <c r="K981" s="18">
        <f t="shared" ca="1" si="61"/>
        <v>7.3771542965492068E-9</v>
      </c>
    </row>
    <row r="982" spans="1:11" x14ac:dyDescent="0.2">
      <c r="A982" s="45">
        <f t="shared" ca="1" si="62"/>
        <v>9.5903005855139731E-9</v>
      </c>
      <c r="B982" s="18">
        <f>-SUMIFS(Projetos!$F$2:$F$11,Projetos!$D$2:$D$11,"BRL",Projetos!$N$2:$N$11,Dados!$A982)</f>
        <v>0</v>
      </c>
      <c r="C982" s="45">
        <f ca="1">(A982+B982)*((Indicadores_Economicos!D$2+1)^(1/12)-1)</f>
        <v>3.1396148550042636E-11</v>
      </c>
      <c r="D982" s="18">
        <f>SUMIFS(Projetos!$G$2:$G$11,Projetos!$K$2:$K$11,"&lt;="&amp;Dados!$A982,Projetos!$N$2:$N$11,"&gt;"&amp;Dados!A982,Projetos!$D$2:$D$11,"BRL")</f>
        <v>0</v>
      </c>
      <c r="E982" s="18">
        <f t="shared" ca="1" si="60"/>
        <v>9.621696734064015E-9</v>
      </c>
      <c r="G982" s="45">
        <f t="shared" ca="1" si="63"/>
        <v>7.3771542965492068E-9</v>
      </c>
      <c r="H982" s="18">
        <f>-SUMIFS(Projetos!$F$2:$F$11,Projetos!$D$2:$D$11,"USD",Projetos!$N$2:$N$11,Dados!$A982)</f>
        <v>0</v>
      </c>
      <c r="I982" s="45">
        <f ca="1">(G982+H982)*((Indicadores_Economicos!D$2+1)^(1/12)-1)</f>
        <v>2.4150883500032788E-11</v>
      </c>
      <c r="J982" s="18">
        <f>SUMIFS(Projetos!$G$2:$G$11,Projetos!$K$2:$K$11,"&lt;="&amp;Dados!$A982,Projetos!$N$2:$N$11,"&gt;"&amp;Dados!$A982,Projetos!$D$2:$D$11,"USD")</f>
        <v>0</v>
      </c>
      <c r="K982" s="18">
        <f t="shared" ca="1" si="61"/>
        <v>7.40130518004924E-9</v>
      </c>
    </row>
    <row r="983" spans="1:11" x14ac:dyDescent="0.2">
      <c r="A983" s="45">
        <f t="shared" ca="1" si="62"/>
        <v>9.621696734064015E-9</v>
      </c>
      <c r="B983" s="18">
        <f>-SUMIFS(Projetos!$F$2:$F$11,Projetos!$D$2:$D$11,"BRL",Projetos!$N$2:$N$11,Dados!$A983)</f>
        <v>0</v>
      </c>
      <c r="C983" s="45">
        <f ca="1">(A983+B983)*((Indicadores_Economicos!D$2+1)^(1/12)-1)</f>
        <v>3.1498931370558734E-11</v>
      </c>
      <c r="D983" s="18">
        <f>SUMIFS(Projetos!$G$2:$G$11,Projetos!$K$2:$K$11,"&lt;="&amp;Dados!$A983,Projetos!$N$2:$N$11,"&gt;"&amp;Dados!A983,Projetos!$D$2:$D$11,"BRL")</f>
        <v>0</v>
      </c>
      <c r="E983" s="18">
        <f t="shared" ca="1" si="60"/>
        <v>9.653195665434574E-9</v>
      </c>
      <c r="G983" s="45">
        <f t="shared" ca="1" si="63"/>
        <v>7.40130518004924E-9</v>
      </c>
      <c r="H983" s="18">
        <f>-SUMIFS(Projetos!$F$2:$F$11,Projetos!$D$2:$D$11,"USD",Projetos!$N$2:$N$11,Dados!$A983)</f>
        <v>0</v>
      </c>
      <c r="I983" s="45">
        <f ca="1">(G983+H983)*((Indicadores_Economicos!D$2+1)^(1/12)-1)</f>
        <v>2.4229947208122098E-11</v>
      </c>
      <c r="J983" s="18">
        <f>SUMIFS(Projetos!$G$2:$G$11,Projetos!$K$2:$K$11,"&lt;="&amp;Dados!$A983,Projetos!$N$2:$N$11,"&gt;"&amp;Dados!$A983,Projetos!$D$2:$D$11,"USD")</f>
        <v>0</v>
      </c>
      <c r="K983" s="18">
        <f t="shared" ca="1" si="61"/>
        <v>7.4255351272573619E-9</v>
      </c>
    </row>
    <row r="984" spans="1:11" x14ac:dyDescent="0.2">
      <c r="A984" s="45">
        <f t="shared" ca="1" si="62"/>
        <v>9.653195665434574E-9</v>
      </c>
      <c r="B984" s="18">
        <f>-SUMIFS(Projetos!$F$2:$F$11,Projetos!$D$2:$D$11,"BRL",Projetos!$N$2:$N$11,Dados!$A984)</f>
        <v>0</v>
      </c>
      <c r="C984" s="45">
        <f ca="1">(A984+B984)*((Indicadores_Economicos!D$2+1)^(1/12)-1)</f>
        <v>3.1602050675283285E-11</v>
      </c>
      <c r="D984" s="18">
        <f>SUMIFS(Projetos!$G$2:$G$11,Projetos!$K$2:$K$11,"&lt;="&amp;Dados!$A984,Projetos!$N$2:$N$11,"&gt;"&amp;Dados!A984,Projetos!$D$2:$D$11,"BRL")</f>
        <v>0</v>
      </c>
      <c r="E984" s="18">
        <f t="shared" ca="1" si="60"/>
        <v>9.6847977161098573E-9</v>
      </c>
      <c r="G984" s="45">
        <f t="shared" ca="1" si="63"/>
        <v>7.4255351272573619E-9</v>
      </c>
      <c r="H984" s="18">
        <f>-SUMIFS(Projetos!$F$2:$F$11,Projetos!$D$2:$D$11,"USD",Projetos!$N$2:$N$11,Dados!$A984)</f>
        <v>0</v>
      </c>
      <c r="I984" s="45">
        <f ca="1">(G984+H984)*((Indicadores_Economicos!D$2+1)^(1/12)-1)</f>
        <v>2.4309269750217905E-11</v>
      </c>
      <c r="J984" s="18">
        <f>SUMIFS(Projetos!$G$2:$G$11,Projetos!$K$2:$K$11,"&lt;="&amp;Dados!$A984,Projetos!$N$2:$N$11,"&gt;"&amp;Dados!$A984,Projetos!$D$2:$D$11,"USD")</f>
        <v>0</v>
      </c>
      <c r="K984" s="18">
        <f t="shared" ca="1" si="61"/>
        <v>7.4498443970075796E-9</v>
      </c>
    </row>
    <row r="985" spans="1:11" x14ac:dyDescent="0.2">
      <c r="A985" s="45">
        <f t="shared" ca="1" si="62"/>
        <v>9.6847977161098573E-9</v>
      </c>
      <c r="B985" s="18">
        <f>-SUMIFS(Projetos!$F$2:$F$11,Projetos!$D$2:$D$11,"BRL",Projetos!$N$2:$N$11,Dados!$A985)</f>
        <v>0</v>
      </c>
      <c r="C985" s="45">
        <f ca="1">(A985+B985)*((Indicadores_Economicos!D$2+1)^(1/12)-1)</f>
        <v>3.170550756577803E-11</v>
      </c>
      <c r="D985" s="18">
        <f>SUMIFS(Projetos!$G$2:$G$11,Projetos!$K$2:$K$11,"&lt;="&amp;Dados!$A985,Projetos!$N$2:$N$11,"&gt;"&amp;Dados!A985,Projetos!$D$2:$D$11,"BRL")</f>
        <v>0</v>
      </c>
      <c r="E985" s="18">
        <f t="shared" ca="1" si="60"/>
        <v>9.7165032236756353E-9</v>
      </c>
      <c r="G985" s="45">
        <f t="shared" ca="1" si="63"/>
        <v>7.4498443970075796E-9</v>
      </c>
      <c r="H985" s="18">
        <f>-SUMIFS(Projetos!$F$2:$F$11,Projetos!$D$2:$D$11,"USD",Projetos!$N$2:$N$11,Dados!$A985)</f>
        <v>0</v>
      </c>
      <c r="I985" s="45">
        <f ca="1">(G985+H985)*((Indicadores_Economicos!D$2+1)^(1/12)-1)</f>
        <v>2.4388851973675396E-11</v>
      </c>
      <c r="J985" s="18">
        <f>SUMIFS(Projetos!$G$2:$G$11,Projetos!$K$2:$K$11,"&lt;="&amp;Dados!$A985,Projetos!$N$2:$N$11,"&gt;"&amp;Dados!$A985,Projetos!$D$2:$D$11,"USD")</f>
        <v>0</v>
      </c>
      <c r="K985" s="18">
        <f t="shared" ca="1" si="61"/>
        <v>7.4742332489812546E-9</v>
      </c>
    </row>
    <row r="986" spans="1:11" x14ac:dyDescent="0.2">
      <c r="A986" s="45">
        <f t="shared" ca="1" si="62"/>
        <v>9.7165032236756353E-9</v>
      </c>
      <c r="B986" s="18">
        <f>-SUMIFS(Projetos!$F$2:$F$11,Projetos!$D$2:$D$11,"BRL",Projetos!$N$2:$N$11,Dados!$A986)</f>
        <v>0</v>
      </c>
      <c r="C986" s="45">
        <f ca="1">(A986+B986)*((Indicadores_Economicos!D$2+1)^(1/12)-1)</f>
        <v>3.1809303147210926E-11</v>
      </c>
      <c r="D986" s="18">
        <f>SUMIFS(Projetos!$G$2:$G$11,Projetos!$K$2:$K$11,"&lt;="&amp;Dados!$A986,Projetos!$N$2:$N$11,"&gt;"&amp;Dados!A986,Projetos!$D$2:$D$11,"BRL")</f>
        <v>0</v>
      </c>
      <c r="E986" s="18">
        <f t="shared" ca="1" si="60"/>
        <v>9.7483125268228461E-9</v>
      </c>
      <c r="G986" s="45">
        <f t="shared" ca="1" si="63"/>
        <v>7.4742332489812546E-9</v>
      </c>
      <c r="H986" s="18">
        <f>-SUMIFS(Projetos!$F$2:$F$11,Projetos!$D$2:$D$11,"USD",Projetos!$N$2:$N$11,Dados!$A986)</f>
        <v>0</v>
      </c>
      <c r="I986" s="45">
        <f ca="1">(G986+H986)*((Indicadores_Economicos!D$2+1)^(1/12)-1)</f>
        <v>2.4468694728623777E-11</v>
      </c>
      <c r="J986" s="18">
        <f>SUMIFS(Projetos!$G$2:$G$11,Projetos!$K$2:$K$11,"&lt;="&amp;Dados!$A986,Projetos!$N$2:$N$11,"&gt;"&amp;Dados!$A986,Projetos!$D$2:$D$11,"USD")</f>
        <v>0</v>
      </c>
      <c r="K986" s="18">
        <f t="shared" ca="1" si="61"/>
        <v>7.4987019437098787E-9</v>
      </c>
    </row>
    <row r="987" spans="1:11" x14ac:dyDescent="0.2">
      <c r="A987" s="45">
        <f t="shared" ca="1" si="62"/>
        <v>9.7483125268228461E-9</v>
      </c>
      <c r="B987" s="18">
        <f>-SUMIFS(Projetos!$F$2:$F$11,Projetos!$D$2:$D$11,"BRL",Projetos!$N$2:$N$11,Dados!$A987)</f>
        <v>0</v>
      </c>
      <c r="C987" s="45">
        <f ca="1">(A987+B987)*((Indicadores_Economicos!D$2+1)^(1/12)-1)</f>
        <v>3.1913438528367972E-11</v>
      </c>
      <c r="D987" s="18">
        <f>SUMIFS(Projetos!$G$2:$G$11,Projetos!$K$2:$K$11,"&lt;="&amp;Dados!$A987,Projetos!$N$2:$N$11,"&gt;"&amp;Dados!A987,Projetos!$D$2:$D$11,"BRL")</f>
        <v>0</v>
      </c>
      <c r="E987" s="18">
        <f t="shared" ca="1" si="60"/>
        <v>9.7802259653512138E-9</v>
      </c>
      <c r="G987" s="45">
        <f t="shared" ca="1" si="63"/>
        <v>7.4987019437098787E-9</v>
      </c>
      <c r="H987" s="18">
        <f>-SUMIFS(Projetos!$F$2:$F$11,Projetos!$D$2:$D$11,"USD",Projetos!$N$2:$N$11,Dados!$A987)</f>
        <v>0</v>
      </c>
      <c r="I987" s="45">
        <f ca="1">(G987+H987)*((Indicadores_Economicos!D$2+1)^(1/12)-1)</f>
        <v>2.4548798867975354E-11</v>
      </c>
      <c r="J987" s="18">
        <f>SUMIFS(Projetos!$G$2:$G$11,Projetos!$K$2:$K$11,"&lt;="&amp;Dados!$A987,Projetos!$N$2:$N$11,"&gt;"&amp;Dados!$A987,Projetos!$D$2:$D$11,"USD")</f>
        <v>0</v>
      </c>
      <c r="K987" s="18">
        <f t="shared" ca="1" si="61"/>
        <v>7.5232507425778542E-9</v>
      </c>
    </row>
    <row r="988" spans="1:11" x14ac:dyDescent="0.2">
      <c r="A988" s="45">
        <f t="shared" ca="1" si="62"/>
        <v>9.7802259653512138E-9</v>
      </c>
      <c r="B988" s="18">
        <f>-SUMIFS(Projetos!$F$2:$F$11,Projetos!$D$2:$D$11,"BRL",Projetos!$N$2:$N$11,Dados!$A988)</f>
        <v>0</v>
      </c>
      <c r="C988" s="45">
        <f ca="1">(A988+B988)*((Indicadores_Economicos!D$2+1)^(1/12)-1)</f>
        <v>3.2017914821665051E-11</v>
      </c>
      <c r="D988" s="18">
        <f>SUMIFS(Projetos!$G$2:$G$11,Projetos!$K$2:$K$11,"&lt;="&amp;Dados!$A988,Projetos!$N$2:$N$11,"&gt;"&amp;Dados!A988,Projetos!$D$2:$D$11,"BRL")</f>
        <v>0</v>
      </c>
      <c r="E988" s="18">
        <f t="shared" ca="1" si="60"/>
        <v>9.8122438801728782E-9</v>
      </c>
      <c r="G988" s="45">
        <f t="shared" ca="1" si="63"/>
        <v>7.5232507425778542E-9</v>
      </c>
      <c r="H988" s="18">
        <f>-SUMIFS(Projetos!$F$2:$F$11,Projetos!$D$2:$D$11,"USD",Projetos!$N$2:$N$11,Dados!$A988)</f>
        <v>0</v>
      </c>
      <c r="I988" s="45">
        <f ca="1">(G988+H988)*((Indicadores_Economicos!D$2+1)^(1/12)-1)</f>
        <v>2.4629165247434646E-11</v>
      </c>
      <c r="J988" s="18">
        <f>SUMIFS(Projetos!$G$2:$G$11,Projetos!$K$2:$K$11,"&lt;="&amp;Dados!$A988,Projetos!$N$2:$N$11,"&gt;"&amp;Dados!$A988,Projetos!$D$2:$D$11,"USD")</f>
        <v>0</v>
      </c>
      <c r="K988" s="18">
        <f t="shared" ca="1" si="61"/>
        <v>7.5478799078252897E-9</v>
      </c>
    </row>
    <row r="989" spans="1:11" x14ac:dyDescent="0.2">
      <c r="A989" s="45">
        <f t="shared" ca="1" si="62"/>
        <v>9.8122438801728782E-9</v>
      </c>
      <c r="B989" s="18">
        <f>-SUMIFS(Projetos!$F$2:$F$11,Projetos!$D$2:$D$11,"BRL",Projetos!$N$2:$N$11,Dados!$A989)</f>
        <v>0</v>
      </c>
      <c r="C989" s="45">
        <f ca="1">(A989+B989)*((Indicadores_Economicos!D$2+1)^(1/12)-1)</f>
        <v>3.2122733143159789E-11</v>
      </c>
      <c r="D989" s="18">
        <f>SUMIFS(Projetos!$G$2:$G$11,Projetos!$K$2:$K$11,"&lt;="&amp;Dados!$A989,Projetos!$N$2:$N$11,"&gt;"&amp;Dados!A989,Projetos!$D$2:$D$11,"BRL")</f>
        <v>0</v>
      </c>
      <c r="E989" s="18">
        <f t="shared" ca="1" si="60"/>
        <v>9.8443666133160376E-9</v>
      </c>
      <c r="G989" s="45">
        <f t="shared" ca="1" si="63"/>
        <v>7.5478799078252897E-9</v>
      </c>
      <c r="H989" s="18">
        <f>-SUMIFS(Projetos!$F$2:$F$11,Projetos!$D$2:$D$11,"USD",Projetos!$N$2:$N$11,Dados!$A989)</f>
        <v>0</v>
      </c>
      <c r="I989" s="45">
        <f ca="1">(G989+H989)*((Indicadores_Economicos!D$2+1)^(1/12)-1)</f>
        <v>2.4709794725507525E-11</v>
      </c>
      <c r="J989" s="18">
        <f>SUMIFS(Projetos!$G$2:$G$11,Projetos!$K$2:$K$11,"&lt;="&amp;Dados!$A989,Projetos!$N$2:$N$11,"&gt;"&amp;Dados!$A989,Projetos!$D$2:$D$11,"USD")</f>
        <v>0</v>
      </c>
      <c r="K989" s="18">
        <f t="shared" ca="1" si="61"/>
        <v>7.5725897025507977E-9</v>
      </c>
    </row>
    <row r="990" spans="1:11" x14ac:dyDescent="0.2">
      <c r="A990" s="45">
        <f t="shared" ca="1" si="62"/>
        <v>9.8443666133160376E-9</v>
      </c>
      <c r="B990" s="18">
        <f>-SUMIFS(Projetos!$F$2:$F$11,Projetos!$D$2:$D$11,"BRL",Projetos!$N$2:$N$11,Dados!$A990)</f>
        <v>0</v>
      </c>
      <c r="C990" s="45">
        <f ca="1">(A990+B990)*((Indicadores_Economicos!D$2+1)^(1/12)-1)</f>
        <v>3.2227894612563511E-11</v>
      </c>
      <c r="D990" s="18">
        <f>SUMIFS(Projetos!$G$2:$G$11,Projetos!$K$2:$K$11,"&lt;="&amp;Dados!$A990,Projetos!$N$2:$N$11,"&gt;"&amp;Dados!A990,Projetos!$D$2:$D$11,"BRL")</f>
        <v>0</v>
      </c>
      <c r="E990" s="18">
        <f t="shared" ca="1" si="60"/>
        <v>9.8765945079286018E-9</v>
      </c>
      <c r="G990" s="45">
        <f t="shared" ca="1" si="63"/>
        <v>7.5725897025507977E-9</v>
      </c>
      <c r="H990" s="18">
        <f>-SUMIFS(Projetos!$F$2:$F$11,Projetos!$D$2:$D$11,"USD",Projetos!$N$2:$N$11,Dados!$A990)</f>
        <v>0</v>
      </c>
      <c r="I990" s="45">
        <f ca="1">(G990+H990)*((Indicadores_Economicos!D$2+1)^(1/12)-1)</f>
        <v>2.479068816351039E-11</v>
      </c>
      <c r="J990" s="18">
        <f>SUMIFS(Projetos!$G$2:$G$11,Projetos!$K$2:$K$11,"&lt;="&amp;Dados!$A990,Projetos!$N$2:$N$11,"&gt;"&amp;Dados!$A990,Projetos!$D$2:$D$11,"USD")</f>
        <v>0</v>
      </c>
      <c r="K990" s="18">
        <f t="shared" ca="1" si="61"/>
        <v>7.5973803907143076E-9</v>
      </c>
    </row>
    <row r="991" spans="1:11" x14ac:dyDescent="0.2">
      <c r="A991" s="45">
        <f t="shared" ca="1" si="62"/>
        <v>9.8765945079286018E-9</v>
      </c>
      <c r="B991" s="18">
        <f>-SUMIFS(Projetos!$F$2:$F$11,Projetos!$D$2:$D$11,"BRL",Projetos!$N$2:$N$11,Dados!$A991)</f>
        <v>0</v>
      </c>
      <c r="C991" s="45">
        <f ca="1">(A991+B991)*((Indicadores_Economicos!D$2+1)^(1/12)-1)</f>
        <v>3.2333400353253178E-11</v>
      </c>
      <c r="D991" s="18">
        <f>SUMIFS(Projetos!$G$2:$G$11,Projetos!$K$2:$K$11,"&lt;="&amp;Dados!$A991,Projetos!$N$2:$N$11,"&gt;"&amp;Dados!A991,Projetos!$D$2:$D$11,"BRL")</f>
        <v>0</v>
      </c>
      <c r="E991" s="18">
        <f t="shared" ca="1" si="60"/>
        <v>9.9089279082818545E-9</v>
      </c>
      <c r="G991" s="45">
        <f t="shared" ca="1" si="63"/>
        <v>7.5973803907143076E-9</v>
      </c>
      <c r="H991" s="18">
        <f>-SUMIFS(Projetos!$F$2:$F$11,Projetos!$D$2:$D$11,"USD",Projetos!$N$2:$N$11,Dados!$A991)</f>
        <v>0</v>
      </c>
      <c r="I991" s="45">
        <f ca="1">(G991+H991)*((Indicadores_Economicos!D$2+1)^(1/12)-1)</f>
        <v>2.4871846425579362E-11</v>
      </c>
      <c r="J991" s="18">
        <f>SUMIFS(Projetos!$G$2:$G$11,Projetos!$K$2:$K$11,"&lt;="&amp;Dados!$A991,Projetos!$N$2:$N$11,"&gt;"&amp;Dados!$A991,Projetos!$D$2:$D$11,"USD")</f>
        <v>0</v>
      </c>
      <c r="K991" s="18">
        <f t="shared" ca="1" si="61"/>
        <v>7.6222522371398864E-9</v>
      </c>
    </row>
    <row r="992" spans="1:11" x14ac:dyDescent="0.2">
      <c r="A992" s="45">
        <f t="shared" ca="1" si="62"/>
        <v>9.9089279082818545E-9</v>
      </c>
      <c r="B992" s="18">
        <f>-SUMIFS(Projetos!$F$2:$F$11,Projetos!$D$2:$D$11,"BRL",Projetos!$N$2:$N$11,Dados!$A992)</f>
        <v>0</v>
      </c>
      <c r="C992" s="45">
        <f ca="1">(A992+B992)*((Indicadores_Economicos!D$2+1)^(1/12)-1)</f>
        <v>3.2439251492283385E-11</v>
      </c>
      <c r="D992" s="18">
        <f>SUMIFS(Projetos!$G$2:$G$11,Projetos!$K$2:$K$11,"&lt;="&amp;Dados!$A992,Projetos!$N$2:$N$11,"&gt;"&amp;Dados!A992,Projetos!$D$2:$D$11,"BRL")</f>
        <v>0</v>
      </c>
      <c r="E992" s="18">
        <f t="shared" ca="1" si="60"/>
        <v>9.9413671597741381E-9</v>
      </c>
      <c r="G992" s="45">
        <f t="shared" ca="1" si="63"/>
        <v>7.6222522371398864E-9</v>
      </c>
      <c r="H992" s="18">
        <f>-SUMIFS(Projetos!$F$2:$F$11,Projetos!$D$2:$D$11,"USD",Projetos!$N$2:$N$11,Dados!$A992)</f>
        <v>0</v>
      </c>
      <c r="I992" s="45">
        <f ca="1">(G992+H992)*((Indicadores_Economicos!D$2+1)^(1/12)-1)</f>
        <v>2.4953270378679519E-11</v>
      </c>
      <c r="J992" s="18">
        <f>SUMIFS(Projetos!$G$2:$G$11,Projetos!$K$2:$K$11,"&lt;="&amp;Dados!$A992,Projetos!$N$2:$N$11,"&gt;"&amp;Dados!$A992,Projetos!$D$2:$D$11,"USD")</f>
        <v>0</v>
      </c>
      <c r="K992" s="18">
        <f t="shared" ca="1" si="61"/>
        <v>7.6472055075185654E-9</v>
      </c>
    </row>
    <row r="993" spans="1:11" x14ac:dyDescent="0.2">
      <c r="A993" s="45">
        <f t="shared" ca="1" si="62"/>
        <v>9.9413671597741381E-9</v>
      </c>
      <c r="B993" s="18">
        <f>-SUMIFS(Projetos!$F$2:$F$11,Projetos!$D$2:$D$11,"BRL",Projetos!$N$2:$N$11,Dados!$A993)</f>
        <v>0</v>
      </c>
      <c r="C993" s="45">
        <f ca="1">(A993+B993)*((Indicadores_Economicos!D$2+1)^(1/12)-1)</f>
        <v>3.2545449160398428E-11</v>
      </c>
      <c r="D993" s="18">
        <f>SUMIFS(Projetos!$G$2:$G$11,Projetos!$K$2:$K$11,"&lt;="&amp;Dados!$A993,Projetos!$N$2:$N$11,"&gt;"&amp;Dados!A993,Projetos!$D$2:$D$11,"BRL")</f>
        <v>0</v>
      </c>
      <c r="E993" s="18">
        <f t="shared" ca="1" si="60"/>
        <v>9.9739126089345357E-9</v>
      </c>
      <c r="G993" s="45">
        <f t="shared" ca="1" si="63"/>
        <v>7.6472055075185654E-9</v>
      </c>
      <c r="H993" s="18">
        <f>-SUMIFS(Projetos!$F$2:$F$11,Projetos!$D$2:$D$11,"USD",Projetos!$N$2:$N$11,Dados!$A993)</f>
        <v>0</v>
      </c>
      <c r="I993" s="45">
        <f ca="1">(G993+H993)*((Indicadores_Economicos!D$2+1)^(1/12)-1)</f>
        <v>2.5034960892614166E-11</v>
      </c>
      <c r="J993" s="18">
        <f>SUMIFS(Projetos!$G$2:$G$11,Projetos!$K$2:$K$11,"&lt;="&amp;Dados!$A993,Projetos!$N$2:$N$11,"&gt;"&amp;Dados!$A993,Projetos!$D$2:$D$11,"USD")</f>
        <v>0</v>
      </c>
      <c r="K993" s="18">
        <f t="shared" ca="1" si="61"/>
        <v>7.6722404684111798E-9</v>
      </c>
    </row>
    <row r="994" spans="1:11" x14ac:dyDescent="0.2">
      <c r="A994" s="45">
        <f t="shared" ca="1" si="62"/>
        <v>9.9739126089345357E-9</v>
      </c>
      <c r="B994" s="18">
        <f>-SUMIFS(Projetos!$F$2:$F$11,Projetos!$D$2:$D$11,"BRL",Projetos!$N$2:$N$11,Dados!$A994)</f>
        <v>0</v>
      </c>
      <c r="C994" s="45">
        <f ca="1">(A994+B994)*((Indicadores_Economicos!D$2+1)^(1/12)-1)</f>
        <v>3.2651994492044354E-11</v>
      </c>
      <c r="D994" s="18">
        <f>SUMIFS(Projetos!$G$2:$G$11,Projetos!$K$2:$K$11,"&lt;="&amp;Dados!$A994,Projetos!$N$2:$N$11,"&gt;"&amp;Dados!A994,Projetos!$D$2:$D$11,"BRL")</f>
        <v>0</v>
      </c>
      <c r="E994" s="18">
        <f t="shared" ca="1" si="60"/>
        <v>1.0006564603426581E-8</v>
      </c>
      <c r="G994" s="45">
        <f t="shared" ca="1" si="63"/>
        <v>7.6722404684111798E-9</v>
      </c>
      <c r="H994" s="18">
        <f>-SUMIFS(Projetos!$F$2:$F$11,Projetos!$D$2:$D$11,"USD",Projetos!$N$2:$N$11,Dados!$A994)</f>
        <v>0</v>
      </c>
      <c r="I994" s="45">
        <f ca="1">(G994+H994)*((Indicadores_Economicos!D$2+1)^(1/12)-1)</f>
        <v>2.5116918840034115E-11</v>
      </c>
      <c r="J994" s="18">
        <f>SUMIFS(Projetos!$G$2:$G$11,Projetos!$K$2:$K$11,"&lt;="&amp;Dados!$A994,Projetos!$N$2:$N$11,"&gt;"&amp;Dados!$A994,Projetos!$D$2:$D$11,"USD")</f>
        <v>0</v>
      </c>
      <c r="K994" s="18">
        <f t="shared" ca="1" si="61"/>
        <v>7.6973573872512136E-9</v>
      </c>
    </row>
    <row r="995" spans="1:11" x14ac:dyDescent="0.2">
      <c r="A995" s="45">
        <f t="shared" ca="1" si="62"/>
        <v>1.0006564603426581E-8</v>
      </c>
      <c r="B995" s="18">
        <f>-SUMIFS(Projetos!$F$2:$F$11,Projetos!$D$2:$D$11,"BRL",Projetos!$N$2:$N$11,Dados!$A995)</f>
        <v>0</v>
      </c>
      <c r="C995" s="45">
        <f ca="1">(A995+B995)*((Indicadores_Economicos!D$2+1)^(1/12)-1)</f>
        <v>3.2758888625381103E-11</v>
      </c>
      <c r="D995" s="18">
        <f>SUMIFS(Projetos!$G$2:$G$11,Projetos!$K$2:$K$11,"&lt;="&amp;Dados!$A995,Projetos!$N$2:$N$11,"&gt;"&amp;Dados!A995,Projetos!$D$2:$D$11,"BRL")</f>
        <v>0</v>
      </c>
      <c r="E995" s="18">
        <f t="shared" ca="1" si="60"/>
        <v>1.0039323492051963E-8</v>
      </c>
      <c r="G995" s="45">
        <f t="shared" ca="1" si="63"/>
        <v>7.6973573872512136E-9</v>
      </c>
      <c r="H995" s="18">
        <f>-SUMIFS(Projetos!$F$2:$F$11,Projetos!$D$2:$D$11,"USD",Projetos!$N$2:$N$11,Dados!$A995)</f>
        <v>0</v>
      </c>
      <c r="I995" s="45">
        <f ca="1">(G995+H995)*((Indicadores_Economicos!D$2+1)^(1/12)-1)</f>
        <v>2.5199145096446993E-11</v>
      </c>
      <c r="J995" s="18">
        <f>SUMIFS(Projetos!$G$2:$G$11,Projetos!$K$2:$K$11,"&lt;="&amp;Dados!$A995,Projetos!$N$2:$N$11,"&gt;"&amp;Dados!$A995,Projetos!$D$2:$D$11,"USD")</f>
        <v>0</v>
      </c>
      <c r="K995" s="18">
        <f t="shared" ca="1" si="61"/>
        <v>7.7225565323476605E-9</v>
      </c>
    </row>
    <row r="996" spans="1:11" x14ac:dyDescent="0.2">
      <c r="A996" s="45">
        <f t="shared" ca="1" si="62"/>
        <v>1.0039323492051963E-8</v>
      </c>
      <c r="B996" s="18">
        <f>-SUMIFS(Projetos!$F$2:$F$11,Projetos!$D$2:$D$11,"BRL",Projetos!$N$2:$N$11,Dados!$A996)</f>
        <v>0</v>
      </c>
      <c r="C996" s="45">
        <f ca="1">(A996+B996)*((Indicadores_Economicos!D$2+1)^(1/12)-1)</f>
        <v>3.2866132702294637E-11</v>
      </c>
      <c r="D996" s="18">
        <f>SUMIFS(Projetos!$G$2:$G$11,Projetos!$K$2:$K$11,"&lt;="&amp;Dados!$A996,Projetos!$N$2:$N$11,"&gt;"&amp;Dados!A996,Projetos!$D$2:$D$11,"BRL")</f>
        <v>0</v>
      </c>
      <c r="E996" s="18">
        <f t="shared" ca="1" si="60"/>
        <v>1.0072189624754257E-8</v>
      </c>
      <c r="G996" s="45">
        <f t="shared" ca="1" si="63"/>
        <v>7.7225565323476605E-9</v>
      </c>
      <c r="H996" s="18">
        <f>-SUMIFS(Projetos!$F$2:$F$11,Projetos!$D$2:$D$11,"USD",Projetos!$N$2:$N$11,Dados!$A996)</f>
        <v>0</v>
      </c>
      <c r="I996" s="45">
        <f ca="1">(G996+H996)*((Indicadores_Economicos!D$2+1)^(1/12)-1)</f>
        <v>2.5281640540226636E-11</v>
      </c>
      <c r="J996" s="18">
        <f>SUMIFS(Projetos!$G$2:$G$11,Projetos!$K$2:$K$11,"&lt;="&amp;Dados!$A996,Projetos!$N$2:$N$11,"&gt;"&amp;Dados!$A996,Projetos!$D$2:$D$11,"USD")</f>
        <v>0</v>
      </c>
      <c r="K996" s="18">
        <f t="shared" ca="1" si="61"/>
        <v>7.7478381728878872E-9</v>
      </c>
    </row>
    <row r="997" spans="1:11" x14ac:dyDescent="0.2">
      <c r="A997" s="45">
        <f t="shared" ca="1" si="62"/>
        <v>1.0072189624754257E-8</v>
      </c>
      <c r="B997" s="18">
        <f>-SUMIFS(Projetos!$F$2:$F$11,Projetos!$D$2:$D$11,"BRL",Projetos!$N$2:$N$11,Dados!$A997)</f>
        <v>0</v>
      </c>
      <c r="C997" s="45">
        <f ca="1">(A997+B997)*((Indicadores_Economicos!D$2+1)^(1/12)-1)</f>
        <v>3.2973727868409165E-11</v>
      </c>
      <c r="D997" s="18">
        <f>SUMIFS(Projetos!$G$2:$G$11,Projetos!$K$2:$K$11,"&lt;="&amp;Dados!$A997,Projetos!$N$2:$N$11,"&gt;"&amp;Dados!A997,Projetos!$D$2:$D$11,"BRL")</f>
        <v>0</v>
      </c>
      <c r="E997" s="18">
        <f t="shared" ca="1" si="60"/>
        <v>1.0105163352622666E-8</v>
      </c>
      <c r="G997" s="45">
        <f t="shared" ca="1" si="63"/>
        <v>7.7478381728878872E-9</v>
      </c>
      <c r="H997" s="18">
        <f>-SUMIFS(Projetos!$F$2:$F$11,Projetos!$D$2:$D$11,"USD",Projetos!$N$2:$N$11,Dados!$A997)</f>
        <v>0</v>
      </c>
      <c r="I997" s="45">
        <f ca="1">(G997+H997)*((Indicadores_Economicos!D$2+1)^(1/12)-1)</f>
        <v>2.5364406052622427E-11</v>
      </c>
      <c r="J997" s="18">
        <f>SUMIFS(Projetos!$G$2:$G$11,Projetos!$K$2:$K$11,"&lt;="&amp;Dados!$A997,Projetos!$N$2:$N$11,"&gt;"&amp;Dados!$A997,Projetos!$D$2:$D$11,"USD")</f>
        <v>0</v>
      </c>
      <c r="K997" s="18">
        <f t="shared" ca="1" si="61"/>
        <v>7.7732025789405089E-9</v>
      </c>
    </row>
    <row r="998" spans="1:11" x14ac:dyDescent="0.2">
      <c r="A998" s="45">
        <f t="shared" ca="1" si="62"/>
        <v>1.0105163352622666E-8</v>
      </c>
      <c r="B998" s="18">
        <f>-SUMIFS(Projetos!$F$2:$F$11,Projetos!$D$2:$D$11,"BRL",Projetos!$N$2:$N$11,Dados!$A998)</f>
        <v>0</v>
      </c>
      <c r="C998" s="45">
        <f ca="1">(A998+B998)*((Indicadores_Economicos!D$2+1)^(1/12)-1)</f>
        <v>3.308167527309938E-11</v>
      </c>
      <c r="D998" s="18">
        <f>SUMIFS(Projetos!$G$2:$G$11,Projetos!$K$2:$K$11,"&lt;="&amp;Dados!$A998,Projetos!$N$2:$N$11,"&gt;"&amp;Dados!A998,Projetos!$D$2:$D$11,"BRL")</f>
        <v>0</v>
      </c>
      <c r="E998" s="18">
        <f t="shared" ca="1" si="60"/>
        <v>1.0138245027895764E-8</v>
      </c>
      <c r="G998" s="45">
        <f t="shared" ca="1" si="63"/>
        <v>7.7732025789405089E-9</v>
      </c>
      <c r="H998" s="18">
        <f>-SUMIFS(Projetos!$F$2:$F$11,Projetos!$D$2:$D$11,"USD",Projetos!$N$2:$N$11,Dados!$A998)</f>
        <v>0</v>
      </c>
      <c r="I998" s="45">
        <f ca="1">(G998+H998)*((Indicadores_Economicos!D$2+1)^(1/12)-1)</f>
        <v>2.5447442517768741E-11</v>
      </c>
      <c r="J998" s="18">
        <f>SUMIFS(Projetos!$G$2:$G$11,Projetos!$K$2:$K$11,"&lt;="&amp;Dados!$A998,Projetos!$N$2:$N$11,"&gt;"&amp;Dados!$A998,Projetos!$D$2:$D$11,"USD")</f>
        <v>0</v>
      </c>
      <c r="K998" s="18">
        <f t="shared" ca="1" si="61"/>
        <v>7.7986500214582779E-9</v>
      </c>
    </row>
    <row r="999" spans="1:11" x14ac:dyDescent="0.2">
      <c r="A999" s="45">
        <f t="shared" ca="1" si="62"/>
        <v>1.0138245027895764E-8</v>
      </c>
      <c r="B999" s="18">
        <f>-SUMIFS(Projetos!$F$2:$F$11,Projetos!$D$2:$D$11,"BRL",Projetos!$N$2:$N$11,Dados!$A999)</f>
        <v>0</v>
      </c>
      <c r="C999" s="45">
        <f ca="1">(A999+B999)*((Indicadores_Economicos!D$2+1)^(1/12)-1)</f>
        <v>3.318997606950271E-11</v>
      </c>
      <c r="D999" s="18">
        <f>SUMIFS(Projetos!$G$2:$G$11,Projetos!$K$2:$K$11,"&lt;="&amp;Dados!$A999,Projetos!$N$2:$N$11,"&gt;"&amp;Dados!A999,Projetos!$D$2:$D$11,"BRL")</f>
        <v>0</v>
      </c>
      <c r="E999" s="18">
        <f t="shared" ca="1" si="60"/>
        <v>1.0171435003965268E-8</v>
      </c>
      <c r="G999" s="45">
        <f t="shared" ca="1" si="63"/>
        <v>7.7986500214582779E-9</v>
      </c>
      <c r="H999" s="18">
        <f>-SUMIFS(Projetos!$F$2:$F$11,Projetos!$D$2:$D$11,"USD",Projetos!$N$2:$N$11,Dados!$A999)</f>
        <v>0</v>
      </c>
      <c r="I999" s="45">
        <f ca="1">(G999+H999)*((Indicadores_Economicos!D$2+1)^(1/12)-1)</f>
        <v>2.5530750822694384E-11</v>
      </c>
      <c r="J999" s="18">
        <f>SUMIFS(Projetos!$G$2:$G$11,Projetos!$K$2:$K$11,"&lt;="&amp;Dados!$A999,Projetos!$N$2:$N$11,"&gt;"&amp;Dados!$A999,Projetos!$D$2:$D$11,"USD")</f>
        <v>0</v>
      </c>
      <c r="K999" s="18">
        <f t="shared" ca="1" si="61"/>
        <v>7.8241807722809717E-9</v>
      </c>
    </row>
    <row r="1000" spans="1:11" x14ac:dyDescent="0.2">
      <c r="A1000" s="45">
        <f t="shared" ca="1" si="62"/>
        <v>1.0171435003965268E-8</v>
      </c>
      <c r="B1000" s="18">
        <f>-SUMIFS(Projetos!$F$2:$F$11,Projetos!$D$2:$D$11,"BRL",Projetos!$N$2:$N$11,Dados!$A1000)</f>
        <v>0</v>
      </c>
      <c r="C1000" s="45">
        <f ca="1">(A1000+B1000)*((Indicadores_Economicos!D$2+1)^(1/12)-1)</f>
        <v>3.3298631414531672E-11</v>
      </c>
      <c r="D1000" s="18">
        <f>SUMIFS(Projetos!$G$2:$G$11,Projetos!$K$2:$K$11,"&lt;="&amp;Dados!$A1000,Projetos!$N$2:$N$11,"&gt;"&amp;Dados!A1000,Projetos!$D$2:$D$11,"BRL")</f>
        <v>0</v>
      </c>
      <c r="E1000" s="18">
        <f t="shared" ca="1" si="60"/>
        <v>1.0204733635379799E-8</v>
      </c>
      <c r="G1000" s="45">
        <f t="shared" ca="1" si="63"/>
        <v>7.8241807722809717E-9</v>
      </c>
      <c r="H1000" s="18">
        <f>-SUMIFS(Projetos!$F$2:$F$11,Projetos!$D$2:$D$11,"USD",Projetos!$N$2:$N$11,Dados!$A1000)</f>
        <v>0</v>
      </c>
      <c r="I1000" s="45">
        <f ca="1">(G1000+H1000)*((Indicadores_Economicos!D$2+1)^(1/12)-1)</f>
        <v>2.5614331857332042E-11</v>
      </c>
      <c r="J1000" s="18">
        <f>SUMIFS(Projetos!$G$2:$G$11,Projetos!$K$2:$K$11,"&lt;="&amp;Dados!$A1000,Projetos!$N$2:$N$11,"&gt;"&amp;Dados!$A1000,Projetos!$D$2:$D$11,"USD")</f>
        <v>0</v>
      </c>
      <c r="K1000" s="18">
        <f t="shared" ca="1" si="61"/>
        <v>7.8497951041383036E-9</v>
      </c>
    </row>
    <row r="1001" spans="1:11" x14ac:dyDescent="0.2">
      <c r="A1001" s="45">
        <f t="shared" ca="1" si="62"/>
        <v>1.0204733635379799E-8</v>
      </c>
      <c r="B1001" s="18">
        <f>-SUMIFS(Projetos!$F$2:$F$11,Projetos!$D$2:$D$11,"BRL",Projetos!$N$2:$N$11,Dados!$A1001)</f>
        <v>0</v>
      </c>
      <c r="C1001" s="45">
        <f ca="1">(A1001+B1001)*((Indicadores_Economicos!D$2+1)^(1/12)-1)</f>
        <v>3.3407642468886199E-11</v>
      </c>
      <c r="D1001" s="18">
        <f>SUMIFS(Projetos!$G$2:$G$11,Projetos!$K$2:$K$11,"&lt;="&amp;Dados!$A1001,Projetos!$N$2:$N$11,"&gt;"&amp;Dados!A1001,Projetos!$D$2:$D$11,"BRL")</f>
        <v>0</v>
      </c>
      <c r="E1001" s="18">
        <f t="shared" ca="1" si="60"/>
        <v>1.0238141277848685E-8</v>
      </c>
      <c r="G1001" s="45">
        <f t="shared" ca="1" si="63"/>
        <v>7.8497951041383036E-9</v>
      </c>
      <c r="H1001" s="18">
        <f>-SUMIFS(Projetos!$F$2:$F$11,Projetos!$D$2:$D$11,"USD",Projetos!$N$2:$N$11,Dados!$A1001)</f>
        <v>0</v>
      </c>
      <c r="I1001" s="45">
        <f ca="1">(G1001+H1001)*((Indicadores_Economicos!D$2+1)^(1/12)-1)</f>
        <v>2.5698186514527834E-11</v>
      </c>
      <c r="J1001" s="18">
        <f>SUMIFS(Projetos!$G$2:$G$11,Projetos!$K$2:$K$11,"&lt;="&amp;Dados!$A1001,Projetos!$N$2:$N$11,"&gt;"&amp;Dados!$A1001,Projetos!$D$2:$D$11,"USD")</f>
        <v>0</v>
      </c>
      <c r="K1001" s="18">
        <f t="shared" ca="1" si="61"/>
        <v>7.8754932906528321E-9</v>
      </c>
    </row>
    <row r="1002" spans="1:11" x14ac:dyDescent="0.2">
      <c r="A1002" s="45">
        <f t="shared" ca="1" si="62"/>
        <v>1.0238141277848685E-8</v>
      </c>
      <c r="B1002" s="18">
        <f>-SUMIFS(Projetos!$F$2:$F$11,Projetos!$D$2:$D$11,"BRL",Projetos!$N$2:$N$11,Dados!$A1002)</f>
        <v>0</v>
      </c>
      <c r="C1002" s="45">
        <f ca="1">(A1002+B1002)*((Indicadores_Economicos!D$2+1)^(1/12)-1)</f>
        <v>3.3517010397066072E-11</v>
      </c>
      <c r="D1002" s="18">
        <f>SUMIFS(Projetos!$G$2:$G$11,Projetos!$K$2:$K$11,"&lt;="&amp;Dados!$A1002,Projetos!$N$2:$N$11,"&gt;"&amp;Dados!A1002,Projetos!$D$2:$D$11,"BRL")</f>
        <v>0</v>
      </c>
      <c r="E1002" s="18">
        <f t="shared" ca="1" si="60"/>
        <v>1.0271658288245751E-8</v>
      </c>
      <c r="G1002" s="45">
        <f t="shared" ca="1" si="63"/>
        <v>7.8754932906528321E-9</v>
      </c>
      <c r="H1002" s="18">
        <f>-SUMIFS(Projetos!$F$2:$F$11,Projetos!$D$2:$D$11,"USD",Projetos!$N$2:$N$11,Dados!$A1002)</f>
        <v>0</v>
      </c>
      <c r="I1002" s="45">
        <f ca="1">(G1002+H1002)*((Indicadores_Economicos!D$2+1)^(1/12)-1)</f>
        <v>2.5782315690050813E-11</v>
      </c>
      <c r="J1002" s="18">
        <f>SUMIFS(Projetos!$G$2:$G$11,Projetos!$K$2:$K$11,"&lt;="&amp;Dados!$A1002,Projetos!$N$2:$N$11,"&gt;"&amp;Dados!$A1002,Projetos!$D$2:$D$11,"USD")</f>
        <v>0</v>
      </c>
      <c r="K1002" s="18">
        <f t="shared" ca="1" si="61"/>
        <v>7.9012756063428831E-9</v>
      </c>
    </row>
    <row r="1003" spans="1:11" x14ac:dyDescent="0.2">
      <c r="A1003" s="45">
        <f t="shared" ca="1" si="62"/>
        <v>1.0271658288245751E-8</v>
      </c>
      <c r="B1003" s="18">
        <f>-SUMIFS(Projetos!$F$2:$F$11,Projetos!$D$2:$D$11,"BRL",Projetos!$N$2:$N$11,Dados!$A1003)</f>
        <v>0</v>
      </c>
      <c r="C1003" s="45">
        <f ca="1">(A1003+B1003)*((Indicadores_Economicos!D$2+1)^(1/12)-1)</f>
        <v>3.3626736367383319E-11</v>
      </c>
      <c r="D1003" s="18">
        <f>SUMIFS(Projetos!$G$2:$G$11,Projetos!$K$2:$K$11,"&lt;="&amp;Dados!$A1003,Projetos!$N$2:$N$11,"&gt;"&amp;Dados!A1003,Projetos!$D$2:$D$11,"BRL")</f>
        <v>0</v>
      </c>
      <c r="E1003" s="18">
        <f t="shared" ca="1" si="60"/>
        <v>1.0305285024613135E-8</v>
      </c>
      <c r="G1003" s="45">
        <f t="shared" ca="1" si="63"/>
        <v>7.9012756063428831E-9</v>
      </c>
      <c r="H1003" s="18">
        <f>-SUMIFS(Projetos!$F$2:$F$11,Projetos!$D$2:$D$11,"USD",Projetos!$N$2:$N$11,Dados!$A1003)</f>
        <v>0</v>
      </c>
      <c r="I1003" s="45">
        <f ca="1">(G1003+H1003)*((Indicadores_Economicos!D$2+1)^(1/12)-1)</f>
        <v>2.5866720282602547E-11</v>
      </c>
      <c r="J1003" s="18">
        <f>SUMIFS(Projetos!$G$2:$G$11,Projetos!$K$2:$K$11,"&lt;="&amp;Dados!$A1003,Projetos!$N$2:$N$11,"&gt;"&amp;Dados!$A1003,Projetos!$D$2:$D$11,"USD")</f>
        <v>0</v>
      </c>
      <c r="K1003" s="18">
        <f t="shared" ca="1" si="61"/>
        <v>7.9271423266254859E-9</v>
      </c>
    </row>
    <row r="1004" spans="1:11" x14ac:dyDescent="0.2">
      <c r="A1004" s="45">
        <f t="shared" ca="1" si="62"/>
        <v>1.0305285024613135E-8</v>
      </c>
      <c r="B1004" s="18">
        <f>-SUMIFS(Projetos!$F$2:$F$11,Projetos!$D$2:$D$11,"BRL",Projetos!$N$2:$N$11,Dados!$A1004)</f>
        <v>0</v>
      </c>
      <c r="C1004" s="45">
        <f ca="1">(A1004+B1004)*((Indicadores_Economicos!D$2+1)^(1/12)-1)</f>
        <v>3.3736821551974739E-11</v>
      </c>
      <c r="D1004" s="18">
        <f>SUMIFS(Projetos!$G$2:$G$11,Projetos!$K$2:$K$11,"&lt;="&amp;Dados!$A1004,Projetos!$N$2:$N$11,"&gt;"&amp;Dados!A1004,Projetos!$D$2:$D$11,"BRL")</f>
        <v>0</v>
      </c>
      <c r="E1004" s="18">
        <f t="shared" ca="1" si="60"/>
        <v>1.033902184616511E-8</v>
      </c>
      <c r="G1004" s="45">
        <f t="shared" ca="1" si="63"/>
        <v>7.9271423266254859E-9</v>
      </c>
      <c r="H1004" s="18">
        <f>-SUMIFS(Projetos!$F$2:$F$11,Projetos!$D$2:$D$11,"USD",Projetos!$N$2:$N$11,Dados!$A1004)</f>
        <v>0</v>
      </c>
      <c r="I1004" s="45">
        <f ca="1">(G1004+H1004)*((Indicadores_Economicos!D$2+1)^(1/12)-1)</f>
        <v>2.5951401193826715E-11</v>
      </c>
      <c r="J1004" s="18">
        <f>SUMIFS(Projetos!$G$2:$G$11,Projetos!$K$2:$K$11,"&lt;="&amp;Dados!$A1004,Projetos!$N$2:$N$11,"&gt;"&amp;Dados!$A1004,Projetos!$D$2:$D$11,"USD")</f>
        <v>0</v>
      </c>
      <c r="K1004" s="18">
        <f t="shared" ca="1" si="61"/>
        <v>7.9530937278193134E-9</v>
      </c>
    </row>
    <row r="1005" spans="1:11" x14ac:dyDescent="0.2">
      <c r="A1005" s="45">
        <f t="shared" ca="1" si="62"/>
        <v>1.033902184616511E-8</v>
      </c>
      <c r="B1005" s="18">
        <f>-SUMIFS(Projetos!$F$2:$F$11,Projetos!$D$2:$D$11,"BRL",Projetos!$N$2:$N$11,Dados!$A1005)</f>
        <v>0</v>
      </c>
      <c r="C1005" s="45">
        <f ca="1">(A1005+B1005)*((Indicadores_Economicos!D$2+1)^(1/12)-1)</f>
        <v>3.3847267126814385E-11</v>
      </c>
      <c r="D1005" s="18">
        <f>SUMIFS(Projetos!$G$2:$G$11,Projetos!$K$2:$K$11,"&lt;="&amp;Dados!$A1005,Projetos!$N$2:$N$11,"&gt;"&amp;Dados!A1005,Projetos!$D$2:$D$11,"BRL")</f>
        <v>0</v>
      </c>
      <c r="E1005" s="18">
        <f t="shared" ca="1" si="60"/>
        <v>1.0372869113291925E-8</v>
      </c>
      <c r="G1005" s="45">
        <f t="shared" ca="1" si="63"/>
        <v>7.9530937278193134E-9</v>
      </c>
      <c r="H1005" s="18">
        <f>-SUMIFS(Projetos!$F$2:$F$11,Projetos!$D$2:$D$11,"USD",Projetos!$N$2:$N$11,Dados!$A1005)</f>
        <v>0</v>
      </c>
      <c r="I1005" s="45">
        <f ca="1">(G1005+H1005)*((Indicadores_Economicos!D$2+1)^(1/12)-1)</f>
        <v>2.6036359328318751E-11</v>
      </c>
      <c r="J1005" s="18">
        <f>SUMIFS(Projetos!$G$2:$G$11,Projetos!$K$2:$K$11,"&lt;="&amp;Dados!$A1005,Projetos!$N$2:$N$11,"&gt;"&amp;Dados!$A1005,Projetos!$D$2:$D$11,"USD")</f>
        <v>0</v>
      </c>
      <c r="K1005" s="18">
        <f t="shared" ca="1" si="61"/>
        <v>7.9791300871476316E-9</v>
      </c>
    </row>
    <row r="1006" spans="1:11" x14ac:dyDescent="0.2">
      <c r="A1006" s="45">
        <f t="shared" ca="1" si="62"/>
        <v>1.0372869113291925E-8</v>
      </c>
      <c r="B1006" s="18">
        <f>-SUMIFS(Projetos!$F$2:$F$11,Projetos!$D$2:$D$11,"BRL",Projetos!$N$2:$N$11,Dados!$A1006)</f>
        <v>0</v>
      </c>
      <c r="C1006" s="45">
        <f ca="1">(A1006+B1006)*((Indicadores_Economicos!D$2+1)^(1/12)-1)</f>
        <v>3.3958074271726154E-11</v>
      </c>
      <c r="D1006" s="18">
        <f>SUMIFS(Projetos!$G$2:$G$11,Projetos!$K$2:$K$11,"&lt;="&amp;Dados!$A1006,Projetos!$N$2:$N$11,"&gt;"&amp;Dados!A1006,Projetos!$D$2:$D$11,"BRL")</f>
        <v>0</v>
      </c>
      <c r="E1006" s="18">
        <f t="shared" ca="1" si="60"/>
        <v>1.040682718756365E-8</v>
      </c>
      <c r="G1006" s="45">
        <f t="shared" ca="1" si="63"/>
        <v>7.9791300871476316E-9</v>
      </c>
      <c r="H1006" s="18">
        <f>-SUMIFS(Projetos!$F$2:$F$11,Projetos!$D$2:$D$11,"USD",Projetos!$N$2:$N$11,Dados!$A1006)</f>
        <v>0</v>
      </c>
      <c r="I1006" s="45">
        <f ca="1">(G1006+H1006)*((Indicadores_Economicos!D$2+1)^(1/12)-1)</f>
        <v>2.6121595593635494E-11</v>
      </c>
      <c r="J1006" s="18">
        <f>SUMIFS(Projetos!$G$2:$G$11,Projetos!$K$2:$K$11,"&lt;="&amp;Dados!$A1006,Projetos!$N$2:$N$11,"&gt;"&amp;Dados!$A1006,Projetos!$D$2:$D$11,"USD")</f>
        <v>0</v>
      </c>
      <c r="K1006" s="18">
        <f t="shared" ca="1" si="61"/>
        <v>8.0052516827412673E-9</v>
      </c>
    </row>
    <row r="1007" spans="1:11" x14ac:dyDescent="0.2">
      <c r="A1007" s="45">
        <f t="shared" ca="1" si="62"/>
        <v>1.040682718756365E-8</v>
      </c>
      <c r="B1007" s="18">
        <f>-SUMIFS(Projetos!$F$2:$F$11,Projetos!$D$2:$D$11,"BRL",Projetos!$N$2:$N$11,Dados!$A1007)</f>
        <v>0</v>
      </c>
      <c r="C1007" s="45">
        <f ca="1">(A1007+B1007)*((Indicadores_Economicos!D$2+1)^(1/12)-1)</f>
        <v>3.4069244170396364E-11</v>
      </c>
      <c r="D1007" s="18">
        <f>SUMIFS(Projetos!$G$2:$G$11,Projetos!$K$2:$K$11,"&lt;="&amp;Dados!$A1007,Projetos!$N$2:$N$11,"&gt;"&amp;Dados!A1007,Projetos!$D$2:$D$11,"BRL")</f>
        <v>0</v>
      </c>
      <c r="E1007" s="18">
        <f t="shared" ca="1" si="60"/>
        <v>1.0440896431734047E-8</v>
      </c>
      <c r="G1007" s="45">
        <f t="shared" ca="1" si="63"/>
        <v>8.0052516827412673E-9</v>
      </c>
      <c r="H1007" s="18">
        <f>-SUMIFS(Projetos!$F$2:$F$11,Projetos!$D$2:$D$11,"USD",Projetos!$N$2:$N$11,Dados!$A1007)</f>
        <v>0</v>
      </c>
      <c r="I1007" s="45">
        <f ca="1">(G1007+H1007)*((Indicadores_Economicos!D$2+1)^(1/12)-1)</f>
        <v>2.6207110900304889E-11</v>
      </c>
      <c r="J1007" s="18">
        <f>SUMIFS(Projetos!$G$2:$G$11,Projetos!$K$2:$K$11,"&lt;="&amp;Dados!$A1007,Projetos!$N$2:$N$11,"&gt;"&amp;Dados!$A1007,Projetos!$D$2:$D$11,"USD")</f>
        <v>0</v>
      </c>
      <c r="K1007" s="18">
        <f t="shared" ca="1" si="61"/>
        <v>8.0314587936415717E-9</v>
      </c>
    </row>
    <row r="1008" spans="1:11" x14ac:dyDescent="0.2">
      <c r="A1008" s="45">
        <f t="shared" ca="1" si="62"/>
        <v>1.0440896431734047E-8</v>
      </c>
      <c r="B1008" s="18">
        <f>-SUMIFS(Projetos!$F$2:$F$11,Projetos!$D$2:$D$11,"BRL",Projetos!$N$2:$N$11,Dados!$A1008)</f>
        <v>0</v>
      </c>
      <c r="C1008" s="45">
        <f ca="1">(A1008+B1008)*((Indicadores_Economicos!D$2+1)^(1/12)-1)</f>
        <v>3.4180778010386443E-11</v>
      </c>
      <c r="D1008" s="18">
        <f>SUMIFS(Projetos!$G$2:$G$11,Projetos!$K$2:$K$11,"&lt;="&amp;Dados!$A1008,Projetos!$N$2:$N$11,"&gt;"&amp;Dados!A1008,Projetos!$D$2:$D$11,"BRL")</f>
        <v>0</v>
      </c>
      <c r="E1008" s="18">
        <f t="shared" ca="1" si="60"/>
        <v>1.0475077209744433E-8</v>
      </c>
      <c r="G1008" s="45">
        <f t="shared" ca="1" si="63"/>
        <v>8.0314587936415717E-9</v>
      </c>
      <c r="H1008" s="18">
        <f>-SUMIFS(Projetos!$F$2:$F$11,Projetos!$D$2:$D$11,"USD",Projetos!$N$2:$N$11,Dados!$A1008)</f>
        <v>0</v>
      </c>
      <c r="I1008" s="45">
        <f ca="1">(G1008+H1008)*((Indicadores_Economicos!D$2+1)^(1/12)-1)</f>
        <v>2.6292906161835717E-11</v>
      </c>
      <c r="J1008" s="18">
        <f>SUMIFS(Projetos!$G$2:$G$11,Projetos!$K$2:$K$11,"&lt;="&amp;Dados!$A1008,Projetos!$N$2:$N$11,"&gt;"&amp;Dados!$A1008,Projetos!$D$2:$D$11,"USD")</f>
        <v>0</v>
      </c>
      <c r="K1008" s="18">
        <f t="shared" ca="1" si="61"/>
        <v>8.0577516998034076E-9</v>
      </c>
    </row>
    <row r="1009" spans="1:11" x14ac:dyDescent="0.2">
      <c r="A1009" s="45">
        <f t="shared" ca="1" si="62"/>
        <v>1.0475077209744433E-8</v>
      </c>
      <c r="B1009" s="18">
        <f>-SUMIFS(Projetos!$F$2:$F$11,Projetos!$D$2:$D$11,"BRL",Projetos!$N$2:$N$11,Dados!$A1009)</f>
        <v>0</v>
      </c>
      <c r="C1009" s="45">
        <f ca="1">(A1009+B1009)*((Indicadores_Economicos!D$2+1)^(1/12)-1)</f>
        <v>3.4292676983145555E-11</v>
      </c>
      <c r="D1009" s="18">
        <f>SUMIFS(Projetos!$G$2:$G$11,Projetos!$K$2:$K$11,"&lt;="&amp;Dados!$A1009,Projetos!$N$2:$N$11,"&gt;"&amp;Dados!A1009,Projetos!$D$2:$D$11,"BRL")</f>
        <v>0</v>
      </c>
      <c r="E1009" s="18">
        <f t="shared" ca="1" si="60"/>
        <v>1.0509369886727578E-8</v>
      </c>
      <c r="G1009" s="45">
        <f t="shared" ca="1" si="63"/>
        <v>8.0577516998034076E-9</v>
      </c>
      <c r="H1009" s="18">
        <f>-SUMIFS(Projetos!$F$2:$F$11,Projetos!$D$2:$D$11,"USD",Projetos!$N$2:$N$11,Dados!$A1009)</f>
        <v>0</v>
      </c>
      <c r="I1009" s="45">
        <f ca="1">(G1009+H1009)*((Indicadores_Economicos!D$2+1)^(1/12)-1)</f>
        <v>2.6378982294727342E-11</v>
      </c>
      <c r="J1009" s="18">
        <f>SUMIFS(Projetos!$G$2:$G$11,Projetos!$K$2:$K$11,"&lt;="&amp;Dados!$A1009,Projetos!$N$2:$N$11,"&gt;"&amp;Dados!$A1009,Projetos!$D$2:$D$11,"USD")</f>
        <v>0</v>
      </c>
      <c r="K1009" s="18">
        <f t="shared" ca="1" si="61"/>
        <v>8.0841306820981358E-9</v>
      </c>
    </row>
    <row r="1010" spans="1:11" x14ac:dyDescent="0.2">
      <c r="A1010" s="45">
        <f t="shared" ca="1" si="62"/>
        <v>1.0509369886727578E-8</v>
      </c>
      <c r="B1010" s="18">
        <f>-SUMIFS(Projetos!$F$2:$F$11,Projetos!$D$2:$D$11,"BRL",Projetos!$N$2:$N$11,Dados!$A1010)</f>
        <v>0</v>
      </c>
      <c r="C1010" s="45">
        <f ca="1">(A1010+B1010)*((Indicadores_Economicos!D$2+1)^(1/12)-1)</f>
        <v>3.4404942284023374E-11</v>
      </c>
      <c r="D1010" s="18">
        <f>SUMIFS(Projetos!$G$2:$G$11,Projetos!$K$2:$K$11,"&lt;="&amp;Dados!$A1010,Projetos!$N$2:$N$11,"&gt;"&amp;Dados!A1010,Projetos!$D$2:$D$11,"BRL")</f>
        <v>0</v>
      </c>
      <c r="E1010" s="18">
        <f t="shared" ca="1" si="60"/>
        <v>1.0543774829011601E-8</v>
      </c>
      <c r="G1010" s="45">
        <f t="shared" ca="1" si="63"/>
        <v>8.0841306820981358E-9</v>
      </c>
      <c r="H1010" s="18">
        <f>-SUMIFS(Projetos!$F$2:$F$11,Projetos!$D$2:$D$11,"USD",Projetos!$N$2:$N$11,Dados!$A1010)</f>
        <v>0</v>
      </c>
      <c r="I1010" s="45">
        <f ca="1">(G1010+H1010)*((Indicadores_Economicos!D$2+1)^(1/12)-1)</f>
        <v>2.6465340218479514E-11</v>
      </c>
      <c r="J1010" s="18">
        <f>SUMIFS(Projetos!$G$2:$G$11,Projetos!$K$2:$K$11,"&lt;="&amp;Dados!$A1010,Projetos!$N$2:$N$11,"&gt;"&amp;Dados!$A1010,Projetos!$D$2:$D$11,"USD")</f>
        <v>0</v>
      </c>
      <c r="K1010" s="18">
        <f t="shared" ca="1" si="61"/>
        <v>8.1105960223166158E-9</v>
      </c>
    </row>
    <row r="1011" spans="1:11" x14ac:dyDescent="0.2">
      <c r="A1011" s="45">
        <f t="shared" ca="1" si="62"/>
        <v>1.0543774829011601E-8</v>
      </c>
      <c r="B1011" s="18">
        <f>-SUMIFS(Projetos!$F$2:$F$11,Projetos!$D$2:$D$11,"BRL",Projetos!$N$2:$N$11,Dados!$A1011)</f>
        <v>0</v>
      </c>
      <c r="C1011" s="45">
        <f ca="1">(A1011+B1011)*((Indicadores_Economicos!D$2+1)^(1/12)-1)</f>
        <v>3.4517575112282837E-11</v>
      </c>
      <c r="D1011" s="18">
        <f>SUMIFS(Projetos!$G$2:$G$11,Projetos!$K$2:$K$11,"&lt;="&amp;Dados!$A1011,Projetos!$N$2:$N$11,"&gt;"&amp;Dados!A1011,Projetos!$D$2:$D$11,"BRL")</f>
        <v>0</v>
      </c>
      <c r="E1011" s="18">
        <f t="shared" ca="1" si="60"/>
        <v>1.0578292404123884E-8</v>
      </c>
      <c r="G1011" s="45">
        <f t="shared" ca="1" si="63"/>
        <v>8.1105960223166158E-9</v>
      </c>
      <c r="H1011" s="18">
        <f>-SUMIFS(Projetos!$F$2:$F$11,Projetos!$D$2:$D$11,"USD",Projetos!$N$2:$N$11,Dados!$A1011)</f>
        <v>0</v>
      </c>
      <c r="I1011" s="45">
        <f ca="1">(G1011+H1011)*((Indicadores_Economicos!D$2+1)^(1/12)-1)</f>
        <v>2.655198085560218E-11</v>
      </c>
      <c r="J1011" s="18">
        <f>SUMIFS(Projetos!$G$2:$G$11,Projetos!$K$2:$K$11,"&lt;="&amp;Dados!$A1011,Projetos!$N$2:$N$11,"&gt;"&amp;Dados!$A1011,Projetos!$D$2:$D$11,"USD")</f>
        <v>0</v>
      </c>
      <c r="K1011" s="18">
        <f t="shared" ca="1" si="61"/>
        <v>8.1371480031722173E-9</v>
      </c>
    </row>
    <row r="1012" spans="1:11" x14ac:dyDescent="0.2">
      <c r="A1012" s="45">
        <f t="shared" ca="1" si="62"/>
        <v>1.0578292404123884E-8</v>
      </c>
      <c r="B1012" s="18">
        <f>-SUMIFS(Projetos!$F$2:$F$11,Projetos!$D$2:$D$11,"BRL",Projetos!$N$2:$N$11,Dados!$A1012)</f>
        <v>0</v>
      </c>
      <c r="C1012" s="45">
        <f ca="1">(A1012+B1012)*((Indicadores_Economicos!D$2+1)^(1/12)-1)</f>
        <v>3.4630576671112954E-11</v>
      </c>
      <c r="D1012" s="18">
        <f>SUMIFS(Projetos!$G$2:$G$11,Projetos!$K$2:$K$11,"&lt;="&amp;Dados!$A1012,Projetos!$N$2:$N$11,"&gt;"&amp;Dados!A1012,Projetos!$D$2:$D$11,"BRL")</f>
        <v>0</v>
      </c>
      <c r="E1012" s="18">
        <f t="shared" ca="1" si="60"/>
        <v>1.0612922980794996E-8</v>
      </c>
      <c r="G1012" s="45">
        <f t="shared" ca="1" si="63"/>
        <v>8.1371480031722173E-9</v>
      </c>
      <c r="H1012" s="18">
        <f>-SUMIFS(Projetos!$F$2:$F$11,Projetos!$D$2:$D$11,"USD",Projetos!$N$2:$N$11,Dados!$A1012)</f>
        <v>0</v>
      </c>
      <c r="I1012" s="45">
        <f ca="1">(G1012+H1012)*((Indicadores_Economicos!D$2+1)^(1/12)-1)</f>
        <v>2.6638905131625347E-11</v>
      </c>
      <c r="J1012" s="18">
        <f>SUMIFS(Projetos!$G$2:$G$11,Projetos!$K$2:$K$11,"&lt;="&amp;Dados!$A1012,Projetos!$N$2:$N$11,"&gt;"&amp;Dados!$A1012,Projetos!$D$2:$D$11,"USD")</f>
        <v>0</v>
      </c>
      <c r="K1012" s="18">
        <f t="shared" ca="1" si="61"/>
        <v>8.1637869083038422E-9</v>
      </c>
    </row>
    <row r="1013" spans="1:11" x14ac:dyDescent="0.2">
      <c r="A1013" s="45">
        <f t="shared" ca="1" si="62"/>
        <v>1.0612922980794996E-8</v>
      </c>
      <c r="B1013" s="18">
        <f>-SUMIFS(Projetos!$F$2:$F$11,Projetos!$D$2:$D$11,"BRL",Projetos!$N$2:$N$11,Dados!$A1013)</f>
        <v>0</v>
      </c>
      <c r="C1013" s="45">
        <f ca="1">(A1013+B1013)*((Indicadores_Economicos!D$2+1)^(1/12)-1)</f>
        <v>3.4743948167641663E-11</v>
      </c>
      <c r="D1013" s="18">
        <f>SUMIFS(Projetos!$G$2:$G$11,Projetos!$K$2:$K$11,"&lt;="&amp;Dados!$A1013,Projetos!$N$2:$N$11,"&gt;"&amp;Dados!A1013,Projetos!$D$2:$D$11,"BRL")</f>
        <v>0</v>
      </c>
      <c r="E1013" s="18">
        <f t="shared" ca="1" si="60"/>
        <v>1.0647666928962637E-8</v>
      </c>
      <c r="G1013" s="45">
        <f t="shared" ca="1" si="63"/>
        <v>8.1637869083038422E-9</v>
      </c>
      <c r="H1013" s="18">
        <f>-SUMIFS(Projetos!$F$2:$F$11,Projetos!$D$2:$D$11,"USD",Projetos!$N$2:$N$11,Dados!$A1013)</f>
        <v>0</v>
      </c>
      <c r="I1013" s="45">
        <f ca="1">(G1013+H1013)*((Indicadores_Economicos!D$2+1)^(1/12)-1)</f>
        <v>2.6726113975108969E-11</v>
      </c>
      <c r="J1013" s="18">
        <f>SUMIFS(Projetos!$G$2:$G$11,Projetos!$K$2:$K$11,"&lt;="&amp;Dados!$A1013,Projetos!$N$2:$N$11,"&gt;"&amp;Dados!$A1013,Projetos!$D$2:$D$11,"USD")</f>
        <v>0</v>
      </c>
      <c r="K1013" s="18">
        <f t="shared" ca="1" si="61"/>
        <v>8.1905130222789507E-9</v>
      </c>
    </row>
    <row r="1014" spans="1:11" x14ac:dyDescent="0.2">
      <c r="A1014" s="45">
        <f t="shared" ca="1" si="62"/>
        <v>1.0647666928962637E-8</v>
      </c>
      <c r="B1014" s="18">
        <f>-SUMIFS(Projetos!$F$2:$F$11,Projetos!$D$2:$D$11,"BRL",Projetos!$N$2:$N$11,Dados!$A1014)</f>
        <v>0</v>
      </c>
      <c r="C1014" s="45">
        <f ca="1">(A1014+B1014)*((Indicadores_Economicos!D$2+1)^(1/12)-1)</f>
        <v>3.4857690812948732E-11</v>
      </c>
      <c r="D1014" s="18">
        <f>SUMIFS(Projetos!$G$2:$G$11,Projetos!$K$2:$K$11,"&lt;="&amp;Dados!$A1014,Projetos!$N$2:$N$11,"&gt;"&amp;Dados!A1014,Projetos!$D$2:$D$11,"BRL")</f>
        <v>0</v>
      </c>
      <c r="E1014" s="18">
        <f t="shared" ca="1" si="60"/>
        <v>1.0682524619775587E-8</v>
      </c>
      <c r="G1014" s="45">
        <f t="shared" ca="1" si="63"/>
        <v>8.1905130222789507E-9</v>
      </c>
      <c r="H1014" s="18">
        <f>-SUMIFS(Projetos!$F$2:$F$11,Projetos!$D$2:$D$11,"USD",Projetos!$N$2:$N$11,Dados!$A1014)</f>
        <v>0</v>
      </c>
      <c r="I1014" s="45">
        <f ca="1">(G1014+H1014)*((Indicadores_Economicos!D$2+1)^(1/12)-1)</f>
        <v>2.6813608317652866E-11</v>
      </c>
      <c r="J1014" s="18">
        <f>SUMIFS(Projetos!$G$2:$G$11,Projetos!$K$2:$K$11,"&lt;="&amp;Dados!$A1014,Projetos!$N$2:$N$11,"&gt;"&amp;Dados!$A1014,Projetos!$D$2:$D$11,"USD")</f>
        <v>0</v>
      </c>
      <c r="K1014" s="18">
        <f t="shared" ca="1" si="61"/>
        <v>8.2173266305966035E-9</v>
      </c>
    </row>
    <row r="1015" spans="1:11" x14ac:dyDescent="0.2">
      <c r="A1015" s="45">
        <f t="shared" ca="1" si="62"/>
        <v>1.0682524619775587E-8</v>
      </c>
      <c r="B1015" s="18">
        <f>-SUMIFS(Projetos!$F$2:$F$11,Projetos!$D$2:$D$11,"BRL",Projetos!$N$2:$N$11,Dados!$A1015)</f>
        <v>0</v>
      </c>
      <c r="C1015" s="45">
        <f ca="1">(A1015+B1015)*((Indicadores_Economicos!D$2+1)^(1/12)-1)</f>
        <v>3.4971805822078671E-11</v>
      </c>
      <c r="D1015" s="18">
        <f>SUMIFS(Projetos!$G$2:$G$11,Projetos!$K$2:$K$11,"&lt;="&amp;Dados!$A1015,Projetos!$N$2:$N$11,"&gt;"&amp;Dados!A1015,Projetos!$D$2:$D$11,"BRL")</f>
        <v>0</v>
      </c>
      <c r="E1015" s="18">
        <f t="shared" ca="1" si="60"/>
        <v>1.0717496425597665E-8</v>
      </c>
      <c r="G1015" s="45">
        <f t="shared" ca="1" si="63"/>
        <v>8.2173266305966035E-9</v>
      </c>
      <c r="H1015" s="18">
        <f>-SUMIFS(Projetos!$F$2:$F$11,Projetos!$D$2:$D$11,"USD",Projetos!$N$2:$N$11,Dados!$A1015)</f>
        <v>0</v>
      </c>
      <c r="I1015" s="45">
        <f ca="1">(G1015+H1015)*((Indicadores_Economicos!D$2+1)^(1/12)-1)</f>
        <v>2.6901389093906664E-11</v>
      </c>
      <c r="J1015" s="18">
        <f>SUMIFS(Projetos!$G$2:$G$11,Projetos!$K$2:$K$11,"&lt;="&amp;Dados!$A1015,Projetos!$N$2:$N$11,"&gt;"&amp;Dados!$A1015,Projetos!$D$2:$D$11,"USD")</f>
        <v>0</v>
      </c>
      <c r="K1015" s="18">
        <f t="shared" ca="1" si="61"/>
        <v>8.2442280196905108E-9</v>
      </c>
    </row>
    <row r="1016" spans="1:11" x14ac:dyDescent="0.2">
      <c r="A1016" s="45">
        <f t="shared" ca="1" si="62"/>
        <v>1.0717496425597665E-8</v>
      </c>
      <c r="B1016" s="18">
        <f>-SUMIFS(Projetos!$F$2:$F$11,Projetos!$D$2:$D$11,"BRL",Projetos!$N$2:$N$11,Dados!$A1016)</f>
        <v>0</v>
      </c>
      <c r="C1016" s="45">
        <f ca="1">(A1016+B1016)*((Indicadores_Economicos!D$2+1)^(1/12)-1)</f>
        <v>3.5086294414053745E-11</v>
      </c>
      <c r="D1016" s="18">
        <f>SUMIFS(Projetos!$G$2:$G$11,Projetos!$K$2:$K$11,"&lt;="&amp;Dados!$A1016,Projetos!$N$2:$N$11,"&gt;"&amp;Dados!A1016,Projetos!$D$2:$D$11,"BRL")</f>
        <v>0</v>
      </c>
      <c r="E1016" s="18">
        <f t="shared" ca="1" si="60"/>
        <v>1.0752582720011719E-8</v>
      </c>
      <c r="G1016" s="45">
        <f t="shared" ca="1" si="63"/>
        <v>8.2442280196905108E-9</v>
      </c>
      <c r="H1016" s="18">
        <f>-SUMIFS(Projetos!$F$2:$F$11,Projetos!$D$2:$D$11,"USD",Projetos!$N$2:$N$11,Dados!$A1016)</f>
        <v>0</v>
      </c>
      <c r="I1016" s="45">
        <f ca="1">(G1016+H1016)*((Indicadores_Economicos!D$2+1)^(1/12)-1)</f>
        <v>2.6989457241579799E-11</v>
      </c>
      <c r="J1016" s="18">
        <f>SUMIFS(Projetos!$G$2:$G$11,Projetos!$K$2:$K$11,"&lt;="&amp;Dados!$A1016,Projetos!$N$2:$N$11,"&gt;"&amp;Dados!$A1016,Projetos!$D$2:$D$11,"USD")</f>
        <v>0</v>
      </c>
      <c r="K1016" s="18">
        <f t="shared" ca="1" si="61"/>
        <v>8.2712174769320899E-9</v>
      </c>
    </row>
    <row r="1017" spans="1:11" x14ac:dyDescent="0.2">
      <c r="A1017" s="45">
        <f t="shared" ca="1" si="62"/>
        <v>1.0752582720011719E-8</v>
      </c>
      <c r="B1017" s="18">
        <f>-SUMIFS(Projetos!$F$2:$F$11,Projetos!$D$2:$D$11,"BRL",Projetos!$N$2:$N$11,Dados!$A1017)</f>
        <v>0</v>
      </c>
      <c r="C1017" s="45">
        <f ca="1">(A1017+B1017)*((Indicadores_Economicos!D$2+1)^(1/12)-1)</f>
        <v>3.5201157811886975E-11</v>
      </c>
      <c r="D1017" s="18">
        <f>SUMIFS(Projetos!$G$2:$G$11,Projetos!$K$2:$K$11,"&lt;="&amp;Dados!$A1017,Projetos!$N$2:$N$11,"&gt;"&amp;Dados!A1017,Projetos!$D$2:$D$11,"BRL")</f>
        <v>0</v>
      </c>
      <c r="E1017" s="18">
        <f t="shared" ca="1" si="60"/>
        <v>1.0787783877823606E-8</v>
      </c>
      <c r="G1017" s="45">
        <f t="shared" ca="1" si="63"/>
        <v>8.2712174769320899E-9</v>
      </c>
      <c r="H1017" s="18">
        <f>-SUMIFS(Projetos!$F$2:$F$11,Projetos!$D$2:$D$11,"USD",Projetos!$N$2:$N$11,Dados!$A1017)</f>
        <v>0</v>
      </c>
      <c r="I1017" s="45">
        <f ca="1">(G1017+H1017)*((Indicadores_Economicos!D$2+1)^(1/12)-1)</f>
        <v>2.7077813701451514E-11</v>
      </c>
      <c r="J1017" s="18">
        <f>SUMIFS(Projetos!$G$2:$G$11,Projetos!$K$2:$K$11,"&lt;="&amp;Dados!$A1017,Projetos!$N$2:$N$11,"&gt;"&amp;Dados!$A1017,Projetos!$D$2:$D$11,"USD")</f>
        <v>0</v>
      </c>
      <c r="K1017" s="18">
        <f t="shared" ca="1" si="61"/>
        <v>8.2982952906335419E-9</v>
      </c>
    </row>
    <row r="1018" spans="1:11" x14ac:dyDescent="0.2">
      <c r="A1018" s="45">
        <f t="shared" ca="1" si="62"/>
        <v>1.0787783877823606E-8</v>
      </c>
      <c r="B1018" s="18">
        <f>-SUMIFS(Projetos!$F$2:$F$11,Projetos!$D$2:$D$11,"BRL",Projetos!$N$2:$N$11,Dados!$A1018)</f>
        <v>0</v>
      </c>
      <c r="C1018" s="45">
        <f ca="1">(A1018+B1018)*((Indicadores_Economicos!D$2+1)^(1/12)-1)</f>
        <v>3.5316397242595215E-11</v>
      </c>
      <c r="D1018" s="18">
        <f>SUMIFS(Projetos!$G$2:$G$11,Projetos!$K$2:$K$11,"&lt;="&amp;Dados!$A1018,Projetos!$N$2:$N$11,"&gt;"&amp;Dados!A1018,Projetos!$D$2:$D$11,"BRL")</f>
        <v>0</v>
      </c>
      <c r="E1018" s="18">
        <f t="shared" ca="1" si="60"/>
        <v>1.0823100275066201E-8</v>
      </c>
      <c r="G1018" s="45">
        <f t="shared" ca="1" si="63"/>
        <v>8.2982952906335419E-9</v>
      </c>
      <c r="H1018" s="18">
        <f>-SUMIFS(Projetos!$F$2:$F$11,Projetos!$D$2:$D$11,"USD",Projetos!$N$2:$N$11,Dados!$A1018)</f>
        <v>0</v>
      </c>
      <c r="I1018" s="45">
        <f ca="1">(G1018+H1018)*((Indicadores_Economicos!D$2+1)^(1/12)-1)</f>
        <v>2.7166459417380929E-11</v>
      </c>
      <c r="J1018" s="18">
        <f>SUMIFS(Projetos!$G$2:$G$11,Projetos!$K$2:$K$11,"&lt;="&amp;Dados!$A1018,Projetos!$N$2:$N$11,"&gt;"&amp;Dados!$A1018,Projetos!$D$2:$D$11,"USD")</f>
        <v>0</v>
      </c>
      <c r="K1018" s="18">
        <f t="shared" ca="1" si="61"/>
        <v>8.3254617500509221E-9</v>
      </c>
    </row>
    <row r="1019" spans="1:11" x14ac:dyDescent="0.2">
      <c r="A1019" s="45">
        <f t="shared" ca="1" si="62"/>
        <v>1.0823100275066201E-8</v>
      </c>
      <c r="B1019" s="18">
        <f>-SUMIFS(Projetos!$F$2:$F$11,Projetos!$D$2:$D$11,"BRL",Projetos!$N$2:$N$11,Dados!$A1019)</f>
        <v>0</v>
      </c>
      <c r="C1019" s="45">
        <f ca="1">(A1019+B1019)*((Indicadores_Economicos!D$2+1)^(1/12)-1)</f>
        <v>3.5432013937212235E-11</v>
      </c>
      <c r="D1019" s="18">
        <f>SUMIFS(Projetos!$G$2:$G$11,Projetos!$K$2:$K$11,"&lt;="&amp;Dados!$A1019,Projetos!$N$2:$N$11,"&gt;"&amp;Dados!A1019,Projetos!$D$2:$D$11,"BRL")</f>
        <v>0</v>
      </c>
      <c r="E1019" s="18">
        <f t="shared" ca="1" si="60"/>
        <v>1.0858532289003414E-8</v>
      </c>
      <c r="G1019" s="45">
        <f t="shared" ca="1" si="63"/>
        <v>8.3254617500509221E-9</v>
      </c>
      <c r="H1019" s="18">
        <f>-SUMIFS(Projetos!$F$2:$F$11,Projetos!$D$2:$D$11,"USD",Projetos!$N$2:$N$11,Dados!$A1019)</f>
        <v>0</v>
      </c>
      <c r="I1019" s="45">
        <f ca="1">(G1019+H1019)*((Indicadores_Economicos!D$2+1)^(1/12)-1)</f>
        <v>2.7255395336317099E-11</v>
      </c>
      <c r="J1019" s="18">
        <f>SUMIFS(Projetos!$G$2:$G$11,Projetos!$K$2:$K$11,"&lt;="&amp;Dados!$A1019,Projetos!$N$2:$N$11,"&gt;"&amp;Dados!$A1019,Projetos!$D$2:$D$11,"USD")</f>
        <v>0</v>
      </c>
      <c r="K1019" s="18">
        <f t="shared" ca="1" si="61"/>
        <v>8.3527171453872393E-9</v>
      </c>
    </row>
    <row r="1020" spans="1:11" x14ac:dyDescent="0.2">
      <c r="A1020" s="45">
        <f t="shared" ca="1" si="62"/>
        <v>1.0858532289003414E-8</v>
      </c>
      <c r="B1020" s="18">
        <f>-SUMIFS(Projetos!$F$2:$F$11,Projetos!$D$2:$D$11,"BRL",Projetos!$N$2:$N$11,Dados!$A1020)</f>
        <v>0</v>
      </c>
      <c r="C1020" s="45">
        <f ca="1">(A1020+B1020)*((Indicadores_Economicos!D$2+1)^(1/12)-1)</f>
        <v>3.5548009130801919E-11</v>
      </c>
      <c r="D1020" s="18">
        <f>SUMIFS(Projetos!$G$2:$G$11,Projetos!$K$2:$K$11,"&lt;="&amp;Dados!$A1020,Projetos!$N$2:$N$11,"&gt;"&amp;Dados!A1020,Projetos!$D$2:$D$11,"BRL")</f>
        <v>0</v>
      </c>
      <c r="E1020" s="18">
        <f t="shared" ca="1" si="60"/>
        <v>1.0894080298134217E-8</v>
      </c>
      <c r="G1020" s="45">
        <f t="shared" ca="1" si="63"/>
        <v>8.3527171453872393E-9</v>
      </c>
      <c r="H1020" s="18">
        <f>-SUMIFS(Projetos!$F$2:$F$11,Projetos!$D$2:$D$11,"USD",Projetos!$N$2:$N$11,Dados!$A1020)</f>
        <v>0</v>
      </c>
      <c r="I1020" s="45">
        <f ca="1">(G1020+H1020)*((Indicadores_Economicos!D$2+1)^(1/12)-1)</f>
        <v>2.7344622408309161E-11</v>
      </c>
      <c r="J1020" s="18">
        <f>SUMIFS(Projetos!$G$2:$G$11,Projetos!$K$2:$K$11,"&lt;="&amp;Dados!$A1020,Projetos!$N$2:$N$11,"&gt;"&amp;Dados!$A1020,Projetos!$D$2:$D$11,"USD")</f>
        <v>0</v>
      </c>
      <c r="K1020" s="18">
        <f t="shared" ca="1" si="61"/>
        <v>8.3800617677955487E-9</v>
      </c>
    </row>
    <row r="1021" spans="1:11" x14ac:dyDescent="0.2">
      <c r="A1021" s="45">
        <f t="shared" ca="1" si="62"/>
        <v>1.0894080298134217E-8</v>
      </c>
      <c r="B1021" s="18">
        <f>-SUMIFS(Projetos!$F$2:$F$11,Projetos!$D$2:$D$11,"BRL",Projetos!$N$2:$N$11,Dados!$A1021)</f>
        <v>0</v>
      </c>
      <c r="C1021" s="45">
        <f ca="1">(A1021+B1021)*((Indicadores_Economicos!D$2+1)^(1/12)-1)</f>
        <v>3.5664384062471394E-11</v>
      </c>
      <c r="D1021" s="18">
        <f>SUMIFS(Projetos!$G$2:$G$11,Projetos!$K$2:$K$11,"&lt;="&amp;Dados!$A1021,Projetos!$N$2:$N$11,"&gt;"&amp;Dados!A1021,Projetos!$D$2:$D$11,"BRL")</f>
        <v>0</v>
      </c>
      <c r="E1021" s="18">
        <f t="shared" ca="1" si="60"/>
        <v>1.0929744682196688E-8</v>
      </c>
      <c r="G1021" s="45">
        <f t="shared" ca="1" si="63"/>
        <v>8.3800617677955487E-9</v>
      </c>
      <c r="H1021" s="18">
        <f>-SUMIFS(Projetos!$F$2:$F$11,Projetos!$D$2:$D$11,"USD",Projetos!$N$2:$N$11,Dados!$A1021)</f>
        <v>0</v>
      </c>
      <c r="I1021" s="45">
        <f ca="1">(G1021+H1021)*((Indicadores_Economicos!D$2+1)^(1/12)-1)</f>
        <v>2.7434141586516451E-11</v>
      </c>
      <c r="J1021" s="18">
        <f>SUMIFS(Projetos!$G$2:$G$11,Projetos!$K$2:$K$11,"&lt;="&amp;Dados!$A1021,Projetos!$N$2:$N$11,"&gt;"&amp;Dados!$A1021,Projetos!$D$2:$D$11,"USD")</f>
        <v>0</v>
      </c>
      <c r="K1021" s="18">
        <f t="shared" ca="1" si="61"/>
        <v>8.4074959093820658E-9</v>
      </c>
    </row>
    <row r="1022" spans="1:11" x14ac:dyDescent="0.2">
      <c r="A1022" s="45">
        <f t="shared" ca="1" si="62"/>
        <v>1.0929744682196688E-8</v>
      </c>
      <c r="B1022" s="18">
        <f>-SUMIFS(Projetos!$F$2:$F$11,Projetos!$D$2:$D$11,"BRL",Projetos!$N$2:$N$11,Dados!$A1022)</f>
        <v>0</v>
      </c>
      <c r="C1022" s="45">
        <f ca="1">(A1022+B1022)*((Indicadores_Economicos!D$2+1)^(1/12)-1)</f>
        <v>3.578113997538433E-11</v>
      </c>
      <c r="D1022" s="18">
        <f>SUMIFS(Projetos!$G$2:$G$11,Projetos!$K$2:$K$11,"&lt;="&amp;Dados!$A1022,Projetos!$N$2:$N$11,"&gt;"&amp;Dados!A1022,Projetos!$D$2:$D$11,"BRL")</f>
        <v>0</v>
      </c>
      <c r="E1022" s="18">
        <f t="shared" ca="1" si="60"/>
        <v>1.0965525822172073E-8</v>
      </c>
      <c r="G1022" s="45">
        <f t="shared" ca="1" si="63"/>
        <v>8.4074959093820658E-9</v>
      </c>
      <c r="H1022" s="18">
        <f>-SUMIFS(Projetos!$F$2:$F$11,Projetos!$D$2:$D$11,"USD",Projetos!$N$2:$N$11,Dados!$A1022)</f>
        <v>0</v>
      </c>
      <c r="I1022" s="45">
        <f ca="1">(G1022+H1022)*((Indicadores_Economicos!D$2+1)^(1/12)-1)</f>
        <v>2.7523953827218708E-11</v>
      </c>
      <c r="J1022" s="18">
        <f>SUMIFS(Projetos!$G$2:$G$11,Projetos!$K$2:$K$11,"&lt;="&amp;Dados!$A1022,Projetos!$N$2:$N$11,"&gt;"&amp;Dados!$A1022,Projetos!$D$2:$D$11,"USD")</f>
        <v>0</v>
      </c>
      <c r="K1022" s="18">
        <f t="shared" ca="1" si="61"/>
        <v>8.4350198632092849E-9</v>
      </c>
    </row>
    <row r="1023" spans="1:11" x14ac:dyDescent="0.2">
      <c r="A1023" s="45">
        <f t="shared" ca="1" si="62"/>
        <v>1.0965525822172073E-8</v>
      </c>
      <c r="B1023" s="18">
        <f>-SUMIFS(Projetos!$F$2:$F$11,Projetos!$D$2:$D$11,"BRL",Projetos!$N$2:$N$11,Dados!$A1023)</f>
        <v>0</v>
      </c>
      <c r="C1023" s="45">
        <f ca="1">(A1023+B1023)*((Indicadores_Economicos!D$2+1)^(1/12)-1)</f>
        <v>3.5898278116774174E-11</v>
      </c>
      <c r="D1023" s="18">
        <f>SUMIFS(Projetos!$G$2:$G$11,Projetos!$K$2:$K$11,"&lt;="&amp;Dados!$A1023,Projetos!$N$2:$N$11,"&gt;"&amp;Dados!A1023,Projetos!$D$2:$D$11,"BRL")</f>
        <v>0</v>
      </c>
      <c r="E1023" s="18">
        <f t="shared" ca="1" si="60"/>
        <v>1.1001424100288848E-8</v>
      </c>
      <c r="G1023" s="45">
        <f t="shared" ca="1" si="63"/>
        <v>8.4350198632092849E-9</v>
      </c>
      <c r="H1023" s="18">
        <f>-SUMIFS(Projetos!$F$2:$F$11,Projetos!$D$2:$D$11,"USD",Projetos!$N$2:$N$11,Dados!$A1023)</f>
        <v>0</v>
      </c>
      <c r="I1023" s="45">
        <f ca="1">(G1023+H1023)*((Indicadores_Economicos!D$2+1)^(1/12)-1)</f>
        <v>2.7614060089826283E-11</v>
      </c>
      <c r="J1023" s="18">
        <f>SUMIFS(Projetos!$G$2:$G$11,Projetos!$K$2:$K$11,"&lt;="&amp;Dados!$A1023,Projetos!$N$2:$N$11,"&gt;"&amp;Dados!$A1023,Projetos!$D$2:$D$11,"USD")</f>
        <v>0</v>
      </c>
      <c r="K1023" s="18">
        <f t="shared" ca="1" si="61"/>
        <v>8.4626339232991105E-9</v>
      </c>
    </row>
    <row r="1024" spans="1:11" x14ac:dyDescent="0.2">
      <c r="A1024" s="45">
        <f t="shared" ca="1" si="62"/>
        <v>1.1001424100288848E-8</v>
      </c>
      <c r="B1024" s="18">
        <f>-SUMIFS(Projetos!$F$2:$F$11,Projetos!$D$2:$D$11,"BRL",Projetos!$N$2:$N$11,Dados!$A1024)</f>
        <v>0</v>
      </c>
      <c r="C1024" s="45">
        <f ca="1">(A1024+B1024)*((Indicadores_Economicos!D$2+1)^(1/12)-1)</f>
        <v>3.60157997379575E-11</v>
      </c>
      <c r="D1024" s="18">
        <f>SUMIFS(Projetos!$G$2:$G$11,Projetos!$K$2:$K$11,"&lt;="&amp;Dados!$A1024,Projetos!$N$2:$N$11,"&gt;"&amp;Dados!A1024,Projetos!$D$2:$D$11,"BRL")</f>
        <v>0</v>
      </c>
      <c r="E1024" s="18">
        <f t="shared" ca="1" si="60"/>
        <v>1.1037439900026805E-8</v>
      </c>
      <c r="G1024" s="45">
        <f t="shared" ca="1" si="63"/>
        <v>8.4626339232991105E-9</v>
      </c>
      <c r="H1024" s="18">
        <f>-SUMIFS(Projetos!$F$2:$F$11,Projetos!$D$2:$D$11,"USD",Projetos!$N$2:$N$11,Dados!$A1024)</f>
        <v>0</v>
      </c>
      <c r="I1024" s="45">
        <f ca="1">(G1024+H1024)*((Indicadores_Economicos!D$2+1)^(1/12)-1)</f>
        <v>2.7704461336890374E-11</v>
      </c>
      <c r="J1024" s="18">
        <f>SUMIFS(Projetos!$G$2:$G$11,Projetos!$K$2:$K$11,"&lt;="&amp;Dados!$A1024,Projetos!$N$2:$N$11,"&gt;"&amp;Dados!$A1024,Projetos!$D$2:$D$11,"USD")</f>
        <v>0</v>
      </c>
      <c r="K1024" s="18">
        <f t="shared" ca="1" si="61"/>
        <v>8.4903383846360008E-9</v>
      </c>
    </row>
    <row r="1025" spans="1:11" x14ac:dyDescent="0.2">
      <c r="A1025" s="45">
        <f t="shared" ca="1" si="62"/>
        <v>1.1037439900026805E-8</v>
      </c>
      <c r="B1025" s="18">
        <f>-SUMIFS(Projetos!$F$2:$F$11,Projetos!$D$2:$D$11,"BRL",Projetos!$N$2:$N$11,Dados!$A1025)</f>
        <v>0</v>
      </c>
      <c r="C1025" s="45">
        <f ca="1">(A1025+B1025)*((Indicadores_Economicos!D$2+1)^(1/12)-1)</f>
        <v>3.6133706094347364E-11</v>
      </c>
      <c r="D1025" s="18">
        <f>SUMIFS(Projetos!$G$2:$G$11,Projetos!$K$2:$K$11,"&lt;="&amp;Dados!$A1025,Projetos!$N$2:$N$11,"&gt;"&amp;Dados!A1025,Projetos!$D$2:$D$11,"BRL")</f>
        <v>0</v>
      </c>
      <c r="E1025" s="18">
        <f t="shared" ca="1" si="60"/>
        <v>1.1073573606121153E-8</v>
      </c>
      <c r="G1025" s="45">
        <f t="shared" ca="1" si="63"/>
        <v>8.4903383846360008E-9</v>
      </c>
      <c r="H1025" s="18">
        <f>-SUMIFS(Projetos!$F$2:$F$11,Projetos!$D$2:$D$11,"USD",Projetos!$N$2:$N$11,Dados!$A1025)</f>
        <v>0</v>
      </c>
      <c r="I1025" s="45">
        <f ca="1">(G1025+H1025)*((Indicadores_Economicos!D$2+1)^(1/12)-1)</f>
        <v>2.7795158534113346E-11</v>
      </c>
      <c r="J1025" s="18">
        <f>SUMIFS(Projetos!$G$2:$G$11,Projetos!$K$2:$K$11,"&lt;="&amp;Dados!$A1025,Projetos!$N$2:$N$11,"&gt;"&amp;Dados!$A1025,Projetos!$D$2:$D$11,"USD")</f>
        <v>0</v>
      </c>
      <c r="K1025" s="18">
        <f t="shared" ca="1" si="61"/>
        <v>8.5181335431701146E-9</v>
      </c>
    </row>
    <row r="1026" spans="1:11" x14ac:dyDescent="0.2">
      <c r="A1026" s="45">
        <f t="shared" ca="1" si="62"/>
        <v>1.1073573606121153E-8</v>
      </c>
      <c r="B1026" s="18">
        <f>-SUMIFS(Projetos!$F$2:$F$11,Projetos!$D$2:$D$11,"BRL",Projetos!$N$2:$N$11,Dados!$A1026)</f>
        <v>0</v>
      </c>
      <c r="C1026" s="45">
        <f ca="1">(A1026+B1026)*((Indicadores_Economicos!D$2+1)^(1/12)-1)</f>
        <v>3.6251998445466714E-11</v>
      </c>
      <c r="D1026" s="18">
        <f>SUMIFS(Projetos!$G$2:$G$11,Projetos!$K$2:$K$11,"&lt;="&amp;Dados!$A1026,Projetos!$N$2:$N$11,"&gt;"&amp;Dados!A1026,Projetos!$D$2:$D$11,"BRL")</f>
        <v>0</v>
      </c>
      <c r="E1026" s="18">
        <f t="shared" ref="E1026:E1089" ca="1" si="64">A1026+B1026+C1026+D1026</f>
        <v>1.110982560456662E-8</v>
      </c>
      <c r="G1026" s="45">
        <f t="shared" ca="1" si="63"/>
        <v>8.5181335431701146E-9</v>
      </c>
      <c r="H1026" s="18">
        <f>-SUMIFS(Projetos!$F$2:$F$11,Projetos!$D$2:$D$11,"USD",Projetos!$N$2:$N$11,Dados!$A1026)</f>
        <v>0</v>
      </c>
      <c r="I1026" s="45">
        <f ca="1">(G1026+H1026)*((Indicadores_Economicos!D$2+1)^(1/12)-1)</f>
        <v>2.7886152650358997E-11</v>
      </c>
      <c r="J1026" s="18">
        <f>SUMIFS(Projetos!$G$2:$G$11,Projetos!$K$2:$K$11,"&lt;="&amp;Dados!$A1026,Projetos!$N$2:$N$11,"&gt;"&amp;Dados!$A1026,Projetos!$D$2:$D$11,"USD")</f>
        <v>0</v>
      </c>
      <c r="K1026" s="18">
        <f t="shared" ref="K1026:K1089" ca="1" si="65">G1026+H1026+I1026+J1026</f>
        <v>8.5460196958204736E-9</v>
      </c>
    </row>
    <row r="1027" spans="1:11" x14ac:dyDescent="0.2">
      <c r="A1027" s="45">
        <f t="shared" ca="1" si="62"/>
        <v>1.110982560456662E-8</v>
      </c>
      <c r="B1027" s="18">
        <f>-SUMIFS(Projetos!$F$2:$F$11,Projetos!$D$2:$D$11,"BRL",Projetos!$N$2:$N$11,Dados!$A1027)</f>
        <v>0</v>
      </c>
      <c r="C1027" s="45">
        <f ca="1">(A1027+B1027)*((Indicadores_Economicos!D$2+1)^(1/12)-1)</f>
        <v>3.6370678054961851E-11</v>
      </c>
      <c r="D1027" s="18">
        <f>SUMIFS(Projetos!$G$2:$G$11,Projetos!$K$2:$K$11,"&lt;="&amp;Dados!$A1027,Projetos!$N$2:$N$11,"&gt;"&amp;Dados!A1027,Projetos!$D$2:$D$11,"BRL")</f>
        <v>0</v>
      </c>
      <c r="E1027" s="18">
        <f t="shared" ca="1" si="64"/>
        <v>1.1146196282621581E-8</v>
      </c>
      <c r="G1027" s="45">
        <f t="shared" ca="1" si="63"/>
        <v>8.5460196958204736E-9</v>
      </c>
      <c r="H1027" s="18">
        <f>-SUMIFS(Projetos!$F$2:$F$11,Projetos!$D$2:$D$11,"USD",Projetos!$N$2:$N$11,Dados!$A1027)</f>
        <v>0</v>
      </c>
      <c r="I1027" s="45">
        <f ca="1">(G1027+H1027)*((Indicadores_Economicos!D$2+1)^(1/12)-1)</f>
        <v>2.7977444657662949E-11</v>
      </c>
      <c r="J1027" s="18">
        <f>SUMIFS(Projetos!$G$2:$G$11,Projetos!$K$2:$K$11,"&lt;="&amp;Dados!$A1027,Projetos!$N$2:$N$11,"&gt;"&amp;Dados!$A1027,Projetos!$D$2:$D$11,"USD")</f>
        <v>0</v>
      </c>
      <c r="K1027" s="18">
        <f t="shared" ca="1" si="65"/>
        <v>8.5739971404781365E-9</v>
      </c>
    </row>
    <row r="1028" spans="1:11" x14ac:dyDescent="0.2">
      <c r="A1028" s="45">
        <f t="shared" ref="A1028:A1091" ca="1" si="66">E1027</f>
        <v>1.1146196282621581E-8</v>
      </c>
      <c r="B1028" s="18">
        <f>-SUMIFS(Projetos!$F$2:$F$11,Projetos!$D$2:$D$11,"BRL",Projetos!$N$2:$N$11,Dados!$A1028)</f>
        <v>0</v>
      </c>
      <c r="C1028" s="45">
        <f ca="1">(A1028+B1028)*((Indicadores_Economicos!D$2+1)^(1/12)-1)</f>
        <v>3.6489746190615924E-11</v>
      </c>
      <c r="D1028" s="18">
        <f>SUMIFS(Projetos!$G$2:$G$11,Projetos!$K$2:$K$11,"&lt;="&amp;Dados!$A1028,Projetos!$N$2:$N$11,"&gt;"&amp;Dados!A1028,Projetos!$D$2:$D$11,"BRL")</f>
        <v>0</v>
      </c>
      <c r="E1028" s="18">
        <f t="shared" ca="1" si="64"/>
        <v>1.1182686028812197E-8</v>
      </c>
      <c r="G1028" s="45">
        <f t="shared" ref="G1028:G1091" ca="1" si="67">K1027</f>
        <v>8.5739971404781365E-9</v>
      </c>
      <c r="H1028" s="18">
        <f>-SUMIFS(Projetos!$F$2:$F$11,Projetos!$D$2:$D$11,"USD",Projetos!$N$2:$N$11,Dados!$A1028)</f>
        <v>0</v>
      </c>
      <c r="I1028" s="45">
        <f ca="1">(G1028+H1028)*((Indicadores_Economicos!D$2+1)^(1/12)-1)</f>
        <v>2.8069035531243011E-11</v>
      </c>
      <c r="J1028" s="18">
        <f>SUMIFS(Projetos!$G$2:$G$11,Projetos!$K$2:$K$11,"&lt;="&amp;Dados!$A1028,Projetos!$N$2:$N$11,"&gt;"&amp;Dados!$A1028,Projetos!$D$2:$D$11,"USD")</f>
        <v>0</v>
      </c>
      <c r="K1028" s="18">
        <f t="shared" ca="1" si="65"/>
        <v>8.6020661760093794E-9</v>
      </c>
    </row>
    <row r="1029" spans="1:11" x14ac:dyDescent="0.2">
      <c r="A1029" s="45">
        <f t="shared" ca="1" si="66"/>
        <v>1.1182686028812197E-8</v>
      </c>
      <c r="B1029" s="18">
        <f>-SUMIFS(Projetos!$F$2:$F$11,Projetos!$D$2:$D$11,"BRL",Projetos!$N$2:$N$11,Dados!$A1029)</f>
        <v>0</v>
      </c>
      <c r="C1029" s="45">
        <f ca="1">(A1029+B1029)*((Indicadores_Economicos!D$2+1)^(1/12)-1)</f>
        <v>3.6609204124362485E-11</v>
      </c>
      <c r="D1029" s="18">
        <f>SUMIFS(Projetos!$G$2:$G$11,Projetos!$K$2:$K$11,"&lt;="&amp;Dados!$A1029,Projetos!$N$2:$N$11,"&gt;"&amp;Dados!A1029,Projetos!$D$2:$D$11,"BRL")</f>
        <v>0</v>
      </c>
      <c r="E1029" s="18">
        <f t="shared" ca="1" si="64"/>
        <v>1.1219295232936559E-8</v>
      </c>
      <c r="G1029" s="45">
        <f t="shared" ca="1" si="67"/>
        <v>8.6020661760093794E-9</v>
      </c>
      <c r="H1029" s="18">
        <f>-SUMIFS(Projetos!$F$2:$F$11,Projetos!$D$2:$D$11,"USD",Projetos!$N$2:$N$11,Dados!$A1029)</f>
        <v>0</v>
      </c>
      <c r="I1029" s="45">
        <f ca="1">(G1029+H1029)*((Indicadores_Economicos!D$2+1)^(1/12)-1)</f>
        <v>2.8160926249509594E-11</v>
      </c>
      <c r="J1029" s="18">
        <f>SUMIFS(Projetos!$G$2:$G$11,Projetos!$K$2:$K$11,"&lt;="&amp;Dados!$A1029,Projetos!$N$2:$N$11,"&gt;"&amp;Dados!$A1029,Projetos!$D$2:$D$11,"USD")</f>
        <v>0</v>
      </c>
      <c r="K1029" s="18">
        <f t="shared" ca="1" si="65"/>
        <v>8.6302271022588894E-9</v>
      </c>
    </row>
    <row r="1030" spans="1:11" x14ac:dyDescent="0.2">
      <c r="A1030" s="45">
        <f t="shared" ca="1" si="66"/>
        <v>1.1219295232936559E-8</v>
      </c>
      <c r="B1030" s="18">
        <f>-SUMIFS(Projetos!$F$2:$F$11,Projetos!$D$2:$D$11,"BRL",Projetos!$N$2:$N$11,Dados!$A1030)</f>
        <v>0</v>
      </c>
      <c r="C1030" s="45">
        <f ca="1">(A1030+B1030)*((Indicadores_Economicos!D$2+1)^(1/12)-1)</f>
        <v>3.6729053132299049E-11</v>
      </c>
      <c r="D1030" s="18">
        <f>SUMIFS(Projetos!$G$2:$G$11,Projetos!$K$2:$K$11,"&lt;="&amp;Dados!$A1030,Projetos!$N$2:$N$11,"&gt;"&amp;Dados!A1030,Projetos!$D$2:$D$11,"BRL")</f>
        <v>0</v>
      </c>
      <c r="E1030" s="18">
        <f t="shared" ca="1" si="64"/>
        <v>1.1256024286068859E-8</v>
      </c>
      <c r="G1030" s="45">
        <f t="shared" ca="1" si="67"/>
        <v>8.6302271022588894E-9</v>
      </c>
      <c r="H1030" s="18">
        <f>-SUMIFS(Projetos!$F$2:$F$11,Projetos!$D$2:$D$11,"USD",Projetos!$N$2:$N$11,Dados!$A1030)</f>
        <v>0</v>
      </c>
      <c r="I1030" s="45">
        <f ca="1">(G1030+H1030)*((Indicadores_Economicos!D$2+1)^(1/12)-1)</f>
        <v>2.8253117794076184E-11</v>
      </c>
      <c r="J1030" s="18">
        <f>SUMIFS(Projetos!$G$2:$G$11,Projetos!$K$2:$K$11,"&lt;="&amp;Dados!$A1030,Projetos!$N$2:$N$11,"&gt;"&amp;Dados!$A1030,Projetos!$D$2:$D$11,"USD")</f>
        <v>0</v>
      </c>
      <c r="K1030" s="18">
        <f t="shared" ca="1" si="65"/>
        <v>8.6584802200529654E-9</v>
      </c>
    </row>
    <row r="1031" spans="1:11" x14ac:dyDescent="0.2">
      <c r="A1031" s="45">
        <f t="shared" ca="1" si="66"/>
        <v>1.1256024286068859E-8</v>
      </c>
      <c r="B1031" s="18">
        <f>-SUMIFS(Projetos!$F$2:$F$11,Projetos!$D$2:$D$11,"BRL",Projetos!$N$2:$N$11,Dados!$A1031)</f>
        <v>0</v>
      </c>
      <c r="C1031" s="45">
        <f ca="1">(A1031+B1031)*((Indicadores_Economicos!D$2+1)^(1/12)-1)</f>
        <v>3.6849294494700755E-11</v>
      </c>
      <c r="D1031" s="18">
        <f>SUMIFS(Projetos!$G$2:$G$11,Projetos!$K$2:$K$11,"&lt;="&amp;Dados!$A1031,Projetos!$N$2:$N$11,"&gt;"&amp;Dados!A1031,Projetos!$D$2:$D$11,"BRL")</f>
        <v>0</v>
      </c>
      <c r="E1031" s="18">
        <f t="shared" ca="1" si="64"/>
        <v>1.1292873580563558E-8</v>
      </c>
      <c r="G1031" s="45">
        <f t="shared" ca="1" si="67"/>
        <v>8.6584802200529654E-9</v>
      </c>
      <c r="H1031" s="18">
        <f>-SUMIFS(Projetos!$F$2:$F$11,Projetos!$D$2:$D$11,"USD",Projetos!$N$2:$N$11,Dados!$A1031)</f>
        <v>0</v>
      </c>
      <c r="I1031" s="45">
        <f ca="1">(G1031+H1031)*((Indicadores_Economicos!D$2+1)^(1/12)-1)</f>
        <v>2.8345611149769804E-11</v>
      </c>
      <c r="J1031" s="18">
        <f>SUMIFS(Projetos!$G$2:$G$11,Projetos!$K$2:$K$11,"&lt;="&amp;Dados!$A1031,Projetos!$N$2:$N$11,"&gt;"&amp;Dados!$A1031,Projetos!$D$2:$D$11,"USD")</f>
        <v>0</v>
      </c>
      <c r="K1031" s="18">
        <f t="shared" ca="1" si="65"/>
        <v>8.686825831202736E-9</v>
      </c>
    </row>
    <row r="1032" spans="1:11" x14ac:dyDescent="0.2">
      <c r="A1032" s="45">
        <f t="shared" ca="1" si="66"/>
        <v>1.1292873580563558E-8</v>
      </c>
      <c r="B1032" s="18">
        <f>-SUMIFS(Projetos!$F$2:$F$11,Projetos!$D$2:$D$11,"BRL",Projetos!$N$2:$N$11,Dados!$A1032)</f>
        <v>0</v>
      </c>
      <c r="C1032" s="45">
        <f ca="1">(A1032+B1032)*((Indicadores_Economicos!D$2+1)^(1/12)-1)</f>
        <v>3.6969929496034022E-11</v>
      </c>
      <c r="D1032" s="18">
        <f>SUMIFS(Projetos!$G$2:$G$11,Projetos!$K$2:$K$11,"&lt;="&amp;Dados!$A1032,Projetos!$N$2:$N$11,"&gt;"&amp;Dados!A1032,Projetos!$D$2:$D$11,"BRL")</f>
        <v>0</v>
      </c>
      <c r="E1032" s="18">
        <f t="shared" ca="1" si="64"/>
        <v>1.1329843510059593E-8</v>
      </c>
      <c r="G1032" s="45">
        <f t="shared" ca="1" si="67"/>
        <v>8.686825831202736E-9</v>
      </c>
      <c r="H1032" s="18">
        <f>-SUMIFS(Projetos!$F$2:$F$11,Projetos!$D$2:$D$11,"USD",Projetos!$N$2:$N$11,Dados!$A1032)</f>
        <v>0</v>
      </c>
      <c r="I1032" s="45">
        <f ca="1">(G1032+H1032)*((Indicadores_Economicos!D$2+1)^(1/12)-1)</f>
        <v>2.8438407304641549E-11</v>
      </c>
      <c r="J1032" s="18">
        <f>SUMIFS(Projetos!$G$2:$G$11,Projetos!$K$2:$K$11,"&lt;="&amp;Dados!$A1032,Projetos!$N$2:$N$11,"&gt;"&amp;Dados!$A1032,Projetos!$D$2:$D$11,"USD")</f>
        <v>0</v>
      </c>
      <c r="K1032" s="18">
        <f t="shared" ca="1" si="65"/>
        <v>8.7152642385073772E-9</v>
      </c>
    </row>
    <row r="1033" spans="1:11" x14ac:dyDescent="0.2">
      <c r="A1033" s="45">
        <f t="shared" ca="1" si="66"/>
        <v>1.1329843510059593E-8</v>
      </c>
      <c r="B1033" s="18">
        <f>-SUMIFS(Projetos!$F$2:$F$11,Projetos!$D$2:$D$11,"BRL",Projetos!$N$2:$N$11,Dados!$A1033)</f>
        <v>0</v>
      </c>
      <c r="C1033" s="45">
        <f ca="1">(A1033+B1033)*((Indicadores_Economicos!D$2+1)^(1/12)-1)</f>
        <v>3.7090959424970278E-11</v>
      </c>
      <c r="D1033" s="18">
        <f>SUMIFS(Projetos!$G$2:$G$11,Projetos!$K$2:$K$11,"&lt;="&amp;Dados!$A1033,Projetos!$N$2:$N$11,"&gt;"&amp;Dados!A1033,Projetos!$D$2:$D$11,"BRL")</f>
        <v>0</v>
      </c>
      <c r="E1033" s="18">
        <f t="shared" ca="1" si="64"/>
        <v>1.1366934469484564E-8</v>
      </c>
      <c r="G1033" s="45">
        <f t="shared" ca="1" si="67"/>
        <v>8.7152642385073772E-9</v>
      </c>
      <c r="H1033" s="18">
        <f>-SUMIFS(Projetos!$F$2:$F$11,Projetos!$D$2:$D$11,"USD",Projetos!$N$2:$N$11,Dados!$A1033)</f>
        <v>0</v>
      </c>
      <c r="I1033" s="45">
        <f ca="1">(G1033+H1033)*((Indicadores_Economicos!D$2+1)^(1/12)-1)</f>
        <v>2.853150724997713E-11</v>
      </c>
      <c r="J1033" s="18">
        <f>SUMIFS(Projetos!$G$2:$G$11,Projetos!$K$2:$K$11,"&lt;="&amp;Dados!$A1033,Projetos!$N$2:$N$11,"&gt;"&amp;Dados!$A1033,Projetos!$D$2:$D$11,"USD")</f>
        <v>0</v>
      </c>
      <c r="K1033" s="18">
        <f t="shared" ca="1" si="65"/>
        <v>8.7437957457573549E-9</v>
      </c>
    </row>
    <row r="1034" spans="1:11" x14ac:dyDescent="0.2">
      <c r="A1034" s="45">
        <f t="shared" ca="1" si="66"/>
        <v>1.1366934469484564E-8</v>
      </c>
      <c r="B1034" s="18">
        <f>-SUMIFS(Projetos!$F$2:$F$11,Projetos!$D$2:$D$11,"BRL",Projetos!$N$2:$N$11,Dados!$A1034)</f>
        <v>0</v>
      </c>
      <c r="C1034" s="45">
        <f ca="1">(A1034+B1034)*((Indicadores_Economicos!D$2+1)^(1/12)-1)</f>
        <v>3.721238557439973E-11</v>
      </c>
      <c r="D1034" s="18">
        <f>SUMIFS(Projetos!$G$2:$G$11,Projetos!$K$2:$K$11,"&lt;="&amp;Dados!$A1034,Projetos!$N$2:$N$11,"&gt;"&amp;Dados!A1034,Projetos!$D$2:$D$11,"BRL")</f>
        <v>0</v>
      </c>
      <c r="E1034" s="18">
        <f t="shared" ca="1" si="64"/>
        <v>1.1404146855058963E-8</v>
      </c>
      <c r="G1034" s="45">
        <f t="shared" ca="1" si="67"/>
        <v>8.7437957457573549E-9</v>
      </c>
      <c r="H1034" s="18">
        <f>-SUMIFS(Projetos!$F$2:$F$11,Projetos!$D$2:$D$11,"USD",Projetos!$N$2:$N$11,Dados!$A1034)</f>
        <v>0</v>
      </c>
      <c r="I1034" s="45">
        <f ca="1">(G1034+H1034)*((Indicadores_Economicos!D$2+1)^(1/12)-1)</f>
        <v>2.8624911980307478E-11</v>
      </c>
      <c r="J1034" s="18">
        <f>SUMIFS(Projetos!$G$2:$G$11,Projetos!$K$2:$K$11,"&lt;="&amp;Dados!$A1034,Projetos!$N$2:$N$11,"&gt;"&amp;Dados!$A1034,Projetos!$D$2:$D$11,"USD")</f>
        <v>0</v>
      </c>
      <c r="K1034" s="18">
        <f t="shared" ca="1" si="65"/>
        <v>8.7724206577376625E-9</v>
      </c>
    </row>
    <row r="1035" spans="1:11" x14ac:dyDescent="0.2">
      <c r="A1035" s="45">
        <f t="shared" ca="1" si="66"/>
        <v>1.1404146855058963E-8</v>
      </c>
      <c r="B1035" s="18">
        <f>-SUMIFS(Projetos!$F$2:$F$11,Projetos!$D$2:$D$11,"BRL",Projetos!$N$2:$N$11,Dados!$A1035)</f>
        <v>0</v>
      </c>
      <c r="C1035" s="45">
        <f ca="1">(A1035+B1035)*((Indicadores_Economicos!D$2+1)^(1/12)-1)</f>
        <v>3.7334209241445163E-11</v>
      </c>
      <c r="D1035" s="18">
        <f>SUMIFS(Projetos!$G$2:$G$11,Projetos!$K$2:$K$11,"&lt;="&amp;Dados!$A1035,Projetos!$N$2:$N$11,"&gt;"&amp;Dados!A1035,Projetos!$D$2:$D$11,"BRL")</f>
        <v>0</v>
      </c>
      <c r="E1035" s="18">
        <f t="shared" ca="1" si="64"/>
        <v>1.1441481064300408E-8</v>
      </c>
      <c r="G1035" s="45">
        <f t="shared" ca="1" si="67"/>
        <v>8.7724206577376625E-9</v>
      </c>
      <c r="H1035" s="18">
        <f>-SUMIFS(Projetos!$F$2:$F$11,Projetos!$D$2:$D$11,"USD",Projetos!$N$2:$N$11,Dados!$A1035)</f>
        <v>0</v>
      </c>
      <c r="I1035" s="45">
        <f ca="1">(G1035+H1035)*((Indicadores_Economicos!D$2+1)^(1/12)-1)</f>
        <v>2.8718622493419353E-11</v>
      </c>
      <c r="J1035" s="18">
        <f>SUMIFS(Projetos!$G$2:$G$11,Projetos!$K$2:$K$11,"&lt;="&amp;Dados!$A1035,Projetos!$N$2:$N$11,"&gt;"&amp;Dados!$A1035,Projetos!$D$2:$D$11,"USD")</f>
        <v>0</v>
      </c>
      <c r="K1035" s="18">
        <f t="shared" ca="1" si="65"/>
        <v>8.8011392802310818E-9</v>
      </c>
    </row>
    <row r="1036" spans="1:11" x14ac:dyDescent="0.2">
      <c r="A1036" s="45">
        <f t="shared" ca="1" si="66"/>
        <v>1.1441481064300408E-8</v>
      </c>
      <c r="B1036" s="18">
        <f>-SUMIFS(Projetos!$F$2:$F$11,Projetos!$D$2:$D$11,"BRL",Projetos!$N$2:$N$11,Dados!$A1036)</f>
        <v>0</v>
      </c>
      <c r="C1036" s="45">
        <f ca="1">(A1036+B1036)*((Indicadores_Economicos!D$2+1)^(1/12)-1)</f>
        <v>3.7456431727475823E-11</v>
      </c>
      <c r="D1036" s="18">
        <f>SUMIFS(Projetos!$G$2:$G$11,Projetos!$K$2:$K$11,"&lt;="&amp;Dados!$A1036,Projetos!$N$2:$N$11,"&gt;"&amp;Dados!A1036,Projetos!$D$2:$D$11,"BRL")</f>
        <v>0</v>
      </c>
      <c r="E1036" s="18">
        <f t="shared" ca="1" si="64"/>
        <v>1.1478937496027883E-8</v>
      </c>
      <c r="G1036" s="45">
        <f t="shared" ca="1" si="67"/>
        <v>8.8011392802310818E-9</v>
      </c>
      <c r="H1036" s="18">
        <f>-SUMIFS(Projetos!$F$2:$F$11,Projetos!$D$2:$D$11,"USD",Projetos!$N$2:$N$11,Dados!$A1036)</f>
        <v>0</v>
      </c>
      <c r="I1036" s="45">
        <f ca="1">(G1036+H1036)*((Indicadores_Economicos!D$2+1)^(1/12)-1)</f>
        <v>2.8812639790366012E-11</v>
      </c>
      <c r="J1036" s="18">
        <f>SUMIFS(Projetos!$G$2:$G$11,Projetos!$K$2:$K$11,"&lt;="&amp;Dados!$A1036,Projetos!$N$2:$N$11,"&gt;"&amp;Dados!$A1036,Projetos!$D$2:$D$11,"USD")</f>
        <v>0</v>
      </c>
      <c r="K1036" s="18">
        <f t="shared" ca="1" si="65"/>
        <v>8.8299519200214483E-9</v>
      </c>
    </row>
    <row r="1037" spans="1:11" x14ac:dyDescent="0.2">
      <c r="A1037" s="45">
        <f t="shared" ca="1" si="66"/>
        <v>1.1478937496027883E-8</v>
      </c>
      <c r="B1037" s="18">
        <f>-SUMIFS(Projetos!$F$2:$F$11,Projetos!$D$2:$D$11,"BRL",Projetos!$N$2:$N$11,Dados!$A1037)</f>
        <v>0</v>
      </c>
      <c r="C1037" s="45">
        <f ca="1">(A1037+B1037)*((Indicadores_Economicos!D$2+1)^(1/12)-1)</f>
        <v>3.7579054338121272E-11</v>
      </c>
      <c r="D1037" s="18">
        <f>SUMIFS(Projetos!$G$2:$G$11,Projetos!$K$2:$K$11,"&lt;="&amp;Dados!$A1037,Projetos!$N$2:$N$11,"&gt;"&amp;Dados!A1037,Projetos!$D$2:$D$11,"BRL")</f>
        <v>0</v>
      </c>
      <c r="E1037" s="18">
        <f t="shared" ca="1" si="64"/>
        <v>1.1516516550366005E-8</v>
      </c>
      <c r="G1037" s="45">
        <f t="shared" ca="1" si="67"/>
        <v>8.8299519200214483E-9</v>
      </c>
      <c r="H1037" s="18">
        <f>-SUMIFS(Projetos!$F$2:$F$11,Projetos!$D$2:$D$11,"USD",Projetos!$N$2:$N$11,Dados!$A1037)</f>
        <v>0</v>
      </c>
      <c r="I1037" s="45">
        <f ca="1">(G1037+H1037)*((Indicadores_Economicos!D$2+1)^(1/12)-1)</f>
        <v>2.8906964875477904E-11</v>
      </c>
      <c r="J1037" s="18">
        <f>SUMIFS(Projetos!$G$2:$G$11,Projetos!$K$2:$K$11,"&lt;="&amp;Dados!$A1037,Projetos!$N$2:$N$11,"&gt;"&amp;Dados!$A1037,Projetos!$D$2:$D$11,"USD")</f>
        <v>0</v>
      </c>
      <c r="K1037" s="18">
        <f t="shared" ca="1" si="65"/>
        <v>8.8588588848969259E-9</v>
      </c>
    </row>
    <row r="1038" spans="1:11" x14ac:dyDescent="0.2">
      <c r="A1038" s="45">
        <f t="shared" ca="1" si="66"/>
        <v>1.1516516550366005E-8</v>
      </c>
      <c r="B1038" s="18">
        <f>-SUMIFS(Projetos!$F$2:$F$11,Projetos!$D$2:$D$11,"BRL",Projetos!$N$2:$N$11,Dados!$A1038)</f>
        <v>0</v>
      </c>
      <c r="C1038" s="45">
        <f ca="1">(A1038+B1038)*((Indicadores_Economicos!D$2+1)^(1/12)-1)</f>
        <v>3.7702078383285401E-11</v>
      </c>
      <c r="D1038" s="18">
        <f>SUMIFS(Projetos!$G$2:$G$11,Projetos!$K$2:$K$11,"&lt;="&amp;Dados!$A1038,Projetos!$N$2:$N$11,"&gt;"&amp;Dados!A1038,Projetos!$D$2:$D$11,"BRL")</f>
        <v>0</v>
      </c>
      <c r="E1038" s="18">
        <f t="shared" ca="1" si="64"/>
        <v>1.155421862874929E-8</v>
      </c>
      <c r="G1038" s="45">
        <f t="shared" ca="1" si="67"/>
        <v>8.8588588848969259E-9</v>
      </c>
      <c r="H1038" s="18">
        <f>-SUMIFS(Projetos!$F$2:$F$11,Projetos!$D$2:$D$11,"USD",Projetos!$N$2:$N$11,Dados!$A1038)</f>
        <v>0</v>
      </c>
      <c r="I1038" s="45">
        <f ca="1">(G1038+H1038)*((Indicadores_Economicos!D$2+1)^(1/12)-1)</f>
        <v>2.9001598756373382E-11</v>
      </c>
      <c r="J1038" s="18">
        <f>SUMIFS(Projetos!$G$2:$G$11,Projetos!$K$2:$K$11,"&lt;="&amp;Dados!$A1038,Projetos!$N$2:$N$11,"&gt;"&amp;Dados!$A1038,Projetos!$D$2:$D$11,"USD")</f>
        <v>0</v>
      </c>
      <c r="K1038" s="18">
        <f t="shared" ca="1" si="65"/>
        <v>8.8878604836532999E-9</v>
      </c>
    </row>
    <row r="1039" spans="1:11" x14ac:dyDescent="0.2">
      <c r="A1039" s="45">
        <f t="shared" ca="1" si="66"/>
        <v>1.155421862874929E-8</v>
      </c>
      <c r="B1039" s="18">
        <f>-SUMIFS(Projetos!$F$2:$F$11,Projetos!$D$2:$D$11,"BRL",Projetos!$N$2:$N$11,Dados!$A1039)</f>
        <v>0</v>
      </c>
      <c r="C1039" s="45">
        <f ca="1">(A1039+B1039)*((Indicadores_Economicos!D$2+1)^(1/12)-1)</f>
        <v>3.7825505177160338E-11</v>
      </c>
      <c r="D1039" s="18">
        <f>SUMIFS(Projetos!$G$2:$G$11,Projetos!$K$2:$K$11,"&lt;="&amp;Dados!$A1039,Projetos!$N$2:$N$11,"&gt;"&amp;Dados!A1039,Projetos!$D$2:$D$11,"BRL")</f>
        <v>0</v>
      </c>
      <c r="E1039" s="18">
        <f t="shared" ca="1" si="64"/>
        <v>1.159204413392645E-8</v>
      </c>
      <c r="G1039" s="45">
        <f t="shared" ca="1" si="67"/>
        <v>8.8878604836532999E-9</v>
      </c>
      <c r="H1039" s="18">
        <f>-SUMIFS(Projetos!$F$2:$F$11,Projetos!$D$2:$D$11,"USD",Projetos!$N$2:$N$11,Dados!$A1039)</f>
        <v>0</v>
      </c>
      <c r="I1039" s="45">
        <f ca="1">(G1039+H1039)*((Indicadores_Economicos!D$2+1)^(1/12)-1)</f>
        <v>2.9096542443969492E-11</v>
      </c>
      <c r="J1039" s="18">
        <f>SUMIFS(Projetos!$G$2:$G$11,Projetos!$K$2:$K$11,"&lt;="&amp;Dados!$A1039,Projetos!$N$2:$N$11,"&gt;"&amp;Dados!$A1039,Projetos!$D$2:$D$11,"USD")</f>
        <v>0</v>
      </c>
      <c r="K1039" s="18">
        <f t="shared" ca="1" si="65"/>
        <v>8.9169570260972696E-9</v>
      </c>
    </row>
    <row r="1040" spans="1:11" x14ac:dyDescent="0.2">
      <c r="A1040" s="45">
        <f t="shared" ca="1" si="66"/>
        <v>1.159204413392645E-8</v>
      </c>
      <c r="B1040" s="18">
        <f>-SUMIFS(Projetos!$F$2:$F$11,Projetos!$D$2:$D$11,"BRL",Projetos!$N$2:$N$11,Dados!$A1040)</f>
        <v>0</v>
      </c>
      <c r="C1040" s="45">
        <f ca="1">(A1040+B1040)*((Indicadores_Economicos!D$2+1)^(1/12)-1)</f>
        <v>3.7949336038240579E-11</v>
      </c>
      <c r="D1040" s="18">
        <f>SUMIFS(Projetos!$G$2:$G$11,Projetos!$K$2:$K$11,"&lt;="&amp;Dados!$A1040,Projetos!$N$2:$N$11,"&gt;"&amp;Dados!A1040,Projetos!$D$2:$D$11,"BRL")</f>
        <v>0</v>
      </c>
      <c r="E1040" s="18">
        <f t="shared" ca="1" si="64"/>
        <v>1.162999346996469E-8</v>
      </c>
      <c r="G1040" s="45">
        <f t="shared" ca="1" si="67"/>
        <v>8.9169570260972696E-9</v>
      </c>
      <c r="H1040" s="18">
        <f>-SUMIFS(Projetos!$F$2:$F$11,Projetos!$D$2:$D$11,"USD",Projetos!$N$2:$N$11,Dados!$A1040)</f>
        <v>0</v>
      </c>
      <c r="I1040" s="45">
        <f ca="1">(G1040+H1040)*((Indicadores_Economicos!D$2+1)^(1/12)-1)</f>
        <v>2.9191796952492757E-11</v>
      </c>
      <c r="J1040" s="18">
        <f>SUMIFS(Projetos!$G$2:$G$11,Projetos!$K$2:$K$11,"&lt;="&amp;Dados!$A1040,Projetos!$N$2:$N$11,"&gt;"&amp;Dados!$A1040,Projetos!$D$2:$D$11,"USD")</f>
        <v>0</v>
      </c>
      <c r="K1040" s="18">
        <f t="shared" ca="1" si="65"/>
        <v>8.9461488230497623E-9</v>
      </c>
    </row>
    <row r="1041" spans="1:11" x14ac:dyDescent="0.2">
      <c r="A1041" s="45">
        <f t="shared" ca="1" si="66"/>
        <v>1.162999346996469E-8</v>
      </c>
      <c r="B1041" s="18">
        <f>-SUMIFS(Projetos!$F$2:$F$11,Projetos!$D$2:$D$11,"BRL",Projetos!$N$2:$N$11,Dados!$A1041)</f>
        <v>0</v>
      </c>
      <c r="C1041" s="45">
        <f ca="1">(A1041+B1041)*((Indicadores_Economicos!D$2+1)^(1/12)-1)</f>
        <v>3.8073572289337004E-11</v>
      </c>
      <c r="D1041" s="18">
        <f>SUMIFS(Projetos!$G$2:$G$11,Projetos!$K$2:$K$11,"&lt;="&amp;Dados!$A1041,Projetos!$N$2:$N$11,"&gt;"&amp;Dados!A1041,Projetos!$D$2:$D$11,"BRL")</f>
        <v>0</v>
      </c>
      <c r="E1041" s="18">
        <f t="shared" ca="1" si="64"/>
        <v>1.1668067042254027E-8</v>
      </c>
      <c r="G1041" s="45">
        <f t="shared" ca="1" si="67"/>
        <v>8.9461488230497623E-9</v>
      </c>
      <c r="H1041" s="18">
        <f>-SUMIFS(Projetos!$F$2:$F$11,Projetos!$D$2:$D$11,"USD",Projetos!$N$2:$N$11,Dados!$A1041)</f>
        <v>0</v>
      </c>
      <c r="I1041" s="45">
        <f ca="1">(G1041+H1041)*((Indicadores_Economicos!D$2+1)^(1/12)-1)</f>
        <v>2.9287363299490001E-11</v>
      </c>
      <c r="J1041" s="18">
        <f>SUMIFS(Projetos!$G$2:$G$11,Projetos!$K$2:$K$11,"&lt;="&amp;Dados!$A1041,Projetos!$N$2:$N$11,"&gt;"&amp;Dados!$A1041,Projetos!$D$2:$D$11,"USD")</f>
        <v>0</v>
      </c>
      <c r="K1041" s="18">
        <f t="shared" ca="1" si="65"/>
        <v>8.9754361863492528E-9</v>
      </c>
    </row>
    <row r="1042" spans="1:11" x14ac:dyDescent="0.2">
      <c r="A1042" s="45">
        <f t="shared" ca="1" si="66"/>
        <v>1.1668067042254027E-8</v>
      </c>
      <c r="B1042" s="18">
        <f>-SUMIFS(Projetos!$F$2:$F$11,Projetos!$D$2:$D$11,"BRL",Projetos!$N$2:$N$11,Dados!$A1042)</f>
        <v>0</v>
      </c>
      <c r="C1042" s="45">
        <f ca="1">(A1042+B1042)*((Indicadores_Economicos!D$2+1)^(1/12)-1)</f>
        <v>3.8198215257591033E-11</v>
      </c>
      <c r="D1042" s="18">
        <f>SUMIFS(Projetos!$G$2:$G$11,Projetos!$K$2:$K$11,"&lt;="&amp;Dados!$A1042,Projetos!$N$2:$N$11,"&gt;"&amp;Dados!A1042,Projetos!$D$2:$D$11,"BRL")</f>
        <v>0</v>
      </c>
      <c r="E1042" s="18">
        <f t="shared" ca="1" si="64"/>
        <v>1.1706265257511619E-8</v>
      </c>
      <c r="G1042" s="45">
        <f t="shared" ca="1" si="67"/>
        <v>8.9754361863492528E-9</v>
      </c>
      <c r="H1042" s="18">
        <f>-SUMIFS(Projetos!$F$2:$F$11,Projetos!$D$2:$D$11,"USD",Projetos!$N$2:$N$11,Dados!$A1042)</f>
        <v>0</v>
      </c>
      <c r="I1042" s="45">
        <f ca="1">(G1042+H1042)*((Indicadores_Economicos!D$2+1)^(1/12)-1)</f>
        <v>2.9383242505839256E-11</v>
      </c>
      <c r="J1042" s="18">
        <f>SUMIFS(Projetos!$G$2:$G$11,Projetos!$K$2:$K$11,"&lt;="&amp;Dados!$A1042,Projetos!$N$2:$N$11,"&gt;"&amp;Dados!$A1042,Projetos!$D$2:$D$11,"USD")</f>
        <v>0</v>
      </c>
      <c r="K1042" s="18">
        <f t="shared" ca="1" si="65"/>
        <v>9.0048194288550928E-9</v>
      </c>
    </row>
    <row r="1043" spans="1:11" x14ac:dyDescent="0.2">
      <c r="A1043" s="45">
        <f t="shared" ca="1" si="66"/>
        <v>1.1706265257511619E-8</v>
      </c>
      <c r="B1043" s="18">
        <f>-SUMIFS(Projetos!$F$2:$F$11,Projetos!$D$2:$D$11,"BRL",Projetos!$N$2:$N$11,Dados!$A1043)</f>
        <v>0</v>
      </c>
      <c r="C1043" s="45">
        <f ca="1">(A1043+B1043)*((Indicadores_Economicos!D$2+1)^(1/12)-1)</f>
        <v>3.8323266274488805E-11</v>
      </c>
      <c r="D1043" s="18">
        <f>SUMIFS(Projetos!$G$2:$G$11,Projetos!$K$2:$K$11,"&lt;="&amp;Dados!$A1043,Projetos!$N$2:$N$11,"&gt;"&amp;Dados!A1043,Projetos!$D$2:$D$11,"BRL")</f>
        <v>0</v>
      </c>
      <c r="E1043" s="18">
        <f t="shared" ca="1" si="64"/>
        <v>1.1744588523786108E-8</v>
      </c>
      <c r="G1043" s="45">
        <f t="shared" ca="1" si="67"/>
        <v>9.0048194288550928E-9</v>
      </c>
      <c r="H1043" s="18">
        <f>-SUMIFS(Projetos!$F$2:$F$11,Projetos!$D$2:$D$11,"USD",Projetos!$N$2:$N$11,Dados!$A1043)</f>
        <v>0</v>
      </c>
      <c r="I1043" s="45">
        <f ca="1">(G1043+H1043)*((Indicadores_Economicos!D$2+1)^(1/12)-1)</f>
        <v>2.9479435595760624E-11</v>
      </c>
      <c r="J1043" s="18">
        <f>SUMIFS(Projetos!$G$2:$G$11,Projetos!$K$2:$K$11,"&lt;="&amp;Dados!$A1043,Projetos!$N$2:$N$11,"&gt;"&amp;Dados!$A1043,Projetos!$D$2:$D$11,"USD")</f>
        <v>0</v>
      </c>
      <c r="K1043" s="18">
        <f t="shared" ca="1" si="65"/>
        <v>9.0342988644508537E-9</v>
      </c>
    </row>
    <row r="1044" spans="1:11" x14ac:dyDescent="0.2">
      <c r="A1044" s="45">
        <f t="shared" ca="1" si="66"/>
        <v>1.1744588523786108E-8</v>
      </c>
      <c r="B1044" s="18">
        <f>-SUMIFS(Projetos!$F$2:$F$11,Projetos!$D$2:$D$11,"BRL",Projetos!$N$2:$N$11,Dados!$A1044)</f>
        <v>0</v>
      </c>
      <c r="C1044" s="45">
        <f ca="1">(A1044+B1044)*((Indicadores_Economicos!D$2+1)^(1/12)-1)</f>
        <v>3.8448726675875405E-11</v>
      </c>
      <c r="D1044" s="18">
        <f>SUMIFS(Projetos!$G$2:$G$11,Projetos!$K$2:$K$11,"&lt;="&amp;Dados!$A1044,Projetos!$N$2:$N$11,"&gt;"&amp;Dados!A1044,Projetos!$D$2:$D$11,"BRL")</f>
        <v>0</v>
      </c>
      <c r="E1044" s="18">
        <f t="shared" ca="1" si="64"/>
        <v>1.1783037250461984E-8</v>
      </c>
      <c r="G1044" s="45">
        <f t="shared" ca="1" si="67"/>
        <v>9.0342988644508537E-9</v>
      </c>
      <c r="H1044" s="18">
        <f>-SUMIFS(Projetos!$F$2:$F$11,Projetos!$D$2:$D$11,"USD",Projetos!$N$2:$N$11,Dados!$A1044)</f>
        <v>0</v>
      </c>
      <c r="I1044" s="45">
        <f ca="1">(G1044+H1044)*((Indicadores_Economicos!D$2+1)^(1/12)-1)</f>
        <v>2.9575943596827239E-11</v>
      </c>
      <c r="J1044" s="18">
        <f>SUMIFS(Projetos!$G$2:$G$11,Projetos!$K$2:$K$11,"&lt;="&amp;Dados!$A1044,Projetos!$N$2:$N$11,"&gt;"&amp;Dados!$A1044,Projetos!$D$2:$D$11,"USD")</f>
        <v>0</v>
      </c>
      <c r="K1044" s="18">
        <f t="shared" ca="1" si="65"/>
        <v>9.0638748080476806E-9</v>
      </c>
    </row>
    <row r="1045" spans="1:11" x14ac:dyDescent="0.2">
      <c r="A1045" s="45">
        <f t="shared" ca="1" si="66"/>
        <v>1.1783037250461984E-8</v>
      </c>
      <c r="B1045" s="18">
        <f>-SUMIFS(Projetos!$F$2:$F$11,Projetos!$D$2:$D$11,"BRL",Projetos!$N$2:$N$11,Dados!$A1045)</f>
        <v>0</v>
      </c>
      <c r="C1045" s="45">
        <f ca="1">(A1045+B1045)*((Indicadores_Economicos!D$2+1)^(1/12)-1)</f>
        <v>3.857459780196911E-11</v>
      </c>
      <c r="D1045" s="18">
        <f>SUMIFS(Projetos!$G$2:$G$11,Projetos!$K$2:$K$11,"&lt;="&amp;Dados!$A1045,Projetos!$N$2:$N$11,"&gt;"&amp;Dados!A1045,Projetos!$D$2:$D$11,"BRL")</f>
        <v>0</v>
      </c>
      <c r="E1045" s="18">
        <f t="shared" ca="1" si="64"/>
        <v>1.1821611848263952E-8</v>
      </c>
      <c r="G1045" s="45">
        <f t="shared" ca="1" si="67"/>
        <v>9.0638748080476806E-9</v>
      </c>
      <c r="H1045" s="18">
        <f>-SUMIFS(Projetos!$F$2:$F$11,Projetos!$D$2:$D$11,"USD",Projetos!$N$2:$N$11,Dados!$A1045)</f>
        <v>0</v>
      </c>
      <c r="I1045" s="45">
        <f ca="1">(G1045+H1045)*((Indicadores_Economicos!D$2+1)^(1/12)-1)</f>
        <v>2.9672767539976241E-11</v>
      </c>
      <c r="J1045" s="18">
        <f>SUMIFS(Projetos!$G$2:$G$11,Projetos!$K$2:$K$11,"&lt;="&amp;Dados!$A1045,Projetos!$N$2:$N$11,"&gt;"&amp;Dados!$A1045,Projetos!$D$2:$D$11,"USD")</f>
        <v>0</v>
      </c>
      <c r="K1045" s="18">
        <f t="shared" ca="1" si="65"/>
        <v>9.0935475755876568E-9</v>
      </c>
    </row>
    <row r="1046" spans="1:11" x14ac:dyDescent="0.2">
      <c r="A1046" s="45">
        <f t="shared" ca="1" si="66"/>
        <v>1.1821611848263952E-8</v>
      </c>
      <c r="B1046" s="18">
        <f>-SUMIFS(Projetos!$F$2:$F$11,Projetos!$D$2:$D$11,"BRL",Projetos!$N$2:$N$11,Dados!$A1046)</f>
        <v>0</v>
      </c>
      <c r="C1046" s="45">
        <f ca="1">(A1046+B1046)*((Indicadores_Economicos!D$2+1)^(1/12)-1)</f>
        <v>3.8700880997375741E-11</v>
      </c>
      <c r="D1046" s="18">
        <f>SUMIFS(Projetos!$G$2:$G$11,Projetos!$K$2:$K$11,"&lt;="&amp;Dados!$A1046,Projetos!$N$2:$N$11,"&gt;"&amp;Dados!A1046,Projetos!$D$2:$D$11,"BRL")</f>
        <v>0</v>
      </c>
      <c r="E1046" s="18">
        <f t="shared" ca="1" si="64"/>
        <v>1.1860312729261328E-8</v>
      </c>
      <c r="G1046" s="45">
        <f t="shared" ca="1" si="67"/>
        <v>9.0935475755876568E-9</v>
      </c>
      <c r="H1046" s="18">
        <f>-SUMIFS(Projetos!$F$2:$F$11,Projetos!$D$2:$D$11,"USD",Projetos!$N$2:$N$11,Dados!$A1046)</f>
        <v>0</v>
      </c>
      <c r="I1046" s="45">
        <f ca="1">(G1046+H1046)*((Indicadores_Economicos!D$2+1)^(1/12)-1)</f>
        <v>2.9769908459519803E-11</v>
      </c>
      <c r="J1046" s="18">
        <f>SUMIFS(Projetos!$G$2:$G$11,Projetos!$K$2:$K$11,"&lt;="&amp;Dados!$A1046,Projetos!$N$2:$N$11,"&gt;"&amp;Dados!$A1046,Projetos!$D$2:$D$11,"USD")</f>
        <v>0</v>
      </c>
      <c r="K1046" s="18">
        <f t="shared" ca="1" si="65"/>
        <v>9.123317484047177E-9</v>
      </c>
    </row>
    <row r="1047" spans="1:11" x14ac:dyDescent="0.2">
      <c r="A1047" s="45">
        <f t="shared" ca="1" si="66"/>
        <v>1.1860312729261328E-8</v>
      </c>
      <c r="B1047" s="18">
        <f>-SUMIFS(Projetos!$F$2:$F$11,Projetos!$D$2:$D$11,"BRL",Projetos!$N$2:$N$11,Dados!$A1047)</f>
        <v>0</v>
      </c>
      <c r="C1047" s="45">
        <f ca="1">(A1047+B1047)*((Indicadores_Economicos!D$2+1)^(1/12)-1)</f>
        <v>3.8827577611102994E-11</v>
      </c>
      <c r="D1047" s="18">
        <f>SUMIFS(Projetos!$G$2:$G$11,Projetos!$K$2:$K$11,"&lt;="&amp;Dados!$A1047,Projetos!$N$2:$N$11,"&gt;"&amp;Dados!A1047,Projetos!$D$2:$D$11,"BRL")</f>
        <v>0</v>
      </c>
      <c r="E1047" s="18">
        <f t="shared" ca="1" si="64"/>
        <v>1.1899140306872431E-8</v>
      </c>
      <c r="G1047" s="45">
        <f t="shared" ca="1" si="67"/>
        <v>9.123317484047177E-9</v>
      </c>
      <c r="H1047" s="18">
        <f>-SUMIFS(Projetos!$F$2:$F$11,Projetos!$D$2:$D$11,"USD",Projetos!$N$2:$N$11,Dados!$A1047)</f>
        <v>0</v>
      </c>
      <c r="I1047" s="45">
        <f ca="1">(G1047+H1047)*((Indicadores_Economicos!D$2+1)^(1/12)-1)</f>
        <v>2.9867367393156155E-11</v>
      </c>
      <c r="J1047" s="18">
        <f>SUMIFS(Projetos!$G$2:$G$11,Projetos!$K$2:$K$11,"&lt;="&amp;Dados!$A1047,Projetos!$N$2:$N$11,"&gt;"&amp;Dados!$A1047,Projetos!$D$2:$D$11,"USD")</f>
        <v>0</v>
      </c>
      <c r="K1047" s="18">
        <f t="shared" ca="1" si="65"/>
        <v>9.1531848514403327E-9</v>
      </c>
    </row>
    <row r="1048" spans="1:11" x14ac:dyDescent="0.2">
      <c r="A1048" s="45">
        <f t="shared" ca="1" si="66"/>
        <v>1.1899140306872431E-8</v>
      </c>
      <c r="B1048" s="18">
        <f>-SUMIFS(Projetos!$F$2:$F$11,Projetos!$D$2:$D$11,"BRL",Projetos!$N$2:$N$11,Dados!$A1048)</f>
        <v>0</v>
      </c>
      <c r="C1048" s="45">
        <f ca="1">(A1048+B1048)*((Indicadores_Economicos!D$2+1)^(1/12)-1)</f>
        <v>3.8954688996574875E-11</v>
      </c>
      <c r="D1048" s="18">
        <f>SUMIFS(Projetos!$G$2:$G$11,Projetos!$K$2:$K$11,"&lt;="&amp;Dados!$A1048,Projetos!$N$2:$N$11,"&gt;"&amp;Dados!A1048,Projetos!$D$2:$D$11,"BRL")</f>
        <v>0</v>
      </c>
      <c r="E1048" s="18">
        <f t="shared" ca="1" si="64"/>
        <v>1.1938094995869007E-8</v>
      </c>
      <c r="G1048" s="45">
        <f t="shared" ca="1" si="67"/>
        <v>9.1531848514403327E-9</v>
      </c>
      <c r="H1048" s="18">
        <f>-SUMIFS(Projetos!$F$2:$F$11,Projetos!$D$2:$D$11,"USD",Projetos!$N$2:$N$11,Dados!$A1048)</f>
        <v>0</v>
      </c>
      <c r="I1048" s="45">
        <f ca="1">(G1048+H1048)*((Indicadores_Economicos!D$2+1)^(1/12)-1)</f>
        <v>2.9965145381980681E-11</v>
      </c>
      <c r="J1048" s="18">
        <f>SUMIFS(Projetos!$G$2:$G$11,Projetos!$K$2:$K$11,"&lt;="&amp;Dados!$A1048,Projetos!$N$2:$N$11,"&gt;"&amp;Dados!$A1048,Projetos!$D$2:$D$11,"USD")</f>
        <v>0</v>
      </c>
      <c r="K1048" s="18">
        <f t="shared" ca="1" si="65"/>
        <v>9.183149996822313E-9</v>
      </c>
    </row>
    <row r="1049" spans="1:11" x14ac:dyDescent="0.2">
      <c r="A1049" s="45">
        <f t="shared" ca="1" si="66"/>
        <v>1.1938094995869007E-8</v>
      </c>
      <c r="B1049" s="18">
        <f>-SUMIFS(Projetos!$F$2:$F$11,Projetos!$D$2:$D$11,"BRL",Projetos!$N$2:$N$11,Dados!$A1049)</f>
        <v>0</v>
      </c>
      <c r="C1049" s="45">
        <f ca="1">(A1049+B1049)*((Indicadores_Economicos!D$2+1)^(1/12)-1)</f>
        <v>3.9082216511646153E-11</v>
      </c>
      <c r="D1049" s="18">
        <f>SUMIFS(Projetos!$G$2:$G$11,Projetos!$K$2:$K$11,"&lt;="&amp;Dados!$A1049,Projetos!$N$2:$N$11,"&gt;"&amp;Dados!A1049,Projetos!$D$2:$D$11,"BRL")</f>
        <v>0</v>
      </c>
      <c r="E1049" s="18">
        <f t="shared" ca="1" si="64"/>
        <v>1.1977177212380653E-8</v>
      </c>
      <c r="G1049" s="45">
        <f t="shared" ca="1" si="67"/>
        <v>9.183149996822313E-9</v>
      </c>
      <c r="H1049" s="18">
        <f>-SUMIFS(Projetos!$F$2:$F$11,Projetos!$D$2:$D$11,"USD",Projetos!$N$2:$N$11,Dados!$A1049)</f>
        <v>0</v>
      </c>
      <c r="I1049" s="45">
        <f ca="1">(G1049+H1049)*((Indicadores_Economicos!D$2+1)^(1/12)-1)</f>
        <v>3.0063243470497039E-11</v>
      </c>
      <c r="J1049" s="18">
        <f>SUMIFS(Projetos!$G$2:$G$11,Projetos!$K$2:$K$11,"&lt;="&amp;Dados!$A1049,Projetos!$N$2:$N$11,"&gt;"&amp;Dados!$A1049,Projetos!$D$2:$D$11,"USD")</f>
        <v>0</v>
      </c>
      <c r="K1049" s="18">
        <f t="shared" ca="1" si="65"/>
        <v>9.2132132402928094E-9</v>
      </c>
    </row>
    <row r="1050" spans="1:11" x14ac:dyDescent="0.2">
      <c r="A1050" s="45">
        <f t="shared" ca="1" si="66"/>
        <v>1.1977177212380653E-8</v>
      </c>
      <c r="B1050" s="18">
        <f>-SUMIFS(Projetos!$F$2:$F$11,Projetos!$D$2:$D$11,"BRL",Projetos!$N$2:$N$11,Dados!$A1050)</f>
        <v>0</v>
      </c>
      <c r="C1050" s="45">
        <f ca="1">(A1050+B1050)*((Indicadores_Economicos!D$2+1)^(1/12)-1)</f>
        <v>3.9210161518616843E-11</v>
      </c>
      <c r="D1050" s="18">
        <f>SUMIFS(Projetos!$G$2:$G$11,Projetos!$K$2:$K$11,"&lt;="&amp;Dados!$A1050,Projetos!$N$2:$N$11,"&gt;"&amp;Dados!A1050,Projetos!$D$2:$D$11,"BRL")</f>
        <v>0</v>
      </c>
      <c r="E1050" s="18">
        <f t="shared" ca="1" si="64"/>
        <v>1.201638737389927E-8</v>
      </c>
      <c r="G1050" s="45">
        <f t="shared" ca="1" si="67"/>
        <v>9.2132132402928094E-9</v>
      </c>
      <c r="H1050" s="18">
        <f>-SUMIFS(Projetos!$F$2:$F$11,Projetos!$D$2:$D$11,"USD",Projetos!$N$2:$N$11,Dados!$A1050)</f>
        <v>0</v>
      </c>
      <c r="I1050" s="45">
        <f ca="1">(G1050+H1050)*((Indicadores_Economicos!D$2+1)^(1/12)-1)</f>
        <v>3.0161662706628336E-11</v>
      </c>
      <c r="J1050" s="18">
        <f>SUMIFS(Projetos!$G$2:$G$11,Projetos!$K$2:$K$11,"&lt;="&amp;Dados!$A1050,Projetos!$N$2:$N$11,"&gt;"&amp;Dados!$A1050,Projetos!$D$2:$D$11,"USD")</f>
        <v>0</v>
      </c>
      <c r="K1050" s="18">
        <f t="shared" ca="1" si="65"/>
        <v>9.2433749029994371E-9</v>
      </c>
    </row>
    <row r="1051" spans="1:11" x14ac:dyDescent="0.2">
      <c r="A1051" s="45">
        <f t="shared" ca="1" si="66"/>
        <v>1.201638737389927E-8</v>
      </c>
      <c r="B1051" s="18">
        <f>-SUMIFS(Projetos!$F$2:$F$11,Projetos!$D$2:$D$11,"BRL",Projetos!$N$2:$N$11,Dados!$A1051)</f>
        <v>0</v>
      </c>
      <c r="C1051" s="45">
        <f ca="1">(A1051+B1051)*((Indicadores_Economicos!D$2+1)^(1/12)-1)</f>
        <v>3.9338525384246783E-11</v>
      </c>
      <c r="D1051" s="18">
        <f>SUMIFS(Projetos!$G$2:$G$11,Projetos!$K$2:$K$11,"&lt;="&amp;Dados!$A1051,Projetos!$N$2:$N$11,"&gt;"&amp;Dados!A1051,Projetos!$D$2:$D$11,"BRL")</f>
        <v>0</v>
      </c>
      <c r="E1051" s="18">
        <f t="shared" ca="1" si="64"/>
        <v>1.2055725899283517E-8</v>
      </c>
      <c r="G1051" s="45">
        <f t="shared" ca="1" si="67"/>
        <v>9.2433749029994371E-9</v>
      </c>
      <c r="H1051" s="18">
        <f>-SUMIFS(Projetos!$F$2:$F$11,Projetos!$D$2:$D$11,"USD",Projetos!$N$2:$N$11,Dados!$A1051)</f>
        <v>0</v>
      </c>
      <c r="I1051" s="45">
        <f ca="1">(G1051+H1051)*((Indicadores_Economicos!D$2+1)^(1/12)-1)</f>
        <v>3.0260404141728287E-11</v>
      </c>
      <c r="J1051" s="18">
        <f>SUMIFS(Projetos!$G$2:$G$11,Projetos!$K$2:$K$11,"&lt;="&amp;Dados!$A1051,Projetos!$N$2:$N$11,"&gt;"&amp;Dados!$A1051,Projetos!$D$2:$D$11,"USD")</f>
        <v>0</v>
      </c>
      <c r="K1051" s="18">
        <f t="shared" ca="1" si="65"/>
        <v>9.2736353071411648E-9</v>
      </c>
    </row>
    <row r="1052" spans="1:11" x14ac:dyDescent="0.2">
      <c r="A1052" s="45">
        <f t="shared" ca="1" si="66"/>
        <v>1.2055725899283517E-8</v>
      </c>
      <c r="B1052" s="18">
        <f>-SUMIFS(Projetos!$F$2:$F$11,Projetos!$D$2:$D$11,"BRL",Projetos!$N$2:$N$11,Dados!$A1052)</f>
        <v>0</v>
      </c>
      <c r="C1052" s="45">
        <f ca="1">(A1052+B1052)*((Indicadores_Economicos!D$2+1)^(1/12)-1)</f>
        <v>3.9467309479770233E-11</v>
      </c>
      <c r="D1052" s="18">
        <f>SUMIFS(Projetos!$G$2:$G$11,Projetos!$K$2:$K$11,"&lt;="&amp;Dados!$A1052,Projetos!$N$2:$N$11,"&gt;"&amp;Dados!A1052,Projetos!$D$2:$D$11,"BRL")</f>
        <v>0</v>
      </c>
      <c r="E1052" s="18">
        <f t="shared" ca="1" si="64"/>
        <v>1.2095193208763288E-8</v>
      </c>
      <c r="G1052" s="45">
        <f t="shared" ca="1" si="67"/>
        <v>9.2736353071411648E-9</v>
      </c>
      <c r="H1052" s="18">
        <f>-SUMIFS(Projetos!$F$2:$F$11,Projetos!$D$2:$D$11,"USD",Projetos!$N$2:$N$11,Dados!$A1052)</f>
        <v>0</v>
      </c>
      <c r="I1052" s="45">
        <f ca="1">(G1052+H1052)*((Indicadores_Economicos!D$2+1)^(1/12)-1)</f>
        <v>3.0359468830592483E-11</v>
      </c>
      <c r="J1052" s="18">
        <f>SUMIFS(Projetos!$G$2:$G$11,Projetos!$K$2:$K$11,"&lt;="&amp;Dados!$A1052,Projetos!$N$2:$N$11,"&gt;"&amp;Dados!$A1052,Projetos!$D$2:$D$11,"USD")</f>
        <v>0</v>
      </c>
      <c r="K1052" s="18">
        <f t="shared" ca="1" si="65"/>
        <v>9.3039947759717566E-9</v>
      </c>
    </row>
    <row r="1053" spans="1:11" x14ac:dyDescent="0.2">
      <c r="A1053" s="45">
        <f t="shared" ca="1" si="66"/>
        <v>1.2095193208763288E-8</v>
      </c>
      <c r="B1053" s="18">
        <f>-SUMIFS(Projetos!$F$2:$F$11,Projetos!$D$2:$D$11,"BRL",Projetos!$N$2:$N$11,Dados!$A1053)</f>
        <v>0</v>
      </c>
      <c r="C1053" s="45">
        <f ca="1">(A1053+B1053)*((Indicadores_Economicos!D$2+1)^(1/12)-1)</f>
        <v>3.9596515180910515E-11</v>
      </c>
      <c r="D1053" s="18">
        <f>SUMIFS(Projetos!$G$2:$G$11,Projetos!$K$2:$K$11,"&lt;="&amp;Dados!$A1053,Projetos!$N$2:$N$11,"&gt;"&amp;Dados!A1053,Projetos!$D$2:$D$11,"BRL")</f>
        <v>0</v>
      </c>
      <c r="E1053" s="18">
        <f t="shared" ca="1" si="64"/>
        <v>1.2134789723944199E-8</v>
      </c>
      <c r="G1053" s="45">
        <f t="shared" ca="1" si="67"/>
        <v>9.3039947759717566E-9</v>
      </c>
      <c r="H1053" s="18">
        <f>-SUMIFS(Projetos!$F$2:$F$11,Projetos!$D$2:$D$11,"USD",Projetos!$N$2:$N$11,Dados!$A1053)</f>
        <v>0</v>
      </c>
      <c r="I1053" s="45">
        <f ca="1">(G1053+H1053)*((Indicadores_Economicos!D$2+1)^(1/12)-1)</f>
        <v>3.0458857831469618E-11</v>
      </c>
      <c r="J1053" s="18">
        <f>SUMIFS(Projetos!$G$2:$G$11,Projetos!$K$2:$K$11,"&lt;="&amp;Dados!$A1053,Projetos!$N$2:$N$11,"&gt;"&amp;Dados!$A1053,Projetos!$D$2:$D$11,"USD")</f>
        <v>0</v>
      </c>
      <c r="K1053" s="18">
        <f t="shared" ca="1" si="65"/>
        <v>9.3344536338032255E-9</v>
      </c>
    </row>
    <row r="1054" spans="1:11" x14ac:dyDescent="0.2">
      <c r="A1054" s="45">
        <f t="shared" ca="1" si="66"/>
        <v>1.2134789723944199E-8</v>
      </c>
      <c r="B1054" s="18">
        <f>-SUMIFS(Projetos!$F$2:$F$11,Projetos!$D$2:$D$11,"BRL",Projetos!$N$2:$N$11,Dados!$A1054)</f>
        <v>0</v>
      </c>
      <c r="C1054" s="45">
        <f ca="1">(A1054+B1054)*((Indicadores_Economicos!D$2+1)^(1/12)-1)</f>
        <v>3.9726143867894705E-11</v>
      </c>
      <c r="D1054" s="18">
        <f>SUMIFS(Projetos!$G$2:$G$11,Projetos!$K$2:$K$11,"&lt;="&amp;Dados!$A1054,Projetos!$N$2:$N$11,"&gt;"&amp;Dados!A1054,Projetos!$D$2:$D$11,"BRL")</f>
        <v>0</v>
      </c>
      <c r="E1054" s="18">
        <f t="shared" ca="1" si="64"/>
        <v>1.2174515867812094E-8</v>
      </c>
      <c r="G1054" s="45">
        <f t="shared" ca="1" si="67"/>
        <v>9.3344536338032255E-9</v>
      </c>
      <c r="H1054" s="18">
        <f>-SUMIFS(Projetos!$F$2:$F$11,Projetos!$D$2:$D$11,"USD",Projetos!$N$2:$N$11,Dados!$A1054)</f>
        <v>0</v>
      </c>
      <c r="I1054" s="45">
        <f ca="1">(G1054+H1054)*((Indicadores_Economicos!D$2+1)^(1/12)-1)</f>
        <v>3.0558572206072836E-11</v>
      </c>
      <c r="J1054" s="18">
        <f>SUMIFS(Projetos!$G$2:$G$11,Projetos!$K$2:$K$11,"&lt;="&amp;Dados!$A1054,Projetos!$N$2:$N$11,"&gt;"&amp;Dados!$A1054,Projetos!$D$2:$D$11,"USD")</f>
        <v>0</v>
      </c>
      <c r="K1054" s="18">
        <f t="shared" ca="1" si="65"/>
        <v>9.3650122060092988E-9</v>
      </c>
    </row>
    <row r="1055" spans="1:11" x14ac:dyDescent="0.2">
      <c r="A1055" s="45">
        <f t="shared" ca="1" si="66"/>
        <v>1.2174515867812094E-8</v>
      </c>
      <c r="B1055" s="18">
        <f>-SUMIFS(Projetos!$F$2:$F$11,Projetos!$D$2:$D$11,"BRL",Projetos!$N$2:$N$11,Dados!$A1055)</f>
        <v>0</v>
      </c>
      <c r="C1055" s="45">
        <f ca="1">(A1055+B1055)*((Indicadores_Economicos!D$2+1)^(1/12)-1)</f>
        <v>3.9856196925468391E-11</v>
      </c>
      <c r="D1055" s="18">
        <f>SUMIFS(Projetos!$G$2:$G$11,Projetos!$K$2:$K$11,"&lt;="&amp;Dados!$A1055,Projetos!$N$2:$N$11,"&gt;"&amp;Dados!A1055,Projetos!$D$2:$D$11,"BRL")</f>
        <v>0</v>
      </c>
      <c r="E1055" s="18">
        <f t="shared" ca="1" si="64"/>
        <v>1.2214372064737562E-8</v>
      </c>
      <c r="G1055" s="45">
        <f t="shared" ca="1" si="67"/>
        <v>9.3650122060092988E-9</v>
      </c>
      <c r="H1055" s="18">
        <f>-SUMIFS(Projetos!$F$2:$F$11,Projetos!$D$2:$D$11,"USD",Projetos!$N$2:$N$11,Dados!$A1055)</f>
        <v>0</v>
      </c>
      <c r="I1055" s="45">
        <f ca="1">(G1055+H1055)*((Indicadores_Economicos!D$2+1)^(1/12)-1)</f>
        <v>3.0658613019591057E-11</v>
      </c>
      <c r="J1055" s="18">
        <f>SUMIFS(Projetos!$G$2:$G$11,Projetos!$K$2:$K$11,"&lt;="&amp;Dados!$A1055,Projetos!$N$2:$N$11,"&gt;"&amp;Dados!$A1055,Projetos!$D$2:$D$11,"USD")</f>
        <v>0</v>
      </c>
      <c r="K1055" s="18">
        <f t="shared" ca="1" si="65"/>
        <v>9.3956708190288891E-9</v>
      </c>
    </row>
    <row r="1056" spans="1:11" x14ac:dyDescent="0.2">
      <c r="A1056" s="45">
        <f t="shared" ca="1" si="66"/>
        <v>1.2214372064737562E-8</v>
      </c>
      <c r="B1056" s="18">
        <f>-SUMIFS(Projetos!$F$2:$F$11,Projetos!$D$2:$D$11,"BRL",Projetos!$N$2:$N$11,Dados!$A1056)</f>
        <v>0</v>
      </c>
      <c r="C1056" s="45">
        <f ca="1">(A1056+B1056)*((Indicadores_Economicos!D$2+1)^(1/12)-1)</f>
        <v>3.9986675742910452E-11</v>
      </c>
      <c r="D1056" s="18">
        <f>SUMIFS(Projetos!$G$2:$G$11,Projetos!$K$2:$K$11,"&lt;="&amp;Dados!$A1056,Projetos!$N$2:$N$11,"&gt;"&amp;Dados!A1056,Projetos!$D$2:$D$11,"BRL")</f>
        <v>0</v>
      </c>
      <c r="E1056" s="18">
        <f t="shared" ca="1" si="64"/>
        <v>1.2254358740480472E-8</v>
      </c>
      <c r="G1056" s="45">
        <f t="shared" ca="1" si="67"/>
        <v>9.3956708190288891E-9</v>
      </c>
      <c r="H1056" s="18">
        <f>-SUMIFS(Projetos!$F$2:$F$11,Projetos!$D$2:$D$11,"USD",Projetos!$N$2:$N$11,Dados!$A1056)</f>
        <v>0</v>
      </c>
      <c r="I1056" s="45">
        <f ca="1">(G1056+H1056)*((Indicadores_Economicos!D$2+1)^(1/12)-1)</f>
        <v>3.0758981340700332E-11</v>
      </c>
      <c r="J1056" s="18">
        <f>SUMIFS(Projetos!$G$2:$G$11,Projetos!$K$2:$K$11,"&lt;="&amp;Dados!$A1056,Projetos!$N$2:$N$11,"&gt;"&amp;Dados!$A1056,Projetos!$D$2:$D$11,"USD")</f>
        <v>0</v>
      </c>
      <c r="K1056" s="18">
        <f t="shared" ca="1" si="65"/>
        <v>9.4264298003695901E-9</v>
      </c>
    </row>
    <row r="1057" spans="1:11" x14ac:dyDescent="0.2">
      <c r="A1057" s="45">
        <f t="shared" ca="1" si="66"/>
        <v>1.2254358740480472E-8</v>
      </c>
      <c r="B1057" s="18">
        <f>-SUMIFS(Projetos!$F$2:$F$11,Projetos!$D$2:$D$11,"BRL",Projetos!$N$2:$N$11,Dados!$A1057)</f>
        <v>0</v>
      </c>
      <c r="C1057" s="45">
        <f ca="1">(A1057+B1057)*((Indicadores_Economicos!D$2+1)^(1/12)-1)</f>
        <v>4.0117581714047908E-11</v>
      </c>
      <c r="D1057" s="18">
        <f>SUMIFS(Projetos!$G$2:$G$11,Projetos!$K$2:$K$11,"&lt;="&amp;Dados!$A1057,Projetos!$N$2:$N$11,"&gt;"&amp;Dados!A1057,Projetos!$D$2:$D$11,"BRL")</f>
        <v>0</v>
      </c>
      <c r="E1057" s="18">
        <f t="shared" ca="1" si="64"/>
        <v>1.229447632219452E-8</v>
      </c>
      <c r="G1057" s="45">
        <f t="shared" ca="1" si="67"/>
        <v>9.4264298003695901E-9</v>
      </c>
      <c r="H1057" s="18">
        <f>-SUMIFS(Projetos!$F$2:$F$11,Projetos!$D$2:$D$11,"USD",Projetos!$N$2:$N$11,Dados!$A1057)</f>
        <v>0</v>
      </c>
      <c r="I1057" s="45">
        <f ca="1">(G1057+H1057)*((Indicadores_Economicos!D$2+1)^(1/12)-1)</f>
        <v>3.0859678241575299E-11</v>
      </c>
      <c r="J1057" s="18">
        <f>SUMIFS(Projetos!$G$2:$G$11,Projetos!$K$2:$K$11,"&lt;="&amp;Dados!$A1057,Projetos!$N$2:$N$11,"&gt;"&amp;Dados!$A1057,Projetos!$D$2:$D$11,"USD")</f>
        <v>0</v>
      </c>
      <c r="K1057" s="18">
        <f t="shared" ca="1" si="65"/>
        <v>9.4572894786111653E-9</v>
      </c>
    </row>
    <row r="1058" spans="1:11" x14ac:dyDescent="0.2">
      <c r="A1058" s="45">
        <f t="shared" ca="1" si="66"/>
        <v>1.229447632219452E-8</v>
      </c>
      <c r="B1058" s="18">
        <f>-SUMIFS(Projetos!$F$2:$F$11,Projetos!$D$2:$D$11,"BRL",Projetos!$N$2:$N$11,Dados!$A1058)</f>
        <v>0</v>
      </c>
      <c r="C1058" s="45">
        <f ca="1">(A1058+B1058)*((Indicadores_Economicos!D$2+1)^(1/12)-1)</f>
        <v>4.0248916237270798E-11</v>
      </c>
      <c r="D1058" s="18">
        <f>SUMIFS(Projetos!$G$2:$G$11,Projetos!$K$2:$K$11,"&lt;="&amp;Dados!$A1058,Projetos!$N$2:$N$11,"&gt;"&amp;Dados!A1058,Projetos!$D$2:$D$11,"BRL")</f>
        <v>0</v>
      </c>
      <c r="E1058" s="18">
        <f t="shared" ca="1" si="64"/>
        <v>1.2334725238431792E-8</v>
      </c>
      <c r="G1058" s="45">
        <f t="shared" ca="1" si="67"/>
        <v>9.4572894786111653E-9</v>
      </c>
      <c r="H1058" s="18">
        <f>-SUMIFS(Projetos!$F$2:$F$11,Projetos!$D$2:$D$11,"USD",Projetos!$N$2:$N$11,Dados!$A1058)</f>
        <v>0</v>
      </c>
      <c r="I1058" s="45">
        <f ca="1">(G1058+H1058)*((Indicadores_Economicos!D$2+1)^(1/12)-1)</f>
        <v>3.0960704797900605E-11</v>
      </c>
      <c r="J1058" s="18">
        <f>SUMIFS(Projetos!$G$2:$G$11,Projetos!$K$2:$K$11,"&lt;="&amp;Dados!$A1058,Projetos!$N$2:$N$11,"&gt;"&amp;Dados!$A1058,Projetos!$D$2:$D$11,"USD")</f>
        <v>0</v>
      </c>
      <c r="K1058" s="18">
        <f t="shared" ca="1" si="65"/>
        <v>9.4882501834090654E-9</v>
      </c>
    </row>
    <row r="1059" spans="1:11" x14ac:dyDescent="0.2">
      <c r="A1059" s="45">
        <f t="shared" ca="1" si="66"/>
        <v>1.2334725238431792E-8</v>
      </c>
      <c r="B1059" s="18">
        <f>-SUMIFS(Projetos!$F$2:$F$11,Projetos!$D$2:$D$11,"BRL",Projetos!$N$2:$N$11,Dados!$A1059)</f>
        <v>0</v>
      </c>
      <c r="C1059" s="45">
        <f ca="1">(A1059+B1059)*((Indicadores_Economicos!D$2+1)^(1/12)-1)</f>
        <v>4.0380680715547146E-11</v>
      </c>
      <c r="D1059" s="18">
        <f>SUMIFS(Projetos!$G$2:$G$11,Projetos!$K$2:$K$11,"&lt;="&amp;Dados!$A1059,Projetos!$N$2:$N$11,"&gt;"&amp;Dados!A1059,Projetos!$D$2:$D$11,"BRL")</f>
        <v>0</v>
      </c>
      <c r="E1059" s="18">
        <f t="shared" ca="1" si="64"/>
        <v>1.2375105919147339E-8</v>
      </c>
      <c r="G1059" s="45">
        <f t="shared" ca="1" si="67"/>
        <v>9.4882501834090654E-9</v>
      </c>
      <c r="H1059" s="18">
        <f>-SUMIFS(Projetos!$F$2:$F$11,Projetos!$D$2:$D$11,"USD",Projetos!$N$2:$N$11,Dados!$A1059)</f>
        <v>0</v>
      </c>
      <c r="I1059" s="45">
        <f ca="1">(G1059+H1059)*((Indicadores_Economicos!D$2+1)^(1/12)-1)</f>
        <v>3.1062062088882407E-11</v>
      </c>
      <c r="J1059" s="18">
        <f>SUMIFS(Projetos!$G$2:$G$11,Projetos!$K$2:$K$11,"&lt;="&amp;Dados!$A1059,Projetos!$N$2:$N$11,"&gt;"&amp;Dados!$A1059,Projetos!$D$2:$D$11,"USD")</f>
        <v>0</v>
      </c>
      <c r="K1059" s="18">
        <f t="shared" ca="1" si="65"/>
        <v>9.5193122454979473E-9</v>
      </c>
    </row>
    <row r="1060" spans="1:11" x14ac:dyDescent="0.2">
      <c r="A1060" s="45">
        <f t="shared" ca="1" si="66"/>
        <v>1.2375105919147339E-8</v>
      </c>
      <c r="B1060" s="18">
        <f>-SUMIFS(Projetos!$F$2:$F$11,Projetos!$D$2:$D$11,"BRL",Projetos!$N$2:$N$11,Dados!$A1060)</f>
        <v>0</v>
      </c>
      <c r="C1060" s="45">
        <f ca="1">(A1060+B1060)*((Indicadores_Economicos!D$2+1)^(1/12)-1)</f>
        <v>4.0512876556437907E-11</v>
      </c>
      <c r="D1060" s="18">
        <f>SUMIFS(Projetos!$G$2:$G$11,Projetos!$K$2:$K$11,"&lt;="&amp;Dados!$A1060,Projetos!$N$2:$N$11,"&gt;"&amp;Dados!A1060,Projetos!$D$2:$D$11,"BRL")</f>
        <v>0</v>
      </c>
      <c r="E1060" s="18">
        <f t="shared" ca="1" si="64"/>
        <v>1.2415618795703777E-8</v>
      </c>
      <c r="G1060" s="45">
        <f t="shared" ca="1" si="67"/>
        <v>9.5193122454979473E-9</v>
      </c>
      <c r="H1060" s="18">
        <f>-SUMIFS(Projetos!$F$2:$F$11,Projetos!$D$2:$D$11,"USD",Projetos!$N$2:$N$11,Dados!$A1060)</f>
        <v>0</v>
      </c>
      <c r="I1060" s="45">
        <f ca="1">(G1060+H1060)*((Indicadores_Economicos!D$2+1)^(1/12)-1)</f>
        <v>3.1163751197259912E-11</v>
      </c>
      <c r="J1060" s="18">
        <f>SUMIFS(Projetos!$G$2:$G$11,Projetos!$K$2:$K$11,"&lt;="&amp;Dados!$A1060,Projetos!$N$2:$N$11,"&gt;"&amp;Dados!$A1060,Projetos!$D$2:$D$11,"USD")</f>
        <v>0</v>
      </c>
      <c r="K1060" s="18">
        <f t="shared" ca="1" si="65"/>
        <v>9.5504759966952073E-9</v>
      </c>
    </row>
    <row r="1061" spans="1:11" x14ac:dyDescent="0.2">
      <c r="A1061" s="45">
        <f t="shared" ca="1" si="66"/>
        <v>1.2415618795703777E-8</v>
      </c>
      <c r="B1061" s="18">
        <f>-SUMIFS(Projetos!$F$2:$F$11,Projetos!$D$2:$D$11,"BRL",Projetos!$N$2:$N$11,Dados!$A1061)</f>
        <v>0</v>
      </c>
      <c r="C1061" s="45">
        <f ca="1">(A1061+B1061)*((Indicadores_Economicos!D$2+1)^(1/12)-1)</f>
        <v>4.0645505172112032E-11</v>
      </c>
      <c r="D1061" s="18">
        <f>SUMIFS(Projetos!$G$2:$G$11,Projetos!$K$2:$K$11,"&lt;="&amp;Dados!$A1061,Projetos!$N$2:$N$11,"&gt;"&amp;Dados!A1061,Projetos!$D$2:$D$11,"BRL")</f>
        <v>0</v>
      </c>
      <c r="E1061" s="18">
        <f t="shared" ca="1" si="64"/>
        <v>1.2456264300875889E-8</v>
      </c>
      <c r="G1061" s="45">
        <f t="shared" ca="1" si="67"/>
        <v>9.5504759966952073E-9</v>
      </c>
      <c r="H1061" s="18">
        <f>-SUMIFS(Projetos!$F$2:$F$11,Projetos!$D$2:$D$11,"USD",Projetos!$N$2:$N$11,Dados!$A1061)</f>
        <v>0</v>
      </c>
      <c r="I1061" s="45">
        <f ca="1">(G1061+H1061)*((Indicadores_Economicos!D$2+1)^(1/12)-1)</f>
        <v>3.1265773209316931E-11</v>
      </c>
      <c r="J1061" s="18">
        <f>SUMIFS(Projetos!$G$2:$G$11,Projetos!$K$2:$K$11,"&lt;="&amp;Dados!$A1061,Projetos!$N$2:$N$11,"&gt;"&amp;Dados!$A1061,Projetos!$D$2:$D$11,"USD")</f>
        <v>0</v>
      </c>
      <c r="K1061" s="18">
        <f t="shared" ca="1" si="65"/>
        <v>9.5817417699045238E-9</v>
      </c>
    </row>
    <row r="1062" spans="1:11" x14ac:dyDescent="0.2">
      <c r="A1062" s="45">
        <f t="shared" ca="1" si="66"/>
        <v>1.2456264300875889E-8</v>
      </c>
      <c r="B1062" s="18">
        <f>-SUMIFS(Projetos!$F$2:$F$11,Projetos!$D$2:$D$11,"BRL",Projetos!$N$2:$N$11,Dados!$A1062)</f>
        <v>0</v>
      </c>
      <c r="C1062" s="45">
        <f ca="1">(A1062+B1062)*((Indicadores_Economicos!D$2+1)^(1/12)-1)</f>
        <v>4.0778567979361547E-11</v>
      </c>
      <c r="D1062" s="18">
        <f>SUMIFS(Projetos!$G$2:$G$11,Projetos!$K$2:$K$11,"&lt;="&amp;Dados!$A1062,Projetos!$N$2:$N$11,"&gt;"&amp;Dados!A1062,Projetos!$D$2:$D$11,"BRL")</f>
        <v>0</v>
      </c>
      <c r="E1062" s="18">
        <f t="shared" ca="1" si="64"/>
        <v>1.249704286885525E-8</v>
      </c>
      <c r="G1062" s="45">
        <f t="shared" ca="1" si="67"/>
        <v>9.5817417699045238E-9</v>
      </c>
      <c r="H1062" s="18">
        <f>-SUMIFS(Projetos!$F$2:$F$11,Projetos!$D$2:$D$11,"USD",Projetos!$N$2:$N$11,Dados!$A1062)</f>
        <v>0</v>
      </c>
      <c r="I1062" s="45">
        <f ca="1">(G1062+H1062)*((Indicadores_Economicos!D$2+1)^(1/12)-1)</f>
        <v>3.1368129214893474E-11</v>
      </c>
      <c r="J1062" s="18">
        <f>SUMIFS(Projetos!$G$2:$G$11,Projetos!$K$2:$K$11,"&lt;="&amp;Dados!$A1062,Projetos!$N$2:$N$11,"&gt;"&amp;Dados!$A1062,Projetos!$D$2:$D$11,"USD")</f>
        <v>0</v>
      </c>
      <c r="K1062" s="18">
        <f t="shared" ca="1" si="65"/>
        <v>9.6131098991194167E-9</v>
      </c>
    </row>
    <row r="1063" spans="1:11" x14ac:dyDescent="0.2">
      <c r="A1063" s="45">
        <f t="shared" ca="1" si="66"/>
        <v>1.249704286885525E-8</v>
      </c>
      <c r="B1063" s="18">
        <f>-SUMIFS(Projetos!$F$2:$F$11,Projetos!$D$2:$D$11,"BRL",Projetos!$N$2:$N$11,Dados!$A1063)</f>
        <v>0</v>
      </c>
      <c r="C1063" s="45">
        <f ca="1">(A1063+B1063)*((Indicadores_Economicos!D$2+1)^(1/12)-1)</f>
        <v>4.0912066399616687E-11</v>
      </c>
      <c r="D1063" s="18">
        <f>SUMIFS(Projetos!$G$2:$G$11,Projetos!$K$2:$K$11,"&lt;="&amp;Dados!$A1063,Projetos!$N$2:$N$11,"&gt;"&amp;Dados!A1063,Projetos!$D$2:$D$11,"BRL")</f>
        <v>0</v>
      </c>
      <c r="E1063" s="18">
        <f t="shared" ca="1" si="64"/>
        <v>1.2537954935254866E-8</v>
      </c>
      <c r="G1063" s="45">
        <f t="shared" ca="1" si="67"/>
        <v>9.6131098991194167E-9</v>
      </c>
      <c r="H1063" s="18">
        <f>-SUMIFS(Projetos!$F$2:$F$11,Projetos!$D$2:$D$11,"USD",Projetos!$N$2:$N$11,Dados!$A1063)</f>
        <v>0</v>
      </c>
      <c r="I1063" s="45">
        <f ca="1">(G1063+H1063)*((Indicadores_Economicos!D$2+1)^(1/12)-1)</f>
        <v>3.1470820307397425E-11</v>
      </c>
      <c r="J1063" s="18">
        <f>SUMIFS(Projetos!$G$2:$G$11,Projetos!$K$2:$K$11,"&lt;="&amp;Dados!$A1063,Projetos!$N$2:$N$11,"&gt;"&amp;Dados!$A1063,Projetos!$D$2:$D$11,"USD")</f>
        <v>0</v>
      </c>
      <c r="K1063" s="18">
        <f t="shared" ca="1" si="65"/>
        <v>9.6445807194268148E-9</v>
      </c>
    </row>
    <row r="1064" spans="1:11" x14ac:dyDescent="0.2">
      <c r="A1064" s="45">
        <f t="shared" ca="1" si="66"/>
        <v>1.2537954935254866E-8</v>
      </c>
      <c r="B1064" s="18">
        <f>-SUMIFS(Projetos!$F$2:$F$11,Projetos!$D$2:$D$11,"BRL",Projetos!$N$2:$N$11,Dados!$A1064)</f>
        <v>0</v>
      </c>
      <c r="C1064" s="45">
        <f ca="1">(A1064+B1064)*((Indicadores_Economicos!D$2+1)^(1/12)-1)</f>
        <v>4.1046001858961068E-11</v>
      </c>
      <c r="D1064" s="18">
        <f>SUMIFS(Projetos!$G$2:$G$11,Projetos!$K$2:$K$11,"&lt;="&amp;Dados!$A1064,Projetos!$N$2:$N$11,"&gt;"&amp;Dados!A1064,Projetos!$D$2:$D$11,"BRL")</f>
        <v>0</v>
      </c>
      <c r="E1064" s="18">
        <f t="shared" ca="1" si="64"/>
        <v>1.2579000937113827E-8</v>
      </c>
      <c r="G1064" s="45">
        <f t="shared" ca="1" si="67"/>
        <v>9.6445807194268148E-9</v>
      </c>
      <c r="H1064" s="18">
        <f>-SUMIFS(Projetos!$F$2:$F$11,Projetos!$D$2:$D$11,"USD",Projetos!$N$2:$N$11,Dados!$A1064)</f>
        <v>0</v>
      </c>
      <c r="I1064" s="45">
        <f ca="1">(G1064+H1064)*((Indicadores_Economicos!D$2+1)^(1/12)-1)</f>
        <v>3.1573847583816191E-11</v>
      </c>
      <c r="J1064" s="18">
        <f>SUMIFS(Projetos!$G$2:$G$11,Projetos!$K$2:$K$11,"&lt;="&amp;Dados!$A1064,Projetos!$N$2:$N$11,"&gt;"&amp;Dados!$A1064,Projetos!$D$2:$D$11,"USD")</f>
        <v>0</v>
      </c>
      <c r="K1064" s="18">
        <f t="shared" ca="1" si="65"/>
        <v>9.6761545670106307E-9</v>
      </c>
    </row>
    <row r="1065" spans="1:11" x14ac:dyDescent="0.2">
      <c r="A1065" s="45">
        <f t="shared" ca="1" si="66"/>
        <v>1.2579000937113827E-8</v>
      </c>
      <c r="B1065" s="18">
        <f>-SUMIFS(Projetos!$F$2:$F$11,Projetos!$D$2:$D$11,"BRL",Projetos!$N$2:$N$11,Dados!$A1065)</f>
        <v>0</v>
      </c>
      <c r="C1065" s="45">
        <f ca="1">(A1065+B1065)*((Indicadores_Economicos!D$2+1)^(1/12)-1)</f>
        <v>4.1180375788146965E-11</v>
      </c>
      <c r="D1065" s="18">
        <f>SUMIFS(Projetos!$G$2:$G$11,Projetos!$K$2:$K$11,"&lt;="&amp;Dados!$A1065,Projetos!$N$2:$N$11,"&gt;"&amp;Dados!A1065,Projetos!$D$2:$D$11,"BRL")</f>
        <v>0</v>
      </c>
      <c r="E1065" s="18">
        <f t="shared" ca="1" si="64"/>
        <v>1.2620181312901974E-8</v>
      </c>
      <c r="G1065" s="45">
        <f t="shared" ca="1" si="67"/>
        <v>9.6761545670106307E-9</v>
      </c>
      <c r="H1065" s="18">
        <f>-SUMIFS(Projetos!$F$2:$F$11,Projetos!$D$2:$D$11,"USD",Projetos!$N$2:$N$11,Dados!$A1065)</f>
        <v>0</v>
      </c>
      <c r="I1065" s="45">
        <f ca="1">(G1065+H1065)*((Indicadores_Economicos!D$2+1)^(1/12)-1)</f>
        <v>3.1677212144728412E-11</v>
      </c>
      <c r="J1065" s="18">
        <f>SUMIFS(Projetos!$G$2:$G$11,Projetos!$K$2:$K$11,"&lt;="&amp;Dados!$A1065,Projetos!$N$2:$N$11,"&gt;"&amp;Dados!$A1065,Projetos!$D$2:$D$11,"USD")</f>
        <v>0</v>
      </c>
      <c r="K1065" s="18">
        <f t="shared" ca="1" si="65"/>
        <v>9.7078317791553589E-9</v>
      </c>
    </row>
    <row r="1066" spans="1:11" x14ac:dyDescent="0.2">
      <c r="A1066" s="45">
        <f t="shared" ca="1" si="66"/>
        <v>1.2620181312901974E-8</v>
      </c>
      <c r="B1066" s="18">
        <f>-SUMIFS(Projetos!$F$2:$F$11,Projetos!$D$2:$D$11,"BRL",Projetos!$N$2:$N$11,Dados!$A1066)</f>
        <v>0</v>
      </c>
      <c r="C1066" s="45">
        <f ca="1">(A1066+B1066)*((Indicadores_Economicos!D$2+1)^(1/12)-1)</f>
        <v>4.1315189622610518E-11</v>
      </c>
      <c r="D1066" s="18">
        <f>SUMIFS(Projetos!$G$2:$G$11,Projetos!$K$2:$K$11,"&lt;="&amp;Dados!$A1066,Projetos!$N$2:$N$11,"&gt;"&amp;Dados!A1066,Projetos!$D$2:$D$11,"BRL")</f>
        <v>0</v>
      </c>
      <c r="E1066" s="18">
        <f t="shared" ca="1" si="64"/>
        <v>1.2661496502524584E-8</v>
      </c>
      <c r="G1066" s="45">
        <f t="shared" ca="1" si="67"/>
        <v>9.7078317791553589E-9</v>
      </c>
      <c r="H1066" s="18">
        <f>-SUMIFS(Projetos!$F$2:$F$11,Projetos!$D$2:$D$11,"USD",Projetos!$N$2:$N$11,Dados!$A1066)</f>
        <v>0</v>
      </c>
      <c r="I1066" s="45">
        <f ca="1">(G1066+H1066)*((Indicadores_Economicos!D$2+1)^(1/12)-1)</f>
        <v>3.1780915094315764E-11</v>
      </c>
      <c r="J1066" s="18">
        <f>SUMIFS(Projetos!$G$2:$G$11,Projetos!$K$2:$K$11,"&lt;="&amp;Dados!$A1066,Projetos!$N$2:$N$11,"&gt;"&amp;Dados!$A1066,Projetos!$D$2:$D$11,"USD")</f>
        <v>0</v>
      </c>
      <c r="K1066" s="18">
        <f t="shared" ca="1" si="65"/>
        <v>9.7396126942496741E-9</v>
      </c>
    </row>
    <row r="1067" spans="1:11" x14ac:dyDescent="0.2">
      <c r="A1067" s="45">
        <f t="shared" ca="1" si="66"/>
        <v>1.2661496502524584E-8</v>
      </c>
      <c r="B1067" s="18">
        <f>-SUMIFS(Projetos!$F$2:$F$11,Projetos!$D$2:$D$11,"BRL",Projetos!$N$2:$N$11,Dados!$A1067)</f>
        <v>0</v>
      </c>
      <c r="C1067" s="45">
        <f ca="1">(A1067+B1067)*((Indicadores_Economicos!D$2+1)^(1/12)-1)</f>
        <v>4.1450444802487152E-11</v>
      </c>
      <c r="D1067" s="18">
        <f>SUMIFS(Projetos!$G$2:$G$11,Projetos!$K$2:$K$11,"&lt;="&amp;Dados!$A1067,Projetos!$N$2:$N$11,"&gt;"&amp;Dados!A1067,Projetos!$D$2:$D$11,"BRL")</f>
        <v>0</v>
      </c>
      <c r="E1067" s="18">
        <f t="shared" ca="1" si="64"/>
        <v>1.2702946947327072E-8</v>
      </c>
      <c r="G1067" s="45">
        <f t="shared" ca="1" si="67"/>
        <v>9.7396126942496741E-9</v>
      </c>
      <c r="H1067" s="18">
        <f>-SUMIFS(Projetos!$F$2:$F$11,Projetos!$D$2:$D$11,"USD",Projetos!$N$2:$N$11,Dados!$A1067)</f>
        <v>0</v>
      </c>
      <c r="I1067" s="45">
        <f ca="1">(G1067+H1067)*((Indicadores_Economicos!D$2+1)^(1/12)-1)</f>
        <v>3.1884957540374711E-11</v>
      </c>
      <c r="J1067" s="18">
        <f>SUMIFS(Projetos!$G$2:$G$11,Projetos!$K$2:$K$11,"&lt;="&amp;Dados!$A1067,Projetos!$N$2:$N$11,"&gt;"&amp;Dados!$A1067,Projetos!$D$2:$D$11,"USD")</f>
        <v>0</v>
      </c>
      <c r="K1067" s="18">
        <f t="shared" ca="1" si="65"/>
        <v>9.7714976517900495E-9</v>
      </c>
    </row>
    <row r="1068" spans="1:11" x14ac:dyDescent="0.2">
      <c r="A1068" s="45">
        <f t="shared" ca="1" si="66"/>
        <v>1.2702946947327072E-8</v>
      </c>
      <c r="B1068" s="18">
        <f>-SUMIFS(Projetos!$F$2:$F$11,Projetos!$D$2:$D$11,"BRL",Projetos!$N$2:$N$11,Dados!$A1068)</f>
        <v>0</v>
      </c>
      <c r="C1068" s="45">
        <f ca="1">(A1068+B1068)*((Indicadores_Economicos!D$2+1)^(1/12)-1)</f>
        <v>4.1586142772626892E-11</v>
      </c>
      <c r="D1068" s="18">
        <f>SUMIFS(Projetos!$G$2:$G$11,Projetos!$K$2:$K$11,"&lt;="&amp;Dados!$A1068,Projetos!$N$2:$N$11,"&gt;"&amp;Dados!A1068,Projetos!$D$2:$D$11,"BRL")</f>
        <v>0</v>
      </c>
      <c r="E1068" s="18">
        <f t="shared" ca="1" si="64"/>
        <v>1.2744533090099698E-8</v>
      </c>
      <c r="G1068" s="45">
        <f t="shared" ca="1" si="67"/>
        <v>9.7714976517900495E-9</v>
      </c>
      <c r="H1068" s="18">
        <f>-SUMIFS(Projetos!$F$2:$F$11,Projetos!$D$2:$D$11,"USD",Projetos!$N$2:$N$11,Dados!$A1068)</f>
        <v>0</v>
      </c>
      <c r="I1068" s="45">
        <f ca="1">(G1068+H1068)*((Indicadores_Economicos!D$2+1)^(1/12)-1)</f>
        <v>3.1989340594328363E-11</v>
      </c>
      <c r="J1068" s="18">
        <f>SUMIFS(Projetos!$G$2:$G$11,Projetos!$K$2:$K$11,"&lt;="&amp;Dados!$A1068,Projetos!$N$2:$N$11,"&gt;"&amp;Dados!$A1068,Projetos!$D$2:$D$11,"USD")</f>
        <v>0</v>
      </c>
      <c r="K1068" s="18">
        <f t="shared" ca="1" si="65"/>
        <v>9.803486992384378E-9</v>
      </c>
    </row>
    <row r="1069" spans="1:11" x14ac:dyDescent="0.2">
      <c r="A1069" s="45">
        <f t="shared" ca="1" si="66"/>
        <v>1.2744533090099698E-8</v>
      </c>
      <c r="B1069" s="18">
        <f>-SUMIFS(Projetos!$F$2:$F$11,Projetos!$D$2:$D$11,"BRL",Projetos!$N$2:$N$11,Dados!$A1069)</f>
        <v>0</v>
      </c>
      <c r="C1069" s="45">
        <f ca="1">(A1069+B1069)*((Indicadores_Economicos!D$2+1)^(1/12)-1)</f>
        <v>4.1722284982609846E-11</v>
      </c>
      <c r="D1069" s="18">
        <f>SUMIFS(Projetos!$G$2:$G$11,Projetos!$K$2:$K$11,"&lt;="&amp;Dados!$A1069,Projetos!$N$2:$N$11,"&gt;"&amp;Dados!A1069,Projetos!$D$2:$D$11,"BRL")</f>
        <v>0</v>
      </c>
      <c r="E1069" s="18">
        <f t="shared" ca="1" si="64"/>
        <v>1.2786255375082307E-8</v>
      </c>
      <c r="G1069" s="45">
        <f t="shared" ca="1" si="67"/>
        <v>9.803486992384378E-9</v>
      </c>
      <c r="H1069" s="18">
        <f>-SUMIFS(Projetos!$F$2:$F$11,Projetos!$D$2:$D$11,"USD",Projetos!$N$2:$N$11,Dados!$A1069)</f>
        <v>0</v>
      </c>
      <c r="I1069" s="45">
        <f ca="1">(G1069+H1069)*((Indicadores_Economicos!D$2+1)^(1/12)-1)</f>
        <v>3.2094065371238326E-11</v>
      </c>
      <c r="J1069" s="18">
        <f>SUMIFS(Projetos!$G$2:$G$11,Projetos!$K$2:$K$11,"&lt;="&amp;Dados!$A1069,Projetos!$N$2:$N$11,"&gt;"&amp;Dados!$A1069,Projetos!$D$2:$D$11,"USD")</f>
        <v>0</v>
      </c>
      <c r="K1069" s="18">
        <f t="shared" ca="1" si="65"/>
        <v>9.8355810577556165E-9</v>
      </c>
    </row>
    <row r="1070" spans="1:11" x14ac:dyDescent="0.2">
      <c r="A1070" s="45">
        <f t="shared" ca="1" si="66"/>
        <v>1.2786255375082307E-8</v>
      </c>
      <c r="B1070" s="18">
        <f>-SUMIFS(Projetos!$F$2:$F$11,Projetos!$D$2:$D$11,"BRL",Projetos!$N$2:$N$11,Dados!$A1070)</f>
        <v>0</v>
      </c>
      <c r="C1070" s="45">
        <f ca="1">(A1070+B1070)*((Indicadores_Economicos!D$2+1)^(1/12)-1)</f>
        <v>4.185887288676165E-11</v>
      </c>
      <c r="D1070" s="18">
        <f>SUMIFS(Projetos!$G$2:$G$11,Projetos!$K$2:$K$11,"&lt;="&amp;Dados!$A1070,Projetos!$N$2:$N$11,"&gt;"&amp;Dados!A1070,Projetos!$D$2:$D$11,"BRL")</f>
        <v>0</v>
      </c>
      <c r="E1070" s="18">
        <f t="shared" ca="1" si="64"/>
        <v>1.2828114247969068E-8</v>
      </c>
      <c r="G1070" s="45">
        <f t="shared" ca="1" si="67"/>
        <v>9.8355810577556165E-9</v>
      </c>
      <c r="H1070" s="18">
        <f>-SUMIFS(Projetos!$F$2:$F$11,Projetos!$D$2:$D$11,"USD",Projetos!$N$2:$N$11,Dados!$A1070)</f>
        <v>0</v>
      </c>
      <c r="I1070" s="45">
        <f ca="1">(G1070+H1070)*((Indicadores_Economicos!D$2+1)^(1/12)-1)</f>
        <v>3.2199132989816644E-11</v>
      </c>
      <c r="J1070" s="18">
        <f>SUMIFS(Projetos!$G$2:$G$11,Projetos!$K$2:$K$11,"&lt;="&amp;Dados!$A1070,Projetos!$N$2:$N$11,"&gt;"&amp;Dados!$A1070,Projetos!$D$2:$D$11,"USD")</f>
        <v>0</v>
      </c>
      <c r="K1070" s="18">
        <f t="shared" ca="1" si="65"/>
        <v>9.8677801907454327E-9</v>
      </c>
    </row>
    <row r="1071" spans="1:11" x14ac:dyDescent="0.2">
      <c r="A1071" s="45">
        <f t="shared" ca="1" si="66"/>
        <v>1.2828114247969068E-8</v>
      </c>
      <c r="B1071" s="18">
        <f>-SUMIFS(Projetos!$F$2:$F$11,Projetos!$D$2:$D$11,"BRL",Projetos!$N$2:$N$11,Dados!$A1071)</f>
        <v>0</v>
      </c>
      <c r="C1071" s="45">
        <f ca="1">(A1071+B1071)*((Indicadores_Economicos!D$2+1)^(1/12)-1)</f>
        <v>4.1995907944169051E-11</v>
      </c>
      <c r="D1071" s="18">
        <f>SUMIFS(Projetos!$G$2:$G$11,Projetos!$K$2:$K$11,"&lt;="&amp;Dados!$A1071,Projetos!$N$2:$N$11,"&gt;"&amp;Dados!A1071,Projetos!$D$2:$D$11,"BRL")</f>
        <v>0</v>
      </c>
      <c r="E1071" s="18">
        <f t="shared" ca="1" si="64"/>
        <v>1.2870110155913238E-8</v>
      </c>
      <c r="G1071" s="45">
        <f t="shared" ca="1" si="67"/>
        <v>9.8677801907454327E-9</v>
      </c>
      <c r="H1071" s="18">
        <f>-SUMIFS(Projetos!$F$2:$F$11,Projetos!$D$2:$D$11,"USD",Projetos!$N$2:$N$11,Dados!$A1071)</f>
        <v>0</v>
      </c>
      <c r="I1071" s="45">
        <f ca="1">(G1071+H1071)*((Indicadores_Economicos!D$2+1)^(1/12)-1)</f>
        <v>3.2304544572437716E-11</v>
      </c>
      <c r="J1071" s="18">
        <f>SUMIFS(Projetos!$G$2:$G$11,Projetos!$K$2:$K$11,"&lt;="&amp;Dados!$A1071,Projetos!$N$2:$N$11,"&gt;"&amp;Dados!$A1071,Projetos!$D$2:$D$11,"USD")</f>
        <v>0</v>
      </c>
      <c r="K1071" s="18">
        <f t="shared" ca="1" si="65"/>
        <v>9.9000847353178707E-9</v>
      </c>
    </row>
    <row r="1072" spans="1:11" x14ac:dyDescent="0.2">
      <c r="A1072" s="45">
        <f t="shared" ca="1" si="66"/>
        <v>1.2870110155913238E-8</v>
      </c>
      <c r="B1072" s="18">
        <f>-SUMIFS(Projetos!$F$2:$F$11,Projetos!$D$2:$D$11,"BRL",Projetos!$N$2:$N$11,Dados!$A1072)</f>
        <v>0</v>
      </c>
      <c r="C1072" s="45">
        <f ca="1">(A1072+B1072)*((Indicadores_Economicos!D$2+1)^(1/12)-1)</f>
        <v>4.2133391618695439E-11</v>
      </c>
      <c r="D1072" s="18">
        <f>SUMIFS(Projetos!$G$2:$G$11,Projetos!$K$2:$K$11,"&lt;="&amp;Dados!$A1072,Projetos!$N$2:$N$11,"&gt;"&amp;Dados!A1072,Projetos!$D$2:$D$11,"BRL")</f>
        <v>0</v>
      </c>
      <c r="E1072" s="18">
        <f t="shared" ca="1" si="64"/>
        <v>1.2912243547531934E-8</v>
      </c>
      <c r="G1072" s="45">
        <f t="shared" ca="1" si="67"/>
        <v>9.9000847353178707E-9</v>
      </c>
      <c r="H1072" s="18">
        <f>-SUMIFS(Projetos!$F$2:$F$11,Projetos!$D$2:$D$11,"USD",Projetos!$N$2:$N$11,Dados!$A1072)</f>
        <v>0</v>
      </c>
      <c r="I1072" s="45">
        <f ca="1">(G1072+H1072)*((Indicadores_Economicos!D$2+1)^(1/12)-1)</f>
        <v>3.2410301245150323E-11</v>
      </c>
      <c r="J1072" s="18">
        <f>SUMIFS(Projetos!$G$2:$G$11,Projetos!$K$2:$K$11,"&lt;="&amp;Dados!$A1072,Projetos!$N$2:$N$11,"&gt;"&amp;Dados!$A1072,Projetos!$D$2:$D$11,"USD")</f>
        <v>0</v>
      </c>
      <c r="K1072" s="18">
        <f t="shared" ca="1" si="65"/>
        <v>9.9324950365630207E-9</v>
      </c>
    </row>
    <row r="1073" spans="1:11" x14ac:dyDescent="0.2">
      <c r="A1073" s="45">
        <f t="shared" ca="1" si="66"/>
        <v>1.2912243547531934E-8</v>
      </c>
      <c r="B1073" s="18">
        <f>-SUMIFS(Projetos!$F$2:$F$11,Projetos!$D$2:$D$11,"BRL",Projetos!$N$2:$N$11,Dados!$A1073)</f>
        <v>0</v>
      </c>
      <c r="C1073" s="45">
        <f ca="1">(A1073+B1073)*((Indicadores_Economicos!D$2+1)^(1/12)-1)</f>
        <v>4.227132537899653E-11</v>
      </c>
      <c r="D1073" s="18">
        <f>SUMIFS(Projetos!$G$2:$G$11,Projetos!$K$2:$K$11,"&lt;="&amp;Dados!$A1073,Projetos!$N$2:$N$11,"&gt;"&amp;Dados!A1073,Projetos!$D$2:$D$11,"BRL")</f>
        <v>0</v>
      </c>
      <c r="E1073" s="18">
        <f t="shared" ca="1" si="64"/>
        <v>1.295451487291093E-8</v>
      </c>
      <c r="G1073" s="45">
        <f t="shared" ca="1" si="67"/>
        <v>9.9324950365630207E-9</v>
      </c>
      <c r="H1073" s="18">
        <f>-SUMIFS(Projetos!$F$2:$F$11,Projetos!$D$2:$D$11,"USD",Projetos!$N$2:$N$11,Dados!$A1073)</f>
        <v>0</v>
      </c>
      <c r="I1073" s="45">
        <f ca="1">(G1073+H1073)*((Indicadores_Economicos!D$2+1)^(1/12)-1)</f>
        <v>3.2516404137689622E-11</v>
      </c>
      <c r="J1073" s="18">
        <f>SUMIFS(Projetos!$G$2:$G$11,Projetos!$K$2:$K$11,"&lt;="&amp;Dados!$A1073,Projetos!$N$2:$N$11,"&gt;"&amp;Dados!$A1073,Projetos!$D$2:$D$11,"USD")</f>
        <v>0</v>
      </c>
      <c r="K1073" s="18">
        <f t="shared" ca="1" si="65"/>
        <v>9.9650114407007096E-9</v>
      </c>
    </row>
    <row r="1074" spans="1:11" x14ac:dyDescent="0.2">
      <c r="A1074" s="45">
        <f t="shared" ca="1" si="66"/>
        <v>1.295451487291093E-8</v>
      </c>
      <c r="B1074" s="18">
        <f>-SUMIFS(Projetos!$F$2:$F$11,Projetos!$D$2:$D$11,"BRL",Projetos!$N$2:$N$11,Dados!$A1074)</f>
        <v>0</v>
      </c>
      <c r="C1074" s="45">
        <f ca="1">(A1074+B1074)*((Indicadores_Economicos!D$2+1)^(1/12)-1)</f>
        <v>4.2409710698536029E-11</v>
      </c>
      <c r="D1074" s="18">
        <f>SUMIFS(Projetos!$G$2:$G$11,Projetos!$K$2:$K$11,"&lt;="&amp;Dados!$A1074,Projetos!$N$2:$N$11,"&gt;"&amp;Dados!A1074,Projetos!$D$2:$D$11,"BRL")</f>
        <v>0</v>
      </c>
      <c r="E1074" s="18">
        <f t="shared" ca="1" si="64"/>
        <v>1.2996924583609465E-8</v>
      </c>
      <c r="G1074" s="45">
        <f t="shared" ca="1" si="67"/>
        <v>9.9650114407007096E-9</v>
      </c>
      <c r="H1074" s="18">
        <f>-SUMIFS(Projetos!$F$2:$F$11,Projetos!$D$2:$D$11,"USD",Projetos!$N$2:$N$11,Dados!$A1074)</f>
        <v>0</v>
      </c>
      <c r="I1074" s="45">
        <f ca="1">(G1074+H1074)*((Indicadores_Economicos!D$2+1)^(1/12)-1)</f>
        <v>3.2622854383489229E-11</v>
      </c>
      <c r="J1074" s="18">
        <f>SUMIFS(Projetos!$G$2:$G$11,Projetos!$K$2:$K$11,"&lt;="&amp;Dados!$A1074,Projetos!$N$2:$N$11,"&gt;"&amp;Dados!$A1074,Projetos!$D$2:$D$11,"USD")</f>
        <v>0</v>
      </c>
      <c r="K1074" s="18">
        <f t="shared" ca="1" si="65"/>
        <v>9.9976342950841984E-9</v>
      </c>
    </row>
    <row r="1075" spans="1:11" x14ac:dyDescent="0.2">
      <c r="A1075" s="45">
        <f t="shared" ca="1" si="66"/>
        <v>1.2996924583609465E-8</v>
      </c>
      <c r="B1075" s="18">
        <f>-SUMIFS(Projetos!$F$2:$F$11,Projetos!$D$2:$D$11,"BRL",Projetos!$N$2:$N$11,Dados!$A1075)</f>
        <v>0</v>
      </c>
      <c r="C1075" s="45">
        <f ca="1">(A1075+B1075)*((Indicadores_Economicos!D$2+1)^(1/12)-1)</f>
        <v>4.2548549055601369E-11</v>
      </c>
      <c r="D1075" s="18">
        <f>SUMIFS(Projetos!$G$2:$G$11,Projetos!$K$2:$K$11,"&lt;="&amp;Dados!$A1075,Projetos!$N$2:$N$11,"&gt;"&amp;Dados!A1075,Projetos!$D$2:$D$11,"BRL")</f>
        <v>0</v>
      </c>
      <c r="E1075" s="18">
        <f t="shared" ca="1" si="64"/>
        <v>1.3039473132665067E-8</v>
      </c>
      <c r="G1075" s="45">
        <f t="shared" ca="1" si="67"/>
        <v>9.9976342950841984E-9</v>
      </c>
      <c r="H1075" s="18">
        <f>-SUMIFS(Projetos!$F$2:$F$11,Projetos!$D$2:$D$11,"USD",Projetos!$N$2:$N$11,Dados!$A1075)</f>
        <v>0</v>
      </c>
      <c r="I1075" s="45">
        <f ca="1">(G1075+H1075)*((Indicadores_Economicos!D$2+1)^(1/12)-1)</f>
        <v>3.2729653119693345E-11</v>
      </c>
      <c r="J1075" s="18">
        <f>SUMIFS(Projetos!$G$2:$G$11,Projetos!$K$2:$K$11,"&lt;="&amp;Dados!$A1075,Projetos!$N$2:$N$11,"&gt;"&amp;Dados!$A1075,Projetos!$D$2:$D$11,"USD")</f>
        <v>0</v>
      </c>
      <c r="K1075" s="18">
        <f t="shared" ca="1" si="65"/>
        <v>1.0030363948203892E-8</v>
      </c>
    </row>
    <row r="1076" spans="1:11" x14ac:dyDescent="0.2">
      <c r="A1076" s="45">
        <f t="shared" ca="1" si="66"/>
        <v>1.3039473132665067E-8</v>
      </c>
      <c r="B1076" s="18">
        <f>-SUMIFS(Projetos!$F$2:$F$11,Projetos!$D$2:$D$11,"BRL",Projetos!$N$2:$N$11,Dados!$A1076)</f>
        <v>0</v>
      </c>
      <c r="C1076" s="45">
        <f ca="1">(A1076+B1076)*((Indicadores_Economicos!D$2+1)^(1/12)-1)</f>
        <v>4.2687841933319534E-11</v>
      </c>
      <c r="D1076" s="18">
        <f>SUMIFS(Projetos!$G$2:$G$11,Projetos!$K$2:$K$11,"&lt;="&amp;Dados!$A1076,Projetos!$N$2:$N$11,"&gt;"&amp;Dados!A1076,Projetos!$D$2:$D$11,"BRL")</f>
        <v>0</v>
      </c>
      <c r="E1076" s="18">
        <f t="shared" ca="1" si="64"/>
        <v>1.3082160974598386E-8</v>
      </c>
      <c r="G1076" s="45">
        <f t="shared" ca="1" si="67"/>
        <v>1.0030363948203892E-8</v>
      </c>
      <c r="H1076" s="18">
        <f>-SUMIFS(Projetos!$F$2:$F$11,Projetos!$D$2:$D$11,"USD",Projetos!$N$2:$N$11,Dados!$A1076)</f>
        <v>0</v>
      </c>
      <c r="I1076" s="45">
        <f ca="1">(G1076+H1076)*((Indicadores_Economicos!D$2+1)^(1/12)-1)</f>
        <v>3.283680148716885E-11</v>
      </c>
      <c r="J1076" s="18">
        <f>SUMIFS(Projetos!$G$2:$G$11,Projetos!$K$2:$K$11,"&lt;="&amp;Dados!$A1076,Projetos!$N$2:$N$11,"&gt;"&amp;Dados!$A1076,Projetos!$D$2:$D$11,"USD")</f>
        <v>0</v>
      </c>
      <c r="K1076" s="18">
        <f t="shared" ca="1" si="65"/>
        <v>1.006320074969106E-8</v>
      </c>
    </row>
    <row r="1077" spans="1:11" x14ac:dyDescent="0.2">
      <c r="A1077" s="45">
        <f t="shared" ca="1" si="66"/>
        <v>1.3082160974598386E-8</v>
      </c>
      <c r="B1077" s="18">
        <f>-SUMIFS(Projetos!$F$2:$F$11,Projetos!$D$2:$D$11,"BRL",Projetos!$N$2:$N$11,Dados!$A1077)</f>
        <v>0</v>
      </c>
      <c r="C1077" s="45">
        <f ca="1">(A1077+B1077)*((Indicadores_Economicos!D$2+1)^(1/12)-1)</f>
        <v>4.2827590819672857E-11</v>
      </c>
      <c r="D1077" s="18">
        <f>SUMIFS(Projetos!$G$2:$G$11,Projetos!$K$2:$K$11,"&lt;="&amp;Dados!$A1077,Projetos!$N$2:$N$11,"&gt;"&amp;Dados!A1077,Projetos!$D$2:$D$11,"BRL")</f>
        <v>0</v>
      </c>
      <c r="E1077" s="18">
        <f t="shared" ca="1" si="64"/>
        <v>1.3124988565418058E-8</v>
      </c>
      <c r="G1077" s="45">
        <f t="shared" ca="1" si="67"/>
        <v>1.006320074969106E-8</v>
      </c>
      <c r="H1077" s="18">
        <f>-SUMIFS(Projetos!$F$2:$F$11,Projetos!$D$2:$D$11,"USD",Projetos!$N$2:$N$11,Dados!$A1077)</f>
        <v>0</v>
      </c>
      <c r="I1077" s="45">
        <f ca="1">(G1077+H1077)*((Indicadores_Economicos!D$2+1)^(1/12)-1)</f>
        <v>3.2944300630517568E-11</v>
      </c>
      <c r="J1077" s="18">
        <f>SUMIFS(Projetos!$G$2:$G$11,Projetos!$K$2:$K$11,"&lt;="&amp;Dados!$A1077,Projetos!$N$2:$N$11,"&gt;"&amp;Dados!$A1077,Projetos!$D$2:$D$11,"USD")</f>
        <v>0</v>
      </c>
      <c r="K1077" s="18">
        <f t="shared" ca="1" si="65"/>
        <v>1.0096145050321579E-8</v>
      </c>
    </row>
    <row r="1078" spans="1:11" x14ac:dyDescent="0.2">
      <c r="A1078" s="45">
        <f t="shared" ca="1" si="66"/>
        <v>1.3124988565418058E-8</v>
      </c>
      <c r="B1078" s="18">
        <f>-SUMIFS(Projetos!$F$2:$F$11,Projetos!$D$2:$D$11,"BRL",Projetos!$N$2:$N$11,Dados!$A1078)</f>
        <v>0</v>
      </c>
      <c r="C1078" s="45">
        <f ca="1">(A1078+B1078)*((Indicadores_Economicos!D$2+1)^(1/12)-1)</f>
        <v>4.2967797207514958E-11</v>
      </c>
      <c r="D1078" s="18">
        <f>SUMIFS(Projetos!$G$2:$G$11,Projetos!$K$2:$K$11,"&lt;="&amp;Dados!$A1078,Projetos!$N$2:$N$11,"&gt;"&amp;Dados!A1078,Projetos!$D$2:$D$11,"BRL")</f>
        <v>0</v>
      </c>
      <c r="E1078" s="18">
        <f t="shared" ca="1" si="64"/>
        <v>1.3167956362625573E-8</v>
      </c>
      <c r="G1078" s="45">
        <f t="shared" ca="1" si="67"/>
        <v>1.0096145050321579E-8</v>
      </c>
      <c r="H1078" s="18">
        <f>-SUMIFS(Projetos!$F$2:$F$11,Projetos!$D$2:$D$11,"USD",Projetos!$N$2:$N$11,Dados!$A1078)</f>
        <v>0</v>
      </c>
      <c r="I1078" s="45">
        <f ca="1">(G1078+H1078)*((Indicadores_Economicos!D$2+1)^(1/12)-1)</f>
        <v>3.3052151698088414E-11</v>
      </c>
      <c r="J1078" s="18">
        <f>SUMIFS(Projetos!$G$2:$G$11,Projetos!$K$2:$K$11,"&lt;="&amp;Dados!$A1078,Projetos!$N$2:$N$11,"&gt;"&amp;Dados!$A1078,Projetos!$D$2:$D$11,"USD")</f>
        <v>0</v>
      </c>
      <c r="K1078" s="18">
        <f t="shared" ca="1" si="65"/>
        <v>1.0129197202019667E-8</v>
      </c>
    </row>
    <row r="1079" spans="1:11" x14ac:dyDescent="0.2">
      <c r="A1079" s="45">
        <f t="shared" ca="1" si="66"/>
        <v>1.3167956362625573E-8</v>
      </c>
      <c r="B1079" s="18">
        <f>-SUMIFS(Projetos!$F$2:$F$11,Projetos!$D$2:$D$11,"BRL",Projetos!$N$2:$N$11,Dados!$A1079)</f>
        <v>0</v>
      </c>
      <c r="C1079" s="45">
        <f ca="1">(A1079+B1079)*((Indicadores_Economicos!D$2+1)^(1/12)-1)</f>
        <v>4.3108462594586657E-11</v>
      </c>
      <c r="D1079" s="18">
        <f>SUMIFS(Projetos!$G$2:$G$11,Projetos!$K$2:$K$11,"&lt;="&amp;Dados!$A1079,Projetos!$N$2:$N$11,"&gt;"&amp;Dados!A1079,Projetos!$D$2:$D$11,"BRL")</f>
        <v>0</v>
      </c>
      <c r="E1079" s="18">
        <f t="shared" ca="1" si="64"/>
        <v>1.321106482522016E-8</v>
      </c>
      <c r="G1079" s="45">
        <f t="shared" ca="1" si="67"/>
        <v>1.0129197202019667E-8</v>
      </c>
      <c r="H1079" s="18">
        <f>-SUMIFS(Projetos!$F$2:$F$11,Projetos!$D$2:$D$11,"USD",Projetos!$N$2:$N$11,Dados!$A1079)</f>
        <v>0</v>
      </c>
      <c r="I1079" s="45">
        <f ca="1">(G1079+H1079)*((Indicadores_Economicos!D$2+1)^(1/12)-1)</f>
        <v>3.3160355841989714E-11</v>
      </c>
      <c r="J1079" s="18">
        <f>SUMIFS(Projetos!$G$2:$G$11,Projetos!$K$2:$K$11,"&lt;="&amp;Dados!$A1079,Projetos!$N$2:$N$11,"&gt;"&amp;Dados!$A1079,Projetos!$D$2:$D$11,"USD")</f>
        <v>0</v>
      </c>
      <c r="K1079" s="18">
        <f t="shared" ca="1" si="65"/>
        <v>1.0162357557861656E-8</v>
      </c>
    </row>
    <row r="1080" spans="1:11" x14ac:dyDescent="0.2">
      <c r="A1080" s="45">
        <f t="shared" ca="1" si="66"/>
        <v>1.321106482522016E-8</v>
      </c>
      <c r="B1080" s="18">
        <f>-SUMIFS(Projetos!$F$2:$F$11,Projetos!$D$2:$D$11,"BRL",Projetos!$N$2:$N$11,Dados!$A1080)</f>
        <v>0</v>
      </c>
      <c r="C1080" s="45">
        <f ca="1">(A1080+B1080)*((Indicadores_Economicos!D$2+1)^(1/12)-1)</f>
        <v>4.3249588483531988E-11</v>
      </c>
      <c r="D1080" s="18">
        <f>SUMIFS(Projetos!$G$2:$G$11,Projetos!$K$2:$K$11,"&lt;="&amp;Dados!$A1080,Projetos!$N$2:$N$11,"&gt;"&amp;Dados!A1080,Projetos!$D$2:$D$11,"BRL")</f>
        <v>0</v>
      </c>
      <c r="E1080" s="18">
        <f t="shared" ca="1" si="64"/>
        <v>1.3254314413703693E-8</v>
      </c>
      <c r="G1080" s="45">
        <f t="shared" ca="1" si="67"/>
        <v>1.0162357557861656E-8</v>
      </c>
      <c r="H1080" s="18">
        <f>-SUMIFS(Projetos!$F$2:$F$11,Projetos!$D$2:$D$11,"USD",Projetos!$N$2:$N$11,Dados!$A1080)</f>
        <v>0</v>
      </c>
      <c r="I1080" s="45">
        <f ca="1">(G1080+H1080)*((Indicadores_Economicos!D$2+1)^(1/12)-1)</f>
        <v>3.3268914218101509E-11</v>
      </c>
      <c r="J1080" s="18">
        <f>SUMIFS(Projetos!$G$2:$G$11,Projetos!$K$2:$K$11,"&lt;="&amp;Dados!$A1080,Projetos!$N$2:$N$11,"&gt;"&amp;Dados!$A1080,Projetos!$D$2:$D$11,"USD")</f>
        <v>0</v>
      </c>
      <c r="K1080" s="18">
        <f t="shared" ca="1" si="65"/>
        <v>1.0195626472079758E-8</v>
      </c>
    </row>
    <row r="1081" spans="1:11" x14ac:dyDescent="0.2">
      <c r="A1081" s="45">
        <f t="shared" ca="1" si="66"/>
        <v>1.3254314413703693E-8</v>
      </c>
      <c r="B1081" s="18">
        <f>-SUMIFS(Projetos!$F$2:$F$11,Projetos!$D$2:$D$11,"BRL",Projetos!$N$2:$N$11,Dados!$A1081)</f>
        <v>0</v>
      </c>
      <c r="C1081" s="45">
        <f ca="1">(A1081+B1081)*((Indicadores_Economicos!D$2+1)^(1/12)-1)</f>
        <v>4.3391176381914263E-11</v>
      </c>
      <c r="D1081" s="18">
        <f>SUMIFS(Projetos!$G$2:$G$11,Projetos!$K$2:$K$11,"&lt;="&amp;Dados!$A1081,Projetos!$N$2:$N$11,"&gt;"&amp;Dados!A1081,Projetos!$D$2:$D$11,"BRL")</f>
        <v>0</v>
      </c>
      <c r="E1081" s="18">
        <f t="shared" ca="1" si="64"/>
        <v>1.3297705590085607E-8</v>
      </c>
      <c r="G1081" s="45">
        <f t="shared" ca="1" si="67"/>
        <v>1.0195626472079758E-8</v>
      </c>
      <c r="H1081" s="18">
        <f>-SUMIFS(Projetos!$F$2:$F$11,Projetos!$D$2:$D$11,"USD",Projetos!$N$2:$N$11,Dados!$A1081)</f>
        <v>0</v>
      </c>
      <c r="I1081" s="45">
        <f ca="1">(G1081+H1081)*((Indicadores_Economicos!D$2+1)^(1/12)-1)</f>
        <v>3.3377827986087874E-11</v>
      </c>
      <c r="J1081" s="18">
        <f>SUMIFS(Projetos!$G$2:$G$11,Projetos!$K$2:$K$11,"&lt;="&amp;Dados!$A1081,Projetos!$N$2:$N$11,"&gt;"&amp;Dados!$A1081,Projetos!$D$2:$D$11,"USD")</f>
        <v>0</v>
      </c>
      <c r="K1081" s="18">
        <f t="shared" ca="1" si="65"/>
        <v>1.0229004300065847E-8</v>
      </c>
    </row>
    <row r="1082" spans="1:11" x14ac:dyDescent="0.2">
      <c r="A1082" s="45">
        <f t="shared" ca="1" si="66"/>
        <v>1.3297705590085607E-8</v>
      </c>
      <c r="B1082" s="18">
        <f>-SUMIFS(Projetos!$F$2:$F$11,Projetos!$D$2:$D$11,"BRL",Projetos!$N$2:$N$11,Dados!$A1082)</f>
        <v>0</v>
      </c>
      <c r="C1082" s="45">
        <f ca="1">(A1082+B1082)*((Indicadores_Economicos!D$2+1)^(1/12)-1)</f>
        <v>4.353322780223214E-11</v>
      </c>
      <c r="D1082" s="18">
        <f>SUMIFS(Projetos!$G$2:$G$11,Projetos!$K$2:$K$11,"&lt;="&amp;Dados!$A1082,Projetos!$N$2:$N$11,"&gt;"&amp;Dados!A1082,Projetos!$D$2:$D$11,"BRL")</f>
        <v>0</v>
      </c>
      <c r="E1082" s="18">
        <f t="shared" ca="1" si="64"/>
        <v>1.3341238817887839E-8</v>
      </c>
      <c r="G1082" s="45">
        <f t="shared" ca="1" si="67"/>
        <v>1.0229004300065847E-8</v>
      </c>
      <c r="H1082" s="18">
        <f>-SUMIFS(Projetos!$F$2:$F$11,Projetos!$D$2:$D$11,"USD",Projetos!$N$2:$N$11,Dados!$A1082)</f>
        <v>0</v>
      </c>
      <c r="I1082" s="45">
        <f ca="1">(G1082+H1082)*((Indicadores_Economicos!D$2+1)^(1/12)-1)</f>
        <v>3.3487098309409322E-11</v>
      </c>
      <c r="J1082" s="18">
        <f>SUMIFS(Projetos!$G$2:$G$11,Projetos!$K$2:$K$11,"&lt;="&amp;Dados!$A1082,Projetos!$N$2:$N$11,"&gt;"&amp;Dados!$A1082,Projetos!$D$2:$D$11,"USD")</f>
        <v>0</v>
      </c>
      <c r="K1082" s="18">
        <f t="shared" ca="1" si="65"/>
        <v>1.0262491398375256E-8</v>
      </c>
    </row>
    <row r="1083" spans="1:11" x14ac:dyDescent="0.2">
      <c r="A1083" s="45">
        <f t="shared" ca="1" si="66"/>
        <v>1.3341238817887839E-8</v>
      </c>
      <c r="B1083" s="18">
        <f>-SUMIFS(Projetos!$F$2:$F$11,Projetos!$D$2:$D$11,"BRL",Projetos!$N$2:$N$11,Dados!$A1083)</f>
        <v>0</v>
      </c>
      <c r="C1083" s="45">
        <f ca="1">(A1083+B1083)*((Indicadores_Economicos!D$2+1)^(1/12)-1)</f>
        <v>4.3675744261935837E-11</v>
      </c>
      <c r="D1083" s="18">
        <f>SUMIFS(Projetos!$G$2:$G$11,Projetos!$K$2:$K$11,"&lt;="&amp;Dados!$A1083,Projetos!$N$2:$N$11,"&gt;"&amp;Dados!A1083,Projetos!$D$2:$D$11,"BRL")</f>
        <v>0</v>
      </c>
      <c r="E1083" s="18">
        <f t="shared" ca="1" si="64"/>
        <v>1.3384914562149775E-8</v>
      </c>
      <c r="G1083" s="45">
        <f t="shared" ca="1" si="67"/>
        <v>1.0262491398375256E-8</v>
      </c>
      <c r="H1083" s="18">
        <f>-SUMIFS(Projetos!$F$2:$F$11,Projetos!$D$2:$D$11,"USD",Projetos!$N$2:$N$11,Dados!$A1083)</f>
        <v>0</v>
      </c>
      <c r="I1083" s="45">
        <f ca="1">(G1083+H1083)*((Indicadores_Economicos!D$2+1)^(1/12)-1)</f>
        <v>3.3596726355335242E-11</v>
      </c>
      <c r="J1083" s="18">
        <f>SUMIFS(Projetos!$G$2:$G$11,Projetos!$K$2:$K$11,"&lt;="&amp;Dados!$A1083,Projetos!$N$2:$N$11,"&gt;"&amp;Dados!$A1083,Projetos!$D$2:$D$11,"USD")</f>
        <v>0</v>
      </c>
      <c r="K1083" s="18">
        <f t="shared" ca="1" si="65"/>
        <v>1.0296088124730591E-8</v>
      </c>
    </row>
    <row r="1084" spans="1:11" x14ac:dyDescent="0.2">
      <c r="A1084" s="45">
        <f t="shared" ca="1" si="66"/>
        <v>1.3384914562149775E-8</v>
      </c>
      <c r="B1084" s="18">
        <f>-SUMIFS(Projetos!$F$2:$F$11,Projetos!$D$2:$D$11,"BRL",Projetos!$N$2:$N$11,Dados!$A1084)</f>
        <v>0</v>
      </c>
      <c r="C1084" s="45">
        <f ca="1">(A1084+B1084)*((Indicadores_Economicos!D$2+1)^(1/12)-1)</f>
        <v>4.3818727283443284E-11</v>
      </c>
      <c r="D1084" s="18">
        <f>SUMIFS(Projetos!$G$2:$G$11,Projetos!$K$2:$K$11,"&lt;="&amp;Dados!$A1084,Projetos!$N$2:$N$11,"&gt;"&amp;Dados!A1084,Projetos!$D$2:$D$11,"BRL")</f>
        <v>0</v>
      </c>
      <c r="E1084" s="18">
        <f t="shared" ca="1" si="64"/>
        <v>1.3428733289433218E-8</v>
      </c>
      <c r="G1084" s="45">
        <f t="shared" ca="1" si="67"/>
        <v>1.0296088124730591E-8</v>
      </c>
      <c r="H1084" s="18">
        <f>-SUMIFS(Projetos!$F$2:$F$11,Projetos!$D$2:$D$11,"USD",Projetos!$N$2:$N$11,Dados!$A1084)</f>
        <v>0</v>
      </c>
      <c r="I1084" s="45">
        <f ca="1">(G1084+H1084)*((Indicadores_Economicos!D$2+1)^(1/12)-1)</f>
        <v>3.3706713294956355E-11</v>
      </c>
      <c r="J1084" s="18">
        <f>SUMIFS(Projetos!$G$2:$G$11,Projetos!$K$2:$K$11,"&lt;="&amp;Dados!$A1084,Projetos!$N$2:$N$11,"&gt;"&amp;Dados!$A1084,Projetos!$D$2:$D$11,"USD")</f>
        <v>0</v>
      </c>
      <c r="K1084" s="18">
        <f t="shared" ca="1" si="65"/>
        <v>1.0329794838025547E-8</v>
      </c>
    </row>
    <row r="1085" spans="1:11" x14ac:dyDescent="0.2">
      <c r="A1085" s="45">
        <f t="shared" ca="1" si="66"/>
        <v>1.3428733289433218E-8</v>
      </c>
      <c r="B1085" s="18">
        <f>-SUMIFS(Projetos!$F$2:$F$11,Projetos!$D$2:$D$11,"BRL",Projetos!$N$2:$N$11,Dados!$A1085)</f>
        <v>0</v>
      </c>
      <c r="C1085" s="45">
        <f ca="1">(A1085+B1085)*((Indicadores_Economicos!D$2+1)^(1/12)-1)</f>
        <v>4.3962178394156415E-11</v>
      </c>
      <c r="D1085" s="18">
        <f>SUMIFS(Projetos!$G$2:$G$11,Projetos!$K$2:$K$11,"&lt;="&amp;Dados!$A1085,Projetos!$N$2:$N$11,"&gt;"&amp;Dados!A1085,Projetos!$D$2:$D$11,"BRL")</f>
        <v>0</v>
      </c>
      <c r="E1085" s="18">
        <f t="shared" ca="1" si="64"/>
        <v>1.3472695467827374E-8</v>
      </c>
      <c r="G1085" s="45">
        <f t="shared" ca="1" si="67"/>
        <v>1.0329794838025547E-8</v>
      </c>
      <c r="H1085" s="18">
        <f>-SUMIFS(Projetos!$F$2:$F$11,Projetos!$D$2:$D$11,"USD",Projetos!$N$2:$N$11,Dados!$A1085)</f>
        <v>0</v>
      </c>
      <c r="I1085" s="45">
        <f ca="1">(G1085+H1085)*((Indicadores_Economicos!D$2+1)^(1/12)-1)</f>
        <v>3.3817060303197226E-11</v>
      </c>
      <c r="J1085" s="18">
        <f>SUMIFS(Projetos!$G$2:$G$11,Projetos!$K$2:$K$11,"&lt;="&amp;Dados!$A1085,Projetos!$N$2:$N$11,"&gt;"&amp;Dados!$A1085,Projetos!$D$2:$D$11,"USD")</f>
        <v>0</v>
      </c>
      <c r="K1085" s="18">
        <f t="shared" ca="1" si="65"/>
        <v>1.0363611898328744E-8</v>
      </c>
    </row>
    <row r="1086" spans="1:11" x14ac:dyDescent="0.2">
      <c r="A1086" s="45">
        <f t="shared" ca="1" si="66"/>
        <v>1.3472695467827374E-8</v>
      </c>
      <c r="B1086" s="18">
        <f>-SUMIFS(Projetos!$F$2:$F$11,Projetos!$D$2:$D$11,"BRL",Projetos!$N$2:$N$11,Dados!$A1086)</f>
        <v>0</v>
      </c>
      <c r="C1086" s="45">
        <f ca="1">(A1086+B1086)*((Indicadores_Economicos!D$2+1)^(1/12)-1)</f>
        <v>4.4106099126477493E-11</v>
      </c>
      <c r="D1086" s="18">
        <f>SUMIFS(Projetos!$G$2:$G$11,Projetos!$K$2:$K$11,"&lt;="&amp;Dados!$A1086,Projetos!$N$2:$N$11,"&gt;"&amp;Dados!A1086,Projetos!$D$2:$D$11,"BRL")</f>
        <v>0</v>
      </c>
      <c r="E1086" s="18">
        <f t="shared" ca="1" si="64"/>
        <v>1.3516801566953851E-8</v>
      </c>
      <c r="G1086" s="45">
        <f t="shared" ca="1" si="67"/>
        <v>1.0363611898328744E-8</v>
      </c>
      <c r="H1086" s="18">
        <f>-SUMIFS(Projetos!$F$2:$F$11,Projetos!$D$2:$D$11,"USD",Projetos!$N$2:$N$11,Dados!$A1086)</f>
        <v>0</v>
      </c>
      <c r="I1086" s="45">
        <f ca="1">(G1086+H1086)*((Indicadores_Economicos!D$2+1)^(1/12)-1)</f>
        <v>3.3927768558828821E-11</v>
      </c>
      <c r="J1086" s="18">
        <f>SUMIFS(Projetos!$G$2:$G$11,Projetos!$K$2:$K$11,"&lt;="&amp;Dados!$A1086,Projetos!$N$2:$N$11,"&gt;"&amp;Dados!$A1086,Projetos!$D$2:$D$11,"USD")</f>
        <v>0</v>
      </c>
      <c r="K1086" s="18">
        <f t="shared" ca="1" si="65"/>
        <v>1.0397539666887573E-8</v>
      </c>
    </row>
    <row r="1087" spans="1:11" x14ac:dyDescent="0.2">
      <c r="A1087" s="45">
        <f t="shared" ca="1" si="66"/>
        <v>1.3516801566953851E-8</v>
      </c>
      <c r="B1087" s="18">
        <f>-SUMIFS(Projetos!$F$2:$F$11,Projetos!$D$2:$D$11,"BRL",Projetos!$N$2:$N$11,Dados!$A1087)</f>
        <v>0</v>
      </c>
      <c r="C1087" s="45">
        <f ca="1">(A1087+B1087)*((Indicadores_Economicos!D$2+1)^(1/12)-1)</f>
        <v>4.4250491017825446E-11</v>
      </c>
      <c r="D1087" s="18">
        <f>SUMIFS(Projetos!$G$2:$G$11,Projetos!$K$2:$K$11,"&lt;="&amp;Dados!$A1087,Projetos!$N$2:$N$11,"&gt;"&amp;Dados!A1087,Projetos!$D$2:$D$11,"BRL")</f>
        <v>0</v>
      </c>
      <c r="E1087" s="18">
        <f t="shared" ca="1" si="64"/>
        <v>1.3561052057971676E-8</v>
      </c>
      <c r="G1087" s="45">
        <f t="shared" ca="1" si="67"/>
        <v>1.0397539666887573E-8</v>
      </c>
      <c r="H1087" s="18">
        <f>-SUMIFS(Projetos!$F$2:$F$11,Projetos!$D$2:$D$11,"USD",Projetos!$N$2:$N$11,Dados!$A1087)</f>
        <v>0</v>
      </c>
      <c r="I1087" s="45">
        <f ca="1">(G1087+H1087)*((Indicadores_Economicos!D$2+1)^(1/12)-1)</f>
        <v>3.4038839244481096E-11</v>
      </c>
      <c r="J1087" s="18">
        <f>SUMIFS(Projetos!$G$2:$G$11,Projetos!$K$2:$K$11,"&lt;="&amp;Dados!$A1087,Projetos!$N$2:$N$11,"&gt;"&amp;Dados!$A1087,Projetos!$D$2:$D$11,"USD")</f>
        <v>0</v>
      </c>
      <c r="K1087" s="18">
        <f t="shared" ca="1" si="65"/>
        <v>1.0431578506132054E-8</v>
      </c>
    </row>
    <row r="1088" spans="1:11" x14ac:dyDescent="0.2">
      <c r="A1088" s="45">
        <f t="shared" ca="1" si="66"/>
        <v>1.3561052057971676E-8</v>
      </c>
      <c r="B1088" s="18">
        <f>-SUMIFS(Projetos!$F$2:$F$11,Projetos!$D$2:$D$11,"BRL",Projetos!$N$2:$N$11,Dados!$A1088)</f>
        <v>0</v>
      </c>
      <c r="C1088" s="45">
        <f ca="1">(A1088+B1088)*((Indicadores_Economicos!D$2+1)^(1/12)-1)</f>
        <v>4.4395355610652332E-11</v>
      </c>
      <c r="D1088" s="18">
        <f>SUMIFS(Projetos!$G$2:$G$11,Projetos!$K$2:$K$11,"&lt;="&amp;Dados!$A1088,Projetos!$N$2:$N$11,"&gt;"&amp;Dados!A1088,Projetos!$D$2:$D$11,"BRL")</f>
        <v>0</v>
      </c>
      <c r="E1088" s="18">
        <f t="shared" ca="1" si="64"/>
        <v>1.3605447413582328E-8</v>
      </c>
      <c r="G1088" s="45">
        <f t="shared" ca="1" si="67"/>
        <v>1.0431578506132054E-8</v>
      </c>
      <c r="H1088" s="18">
        <f>-SUMIFS(Projetos!$F$2:$F$11,Projetos!$D$2:$D$11,"USD",Projetos!$N$2:$N$11,Dados!$A1088)</f>
        <v>0</v>
      </c>
      <c r="I1088" s="45">
        <f ca="1">(G1088+H1088)*((Indicadores_Economicos!D$2+1)^(1/12)-1)</f>
        <v>3.4150273546655629E-11</v>
      </c>
      <c r="J1088" s="18">
        <f>SUMIFS(Projetos!$G$2:$G$11,Projetos!$K$2:$K$11,"&lt;="&amp;Dados!$A1088,Projetos!$N$2:$N$11,"&gt;"&amp;Dados!$A1088,Projetos!$D$2:$D$11,"USD")</f>
        <v>0</v>
      </c>
      <c r="K1088" s="18">
        <f t="shared" ca="1" si="65"/>
        <v>1.0465728779678709E-8</v>
      </c>
    </row>
    <row r="1089" spans="1:11" x14ac:dyDescent="0.2">
      <c r="A1089" s="45">
        <f t="shared" ca="1" si="66"/>
        <v>1.3605447413582328E-8</v>
      </c>
      <c r="B1089" s="18">
        <f>-SUMIFS(Projetos!$F$2:$F$11,Projetos!$D$2:$D$11,"BRL",Projetos!$N$2:$N$11,Dados!$A1089)</f>
        <v>0</v>
      </c>
      <c r="C1089" s="45">
        <f ca="1">(A1089+B1089)*((Indicadores_Economicos!D$2+1)^(1/12)-1)</f>
        <v>4.454069445245979E-11</v>
      </c>
      <c r="D1089" s="18">
        <f>SUMIFS(Projetos!$G$2:$G$11,Projetos!$K$2:$K$11,"&lt;="&amp;Dados!$A1089,Projetos!$N$2:$N$11,"&gt;"&amp;Dados!A1089,Projetos!$D$2:$D$11,"BRL")</f>
        <v>0</v>
      </c>
      <c r="E1089" s="18">
        <f t="shared" ca="1" si="64"/>
        <v>1.3649988108034787E-8</v>
      </c>
      <c r="G1089" s="45">
        <f t="shared" ca="1" si="67"/>
        <v>1.0465728779678709E-8</v>
      </c>
      <c r="H1089" s="18">
        <f>-SUMIFS(Projetos!$F$2:$F$11,Projetos!$D$2:$D$11,"USD",Projetos!$N$2:$N$11,Dados!$A1089)</f>
        <v>0</v>
      </c>
      <c r="I1089" s="45">
        <f ca="1">(G1089+H1089)*((Indicadores_Economicos!D$2+1)^(1/12)-1)</f>
        <v>3.4262072655738287E-11</v>
      </c>
      <c r="J1089" s="18">
        <f>SUMIFS(Projetos!$G$2:$G$11,Projetos!$K$2:$K$11,"&lt;="&amp;Dados!$A1089,Projetos!$N$2:$N$11,"&gt;"&amp;Dados!$A1089,Projetos!$D$2:$D$11,"USD")</f>
        <v>0</v>
      </c>
      <c r="K1089" s="18">
        <f t="shared" ca="1" si="65"/>
        <v>1.0499990852334447E-8</v>
      </c>
    </row>
    <row r="1090" spans="1:11" x14ac:dyDescent="0.2">
      <c r="A1090" s="45">
        <f t="shared" ca="1" si="66"/>
        <v>1.3649988108034787E-8</v>
      </c>
      <c r="B1090" s="18">
        <f>-SUMIFS(Projetos!$F$2:$F$11,Projetos!$D$2:$D$11,"BRL",Projetos!$N$2:$N$11,Dados!$A1090)</f>
        <v>0</v>
      </c>
      <c r="C1090" s="45">
        <f ca="1">(A1090+B1090)*((Indicadores_Economicos!D$2+1)^(1/12)-1)</f>
        <v>4.4686509095815578E-11</v>
      </c>
      <c r="D1090" s="18">
        <f>SUMIFS(Projetos!$G$2:$G$11,Projetos!$K$2:$K$11,"&lt;="&amp;Dados!$A1090,Projetos!$N$2:$N$11,"&gt;"&amp;Dados!A1090,Projetos!$D$2:$D$11,"BRL")</f>
        <v>0</v>
      </c>
      <c r="E1090" s="18">
        <f t="shared" ref="E1090:E1153" ca="1" si="68">A1090+B1090+C1090+D1090</f>
        <v>1.3694674617130603E-8</v>
      </c>
      <c r="G1090" s="45">
        <f t="shared" ca="1" si="67"/>
        <v>1.0499990852334447E-8</v>
      </c>
      <c r="H1090" s="18">
        <f>-SUMIFS(Projetos!$F$2:$F$11,Projetos!$D$2:$D$11,"USD",Projetos!$N$2:$N$11,Dados!$A1090)</f>
        <v>0</v>
      </c>
      <c r="I1090" s="45">
        <f ca="1">(G1090+H1090)*((Indicadores_Economicos!D$2+1)^(1/12)-1)</f>
        <v>3.4374237766011966E-11</v>
      </c>
      <c r="J1090" s="18">
        <f>SUMIFS(Projetos!$G$2:$G$11,Projetos!$K$2:$K$11,"&lt;="&amp;Dados!$A1090,Projetos!$N$2:$N$11,"&gt;"&amp;Dados!$A1090,Projetos!$D$2:$D$11,"USD")</f>
        <v>0</v>
      </c>
      <c r="K1090" s="18">
        <f t="shared" ref="K1090:K1153" ca="1" si="69">G1090+H1090+I1090+J1090</f>
        <v>1.0534365090100459E-8</v>
      </c>
    </row>
    <row r="1091" spans="1:11" x14ac:dyDescent="0.2">
      <c r="A1091" s="45">
        <f t="shared" ca="1" si="66"/>
        <v>1.3694674617130603E-8</v>
      </c>
      <c r="B1091" s="18">
        <f>-SUMIFS(Projetos!$F$2:$F$11,Projetos!$D$2:$D$11,"BRL",Projetos!$N$2:$N$11,Dados!$A1091)</f>
        <v>0</v>
      </c>
      <c r="C1091" s="45">
        <f ca="1">(A1091+B1091)*((Indicadores_Economicos!D$2+1)^(1/12)-1)</f>
        <v>4.4832801098370144E-11</v>
      </c>
      <c r="D1091" s="18">
        <f>SUMIFS(Projetos!$G$2:$G$11,Projetos!$K$2:$K$11,"&lt;="&amp;Dados!$A1091,Projetos!$N$2:$N$11,"&gt;"&amp;Dados!A1091,Projetos!$D$2:$D$11,"BRL")</f>
        <v>0</v>
      </c>
      <c r="E1091" s="18">
        <f t="shared" ca="1" si="68"/>
        <v>1.3739507418228972E-8</v>
      </c>
      <c r="G1091" s="45">
        <f t="shared" ca="1" si="67"/>
        <v>1.0534365090100459E-8</v>
      </c>
      <c r="H1091" s="18">
        <f>-SUMIFS(Projetos!$F$2:$F$11,Projetos!$D$2:$D$11,"USD",Projetos!$N$2:$N$11,Dados!$A1091)</f>
        <v>0</v>
      </c>
      <c r="I1091" s="45">
        <f ca="1">(G1091+H1091)*((Indicadores_Economicos!D$2+1)^(1/12)-1)</f>
        <v>3.4486770075669324E-11</v>
      </c>
      <c r="J1091" s="18">
        <f>SUMIFS(Projetos!$G$2:$G$11,Projetos!$K$2:$K$11,"&lt;="&amp;Dados!$A1091,Projetos!$N$2:$N$11,"&gt;"&amp;Dados!$A1091,Projetos!$D$2:$D$11,"USD")</f>
        <v>0</v>
      </c>
      <c r="K1091" s="18">
        <f t="shared" ca="1" si="69"/>
        <v>1.0568851860176128E-8</v>
      </c>
    </row>
    <row r="1092" spans="1:11" x14ac:dyDescent="0.2">
      <c r="A1092" s="45">
        <f t="shared" ref="A1092:A1155" ca="1" si="70">E1091</f>
        <v>1.3739507418228972E-8</v>
      </c>
      <c r="B1092" s="18">
        <f>-SUMIFS(Projetos!$F$2:$F$11,Projetos!$D$2:$D$11,"BRL",Projetos!$N$2:$N$11,Dados!$A1092)</f>
        <v>0</v>
      </c>
      <c r="C1092" s="45">
        <f ca="1">(A1092+B1092)*((Indicadores_Economicos!D$2+1)^(1/12)-1)</f>
        <v>4.4979572022873283E-11</v>
      </c>
      <c r="D1092" s="18">
        <f>SUMIFS(Projetos!$G$2:$G$11,Projetos!$K$2:$K$11,"&lt;="&amp;Dados!$A1092,Projetos!$N$2:$N$11,"&gt;"&amp;Dados!A1092,Projetos!$D$2:$D$11,"BRL")</f>
        <v>0</v>
      </c>
      <c r="E1092" s="18">
        <f t="shared" ca="1" si="68"/>
        <v>1.3784486990251846E-8</v>
      </c>
      <c r="G1092" s="45">
        <f t="shared" ref="G1092:G1155" ca="1" si="71">K1091</f>
        <v>1.0568851860176128E-8</v>
      </c>
      <c r="H1092" s="18">
        <f>-SUMIFS(Projetos!$F$2:$F$11,Projetos!$D$2:$D$11,"USD",Projetos!$N$2:$N$11,Dados!$A1092)</f>
        <v>0</v>
      </c>
      <c r="I1092" s="45">
        <f ca="1">(G1092+H1092)*((Indicadores_Economicos!D$2+1)^(1/12)-1)</f>
        <v>3.4599670786825591E-11</v>
      </c>
      <c r="J1092" s="18">
        <f>SUMIFS(Projetos!$G$2:$G$11,Projetos!$K$2:$K$11,"&lt;="&amp;Dados!$A1092,Projetos!$N$2:$N$11,"&gt;"&amp;Dados!$A1092,Projetos!$D$2:$D$11,"USD")</f>
        <v>0</v>
      </c>
      <c r="K1092" s="18">
        <f t="shared" ca="1" si="69"/>
        <v>1.0603451530962954E-8</v>
      </c>
    </row>
    <row r="1093" spans="1:11" x14ac:dyDescent="0.2">
      <c r="A1093" s="45">
        <f t="shared" ca="1" si="70"/>
        <v>1.3784486990251846E-8</v>
      </c>
      <c r="B1093" s="18">
        <f>-SUMIFS(Projetos!$F$2:$F$11,Projetos!$D$2:$D$11,"BRL",Projetos!$N$2:$N$11,Dados!$A1093)</f>
        <v>0</v>
      </c>
      <c r="C1093" s="45">
        <f ca="1">(A1093+B1093)*((Indicadores_Economicos!D$2+1)^(1/12)-1)</f>
        <v>4.5126823437190847E-11</v>
      </c>
      <c r="D1093" s="18">
        <f>SUMIFS(Projetos!$G$2:$G$11,Projetos!$K$2:$K$11,"&lt;="&amp;Dados!$A1093,Projetos!$N$2:$N$11,"&gt;"&amp;Dados!A1093,Projetos!$D$2:$D$11,"BRL")</f>
        <v>0</v>
      </c>
      <c r="E1093" s="18">
        <f t="shared" ca="1" si="68"/>
        <v>1.3829613813689037E-8</v>
      </c>
      <c r="G1093" s="45">
        <f t="shared" ca="1" si="71"/>
        <v>1.0603451530962954E-8</v>
      </c>
      <c r="H1093" s="18">
        <f>-SUMIFS(Projetos!$F$2:$F$11,Projetos!$D$2:$D$11,"USD",Projetos!$N$2:$N$11,Dados!$A1093)</f>
        <v>0</v>
      </c>
      <c r="I1093" s="45">
        <f ca="1">(G1093+H1093)*((Indicadores_Economicos!D$2+1)^(1/12)-1)</f>
        <v>3.4712941105531406E-11</v>
      </c>
      <c r="J1093" s="18">
        <f>SUMIFS(Projetos!$G$2:$G$11,Projetos!$K$2:$K$11,"&lt;="&amp;Dados!$A1093,Projetos!$N$2:$N$11,"&gt;"&amp;Dados!$A1093,Projetos!$D$2:$D$11,"USD")</f>
        <v>0</v>
      </c>
      <c r="K1093" s="18">
        <f t="shared" ca="1" si="69"/>
        <v>1.0638164472068485E-8</v>
      </c>
    </row>
    <row r="1094" spans="1:11" x14ac:dyDescent="0.2">
      <c r="A1094" s="45">
        <f t="shared" ca="1" si="70"/>
        <v>1.3829613813689037E-8</v>
      </c>
      <c r="B1094" s="18">
        <f>-SUMIFS(Projetos!$F$2:$F$11,Projetos!$D$2:$D$11,"BRL",Projetos!$N$2:$N$11,Dados!$A1094)</f>
        <v>0</v>
      </c>
      <c r="C1094" s="45">
        <f ca="1">(A1094+B1094)*((Indicadores_Economicos!D$2+1)^(1/12)-1)</f>
        <v>4.5274556914321443E-11</v>
      </c>
      <c r="D1094" s="18">
        <f>SUMIFS(Projetos!$G$2:$G$11,Projetos!$K$2:$K$11,"&lt;="&amp;Dados!$A1094,Projetos!$N$2:$N$11,"&gt;"&amp;Dados!A1094,Projetos!$D$2:$D$11,"BRL")</f>
        <v>0</v>
      </c>
      <c r="E1094" s="18">
        <f t="shared" ca="1" si="68"/>
        <v>1.3874888370603359E-8</v>
      </c>
      <c r="G1094" s="45">
        <f t="shared" ca="1" si="71"/>
        <v>1.0638164472068485E-8</v>
      </c>
      <c r="H1094" s="18">
        <f>-SUMIFS(Projetos!$F$2:$F$11,Projetos!$D$2:$D$11,"USD",Projetos!$N$2:$N$11,Dados!$A1094)</f>
        <v>0</v>
      </c>
      <c r="I1094" s="45">
        <f ca="1">(G1094+H1094)*((Indicadores_Economicos!D$2+1)^(1/12)-1)</f>
        <v>3.4826582241785709E-11</v>
      </c>
      <c r="J1094" s="18">
        <f>SUMIFS(Projetos!$G$2:$G$11,Projetos!$K$2:$K$11,"&lt;="&amp;Dados!$A1094,Projetos!$N$2:$N$11,"&gt;"&amp;Dados!$A1094,Projetos!$D$2:$D$11,"USD")</f>
        <v>0</v>
      </c>
      <c r="K1094" s="18">
        <f t="shared" ca="1" si="69"/>
        <v>1.0672991054310271E-8</v>
      </c>
    </row>
    <row r="1095" spans="1:11" x14ac:dyDescent="0.2">
      <c r="A1095" s="45">
        <f t="shared" ca="1" si="70"/>
        <v>1.3874888370603359E-8</v>
      </c>
      <c r="B1095" s="18">
        <f>-SUMIFS(Projetos!$F$2:$F$11,Projetos!$D$2:$D$11,"BRL",Projetos!$N$2:$N$11,Dados!$A1095)</f>
        <v>0</v>
      </c>
      <c r="C1095" s="45">
        <f ca="1">(A1095+B1095)*((Indicadores_Economicos!D$2+1)^(1/12)-1)</f>
        <v>4.5422774032413287E-11</v>
      </c>
      <c r="D1095" s="18">
        <f>SUMIFS(Projetos!$G$2:$G$11,Projetos!$K$2:$K$11,"&lt;="&amp;Dados!$A1095,Projetos!$N$2:$N$11,"&gt;"&amp;Dados!A1095,Projetos!$D$2:$D$11,"BRL")</f>
        <v>0</v>
      </c>
      <c r="E1095" s="18">
        <f t="shared" ca="1" si="68"/>
        <v>1.3920311144635772E-8</v>
      </c>
      <c r="G1095" s="45">
        <f t="shared" ca="1" si="71"/>
        <v>1.0672991054310271E-8</v>
      </c>
      <c r="H1095" s="18">
        <f>-SUMIFS(Projetos!$F$2:$F$11,Projetos!$D$2:$D$11,"USD",Projetos!$N$2:$N$11,Dados!$A1095)</f>
        <v>0</v>
      </c>
      <c r="I1095" s="45">
        <f ca="1">(G1095+H1095)*((Indicadores_Economicos!D$2+1)^(1/12)-1)</f>
        <v>3.4940595409548668E-11</v>
      </c>
      <c r="J1095" s="18">
        <f>SUMIFS(Projetos!$G$2:$G$11,Projetos!$K$2:$K$11,"&lt;="&amp;Dados!$A1095,Projetos!$N$2:$N$11,"&gt;"&amp;Dados!$A1095,Projetos!$D$2:$D$11,"USD")</f>
        <v>0</v>
      </c>
      <c r="K1095" s="18">
        <f t="shared" ca="1" si="69"/>
        <v>1.070793164971982E-8</v>
      </c>
    </row>
    <row r="1096" spans="1:11" x14ac:dyDescent="0.2">
      <c r="A1096" s="45">
        <f t="shared" ca="1" si="70"/>
        <v>1.3920311144635772E-8</v>
      </c>
      <c r="B1096" s="18">
        <f>-SUMIFS(Projetos!$F$2:$F$11,Projetos!$D$2:$D$11,"BRL",Projetos!$N$2:$N$11,Dados!$A1096)</f>
        <v>0</v>
      </c>
      <c r="C1096" s="45">
        <f ca="1">(A1096+B1096)*((Indicadores_Economicos!D$2+1)^(1/12)-1)</f>
        <v>4.5571476374781037E-11</v>
      </c>
      <c r="D1096" s="18">
        <f>SUMIFS(Projetos!$G$2:$G$11,Projetos!$K$2:$K$11,"&lt;="&amp;Dados!$A1096,Projetos!$N$2:$N$11,"&gt;"&amp;Dados!A1096,Projetos!$D$2:$D$11,"BRL")</f>
        <v>0</v>
      </c>
      <c r="E1096" s="18">
        <f t="shared" ca="1" si="68"/>
        <v>1.3965882621010553E-8</v>
      </c>
      <c r="G1096" s="45">
        <f t="shared" ca="1" si="71"/>
        <v>1.070793164971982E-8</v>
      </c>
      <c r="H1096" s="18">
        <f>-SUMIFS(Projetos!$F$2:$F$11,Projetos!$D$2:$D$11,"USD",Projetos!$N$2:$N$11,Dados!$A1096)</f>
        <v>0</v>
      </c>
      <c r="I1096" s="45">
        <f ca="1">(G1096+H1096)*((Indicadores_Economicos!D$2+1)^(1/12)-1)</f>
        <v>3.5054981826754625E-11</v>
      </c>
      <c r="J1096" s="18">
        <f>SUMIFS(Projetos!$G$2:$G$11,Projetos!$K$2:$K$11,"&lt;="&amp;Dados!$A1096,Projetos!$N$2:$N$11,"&gt;"&amp;Dados!$A1096,Projetos!$D$2:$D$11,"USD")</f>
        <v>0</v>
      </c>
      <c r="K1096" s="18">
        <f t="shared" ca="1" si="69"/>
        <v>1.0742986631546575E-8</v>
      </c>
    </row>
    <row r="1097" spans="1:11" x14ac:dyDescent="0.2">
      <c r="A1097" s="45">
        <f t="shared" ca="1" si="70"/>
        <v>1.3965882621010553E-8</v>
      </c>
      <c r="B1097" s="18">
        <f>-SUMIFS(Projetos!$F$2:$F$11,Projetos!$D$2:$D$11,"BRL",Projetos!$N$2:$N$11,Dados!$A1097)</f>
        <v>0</v>
      </c>
      <c r="C1097" s="45">
        <f ca="1">(A1097+B1097)*((Indicadores_Economicos!D$2+1)^(1/12)-1)</f>
        <v>4.5720665529922694E-11</v>
      </c>
      <c r="D1097" s="18">
        <f>SUMIFS(Projetos!$G$2:$G$11,Projetos!$K$2:$K$11,"&lt;="&amp;Dados!$A1097,Projetos!$N$2:$N$11,"&gt;"&amp;Dados!A1097,Projetos!$D$2:$D$11,"BRL")</f>
        <v>0</v>
      </c>
      <c r="E1097" s="18">
        <f t="shared" ca="1" si="68"/>
        <v>1.4011603286540475E-8</v>
      </c>
      <c r="G1097" s="45">
        <f t="shared" ca="1" si="71"/>
        <v>1.0742986631546575E-8</v>
      </c>
      <c r="H1097" s="18">
        <f>-SUMIFS(Projetos!$F$2:$F$11,Projetos!$D$2:$D$11,"USD",Projetos!$N$2:$N$11,Dados!$A1097)</f>
        <v>0</v>
      </c>
      <c r="I1097" s="45">
        <f ca="1">(G1097+H1097)*((Indicadores_Economicos!D$2+1)^(1/12)-1)</f>
        <v>3.5169742715325133E-11</v>
      </c>
      <c r="J1097" s="18">
        <f>SUMIFS(Projetos!$G$2:$G$11,Projetos!$K$2:$K$11,"&lt;="&amp;Dados!$A1097,Projetos!$N$2:$N$11,"&gt;"&amp;Dados!$A1097,Projetos!$D$2:$D$11,"USD")</f>
        <v>0</v>
      </c>
      <c r="K1097" s="18">
        <f t="shared" ca="1" si="69"/>
        <v>1.0778156374261901E-8</v>
      </c>
    </row>
    <row r="1098" spans="1:11" x14ac:dyDescent="0.2">
      <c r="A1098" s="45">
        <f t="shared" ca="1" si="70"/>
        <v>1.4011603286540475E-8</v>
      </c>
      <c r="B1098" s="18">
        <f>-SUMIFS(Projetos!$F$2:$F$11,Projetos!$D$2:$D$11,"BRL",Projetos!$N$2:$N$11,Dados!$A1098)</f>
        <v>0</v>
      </c>
      <c r="C1098" s="45">
        <f ca="1">(A1098+B1098)*((Indicadores_Economicos!D$2+1)^(1/12)-1)</f>
        <v>4.5870343091536611E-11</v>
      </c>
      <c r="D1098" s="18">
        <f>SUMIFS(Projetos!$G$2:$G$11,Projetos!$K$2:$K$11,"&lt;="&amp;Dados!$A1098,Projetos!$N$2:$N$11,"&gt;"&amp;Dados!A1098,Projetos!$D$2:$D$11,"BRL")</f>
        <v>0</v>
      </c>
      <c r="E1098" s="18">
        <f t="shared" ca="1" si="68"/>
        <v>1.4057473629632012E-8</v>
      </c>
      <c r="G1098" s="45">
        <f t="shared" ca="1" si="71"/>
        <v>1.0778156374261901E-8</v>
      </c>
      <c r="H1098" s="18">
        <f>-SUMIFS(Projetos!$F$2:$F$11,Projetos!$D$2:$D$11,"USD",Projetos!$N$2:$N$11,Dados!$A1098)</f>
        <v>0</v>
      </c>
      <c r="I1098" s="45">
        <f ca="1">(G1098+H1098)*((Indicadores_Economicos!D$2+1)^(1/12)-1)</f>
        <v>3.5284879301181998E-11</v>
      </c>
      <c r="J1098" s="18">
        <f>SUMIFS(Projetos!$G$2:$G$11,Projetos!$K$2:$K$11,"&lt;="&amp;Dados!$A1098,Projetos!$N$2:$N$11,"&gt;"&amp;Dados!$A1098,Projetos!$D$2:$D$11,"USD")</f>
        <v>0</v>
      </c>
      <c r="K1098" s="18">
        <f t="shared" ca="1" si="69"/>
        <v>1.0813441253563082E-8</v>
      </c>
    </row>
    <row r="1099" spans="1:11" x14ac:dyDescent="0.2">
      <c r="A1099" s="45">
        <f t="shared" ca="1" si="70"/>
        <v>1.4057473629632012E-8</v>
      </c>
      <c r="B1099" s="18">
        <f>-SUMIFS(Projetos!$F$2:$F$11,Projetos!$D$2:$D$11,"BRL",Projetos!$N$2:$N$11,Dados!$A1099)</f>
        <v>0</v>
      </c>
      <c r="C1099" s="45">
        <f ca="1">(A1099+B1099)*((Indicadores_Economicos!D$2+1)^(1/12)-1)</f>
        <v>4.6020510658538484E-11</v>
      </c>
      <c r="D1099" s="18">
        <f>SUMIFS(Projetos!$G$2:$G$11,Projetos!$K$2:$K$11,"&lt;="&amp;Dados!$A1099,Projetos!$N$2:$N$11,"&gt;"&amp;Dados!A1099,Projetos!$D$2:$D$11,"BRL")</f>
        <v>0</v>
      </c>
      <c r="E1099" s="18">
        <f t="shared" ca="1" si="68"/>
        <v>1.4103494140290551E-8</v>
      </c>
      <c r="G1099" s="45">
        <f t="shared" ca="1" si="71"/>
        <v>1.0813441253563082E-8</v>
      </c>
      <c r="H1099" s="18">
        <f>-SUMIFS(Projetos!$F$2:$F$11,Projetos!$D$2:$D$11,"USD",Projetos!$N$2:$N$11,Dados!$A1099)</f>
        <v>0</v>
      </c>
      <c r="I1099" s="45">
        <f ca="1">(G1099+H1099)*((Indicadores_Economicos!D$2+1)^(1/12)-1)</f>
        <v>3.5400392814260364E-11</v>
      </c>
      <c r="J1099" s="18">
        <f>SUMIFS(Projetos!$G$2:$G$11,Projetos!$K$2:$K$11,"&lt;="&amp;Dados!$A1099,Projetos!$N$2:$N$11,"&gt;"&amp;Dados!$A1099,Projetos!$D$2:$D$11,"USD")</f>
        <v>0</v>
      </c>
      <c r="K1099" s="18">
        <f t="shared" ca="1" si="69"/>
        <v>1.0848841646377343E-8</v>
      </c>
    </row>
    <row r="1100" spans="1:11" x14ac:dyDescent="0.2">
      <c r="A1100" s="45">
        <f t="shared" ca="1" si="70"/>
        <v>1.4103494140290551E-8</v>
      </c>
      <c r="B1100" s="18">
        <f>-SUMIFS(Projetos!$F$2:$F$11,Projetos!$D$2:$D$11,"BRL",Projetos!$N$2:$N$11,Dados!$A1100)</f>
        <v>0</v>
      </c>
      <c r="C1100" s="45">
        <f ca="1">(A1100+B1100)*((Indicadores_Economicos!D$2+1)^(1/12)-1)</f>
        <v>4.6171169835078452E-11</v>
      </c>
      <c r="D1100" s="18">
        <f>SUMIFS(Projetos!$G$2:$G$11,Projetos!$K$2:$K$11,"&lt;="&amp;Dados!$A1100,Projetos!$N$2:$N$11,"&gt;"&amp;Dados!A1100,Projetos!$D$2:$D$11,"BRL")</f>
        <v>0</v>
      </c>
      <c r="E1100" s="18">
        <f t="shared" ca="1" si="68"/>
        <v>1.4149665310125629E-8</v>
      </c>
      <c r="G1100" s="45">
        <f t="shared" ca="1" si="71"/>
        <v>1.0848841646377343E-8</v>
      </c>
      <c r="H1100" s="18">
        <f>-SUMIFS(Projetos!$F$2:$F$11,Projetos!$D$2:$D$11,"USD",Projetos!$N$2:$N$11,Dados!$A1100)</f>
        <v>0</v>
      </c>
      <c r="I1100" s="45">
        <f ca="1">(G1100+H1100)*((Indicadores_Economicos!D$2+1)^(1/12)-1)</f>
        <v>3.5516284488521875E-11</v>
      </c>
      <c r="J1100" s="18">
        <f>SUMIFS(Projetos!$G$2:$G$11,Projetos!$K$2:$K$11,"&lt;="&amp;Dados!$A1100,Projetos!$N$2:$N$11,"&gt;"&amp;Dados!$A1100,Projetos!$D$2:$D$11,"USD")</f>
        <v>0</v>
      </c>
      <c r="K1100" s="18">
        <f t="shared" ca="1" si="69"/>
        <v>1.0884357930865864E-8</v>
      </c>
    </row>
    <row r="1101" spans="1:11" x14ac:dyDescent="0.2">
      <c r="A1101" s="45">
        <f t="shared" ca="1" si="70"/>
        <v>1.4149665310125629E-8</v>
      </c>
      <c r="B1101" s="18">
        <f>-SUMIFS(Projetos!$F$2:$F$11,Projetos!$D$2:$D$11,"BRL",Projetos!$N$2:$N$11,Dados!$A1101)</f>
        <v>0</v>
      </c>
      <c r="C1101" s="45">
        <f ca="1">(A1101+B1101)*((Indicadores_Economicos!D$2+1)^(1/12)-1)</f>
        <v>4.6322322230558214E-11</v>
      </c>
      <c r="D1101" s="18">
        <f>SUMIFS(Projetos!$G$2:$G$11,Projetos!$K$2:$K$11,"&lt;="&amp;Dados!$A1101,Projetos!$N$2:$N$11,"&gt;"&amp;Dados!A1101,Projetos!$D$2:$D$11,"BRL")</f>
        <v>0</v>
      </c>
      <c r="E1101" s="18">
        <f t="shared" ca="1" si="68"/>
        <v>1.4195987632356187E-8</v>
      </c>
      <c r="G1101" s="45">
        <f t="shared" ca="1" si="71"/>
        <v>1.0884357930865864E-8</v>
      </c>
      <c r="H1101" s="18">
        <f>-SUMIFS(Projetos!$F$2:$F$11,Projetos!$D$2:$D$11,"USD",Projetos!$N$2:$N$11,Dados!$A1101)</f>
        <v>0</v>
      </c>
      <c r="I1101" s="45">
        <f ca="1">(G1101+H1101)*((Indicadores_Economicos!D$2+1)^(1/12)-1)</f>
        <v>3.5632555561967844E-11</v>
      </c>
      <c r="J1101" s="18">
        <f>SUMIFS(Projetos!$G$2:$G$11,Projetos!$K$2:$K$11,"&lt;="&amp;Dados!$A1101,Projetos!$N$2:$N$11,"&gt;"&amp;Dados!$A1101,Projetos!$D$2:$D$11,"USD")</f>
        <v>0</v>
      </c>
      <c r="K1101" s="18">
        <f t="shared" ca="1" si="69"/>
        <v>1.0919990486427832E-8</v>
      </c>
    </row>
    <row r="1102" spans="1:11" x14ac:dyDescent="0.2">
      <c r="A1102" s="45">
        <f t="shared" ca="1" si="70"/>
        <v>1.4195987632356187E-8</v>
      </c>
      <c r="B1102" s="18">
        <f>-SUMIFS(Projetos!$F$2:$F$11,Projetos!$D$2:$D$11,"BRL",Projetos!$N$2:$N$11,Dados!$A1102)</f>
        <v>0</v>
      </c>
      <c r="C1102" s="45">
        <f ca="1">(A1102+B1102)*((Indicadores_Economicos!D$2+1)^(1/12)-1)</f>
        <v>4.6473969459648226E-11</v>
      </c>
      <c r="D1102" s="18">
        <f>SUMIFS(Projetos!$G$2:$G$11,Projetos!$K$2:$K$11,"&lt;="&amp;Dados!$A1102,Projetos!$N$2:$N$11,"&gt;"&amp;Dados!A1102,Projetos!$D$2:$D$11,"BRL")</f>
        <v>0</v>
      </c>
      <c r="E1102" s="18">
        <f t="shared" ca="1" si="68"/>
        <v>1.4242461601815834E-8</v>
      </c>
      <c r="G1102" s="45">
        <f t="shared" ca="1" si="71"/>
        <v>1.0919990486427832E-8</v>
      </c>
      <c r="H1102" s="18">
        <f>-SUMIFS(Projetos!$F$2:$F$11,Projetos!$D$2:$D$11,"USD",Projetos!$N$2:$N$11,Dados!$A1102)</f>
        <v>0</v>
      </c>
      <c r="I1102" s="45">
        <f ca="1">(G1102+H1102)*((Indicadores_Economicos!D$2+1)^(1/12)-1)</f>
        <v>3.5749207276652469E-11</v>
      </c>
      <c r="J1102" s="18">
        <f>SUMIFS(Projetos!$G$2:$G$11,Projetos!$K$2:$K$11,"&lt;="&amp;Dados!$A1102,Projetos!$N$2:$N$11,"&gt;"&amp;Dados!$A1102,Projetos!$D$2:$D$11,"USD")</f>
        <v>0</v>
      </c>
      <c r="K1102" s="18">
        <f t="shared" ca="1" si="69"/>
        <v>1.0955739693704484E-8</v>
      </c>
    </row>
    <row r="1103" spans="1:11" x14ac:dyDescent="0.2">
      <c r="A1103" s="45">
        <f t="shared" ca="1" si="70"/>
        <v>1.4242461601815834E-8</v>
      </c>
      <c r="B1103" s="18">
        <f>-SUMIFS(Projetos!$F$2:$F$11,Projetos!$D$2:$D$11,"BRL",Projetos!$N$2:$N$11,Dados!$A1103)</f>
        <v>0</v>
      </c>
      <c r="C1103" s="45">
        <f ca="1">(A1103+B1103)*((Indicadores_Economicos!D$2+1)^(1/12)-1)</f>
        <v>4.662611314230497E-11</v>
      </c>
      <c r="D1103" s="18">
        <f>SUMIFS(Projetos!$G$2:$G$11,Projetos!$K$2:$K$11,"&lt;="&amp;Dados!$A1103,Projetos!$N$2:$N$11,"&gt;"&amp;Dados!A1103,Projetos!$D$2:$D$11,"BRL")</f>
        <v>0</v>
      </c>
      <c r="E1103" s="18">
        <f t="shared" ca="1" si="68"/>
        <v>1.428908771495814E-8</v>
      </c>
      <c r="G1103" s="45">
        <f t="shared" ca="1" si="71"/>
        <v>1.0955739693704484E-8</v>
      </c>
      <c r="H1103" s="18">
        <f>-SUMIFS(Projetos!$F$2:$F$11,Projetos!$D$2:$D$11,"USD",Projetos!$N$2:$N$11,Dados!$A1103)</f>
        <v>0</v>
      </c>
      <c r="I1103" s="45">
        <f ca="1">(G1103+H1103)*((Indicadores_Economicos!D$2+1)^(1/12)-1)</f>
        <v>3.5866240878696118E-11</v>
      </c>
      <c r="J1103" s="18">
        <f>SUMIFS(Projetos!$G$2:$G$11,Projetos!$K$2:$K$11,"&lt;="&amp;Dados!$A1103,Projetos!$N$2:$N$11,"&gt;"&amp;Dados!$A1103,Projetos!$D$2:$D$11,"USD")</f>
        <v>0</v>
      </c>
      <c r="K1103" s="18">
        <f t="shared" ca="1" si="69"/>
        <v>1.0991605934583181E-8</v>
      </c>
    </row>
    <row r="1104" spans="1:11" x14ac:dyDescent="0.2">
      <c r="A1104" s="45">
        <f t="shared" ca="1" si="70"/>
        <v>1.428908771495814E-8</v>
      </c>
      <c r="B1104" s="18">
        <f>-SUMIFS(Projetos!$F$2:$F$11,Projetos!$D$2:$D$11,"BRL",Projetos!$N$2:$N$11,Dados!$A1104)</f>
        <v>0</v>
      </c>
      <c r="C1104" s="45">
        <f ca="1">(A1104+B1104)*((Indicadores_Economicos!D$2+1)^(1/12)-1)</f>
        <v>4.6778754903788242E-11</v>
      </c>
      <c r="D1104" s="18">
        <f>SUMIFS(Projetos!$G$2:$G$11,Projetos!$K$2:$K$11,"&lt;="&amp;Dados!$A1104,Projetos!$N$2:$N$11,"&gt;"&amp;Dados!A1104,Projetos!$D$2:$D$11,"BRL")</f>
        <v>0</v>
      </c>
      <c r="E1104" s="18">
        <f t="shared" ca="1" si="68"/>
        <v>1.4335866469861928E-8</v>
      </c>
      <c r="G1104" s="45">
        <f t="shared" ca="1" si="71"/>
        <v>1.0991605934583181E-8</v>
      </c>
      <c r="H1104" s="18">
        <f>-SUMIFS(Projetos!$F$2:$F$11,Projetos!$D$2:$D$11,"USD",Projetos!$N$2:$N$11,Dados!$A1104)</f>
        <v>0</v>
      </c>
      <c r="I1104" s="45">
        <f ca="1">(G1104+H1104)*((Indicadores_Economicos!D$2+1)^(1/12)-1)</f>
        <v>3.5983657618298637E-11</v>
      </c>
      <c r="J1104" s="18">
        <f>SUMIFS(Projetos!$G$2:$G$11,Projetos!$K$2:$K$11,"&lt;="&amp;Dados!$A1104,Projetos!$N$2:$N$11,"&gt;"&amp;Dados!$A1104,Projetos!$D$2:$D$11,"USD")</f>
        <v>0</v>
      </c>
      <c r="K1104" s="18">
        <f t="shared" ca="1" si="69"/>
        <v>1.102758959220148E-8</v>
      </c>
    </row>
    <row r="1105" spans="1:11" x14ac:dyDescent="0.2">
      <c r="A1105" s="45">
        <f t="shared" ca="1" si="70"/>
        <v>1.4335866469861928E-8</v>
      </c>
      <c r="B1105" s="18">
        <f>-SUMIFS(Projetos!$F$2:$F$11,Projetos!$D$2:$D$11,"BRL",Projetos!$N$2:$N$11,Dados!$A1105)</f>
        <v>0</v>
      </c>
      <c r="C1105" s="45">
        <f ca="1">(A1105+B1105)*((Indicadores_Economicos!D$2+1)^(1/12)-1)</f>
        <v>4.6931896374678511E-11</v>
      </c>
      <c r="D1105" s="18">
        <f>SUMIFS(Projetos!$G$2:$G$11,Projetos!$K$2:$K$11,"&lt;="&amp;Dados!$A1105,Projetos!$N$2:$N$11,"&gt;"&amp;Dados!A1105,Projetos!$D$2:$D$11,"BRL")</f>
        <v>0</v>
      </c>
      <c r="E1105" s="18">
        <f t="shared" ca="1" si="68"/>
        <v>1.4382798366236607E-8</v>
      </c>
      <c r="G1105" s="45">
        <f t="shared" ca="1" si="71"/>
        <v>1.102758959220148E-8</v>
      </c>
      <c r="H1105" s="18">
        <f>-SUMIFS(Projetos!$F$2:$F$11,Projetos!$D$2:$D$11,"USD",Projetos!$N$2:$N$11,Dados!$A1105)</f>
        <v>0</v>
      </c>
      <c r="I1105" s="45">
        <f ca="1">(G1105+H1105)*((Indicadores_Economicos!D$2+1)^(1/12)-1)</f>
        <v>3.6101458749752686E-11</v>
      </c>
      <c r="J1105" s="18">
        <f>SUMIFS(Projetos!$G$2:$G$11,Projetos!$K$2:$K$11,"&lt;="&amp;Dados!$A1105,Projetos!$N$2:$N$11,"&gt;"&amp;Dados!$A1105,Projetos!$D$2:$D$11,"USD")</f>
        <v>0</v>
      </c>
      <c r="K1105" s="18">
        <f t="shared" ca="1" si="69"/>
        <v>1.1063691050951232E-8</v>
      </c>
    </row>
    <row r="1106" spans="1:11" x14ac:dyDescent="0.2">
      <c r="A1106" s="45">
        <f t="shared" ca="1" si="70"/>
        <v>1.4382798366236607E-8</v>
      </c>
      <c r="B1106" s="18">
        <f>-SUMIFS(Projetos!$F$2:$F$11,Projetos!$D$2:$D$11,"BRL",Projetos!$N$2:$N$11,Dados!$A1106)</f>
        <v>0</v>
      </c>
      <c r="C1106" s="45">
        <f ca="1">(A1106+B1106)*((Indicadores_Economicos!D$2+1)^(1/12)-1)</f>
        <v>4.7085539190894337E-11</v>
      </c>
      <c r="D1106" s="18">
        <f>SUMIFS(Projetos!$G$2:$G$11,Projetos!$K$2:$K$11,"&lt;="&amp;Dados!$A1106,Projetos!$N$2:$N$11,"&gt;"&amp;Dados!A1106,Projetos!$D$2:$D$11,"BRL")</f>
        <v>0</v>
      </c>
      <c r="E1106" s="18">
        <f t="shared" ca="1" si="68"/>
        <v>1.4429883905427501E-8</v>
      </c>
      <c r="G1106" s="45">
        <f t="shared" ca="1" si="71"/>
        <v>1.1063691050951232E-8</v>
      </c>
      <c r="H1106" s="18">
        <f>-SUMIFS(Projetos!$F$2:$F$11,Projetos!$D$2:$D$11,"USD",Projetos!$N$2:$N$11,Dados!$A1106)</f>
        <v>0</v>
      </c>
      <c r="I1106" s="45">
        <f ca="1">(G1106+H1106)*((Indicadores_Economicos!D$2+1)^(1/12)-1)</f>
        <v>3.6219645531457166E-11</v>
      </c>
      <c r="J1106" s="18">
        <f>SUMIFS(Projetos!$G$2:$G$11,Projetos!$K$2:$K$11,"&lt;="&amp;Dados!$A1106,Projetos!$N$2:$N$11,"&gt;"&amp;Dados!$A1106,Projetos!$D$2:$D$11,"USD")</f>
        <v>0</v>
      </c>
      <c r="K1106" s="18">
        <f t="shared" ca="1" si="69"/>
        <v>1.1099910696482689E-8</v>
      </c>
    </row>
    <row r="1107" spans="1:11" x14ac:dyDescent="0.2">
      <c r="A1107" s="45">
        <f t="shared" ca="1" si="70"/>
        <v>1.4429883905427501E-8</v>
      </c>
      <c r="B1107" s="18">
        <f>-SUMIFS(Projetos!$F$2:$F$11,Projetos!$D$2:$D$11,"BRL",Projetos!$N$2:$N$11,Dados!$A1107)</f>
        <v>0</v>
      </c>
      <c r="C1107" s="45">
        <f ca="1">(A1107+B1107)*((Indicadores_Economicos!D$2+1)^(1/12)-1)</f>
        <v>4.7239684993709849E-11</v>
      </c>
      <c r="D1107" s="18">
        <f>SUMIFS(Projetos!$G$2:$G$11,Projetos!$K$2:$K$11,"&lt;="&amp;Dados!$A1107,Projetos!$N$2:$N$11,"&gt;"&amp;Dados!A1107,Projetos!$D$2:$D$11,"BRL")</f>
        <v>0</v>
      </c>
      <c r="E1107" s="18">
        <f t="shared" ca="1" si="68"/>
        <v>1.4477123590421211E-8</v>
      </c>
      <c r="G1107" s="45">
        <f t="shared" ca="1" si="71"/>
        <v>1.1099910696482689E-8</v>
      </c>
      <c r="H1107" s="18">
        <f>-SUMIFS(Projetos!$F$2:$F$11,Projetos!$D$2:$D$11,"USD",Projetos!$N$2:$N$11,Dados!$A1107)</f>
        <v>0</v>
      </c>
      <c r="I1107" s="45">
        <f ca="1">(G1107+H1107)*((Indicadores_Economicos!D$2+1)^(1/12)-1)</f>
        <v>3.6338219225930639E-11</v>
      </c>
      <c r="J1107" s="18">
        <f>SUMIFS(Projetos!$G$2:$G$11,Projetos!$K$2:$K$11,"&lt;="&amp;Dados!$A1107,Projetos!$N$2:$N$11,"&gt;"&amp;Dados!$A1107,Projetos!$D$2:$D$11,"USD")</f>
        <v>0</v>
      </c>
      <c r="K1107" s="18">
        <f t="shared" ca="1" si="69"/>
        <v>1.1136248915708619E-8</v>
      </c>
    </row>
    <row r="1108" spans="1:11" x14ac:dyDescent="0.2">
      <c r="A1108" s="45">
        <f t="shared" ca="1" si="70"/>
        <v>1.4477123590421211E-8</v>
      </c>
      <c r="B1108" s="18">
        <f>-SUMIFS(Projetos!$F$2:$F$11,Projetos!$D$2:$D$11,"BRL",Projetos!$N$2:$N$11,Dados!$A1108)</f>
        <v>0</v>
      </c>
      <c r="C1108" s="45">
        <f ca="1">(A1108+B1108)*((Indicadores_Economicos!D$2+1)^(1/12)-1)</f>
        <v>4.7394335429772304E-11</v>
      </c>
      <c r="D1108" s="18">
        <f>SUMIFS(Projetos!$G$2:$G$11,Projetos!$K$2:$K$11,"&lt;="&amp;Dados!$A1108,Projetos!$N$2:$N$11,"&gt;"&amp;Dados!A1108,Projetos!$D$2:$D$11,"BRL")</f>
        <v>0</v>
      </c>
      <c r="E1108" s="18">
        <f t="shared" ca="1" si="68"/>
        <v>1.4524517925850984E-8</v>
      </c>
      <c r="G1108" s="45">
        <f t="shared" ca="1" si="71"/>
        <v>1.1136248915708619E-8</v>
      </c>
      <c r="H1108" s="18">
        <f>-SUMIFS(Projetos!$F$2:$F$11,Projetos!$D$2:$D$11,"USD",Projetos!$N$2:$N$11,Dados!$A1108)</f>
        <v>0</v>
      </c>
      <c r="I1108" s="45">
        <f ca="1">(G1108+H1108)*((Indicadores_Economicos!D$2+1)^(1/12)-1)</f>
        <v>3.6457181099824832E-11</v>
      </c>
      <c r="J1108" s="18">
        <f>SUMIFS(Projetos!$G$2:$G$11,Projetos!$K$2:$K$11,"&lt;="&amp;Dados!$A1108,Projetos!$N$2:$N$11,"&gt;"&amp;Dados!$A1108,Projetos!$D$2:$D$11,"USD")</f>
        <v>0</v>
      </c>
      <c r="K1108" s="18">
        <f t="shared" ca="1" si="69"/>
        <v>1.1172706096808444E-8</v>
      </c>
    </row>
    <row r="1109" spans="1:11" x14ac:dyDescent="0.2">
      <c r="A1109" s="45">
        <f t="shared" ca="1" si="70"/>
        <v>1.4524517925850984E-8</v>
      </c>
      <c r="B1109" s="18">
        <f>-SUMIFS(Projetos!$F$2:$F$11,Projetos!$D$2:$D$11,"BRL",Projetos!$N$2:$N$11,Dados!$A1109)</f>
        <v>0</v>
      </c>
      <c r="C1109" s="45">
        <f ca="1">(A1109+B1109)*((Indicadores_Economicos!D$2+1)^(1/12)-1)</f>
        <v>4.7549492151119627E-11</v>
      </c>
      <c r="D1109" s="18">
        <f>SUMIFS(Projetos!$G$2:$G$11,Projetos!$K$2:$K$11,"&lt;="&amp;Dados!$A1109,Projetos!$N$2:$N$11,"&gt;"&amp;Dados!A1109,Projetos!$D$2:$D$11,"BRL")</f>
        <v>0</v>
      </c>
      <c r="E1109" s="18">
        <f t="shared" ca="1" si="68"/>
        <v>1.4572067418002103E-8</v>
      </c>
      <c r="G1109" s="45">
        <f t="shared" ca="1" si="71"/>
        <v>1.1172706096808444E-8</v>
      </c>
      <c r="H1109" s="18">
        <f>-SUMIFS(Projetos!$F$2:$F$11,Projetos!$D$2:$D$11,"USD",Projetos!$N$2:$N$11,Dados!$A1109)</f>
        <v>0</v>
      </c>
      <c r="I1109" s="45">
        <f ca="1">(G1109+H1109)*((Indicadores_Economicos!D$2+1)^(1/12)-1)</f>
        <v>3.6576532423938161E-11</v>
      </c>
      <c r="J1109" s="18">
        <f>SUMIFS(Projetos!$G$2:$G$11,Projetos!$K$2:$K$11,"&lt;="&amp;Dados!$A1109,Projetos!$N$2:$N$11,"&gt;"&amp;Dados!$A1109,Projetos!$D$2:$D$11,"USD")</f>
        <v>0</v>
      </c>
      <c r="K1109" s="18">
        <f t="shared" ca="1" si="69"/>
        <v>1.1209282629232381E-8</v>
      </c>
    </row>
    <row r="1110" spans="1:11" x14ac:dyDescent="0.2">
      <c r="A1110" s="45">
        <f t="shared" ca="1" si="70"/>
        <v>1.4572067418002103E-8</v>
      </c>
      <c r="B1110" s="18">
        <f>-SUMIFS(Projetos!$F$2:$F$11,Projetos!$D$2:$D$11,"BRL",Projetos!$N$2:$N$11,Dados!$A1110)</f>
        <v>0</v>
      </c>
      <c r="C1110" s="45">
        <f ca="1">(A1110+B1110)*((Indicadores_Economicos!D$2+1)^(1/12)-1)</f>
        <v>4.7705156815198104E-11</v>
      </c>
      <c r="D1110" s="18">
        <f>SUMIFS(Projetos!$G$2:$G$11,Projetos!$K$2:$K$11,"&lt;="&amp;Dados!$A1110,Projetos!$N$2:$N$11,"&gt;"&amp;Dados!A1110,Projetos!$D$2:$D$11,"BRL")</f>
        <v>0</v>
      </c>
      <c r="E1110" s="18">
        <f t="shared" ca="1" si="68"/>
        <v>1.4619772574817302E-8</v>
      </c>
      <c r="G1110" s="45">
        <f t="shared" ca="1" si="71"/>
        <v>1.1209282629232381E-8</v>
      </c>
      <c r="H1110" s="18">
        <f>-SUMIFS(Projetos!$F$2:$F$11,Projetos!$D$2:$D$11,"USD",Projetos!$N$2:$N$11,Dados!$A1110)</f>
        <v>0</v>
      </c>
      <c r="I1110" s="45">
        <f ca="1">(G1110+H1110)*((Indicadores_Economicos!D$2+1)^(1/12)-1)</f>
        <v>3.6696274473229293E-11</v>
      </c>
      <c r="J1110" s="18">
        <f>SUMIFS(Projetos!$G$2:$G$11,Projetos!$K$2:$K$11,"&lt;="&amp;Dados!$A1110,Projetos!$N$2:$N$11,"&gt;"&amp;Dados!$A1110,Projetos!$D$2:$D$11,"USD")</f>
        <v>0</v>
      </c>
      <c r="K1110" s="18">
        <f t="shared" ca="1" si="69"/>
        <v>1.124597890370561E-8</v>
      </c>
    </row>
    <row r="1111" spans="1:11" x14ac:dyDescent="0.2">
      <c r="A1111" s="45">
        <f t="shared" ca="1" si="70"/>
        <v>1.4619772574817302E-8</v>
      </c>
      <c r="B1111" s="18">
        <f>-SUMIFS(Projetos!$F$2:$F$11,Projetos!$D$2:$D$11,"BRL",Projetos!$N$2:$N$11,Dados!$A1111)</f>
        <v>0</v>
      </c>
      <c r="C1111" s="45">
        <f ca="1">(A1111+B1111)*((Indicadores_Economicos!D$2+1)^(1/12)-1)</f>
        <v>4.7861331084880055E-11</v>
      </c>
      <c r="D1111" s="18">
        <f>SUMIFS(Projetos!$G$2:$G$11,Projetos!$K$2:$K$11,"&lt;="&amp;Dados!$A1111,Projetos!$N$2:$N$11,"&gt;"&amp;Dados!A1111,Projetos!$D$2:$D$11,"BRL")</f>
        <v>0</v>
      </c>
      <c r="E1111" s="18">
        <f t="shared" ca="1" si="68"/>
        <v>1.4667633905902182E-8</v>
      </c>
      <c r="G1111" s="45">
        <f t="shared" ca="1" si="71"/>
        <v>1.124597890370561E-8</v>
      </c>
      <c r="H1111" s="18">
        <f>-SUMIFS(Projetos!$F$2:$F$11,Projetos!$D$2:$D$11,"USD",Projetos!$N$2:$N$11,Dados!$A1111)</f>
        <v>0</v>
      </c>
      <c r="I1111" s="45">
        <f ca="1">(G1111+H1111)*((Indicadores_Economicos!D$2+1)^(1/12)-1)</f>
        <v>3.6816408526830792E-11</v>
      </c>
      <c r="J1111" s="18">
        <f>SUMIFS(Projetos!$G$2:$G$11,Projetos!$K$2:$K$11,"&lt;="&amp;Dados!$A1111,Projetos!$N$2:$N$11,"&gt;"&amp;Dados!$A1111,Projetos!$D$2:$D$11,"USD")</f>
        <v>0</v>
      </c>
      <c r="K1111" s="18">
        <f t="shared" ca="1" si="69"/>
        <v>1.1282795312232441E-8</v>
      </c>
    </row>
    <row r="1112" spans="1:11" x14ac:dyDescent="0.2">
      <c r="A1112" s="45">
        <f t="shared" ca="1" si="70"/>
        <v>1.4667633905902182E-8</v>
      </c>
      <c r="B1112" s="18">
        <f>-SUMIFS(Projetos!$F$2:$F$11,Projetos!$D$2:$D$11,"BRL",Projetos!$N$2:$N$11,Dados!$A1112)</f>
        <v>0</v>
      </c>
      <c r="C1112" s="45">
        <f ca="1">(A1112+B1112)*((Indicadores_Economicos!D$2+1)^(1/12)-1)</f>
        <v>4.8018016628481623E-11</v>
      </c>
      <c r="D1112" s="18">
        <f>SUMIFS(Projetos!$G$2:$G$11,Projetos!$K$2:$K$11,"&lt;="&amp;Dados!$A1112,Projetos!$N$2:$N$11,"&gt;"&amp;Dados!A1112,Projetos!$D$2:$D$11,"BRL")</f>
        <v>0</v>
      </c>
      <c r="E1112" s="18">
        <f t="shared" ca="1" si="68"/>
        <v>1.4715651922530664E-8</v>
      </c>
      <c r="G1112" s="45">
        <f t="shared" ca="1" si="71"/>
        <v>1.1282795312232441E-8</v>
      </c>
      <c r="H1112" s="18">
        <f>-SUMIFS(Projetos!$F$2:$F$11,Projetos!$D$2:$D$11,"USD",Projetos!$N$2:$N$11,Dados!$A1112)</f>
        <v>0</v>
      </c>
      <c r="I1112" s="45">
        <f ca="1">(G1112+H1112)*((Indicadores_Economicos!D$2+1)^(1/12)-1)</f>
        <v>3.6936935868062766E-11</v>
      </c>
      <c r="J1112" s="18">
        <f>SUMIFS(Projetos!$G$2:$G$11,Projetos!$K$2:$K$11,"&lt;="&amp;Dados!$A1112,Projetos!$N$2:$N$11,"&gt;"&amp;Dados!$A1112,Projetos!$D$2:$D$11,"USD")</f>
        <v>0</v>
      </c>
      <c r="K1112" s="18">
        <f t="shared" ca="1" si="69"/>
        <v>1.1319732248100503E-8</v>
      </c>
    </row>
    <row r="1113" spans="1:11" x14ac:dyDescent="0.2">
      <c r="A1113" s="45">
        <f t="shared" ca="1" si="70"/>
        <v>1.4715651922530664E-8</v>
      </c>
      <c r="B1113" s="18">
        <f>-SUMIFS(Projetos!$F$2:$F$11,Projetos!$D$2:$D$11,"BRL",Projetos!$N$2:$N$11,Dados!$A1113)</f>
        <v>0</v>
      </c>
      <c r="C1113" s="45">
        <f ca="1">(A1113+B1113)*((Indicadores_Economicos!D$2+1)^(1/12)-1)</f>
        <v>4.8175215119780573E-11</v>
      </c>
      <c r="D1113" s="18">
        <f>SUMIFS(Projetos!$G$2:$G$11,Projetos!$K$2:$K$11,"&lt;="&amp;Dados!$A1113,Projetos!$N$2:$N$11,"&gt;"&amp;Dados!A1113,Projetos!$D$2:$D$11,"BRL")</f>
        <v>0</v>
      </c>
      <c r="E1113" s="18">
        <f t="shared" ca="1" si="68"/>
        <v>1.4763827137650444E-8</v>
      </c>
      <c r="G1113" s="45">
        <f t="shared" ca="1" si="71"/>
        <v>1.1319732248100503E-8</v>
      </c>
      <c r="H1113" s="18">
        <f>-SUMIFS(Projetos!$F$2:$F$11,Projetos!$D$2:$D$11,"USD",Projetos!$N$2:$N$11,Dados!$A1113)</f>
        <v>0</v>
      </c>
      <c r="I1113" s="45">
        <f ca="1">(G1113+H1113)*((Indicadores_Economicos!D$2+1)^(1/12)-1)</f>
        <v>3.7057857784446572E-11</v>
      </c>
      <c r="J1113" s="18">
        <f>SUMIFS(Projetos!$G$2:$G$11,Projetos!$K$2:$K$11,"&lt;="&amp;Dados!$A1113,Projetos!$N$2:$N$11,"&gt;"&amp;Dados!$A1113,Projetos!$D$2:$D$11,"USD")</f>
        <v>0</v>
      </c>
      <c r="K1113" s="18">
        <f t="shared" ca="1" si="69"/>
        <v>1.135679010588495E-8</v>
      </c>
    </row>
    <row r="1114" spans="1:11" x14ac:dyDescent="0.2">
      <c r="A1114" s="45">
        <f t="shared" ca="1" si="70"/>
        <v>1.4763827137650444E-8</v>
      </c>
      <c r="B1114" s="18">
        <f>-SUMIFS(Projetos!$F$2:$F$11,Projetos!$D$2:$D$11,"BRL",Projetos!$N$2:$N$11,Dados!$A1114)</f>
        <v>0</v>
      </c>
      <c r="C1114" s="45">
        <f ca="1">(A1114+B1114)*((Indicadores_Economicos!D$2+1)^(1/12)-1)</f>
        <v>4.8332928238034191E-11</v>
      </c>
      <c r="D1114" s="18">
        <f>SUMIFS(Projetos!$G$2:$G$11,Projetos!$K$2:$K$11,"&lt;="&amp;Dados!$A1114,Projetos!$N$2:$N$11,"&gt;"&amp;Dados!A1114,Projetos!$D$2:$D$11,"BRL")</f>
        <v>0</v>
      </c>
      <c r="E1114" s="18">
        <f t="shared" ca="1" si="68"/>
        <v>1.4812160065888478E-8</v>
      </c>
      <c r="G1114" s="45">
        <f t="shared" ca="1" si="71"/>
        <v>1.135679010588495E-8</v>
      </c>
      <c r="H1114" s="18">
        <f>-SUMIFS(Projetos!$F$2:$F$11,Projetos!$D$2:$D$11,"USD",Projetos!$N$2:$N$11,Dados!$A1114)</f>
        <v>0</v>
      </c>
      <c r="I1114" s="45">
        <f ca="1">(G1114+H1114)*((Indicadores_Economicos!D$2+1)^(1/12)-1)</f>
        <v>3.7179175567718582E-11</v>
      </c>
      <c r="J1114" s="18">
        <f>SUMIFS(Projetos!$G$2:$G$11,Projetos!$K$2:$K$11,"&lt;="&amp;Dados!$A1114,Projetos!$N$2:$N$11,"&gt;"&amp;Dados!$A1114,Projetos!$D$2:$D$11,"USD")</f>
        <v>0</v>
      </c>
      <c r="K1114" s="18">
        <f t="shared" ca="1" si="69"/>
        <v>1.1393969281452668E-8</v>
      </c>
    </row>
    <row r="1115" spans="1:11" x14ac:dyDescent="0.2">
      <c r="A1115" s="45">
        <f t="shared" ca="1" si="70"/>
        <v>1.4812160065888478E-8</v>
      </c>
      <c r="B1115" s="18">
        <f>-SUMIFS(Projetos!$F$2:$F$11,Projetos!$D$2:$D$11,"BRL",Projetos!$N$2:$N$11,Dados!$A1115)</f>
        <v>0</v>
      </c>
      <c r="C1115" s="45">
        <f ca="1">(A1115+B1115)*((Indicadores_Economicos!D$2+1)^(1/12)-1)</f>
        <v>4.8491157667997207E-11</v>
      </c>
      <c r="D1115" s="18">
        <f>SUMIFS(Projetos!$G$2:$G$11,Projetos!$K$2:$K$11,"&lt;="&amp;Dados!$A1115,Projetos!$N$2:$N$11,"&gt;"&amp;Dados!A1115,Projetos!$D$2:$D$11,"BRL")</f>
        <v>0</v>
      </c>
      <c r="E1115" s="18">
        <f t="shared" ca="1" si="68"/>
        <v>1.4860651223556475E-8</v>
      </c>
      <c r="G1115" s="45">
        <f t="shared" ca="1" si="71"/>
        <v>1.1393969281452668E-8</v>
      </c>
      <c r="H1115" s="18">
        <f>-SUMIFS(Projetos!$F$2:$F$11,Projetos!$D$2:$D$11,"USD",Projetos!$N$2:$N$11,Dados!$A1115)</f>
        <v>0</v>
      </c>
      <c r="I1115" s="45">
        <f ca="1">(G1115+H1115)*((Indicadores_Economicos!D$2+1)^(1/12)-1)</f>
        <v>3.7300890513843982E-11</v>
      </c>
      <c r="J1115" s="18">
        <f>SUMIFS(Projetos!$G$2:$G$11,Projetos!$K$2:$K$11,"&lt;="&amp;Dados!$A1115,Projetos!$N$2:$N$11,"&gt;"&amp;Dados!$A1115,Projetos!$D$2:$D$11,"USD")</f>
        <v>0</v>
      </c>
      <c r="K1115" s="18">
        <f t="shared" ca="1" si="69"/>
        <v>1.1431270171966512E-8</v>
      </c>
    </row>
    <row r="1116" spans="1:11" x14ac:dyDescent="0.2">
      <c r="A1116" s="45">
        <f t="shared" ca="1" si="70"/>
        <v>1.4860651223556475E-8</v>
      </c>
      <c r="B1116" s="18">
        <f>-SUMIFS(Projetos!$F$2:$F$11,Projetos!$D$2:$D$11,"BRL",Projetos!$N$2:$N$11,Dados!$A1116)</f>
        <v>0</v>
      </c>
      <c r="C1116" s="45">
        <f ca="1">(A1116+B1116)*((Indicadores_Economicos!D$2+1)^(1/12)-1)</f>
        <v>4.8649905099939811E-11</v>
      </c>
      <c r="D1116" s="18">
        <f>SUMIFS(Projetos!$G$2:$G$11,Projetos!$K$2:$K$11,"&lt;="&amp;Dados!$A1116,Projetos!$N$2:$N$11,"&gt;"&amp;Dados!A1116,Projetos!$D$2:$D$11,"BRL")</f>
        <v>0</v>
      </c>
      <c r="E1116" s="18">
        <f t="shared" ca="1" si="68"/>
        <v>1.4909301128656415E-8</v>
      </c>
      <c r="G1116" s="45">
        <f t="shared" ca="1" si="71"/>
        <v>1.1431270171966512E-8</v>
      </c>
      <c r="H1116" s="18">
        <f>-SUMIFS(Projetos!$F$2:$F$11,Projetos!$D$2:$D$11,"USD",Projetos!$N$2:$N$11,Dados!$A1116)</f>
        <v>0</v>
      </c>
      <c r="I1116" s="45">
        <f ca="1">(G1116+H1116)*((Indicadores_Economicos!D$2+1)^(1/12)-1)</f>
        <v>3.7423003923030593E-11</v>
      </c>
      <c r="J1116" s="18">
        <f>SUMIFS(Projetos!$G$2:$G$11,Projetos!$K$2:$K$11,"&lt;="&amp;Dados!$A1116,Projetos!$N$2:$N$11,"&gt;"&amp;Dados!$A1116,Projetos!$D$2:$D$11,"USD")</f>
        <v>0</v>
      </c>
      <c r="K1116" s="18">
        <f t="shared" ca="1" si="69"/>
        <v>1.1468693175889543E-8</v>
      </c>
    </row>
    <row r="1117" spans="1:11" x14ac:dyDescent="0.2">
      <c r="A1117" s="45">
        <f t="shared" ca="1" si="70"/>
        <v>1.4909301128656415E-8</v>
      </c>
      <c r="B1117" s="18">
        <f>-SUMIFS(Projetos!$F$2:$F$11,Projetos!$D$2:$D$11,"BRL",Projetos!$N$2:$N$11,Dados!$A1117)</f>
        <v>0</v>
      </c>
      <c r="C1117" s="45">
        <f ca="1">(A1117+B1117)*((Indicadores_Economicos!D$2+1)^(1/12)-1)</f>
        <v>4.880917222966568E-11</v>
      </c>
      <c r="D1117" s="18">
        <f>SUMIFS(Projetos!$G$2:$G$11,Projetos!$K$2:$K$11,"&lt;="&amp;Dados!$A1117,Projetos!$N$2:$N$11,"&gt;"&amp;Dados!A1117,Projetos!$D$2:$D$11,"BRL")</f>
        <v>0</v>
      </c>
      <c r="E1117" s="18">
        <f t="shared" ca="1" si="68"/>
        <v>1.495811030088608E-8</v>
      </c>
      <c r="G1117" s="45">
        <f t="shared" ca="1" si="71"/>
        <v>1.1468693175889543E-8</v>
      </c>
      <c r="H1117" s="18">
        <f>-SUMIFS(Projetos!$F$2:$F$11,Projetos!$D$2:$D$11,"USD",Projetos!$N$2:$N$11,Dados!$A1117)</f>
        <v>0</v>
      </c>
      <c r="I1117" s="45">
        <f ca="1">(G1117+H1117)*((Indicadores_Economicos!D$2+1)^(1/12)-1)</f>
        <v>3.7545517099742808E-11</v>
      </c>
      <c r="J1117" s="18">
        <f>SUMIFS(Projetos!$G$2:$G$11,Projetos!$K$2:$K$11,"&lt;="&amp;Dados!$A1117,Projetos!$N$2:$N$11,"&gt;"&amp;Dados!$A1117,Projetos!$D$2:$D$11,"USD")</f>
        <v>0</v>
      </c>
      <c r="K1117" s="18">
        <f t="shared" ca="1" si="69"/>
        <v>1.1506238692989286E-8</v>
      </c>
    </row>
    <row r="1118" spans="1:11" x14ac:dyDescent="0.2">
      <c r="A1118" s="45">
        <f t="shared" ca="1" si="70"/>
        <v>1.495811030088608E-8</v>
      </c>
      <c r="B1118" s="18">
        <f>-SUMIFS(Projetos!$F$2:$F$11,Projetos!$D$2:$D$11,"BRL",Projetos!$N$2:$N$11,Dados!$A1118)</f>
        <v>0</v>
      </c>
      <c r="C1118" s="45">
        <f ca="1">(A1118+B1118)*((Indicadores_Economicos!D$2+1)^(1/12)-1)</f>
        <v>4.8968960758530135E-11</v>
      </c>
      <c r="D1118" s="18">
        <f>SUMIFS(Projetos!$G$2:$G$11,Projetos!$K$2:$K$11,"&lt;="&amp;Dados!$A1118,Projetos!$N$2:$N$11,"&gt;"&amp;Dados!A1118,Projetos!$D$2:$D$11,"BRL")</f>
        <v>0</v>
      </c>
      <c r="E1118" s="18">
        <f t="shared" ca="1" si="68"/>
        <v>1.5007079261644612E-8</v>
      </c>
      <c r="G1118" s="45">
        <f t="shared" ca="1" si="71"/>
        <v>1.1506238692989286E-8</v>
      </c>
      <c r="H1118" s="18">
        <f>-SUMIFS(Projetos!$F$2:$F$11,Projetos!$D$2:$D$11,"USD",Projetos!$N$2:$N$11,Dados!$A1118)</f>
        <v>0</v>
      </c>
      <c r="I1118" s="45">
        <f ca="1">(G1118+H1118)*((Indicadores_Economicos!D$2+1)^(1/12)-1)</f>
        <v>3.7668431352715464E-11</v>
      </c>
      <c r="J1118" s="18">
        <f>SUMIFS(Projetos!$G$2:$G$11,Projetos!$K$2:$K$11,"&lt;="&amp;Dados!$A1118,Projetos!$N$2:$N$11,"&gt;"&amp;Dados!$A1118,Projetos!$D$2:$D$11,"USD")</f>
        <v>0</v>
      </c>
      <c r="K1118" s="18">
        <f t="shared" ca="1" si="69"/>
        <v>1.1543907124342001E-8</v>
      </c>
    </row>
    <row r="1119" spans="1:11" x14ac:dyDescent="0.2">
      <c r="A1119" s="45">
        <f t="shared" ca="1" si="70"/>
        <v>1.5007079261644612E-8</v>
      </c>
      <c r="B1119" s="18">
        <f>-SUMIFS(Projetos!$F$2:$F$11,Projetos!$D$2:$D$11,"BRL",Projetos!$N$2:$N$11,Dados!$A1119)</f>
        <v>0</v>
      </c>
      <c r="C1119" s="45">
        <f ca="1">(A1119+B1119)*((Indicadores_Economicos!D$2+1)^(1/12)-1)</f>
        <v>4.9129272393458277E-11</v>
      </c>
      <c r="D1119" s="18">
        <f>SUMIFS(Projetos!$G$2:$G$11,Projetos!$K$2:$K$11,"&lt;="&amp;Dados!$A1119,Projetos!$N$2:$N$11,"&gt;"&amp;Dados!A1119,Projetos!$D$2:$D$11,"BRL")</f>
        <v>0</v>
      </c>
      <c r="E1119" s="18">
        <f t="shared" ca="1" si="68"/>
        <v>1.505620853403807E-8</v>
      </c>
      <c r="G1119" s="45">
        <f t="shared" ca="1" si="71"/>
        <v>1.1543907124342001E-8</v>
      </c>
      <c r="H1119" s="18">
        <f>-SUMIFS(Projetos!$F$2:$F$11,Projetos!$D$2:$D$11,"USD",Projetos!$N$2:$N$11,Dados!$A1119)</f>
        <v>0</v>
      </c>
      <c r="I1119" s="45">
        <f ca="1">(G1119+H1119)*((Indicadores_Economicos!D$2+1)^(1/12)-1)</f>
        <v>3.779174799496788E-11</v>
      </c>
      <c r="J1119" s="18">
        <f>SUMIFS(Projetos!$G$2:$G$11,Projetos!$K$2:$K$11,"&lt;="&amp;Dados!$A1119,Projetos!$N$2:$N$11,"&gt;"&amp;Dados!$A1119,Projetos!$D$2:$D$11,"USD")</f>
        <v>0</v>
      </c>
      <c r="K1119" s="18">
        <f t="shared" ca="1" si="69"/>
        <v>1.1581698872336968E-8</v>
      </c>
    </row>
    <row r="1120" spans="1:11" x14ac:dyDescent="0.2">
      <c r="A1120" s="45">
        <f t="shared" ca="1" si="70"/>
        <v>1.505620853403807E-8</v>
      </c>
      <c r="B1120" s="18">
        <f>-SUMIFS(Projetos!$F$2:$F$11,Projetos!$D$2:$D$11,"BRL",Projetos!$N$2:$N$11,Dados!$A1120)</f>
        <v>0</v>
      </c>
      <c r="C1120" s="45">
        <f ca="1">(A1120+B1120)*((Indicadores_Economicos!D$2+1)^(1/12)-1)</f>
        <v>4.9290108846963228E-11</v>
      </c>
      <c r="D1120" s="18">
        <f>SUMIFS(Projetos!$G$2:$G$11,Projetos!$K$2:$K$11,"&lt;="&amp;Dados!$A1120,Projetos!$N$2:$N$11,"&gt;"&amp;Dados!A1120,Projetos!$D$2:$D$11,"BRL")</f>
        <v>0</v>
      </c>
      <c r="E1120" s="18">
        <f t="shared" ca="1" si="68"/>
        <v>1.5105498642885032E-8</v>
      </c>
      <c r="G1120" s="45">
        <f t="shared" ca="1" si="71"/>
        <v>1.1581698872336968E-8</v>
      </c>
      <c r="H1120" s="18">
        <f>-SUMIFS(Projetos!$F$2:$F$11,Projetos!$D$2:$D$11,"USD",Projetos!$N$2:$N$11,Dados!$A1120)</f>
        <v>0</v>
      </c>
      <c r="I1120" s="45">
        <f ca="1">(G1120+H1120)*((Indicadores_Economicos!D$2+1)^(1/12)-1)</f>
        <v>3.7915468343817839E-11</v>
      </c>
      <c r="J1120" s="18">
        <f>SUMIFS(Projetos!$G$2:$G$11,Projetos!$K$2:$K$11,"&lt;="&amp;Dados!$A1120,Projetos!$N$2:$N$11,"&gt;"&amp;Dados!$A1120,Projetos!$D$2:$D$11,"USD")</f>
        <v>0</v>
      </c>
      <c r="K1120" s="18">
        <f t="shared" ca="1" si="69"/>
        <v>1.1619614340680786E-8</v>
      </c>
    </row>
    <row r="1121" spans="1:11" x14ac:dyDescent="0.2">
      <c r="A1121" s="45">
        <f t="shared" ca="1" si="70"/>
        <v>1.5105498642885032E-8</v>
      </c>
      <c r="B1121" s="18">
        <f>-SUMIFS(Projetos!$F$2:$F$11,Projetos!$D$2:$D$11,"BRL",Projetos!$N$2:$N$11,Dados!$A1121)</f>
        <v>0</v>
      </c>
      <c r="C1121" s="45">
        <f ca="1">(A1121+B1121)*((Indicadores_Economicos!D$2+1)^(1/12)-1)</f>
        <v>4.9451471837164441E-11</v>
      </c>
      <c r="D1121" s="18">
        <f>SUMIFS(Projetos!$G$2:$G$11,Projetos!$K$2:$K$11,"&lt;="&amp;Dados!$A1121,Projetos!$N$2:$N$11,"&gt;"&amp;Dados!A1121,Projetos!$D$2:$D$11,"BRL")</f>
        <v>0</v>
      </c>
      <c r="E1121" s="18">
        <f t="shared" ca="1" si="68"/>
        <v>1.5154950114722195E-8</v>
      </c>
      <c r="G1121" s="45">
        <f t="shared" ca="1" si="71"/>
        <v>1.1619614340680786E-8</v>
      </c>
      <c r="H1121" s="18">
        <f>-SUMIFS(Projetos!$F$2:$F$11,Projetos!$D$2:$D$11,"USD",Projetos!$N$2:$N$11,Dados!$A1121)</f>
        <v>0</v>
      </c>
      <c r="I1121" s="45">
        <f ca="1">(G1121+H1121)*((Indicadores_Economicos!D$2+1)^(1/12)-1)</f>
        <v>3.80395937208957E-11</v>
      </c>
      <c r="J1121" s="18">
        <f>SUMIFS(Projetos!$G$2:$G$11,Projetos!$K$2:$K$11,"&lt;="&amp;Dados!$A1121,Projetos!$N$2:$N$11,"&gt;"&amp;Dados!$A1121,Projetos!$D$2:$D$11,"USD")</f>
        <v>0</v>
      </c>
      <c r="K1121" s="18">
        <f t="shared" ca="1" si="69"/>
        <v>1.1657653934401682E-8</v>
      </c>
    </row>
    <row r="1122" spans="1:11" x14ac:dyDescent="0.2">
      <c r="A1122" s="45">
        <f t="shared" ca="1" si="70"/>
        <v>1.5154950114722195E-8</v>
      </c>
      <c r="B1122" s="18">
        <f>-SUMIFS(Projetos!$F$2:$F$11,Projetos!$D$2:$D$11,"BRL",Projetos!$N$2:$N$11,Dados!$A1122)</f>
        <v>0</v>
      </c>
      <c r="C1122" s="45">
        <f ca="1">(A1122+B1122)*((Indicadores_Economicos!D$2+1)^(1/12)-1)</f>
        <v>4.9613363087806056E-11</v>
      </c>
      <c r="D1122" s="18">
        <f>SUMIFS(Projetos!$G$2:$G$11,Projetos!$K$2:$K$11,"&lt;="&amp;Dados!$A1122,Projetos!$N$2:$N$11,"&gt;"&amp;Dados!A1122,Projetos!$D$2:$D$11,"BRL")</f>
        <v>0</v>
      </c>
      <c r="E1122" s="18">
        <f t="shared" ca="1" si="68"/>
        <v>1.5204563477810001E-8</v>
      </c>
      <c r="G1122" s="45">
        <f t="shared" ca="1" si="71"/>
        <v>1.1657653934401682E-8</v>
      </c>
      <c r="H1122" s="18">
        <f>-SUMIFS(Projetos!$F$2:$F$11,Projetos!$D$2:$D$11,"USD",Projetos!$N$2:$N$11,Dados!$A1122)</f>
        <v>0</v>
      </c>
      <c r="I1122" s="45">
        <f ca="1">(G1122+H1122)*((Indicadores_Economicos!D$2+1)^(1/12)-1)</f>
        <v>3.8164125452158478E-11</v>
      </c>
      <c r="J1122" s="18">
        <f>SUMIFS(Projetos!$G$2:$G$11,Projetos!$K$2:$K$11,"&lt;="&amp;Dados!$A1122,Projetos!$N$2:$N$11,"&gt;"&amp;Dados!$A1122,Projetos!$D$2:$D$11,"USD")</f>
        <v>0</v>
      </c>
      <c r="K1122" s="18">
        <f t="shared" ca="1" si="69"/>
        <v>1.169581805985384E-8</v>
      </c>
    </row>
    <row r="1123" spans="1:11" x14ac:dyDescent="0.2">
      <c r="A1123" s="45">
        <f t="shared" ca="1" si="70"/>
        <v>1.5204563477810001E-8</v>
      </c>
      <c r="B1123" s="18">
        <f>-SUMIFS(Projetos!$F$2:$F$11,Projetos!$D$2:$D$11,"BRL",Projetos!$N$2:$N$11,Dados!$A1123)</f>
        <v>0</v>
      </c>
      <c r="C1123" s="45">
        <f ca="1">(A1123+B1123)*((Indicadores_Economicos!D$2+1)^(1/12)-1)</f>
        <v>4.9775784328275283E-11</v>
      </c>
      <c r="D1123" s="18">
        <f>SUMIFS(Projetos!$G$2:$G$11,Projetos!$K$2:$K$11,"&lt;="&amp;Dados!$A1123,Projetos!$N$2:$N$11,"&gt;"&amp;Dados!A1123,Projetos!$D$2:$D$11,"BRL")</f>
        <v>0</v>
      </c>
      <c r="E1123" s="18">
        <f t="shared" ca="1" si="68"/>
        <v>1.5254339262138275E-8</v>
      </c>
      <c r="G1123" s="45">
        <f t="shared" ca="1" si="71"/>
        <v>1.169581805985384E-8</v>
      </c>
      <c r="H1123" s="18">
        <f>-SUMIFS(Projetos!$F$2:$F$11,Projetos!$D$2:$D$11,"USD",Projetos!$N$2:$N$11,Dados!$A1123)</f>
        <v>0</v>
      </c>
      <c r="I1123" s="45">
        <f ca="1">(G1123+H1123)*((Indicadores_Economicos!D$2+1)^(1/12)-1)</f>
        <v>3.8289064867904039E-11</v>
      </c>
      <c r="J1123" s="18">
        <f>SUMIFS(Projetos!$G$2:$G$11,Projetos!$K$2:$K$11,"&lt;="&amp;Dados!$A1123,Projetos!$N$2:$N$11,"&gt;"&amp;Dados!$A1123,Projetos!$D$2:$D$11,"USD")</f>
        <v>0</v>
      </c>
      <c r="K1123" s="18">
        <f t="shared" ca="1" si="69"/>
        <v>1.1734107124721744E-8</v>
      </c>
    </row>
    <row r="1124" spans="1:11" x14ac:dyDescent="0.2">
      <c r="A1124" s="45">
        <f t="shared" ca="1" si="70"/>
        <v>1.5254339262138275E-8</v>
      </c>
      <c r="B1124" s="18">
        <f>-SUMIFS(Projetos!$F$2:$F$11,Projetos!$D$2:$D$11,"BRL",Projetos!$N$2:$N$11,Dados!$A1124)</f>
        <v>0</v>
      </c>
      <c r="C1124" s="45">
        <f ca="1">(A1124+B1124)*((Indicadores_Economicos!D$2+1)^(1/12)-1)</f>
        <v>4.9938737293620908E-11</v>
      </c>
      <c r="D1124" s="18">
        <f>SUMIFS(Projetos!$G$2:$G$11,Projetos!$K$2:$K$11,"&lt;="&amp;Dados!$A1124,Projetos!$N$2:$N$11,"&gt;"&amp;Dados!A1124,Projetos!$D$2:$D$11,"BRL")</f>
        <v>0</v>
      </c>
      <c r="E1124" s="18">
        <f t="shared" ca="1" si="68"/>
        <v>1.5304277999431898E-8</v>
      </c>
      <c r="G1124" s="45">
        <f t="shared" ca="1" si="71"/>
        <v>1.1734107124721744E-8</v>
      </c>
      <c r="H1124" s="18">
        <f>-SUMIFS(Projetos!$F$2:$F$11,Projetos!$D$2:$D$11,"USD",Projetos!$N$2:$N$11,Dados!$A1124)</f>
        <v>0</v>
      </c>
      <c r="I1124" s="45">
        <f ca="1">(G1124+H1124)*((Indicadores_Economicos!D$2+1)^(1/12)-1)</f>
        <v>3.841441330278529E-11</v>
      </c>
      <c r="J1124" s="18">
        <f>SUMIFS(Projetos!$G$2:$G$11,Projetos!$K$2:$K$11,"&lt;="&amp;Dados!$A1124,Projetos!$N$2:$N$11,"&gt;"&amp;Dados!$A1124,Projetos!$D$2:$D$11,"USD")</f>
        <v>0</v>
      </c>
      <c r="K1124" s="18">
        <f t="shared" ca="1" si="69"/>
        <v>1.1772521538024529E-8</v>
      </c>
    </row>
    <row r="1125" spans="1:11" x14ac:dyDescent="0.2">
      <c r="A1125" s="45">
        <f t="shared" ca="1" si="70"/>
        <v>1.5304277999431898E-8</v>
      </c>
      <c r="B1125" s="18">
        <f>-SUMIFS(Projetos!$F$2:$F$11,Projetos!$D$2:$D$11,"BRL",Projetos!$N$2:$N$11,Dados!$A1125)</f>
        <v>0</v>
      </c>
      <c r="C1125" s="45">
        <f ca="1">(A1125+B1125)*((Indicadores_Economicos!D$2+1)^(1/12)-1)</f>
        <v>5.0102223724571821E-11</v>
      </c>
      <c r="D1125" s="18">
        <f>SUMIFS(Projetos!$G$2:$G$11,Projetos!$K$2:$K$11,"&lt;="&amp;Dados!$A1125,Projetos!$N$2:$N$11,"&gt;"&amp;Dados!A1125,Projetos!$D$2:$D$11,"BRL")</f>
        <v>0</v>
      </c>
      <c r="E1125" s="18">
        <f t="shared" ca="1" si="68"/>
        <v>1.535438022315647E-8</v>
      </c>
      <c r="G1125" s="45">
        <f t="shared" ca="1" si="71"/>
        <v>1.1772521538024529E-8</v>
      </c>
      <c r="H1125" s="18">
        <f>-SUMIFS(Projetos!$F$2:$F$11,Projetos!$D$2:$D$11,"USD",Projetos!$N$2:$N$11,Dados!$A1125)</f>
        <v>0</v>
      </c>
      <c r="I1125" s="45">
        <f ca="1">(G1125+H1125)*((Indicadores_Economicos!D$2+1)^(1/12)-1)</f>
        <v>3.8540172095824453E-11</v>
      </c>
      <c r="J1125" s="18">
        <f>SUMIFS(Projetos!$G$2:$G$11,Projetos!$K$2:$K$11,"&lt;="&amp;Dados!$A1125,Projetos!$N$2:$N$11,"&gt;"&amp;Dados!$A1125,Projetos!$D$2:$D$11,"USD")</f>
        <v>0</v>
      </c>
      <c r="K1125" s="18">
        <f t="shared" ca="1" si="69"/>
        <v>1.1811061710120353E-8</v>
      </c>
    </row>
    <row r="1126" spans="1:11" x14ac:dyDescent="0.2">
      <c r="A1126" s="45">
        <f t="shared" ca="1" si="70"/>
        <v>1.535438022315647E-8</v>
      </c>
      <c r="B1126" s="18">
        <f>-SUMIFS(Projetos!$F$2:$F$11,Projetos!$D$2:$D$11,"BRL",Projetos!$N$2:$N$11,Dados!$A1126)</f>
        <v>0</v>
      </c>
      <c r="C1126" s="45">
        <f ca="1">(A1126+B1126)*((Indicadores_Economicos!D$2+1)^(1/12)-1)</f>
        <v>5.0266245367555581E-11</v>
      </c>
      <c r="D1126" s="18">
        <f>SUMIFS(Projetos!$G$2:$G$11,Projetos!$K$2:$K$11,"&lt;="&amp;Dados!$A1126,Projetos!$N$2:$N$11,"&gt;"&amp;Dados!A1126,Projetos!$D$2:$D$11,"BRL")</f>
        <v>0</v>
      </c>
      <c r="E1126" s="18">
        <f t="shared" ca="1" si="68"/>
        <v>1.5404646468524027E-8</v>
      </c>
      <c r="G1126" s="45">
        <f t="shared" ca="1" si="71"/>
        <v>1.1811061710120353E-8</v>
      </c>
      <c r="H1126" s="18">
        <f>-SUMIFS(Projetos!$F$2:$F$11,Projetos!$D$2:$D$11,"USD",Projetos!$N$2:$N$11,Dados!$A1126)</f>
        <v>0</v>
      </c>
      <c r="I1126" s="45">
        <f ca="1">(G1126+H1126)*((Indicadores_Economicos!D$2+1)^(1/12)-1)</f>
        <v>3.8666342590427345E-11</v>
      </c>
      <c r="J1126" s="18">
        <f>SUMIFS(Projetos!$G$2:$G$11,Projetos!$K$2:$K$11,"&lt;="&amp;Dados!$A1126,Projetos!$N$2:$N$11,"&gt;"&amp;Dados!$A1126,Projetos!$D$2:$D$11,"USD")</f>
        <v>0</v>
      </c>
      <c r="K1126" s="18">
        <f t="shared" ca="1" si="69"/>
        <v>1.184972805271078E-8</v>
      </c>
    </row>
    <row r="1127" spans="1:11" x14ac:dyDescent="0.2">
      <c r="A1127" s="45">
        <f t="shared" ca="1" si="70"/>
        <v>1.5404646468524027E-8</v>
      </c>
      <c r="B1127" s="18">
        <f>-SUMIFS(Projetos!$F$2:$F$11,Projetos!$D$2:$D$11,"BRL",Projetos!$N$2:$N$11,Dados!$A1127)</f>
        <v>0</v>
      </c>
      <c r="C1127" s="45">
        <f ca="1">(A1127+B1127)*((Indicadores_Economicos!D$2+1)^(1/12)-1)</f>
        <v>5.0430803974717127E-11</v>
      </c>
      <c r="D1127" s="18">
        <f>SUMIFS(Projetos!$G$2:$G$11,Projetos!$K$2:$K$11,"&lt;="&amp;Dados!$A1127,Projetos!$N$2:$N$11,"&gt;"&amp;Dados!A1127,Projetos!$D$2:$D$11,"BRL")</f>
        <v>0</v>
      </c>
      <c r="E1127" s="18">
        <f t="shared" ca="1" si="68"/>
        <v>1.5455077272498744E-8</v>
      </c>
      <c r="G1127" s="45">
        <f t="shared" ca="1" si="71"/>
        <v>1.184972805271078E-8</v>
      </c>
      <c r="H1127" s="18">
        <f>-SUMIFS(Projetos!$F$2:$F$11,Projetos!$D$2:$D$11,"USD",Projetos!$N$2:$N$11,Dados!$A1127)</f>
        <v>0</v>
      </c>
      <c r="I1127" s="45">
        <f ca="1">(G1127+H1127)*((Indicadores_Economicos!D$2+1)^(1/12)-1)</f>
        <v>3.8792926134397758E-11</v>
      </c>
      <c r="J1127" s="18">
        <f>SUMIFS(Projetos!$G$2:$G$11,Projetos!$K$2:$K$11,"&lt;="&amp;Dados!$A1127,Projetos!$N$2:$N$11,"&gt;"&amp;Dados!$A1127,Projetos!$D$2:$D$11,"USD")</f>
        <v>0</v>
      </c>
      <c r="K1127" s="18">
        <f t="shared" ca="1" si="69"/>
        <v>1.1888520978845178E-8</v>
      </c>
    </row>
    <row r="1128" spans="1:11" x14ac:dyDescent="0.2">
      <c r="A1128" s="45">
        <f t="shared" ca="1" si="70"/>
        <v>1.5455077272498744E-8</v>
      </c>
      <c r="B1128" s="18">
        <f>-SUMIFS(Projetos!$F$2:$F$11,Projetos!$D$2:$D$11,"BRL",Projetos!$N$2:$N$11,Dados!$A1128)</f>
        <v>0</v>
      </c>
      <c r="C1128" s="45">
        <f ca="1">(A1128+B1128)*((Indicadores_Economicos!D$2+1)^(1/12)-1)</f>
        <v>5.0595901303937432E-11</v>
      </c>
      <c r="D1128" s="18">
        <f>SUMIFS(Projetos!$G$2:$G$11,Projetos!$K$2:$K$11,"&lt;="&amp;Dados!$A1128,Projetos!$N$2:$N$11,"&gt;"&amp;Dados!A1128,Projetos!$D$2:$D$11,"BRL")</f>
        <v>0</v>
      </c>
      <c r="E1128" s="18">
        <f t="shared" ca="1" si="68"/>
        <v>1.5505673173802682E-8</v>
      </c>
      <c r="G1128" s="45">
        <f t="shared" ca="1" si="71"/>
        <v>1.1888520978845178E-8</v>
      </c>
      <c r="H1128" s="18">
        <f>-SUMIFS(Projetos!$F$2:$F$11,Projetos!$D$2:$D$11,"USD",Projetos!$N$2:$N$11,Dados!$A1128)</f>
        <v>0</v>
      </c>
      <c r="I1128" s="45">
        <f ca="1">(G1128+H1128)*((Indicadores_Economicos!D$2+1)^(1/12)-1)</f>
        <v>3.8919924079951835E-11</v>
      </c>
      <c r="J1128" s="18">
        <f>SUMIFS(Projetos!$G$2:$G$11,Projetos!$K$2:$K$11,"&lt;="&amp;Dados!$A1128,Projetos!$N$2:$N$11,"&gt;"&amp;Dados!$A1128,Projetos!$D$2:$D$11,"USD")</f>
        <v>0</v>
      </c>
      <c r="K1128" s="18">
        <f t="shared" ca="1" si="69"/>
        <v>1.1927440902925129E-8</v>
      </c>
    </row>
    <row r="1129" spans="1:11" x14ac:dyDescent="0.2">
      <c r="A1129" s="45">
        <f t="shared" ca="1" si="70"/>
        <v>1.5505673173802682E-8</v>
      </c>
      <c r="B1129" s="18">
        <f>-SUMIFS(Projetos!$F$2:$F$11,Projetos!$D$2:$D$11,"BRL",Projetos!$N$2:$N$11,Dados!$A1129)</f>
        <v>0</v>
      </c>
      <c r="C1129" s="45">
        <f ca="1">(A1129+B1129)*((Indicadores_Economicos!D$2+1)^(1/12)-1)</f>
        <v>5.0761539118852345E-11</v>
      </c>
      <c r="D1129" s="18">
        <f>SUMIFS(Projetos!$G$2:$G$11,Projetos!$K$2:$K$11,"&lt;="&amp;Dados!$A1129,Projetos!$N$2:$N$11,"&gt;"&amp;Dados!A1129,Projetos!$D$2:$D$11,"BRL")</f>
        <v>0</v>
      </c>
      <c r="E1129" s="18">
        <f t="shared" ca="1" si="68"/>
        <v>1.5556434712921536E-8</v>
      </c>
      <c r="G1129" s="45">
        <f t="shared" ca="1" si="71"/>
        <v>1.1927440902925129E-8</v>
      </c>
      <c r="H1129" s="18">
        <f>-SUMIFS(Projetos!$F$2:$F$11,Projetos!$D$2:$D$11,"USD",Projetos!$N$2:$N$11,Dados!$A1129)</f>
        <v>0</v>
      </c>
      <c r="I1129" s="45">
        <f ca="1">(G1129+H1129)*((Indicadores_Economicos!D$2+1)^(1/12)-1)</f>
        <v>3.9047337783732535E-11</v>
      </c>
      <c r="J1129" s="18">
        <f>SUMIFS(Projetos!$G$2:$G$11,Projetos!$K$2:$K$11,"&lt;="&amp;Dados!$A1129,Projetos!$N$2:$N$11,"&gt;"&amp;Dados!$A1129,Projetos!$D$2:$D$11,"USD")</f>
        <v>0</v>
      </c>
      <c r="K1129" s="18">
        <f t="shared" ca="1" si="69"/>
        <v>1.1966488240708861E-8</v>
      </c>
    </row>
    <row r="1130" spans="1:11" x14ac:dyDescent="0.2">
      <c r="A1130" s="45">
        <f t="shared" ca="1" si="70"/>
        <v>1.5556434712921536E-8</v>
      </c>
      <c r="B1130" s="18">
        <f>-SUMIFS(Projetos!$F$2:$F$11,Projetos!$D$2:$D$11,"BRL",Projetos!$N$2:$N$11,Dados!$A1130)</f>
        <v>0</v>
      </c>
      <c r="C1130" s="45">
        <f ca="1">(A1130+B1130)*((Indicadores_Economicos!D$2+1)^(1/12)-1)</f>
        <v>5.0927719188871384E-11</v>
      </c>
      <c r="D1130" s="18">
        <f>SUMIFS(Projetos!$G$2:$G$11,Projetos!$K$2:$K$11,"&lt;="&amp;Dados!$A1130,Projetos!$N$2:$N$11,"&gt;"&amp;Dados!A1130,Projetos!$D$2:$D$11,"BRL")</f>
        <v>0</v>
      </c>
      <c r="E1130" s="18">
        <f t="shared" ca="1" si="68"/>
        <v>1.5607362432110409E-8</v>
      </c>
      <c r="G1130" s="45">
        <f t="shared" ca="1" si="71"/>
        <v>1.1966488240708861E-8</v>
      </c>
      <c r="H1130" s="18">
        <f>-SUMIFS(Projetos!$F$2:$F$11,Projetos!$D$2:$D$11,"USD",Projetos!$N$2:$N$11,Dados!$A1130)</f>
        <v>0</v>
      </c>
      <c r="I1130" s="45">
        <f ca="1">(G1130+H1130)*((Indicadores_Economicos!D$2+1)^(1/12)-1)</f>
        <v>3.9175168606824101E-11</v>
      </c>
      <c r="J1130" s="18">
        <f>SUMIFS(Projetos!$G$2:$G$11,Projetos!$K$2:$K$11,"&lt;="&amp;Dados!$A1130,Projetos!$N$2:$N$11,"&gt;"&amp;Dados!$A1130,Projetos!$D$2:$D$11,"USD")</f>
        <v>0</v>
      </c>
      <c r="K1130" s="18">
        <f t="shared" ca="1" si="69"/>
        <v>1.2005663409315685E-8</v>
      </c>
    </row>
    <row r="1131" spans="1:11" x14ac:dyDescent="0.2">
      <c r="A1131" s="45">
        <f t="shared" ca="1" si="70"/>
        <v>1.5607362432110409E-8</v>
      </c>
      <c r="B1131" s="18">
        <f>-SUMIFS(Projetos!$F$2:$F$11,Projetos!$D$2:$D$11,"BRL",Projetos!$N$2:$N$11,Dados!$A1131)</f>
        <v>0</v>
      </c>
      <c r="C1131" s="45">
        <f ca="1">(A1131+B1131)*((Indicadores_Economicos!D$2+1)^(1/12)-1)</f>
        <v>5.109444328919665E-11</v>
      </c>
      <c r="D1131" s="18">
        <f>SUMIFS(Projetos!$G$2:$G$11,Projetos!$K$2:$K$11,"&lt;="&amp;Dados!$A1131,Projetos!$N$2:$N$11,"&gt;"&amp;Dados!A1131,Projetos!$D$2:$D$11,"BRL")</f>
        <v>0</v>
      </c>
      <c r="E1131" s="18">
        <f t="shared" ca="1" si="68"/>
        <v>1.5658456875399604E-8</v>
      </c>
      <c r="G1131" s="45">
        <f t="shared" ca="1" si="71"/>
        <v>1.2005663409315685E-8</v>
      </c>
      <c r="H1131" s="18">
        <f>-SUMIFS(Projetos!$F$2:$F$11,Projetos!$D$2:$D$11,"USD",Projetos!$N$2:$N$11,Dados!$A1131)</f>
        <v>0</v>
      </c>
      <c r="I1131" s="45">
        <f ca="1">(G1131+H1131)*((Indicadores_Economicos!D$2+1)^(1/12)-1)</f>
        <v>3.930341791476661E-11</v>
      </c>
      <c r="J1131" s="18">
        <f>SUMIFS(Projetos!$G$2:$G$11,Projetos!$K$2:$K$11,"&lt;="&amp;Dados!$A1131,Projetos!$N$2:$N$11,"&gt;"&amp;Dados!$A1131,Projetos!$D$2:$D$11,"USD")</f>
        <v>0</v>
      </c>
      <c r="K1131" s="18">
        <f t="shared" ca="1" si="69"/>
        <v>1.2044966827230452E-8</v>
      </c>
    </row>
    <row r="1132" spans="1:11" x14ac:dyDescent="0.2">
      <c r="A1132" s="45">
        <f t="shared" ca="1" si="70"/>
        <v>1.5658456875399604E-8</v>
      </c>
      <c r="B1132" s="18">
        <f>-SUMIFS(Projetos!$F$2:$F$11,Projetos!$D$2:$D$11,"BRL",Projetos!$N$2:$N$11,Dados!$A1132)</f>
        <v>0</v>
      </c>
      <c r="C1132" s="45">
        <f ca="1">(A1132+B1132)*((Indicadores_Economicos!D$2+1)^(1/12)-1)</f>
        <v>5.1261713200841798E-11</v>
      </c>
      <c r="D1132" s="18">
        <f>SUMIFS(Projetos!$G$2:$G$11,Projetos!$K$2:$K$11,"&lt;="&amp;Dados!$A1132,Projetos!$N$2:$N$11,"&gt;"&amp;Dados!A1132,Projetos!$D$2:$D$11,"BRL")</f>
        <v>0</v>
      </c>
      <c r="E1132" s="18">
        <f t="shared" ca="1" si="68"/>
        <v>1.5709718588600445E-8</v>
      </c>
      <c r="G1132" s="45">
        <f t="shared" ca="1" si="71"/>
        <v>1.2044966827230452E-8</v>
      </c>
      <c r="H1132" s="18">
        <f>-SUMIFS(Projetos!$F$2:$F$11,Projetos!$D$2:$D$11,"USD",Projetos!$N$2:$N$11,Dados!$A1132)</f>
        <v>0</v>
      </c>
      <c r="I1132" s="45">
        <f ca="1">(G1132+H1132)*((Indicadores_Economicos!D$2+1)^(1/12)-1)</f>
        <v>3.9432087077570571E-11</v>
      </c>
      <c r="J1132" s="18">
        <f>SUMIFS(Projetos!$G$2:$G$11,Projetos!$K$2:$K$11,"&lt;="&amp;Dados!$A1132,Projetos!$N$2:$N$11,"&gt;"&amp;Dados!$A1132,Projetos!$D$2:$D$11,"USD")</f>
        <v>0</v>
      </c>
      <c r="K1132" s="18">
        <f t="shared" ca="1" si="69"/>
        <v>1.2084398914308023E-8</v>
      </c>
    </row>
    <row r="1133" spans="1:11" x14ac:dyDescent="0.2">
      <c r="A1133" s="45">
        <f t="shared" ca="1" si="70"/>
        <v>1.5709718588600445E-8</v>
      </c>
      <c r="B1133" s="18">
        <f>-SUMIFS(Projetos!$F$2:$F$11,Projetos!$D$2:$D$11,"BRL",Projetos!$N$2:$N$11,Dados!$A1133)</f>
        <v>0</v>
      </c>
      <c r="C1133" s="45">
        <f ca="1">(A1133+B1133)*((Indicadores_Economicos!D$2+1)^(1/12)-1)</f>
        <v>5.1429530710651056E-11</v>
      </c>
      <c r="D1133" s="18">
        <f>SUMIFS(Projetos!$G$2:$G$11,Projetos!$K$2:$K$11,"&lt;="&amp;Dados!$A1133,Projetos!$N$2:$N$11,"&gt;"&amp;Dados!A1133,Projetos!$D$2:$D$11,"BRL")</f>
        <v>0</v>
      </c>
      <c r="E1133" s="18">
        <f t="shared" ca="1" si="68"/>
        <v>1.5761148119311094E-8</v>
      </c>
      <c r="G1133" s="45">
        <f t="shared" ca="1" si="71"/>
        <v>1.2084398914308023E-8</v>
      </c>
      <c r="H1133" s="18">
        <f>-SUMIFS(Projetos!$F$2:$F$11,Projetos!$D$2:$D$11,"USD",Projetos!$N$2:$N$11,Dados!$A1133)</f>
        <v>0</v>
      </c>
      <c r="I1133" s="45">
        <f ca="1">(G1133+H1133)*((Indicadores_Economicos!D$2+1)^(1/12)-1)</f>
        <v>3.956117746973155E-11</v>
      </c>
      <c r="J1133" s="18">
        <f>SUMIFS(Projetos!$G$2:$G$11,Projetos!$K$2:$K$11,"&lt;="&amp;Dados!$A1133,Projetos!$N$2:$N$11,"&gt;"&amp;Dados!$A1133,Projetos!$D$2:$D$11,"USD")</f>
        <v>0</v>
      </c>
      <c r="K1133" s="18">
        <f t="shared" ca="1" si="69"/>
        <v>1.2123960091777756E-8</v>
      </c>
    </row>
    <row r="1134" spans="1:11" x14ac:dyDescent="0.2">
      <c r="A1134" s="45">
        <f t="shared" ca="1" si="70"/>
        <v>1.5761148119311094E-8</v>
      </c>
      <c r="B1134" s="18">
        <f>-SUMIFS(Projetos!$F$2:$F$11,Projetos!$D$2:$D$11,"BRL",Projetos!$N$2:$N$11,Dados!$A1134)</f>
        <v>0</v>
      </c>
      <c r="C1134" s="45">
        <f ca="1">(A1134+B1134)*((Indicadores_Economicos!D$2+1)^(1/12)-1)</f>
        <v>5.1597897611318334E-11</v>
      </c>
      <c r="D1134" s="18">
        <f>SUMIFS(Projetos!$G$2:$G$11,Projetos!$K$2:$K$11,"&lt;="&amp;Dados!$A1134,Projetos!$N$2:$N$11,"&gt;"&amp;Dados!A1134,Projetos!$D$2:$D$11,"BRL")</f>
        <v>0</v>
      </c>
      <c r="E1134" s="18">
        <f t="shared" ca="1" si="68"/>
        <v>1.5812746016922414E-8</v>
      </c>
      <c r="G1134" s="45">
        <f t="shared" ca="1" si="71"/>
        <v>1.2123960091777756E-8</v>
      </c>
      <c r="H1134" s="18">
        <f>-SUMIFS(Projetos!$F$2:$F$11,Projetos!$D$2:$D$11,"USD",Projetos!$N$2:$N$11,Dados!$A1134)</f>
        <v>0</v>
      </c>
      <c r="I1134" s="45">
        <f ca="1">(G1134+H1134)*((Indicadores_Economicos!D$2+1)^(1/12)-1)</f>
        <v>3.9690690470244842E-11</v>
      </c>
      <c r="J1134" s="18">
        <f>SUMIFS(Projetos!$G$2:$G$11,Projetos!$K$2:$K$11,"&lt;="&amp;Dados!$A1134,Projetos!$N$2:$N$11,"&gt;"&amp;Dados!$A1134,Projetos!$D$2:$D$11,"USD")</f>
        <v>0</v>
      </c>
      <c r="K1134" s="18">
        <f t="shared" ca="1" si="69"/>
        <v>1.2163650782248001E-8</v>
      </c>
    </row>
    <row r="1135" spans="1:11" x14ac:dyDescent="0.2">
      <c r="A1135" s="45">
        <f t="shared" ca="1" si="70"/>
        <v>1.5812746016922414E-8</v>
      </c>
      <c r="B1135" s="18">
        <f>-SUMIFS(Projetos!$F$2:$F$11,Projetos!$D$2:$D$11,"BRL",Projetos!$N$2:$N$11,Dados!$A1135)</f>
        <v>0</v>
      </c>
      <c r="C1135" s="45">
        <f ca="1">(A1135+B1135)*((Indicadores_Economicos!D$2+1)^(1/12)-1)</f>
        <v>5.1766815701406336E-11</v>
      </c>
      <c r="D1135" s="18">
        <f>SUMIFS(Projetos!$G$2:$G$11,Projetos!$K$2:$K$11,"&lt;="&amp;Dados!$A1135,Projetos!$N$2:$N$11,"&gt;"&amp;Dados!A1135,Projetos!$D$2:$D$11,"BRL")</f>
        <v>0</v>
      </c>
      <c r="E1135" s="18">
        <f t="shared" ca="1" si="68"/>
        <v>1.5864512832623822E-8</v>
      </c>
      <c r="G1135" s="45">
        <f t="shared" ca="1" si="71"/>
        <v>1.2163650782248001E-8</v>
      </c>
      <c r="H1135" s="18">
        <f>-SUMIFS(Projetos!$F$2:$F$11,Projetos!$D$2:$D$11,"USD",Projetos!$N$2:$N$11,Dados!$A1135)</f>
        <v>0</v>
      </c>
      <c r="I1135" s="45">
        <f ca="1">(G1135+H1135)*((Indicadores_Economicos!D$2+1)^(1/12)-1)</f>
        <v>3.9820627462620227E-11</v>
      </c>
      <c r="J1135" s="18">
        <f>SUMIFS(Projetos!$G$2:$G$11,Projetos!$K$2:$K$11,"&lt;="&amp;Dados!$A1135,Projetos!$N$2:$N$11,"&gt;"&amp;Dados!$A1135,Projetos!$D$2:$D$11,"USD")</f>
        <v>0</v>
      </c>
      <c r="K1135" s="18">
        <f t="shared" ca="1" si="69"/>
        <v>1.220347140971062E-8</v>
      </c>
    </row>
    <row r="1136" spans="1:11" x14ac:dyDescent="0.2">
      <c r="A1136" s="45">
        <f t="shared" ca="1" si="70"/>
        <v>1.5864512832623822E-8</v>
      </c>
      <c r="B1136" s="18">
        <f>-SUMIFS(Projetos!$F$2:$F$11,Projetos!$D$2:$D$11,"BRL",Projetos!$N$2:$N$11,Dados!$A1136)</f>
        <v>0</v>
      </c>
      <c r="C1136" s="45">
        <f ca="1">(A1136+B1136)*((Indicadores_Economicos!D$2+1)^(1/12)-1)</f>
        <v>5.1936286785365791E-11</v>
      </c>
      <c r="D1136" s="18">
        <f>SUMIFS(Projetos!$G$2:$G$11,Projetos!$K$2:$K$11,"&lt;="&amp;Dados!$A1136,Projetos!$N$2:$N$11,"&gt;"&amp;Dados!A1136,Projetos!$D$2:$D$11,"BRL")</f>
        <v>0</v>
      </c>
      <c r="E1136" s="18">
        <f t="shared" ca="1" si="68"/>
        <v>1.5916449119409189E-8</v>
      </c>
      <c r="G1136" s="45">
        <f t="shared" ca="1" si="71"/>
        <v>1.220347140971062E-8</v>
      </c>
      <c r="H1136" s="18">
        <f>-SUMIFS(Projetos!$F$2:$F$11,Projetos!$D$2:$D$11,"USD",Projetos!$N$2:$N$11,Dados!$A1136)</f>
        <v>0</v>
      </c>
      <c r="I1136" s="45">
        <f ca="1">(G1136+H1136)*((Indicadores_Economicos!D$2+1)^(1/12)-1)</f>
        <v>3.9950989834896725E-11</v>
      </c>
      <c r="J1136" s="18">
        <f>SUMIFS(Projetos!$G$2:$G$11,Projetos!$K$2:$K$11,"&lt;="&amp;Dados!$A1136,Projetos!$N$2:$N$11,"&gt;"&amp;Dados!$A1136,Projetos!$D$2:$D$11,"USD")</f>
        <v>0</v>
      </c>
      <c r="K1136" s="18">
        <f t="shared" ca="1" si="69"/>
        <v>1.2243422399545517E-8</v>
      </c>
    </row>
    <row r="1137" spans="1:11" x14ac:dyDescent="0.2">
      <c r="A1137" s="45">
        <f t="shared" ca="1" si="70"/>
        <v>1.5916449119409189E-8</v>
      </c>
      <c r="B1137" s="18">
        <f>-SUMIFS(Projetos!$F$2:$F$11,Projetos!$D$2:$D$11,"BRL",Projetos!$N$2:$N$11,Dados!$A1137)</f>
        <v>0</v>
      </c>
      <c r="C1137" s="45">
        <f ca="1">(A1137+B1137)*((Indicadores_Economicos!D$2+1)^(1/12)-1)</f>
        <v>5.2106312673554741E-11</v>
      </c>
      <c r="D1137" s="18">
        <f>SUMIFS(Projetos!$G$2:$G$11,Projetos!$K$2:$K$11,"&lt;="&amp;Dados!$A1137,Projetos!$N$2:$N$11,"&gt;"&amp;Dados!A1137,Projetos!$D$2:$D$11,"BRL")</f>
        <v>0</v>
      </c>
      <c r="E1137" s="18">
        <f t="shared" ca="1" si="68"/>
        <v>1.5968555432082742E-8</v>
      </c>
      <c r="G1137" s="45">
        <f t="shared" ca="1" si="71"/>
        <v>1.2243422399545517E-8</v>
      </c>
      <c r="H1137" s="18">
        <f>-SUMIFS(Projetos!$F$2:$F$11,Projetos!$D$2:$D$11,"USD",Projetos!$N$2:$N$11,Dados!$A1137)</f>
        <v>0</v>
      </c>
      <c r="I1137" s="45">
        <f ca="1">(G1137+H1137)*((Indicadores_Economicos!D$2+1)^(1/12)-1)</f>
        <v>4.0081778979657449E-11</v>
      </c>
      <c r="J1137" s="18">
        <f>SUMIFS(Projetos!$G$2:$G$11,Projetos!$K$2:$K$11,"&lt;="&amp;Dados!$A1137,Projetos!$N$2:$N$11,"&gt;"&amp;Dados!$A1137,Projetos!$D$2:$D$11,"USD")</f>
        <v>0</v>
      </c>
      <c r="K1137" s="18">
        <f t="shared" ca="1" si="69"/>
        <v>1.2283504178525174E-8</v>
      </c>
    </row>
    <row r="1138" spans="1:11" x14ac:dyDescent="0.2">
      <c r="A1138" s="45">
        <f t="shared" ca="1" si="70"/>
        <v>1.5968555432082742E-8</v>
      </c>
      <c r="B1138" s="18">
        <f>-SUMIFS(Projetos!$F$2:$F$11,Projetos!$D$2:$D$11,"BRL",Projetos!$N$2:$N$11,Dados!$A1138)</f>
        <v>0</v>
      </c>
      <c r="C1138" s="45">
        <f ca="1">(A1138+B1138)*((Indicadores_Economicos!D$2+1)^(1/12)-1)</f>
        <v>5.2276895182257852E-11</v>
      </c>
      <c r="D1138" s="18">
        <f>SUMIFS(Projetos!$G$2:$G$11,Projetos!$K$2:$K$11,"&lt;="&amp;Dados!$A1138,Projetos!$N$2:$N$11,"&gt;"&amp;Dados!A1138,Projetos!$D$2:$D$11,"BRL")</f>
        <v>0</v>
      </c>
      <c r="E1138" s="18">
        <f t="shared" ca="1" si="68"/>
        <v>1.6020832327265001E-8</v>
      </c>
      <c r="G1138" s="45">
        <f t="shared" ca="1" si="71"/>
        <v>1.2283504178525174E-8</v>
      </c>
      <c r="H1138" s="18">
        <f>-SUMIFS(Projetos!$F$2:$F$11,Projetos!$D$2:$D$11,"USD",Projetos!$N$2:$N$11,Dados!$A1138)</f>
        <v>0</v>
      </c>
      <c r="I1138" s="45">
        <f ca="1">(G1138+H1138)*((Indicadores_Economicos!D$2+1)^(1/12)-1)</f>
        <v>4.0212996294044458E-11</v>
      </c>
      <c r="J1138" s="18">
        <f>SUMIFS(Projetos!$G$2:$G$11,Projetos!$K$2:$K$11,"&lt;="&amp;Dados!$A1138,Projetos!$N$2:$N$11,"&gt;"&amp;Dados!$A1138,Projetos!$D$2:$D$11,"USD")</f>
        <v>0</v>
      </c>
      <c r="K1138" s="18">
        <f t="shared" ca="1" si="69"/>
        <v>1.2323717174819218E-8</v>
      </c>
    </row>
    <row r="1139" spans="1:11" x14ac:dyDescent="0.2">
      <c r="A1139" s="45">
        <f t="shared" ca="1" si="70"/>
        <v>1.6020832327265001E-8</v>
      </c>
      <c r="B1139" s="18">
        <f>-SUMIFS(Projetos!$F$2:$F$11,Projetos!$D$2:$D$11,"BRL",Projetos!$N$2:$N$11,Dados!$A1139)</f>
        <v>0</v>
      </c>
      <c r="C1139" s="45">
        <f ca="1">(A1139+B1139)*((Indicadores_Economicos!D$2+1)^(1/12)-1)</f>
        <v>5.244803613370585E-11</v>
      </c>
      <c r="D1139" s="18">
        <f>SUMIFS(Projetos!$G$2:$G$11,Projetos!$K$2:$K$11,"&lt;="&amp;Dados!$A1139,Projetos!$N$2:$N$11,"&gt;"&amp;Dados!A1139,Projetos!$D$2:$D$11,"BRL")</f>
        <v>0</v>
      </c>
      <c r="E1139" s="18">
        <f t="shared" ca="1" si="68"/>
        <v>1.6073280363398708E-8</v>
      </c>
      <c r="G1139" s="45">
        <f t="shared" ca="1" si="71"/>
        <v>1.2323717174819218E-8</v>
      </c>
      <c r="H1139" s="18">
        <f>-SUMIFS(Projetos!$F$2:$F$11,Projetos!$D$2:$D$11,"USD",Projetos!$N$2:$N$11,Dados!$A1139)</f>
        <v>0</v>
      </c>
      <c r="I1139" s="45">
        <f ca="1">(G1139+H1139)*((Indicadores_Economicos!D$2+1)^(1/12)-1)</f>
        <v>4.0344643179773687E-11</v>
      </c>
      <c r="J1139" s="18">
        <f>SUMIFS(Projetos!$G$2:$G$11,Projetos!$K$2:$K$11,"&lt;="&amp;Dados!$A1139,Projetos!$N$2:$N$11,"&gt;"&amp;Dados!$A1139,Projetos!$D$2:$D$11,"USD")</f>
        <v>0</v>
      </c>
      <c r="K1139" s="18">
        <f t="shared" ca="1" si="69"/>
        <v>1.2364061817998992E-8</v>
      </c>
    </row>
    <row r="1140" spans="1:11" x14ac:dyDescent="0.2">
      <c r="A1140" s="45">
        <f t="shared" ca="1" si="70"/>
        <v>1.6073280363398708E-8</v>
      </c>
      <c r="B1140" s="18">
        <f>-SUMIFS(Projetos!$F$2:$F$11,Projetos!$D$2:$D$11,"BRL",Projetos!$N$2:$N$11,Dados!$A1140)</f>
        <v>0</v>
      </c>
      <c r="C1140" s="45">
        <f ca="1">(A1140+B1140)*((Indicadores_Economicos!D$2+1)^(1/12)-1)</f>
        <v>5.2619737356094977E-11</v>
      </c>
      <c r="D1140" s="18">
        <f>SUMIFS(Projetos!$G$2:$G$11,Projetos!$K$2:$K$11,"&lt;="&amp;Dados!$A1140,Projetos!$N$2:$N$11,"&gt;"&amp;Dados!A1140,Projetos!$D$2:$D$11,"BRL")</f>
        <v>0</v>
      </c>
      <c r="E1140" s="18">
        <f t="shared" ca="1" si="68"/>
        <v>1.6125900100754803E-8</v>
      </c>
      <c r="G1140" s="45">
        <f t="shared" ca="1" si="71"/>
        <v>1.2364061817998992E-8</v>
      </c>
      <c r="H1140" s="18">
        <f>-SUMIFS(Projetos!$F$2:$F$11,Projetos!$D$2:$D$11,"USD",Projetos!$N$2:$N$11,Dados!$A1140)</f>
        <v>0</v>
      </c>
      <c r="I1140" s="45">
        <f ca="1">(G1140+H1140)*((Indicadores_Economicos!D$2+1)^(1/12)-1)</f>
        <v>4.0476721043149934E-11</v>
      </c>
      <c r="J1140" s="18">
        <f>SUMIFS(Projetos!$G$2:$G$11,Projetos!$K$2:$K$11,"&lt;="&amp;Dados!$A1140,Projetos!$N$2:$N$11,"&gt;"&amp;Dados!$A1140,Projetos!$D$2:$D$11,"USD")</f>
        <v>0</v>
      </c>
      <c r="K1140" s="18">
        <f t="shared" ca="1" si="69"/>
        <v>1.2404538539042142E-8</v>
      </c>
    </row>
    <row r="1141" spans="1:11" x14ac:dyDescent="0.2">
      <c r="A1141" s="45">
        <f t="shared" ca="1" si="70"/>
        <v>1.6125900100754803E-8</v>
      </c>
      <c r="B1141" s="18">
        <f>-SUMIFS(Projetos!$F$2:$F$11,Projetos!$D$2:$D$11,"BRL",Projetos!$N$2:$N$11,Dados!$A1141)</f>
        <v>0</v>
      </c>
      <c r="C1141" s="45">
        <f ca="1">(A1141+B1141)*((Indicadores_Economicos!D$2+1)^(1/12)-1)</f>
        <v>5.2792000683606483E-11</v>
      </c>
      <c r="D1141" s="18">
        <f>SUMIFS(Projetos!$G$2:$G$11,Projetos!$K$2:$K$11,"&lt;="&amp;Dados!$A1141,Projetos!$N$2:$N$11,"&gt;"&amp;Dados!A1141,Projetos!$D$2:$D$11,"BRL")</f>
        <v>0</v>
      </c>
      <c r="E1141" s="18">
        <f t="shared" ca="1" si="68"/>
        <v>1.6178692101438409E-8</v>
      </c>
      <c r="G1141" s="45">
        <f t="shared" ca="1" si="71"/>
        <v>1.2404538539042142E-8</v>
      </c>
      <c r="H1141" s="18">
        <f>-SUMIFS(Projetos!$F$2:$F$11,Projetos!$D$2:$D$11,"USD",Projetos!$N$2:$N$11,Dados!$A1141)</f>
        <v>0</v>
      </c>
      <c r="I1141" s="45">
        <f ca="1">(G1141+H1141)*((Indicadores_Economicos!D$2+1)^(1/12)-1)</f>
        <v>4.0609231295081863E-11</v>
      </c>
      <c r="J1141" s="18">
        <f>SUMIFS(Projetos!$G$2:$G$11,Projetos!$K$2:$K$11,"&lt;="&amp;Dados!$A1141,Projetos!$N$2:$N$11,"&gt;"&amp;Dados!$A1141,Projetos!$D$2:$D$11,"USD")</f>
        <v>0</v>
      </c>
      <c r="K1141" s="18">
        <f t="shared" ca="1" si="69"/>
        <v>1.2445147770337223E-8</v>
      </c>
    </row>
    <row r="1142" spans="1:11" x14ac:dyDescent="0.2">
      <c r="A1142" s="45">
        <f t="shared" ca="1" si="70"/>
        <v>1.6178692101438409E-8</v>
      </c>
      <c r="B1142" s="18">
        <f>-SUMIFS(Projetos!$F$2:$F$11,Projetos!$D$2:$D$11,"BRL",Projetos!$N$2:$N$11,Dados!$A1142)</f>
        <v>0</v>
      </c>
      <c r="C1142" s="45">
        <f ca="1">(A1142+B1142)*((Indicadores_Economicos!D$2+1)^(1/12)-1)</f>
        <v>5.2964827956426276E-11</v>
      </c>
      <c r="D1142" s="18">
        <f>SUMIFS(Projetos!$G$2:$G$11,Projetos!$K$2:$K$11,"&lt;="&amp;Dados!$A1142,Projetos!$N$2:$N$11,"&gt;"&amp;Dados!A1142,Projetos!$D$2:$D$11,"BRL")</f>
        <v>0</v>
      </c>
      <c r="E1142" s="18">
        <f t="shared" ca="1" si="68"/>
        <v>1.6231656929394837E-8</v>
      </c>
      <c r="G1142" s="45">
        <f t="shared" ca="1" si="71"/>
        <v>1.2445147770337223E-8</v>
      </c>
      <c r="H1142" s="18">
        <f>-SUMIFS(Projetos!$F$2:$F$11,Projetos!$D$2:$D$11,"USD",Projetos!$N$2:$N$11,Dados!$A1142)</f>
        <v>0</v>
      </c>
      <c r="I1142" s="45">
        <f ca="1">(G1142+H1142)*((Indicadores_Economicos!D$2+1)^(1/12)-1)</f>
        <v>4.0742175351097084E-11</v>
      </c>
      <c r="J1142" s="18">
        <f>SUMIFS(Projetos!$G$2:$G$11,Projetos!$K$2:$K$11,"&lt;="&amp;Dados!$A1142,Projetos!$N$2:$N$11,"&gt;"&amp;Dados!$A1142,Projetos!$D$2:$D$11,"USD")</f>
        <v>0</v>
      </c>
      <c r="K1142" s="18">
        <f t="shared" ca="1" si="69"/>
        <v>1.248588994568832E-8</v>
      </c>
    </row>
    <row r="1143" spans="1:11" x14ac:dyDescent="0.2">
      <c r="A1143" s="45">
        <f t="shared" ca="1" si="70"/>
        <v>1.6231656929394837E-8</v>
      </c>
      <c r="B1143" s="18">
        <f>-SUMIFS(Projetos!$F$2:$F$11,Projetos!$D$2:$D$11,"BRL",Projetos!$N$2:$N$11,Dados!$A1143)</f>
        <v>0</v>
      </c>
      <c r="C1143" s="45">
        <f ca="1">(A1143+B1143)*((Indicadores_Economicos!D$2+1)^(1/12)-1)</f>
        <v>5.3138221020764551E-11</v>
      </c>
      <c r="D1143" s="18">
        <f>SUMIFS(Projetos!$G$2:$G$11,Projetos!$K$2:$K$11,"&lt;="&amp;Dados!$A1143,Projetos!$N$2:$N$11,"&gt;"&amp;Dados!A1143,Projetos!$D$2:$D$11,"BRL")</f>
        <v>0</v>
      </c>
      <c r="E1143" s="18">
        <f t="shared" ca="1" si="68"/>
        <v>1.6284795150415602E-8</v>
      </c>
      <c r="G1143" s="45">
        <f t="shared" ca="1" si="71"/>
        <v>1.248588994568832E-8</v>
      </c>
      <c r="H1143" s="18">
        <f>-SUMIFS(Projetos!$F$2:$F$11,Projetos!$D$2:$D$11,"USD",Projetos!$N$2:$N$11,Dados!$A1143)</f>
        <v>0</v>
      </c>
      <c r="I1143" s="45">
        <f ca="1">(G1143+H1143)*((Indicadores_Economicos!D$2+1)^(1/12)-1)</f>
        <v>4.0875554631357297E-11</v>
      </c>
      <c r="J1143" s="18">
        <f>SUMIFS(Projetos!$G$2:$G$11,Projetos!$K$2:$K$11,"&lt;="&amp;Dados!$A1143,Projetos!$N$2:$N$11,"&gt;"&amp;Dados!$A1143,Projetos!$D$2:$D$11,"USD")</f>
        <v>0</v>
      </c>
      <c r="K1143" s="18">
        <f t="shared" ca="1" si="69"/>
        <v>1.2526765500319677E-8</v>
      </c>
    </row>
    <row r="1144" spans="1:11" x14ac:dyDescent="0.2">
      <c r="A1144" s="45">
        <f t="shared" ca="1" si="70"/>
        <v>1.6284795150415602E-8</v>
      </c>
      <c r="B1144" s="18">
        <f>-SUMIFS(Projetos!$F$2:$F$11,Projetos!$D$2:$D$11,"BRL",Projetos!$N$2:$N$11,Dados!$A1144)</f>
        <v>0</v>
      </c>
      <c r="C1144" s="45">
        <f ca="1">(A1144+B1144)*((Indicadores_Economicos!D$2+1)^(1/12)-1)</f>
        <v>5.3312181728875509E-11</v>
      </c>
      <c r="D1144" s="18">
        <f>SUMIFS(Projetos!$G$2:$G$11,Projetos!$K$2:$K$11,"&lt;="&amp;Dados!$A1144,Projetos!$N$2:$N$11,"&gt;"&amp;Dados!A1144,Projetos!$D$2:$D$11,"BRL")</f>
        <v>0</v>
      </c>
      <c r="E1144" s="18">
        <f t="shared" ca="1" si="68"/>
        <v>1.6338107332144477E-8</v>
      </c>
      <c r="G1144" s="45">
        <f t="shared" ca="1" si="71"/>
        <v>1.2526765500319677E-8</v>
      </c>
      <c r="H1144" s="18">
        <f>-SUMIFS(Projetos!$F$2:$F$11,Projetos!$D$2:$D$11,"USD",Projetos!$N$2:$N$11,Dados!$A1144)</f>
        <v>0</v>
      </c>
      <c r="I1144" s="45">
        <f ca="1">(G1144+H1144)*((Indicadores_Economicos!D$2+1)^(1/12)-1)</f>
        <v>4.1009370560673418E-11</v>
      </c>
      <c r="J1144" s="18">
        <f>SUMIFS(Projetos!$G$2:$G$11,Projetos!$K$2:$K$11,"&lt;="&amp;Dados!$A1144,Projetos!$N$2:$N$11,"&gt;"&amp;Dados!$A1144,Projetos!$D$2:$D$11,"USD")</f>
        <v>0</v>
      </c>
      <c r="K1144" s="18">
        <f t="shared" ca="1" si="69"/>
        <v>1.256777487088035E-8</v>
      </c>
    </row>
    <row r="1145" spans="1:11" x14ac:dyDescent="0.2">
      <c r="A1145" s="45">
        <f t="shared" ca="1" si="70"/>
        <v>1.6338107332144477E-8</v>
      </c>
      <c r="B1145" s="18">
        <f>-SUMIFS(Projetos!$F$2:$F$11,Projetos!$D$2:$D$11,"BRL",Projetos!$N$2:$N$11,Dados!$A1145)</f>
        <v>0</v>
      </c>
      <c r="C1145" s="45">
        <f ca="1">(A1145+B1145)*((Indicadores_Economicos!D$2+1)^(1/12)-1)</f>
        <v>5.3486711939077149E-11</v>
      </c>
      <c r="D1145" s="18">
        <f>SUMIFS(Projetos!$G$2:$G$11,Projetos!$K$2:$K$11,"&lt;="&amp;Dados!$A1145,Projetos!$N$2:$N$11,"&gt;"&amp;Dados!A1145,Projetos!$D$2:$D$11,"BRL")</f>
        <v>0</v>
      </c>
      <c r="E1145" s="18">
        <f t="shared" ca="1" si="68"/>
        <v>1.6391594044083554E-8</v>
      </c>
      <c r="G1145" s="45">
        <f t="shared" ca="1" si="71"/>
        <v>1.256777487088035E-8</v>
      </c>
      <c r="H1145" s="18">
        <f>-SUMIFS(Projetos!$F$2:$F$11,Projetos!$D$2:$D$11,"USD",Projetos!$N$2:$N$11,Dados!$A1145)</f>
        <v>0</v>
      </c>
      <c r="I1145" s="45">
        <f ca="1">(G1145+H1145)*((Indicadores_Economicos!D$2+1)^(1/12)-1)</f>
        <v>4.1143624568520832E-11</v>
      </c>
      <c r="J1145" s="18">
        <f>SUMIFS(Projetos!$G$2:$G$11,Projetos!$K$2:$K$11,"&lt;="&amp;Dados!$A1145,Projetos!$N$2:$N$11,"&gt;"&amp;Dados!$A1145,Projetos!$D$2:$D$11,"USD")</f>
        <v>0</v>
      </c>
      <c r="K1145" s="18">
        <f t="shared" ca="1" si="69"/>
        <v>1.2608918495448872E-8</v>
      </c>
    </row>
    <row r="1146" spans="1:11" x14ac:dyDescent="0.2">
      <c r="A1146" s="45">
        <f t="shared" ca="1" si="70"/>
        <v>1.6391594044083554E-8</v>
      </c>
      <c r="B1146" s="18">
        <f>-SUMIFS(Projetos!$F$2:$F$11,Projetos!$D$2:$D$11,"BRL",Projetos!$N$2:$N$11,Dados!$A1146)</f>
        <v>0</v>
      </c>
      <c r="C1146" s="45">
        <f ca="1">(A1146+B1146)*((Indicadores_Economicos!D$2+1)^(1/12)-1)</f>
        <v>5.3661813515771118E-11</v>
      </c>
      <c r="D1146" s="18">
        <f>SUMIFS(Projetos!$G$2:$G$11,Projetos!$K$2:$K$11,"&lt;="&amp;Dados!$A1146,Projetos!$N$2:$N$11,"&gt;"&amp;Dados!A1146,Projetos!$D$2:$D$11,"BRL")</f>
        <v>0</v>
      </c>
      <c r="E1146" s="18">
        <f t="shared" ca="1" si="68"/>
        <v>1.6445255857599324E-8</v>
      </c>
      <c r="G1146" s="45">
        <f t="shared" ca="1" si="71"/>
        <v>1.2608918495448872E-8</v>
      </c>
      <c r="H1146" s="18">
        <f>-SUMIFS(Projetos!$F$2:$F$11,Projetos!$D$2:$D$11,"USD",Projetos!$N$2:$N$11,Dados!$A1146)</f>
        <v>0</v>
      </c>
      <c r="I1146" s="45">
        <f ca="1">(G1146+H1146)*((Indicadores_Economicos!D$2+1)^(1/12)-1)</f>
        <v>4.1278318089054656E-11</v>
      </c>
      <c r="J1146" s="18">
        <f>SUMIFS(Projetos!$G$2:$G$11,Projetos!$K$2:$K$11,"&lt;="&amp;Dados!$A1146,Projetos!$N$2:$N$11,"&gt;"&amp;Dados!$A1146,Projetos!$D$2:$D$11,"USD")</f>
        <v>0</v>
      </c>
      <c r="K1146" s="18">
        <f t="shared" ca="1" si="69"/>
        <v>1.2650196813537926E-8</v>
      </c>
    </row>
    <row r="1147" spans="1:11" x14ac:dyDescent="0.2">
      <c r="A1147" s="45">
        <f t="shared" ca="1" si="70"/>
        <v>1.6445255857599324E-8</v>
      </c>
      <c r="B1147" s="18">
        <f>-SUMIFS(Projetos!$F$2:$F$11,Projetos!$D$2:$D$11,"BRL",Projetos!$N$2:$N$11,Dados!$A1147)</f>
        <v>0</v>
      </c>
      <c r="C1147" s="45">
        <f ca="1">(A1147+B1147)*((Indicadores_Economicos!D$2+1)^(1/12)-1)</f>
        <v>5.3837488329462635E-11</v>
      </c>
      <c r="D1147" s="18">
        <f>SUMIFS(Projetos!$G$2:$G$11,Projetos!$K$2:$K$11,"&lt;="&amp;Dados!$A1147,Projetos!$N$2:$N$11,"&gt;"&amp;Dados!A1147,Projetos!$D$2:$D$11,"BRL")</f>
        <v>0</v>
      </c>
      <c r="E1147" s="18">
        <f t="shared" ca="1" si="68"/>
        <v>1.6499093345928786E-8</v>
      </c>
      <c r="G1147" s="45">
        <f t="shared" ca="1" si="71"/>
        <v>1.2650196813537926E-8</v>
      </c>
      <c r="H1147" s="18">
        <f>-SUMIFS(Projetos!$F$2:$F$11,Projetos!$D$2:$D$11,"USD",Projetos!$N$2:$N$11,Dados!$A1147)</f>
        <v>0</v>
      </c>
      <c r="I1147" s="45">
        <f ca="1">(G1147+H1147)*((Indicadores_Economicos!D$2+1)^(1/12)-1)</f>
        <v>4.1413452561125056E-11</v>
      </c>
      <c r="J1147" s="18">
        <f>SUMIFS(Projetos!$G$2:$G$11,Projetos!$K$2:$K$11,"&lt;="&amp;Dados!$A1147,Projetos!$N$2:$N$11,"&gt;"&amp;Dados!$A1147,Projetos!$D$2:$D$11,"USD")</f>
        <v>0</v>
      </c>
      <c r="K1147" s="18">
        <f t="shared" ca="1" si="69"/>
        <v>1.2691610266099052E-8</v>
      </c>
    </row>
    <row r="1148" spans="1:11" x14ac:dyDescent="0.2">
      <c r="A1148" s="45">
        <f t="shared" ca="1" si="70"/>
        <v>1.6499093345928786E-8</v>
      </c>
      <c r="B1148" s="18">
        <f>-SUMIFS(Projetos!$F$2:$F$11,Projetos!$D$2:$D$11,"BRL",Projetos!$N$2:$N$11,Dados!$A1148)</f>
        <v>0</v>
      </c>
      <c r="C1148" s="45">
        <f ca="1">(A1148+B1148)*((Indicadores_Economicos!D$2+1)^(1/12)-1)</f>
        <v>5.4013738256780465E-11</v>
      </c>
      <c r="D1148" s="18">
        <f>SUMIFS(Projetos!$G$2:$G$11,Projetos!$K$2:$K$11,"&lt;="&amp;Dados!$A1148,Projetos!$N$2:$N$11,"&gt;"&amp;Dados!A1148,Projetos!$D$2:$D$11,"BRL")</f>
        <v>0</v>
      </c>
      <c r="E1148" s="18">
        <f t="shared" ca="1" si="68"/>
        <v>1.6553107084185566E-8</v>
      </c>
      <c r="G1148" s="45">
        <f t="shared" ca="1" si="71"/>
        <v>1.2691610266099052E-8</v>
      </c>
      <c r="H1148" s="18">
        <f>-SUMIFS(Projetos!$F$2:$F$11,Projetos!$D$2:$D$11,"USD",Projetos!$N$2:$N$11,Dados!$A1148)</f>
        <v>0</v>
      </c>
      <c r="I1148" s="45">
        <f ca="1">(G1148+H1148)*((Indicadores_Economicos!D$2+1)^(1/12)-1)</f>
        <v>4.1549029428292617E-11</v>
      </c>
      <c r="J1148" s="18">
        <f>SUMIFS(Projetos!$G$2:$G$11,Projetos!$K$2:$K$11,"&lt;="&amp;Dados!$A1148,Projetos!$N$2:$N$11,"&gt;"&amp;Dados!$A1148,Projetos!$D$2:$D$11,"USD")</f>
        <v>0</v>
      </c>
      <c r="K1148" s="18">
        <f t="shared" ca="1" si="69"/>
        <v>1.2733159295527344E-8</v>
      </c>
    </row>
    <row r="1149" spans="1:11" x14ac:dyDescent="0.2">
      <c r="A1149" s="45">
        <f t="shared" ca="1" si="70"/>
        <v>1.6553107084185566E-8</v>
      </c>
      <c r="B1149" s="18">
        <f>-SUMIFS(Projetos!$F$2:$F$11,Projetos!$D$2:$D$11,"BRL",Projetos!$N$2:$N$11,Dados!$A1149)</f>
        <v>0</v>
      </c>
      <c r="C1149" s="45">
        <f ca="1">(A1149+B1149)*((Indicadores_Economicos!D$2+1)^(1/12)-1)</f>
        <v>5.4190565180496961E-11</v>
      </c>
      <c r="D1149" s="18">
        <f>SUMIFS(Projetos!$G$2:$G$11,Projetos!$K$2:$K$11,"&lt;="&amp;Dados!$A1149,Projetos!$N$2:$N$11,"&gt;"&amp;Dados!A1149,Projetos!$D$2:$D$11,"BRL")</f>
        <v>0</v>
      </c>
      <c r="E1149" s="18">
        <f t="shared" ca="1" si="68"/>
        <v>1.6607297649366063E-8</v>
      </c>
      <c r="G1149" s="45">
        <f t="shared" ca="1" si="71"/>
        <v>1.2733159295527344E-8</v>
      </c>
      <c r="H1149" s="18">
        <f>-SUMIFS(Projetos!$F$2:$F$11,Projetos!$D$2:$D$11,"USD",Projetos!$N$2:$N$11,Dados!$A1149)</f>
        <v>0</v>
      </c>
      <c r="I1149" s="45">
        <f ca="1">(G1149+H1149)*((Indicadores_Economicos!D$2+1)^(1/12)-1)</f>
        <v>4.1685050138843771E-11</v>
      </c>
      <c r="J1149" s="18">
        <f>SUMIFS(Projetos!$G$2:$G$11,Projetos!$K$2:$K$11,"&lt;="&amp;Dados!$A1149,Projetos!$N$2:$N$11,"&gt;"&amp;Dados!$A1149,Projetos!$D$2:$D$11,"USD")</f>
        <v>0</v>
      </c>
      <c r="K1149" s="18">
        <f t="shared" ca="1" si="69"/>
        <v>1.2774844345666187E-8</v>
      </c>
    </row>
    <row r="1150" spans="1:11" x14ac:dyDescent="0.2">
      <c r="A1150" s="45">
        <f t="shared" ca="1" si="70"/>
        <v>1.6607297649366063E-8</v>
      </c>
      <c r="B1150" s="18">
        <f>-SUMIFS(Projetos!$F$2:$F$11,Projetos!$D$2:$D$11,"BRL",Projetos!$N$2:$N$11,Dados!$A1150)</f>
        <v>0</v>
      </c>
      <c r="C1150" s="45">
        <f ca="1">(A1150+B1150)*((Indicadores_Economicos!D$2+1)^(1/12)-1)</f>
        <v>5.4367970989548199E-11</v>
      </c>
      <c r="D1150" s="18">
        <f>SUMIFS(Projetos!$G$2:$G$11,Projetos!$K$2:$K$11,"&lt;="&amp;Dados!$A1150,Projetos!$N$2:$N$11,"&gt;"&amp;Dados!A1150,Projetos!$D$2:$D$11,"BRL")</f>
        <v>0</v>
      </c>
      <c r="E1150" s="18">
        <f t="shared" ca="1" si="68"/>
        <v>1.6661665620355611E-8</v>
      </c>
      <c r="G1150" s="45">
        <f t="shared" ca="1" si="71"/>
        <v>1.2774844345666187E-8</v>
      </c>
      <c r="H1150" s="18">
        <f>-SUMIFS(Projetos!$F$2:$F$11,Projetos!$D$2:$D$11,"USD",Projetos!$N$2:$N$11,Dados!$A1150)</f>
        <v>0</v>
      </c>
      <c r="I1150" s="45">
        <f ca="1">(G1150+H1150)*((Indicadores_Economicos!D$2+1)^(1/12)-1)</f>
        <v>4.1821516145806254E-11</v>
      </c>
      <c r="J1150" s="18">
        <f>SUMIFS(Projetos!$G$2:$G$11,Projetos!$K$2:$K$11,"&lt;="&amp;Dados!$A1150,Projetos!$N$2:$N$11,"&gt;"&amp;Dados!$A1150,Projetos!$D$2:$D$11,"USD")</f>
        <v>0</v>
      </c>
      <c r="K1150" s="18">
        <f t="shared" ca="1" si="69"/>
        <v>1.2816665861811994E-8</v>
      </c>
    </row>
    <row r="1151" spans="1:11" x14ac:dyDescent="0.2">
      <c r="A1151" s="45">
        <f t="shared" ca="1" si="70"/>
        <v>1.6661665620355611E-8</v>
      </c>
      <c r="B1151" s="18">
        <f>-SUMIFS(Projetos!$F$2:$F$11,Projetos!$D$2:$D$11,"BRL",Projetos!$N$2:$N$11,Dados!$A1151)</f>
        <v>0</v>
      </c>
      <c r="C1151" s="45">
        <f ca="1">(A1151+B1151)*((Indicadores_Economicos!D$2+1)^(1/12)-1)</f>
        <v>5.4545957579054121E-11</v>
      </c>
      <c r="D1151" s="18">
        <f>SUMIFS(Projetos!$G$2:$G$11,Projetos!$K$2:$K$11,"&lt;="&amp;Dados!$A1151,Projetos!$N$2:$N$11,"&gt;"&amp;Dados!A1151,Projetos!$D$2:$D$11,"BRL")</f>
        <v>0</v>
      </c>
      <c r="E1151" s="18">
        <f t="shared" ca="1" si="68"/>
        <v>1.6716211577934666E-8</v>
      </c>
      <c r="G1151" s="45">
        <f t="shared" ca="1" si="71"/>
        <v>1.2816665861811994E-8</v>
      </c>
      <c r="H1151" s="18">
        <f>-SUMIFS(Projetos!$F$2:$F$11,Projetos!$D$2:$D$11,"USD",Projetos!$N$2:$N$11,Dados!$A1151)</f>
        <v>0</v>
      </c>
      <c r="I1151" s="45">
        <f ca="1">(G1151+H1151)*((Indicadores_Economicos!D$2+1)^(1/12)-1)</f>
        <v>4.1958428906964658E-11</v>
      </c>
      <c r="J1151" s="18">
        <f>SUMIFS(Projetos!$G$2:$G$11,Projetos!$K$2:$K$11,"&lt;="&amp;Dados!$A1151,Projetos!$N$2:$N$11,"&gt;"&amp;Dados!$A1151,Projetos!$D$2:$D$11,"USD")</f>
        <v>0</v>
      </c>
      <c r="K1151" s="18">
        <f t="shared" ca="1" si="69"/>
        <v>1.2858624290718958E-8</v>
      </c>
    </row>
    <row r="1152" spans="1:11" x14ac:dyDescent="0.2">
      <c r="A1152" s="45">
        <f t="shared" ca="1" si="70"/>
        <v>1.6716211577934666E-8</v>
      </c>
      <c r="B1152" s="18">
        <f>-SUMIFS(Projetos!$F$2:$F$11,Projetos!$D$2:$D$11,"BRL",Projetos!$N$2:$N$11,Dados!$A1152)</f>
        <v>0</v>
      </c>
      <c r="C1152" s="45">
        <f ca="1">(A1152+B1152)*((Indicadores_Economicos!D$2+1)^(1/12)-1)</f>
        <v>5.4724526850338808E-11</v>
      </c>
      <c r="D1152" s="18">
        <f>SUMIFS(Projetos!$G$2:$G$11,Projetos!$K$2:$K$11,"&lt;="&amp;Dados!$A1152,Projetos!$N$2:$N$11,"&gt;"&amp;Dados!A1152,Projetos!$D$2:$D$11,"BRL")</f>
        <v>0</v>
      </c>
      <c r="E1152" s="18">
        <f t="shared" ca="1" si="68"/>
        <v>1.6770936104785004E-8</v>
      </c>
      <c r="G1152" s="45">
        <f t="shared" ca="1" si="71"/>
        <v>1.2858624290718958E-8</v>
      </c>
      <c r="H1152" s="18">
        <f>-SUMIFS(Projetos!$F$2:$F$11,Projetos!$D$2:$D$11,"USD",Projetos!$N$2:$N$11,Dados!$A1152)</f>
        <v>0</v>
      </c>
      <c r="I1152" s="45">
        <f ca="1">(G1152+H1152)*((Indicadores_Economicos!D$2+1)^(1/12)-1)</f>
        <v>4.2095789884875951E-11</v>
      </c>
      <c r="J1152" s="18">
        <f>SUMIFS(Projetos!$G$2:$G$11,Projetos!$K$2:$K$11,"&lt;="&amp;Dados!$A1152,Projetos!$N$2:$N$11,"&gt;"&amp;Dados!$A1152,Projetos!$D$2:$D$11,"USD")</f>
        <v>0</v>
      </c>
      <c r="K1152" s="18">
        <f t="shared" ca="1" si="69"/>
        <v>1.2900720080603833E-8</v>
      </c>
    </row>
    <row r="1153" spans="1:11" x14ac:dyDescent="0.2">
      <c r="A1153" s="45">
        <f t="shared" ca="1" si="70"/>
        <v>1.6770936104785004E-8</v>
      </c>
      <c r="B1153" s="18">
        <f>-SUMIFS(Projetos!$F$2:$F$11,Projetos!$D$2:$D$11,"BRL",Projetos!$N$2:$N$11,Dados!$A1153)</f>
        <v>0</v>
      </c>
      <c r="C1153" s="45">
        <f ca="1">(A1153+B1153)*((Indicadores_Economicos!D$2+1)^(1/12)-1)</f>
        <v>5.4903680710950774E-11</v>
      </c>
      <c r="D1153" s="18">
        <f>SUMIFS(Projetos!$G$2:$G$11,Projetos!$K$2:$K$11,"&lt;="&amp;Dados!$A1153,Projetos!$N$2:$N$11,"&gt;"&amp;Dados!A1153,Projetos!$D$2:$D$11,"BRL")</f>
        <v>0</v>
      </c>
      <c r="E1153" s="18">
        <f t="shared" ca="1" si="68"/>
        <v>1.6825839785495957E-8</v>
      </c>
      <c r="G1153" s="45">
        <f t="shared" ca="1" si="71"/>
        <v>1.2900720080603833E-8</v>
      </c>
      <c r="H1153" s="18">
        <f>-SUMIFS(Projetos!$F$2:$F$11,Projetos!$D$2:$D$11,"USD",Projetos!$N$2:$N$11,Dados!$A1153)</f>
        <v>0</v>
      </c>
      <c r="I1153" s="45">
        <f ca="1">(G1153+H1153)*((Indicadores_Economicos!D$2+1)^(1/12)-1)</f>
        <v>4.2233600546885153E-11</v>
      </c>
      <c r="J1153" s="18">
        <f>SUMIFS(Projetos!$G$2:$G$11,Projetos!$K$2:$K$11,"&lt;="&amp;Dados!$A1153,Projetos!$N$2:$N$11,"&gt;"&amp;Dados!$A1153,Projetos!$D$2:$D$11,"USD")</f>
        <v>0</v>
      </c>
      <c r="K1153" s="18">
        <f t="shared" ca="1" si="69"/>
        <v>1.2942953681150718E-8</v>
      </c>
    </row>
    <row r="1154" spans="1:11" x14ac:dyDescent="0.2">
      <c r="A1154" s="45">
        <f t="shared" ca="1" si="70"/>
        <v>1.6825839785495957E-8</v>
      </c>
      <c r="B1154" s="18">
        <f>-SUMIFS(Projetos!$F$2:$F$11,Projetos!$D$2:$D$11,"BRL",Projetos!$N$2:$N$11,Dados!$A1154)</f>
        <v>0</v>
      </c>
      <c r="C1154" s="45">
        <f ca="1">(A1154+B1154)*((Indicadores_Economicos!D$2+1)^(1/12)-1)</f>
        <v>5.5083421074683361E-11</v>
      </c>
      <c r="D1154" s="18">
        <f>SUMIFS(Projetos!$G$2:$G$11,Projetos!$K$2:$K$11,"&lt;="&amp;Dados!$A1154,Projetos!$N$2:$N$11,"&gt;"&amp;Dados!A1154,Projetos!$D$2:$D$11,"BRL")</f>
        <v>0</v>
      </c>
      <c r="E1154" s="18">
        <f t="shared" ref="E1154:E1201" ca="1" si="72">A1154+B1154+C1154+D1154</f>
        <v>1.6880923206570639E-8</v>
      </c>
      <c r="G1154" s="45">
        <f t="shared" ca="1" si="71"/>
        <v>1.2942953681150718E-8</v>
      </c>
      <c r="H1154" s="18">
        <f>-SUMIFS(Projetos!$F$2:$F$11,Projetos!$D$2:$D$11,"USD",Projetos!$N$2:$N$11,Dados!$A1154)</f>
        <v>0</v>
      </c>
      <c r="I1154" s="45">
        <f ca="1">(G1154+H1154)*((Indicadores_Economicos!D$2+1)^(1/12)-1)</f>
        <v>4.2371862365140994E-11</v>
      </c>
      <c r="J1154" s="18">
        <f>SUMIFS(Projetos!$G$2:$G$11,Projetos!$K$2:$K$11,"&lt;="&amp;Dados!$A1154,Projetos!$N$2:$N$11,"&gt;"&amp;Dados!$A1154,Projetos!$D$2:$D$11,"USD")</f>
        <v>0</v>
      </c>
      <c r="K1154" s="18">
        <f t="shared" ref="K1154:K1201" ca="1" si="73">G1154+H1154+I1154+J1154</f>
        <v>1.2985325543515859E-8</v>
      </c>
    </row>
    <row r="1155" spans="1:11" x14ac:dyDescent="0.2">
      <c r="A1155" s="45">
        <f t="shared" ca="1" si="70"/>
        <v>1.6880923206570639E-8</v>
      </c>
      <c r="B1155" s="18">
        <f>-SUMIFS(Projetos!$F$2:$F$11,Projetos!$D$2:$D$11,"BRL",Projetos!$N$2:$N$11,Dados!$A1155)</f>
        <v>0</v>
      </c>
      <c r="C1155" s="45">
        <f ca="1">(A1155+B1155)*((Indicadores_Economicos!D$2+1)^(1/12)-1)</f>
        <v>5.5263749861595162E-11</v>
      </c>
      <c r="D1155" s="18">
        <f>SUMIFS(Projetos!$G$2:$G$11,Projetos!$K$2:$K$11,"&lt;="&amp;Dados!$A1155,Projetos!$N$2:$N$11,"&gt;"&amp;Dados!A1155,Projetos!$D$2:$D$11,"BRL")</f>
        <v>0</v>
      </c>
      <c r="E1155" s="18">
        <f t="shared" ca="1" si="72"/>
        <v>1.6936186956432235E-8</v>
      </c>
      <c r="G1155" s="45">
        <f t="shared" ca="1" si="71"/>
        <v>1.2985325543515859E-8</v>
      </c>
      <c r="H1155" s="18">
        <f>-SUMIFS(Projetos!$F$2:$F$11,Projetos!$D$2:$D$11,"USD",Projetos!$N$2:$N$11,Dados!$A1155)</f>
        <v>0</v>
      </c>
      <c r="I1155" s="45">
        <f ca="1">(G1155+H1155)*((Indicadores_Economicos!D$2+1)^(1/12)-1)</f>
        <v>4.251057681661161E-11</v>
      </c>
      <c r="J1155" s="18">
        <f>SUMIFS(Projetos!$G$2:$G$11,Projetos!$K$2:$K$11,"&lt;="&amp;Dados!$A1155,Projetos!$N$2:$N$11,"&gt;"&amp;Dados!$A1155,Projetos!$D$2:$D$11,"USD")</f>
        <v>0</v>
      </c>
      <c r="K1155" s="18">
        <f t="shared" ca="1" si="73"/>
        <v>1.302783612033247E-8</v>
      </c>
    </row>
    <row r="1156" spans="1:11" x14ac:dyDescent="0.2">
      <c r="A1156" s="45">
        <f t="shared" ref="A1156:A1201" ca="1" si="74">E1155</f>
        <v>1.6936186956432235E-8</v>
      </c>
      <c r="B1156" s="18">
        <f>-SUMIFS(Projetos!$F$2:$F$11,Projetos!$D$2:$D$11,"BRL",Projetos!$N$2:$N$11,Dados!$A1156)</f>
        <v>0</v>
      </c>
      <c r="C1156" s="45">
        <f ca="1">(A1156+B1156)*((Indicadores_Economicos!D$2+1)^(1/12)-1)</f>
        <v>5.5444668998030565E-11</v>
      </c>
      <c r="D1156" s="18">
        <f>SUMIFS(Projetos!$G$2:$G$11,Projetos!$K$2:$K$11,"&lt;="&amp;Dados!$A1156,Projetos!$N$2:$N$11,"&gt;"&amp;Dados!A1156,Projetos!$D$2:$D$11,"BRL")</f>
        <v>0</v>
      </c>
      <c r="E1156" s="18">
        <f t="shared" ca="1" si="72"/>
        <v>1.6991631625430264E-8</v>
      </c>
      <c r="G1156" s="45">
        <f t="shared" ref="G1156:G1201" ca="1" si="75">K1155</f>
        <v>1.302783612033247E-8</v>
      </c>
      <c r="H1156" s="18">
        <f>-SUMIFS(Projetos!$F$2:$F$11,Projetos!$D$2:$D$11,"USD",Projetos!$N$2:$N$11,Dados!$A1156)</f>
        <v>0</v>
      </c>
      <c r="I1156" s="45">
        <f ca="1">(G1156+H1156)*((Indicadores_Economicos!D$2+1)^(1/12)-1)</f>
        <v>4.2649745383100368E-11</v>
      </c>
      <c r="J1156" s="18">
        <f>SUMIFS(Projetos!$G$2:$G$11,Projetos!$K$2:$K$11,"&lt;="&amp;Dados!$A1156,Projetos!$N$2:$N$11,"&gt;"&amp;Dados!$A1156,Projetos!$D$2:$D$11,"USD")</f>
        <v>0</v>
      </c>
      <c r="K1156" s="18">
        <f t="shared" ca="1" si="73"/>
        <v>1.307048586571557E-8</v>
      </c>
    </row>
    <row r="1157" spans="1:11" x14ac:dyDescent="0.2">
      <c r="A1157" s="45">
        <f t="shared" ca="1" si="74"/>
        <v>1.6991631625430264E-8</v>
      </c>
      <c r="B1157" s="18">
        <f>-SUMIFS(Projetos!$F$2:$F$11,Projetos!$D$2:$D$11,"BRL",Projetos!$N$2:$N$11,Dados!$A1157)</f>
        <v>0</v>
      </c>
      <c r="C1157" s="45">
        <f ca="1">(A1157+B1157)*((Indicadores_Economicos!D$2+1)^(1/12)-1)</f>
        <v>5.5626180416640261E-11</v>
      </c>
      <c r="D1157" s="18">
        <f>SUMIFS(Projetos!$G$2:$G$11,Projetos!$K$2:$K$11,"&lt;="&amp;Dados!$A1157,Projetos!$N$2:$N$11,"&gt;"&amp;Dados!A1157,Projetos!$D$2:$D$11,"BRL")</f>
        <v>0</v>
      </c>
      <c r="E1157" s="18">
        <f t="shared" ca="1" si="72"/>
        <v>1.7047257805846906E-8</v>
      </c>
      <c r="G1157" s="45">
        <f t="shared" ca="1" si="75"/>
        <v>1.307048586571557E-8</v>
      </c>
      <c r="H1157" s="18">
        <f>-SUMIFS(Projetos!$F$2:$F$11,Projetos!$D$2:$D$11,"USD",Projetos!$N$2:$N$11,Dados!$A1157)</f>
        <v>0</v>
      </c>
      <c r="I1157" s="45">
        <f ca="1">(G1157+H1157)*((Indicadores_Economicos!D$2+1)^(1/12)-1)</f>
        <v>4.2789369551261684E-11</v>
      </c>
      <c r="J1157" s="18">
        <f>SUMIFS(Projetos!$G$2:$G$11,Projetos!$K$2:$K$11,"&lt;="&amp;Dados!$A1157,Projetos!$N$2:$N$11,"&gt;"&amp;Dados!$A1157,Projetos!$D$2:$D$11,"USD")</f>
        <v>0</v>
      </c>
      <c r="K1157" s="18">
        <f t="shared" ca="1" si="73"/>
        <v>1.3113275235266832E-8</v>
      </c>
    </row>
    <row r="1158" spans="1:11" x14ac:dyDescent="0.2">
      <c r="A1158" s="45">
        <f t="shared" ca="1" si="74"/>
        <v>1.7047257805846906E-8</v>
      </c>
      <c r="B1158" s="18">
        <f>-SUMIFS(Projetos!$F$2:$F$11,Projetos!$D$2:$D$11,"BRL",Projetos!$N$2:$N$11,Dados!$A1158)</f>
        <v>0</v>
      </c>
      <c r="C1158" s="45">
        <f ca="1">(A1158+B1158)*((Indicadores_Economicos!D$2+1)^(1/12)-1)</f>
        <v>5.5808286056401993E-11</v>
      </c>
      <c r="D1158" s="18">
        <f>SUMIFS(Projetos!$G$2:$G$11,Projetos!$K$2:$K$11,"&lt;="&amp;Dados!$A1158,Projetos!$N$2:$N$11,"&gt;"&amp;Dados!A1158,Projetos!$D$2:$D$11,"BRL")</f>
        <v>0</v>
      </c>
      <c r="E1158" s="18">
        <f t="shared" ca="1" si="72"/>
        <v>1.7103066091903309E-8</v>
      </c>
      <c r="G1158" s="45">
        <f t="shared" ca="1" si="75"/>
        <v>1.3113275235266832E-8</v>
      </c>
      <c r="H1158" s="18">
        <f>-SUMIFS(Projetos!$F$2:$F$11,Projetos!$D$2:$D$11,"USD",Projetos!$N$2:$N$11,Dados!$A1158)</f>
        <v>0</v>
      </c>
      <c r="I1158" s="45">
        <f ca="1">(G1158+H1158)*((Indicadores_Economicos!D$2+1)^(1/12)-1)</f>
        <v>4.2929450812616857E-11</v>
      </c>
      <c r="J1158" s="18">
        <f>SUMIFS(Projetos!$G$2:$G$11,Projetos!$K$2:$K$11,"&lt;="&amp;Dados!$A1158,Projetos!$N$2:$N$11,"&gt;"&amp;Dados!$A1158,Projetos!$D$2:$D$11,"USD")</f>
        <v>0</v>
      </c>
      <c r="K1158" s="18">
        <f t="shared" ca="1" si="73"/>
        <v>1.3156204686079448E-8</v>
      </c>
    </row>
    <row r="1159" spans="1:11" x14ac:dyDescent="0.2">
      <c r="A1159" s="45">
        <f t="shared" ca="1" si="74"/>
        <v>1.7103066091903309E-8</v>
      </c>
      <c r="B1159" s="18">
        <f>-SUMIFS(Projetos!$F$2:$F$11,Projetos!$D$2:$D$11,"BRL",Projetos!$N$2:$N$11,Dados!$A1159)</f>
        <v>0</v>
      </c>
      <c r="C1159" s="45">
        <f ca="1">(A1159+B1159)*((Indicadores_Economicos!D$2+1)^(1/12)-1)</f>
        <v>5.599098786264118E-11</v>
      </c>
      <c r="D1159" s="18">
        <f>SUMIFS(Projetos!$G$2:$G$11,Projetos!$K$2:$K$11,"&lt;="&amp;Dados!$A1159,Projetos!$N$2:$N$11,"&gt;"&amp;Dados!A1159,Projetos!$D$2:$D$11,"BRL")</f>
        <v>0</v>
      </c>
      <c r="E1159" s="18">
        <f t="shared" ca="1" si="72"/>
        <v>1.715905707976595E-8</v>
      </c>
      <c r="G1159" s="45">
        <f t="shared" ca="1" si="75"/>
        <v>1.3156204686079448E-8</v>
      </c>
      <c r="H1159" s="18">
        <f>-SUMIFS(Projetos!$F$2:$F$11,Projetos!$D$2:$D$11,"USD",Projetos!$N$2:$N$11,Dados!$A1159)</f>
        <v>0</v>
      </c>
      <c r="I1159" s="45">
        <f ca="1">(G1159+H1159)*((Indicadores_Economicos!D$2+1)^(1/12)-1)</f>
        <v>4.3069990663570072E-11</v>
      </c>
      <c r="J1159" s="18">
        <f>SUMIFS(Projetos!$G$2:$G$11,Projetos!$K$2:$K$11,"&lt;="&amp;Dados!$A1159,Projetos!$N$2:$N$11,"&gt;"&amp;Dados!$A1159,Projetos!$D$2:$D$11,"USD")</f>
        <v>0</v>
      </c>
      <c r="K1159" s="18">
        <f t="shared" ca="1" si="73"/>
        <v>1.3199274676743018E-8</v>
      </c>
    </row>
    <row r="1160" spans="1:11" x14ac:dyDescent="0.2">
      <c r="A1160" s="45">
        <f t="shared" ca="1" si="74"/>
        <v>1.715905707976595E-8</v>
      </c>
      <c r="B1160" s="18">
        <f>-SUMIFS(Projetos!$F$2:$F$11,Projetos!$D$2:$D$11,"BRL",Projetos!$N$2:$N$11,Dados!$A1160)</f>
        <v>0</v>
      </c>
      <c r="C1160" s="45">
        <f ca="1">(A1160+B1160)*((Indicadores_Economicos!D$2+1)^(1/12)-1)</f>
        <v>5.617428778705172E-11</v>
      </c>
      <c r="D1160" s="18">
        <f>SUMIFS(Projetos!$G$2:$G$11,Projetos!$K$2:$K$11,"&lt;="&amp;Dados!$A1160,Projetos!$N$2:$N$11,"&gt;"&amp;Dados!A1160,Projetos!$D$2:$D$11,"BRL")</f>
        <v>0</v>
      </c>
      <c r="E1160" s="18">
        <f t="shared" ca="1" si="72"/>
        <v>1.7215231367553E-8</v>
      </c>
      <c r="G1160" s="45">
        <f t="shared" ca="1" si="75"/>
        <v>1.3199274676743018E-8</v>
      </c>
      <c r="H1160" s="18">
        <f>-SUMIFS(Projetos!$F$2:$F$11,Projetos!$D$2:$D$11,"USD",Projetos!$N$2:$N$11,Dados!$A1160)</f>
        <v>0</v>
      </c>
      <c r="I1160" s="45">
        <f ca="1">(G1160+H1160)*((Indicadores_Economicos!D$2+1)^(1/12)-1)</f>
        <v>4.3210990605424336E-11</v>
      </c>
      <c r="J1160" s="18">
        <f>SUMIFS(Projetos!$G$2:$G$11,Projetos!$K$2:$K$11,"&lt;="&amp;Dados!$A1160,Projetos!$N$2:$N$11,"&gt;"&amp;Dados!$A1160,Projetos!$D$2:$D$11,"USD")</f>
        <v>0</v>
      </c>
      <c r="K1160" s="18">
        <f t="shared" ca="1" si="73"/>
        <v>1.3242485667348441E-8</v>
      </c>
    </row>
    <row r="1161" spans="1:11" x14ac:dyDescent="0.2">
      <c r="A1161" s="45">
        <f t="shared" ca="1" si="74"/>
        <v>1.7215231367553E-8</v>
      </c>
      <c r="B1161" s="18">
        <f>-SUMIFS(Projetos!$F$2:$F$11,Projetos!$D$2:$D$11,"BRL",Projetos!$N$2:$N$11,Dados!$A1161)</f>
        <v>0</v>
      </c>
      <c r="C1161" s="45">
        <f ca="1">(A1161+B1161)*((Indicadores_Economicos!D$2+1)^(1/12)-1)</f>
        <v>5.6358187787716879E-11</v>
      </c>
      <c r="D1161" s="18">
        <f>SUMIFS(Projetos!$G$2:$G$11,Projetos!$K$2:$K$11,"&lt;="&amp;Dados!$A1161,Projetos!$N$2:$N$11,"&gt;"&amp;Dados!A1161,Projetos!$D$2:$D$11,"BRL")</f>
        <v>0</v>
      </c>
      <c r="E1161" s="18">
        <f t="shared" ca="1" si="72"/>
        <v>1.7271589555340716E-8</v>
      </c>
      <c r="G1161" s="45">
        <f t="shared" ca="1" si="75"/>
        <v>1.3242485667348441E-8</v>
      </c>
      <c r="H1161" s="18">
        <f>-SUMIFS(Projetos!$F$2:$F$11,Projetos!$D$2:$D$11,"USD",Projetos!$N$2:$N$11,Dados!$A1161)</f>
        <v>0</v>
      </c>
      <c r="I1161" s="45">
        <f ca="1">(G1161+H1161)*((Indicadores_Economicos!D$2+1)^(1/12)-1)</f>
        <v>4.3352452144397531E-11</v>
      </c>
      <c r="J1161" s="18">
        <f>SUMIFS(Projetos!$G$2:$G$11,Projetos!$K$2:$K$11,"&lt;="&amp;Dados!$A1161,Projetos!$N$2:$N$11,"&gt;"&amp;Dados!$A1161,Projetos!$D$2:$D$11,"USD")</f>
        <v>0</v>
      </c>
      <c r="K1161" s="18">
        <f t="shared" ca="1" si="73"/>
        <v>1.3285838119492839E-8</v>
      </c>
    </row>
    <row r="1162" spans="1:11" x14ac:dyDescent="0.2">
      <c r="A1162" s="45">
        <f t="shared" ca="1" si="74"/>
        <v>1.7271589555340716E-8</v>
      </c>
      <c r="B1162" s="18">
        <f>-SUMIFS(Projetos!$F$2:$F$11,Projetos!$D$2:$D$11,"BRL",Projetos!$N$2:$N$11,Dados!$A1162)</f>
        <v>0</v>
      </c>
      <c r="C1162" s="45">
        <f ca="1">(A1162+B1162)*((Indicadores_Economicos!D$2+1)^(1/12)-1)</f>
        <v>5.6542689829130162E-11</v>
      </c>
      <c r="D1162" s="18">
        <f>SUMIFS(Projetos!$G$2:$G$11,Projetos!$K$2:$K$11,"&lt;="&amp;Dados!$A1162,Projetos!$N$2:$N$11,"&gt;"&amp;Dados!A1162,Projetos!$D$2:$D$11,"BRL")</f>
        <v>0</v>
      </c>
      <c r="E1162" s="18">
        <f t="shared" ca="1" si="72"/>
        <v>1.7328132245169846E-8</v>
      </c>
      <c r="G1162" s="45">
        <f t="shared" ca="1" si="75"/>
        <v>1.3285838119492839E-8</v>
      </c>
      <c r="H1162" s="18">
        <f>-SUMIFS(Projetos!$F$2:$F$11,Projetos!$D$2:$D$11,"USD",Projetos!$N$2:$N$11,Dados!$A1162)</f>
        <v>0</v>
      </c>
      <c r="I1162" s="45">
        <f ca="1">(G1162+H1162)*((Indicadores_Economicos!D$2+1)^(1/12)-1)</f>
        <v>4.3494376791638525E-11</v>
      </c>
      <c r="J1162" s="18">
        <f>SUMIFS(Projetos!$G$2:$G$11,Projetos!$K$2:$K$11,"&lt;="&amp;Dados!$A1162,Projetos!$N$2:$N$11,"&gt;"&amp;Dados!$A1162,Projetos!$D$2:$D$11,"USD")</f>
        <v>0</v>
      </c>
      <c r="K1162" s="18">
        <f t="shared" ca="1" si="73"/>
        <v>1.3329332496284478E-8</v>
      </c>
    </row>
    <row r="1163" spans="1:11" x14ac:dyDescent="0.2">
      <c r="A1163" s="45">
        <f t="shared" ca="1" si="74"/>
        <v>1.7328132245169846E-8</v>
      </c>
      <c r="B1163" s="18">
        <f>-SUMIFS(Projetos!$F$2:$F$11,Projetos!$D$2:$D$11,"BRL",Projetos!$N$2:$N$11,Dados!$A1163)</f>
        <v>0</v>
      </c>
      <c r="C1163" s="45">
        <f ca="1">(A1163+B1163)*((Indicadores_Economicos!D$2+1)^(1/12)-1)</f>
        <v>5.672779588221632E-11</v>
      </c>
      <c r="D1163" s="18">
        <f>SUMIFS(Projetos!$G$2:$G$11,Projetos!$K$2:$K$11,"&lt;="&amp;Dados!$A1163,Projetos!$N$2:$N$11,"&gt;"&amp;Dados!A1163,Projetos!$D$2:$D$11,"BRL")</f>
        <v>0</v>
      </c>
      <c r="E1163" s="18">
        <f t="shared" ca="1" si="72"/>
        <v>1.7384860041052062E-8</v>
      </c>
      <c r="G1163" s="45">
        <f t="shared" ca="1" si="75"/>
        <v>1.3329332496284478E-8</v>
      </c>
      <c r="H1163" s="18">
        <f>-SUMIFS(Projetos!$F$2:$F$11,Projetos!$D$2:$D$11,"USD",Projetos!$N$2:$N$11,Dados!$A1163)</f>
        <v>0</v>
      </c>
      <c r="I1163" s="45">
        <f ca="1">(G1163+H1163)*((Indicadores_Economicos!D$2+1)^(1/12)-1)</f>
        <v>4.3636766063243262E-11</v>
      </c>
      <c r="J1163" s="18">
        <f>SUMIFS(Projetos!$G$2:$G$11,Projetos!$K$2:$K$11,"&lt;="&amp;Dados!$A1163,Projetos!$N$2:$N$11,"&gt;"&amp;Dados!$A1163,Projetos!$D$2:$D$11,"USD")</f>
        <v>0</v>
      </c>
      <c r="K1163" s="18">
        <f t="shared" ca="1" si="73"/>
        <v>1.3372969262347721E-8</v>
      </c>
    </row>
    <row r="1164" spans="1:11" x14ac:dyDescent="0.2">
      <c r="A1164" s="45">
        <f t="shared" ca="1" si="74"/>
        <v>1.7384860041052062E-8</v>
      </c>
      <c r="B1164" s="18">
        <f>-SUMIFS(Projetos!$F$2:$F$11,Projetos!$D$2:$D$11,"BRL",Projetos!$N$2:$N$11,Dados!$A1164)</f>
        <v>0</v>
      </c>
      <c r="C1164" s="45">
        <f ca="1">(A1164+B1164)*((Indicadores_Economicos!D$2+1)^(1/12)-1)</f>
        <v>5.6913507924352391E-11</v>
      </c>
      <c r="D1164" s="18">
        <f>SUMIFS(Projetos!$G$2:$G$11,Projetos!$K$2:$K$11,"&lt;="&amp;Dados!$A1164,Projetos!$N$2:$N$11,"&gt;"&amp;Dados!A1164,Projetos!$D$2:$D$11,"BRL")</f>
        <v>0</v>
      </c>
      <c r="E1164" s="18">
        <f t="shared" ca="1" si="72"/>
        <v>1.7441773548976415E-8</v>
      </c>
      <c r="G1164" s="45">
        <f t="shared" ca="1" si="75"/>
        <v>1.3372969262347721E-8</v>
      </c>
      <c r="H1164" s="18">
        <f>-SUMIFS(Projetos!$F$2:$F$11,Projetos!$D$2:$D$11,"USD",Projetos!$N$2:$N$11,Dados!$A1164)</f>
        <v>0</v>
      </c>
      <c r="I1164" s="45">
        <f ca="1">(G1164+H1164)*((Indicadores_Economicos!D$2+1)^(1/12)-1)</f>
        <v>4.3779621480271007E-11</v>
      </c>
      <c r="J1164" s="18">
        <f>SUMIFS(Projetos!$G$2:$G$11,Projetos!$K$2:$K$11,"&lt;="&amp;Dados!$A1164,Projetos!$N$2:$N$11,"&gt;"&amp;Dados!$A1164,Projetos!$D$2:$D$11,"USD")</f>
        <v>0</v>
      </c>
      <c r="K1164" s="18">
        <f t="shared" ca="1" si="73"/>
        <v>1.3416748883827992E-8</v>
      </c>
    </row>
    <row r="1165" spans="1:11" x14ac:dyDescent="0.2">
      <c r="A1165" s="45">
        <f t="shared" ca="1" si="74"/>
        <v>1.7441773548976415E-8</v>
      </c>
      <c r="B1165" s="18">
        <f>-SUMIFS(Projetos!$F$2:$F$11,Projetos!$D$2:$D$11,"BRL",Projetos!$N$2:$N$11,Dados!$A1165)</f>
        <v>0</v>
      </c>
      <c r="C1165" s="45">
        <f ca="1">(A1165+B1165)*((Indicadores_Economicos!D$2+1)^(1/12)-1)</f>
        <v>5.7099827939388838E-11</v>
      </c>
      <c r="D1165" s="18">
        <f>SUMIFS(Projetos!$G$2:$G$11,Projetos!$K$2:$K$11,"&lt;="&amp;Dados!$A1165,Projetos!$N$2:$N$11,"&gt;"&amp;Dados!A1165,Projetos!$D$2:$D$11,"BRL")</f>
        <v>0</v>
      </c>
      <c r="E1165" s="18">
        <f t="shared" ca="1" si="72"/>
        <v>1.7498873376915804E-8</v>
      </c>
      <c r="G1165" s="45">
        <f t="shared" ca="1" si="75"/>
        <v>1.3416748883827992E-8</v>
      </c>
      <c r="H1165" s="18">
        <f>-SUMIFS(Projetos!$F$2:$F$11,Projetos!$D$2:$D$11,"USD",Projetos!$N$2:$N$11,Dados!$A1165)</f>
        <v>0</v>
      </c>
      <c r="I1165" s="45">
        <f ca="1">(G1165+H1165)*((Indicadores_Economicos!D$2+1)^(1/12)-1)</f>
        <v>4.3922944568760576E-11</v>
      </c>
      <c r="J1165" s="18">
        <f>SUMIFS(Projetos!$G$2:$G$11,Projetos!$K$2:$K$11,"&lt;="&amp;Dados!$A1165,Projetos!$N$2:$N$11,"&gt;"&amp;Dados!$A1165,Projetos!$D$2:$D$11,"USD")</f>
        <v>0</v>
      </c>
      <c r="K1165" s="18">
        <f t="shared" ca="1" si="73"/>
        <v>1.3460671828396752E-8</v>
      </c>
    </row>
    <row r="1166" spans="1:11" x14ac:dyDescent="0.2">
      <c r="A1166" s="45">
        <f t="shared" ca="1" si="74"/>
        <v>1.7498873376915804E-8</v>
      </c>
      <c r="B1166" s="18">
        <f>-SUMIFS(Projetos!$F$2:$F$11,Projetos!$D$2:$D$11,"BRL",Projetos!$N$2:$N$11,Dados!$A1166)</f>
        <v>0</v>
      </c>
      <c r="C1166" s="45">
        <f ca="1">(A1166+B1166)*((Indicadores_Economicos!D$2+1)^(1/12)-1)</f>
        <v>5.7286757917670726E-11</v>
      </c>
      <c r="D1166" s="18">
        <f>SUMIFS(Projetos!$G$2:$G$11,Projetos!$K$2:$K$11,"&lt;="&amp;Dados!$A1166,Projetos!$N$2:$N$11,"&gt;"&amp;Dados!A1166,Projetos!$D$2:$D$11,"BRL")</f>
        <v>0</v>
      </c>
      <c r="E1166" s="18">
        <f t="shared" ca="1" si="72"/>
        <v>1.7556160134833474E-8</v>
      </c>
      <c r="G1166" s="45">
        <f t="shared" ca="1" si="75"/>
        <v>1.3460671828396752E-8</v>
      </c>
      <c r="H1166" s="18">
        <f>-SUMIFS(Projetos!$F$2:$F$11,Projetos!$D$2:$D$11,"USD",Projetos!$N$2:$N$11,Dados!$A1166)</f>
        <v>0</v>
      </c>
      <c r="I1166" s="45">
        <f ca="1">(G1166+H1166)*((Indicadores_Economicos!D$2+1)^(1/12)-1)</f>
        <v>4.4066736859746648E-11</v>
      </c>
      <c r="J1166" s="18">
        <f>SUMIFS(Projetos!$G$2:$G$11,Projetos!$K$2:$K$11,"&lt;="&amp;Dados!$A1166,Projetos!$N$2:$N$11,"&gt;"&amp;Dados!$A1166,Projetos!$D$2:$D$11,"USD")</f>
        <v>0</v>
      </c>
      <c r="K1166" s="18">
        <f t="shared" ca="1" si="73"/>
        <v>1.3504738565256499E-8</v>
      </c>
    </row>
    <row r="1167" spans="1:11" x14ac:dyDescent="0.2">
      <c r="A1167" s="45">
        <f t="shared" ca="1" si="74"/>
        <v>1.7556160134833474E-8</v>
      </c>
      <c r="B1167" s="18">
        <f>-SUMIFS(Projetos!$F$2:$F$11,Projetos!$D$2:$D$11,"BRL",Projetos!$N$2:$N$11,Dados!$A1167)</f>
        <v>0</v>
      </c>
      <c r="C1167" s="45">
        <f ca="1">(A1167+B1167)*((Indicadores_Economicos!D$2+1)^(1/12)-1)</f>
        <v>5.7474299856059003E-11</v>
      </c>
      <c r="D1167" s="18">
        <f>SUMIFS(Projetos!$G$2:$G$11,Projetos!$K$2:$K$11,"&lt;="&amp;Dados!$A1167,Projetos!$N$2:$N$11,"&gt;"&amp;Dados!A1167,Projetos!$D$2:$D$11,"BRL")</f>
        <v>0</v>
      </c>
      <c r="E1167" s="18">
        <f t="shared" ca="1" si="72"/>
        <v>1.7613634434689534E-8</v>
      </c>
      <c r="G1167" s="45">
        <f t="shared" ca="1" si="75"/>
        <v>1.3504738565256499E-8</v>
      </c>
      <c r="H1167" s="18">
        <f>-SUMIFS(Projetos!$F$2:$F$11,Projetos!$D$2:$D$11,"USD",Projetos!$N$2:$N$11,Dados!$A1167)</f>
        <v>0</v>
      </c>
      <c r="I1167" s="45">
        <f ca="1">(G1167+H1167)*((Indicadores_Economicos!D$2+1)^(1/12)-1)</f>
        <v>4.4210999889276089E-11</v>
      </c>
      <c r="J1167" s="18">
        <f>SUMIFS(Projetos!$G$2:$G$11,Projetos!$K$2:$K$11,"&lt;="&amp;Dados!$A1167,Projetos!$N$2:$N$11,"&gt;"&amp;Dados!$A1167,Projetos!$D$2:$D$11,"USD")</f>
        <v>0</v>
      </c>
      <c r="K1167" s="18">
        <f t="shared" ca="1" si="73"/>
        <v>1.3548949565145775E-8</v>
      </c>
    </row>
    <row r="1168" spans="1:11" x14ac:dyDescent="0.2">
      <c r="A1168" s="45">
        <f t="shared" ca="1" si="74"/>
        <v>1.7613634434689534E-8</v>
      </c>
      <c r="B1168" s="18">
        <f>-SUMIFS(Projetos!$F$2:$F$11,Projetos!$D$2:$D$11,"BRL",Projetos!$N$2:$N$11,Dados!$A1168)</f>
        <v>0</v>
      </c>
      <c r="C1168" s="45">
        <f ca="1">(A1168+B1168)*((Indicadores_Economicos!D$2+1)^(1/12)-1)</f>
        <v>5.7662455757951812E-11</v>
      </c>
      <c r="D1168" s="18">
        <f>SUMIFS(Projetos!$G$2:$G$11,Projetos!$K$2:$K$11,"&lt;="&amp;Dados!$A1168,Projetos!$N$2:$N$11,"&gt;"&amp;Dados!A1168,Projetos!$D$2:$D$11,"BRL")</f>
        <v>0</v>
      </c>
      <c r="E1168" s="18">
        <f t="shared" ca="1" si="72"/>
        <v>1.7671296890447487E-8</v>
      </c>
      <c r="G1168" s="45">
        <f t="shared" ca="1" si="75"/>
        <v>1.3548949565145775E-8</v>
      </c>
      <c r="H1168" s="18">
        <f>-SUMIFS(Projetos!$F$2:$F$11,Projetos!$D$2:$D$11,"USD",Projetos!$N$2:$N$11,Dados!$A1168)</f>
        <v>0</v>
      </c>
      <c r="I1168" s="45">
        <f ca="1">(G1168+H1168)*((Indicadores_Economicos!D$2+1)^(1/12)-1)</f>
        <v>4.4355735198424405E-11</v>
      </c>
      <c r="J1168" s="18">
        <f>SUMIFS(Projetos!$G$2:$G$11,Projetos!$K$2:$K$11,"&lt;="&amp;Dados!$A1168,Projetos!$N$2:$N$11,"&gt;"&amp;Dados!$A1168,Projetos!$D$2:$D$11,"USD")</f>
        <v>0</v>
      </c>
      <c r="K1168" s="18">
        <f t="shared" ca="1" si="73"/>
        <v>1.3593305300344199E-8</v>
      </c>
    </row>
    <row r="1169" spans="1:11" x14ac:dyDescent="0.2">
      <c r="A1169" s="45">
        <f t="shared" ca="1" si="74"/>
        <v>1.7671296890447487E-8</v>
      </c>
      <c r="B1169" s="18">
        <f>-SUMIFS(Projetos!$F$2:$F$11,Projetos!$D$2:$D$11,"BRL",Projetos!$N$2:$N$11,Dados!$A1169)</f>
        <v>0</v>
      </c>
      <c r="C1169" s="45">
        <f ca="1">(A1169+B1169)*((Indicadores_Economicos!D$2+1)^(1/12)-1)</f>
        <v>5.7851227633305907E-11</v>
      </c>
      <c r="D1169" s="18">
        <f>SUMIFS(Projetos!$G$2:$G$11,Projetos!$K$2:$K$11,"&lt;="&amp;Dados!$A1169,Projetos!$N$2:$N$11,"&gt;"&amp;Dados!A1169,Projetos!$D$2:$D$11,"BRL")</f>
        <v>0</v>
      </c>
      <c r="E1169" s="18">
        <f t="shared" ca="1" si="72"/>
        <v>1.7729148118080794E-8</v>
      </c>
      <c r="G1169" s="45">
        <f t="shared" ca="1" si="75"/>
        <v>1.3593305300344199E-8</v>
      </c>
      <c r="H1169" s="18">
        <f>-SUMIFS(Projetos!$F$2:$F$11,Projetos!$D$2:$D$11,"USD",Projetos!$N$2:$N$11,Dados!$A1169)</f>
        <v>0</v>
      </c>
      <c r="I1169" s="45">
        <f ca="1">(G1169+H1169)*((Indicadores_Economicos!D$2+1)^(1/12)-1)</f>
        <v>4.4500944333312166E-11</v>
      </c>
      <c r="J1169" s="18">
        <f>SUMIFS(Projetos!$G$2:$G$11,Projetos!$K$2:$K$11,"&lt;="&amp;Dados!$A1169,Projetos!$N$2:$N$11,"&gt;"&amp;Dados!$A1169,Projetos!$D$2:$D$11,"USD")</f>
        <v>0</v>
      </c>
      <c r="K1169" s="18">
        <f t="shared" ca="1" si="73"/>
        <v>1.3637806244677511E-8</v>
      </c>
    </row>
    <row r="1170" spans="1:11" x14ac:dyDescent="0.2">
      <c r="A1170" s="45">
        <f t="shared" ca="1" si="74"/>
        <v>1.7729148118080794E-8</v>
      </c>
      <c r="B1170" s="18">
        <f>-SUMIFS(Projetos!$F$2:$F$11,Projetos!$D$2:$D$11,"BRL",Projetos!$N$2:$N$11,Dados!$A1170)</f>
        <v>0</v>
      </c>
      <c r="C1170" s="45">
        <f ca="1">(A1170+B1170)*((Indicadores_Economicos!D$2+1)^(1/12)-1)</f>
        <v>5.8040617498658111E-11</v>
      </c>
      <c r="D1170" s="18">
        <f>SUMIFS(Projetos!$G$2:$G$11,Projetos!$K$2:$K$11,"&lt;="&amp;Dados!$A1170,Projetos!$N$2:$N$11,"&gt;"&amp;Dados!A1170,Projetos!$D$2:$D$11,"BRL")</f>
        <v>0</v>
      </c>
      <c r="E1170" s="18">
        <f t="shared" ca="1" si="72"/>
        <v>1.7787188735579452E-8</v>
      </c>
      <c r="G1170" s="45">
        <f t="shared" ca="1" si="75"/>
        <v>1.3637806244677511E-8</v>
      </c>
      <c r="H1170" s="18">
        <f>-SUMIFS(Projetos!$F$2:$F$11,Projetos!$D$2:$D$11,"USD",Projetos!$N$2:$N$11,Dados!$A1170)</f>
        <v>0</v>
      </c>
      <c r="I1170" s="45">
        <f ca="1">(G1170+H1170)*((Indicadores_Economicos!D$2+1)^(1/12)-1)</f>
        <v>4.4646628845121553E-11</v>
      </c>
      <c r="J1170" s="18">
        <f>SUMIFS(Projetos!$G$2:$G$11,Projetos!$K$2:$K$11,"&lt;="&amp;Dados!$A1170,Projetos!$N$2:$N$11,"&gt;"&amp;Dados!$A1170,Projetos!$D$2:$D$11,"USD")</f>
        <v>0</v>
      </c>
      <c r="K1170" s="18">
        <f t="shared" ca="1" si="73"/>
        <v>1.3682452873522632E-8</v>
      </c>
    </row>
    <row r="1171" spans="1:11" x14ac:dyDescent="0.2">
      <c r="A1171" s="45">
        <f t="shared" ca="1" si="74"/>
        <v>1.7787188735579452E-8</v>
      </c>
      <c r="B1171" s="18">
        <f>-SUMIFS(Projetos!$F$2:$F$11,Projetos!$D$2:$D$11,"BRL",Projetos!$N$2:$N$11,Dados!$A1171)</f>
        <v>0</v>
      </c>
      <c r="C1171" s="45">
        <f ca="1">(A1171+B1171)*((Indicadores_Economicos!D$2+1)^(1/12)-1)</f>
        <v>5.8230627377146857E-11</v>
      </c>
      <c r="D1171" s="18">
        <f>SUMIFS(Projetos!$G$2:$G$11,Projetos!$K$2:$K$11,"&lt;="&amp;Dados!$A1171,Projetos!$N$2:$N$11,"&gt;"&amp;Dados!A1171,Projetos!$D$2:$D$11,"BRL")</f>
        <v>0</v>
      </c>
      <c r="E1171" s="18">
        <f t="shared" ca="1" si="72"/>
        <v>1.7845419362956599E-8</v>
      </c>
      <c r="G1171" s="45">
        <f t="shared" ca="1" si="75"/>
        <v>1.3682452873522632E-8</v>
      </c>
      <c r="H1171" s="18">
        <f>-SUMIFS(Projetos!$F$2:$F$11,Projetos!$D$2:$D$11,"USD",Projetos!$N$2:$N$11,Dados!$A1171)</f>
        <v>0</v>
      </c>
      <c r="I1171" s="45">
        <f ca="1">(G1171+H1171)*((Indicadores_Economicos!D$2+1)^(1/12)-1)</f>
        <v>4.4792790290112891E-11</v>
      </c>
      <c r="J1171" s="18">
        <f>SUMIFS(Projetos!$G$2:$G$11,Projetos!$K$2:$K$11,"&lt;="&amp;Dados!$A1171,Projetos!$N$2:$N$11,"&gt;"&amp;Dados!$A1171,Projetos!$D$2:$D$11,"USD")</f>
        <v>0</v>
      </c>
      <c r="K1171" s="18">
        <f t="shared" ca="1" si="73"/>
        <v>1.3727245663812744E-8</v>
      </c>
    </row>
    <row r="1172" spans="1:11" x14ac:dyDescent="0.2">
      <c r="A1172" s="45">
        <f t="shared" ca="1" si="74"/>
        <v>1.7845419362956599E-8</v>
      </c>
      <c r="B1172" s="18">
        <f>-SUMIFS(Projetos!$F$2:$F$11,Projetos!$D$2:$D$11,"BRL",Projetos!$N$2:$N$11,Dados!$A1172)</f>
        <v>0</v>
      </c>
      <c r="C1172" s="45">
        <f ca="1">(A1172+B1172)*((Indicadores_Economicos!D$2+1)^(1/12)-1)</f>
        <v>5.8421259298533826E-11</v>
      </c>
      <c r="D1172" s="18">
        <f>SUMIFS(Projetos!$G$2:$G$11,Projetos!$K$2:$K$11,"&lt;="&amp;Dados!$A1172,Projetos!$N$2:$N$11,"&gt;"&amp;Dados!A1172,Projetos!$D$2:$D$11,"BRL")</f>
        <v>0</v>
      </c>
      <c r="E1172" s="18">
        <f t="shared" ca="1" si="72"/>
        <v>1.7903840622255134E-8</v>
      </c>
      <c r="G1172" s="45">
        <f t="shared" ca="1" si="75"/>
        <v>1.3727245663812744E-8</v>
      </c>
      <c r="H1172" s="18">
        <f>-SUMIFS(Projetos!$F$2:$F$11,Projetos!$D$2:$D$11,"USD",Projetos!$N$2:$N$11,Dados!$A1172)</f>
        <v>0</v>
      </c>
      <c r="I1172" s="45">
        <f ca="1">(G1172+H1172)*((Indicadores_Economicos!D$2+1)^(1/12)-1)</f>
        <v>4.4939430229641328E-11</v>
      </c>
      <c r="J1172" s="18">
        <f>SUMIFS(Projetos!$G$2:$G$11,Projetos!$K$2:$K$11,"&lt;="&amp;Dados!$A1172,Projetos!$N$2:$N$11,"&gt;"&amp;Dados!$A1172,Projetos!$D$2:$D$11,"USD")</f>
        <v>0</v>
      </c>
      <c r="K1172" s="18">
        <f t="shared" ca="1" si="73"/>
        <v>1.3772185094042386E-8</v>
      </c>
    </row>
    <row r="1173" spans="1:11" x14ac:dyDescent="0.2">
      <c r="A1173" s="45">
        <f t="shared" ca="1" si="74"/>
        <v>1.7903840622255134E-8</v>
      </c>
      <c r="B1173" s="18">
        <f>-SUMIFS(Projetos!$F$2:$F$11,Projetos!$D$2:$D$11,"BRL",Projetos!$N$2:$N$11,Dados!$A1173)</f>
        <v>0</v>
      </c>
      <c r="C1173" s="45">
        <f ca="1">(A1173+B1173)*((Indicadores_Economicos!D$2+1)^(1/12)-1)</f>
        <v>5.8612515299225597E-11</v>
      </c>
      <c r="D1173" s="18">
        <f>SUMIFS(Projetos!$G$2:$G$11,Projetos!$K$2:$K$11,"&lt;="&amp;Dados!$A1173,Projetos!$N$2:$N$11,"&gt;"&amp;Dados!A1173,Projetos!$D$2:$D$11,"BRL")</f>
        <v>0</v>
      </c>
      <c r="E1173" s="18">
        <f t="shared" ca="1" si="72"/>
        <v>1.796245313755436E-8</v>
      </c>
      <c r="G1173" s="45">
        <f t="shared" ca="1" si="75"/>
        <v>1.3772185094042386E-8</v>
      </c>
      <c r="H1173" s="18">
        <f>-SUMIFS(Projetos!$F$2:$F$11,Projetos!$D$2:$D$11,"USD",Projetos!$N$2:$N$11,Dados!$A1173)</f>
        <v>0</v>
      </c>
      <c r="I1173" s="45">
        <f ca="1">(G1173+H1173)*((Indicadores_Economicos!D$2+1)^(1/12)-1)</f>
        <v>4.5086550230173457E-11</v>
      </c>
      <c r="J1173" s="18">
        <f>SUMIFS(Projetos!$G$2:$G$11,Projetos!$K$2:$K$11,"&lt;="&amp;Dados!$A1173,Projetos!$N$2:$N$11,"&gt;"&amp;Dados!$A1173,Projetos!$D$2:$D$11,"USD")</f>
        <v>0</v>
      </c>
      <c r="K1173" s="18">
        <f t="shared" ca="1" si="73"/>
        <v>1.3817271644272559E-8</v>
      </c>
    </row>
    <row r="1174" spans="1:11" x14ac:dyDescent="0.2">
      <c r="A1174" s="45">
        <f t="shared" ca="1" si="74"/>
        <v>1.796245313755436E-8</v>
      </c>
      <c r="B1174" s="18">
        <f>-SUMIFS(Projetos!$F$2:$F$11,Projetos!$D$2:$D$11,"BRL",Projetos!$N$2:$N$11,Dados!$A1174)</f>
        <v>0</v>
      </c>
      <c r="C1174" s="45">
        <f ca="1">(A1174+B1174)*((Indicadores_Economicos!D$2+1)^(1/12)-1)</f>
        <v>5.8804397422295418E-11</v>
      </c>
      <c r="D1174" s="18">
        <f>SUMIFS(Projetos!$G$2:$G$11,Projetos!$K$2:$K$11,"&lt;="&amp;Dados!$A1174,Projetos!$N$2:$N$11,"&gt;"&amp;Dados!A1174,Projetos!$D$2:$D$11,"BRL")</f>
        <v>0</v>
      </c>
      <c r="E1174" s="18">
        <f t="shared" ca="1" si="72"/>
        <v>1.8021257534976655E-8</v>
      </c>
      <c r="G1174" s="45">
        <f t="shared" ca="1" si="75"/>
        <v>1.3817271644272559E-8</v>
      </c>
      <c r="H1174" s="18">
        <f>-SUMIFS(Projetos!$F$2:$F$11,Projetos!$D$2:$D$11,"USD",Projetos!$N$2:$N$11,Dados!$A1174)</f>
        <v>0</v>
      </c>
      <c r="I1174" s="45">
        <f ca="1">(G1174+H1174)*((Indicadores_Economicos!D$2+1)^(1/12)-1)</f>
        <v>4.5234151863304081E-11</v>
      </c>
      <c r="J1174" s="18">
        <f>SUMIFS(Projetos!$G$2:$G$11,Projetos!$K$2:$K$11,"&lt;="&amp;Dados!$A1174,Projetos!$N$2:$N$11,"&gt;"&amp;Dados!$A1174,Projetos!$D$2:$D$11,"USD")</f>
        <v>0</v>
      </c>
      <c r="K1174" s="18">
        <f t="shared" ca="1" si="73"/>
        <v>1.3862505796135863E-8</v>
      </c>
    </row>
    <row r="1175" spans="1:11" x14ac:dyDescent="0.2">
      <c r="A1175" s="45">
        <f t="shared" ca="1" si="74"/>
        <v>1.8021257534976655E-8</v>
      </c>
      <c r="B1175" s="18">
        <f>-SUMIFS(Projetos!$F$2:$F$11,Projetos!$D$2:$D$11,"BRL",Projetos!$N$2:$N$11,Dados!$A1175)</f>
        <v>0</v>
      </c>
      <c r="C1175" s="45">
        <f ca="1">(A1175+B1175)*((Indicadores_Economicos!D$2+1)^(1/12)-1)</f>
        <v>5.8996907717505014E-11</v>
      </c>
      <c r="D1175" s="18">
        <f>SUMIFS(Projetos!$G$2:$G$11,Projetos!$K$2:$K$11,"&lt;="&amp;Dados!$A1175,Projetos!$N$2:$N$11,"&gt;"&amp;Dados!A1175,Projetos!$D$2:$D$11,"BRL")</f>
        <v>0</v>
      </c>
      <c r="E1175" s="18">
        <f t="shared" ca="1" si="72"/>
        <v>1.8080254442694159E-8</v>
      </c>
      <c r="G1175" s="45">
        <f t="shared" ca="1" si="75"/>
        <v>1.3862505796135863E-8</v>
      </c>
      <c r="H1175" s="18">
        <f>-SUMIFS(Projetos!$F$2:$F$11,Projetos!$D$2:$D$11,"USD",Projetos!$N$2:$N$11,Dados!$A1175)</f>
        <v>0</v>
      </c>
      <c r="I1175" s="45">
        <f ca="1">(G1175+H1175)*((Indicadores_Economicos!D$2+1)^(1/12)-1)</f>
        <v>4.5382236705773008E-11</v>
      </c>
      <c r="J1175" s="18">
        <f>SUMIFS(Projetos!$G$2:$G$11,Projetos!$K$2:$K$11,"&lt;="&amp;Dados!$A1175,Projetos!$N$2:$N$11,"&gt;"&amp;Dados!$A1175,Projetos!$D$2:$D$11,"USD")</f>
        <v>0</v>
      </c>
      <c r="K1175" s="18">
        <f t="shared" ca="1" si="73"/>
        <v>1.3907888032841636E-8</v>
      </c>
    </row>
    <row r="1176" spans="1:11" x14ac:dyDescent="0.2">
      <c r="A1176" s="45">
        <f t="shared" ca="1" si="74"/>
        <v>1.8080254442694159E-8</v>
      </c>
      <c r="B1176" s="18">
        <f>-SUMIFS(Projetos!$F$2:$F$11,Projetos!$D$2:$D$11,"BRL",Projetos!$N$2:$N$11,Dados!$A1176)</f>
        <v>0</v>
      </c>
      <c r="C1176" s="45">
        <f ca="1">(A1176+B1176)*((Indicadores_Economicos!D$2+1)^(1/12)-1)</f>
        <v>5.9190048241326525E-11</v>
      </c>
      <c r="D1176" s="18">
        <f>SUMIFS(Projetos!$G$2:$G$11,Projetos!$K$2:$K$11,"&lt;="&amp;Dados!$A1176,Projetos!$N$2:$N$11,"&gt;"&amp;Dados!A1176,Projetos!$D$2:$D$11,"BRL")</f>
        <v>0</v>
      </c>
      <c r="E1176" s="18">
        <f t="shared" ca="1" si="72"/>
        <v>1.8139444490935486E-8</v>
      </c>
      <c r="G1176" s="45">
        <f t="shared" ca="1" si="75"/>
        <v>1.3907888032841636E-8</v>
      </c>
      <c r="H1176" s="18">
        <f>-SUMIFS(Projetos!$F$2:$F$11,Projetos!$D$2:$D$11,"USD",Projetos!$N$2:$N$11,Dados!$A1176)</f>
        <v>0</v>
      </c>
      <c r="I1176" s="45">
        <f ca="1">(G1176+H1176)*((Indicadores_Economicos!D$2+1)^(1/12)-1)</f>
        <v>4.5530806339481867E-11</v>
      </c>
      <c r="J1176" s="18">
        <f>SUMIFS(Projetos!$G$2:$G$11,Projetos!$K$2:$K$11,"&lt;="&amp;Dados!$A1176,Projetos!$N$2:$N$11,"&gt;"&amp;Dados!$A1176,Projetos!$D$2:$D$11,"USD")</f>
        <v>0</v>
      </c>
      <c r="K1176" s="18">
        <f t="shared" ca="1" si="73"/>
        <v>1.3953418839181119E-8</v>
      </c>
    </row>
    <row r="1177" spans="1:11" x14ac:dyDescent="0.2">
      <c r="A1177" s="45">
        <f t="shared" ca="1" si="74"/>
        <v>1.8139444490935486E-8</v>
      </c>
      <c r="B1177" s="18">
        <f>-SUMIFS(Projetos!$F$2:$F$11,Projetos!$D$2:$D$11,"BRL",Projetos!$N$2:$N$11,Dados!$A1177)</f>
        <v>0</v>
      </c>
      <c r="C1177" s="45">
        <f ca="1">(A1177+B1177)*((Indicadores_Economicos!D$2+1)^(1/12)-1)</f>
        <v>5.9383821056964434E-11</v>
      </c>
      <c r="D1177" s="18">
        <f>SUMIFS(Projetos!$G$2:$G$11,Projetos!$K$2:$K$11,"&lt;="&amp;Dados!$A1177,Projetos!$N$2:$N$11,"&gt;"&amp;Dados!A1177,Projetos!$D$2:$D$11,"BRL")</f>
        <v>0</v>
      </c>
      <c r="E1177" s="18">
        <f t="shared" ca="1" si="72"/>
        <v>1.8198828311992451E-8</v>
      </c>
      <c r="G1177" s="45">
        <f t="shared" ca="1" si="75"/>
        <v>1.3953418839181119E-8</v>
      </c>
      <c r="H1177" s="18">
        <f>-SUMIFS(Projetos!$F$2:$F$11,Projetos!$D$2:$D$11,"USD",Projetos!$N$2:$N$11,Dados!$A1177)</f>
        <v>0</v>
      </c>
      <c r="I1177" s="45">
        <f ca="1">(G1177+H1177)*((Indicadores_Economicos!D$2+1)^(1/12)-1)</f>
        <v>4.567986235151103E-11</v>
      </c>
      <c r="J1177" s="18">
        <f>SUMIFS(Projetos!$G$2:$G$11,Projetos!$K$2:$K$11,"&lt;="&amp;Dados!$A1177,Projetos!$N$2:$N$11,"&gt;"&amp;Dados!$A1177,Projetos!$D$2:$D$11,"USD")</f>
        <v>0</v>
      </c>
      <c r="K1177" s="18">
        <f t="shared" ca="1" si="73"/>
        <v>1.399909870153263E-8</v>
      </c>
    </row>
    <row r="1178" spans="1:11" x14ac:dyDescent="0.2">
      <c r="A1178" s="45">
        <f t="shared" ca="1" si="74"/>
        <v>1.8198828311992451E-8</v>
      </c>
      <c r="B1178" s="18">
        <f>-SUMIFS(Projetos!$F$2:$F$11,Projetos!$D$2:$D$11,"BRL",Projetos!$N$2:$N$11,Dados!$A1178)</f>
        <v>0</v>
      </c>
      <c r="C1178" s="45">
        <f ca="1">(A1178+B1178)*((Indicadores_Economicos!D$2+1)^(1/12)-1)</f>
        <v>5.9578228234377608E-11</v>
      </c>
      <c r="D1178" s="18">
        <f>SUMIFS(Projetos!$G$2:$G$11,Projetos!$K$2:$K$11,"&lt;="&amp;Dados!$A1178,Projetos!$N$2:$N$11,"&gt;"&amp;Dados!A1178,Projetos!$D$2:$D$11,"BRL")</f>
        <v>0</v>
      </c>
      <c r="E1178" s="18">
        <f t="shared" ca="1" si="72"/>
        <v>1.8258406540226828E-8</v>
      </c>
      <c r="G1178" s="45">
        <f t="shared" ca="1" si="75"/>
        <v>1.399909870153263E-8</v>
      </c>
      <c r="H1178" s="18">
        <f>-SUMIFS(Projetos!$F$2:$F$11,Projetos!$D$2:$D$11,"USD",Projetos!$N$2:$N$11,Dados!$A1178)</f>
        <v>0</v>
      </c>
      <c r="I1178" s="45">
        <f ca="1">(G1178+H1178)*((Indicadores_Economicos!D$2+1)^(1/12)-1)</f>
        <v>4.5829406334136537E-11</v>
      </c>
      <c r="J1178" s="18">
        <f>SUMIFS(Projetos!$G$2:$G$11,Projetos!$K$2:$K$11,"&lt;="&amp;Dados!$A1178,Projetos!$N$2:$N$11,"&gt;"&amp;Dados!$A1178,Projetos!$D$2:$D$11,"USD")</f>
        <v>0</v>
      </c>
      <c r="K1178" s="18">
        <f t="shared" ca="1" si="73"/>
        <v>1.4044928107866767E-8</v>
      </c>
    </row>
    <row r="1179" spans="1:11" x14ac:dyDescent="0.2">
      <c r="A1179" s="45">
        <f t="shared" ca="1" si="74"/>
        <v>1.8258406540226828E-8</v>
      </c>
      <c r="B1179" s="18">
        <f>-SUMIFS(Projetos!$F$2:$F$11,Projetos!$D$2:$D$11,"BRL",Projetos!$N$2:$N$11,Dados!$A1179)</f>
        <v>0</v>
      </c>
      <c r="C1179" s="45">
        <f ca="1">(A1179+B1179)*((Indicadores_Economicos!D$2+1)^(1/12)-1)</f>
        <v>5.9773271850301408E-11</v>
      </c>
      <c r="D1179" s="18">
        <f>SUMIFS(Projetos!$G$2:$G$11,Projetos!$K$2:$K$11,"&lt;="&amp;Dados!$A1179,Projetos!$N$2:$N$11,"&gt;"&amp;Dados!A1179,Projetos!$D$2:$D$11,"BRL")</f>
        <v>0</v>
      </c>
      <c r="E1179" s="18">
        <f t="shared" ca="1" si="72"/>
        <v>1.8318179812077128E-8</v>
      </c>
      <c r="G1179" s="45">
        <f t="shared" ca="1" si="75"/>
        <v>1.4044928107866767E-8</v>
      </c>
      <c r="H1179" s="18">
        <f>-SUMIFS(Projetos!$F$2:$F$11,Projetos!$D$2:$D$11,"USD",Projetos!$N$2:$N$11,Dados!$A1179)</f>
        <v>0</v>
      </c>
      <c r="I1179" s="45">
        <f ca="1">(G1179+H1179)*((Indicadores_Economicos!D$2+1)^(1/12)-1)</f>
        <v>4.5979439884847158E-11</v>
      </c>
      <c r="J1179" s="18">
        <f>SUMIFS(Projetos!$G$2:$G$11,Projetos!$K$2:$K$11,"&lt;="&amp;Dados!$A1179,Projetos!$N$2:$N$11,"&gt;"&amp;Dados!$A1179,Projetos!$D$2:$D$11,"USD")</f>
        <v>0</v>
      </c>
      <c r="K1179" s="18">
        <f t="shared" ca="1" si="73"/>
        <v>1.4090907547751614E-8</v>
      </c>
    </row>
    <row r="1180" spans="1:11" x14ac:dyDescent="0.2">
      <c r="A1180" s="45">
        <f t="shared" ca="1" si="74"/>
        <v>1.8318179812077128E-8</v>
      </c>
      <c r="B1180" s="18">
        <f>-SUMIFS(Projetos!$F$2:$F$11,Projetos!$D$2:$D$11,"BRL",Projetos!$N$2:$N$11,Dados!$A1180)</f>
        <v>0</v>
      </c>
      <c r="C1180" s="45">
        <f ca="1">(A1180+B1180)*((Indicadores_Economicos!D$2+1)^(1/12)-1)</f>
        <v>5.9968953988269924E-11</v>
      </c>
      <c r="D1180" s="18">
        <f>SUMIFS(Projetos!$G$2:$G$11,Projetos!$K$2:$K$11,"&lt;="&amp;Dados!$A1180,Projetos!$N$2:$N$11,"&gt;"&amp;Dados!A1180,Projetos!$D$2:$D$11,"BRL")</f>
        <v>0</v>
      </c>
      <c r="E1180" s="18">
        <f t="shared" ca="1" si="72"/>
        <v>1.8378148766065397E-8</v>
      </c>
      <c r="G1180" s="45">
        <f t="shared" ca="1" si="75"/>
        <v>1.4090907547751614E-8</v>
      </c>
      <c r="H1180" s="18">
        <f>-SUMIFS(Projetos!$F$2:$F$11,Projetos!$D$2:$D$11,"USD",Projetos!$N$2:$N$11,Dados!$A1180)</f>
        <v>0</v>
      </c>
      <c r="I1180" s="45">
        <f ca="1">(G1180+H1180)*((Indicadores_Economicos!D$2+1)^(1/12)-1)</f>
        <v>4.6129964606361406E-11</v>
      </c>
      <c r="J1180" s="18">
        <f>SUMIFS(Projetos!$G$2:$G$11,Projetos!$K$2:$K$11,"&lt;="&amp;Dados!$A1180,Projetos!$N$2:$N$11,"&gt;"&amp;Dados!$A1180,Projetos!$D$2:$D$11,"USD")</f>
        <v>0</v>
      </c>
      <c r="K1180" s="18">
        <f t="shared" ca="1" si="73"/>
        <v>1.4137037512357976E-8</v>
      </c>
    </row>
    <row r="1181" spans="1:11" x14ac:dyDescent="0.2">
      <c r="A1181" s="45">
        <f t="shared" ca="1" si="74"/>
        <v>1.8378148766065397E-8</v>
      </c>
      <c r="B1181" s="18">
        <f>-SUMIFS(Projetos!$F$2:$F$11,Projetos!$D$2:$D$11,"BRL",Projetos!$N$2:$N$11,Dados!$A1181)</f>
        <v>0</v>
      </c>
      <c r="C1181" s="45">
        <f ca="1">(A1181+B1181)*((Indicadores_Economicos!D$2+1)^(1/12)-1)</f>
        <v>6.0165276738638176E-11</v>
      </c>
      <c r="D1181" s="18">
        <f>SUMIFS(Projetos!$G$2:$G$11,Projetos!$K$2:$K$11,"&lt;="&amp;Dados!$A1181,Projetos!$N$2:$N$11,"&gt;"&amp;Dados!A1181,Projetos!$D$2:$D$11,"BRL")</f>
        <v>0</v>
      </c>
      <c r="E1181" s="18">
        <f t="shared" ca="1" si="72"/>
        <v>1.8438314042804036E-8</v>
      </c>
      <c r="G1181" s="45">
        <f t="shared" ca="1" si="75"/>
        <v>1.4137037512357976E-8</v>
      </c>
      <c r="H1181" s="18">
        <f>-SUMIFS(Projetos!$F$2:$F$11,Projetos!$D$2:$D$11,"USD",Projetos!$N$2:$N$11,Dados!$A1181)</f>
        <v>0</v>
      </c>
      <c r="I1181" s="45">
        <f ca="1">(G1181+H1181)*((Indicadores_Economicos!D$2+1)^(1/12)-1)</f>
        <v>4.6280982106644686E-11</v>
      </c>
      <c r="J1181" s="18">
        <f>SUMIFS(Projetos!$G$2:$G$11,Projetos!$K$2:$K$11,"&lt;="&amp;Dados!$A1181,Projetos!$N$2:$N$11,"&gt;"&amp;Dados!$A1181,Projetos!$D$2:$D$11,"USD")</f>
        <v>0</v>
      </c>
      <c r="K1181" s="18">
        <f t="shared" ca="1" si="73"/>
        <v>1.4183318494464621E-8</v>
      </c>
    </row>
    <row r="1182" spans="1:11" x14ac:dyDescent="0.2">
      <c r="A1182" s="45">
        <f t="shared" ca="1" si="74"/>
        <v>1.8438314042804036E-8</v>
      </c>
      <c r="B1182" s="18">
        <f>-SUMIFS(Projetos!$F$2:$F$11,Projetos!$D$2:$D$11,"BRL",Projetos!$N$2:$N$11,Dados!$A1182)</f>
        <v>0</v>
      </c>
      <c r="C1182" s="45">
        <f ca="1">(A1182+B1182)*((Indicadores_Economicos!D$2+1)^(1/12)-1)</f>
        <v>6.0362242198604476E-11</v>
      </c>
      <c r="D1182" s="18">
        <f>SUMIFS(Projetos!$G$2:$G$11,Projetos!$K$2:$K$11,"&lt;="&amp;Dados!$A1182,Projetos!$N$2:$N$11,"&gt;"&amp;Dados!A1182,Projetos!$D$2:$D$11,"BRL")</f>
        <v>0</v>
      </c>
      <c r="E1182" s="18">
        <f t="shared" ca="1" si="72"/>
        <v>1.849867628500264E-8</v>
      </c>
      <c r="G1182" s="45">
        <f t="shared" ca="1" si="75"/>
        <v>1.4183318494464621E-8</v>
      </c>
      <c r="H1182" s="18">
        <f>-SUMIFS(Projetos!$F$2:$F$11,Projetos!$D$2:$D$11,"USD",Projetos!$N$2:$N$11,Dados!$A1182)</f>
        <v>0</v>
      </c>
      <c r="I1182" s="45">
        <f ca="1">(G1182+H1182)*((Indicadores_Economicos!D$2+1)^(1/12)-1)</f>
        <v>4.6432493998926442E-11</v>
      </c>
      <c r="J1182" s="18">
        <f>SUMIFS(Projetos!$G$2:$G$11,Projetos!$K$2:$K$11,"&lt;="&amp;Dados!$A1182,Projetos!$N$2:$N$11,"&gt;"&amp;Dados!$A1182,Projetos!$D$2:$D$11,"USD")</f>
        <v>0</v>
      </c>
      <c r="K1182" s="18">
        <f t="shared" ca="1" si="73"/>
        <v>1.4229750988463548E-8</v>
      </c>
    </row>
    <row r="1183" spans="1:11" x14ac:dyDescent="0.2">
      <c r="A1183" s="45">
        <f t="shared" ca="1" si="74"/>
        <v>1.849867628500264E-8</v>
      </c>
      <c r="B1183" s="18">
        <f>-SUMIFS(Projetos!$F$2:$F$11,Projetos!$D$2:$D$11,"BRL",Projetos!$N$2:$N$11,Dados!$A1183)</f>
        <v>0</v>
      </c>
      <c r="C1183" s="45">
        <f ca="1">(A1183+B1183)*((Indicadores_Economicos!D$2+1)^(1/12)-1)</f>
        <v>6.0559852472232772E-11</v>
      </c>
      <c r="D1183" s="18">
        <f>SUMIFS(Projetos!$G$2:$G$11,Projetos!$K$2:$K$11,"&lt;="&amp;Dados!$A1183,Projetos!$N$2:$N$11,"&gt;"&amp;Dados!A1183,Projetos!$D$2:$D$11,"BRL")</f>
        <v>0</v>
      </c>
      <c r="E1183" s="18">
        <f t="shared" ca="1" si="72"/>
        <v>1.8559236137474873E-8</v>
      </c>
      <c r="G1183" s="45">
        <f t="shared" ca="1" si="75"/>
        <v>1.4229750988463548E-8</v>
      </c>
      <c r="H1183" s="18">
        <f>-SUMIFS(Projetos!$F$2:$F$11,Projetos!$D$2:$D$11,"USD",Projetos!$N$2:$N$11,Dados!$A1183)</f>
        <v>0</v>
      </c>
      <c r="I1183" s="45">
        <f ca="1">(G1183+H1183)*((Indicadores_Economicos!D$2+1)^(1/12)-1)</f>
        <v>4.658450190171744E-11</v>
      </c>
      <c r="J1183" s="18">
        <f>SUMIFS(Projetos!$G$2:$G$11,Projetos!$K$2:$K$11,"&lt;="&amp;Dados!$A1183,Projetos!$N$2:$N$11,"&gt;"&amp;Dados!$A1183,Projetos!$D$2:$D$11,"USD")</f>
        <v>0</v>
      </c>
      <c r="K1183" s="18">
        <f t="shared" ca="1" si="73"/>
        <v>1.4276335490365266E-8</v>
      </c>
    </row>
    <row r="1184" spans="1:11" x14ac:dyDescent="0.2">
      <c r="A1184" s="45">
        <f t="shared" ca="1" si="74"/>
        <v>1.8559236137474873E-8</v>
      </c>
      <c r="B1184" s="18">
        <f>-SUMIFS(Projetos!$F$2:$F$11,Projetos!$D$2:$D$11,"BRL",Projetos!$N$2:$N$11,Dados!$A1184)</f>
        <v>0</v>
      </c>
      <c r="C1184" s="45">
        <f ca="1">(A1184+B1184)*((Indicadores_Economicos!D$2+1)^(1/12)-1)</f>
        <v>6.0758109670475219E-11</v>
      </c>
      <c r="D1184" s="18">
        <f>SUMIFS(Projetos!$G$2:$G$11,Projetos!$K$2:$K$11,"&lt;="&amp;Dados!$A1184,Projetos!$N$2:$N$11,"&gt;"&amp;Dados!A1184,Projetos!$D$2:$D$11,"BRL")</f>
        <v>0</v>
      </c>
      <c r="E1184" s="18">
        <f t="shared" ca="1" si="72"/>
        <v>1.861999424714535E-8</v>
      </c>
      <c r="G1184" s="45">
        <f t="shared" ca="1" si="75"/>
        <v>1.4276335490365266E-8</v>
      </c>
      <c r="H1184" s="18">
        <f>-SUMIFS(Projetos!$F$2:$F$11,Projetos!$D$2:$D$11,"USD",Projetos!$N$2:$N$11,Dados!$A1184)</f>
        <v>0</v>
      </c>
      <c r="I1184" s="45">
        <f ca="1">(G1184+H1184)*((Indicadores_Economicos!D$2+1)^(1/12)-1)</f>
        <v>4.6737007438827021E-11</v>
      </c>
      <c r="J1184" s="18">
        <f>SUMIFS(Projetos!$G$2:$G$11,Projetos!$K$2:$K$11,"&lt;="&amp;Dados!$A1184,Projetos!$N$2:$N$11,"&gt;"&amp;Dados!$A1184,Projetos!$D$2:$D$11,"USD")</f>
        <v>0</v>
      </c>
      <c r="K1184" s="18">
        <f t="shared" ca="1" si="73"/>
        <v>1.4323072497804092E-8</v>
      </c>
    </row>
    <row r="1185" spans="1:11" x14ac:dyDescent="0.2">
      <c r="A1185" s="45">
        <f t="shared" ca="1" si="74"/>
        <v>1.861999424714535E-8</v>
      </c>
      <c r="B1185" s="18">
        <f>-SUMIFS(Projetos!$F$2:$F$11,Projetos!$D$2:$D$11,"BRL",Projetos!$N$2:$N$11,Dados!$A1185)</f>
        <v>0</v>
      </c>
      <c r="C1185" s="45">
        <f ca="1">(A1185+B1185)*((Indicadores_Economicos!D$2+1)^(1/12)-1)</f>
        <v>6.0957015911194663E-11</v>
      </c>
      <c r="D1185" s="18">
        <f>SUMIFS(Projetos!$G$2:$G$11,Projetos!$K$2:$K$11,"&lt;="&amp;Dados!$A1185,Projetos!$N$2:$N$11,"&gt;"&amp;Dados!A1185,Projetos!$D$2:$D$11,"BRL")</f>
        <v>0</v>
      </c>
      <c r="E1185" s="18">
        <f t="shared" ca="1" si="72"/>
        <v>1.8680951263056545E-8</v>
      </c>
      <c r="G1185" s="45">
        <f t="shared" ca="1" si="75"/>
        <v>1.4323072497804092E-8</v>
      </c>
      <c r="H1185" s="18">
        <f>-SUMIFS(Projetos!$F$2:$F$11,Projetos!$D$2:$D$11,"USD",Projetos!$N$2:$N$11,Dados!$A1185)</f>
        <v>0</v>
      </c>
      <c r="I1185" s="45">
        <f ca="1">(G1185+H1185)*((Indicadores_Economicos!D$2+1)^(1/12)-1)</f>
        <v>4.6890012239380434E-11</v>
      </c>
      <c r="J1185" s="18">
        <f>SUMIFS(Projetos!$G$2:$G$11,Projetos!$K$2:$K$11,"&lt;="&amp;Dados!$A1185,Projetos!$N$2:$N$11,"&gt;"&amp;Dados!$A1185,Projetos!$D$2:$D$11,"USD")</f>
        <v>0</v>
      </c>
      <c r="K1185" s="18">
        <f t="shared" ca="1" si="73"/>
        <v>1.4369962510043472E-8</v>
      </c>
    </row>
    <row r="1186" spans="1:11" x14ac:dyDescent="0.2">
      <c r="A1186" s="45">
        <f t="shared" ca="1" si="74"/>
        <v>1.8680951263056545E-8</v>
      </c>
      <c r="B1186" s="18">
        <f>-SUMIFS(Projetos!$F$2:$F$11,Projetos!$D$2:$D$11,"BRL",Projetos!$N$2:$N$11,Dados!$A1186)</f>
        <v>0</v>
      </c>
      <c r="C1186" s="45">
        <f ca="1">(A1186+B1186)*((Indicadores_Economicos!D$2+1)^(1/12)-1)</f>
        <v>6.1156573319187276E-11</v>
      </c>
      <c r="D1186" s="18">
        <f>SUMIFS(Projetos!$G$2:$G$11,Projetos!$K$2:$K$11,"&lt;="&amp;Dados!$A1186,Projetos!$N$2:$N$11,"&gt;"&amp;Dados!A1186,Projetos!$D$2:$D$11,"BRL")</f>
        <v>0</v>
      </c>
      <c r="E1186" s="18">
        <f t="shared" ca="1" si="72"/>
        <v>1.8742107836375732E-8</v>
      </c>
      <c r="G1186" s="45">
        <f t="shared" ca="1" si="75"/>
        <v>1.4369962510043472E-8</v>
      </c>
      <c r="H1186" s="18">
        <f>-SUMIFS(Projetos!$F$2:$F$11,Projetos!$D$2:$D$11,"USD",Projetos!$N$2:$N$11,Dados!$A1186)</f>
        <v>0</v>
      </c>
      <c r="I1186" s="45">
        <f ca="1">(G1186+H1186)*((Indicadores_Economicos!D$2+1)^(1/12)-1)</f>
        <v>4.704351793783628E-11</v>
      </c>
      <c r="J1186" s="18">
        <f>SUMIFS(Projetos!$G$2:$G$11,Projetos!$K$2:$K$11,"&lt;="&amp;Dados!$A1186,Projetos!$N$2:$N$11,"&gt;"&amp;Dados!$A1186,Projetos!$D$2:$D$11,"USD")</f>
        <v>0</v>
      </c>
      <c r="K1186" s="18">
        <f t="shared" ca="1" si="73"/>
        <v>1.4417006027981308E-8</v>
      </c>
    </row>
    <row r="1187" spans="1:11" x14ac:dyDescent="0.2">
      <c r="A1187" s="45">
        <f t="shared" ca="1" si="74"/>
        <v>1.8742107836375732E-8</v>
      </c>
      <c r="B1187" s="18">
        <f>-SUMIFS(Projetos!$F$2:$F$11,Projetos!$D$2:$D$11,"BRL",Projetos!$N$2:$N$11,Dados!$A1187)</f>
        <v>0</v>
      </c>
      <c r="C1187" s="45">
        <f ca="1">(A1187+B1187)*((Indicadores_Economicos!D$2+1)^(1/12)-1)</f>
        <v>6.1356784026205263E-11</v>
      </c>
      <c r="D1187" s="18">
        <f>SUMIFS(Projetos!$G$2:$G$11,Projetos!$K$2:$K$11,"&lt;="&amp;Dados!$A1187,Projetos!$N$2:$N$11,"&gt;"&amp;Dados!A1187,Projetos!$D$2:$D$11,"BRL")</f>
        <v>0</v>
      </c>
      <c r="E1187" s="18">
        <f t="shared" ca="1" si="72"/>
        <v>1.8803464620401936E-8</v>
      </c>
      <c r="G1187" s="45">
        <f t="shared" ca="1" si="75"/>
        <v>1.4417006027981308E-8</v>
      </c>
      <c r="H1187" s="18">
        <f>-SUMIFS(Projetos!$F$2:$F$11,Projetos!$D$2:$D$11,"USD",Projetos!$N$2:$N$11,Dados!$A1187)</f>
        <v>0</v>
      </c>
      <c r="I1187" s="45">
        <f ca="1">(G1187+H1187)*((Indicadores_Economicos!D$2+1)^(1/12)-1)</f>
        <v>4.7197526174003965E-11</v>
      </c>
      <c r="J1187" s="18">
        <f>SUMIFS(Projetos!$G$2:$G$11,Projetos!$K$2:$K$11,"&lt;="&amp;Dados!$A1187,Projetos!$N$2:$N$11,"&gt;"&amp;Dados!$A1187,Projetos!$D$2:$D$11,"USD")</f>
        <v>0</v>
      </c>
      <c r="K1187" s="18">
        <f t="shared" ca="1" si="73"/>
        <v>1.4464203554155311E-8</v>
      </c>
    </row>
    <row r="1188" spans="1:11" x14ac:dyDescent="0.2">
      <c r="A1188" s="45">
        <f t="shared" ca="1" si="74"/>
        <v>1.8803464620401936E-8</v>
      </c>
      <c r="B1188" s="18">
        <f>-SUMIFS(Projetos!$F$2:$F$11,Projetos!$D$2:$D$11,"BRL",Projetos!$N$2:$N$11,Dados!$A1188)</f>
        <v>0</v>
      </c>
      <c r="C1188" s="45">
        <f ca="1">(A1188+B1188)*((Indicadores_Economicos!D$2+1)^(1/12)-1)</f>
        <v>6.1557650170979621E-11</v>
      </c>
      <c r="D1188" s="18">
        <f>SUMIFS(Projetos!$G$2:$G$11,Projetos!$K$2:$K$11,"&lt;="&amp;Dados!$A1188,Projetos!$N$2:$N$11,"&gt;"&amp;Dados!A1188,Projetos!$D$2:$D$11,"BRL")</f>
        <v>0</v>
      </c>
      <c r="E1188" s="18">
        <f t="shared" ca="1" si="72"/>
        <v>1.8865022270572917E-8</v>
      </c>
      <c r="G1188" s="45">
        <f t="shared" ca="1" si="75"/>
        <v>1.4464203554155311E-8</v>
      </c>
      <c r="H1188" s="18">
        <f>-SUMIFS(Projetos!$F$2:$F$11,Projetos!$D$2:$D$11,"USD",Projetos!$N$2:$N$11,Dados!$A1188)</f>
        <v>0</v>
      </c>
      <c r="I1188" s="45">
        <f ca="1">(G1188+H1188)*((Indicadores_Economicos!D$2+1)^(1/12)-1)</f>
        <v>4.7352038593061173E-11</v>
      </c>
      <c r="J1188" s="18">
        <f>SUMIFS(Projetos!$G$2:$G$11,Projetos!$K$2:$K$11,"&lt;="&amp;Dados!$A1188,Projetos!$N$2:$N$11,"&gt;"&amp;Dados!$A1188,Projetos!$D$2:$D$11,"USD")</f>
        <v>0</v>
      </c>
      <c r="K1188" s="18">
        <f t="shared" ca="1" si="73"/>
        <v>1.4511555592748372E-8</v>
      </c>
    </row>
    <row r="1189" spans="1:11" x14ac:dyDescent="0.2">
      <c r="A1189" s="45">
        <f t="shared" ca="1" si="74"/>
        <v>1.8865022270572917E-8</v>
      </c>
      <c r="B1189" s="18">
        <f>-SUMIFS(Projetos!$F$2:$F$11,Projetos!$D$2:$D$11,"BRL",Projetos!$N$2:$N$11,Dados!$A1189)</f>
        <v>0</v>
      </c>
      <c r="C1189" s="45">
        <f ca="1">(A1189+B1189)*((Indicadores_Economicos!D$2+1)^(1/12)-1)</f>
        <v>6.1759173899243046E-11</v>
      </c>
      <c r="D1189" s="18">
        <f>SUMIFS(Projetos!$G$2:$G$11,Projetos!$K$2:$K$11,"&lt;="&amp;Dados!$A1189,Projetos!$N$2:$N$11,"&gt;"&amp;Dados!A1189,Projetos!$D$2:$D$11,"BRL")</f>
        <v>0</v>
      </c>
      <c r="E1189" s="18">
        <f t="shared" ca="1" si="72"/>
        <v>1.8926781444472159E-8</v>
      </c>
      <c r="G1189" s="45">
        <f t="shared" ca="1" si="75"/>
        <v>1.4511555592748372E-8</v>
      </c>
      <c r="H1189" s="18">
        <f>-SUMIFS(Projetos!$F$2:$F$11,Projetos!$D$2:$D$11,"USD",Projetos!$N$2:$N$11,Dados!$A1189)</f>
        <v>0</v>
      </c>
      <c r="I1189" s="45">
        <f ca="1">(G1189+H1189)*((Indicadores_Economicos!D$2+1)^(1/12)-1)</f>
        <v>4.7507056845571493E-11</v>
      </c>
      <c r="J1189" s="18">
        <f>SUMIFS(Projetos!$G$2:$G$11,Projetos!$K$2:$K$11,"&lt;="&amp;Dados!$A1189,Projetos!$N$2:$N$11,"&gt;"&amp;Dados!$A1189,Projetos!$D$2:$D$11,"USD")</f>
        <v>0</v>
      </c>
      <c r="K1189" s="18">
        <f t="shared" ca="1" si="73"/>
        <v>1.4559062649593944E-8</v>
      </c>
    </row>
    <row r="1190" spans="1:11" x14ac:dyDescent="0.2">
      <c r="A1190" s="45">
        <f t="shared" ca="1" si="74"/>
        <v>1.8926781444472159E-8</v>
      </c>
      <c r="B1190" s="18">
        <f>-SUMIFS(Projetos!$F$2:$F$11,Projetos!$D$2:$D$11,"BRL",Projetos!$N$2:$N$11,Dados!$A1190)</f>
        <v>0</v>
      </c>
      <c r="C1190" s="45">
        <f ca="1">(A1190+B1190)*((Indicadores_Economicos!D$2+1)^(1/12)-1)</f>
        <v>6.1961357363752739E-11</v>
      </c>
      <c r="D1190" s="18">
        <f>SUMIFS(Projetos!$G$2:$G$11,Projetos!$K$2:$K$11,"&lt;="&amp;Dados!$A1190,Projetos!$N$2:$N$11,"&gt;"&amp;Dados!A1190,Projetos!$D$2:$D$11,"BRL")</f>
        <v>0</v>
      </c>
      <c r="E1190" s="18">
        <f t="shared" ca="1" si="72"/>
        <v>1.898874280183591E-8</v>
      </c>
      <c r="G1190" s="45">
        <f t="shared" ca="1" si="75"/>
        <v>1.4559062649593944E-8</v>
      </c>
      <c r="H1190" s="18">
        <f>-SUMIFS(Projetos!$F$2:$F$11,Projetos!$D$2:$D$11,"USD",Projetos!$N$2:$N$11,Dados!$A1190)</f>
        <v>0</v>
      </c>
      <c r="I1190" s="45">
        <f ca="1">(G1190+H1190)*((Indicadores_Economicos!D$2+1)^(1/12)-1)</f>
        <v>4.7662582587502029E-11</v>
      </c>
      <c r="J1190" s="18">
        <f>SUMIFS(Projetos!$G$2:$G$11,Projetos!$K$2:$K$11,"&lt;="&amp;Dados!$A1190,Projetos!$N$2:$N$11,"&gt;"&amp;Dados!$A1190,Projetos!$D$2:$D$11,"USD")</f>
        <v>0</v>
      </c>
      <c r="K1190" s="18">
        <f t="shared" ca="1" si="73"/>
        <v>1.4606725232181447E-8</v>
      </c>
    </row>
    <row r="1191" spans="1:11" x14ac:dyDescent="0.2">
      <c r="A1191" s="45">
        <f t="shared" ca="1" si="74"/>
        <v>1.898874280183591E-8</v>
      </c>
      <c r="B1191" s="18">
        <f>-SUMIFS(Projetos!$F$2:$F$11,Projetos!$D$2:$D$11,"BRL",Projetos!$N$2:$N$11,Dados!$A1191)</f>
        <v>0</v>
      </c>
      <c r="C1191" s="45">
        <f ca="1">(A1191+B1191)*((Indicadores_Economicos!D$2+1)^(1/12)-1)</f>
        <v>6.2164202724313495E-11</v>
      </c>
      <c r="D1191" s="18">
        <f>SUMIFS(Projetos!$G$2:$G$11,Projetos!$K$2:$K$11,"&lt;="&amp;Dados!$A1191,Projetos!$N$2:$N$11,"&gt;"&amp;Dados!A1191,Projetos!$D$2:$D$11,"BRL")</f>
        <v>0</v>
      </c>
      <c r="E1191" s="18">
        <f t="shared" ca="1" si="72"/>
        <v>1.9050907004560223E-8</v>
      </c>
      <c r="G1191" s="45">
        <f t="shared" ca="1" si="75"/>
        <v>1.4606725232181447E-8</v>
      </c>
      <c r="H1191" s="18">
        <f>-SUMIFS(Projetos!$F$2:$F$11,Projetos!$D$2:$D$11,"USD",Projetos!$N$2:$N$11,Dados!$A1191)</f>
        <v>0</v>
      </c>
      <c r="I1191" s="45">
        <f ca="1">(G1191+H1191)*((Indicadores_Economicos!D$2+1)^(1/12)-1)</f>
        <v>4.7818617480241075E-11</v>
      </c>
      <c r="J1191" s="18">
        <f>SUMIFS(Projetos!$G$2:$G$11,Projetos!$K$2:$K$11,"&lt;="&amp;Dados!$A1191,Projetos!$N$2:$N$11,"&gt;"&amp;Dados!$A1191,Projetos!$D$2:$D$11,"USD")</f>
        <v>0</v>
      </c>
      <c r="K1191" s="18">
        <f t="shared" ca="1" si="73"/>
        <v>1.4654543849661687E-8</v>
      </c>
    </row>
    <row r="1192" spans="1:11" x14ac:dyDescent="0.2">
      <c r="A1192" s="45">
        <f t="shared" ca="1" si="74"/>
        <v>1.9050907004560223E-8</v>
      </c>
      <c r="B1192" s="18">
        <f>-SUMIFS(Projetos!$F$2:$F$11,Projetos!$D$2:$D$11,"BRL",Projetos!$N$2:$N$11,Dados!$A1192)</f>
        <v>0</v>
      </c>
      <c r="C1192" s="45">
        <f ca="1">(A1192+B1192)*((Indicadores_Economicos!D$2+1)^(1/12)-1)</f>
        <v>6.2367712147800759E-11</v>
      </c>
      <c r="D1192" s="18">
        <f>SUMIFS(Projetos!$G$2:$G$11,Projetos!$K$2:$K$11,"&lt;="&amp;Dados!$A1192,Projetos!$N$2:$N$11,"&gt;"&amp;Dados!A1192,Projetos!$D$2:$D$11,"BRL")</f>
        <v>0</v>
      </c>
      <c r="E1192" s="18">
        <f t="shared" ca="1" si="72"/>
        <v>1.9113274716708023E-8</v>
      </c>
      <c r="G1192" s="45">
        <f t="shared" ca="1" si="75"/>
        <v>1.4654543849661687E-8</v>
      </c>
      <c r="H1192" s="18">
        <f>-SUMIFS(Projetos!$F$2:$F$11,Projetos!$D$2:$D$11,"USD",Projetos!$N$2:$N$11,Dados!$A1192)</f>
        <v>0</v>
      </c>
      <c r="I1192" s="45">
        <f ca="1">(G1192+H1192)*((Indicadores_Economicos!D$2+1)^(1/12)-1)</f>
        <v>4.7975163190615893E-11</v>
      </c>
      <c r="J1192" s="18">
        <f>SUMIFS(Projetos!$G$2:$G$11,Projetos!$K$2:$K$11,"&lt;="&amp;Dados!$A1192,Projetos!$N$2:$N$11,"&gt;"&amp;Dados!$A1192,Projetos!$D$2:$D$11,"USD")</f>
        <v>0</v>
      </c>
      <c r="K1192" s="18">
        <f t="shared" ca="1" si="73"/>
        <v>1.4702519012852302E-8</v>
      </c>
    </row>
    <row r="1193" spans="1:11" x14ac:dyDescent="0.2">
      <c r="A1193" s="45">
        <f t="shared" ca="1" si="74"/>
        <v>1.9113274716708023E-8</v>
      </c>
      <c r="B1193" s="18">
        <f>-SUMIFS(Projetos!$F$2:$F$11,Projetos!$D$2:$D$11,"BRL",Projetos!$N$2:$N$11,Dados!$A1193)</f>
        <v>0</v>
      </c>
      <c r="C1193" s="45">
        <f ca="1">(A1193+B1193)*((Indicadores_Economicos!D$2+1)^(1/12)-1)</f>
        <v>6.2571887808183745E-11</v>
      </c>
      <c r="D1193" s="18">
        <f>SUMIFS(Projetos!$G$2:$G$11,Projetos!$K$2:$K$11,"&lt;="&amp;Dados!$A1193,Projetos!$N$2:$N$11,"&gt;"&amp;Dados!A1193,Projetos!$D$2:$D$11,"BRL")</f>
        <v>0</v>
      </c>
      <c r="E1193" s="18">
        <f t="shared" ca="1" si="72"/>
        <v>1.9175846604516207E-8</v>
      </c>
      <c r="G1193" s="45">
        <f t="shared" ca="1" si="75"/>
        <v>1.4702519012852302E-8</v>
      </c>
      <c r="H1193" s="18">
        <f>-SUMIFS(Projetos!$F$2:$F$11,Projetos!$D$2:$D$11,"USD",Projetos!$N$2:$N$11,Dados!$A1193)</f>
        <v>0</v>
      </c>
      <c r="I1193" s="45">
        <f ca="1">(G1193+H1193)*((Indicadores_Economicos!D$2+1)^(1/12)-1)</f>
        <v>4.8132221390910496E-11</v>
      </c>
      <c r="J1193" s="18">
        <f>SUMIFS(Projetos!$G$2:$G$11,Projetos!$K$2:$K$11,"&lt;="&amp;Dados!$A1193,Projetos!$N$2:$N$11,"&gt;"&amp;Dados!$A1193,Projetos!$D$2:$D$11,"USD")</f>
        <v>0</v>
      </c>
      <c r="K1193" s="18">
        <f t="shared" ca="1" si="73"/>
        <v>1.4750651234243213E-8</v>
      </c>
    </row>
    <row r="1194" spans="1:11" x14ac:dyDescent="0.2">
      <c r="A1194" s="45">
        <f t="shared" ca="1" si="74"/>
        <v>1.9175846604516207E-8</v>
      </c>
      <c r="B1194" s="18">
        <f>-SUMIFS(Projetos!$F$2:$F$11,Projetos!$D$2:$D$11,"BRL",Projetos!$N$2:$N$11,Dados!$A1194)</f>
        <v>0</v>
      </c>
      <c r="C1194" s="45">
        <f ca="1">(A1194+B1194)*((Indicadores_Economicos!D$2+1)^(1/12)-1)</f>
        <v>6.2776731886548679E-11</v>
      </c>
      <c r="D1194" s="18">
        <f>SUMIFS(Projetos!$G$2:$G$11,Projetos!$K$2:$K$11,"&lt;="&amp;Dados!$A1194,Projetos!$N$2:$N$11,"&gt;"&amp;Dados!A1194,Projetos!$D$2:$D$11,"BRL")</f>
        <v>0</v>
      </c>
      <c r="E1194" s="18">
        <f t="shared" ca="1" si="72"/>
        <v>1.9238623336402755E-8</v>
      </c>
      <c r="G1194" s="45">
        <f t="shared" ca="1" si="75"/>
        <v>1.4750651234243213E-8</v>
      </c>
      <c r="H1194" s="18">
        <f>-SUMIFS(Projetos!$F$2:$F$11,Projetos!$D$2:$D$11,"USD",Projetos!$N$2:$N$11,Dados!$A1194)</f>
        <v>0</v>
      </c>
      <c r="I1194" s="45">
        <f ca="1">(G1194+H1194)*((Indicadores_Economicos!D$2+1)^(1/12)-1)</f>
        <v>4.8289793758883526E-11</v>
      </c>
      <c r="J1194" s="18">
        <f>SUMIFS(Projetos!$G$2:$G$11,Projetos!$K$2:$K$11,"&lt;="&amp;Dados!$A1194,Projetos!$N$2:$N$11,"&gt;"&amp;Dados!$A1194,Projetos!$D$2:$D$11,"USD")</f>
        <v>0</v>
      </c>
      <c r="K1194" s="18">
        <f t="shared" ca="1" si="73"/>
        <v>1.4798941028002097E-8</v>
      </c>
    </row>
    <row r="1195" spans="1:11" x14ac:dyDescent="0.2">
      <c r="A1195" s="45">
        <f t="shared" ca="1" si="74"/>
        <v>1.9238623336402755E-8</v>
      </c>
      <c r="B1195" s="18">
        <f>-SUMIFS(Projetos!$F$2:$F$11,Projetos!$D$2:$D$11,"BRL",Projetos!$N$2:$N$11,Dados!$A1195)</f>
        <v>0</v>
      </c>
      <c r="C1195" s="45">
        <f ca="1">(A1195+B1195)*((Indicadores_Economicos!D$2+1)^(1/12)-1)</f>
        <v>6.2982246571122113E-11</v>
      </c>
      <c r="D1195" s="18">
        <f>SUMIFS(Projetos!$G$2:$G$11,Projetos!$K$2:$K$11,"&lt;="&amp;Dados!$A1195,Projetos!$N$2:$N$11,"&gt;"&amp;Dados!A1195,Projetos!$D$2:$D$11,"BRL")</f>
        <v>0</v>
      </c>
      <c r="E1195" s="18">
        <f t="shared" ca="1" si="72"/>
        <v>1.9301605582973876E-8</v>
      </c>
      <c r="G1195" s="45">
        <f t="shared" ca="1" si="75"/>
        <v>1.4798941028002097E-8</v>
      </c>
      <c r="H1195" s="18">
        <f>-SUMIFS(Projetos!$F$2:$F$11,Projetos!$D$2:$D$11,"USD",Projetos!$N$2:$N$11,Dados!$A1195)</f>
        <v>0</v>
      </c>
      <c r="I1195" s="45">
        <f ca="1">(G1195+H1195)*((Indicadores_Economicos!D$2+1)^(1/12)-1)</f>
        <v>4.8447881977786165E-11</v>
      </c>
      <c r="J1195" s="18">
        <f>SUMIFS(Projetos!$G$2:$G$11,Projetos!$K$2:$K$11,"&lt;="&amp;Dados!$A1195,Projetos!$N$2:$N$11,"&gt;"&amp;Dados!$A1195,Projetos!$D$2:$D$11,"USD")</f>
        <v>0</v>
      </c>
      <c r="K1195" s="18">
        <f t="shared" ca="1" si="73"/>
        <v>1.4847388909979883E-8</v>
      </c>
    </row>
    <row r="1196" spans="1:11" x14ac:dyDescent="0.2">
      <c r="A1196" s="45">
        <f t="shared" ca="1" si="74"/>
        <v>1.9301605582973876E-8</v>
      </c>
      <c r="B1196" s="18">
        <f>-SUMIFS(Projetos!$F$2:$F$11,Projetos!$D$2:$D$11,"BRL",Projetos!$N$2:$N$11,Dados!$A1196)</f>
        <v>0</v>
      </c>
      <c r="C1196" s="45">
        <f ca="1">(A1196+B1196)*((Indicadores_Economicos!D$2+1)^(1/12)-1)</f>
        <v>6.3188434057294256E-11</v>
      </c>
      <c r="D1196" s="18">
        <f>SUMIFS(Projetos!$G$2:$G$11,Projetos!$K$2:$K$11,"&lt;="&amp;Dados!$A1196,Projetos!$N$2:$N$11,"&gt;"&amp;Dados!A1196,Projetos!$D$2:$D$11,"BRL")</f>
        <v>0</v>
      </c>
      <c r="E1196" s="18">
        <f t="shared" ca="1" si="72"/>
        <v>1.9364794017031171E-8</v>
      </c>
      <c r="G1196" s="45">
        <f t="shared" ca="1" si="75"/>
        <v>1.4847388909979883E-8</v>
      </c>
      <c r="H1196" s="18">
        <f>-SUMIFS(Projetos!$F$2:$F$11,Projetos!$D$2:$D$11,"USD",Projetos!$N$2:$N$11,Dados!$A1196)</f>
        <v>0</v>
      </c>
      <c r="I1196" s="45">
        <f ca="1">(G1196+H1196)*((Indicadores_Economicos!D$2+1)^(1/12)-1)</f>
        <v>4.860648773638012E-11</v>
      </c>
      <c r="J1196" s="18">
        <f>SUMIFS(Projetos!$G$2:$G$11,Projetos!$K$2:$K$11,"&lt;="&amp;Dados!$A1196,Projetos!$N$2:$N$11,"&gt;"&amp;Dados!$A1196,Projetos!$D$2:$D$11,"USD")</f>
        <v>0</v>
      </c>
      <c r="K1196" s="18">
        <f t="shared" ca="1" si="73"/>
        <v>1.4895995397716264E-8</v>
      </c>
    </row>
    <row r="1197" spans="1:11" x14ac:dyDescent="0.2">
      <c r="A1197" s="45">
        <f t="shared" ca="1" si="74"/>
        <v>1.9364794017031171E-8</v>
      </c>
      <c r="B1197" s="18">
        <f>-SUMIFS(Projetos!$F$2:$F$11,Projetos!$D$2:$D$11,"BRL",Projetos!$N$2:$N$11,Dados!$A1197)</f>
        <v>0</v>
      </c>
      <c r="C1197" s="45">
        <f ca="1">(A1197+B1197)*((Indicadores_Economicos!D$2+1)^(1/12)-1)</f>
        <v>6.3395296547642467E-11</v>
      </c>
      <c r="D1197" s="18">
        <f>SUMIFS(Projetos!$G$2:$G$11,Projetos!$K$2:$K$11,"&lt;="&amp;Dados!$A1197,Projetos!$N$2:$N$11,"&gt;"&amp;Dados!A1197,Projetos!$D$2:$D$11,"BRL")</f>
        <v>0</v>
      </c>
      <c r="E1197" s="18">
        <f t="shared" ca="1" si="72"/>
        <v>1.9428189313578814E-8</v>
      </c>
      <c r="G1197" s="45">
        <f t="shared" ca="1" si="75"/>
        <v>1.4895995397716264E-8</v>
      </c>
      <c r="H1197" s="18">
        <f>-SUMIFS(Projetos!$F$2:$F$11,Projetos!$D$2:$D$11,"USD",Projetos!$N$2:$N$11,Dados!$A1197)</f>
        <v>0</v>
      </c>
      <c r="I1197" s="45">
        <f ca="1">(G1197+H1197)*((Indicadores_Economicos!D$2+1)^(1/12)-1)</f>
        <v>4.8765612728955671E-11</v>
      </c>
      <c r="J1197" s="18">
        <f>SUMIFS(Projetos!$G$2:$G$11,Projetos!$K$2:$K$11,"&lt;="&amp;Dados!$A1197,Projetos!$N$2:$N$11,"&gt;"&amp;Dados!$A1197,Projetos!$D$2:$D$11,"USD")</f>
        <v>0</v>
      </c>
      <c r="K1197" s="18">
        <f t="shared" ca="1" si="73"/>
        <v>1.4944761010445219E-8</v>
      </c>
    </row>
    <row r="1198" spans="1:11" x14ac:dyDescent="0.2">
      <c r="A1198" s="45">
        <f t="shared" ca="1" si="74"/>
        <v>1.9428189313578814E-8</v>
      </c>
      <c r="B1198" s="18">
        <f>-SUMIFS(Projetos!$F$2:$F$11,Projetos!$D$2:$D$11,"BRL",Projetos!$N$2:$N$11,Dados!$A1198)</f>
        <v>0</v>
      </c>
      <c r="C1198" s="45">
        <f ca="1">(A1198+B1198)*((Indicadores_Economicos!D$2+1)^(1/12)-1)</f>
        <v>6.3602836251954782E-11</v>
      </c>
      <c r="D1198" s="18">
        <f>SUMIFS(Projetos!$G$2:$G$11,Projetos!$K$2:$K$11,"&lt;="&amp;Dados!$A1198,Projetos!$N$2:$N$11,"&gt;"&amp;Dados!A1198,Projetos!$D$2:$D$11,"BRL")</f>
        <v>0</v>
      </c>
      <c r="E1198" s="18">
        <f t="shared" ca="1" si="72"/>
        <v>1.9491792149830768E-8</v>
      </c>
      <c r="G1198" s="45">
        <f t="shared" ca="1" si="75"/>
        <v>1.4944761010445219E-8</v>
      </c>
      <c r="H1198" s="18">
        <f>-SUMIFS(Projetos!$F$2:$F$11,Projetos!$D$2:$D$11,"USD",Projetos!$N$2:$N$11,Dados!$A1198)</f>
        <v>0</v>
      </c>
      <c r="I1198" s="45">
        <f ca="1">(G1198+H1198)*((Indicadores_Economicos!D$2+1)^(1/12)-1)</f>
        <v>4.8925258655349759E-11</v>
      </c>
      <c r="J1198" s="18">
        <f>SUMIFS(Projetos!$G$2:$G$11,Projetos!$K$2:$K$11,"&lt;="&amp;Dados!$A1198,Projetos!$N$2:$N$11,"&gt;"&amp;Dados!$A1198,Projetos!$D$2:$D$11,"USD")</f>
        <v>0</v>
      </c>
      <c r="K1198" s="18">
        <f t="shared" ca="1" si="73"/>
        <v>1.4993686269100568E-8</v>
      </c>
    </row>
    <row r="1199" spans="1:11" x14ac:dyDescent="0.2">
      <c r="A1199" s="45">
        <f t="shared" ca="1" si="74"/>
        <v>1.9491792149830768E-8</v>
      </c>
      <c r="B1199" s="18">
        <f>-SUMIFS(Projetos!$F$2:$F$11,Projetos!$D$2:$D$11,"BRL",Projetos!$N$2:$N$11,Dados!$A1199)</f>
        <v>0</v>
      </c>
      <c r="C1199" s="45">
        <f ca="1">(A1199+B1199)*((Indicadores_Economicos!D$2+1)^(1/12)-1)</f>
        <v>6.3811055387253488E-11</v>
      </c>
      <c r="D1199" s="18">
        <f>SUMIFS(Projetos!$G$2:$G$11,Projetos!$K$2:$K$11,"&lt;="&amp;Dados!$A1199,Projetos!$N$2:$N$11,"&gt;"&amp;Dados!A1199,Projetos!$D$2:$D$11,"BRL")</f>
        <v>0</v>
      </c>
      <c r="E1199" s="18">
        <f t="shared" ca="1" si="72"/>
        <v>1.955560320521802E-8</v>
      </c>
      <c r="G1199" s="45">
        <f t="shared" ca="1" si="75"/>
        <v>1.4993686269100568E-8</v>
      </c>
      <c r="H1199" s="18">
        <f>-SUMIFS(Projetos!$F$2:$F$11,Projetos!$D$2:$D$11,"USD",Projetos!$N$2:$N$11,Dados!$A1199)</f>
        <v>0</v>
      </c>
      <c r="I1199" s="45">
        <f ca="1">(G1199+H1199)*((Indicadores_Economicos!D$2+1)^(1/12)-1)</f>
        <v>4.9085427220964148E-11</v>
      </c>
      <c r="J1199" s="18">
        <f>SUMIFS(Projetos!$G$2:$G$11,Projetos!$K$2:$K$11,"&lt;="&amp;Dados!$A1199,Projetos!$N$2:$N$11,"&gt;"&amp;Dados!$A1199,Projetos!$D$2:$D$11,"USD")</f>
        <v>0</v>
      </c>
      <c r="K1199" s="18">
        <f t="shared" ca="1" si="73"/>
        <v>1.5042771696321534E-8</v>
      </c>
    </row>
    <row r="1200" spans="1:11" x14ac:dyDescent="0.2">
      <c r="A1200" s="45">
        <f t="shared" ca="1" si="74"/>
        <v>1.955560320521802E-8</v>
      </c>
      <c r="B1200" s="18">
        <f>-SUMIFS(Projetos!$F$2:$F$11,Projetos!$D$2:$D$11,"BRL",Projetos!$N$2:$N$11,Dados!$A1200)</f>
        <v>0</v>
      </c>
      <c r="C1200" s="45">
        <f ca="1">(A1200+B1200)*((Indicadores_Economicos!D$2+1)^(1/12)-1)</f>
        <v>6.4019956177818838E-11</v>
      </c>
      <c r="D1200" s="18">
        <f>SUMIFS(Projetos!$G$2:$G$11,Projetos!$K$2:$K$11,"&lt;="&amp;Dados!$A1200,Projetos!$N$2:$N$11,"&gt;"&amp;Dados!A1200,Projetos!$D$2:$D$11,"BRL")</f>
        <v>0</v>
      </c>
      <c r="E1200" s="18">
        <f t="shared" ca="1" si="72"/>
        <v>1.961962316139584E-8</v>
      </c>
      <c r="G1200" s="45">
        <f t="shared" ca="1" si="75"/>
        <v>1.5042771696321534E-8</v>
      </c>
      <c r="H1200" s="18">
        <f>-SUMIFS(Projetos!$F$2:$F$11,Projetos!$D$2:$D$11,"USD",Projetos!$N$2:$N$11,Dados!$A1200)</f>
        <v>0</v>
      </c>
      <c r="I1200" s="45">
        <f ca="1">(G1200+H1200)*((Indicadores_Economicos!D$2+1)^(1/12)-1)</f>
        <v>4.9246120136783653E-11</v>
      </c>
      <c r="J1200" s="18">
        <f>SUMIFS(Projetos!$G$2:$G$11,Projetos!$K$2:$K$11,"&lt;="&amp;Dados!$A1200,Projetos!$N$2:$N$11,"&gt;"&amp;Dados!$A1200,Projetos!$D$2:$D$11,"USD")</f>
        <v>0</v>
      </c>
      <c r="K1200" s="18">
        <f t="shared" ca="1" si="73"/>
        <v>1.5092017816458316E-8</v>
      </c>
    </row>
    <row r="1201" spans="1:11" x14ac:dyDescent="0.2">
      <c r="A1201" s="45">
        <f t="shared" ca="1" si="74"/>
        <v>1.961962316139584E-8</v>
      </c>
      <c r="B1201" s="18">
        <f>-SUMIFS(Projetos!$F$2:$F$11,Projetos!$D$2:$D$11,"BRL",Projetos!$N$2:$N$11,Dados!$A1201)</f>
        <v>0</v>
      </c>
      <c r="C1201" s="45">
        <f ca="1">(A1201+B1201)*((Indicadores_Economicos!D$2+1)^(1/12)-1)</f>
        <v>6.4229540855212794E-11</v>
      </c>
      <c r="D1201" s="18">
        <f>SUMIFS(Projetos!$G$2:$G$11,Projetos!$K$2:$K$11,"&lt;="&amp;Dados!$A1201,Projetos!$N$2:$N$11,"&gt;"&amp;Dados!A1201,Projetos!$D$2:$D$11,"BRL")</f>
        <v>0</v>
      </c>
      <c r="E1201" s="18">
        <f t="shared" ca="1" si="72"/>
        <v>1.9683852702251053E-8</v>
      </c>
      <c r="G1201" s="45">
        <f t="shared" ca="1" si="75"/>
        <v>1.5092017816458316E-8</v>
      </c>
      <c r="H1201" s="18">
        <f>-SUMIFS(Projetos!$F$2:$F$11,Projetos!$D$2:$D$11,"USD",Projetos!$N$2:$N$11,Dados!$A1201)</f>
        <v>0</v>
      </c>
      <c r="I1201" s="45">
        <f ca="1">(G1201+H1201)*((Indicadores_Economicos!D$2+1)^(1/12)-1)</f>
        <v>4.9407339119394386E-11</v>
      </c>
      <c r="J1201" s="18">
        <f>SUMIFS(Projetos!$G$2:$G$11,Projetos!$K$2:$K$11,"&lt;="&amp;Dados!$A1201,Projetos!$N$2:$N$11,"&gt;"&amp;Dados!$A1201,Projetos!$D$2:$D$11,"USD")</f>
        <v>0</v>
      </c>
      <c r="K1201" s="18">
        <f t="shared" ca="1" si="73"/>
        <v>1.5141425155577711E-8</v>
      </c>
    </row>
  </sheetData>
  <conditionalFormatting sqref="B1">
    <cfRule type="cellIs" dxfId="5" priority="3" operator="lessThan">
      <formula>0</formula>
    </cfRule>
  </conditionalFormatting>
  <conditionalFormatting sqref="H1">
    <cfRule type="cellIs" dxfId="4" priority="1" operator="lessThan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FB3A-D622-024D-96E8-5C2FA7024F68}">
  <sheetPr codeName="Planilha3"/>
  <dimension ref="A1:AG1231"/>
  <sheetViews>
    <sheetView zoomScale="125" zoomScaleNormal="125" workbookViewId="0">
      <pane xSplit="3" ySplit="1" topLeftCell="T1186" activePane="bottomRight" state="frozen"/>
      <selection pane="topRight" activeCell="D1" sqref="D1"/>
      <selection pane="bottomLeft" activeCell="A2" sqref="A2"/>
      <selection pane="bottomRight" activeCell="Z1205" sqref="Z1205"/>
    </sheetView>
  </sheetViews>
  <sheetFormatPr baseColWidth="10" defaultRowHeight="16" outlineLevelCol="1" x14ac:dyDescent="0.2"/>
  <cols>
    <col min="1" max="1" width="7.33203125" style="3" bestFit="1" customWidth="1"/>
    <col min="2" max="2" width="9.1640625" style="3" bestFit="1" customWidth="1"/>
    <col min="3" max="3" width="5.1640625" style="3" bestFit="1" customWidth="1"/>
    <col min="4" max="4" width="11.5" style="5" customWidth="1" outlineLevel="1"/>
    <col min="5" max="5" width="15.6640625" style="18" customWidth="1" outlineLevel="1"/>
    <col min="6" max="6" width="15.6640625" style="5" customWidth="1" outlineLevel="1"/>
    <col min="7" max="7" width="11.5" style="5" customWidth="1" outlineLevel="1"/>
    <col min="8" max="8" width="11.5" style="18" customWidth="1" outlineLevel="1"/>
    <col min="9" max="13" width="20.33203125" style="18" customWidth="1" outlineLevel="1"/>
    <col min="14" max="14" width="14.33203125" style="18" bestFit="1" customWidth="1"/>
    <col min="15" max="15" width="17.5" style="18" hidden="1" customWidth="1" outlineLevel="1"/>
    <col min="16" max="16" width="15.33203125" style="18" hidden="1" customWidth="1" outlineLevel="1"/>
    <col min="17" max="18" width="16.5" style="18" hidden="1" customWidth="1" outlineLevel="1"/>
    <col min="19" max="19" width="16.33203125" style="18" customWidth="1" collapsed="1"/>
    <col min="20" max="20" width="13.5" style="18" customWidth="1"/>
    <col min="21" max="21" width="13.5" style="18" bestFit="1" customWidth="1"/>
    <col min="22" max="22" width="13.83203125" style="18" customWidth="1"/>
    <col min="23" max="23" width="13.5" style="18" customWidth="1"/>
    <col min="24" max="24" width="14.33203125" style="18" bestFit="1" customWidth="1"/>
    <col min="25" max="25" width="11" style="18" bestFit="1" customWidth="1"/>
    <col min="26" max="26" width="14.33203125" style="18" bestFit="1" customWidth="1"/>
    <col min="27" max="27" width="15" style="3" bestFit="1" customWidth="1"/>
    <col min="28" max="28" width="15" style="3" customWidth="1"/>
    <col min="29" max="29" width="13.5" style="3" bestFit="1" customWidth="1"/>
    <col min="30" max="30" width="13.1640625" style="3" bestFit="1" customWidth="1"/>
    <col min="31" max="31" width="16.5" style="3" bestFit="1" customWidth="1"/>
    <col min="32" max="32" width="14.6640625" style="3" bestFit="1" customWidth="1"/>
    <col min="33" max="33" width="11.1640625" style="3" bestFit="1" customWidth="1"/>
    <col min="34" max="16384" width="10.83203125" style="3"/>
  </cols>
  <sheetData>
    <row r="1" spans="1:32" x14ac:dyDescent="0.2">
      <c r="A1" s="7" t="s">
        <v>46</v>
      </c>
      <c r="B1" s="7" t="s">
        <v>47</v>
      </c>
      <c r="C1" s="7" t="s">
        <v>48</v>
      </c>
      <c r="D1" s="50" t="s">
        <v>174</v>
      </c>
      <c r="E1" s="40" t="s">
        <v>175</v>
      </c>
      <c r="F1" s="50" t="s">
        <v>192</v>
      </c>
      <c r="G1" s="50" t="s">
        <v>191</v>
      </c>
      <c r="H1" s="40" t="s">
        <v>218</v>
      </c>
      <c r="I1" s="21" t="s">
        <v>206</v>
      </c>
      <c r="J1" s="21" t="s">
        <v>207</v>
      </c>
      <c r="K1" s="21" t="s">
        <v>208</v>
      </c>
      <c r="L1" s="21" t="s">
        <v>209</v>
      </c>
      <c r="M1" s="21" t="s">
        <v>210</v>
      </c>
      <c r="N1" s="20" t="s">
        <v>63</v>
      </c>
      <c r="O1" s="23" t="s">
        <v>199</v>
      </c>
      <c r="P1" s="23" t="s">
        <v>200</v>
      </c>
      <c r="Q1" s="23" t="s">
        <v>229</v>
      </c>
      <c r="R1" s="23" t="s">
        <v>114</v>
      </c>
      <c r="S1" s="24" t="s">
        <v>92</v>
      </c>
      <c r="T1" s="25" t="s">
        <v>119</v>
      </c>
      <c r="U1" s="25" t="s">
        <v>57</v>
      </c>
      <c r="V1" s="22" t="s">
        <v>93</v>
      </c>
      <c r="W1" s="25" t="s">
        <v>104</v>
      </c>
      <c r="X1" s="25" t="s">
        <v>58</v>
      </c>
      <c r="Y1" s="25" t="s">
        <v>59</v>
      </c>
      <c r="Z1" s="25" t="s">
        <v>60</v>
      </c>
      <c r="AA1" s="11" t="s">
        <v>237</v>
      </c>
      <c r="AB1" s="11" t="s">
        <v>238</v>
      </c>
      <c r="AC1" s="11" t="s">
        <v>106</v>
      </c>
      <c r="AD1" s="11" t="s">
        <v>103</v>
      </c>
    </row>
    <row r="2" spans="1:32" x14ac:dyDescent="0.2">
      <c r="A2" s="4">
        <v>45658</v>
      </c>
      <c r="B2" s="5" t="str">
        <f>TEXT(A2,"MMMM")</f>
        <v>janeiro</v>
      </c>
      <c r="C2" s="5" t="str">
        <f>TEXT(A2,"AAAA")</f>
        <v>2025</v>
      </c>
      <c r="D2" s="14">
        <f>SUMIFS(Despesas!$F:$F,Despesas!$J:$J,"&lt;="&amp;$A2,Despesas!$L:$L,"&gt;="&amp;$A2,Despesas!$C:$C,D$1,Despesas!$M:$M,"Mensal")+SUMIFS(Despesas!$F:$F,Despesas!$J:$J,"&lt;="&amp;$A2,Despesas!$L:$L,"&gt;="&amp;$A2,Despesas!$C:$C,D$1,Despesas!$M:$M,$B2)</f>
        <v>23000</v>
      </c>
      <c r="E2" s="49">
        <f>SUMIFS(Despesas!$F:$F,Despesas!$J:$J,"&lt;="&amp;$A2,Despesas!$L:$L,"&gt;="&amp;$A2,Despesas!$C:$C,E$1,Despesas!$M:$M,"Mensal")+SUMIFS(Despesas!$F:$F,Despesas!$J:$J,"&lt;="&amp;$A2,Despesas!$L:$L,"&gt;="&amp;$A2,Despesas!$C:$C,E$1,Despesas!$M:$M,$B2)</f>
        <v>15000</v>
      </c>
      <c r="F2" s="14">
        <f>SUMIFS(Despesas!$F:$F,Despesas!$J:$J,"&lt;="&amp;$A2,Despesas!$L:$L,"&gt;="&amp;$A2,Despesas!$C:$C,F$1,Despesas!$M:$M,"Mensal")+SUMIFS(Despesas!$F:$F,Despesas!$J:$J,"&lt;="&amp;$A2,Despesas!$L:$L,"&gt;="&amp;$A2,Despesas!$C:$C,F$1,Despesas!$M:$M,$B2)</f>
        <v>13000</v>
      </c>
      <c r="G2" s="14">
        <f>SUMIFS(Despesas!$F:$F,Despesas!$J:$J,"&lt;="&amp;$A2,Despesas!$L:$L,"&gt;="&amp;$A2,Despesas!$C:$C,G$1,Despesas!$M:$M,"Mensal")+SUMIFS(Despesas!$F:$F,Despesas!$J:$J,"&lt;="&amp;$A2,Despesas!$L:$L,"&gt;="&amp;$A2,Despesas!$C:$C,G$1,Despesas!$M:$M,$B2)</f>
        <v>0</v>
      </c>
      <c r="H2" s="18">
        <f>SUMIFS(Despesas!$F:$F,Despesas!$J:$J,"&lt;="&amp;$A2,Despesas!$L:$L,"&gt;="&amp;$A2,Despesas!$C:$C,H$1,Despesas!$M:$M,"Mensal")+SUMIFS(Despesas!$F:$F,Despesas!$J:$J,"&lt;="&amp;$A2,Despesas!$L:$L,"&gt;="&amp;$A2,Despesas!$C:$C,H$1,Despesas!$M:$M,$B2)</f>
        <v>5350</v>
      </c>
      <c r="I2" s="18">
        <f>IF(Imóveis!$F$2="PRICE",IF(AND(Dados!$A2&gt;=Imóveis!$Q$2,Dados!$A2&lt;=Imóveis!$T$2),Imóveis!$U$2,0),IF((IF(AND(Dados!$A2&gt;=Imóveis!$Q$2,Dados!$A2&lt;=Imóveis!$T$2),Imóveis!$S$2-(DATEDIF(Imóveis!$Q$2,Dados!$A2,"m")),0))=0,0,((Imóveis!$N$2/Imóveis!$S$2)+((Imóveis!$N$2-((Imóveis!$S$2-(IF(AND(Dados!$A2&gt;=Imóveis!$Q$2,Dados!$A2&lt;=Imóveis!$T$2),Imóveis!$S$2-(DATEDIF(Imóveis!$Q$2,Dados!$A2,"m")),)))*(Imóveis!$N$2/Imóveis!$S$2)))*Imóveis!$P$2))))*IF(AND(Imóveis!$E$2&gt;0,Dados!$A2&gt;Imóveis!$E$2),0,1)</f>
        <v>18941.574378243047</v>
      </c>
      <c r="J2" s="18">
        <f>IF(Imóveis!$F$3="PRICE",IF(AND(Dados!$A2&gt;=Imóveis!$Q$3,Dados!$A2&lt;=Imóveis!$T$3),Imóveis!$U$3,0),IF((IF(AND(Dados!$A2&gt;=Imóveis!$Q$3,Dados!$A2&lt;=Imóveis!$T$3),Imóveis!$S$3-(DATEDIF(Imóveis!$Q$3,Dados!$A2,"m")),0))=0,0,((Imóveis!$N$3/Imóveis!$S$3)+((Imóveis!$N$3-((Imóveis!$S$3-(IF(AND(Dados!$A2&gt;=Imóveis!$Q$3,Dados!$A2&lt;=Imóveis!$T$3),Imóveis!$S$3-(DATEDIF(Imóveis!$Q$3,Dados!$A2,"m")),)))*(Imóveis!$N$3/Imóveis!$S$3)))*Imóveis!$P$3))))*IF(AND(Imóveis!$E$3&gt;0,Dados!$A2&gt;Imóveis!$E$3),0,1)</f>
        <v>0</v>
      </c>
      <c r="K2" s="18">
        <f>IF(Imóveis!$F$4="PRICE",IF(AND(Dados!$A2&gt;=Imóveis!$Q$4,Dados!$A2&lt;=Imóveis!$T$4),Imóveis!$U$4,0),IF((IF(AND(Dados!$A2&gt;=Imóveis!$Q$4,Dados!$A2&lt;=Imóveis!$T$4),Imóveis!$S$4-(DATEDIF(Imóveis!$Q$4,Dados!$A2,"m")),0))=0,0,((Imóveis!$N$4/Imóveis!$S$4)+((Imóveis!$N$4-((Imóveis!$S$4-(IF(AND(Dados!$A2&gt;=Imóveis!$Q$4,Dados!$A2&lt;=Imóveis!$T$4),Imóveis!$S$4-(DATEDIF(Imóveis!$Q$4,Dados!$A2,"m")),)))*(Imóveis!$N$4/Imóveis!$S$4)))*Imóveis!$P$4))))*IF(AND(Imóveis!$E$4&gt;0,Dados!$A2&gt;Imóveis!$E$4),0,1)</f>
        <v>4643.949359272583</v>
      </c>
      <c r="L2" s="18">
        <f>IF(Imóveis!$F$5="PRICE",IF(AND(Dados!$A2&gt;=Imóveis!$Q$5,Dados!$A2&lt;=Imóveis!$T$5),Imóveis!$U$5,0),IF((IF(AND(Dados!$A2&gt;=Imóveis!$Q$5,Dados!$A2&lt;=Imóveis!$T$5),Imóveis!$S$5-(DATEDIF(Imóveis!$Q$5,Dados!$A2,"m")),0))=0,0,((Imóveis!$N$5/Imóveis!$S$5)+((Imóveis!$N$5-((Imóveis!$S$5-(IF(AND(Dados!$A2 &gt;=Imóveis!$Q$5,Dados!$A2&lt;=Imóveis!$T$5),Imóveis!$S$5-(DATEDIF(Imóveis!$Q$5,Dados!$A2,"m")),)))*(Imóveis!$N$5/Imóveis!$S$5)))*Imóveis!$P$5))))*IF(AND(Imóveis!$E$5&gt;0,Dados!$A2&gt;Imóveis!$E$5),0,1)*Imóveis!$I$5</f>
        <v>0</v>
      </c>
      <c r="M2" s="18">
        <f>IF(Imóveis!$F$6="PRICE",IF(AND(Dados!$A2&gt;=Imóveis!$Q$6,Dados!$A2&lt;=Imóveis!$T$6),Imóveis!$U$6,0),IF((IF(AND(Dados!$A2&gt;=Imóveis!$Q$6,Dados!$A2&lt;=Imóveis!$T$6),Imóveis!$S$6-(DATEDIF(Imóveis!$Q$6,Dados!$A2,"m")),0))=0,0,((Imóveis!$N$6/Imóveis!$S$6)+((Imóveis!$N$6-((Imóveis!$S$6-(IF(AND(Dados!$A2&gt;=Imóveis!$Q$6,Dados!$A2&lt;=Imóveis!$T$6),Imóveis!$S$6-(DATEDIF(Imóveis!$Q$6,Dados!$A2,"m")),)))*(Imóveis!$N$6/Imóveis!$S$6)))*Imóveis!$P$6))))*IF(AND(Imóveis!$E$6&gt;0,Dados!$A2&gt;Imóveis!$E$6),0,1)*Imóveis!$I$6</f>
        <v>0</v>
      </c>
      <c r="N2" s="18">
        <f>SUM(D2:M2)</f>
        <v>79935.523737515628</v>
      </c>
      <c r="O2" s="18">
        <f>SUMIFS(Receitas!$F:$F,Receitas!$J:$J,"&lt;="&amp;$A2,Receitas!$L:$L,"&gt;="&amp;$A2,Receitas!$C:$C,O$1,Receitas!$M:$M,"Mensal")+SUMIFS(Receitas!$F:$F,Receitas!$J:$J,"&lt;="&amp;$A2,Receitas!$L:$L,"&gt;="&amp;$A2,Receitas!$C:$C,O$1,Receitas!$M:$M,$B2)</f>
        <v>50000</v>
      </c>
      <c r="P2" s="18">
        <f>SUMIFS(Receitas!$F:$F,Receitas!$J:$J,"&lt;="&amp;$A2,Receitas!$L:$L,"&gt;="&amp;$A2,Receitas!$C:$C,P$1,Receitas!$M:$M,"Mensal")+SUMIFS(Receitas!$F:$F,Receitas!$J:$J,"&lt;="&amp;$A2,Receitas!$L:$L,"&gt;="&amp;$A2,Receitas!$C:$C,P$1,Receitas!$M:$M,$B2)</f>
        <v>20000</v>
      </c>
      <c r="Q2" s="18">
        <f>SUMIFS(Receitas!$F:$F,Receitas!$J:$J,"&lt;="&amp;$A2,Receitas!$L:$L,"&gt;="&amp;$A2,Receitas!$C:$C,Q$1,Receitas!$M:$M,"Mensal")+SUMIFS(Receitas!$F:$F,Receitas!$J:$J,"&lt;="&amp;$A2,Receitas!$L:$L,"&gt;="&amp;$A2,Receitas!$C:$C,Q$1,Receitas!$M:$M,$B2)</f>
        <v>3950</v>
      </c>
      <c r="R2" s="18" cm="1">
        <f t="array" ref="R2">(IF(AND(Membros!$F$2="Sim",A2&lt;=MAX(Membros!$E$2:$E$5)),Membros!K$2,IF(AND(A2&gt;=Membros!J$2,A2&lt;=MAX(Membros!$E$2:$E$5)),Membros!K$2,0))+IF(AND(Membros!$F$3="Sim",A2&lt;=MAX(Membros!$E$2:$E$5)),Membros!K$3,IF(AND(A2&gt;=Membros!J$3,A2&lt;=MAX(Membros!$E$2:$E$5)),Membros!K$3,0)))*IF(AND(COUNTIFS(Tabela3[Tipo],"Provedor",Tabela3[Simulação Seguro],"Sim")=2,A2&gt;=MAX(IF(Tabela3[Tipo]="Dependente",Tabela3[Expectativa de Vida (Data)]))),0,1)</f>
        <v>0</v>
      </c>
      <c r="S2" s="18">
        <f>O2+P2+Q2+R2</f>
        <v>73950</v>
      </c>
      <c r="T2" s="18">
        <f>SUM(Tabela3[CS])</f>
        <v>0</v>
      </c>
      <c r="U2" s="18">
        <f ca="1">Investimentos!C13+T2</f>
        <v>4520060.5639224714</v>
      </c>
      <c r="V2" s="18">
        <f>SUMIF(Imóveis!E:E,Dados!A:A,Imóveis!Z:Z)-SUMIF(Imóveis!E:E,Dados!A:A,Imóveis!Y:Y)</f>
        <v>0</v>
      </c>
      <c r="W2" s="18">
        <f>-SUMIF(Projetos!N:N,A2,Projetos!F:F)</f>
        <v>0</v>
      </c>
      <c r="X2" s="18">
        <f t="shared" ref="X2:X65" si="0">(S2-N2)</f>
        <v>-5985.5237375156285</v>
      </c>
      <c r="Y2" s="26">
        <f ca="1">(U2*((Indicadores_Economicos!D$2+1)^(1/12)-1))</f>
        <v>14797.502086061453</v>
      </c>
      <c r="Z2" s="18">
        <f ca="1">U2+V2+W2+X2+Y2</f>
        <v>4528872.5422710171</v>
      </c>
      <c r="AA2" s="18">
        <f ca="1">Auxiliar_Projetos!E2</f>
        <v>327962.35661797982</v>
      </c>
      <c r="AB2" s="18">
        <f ca="1">Auxiliar_Projetos!K2</f>
        <v>288118.74895367154</v>
      </c>
      <c r="AC2" s="18">
        <f ca="1">IF(Z2-AA2-AB2&gt;Investimentos!$C$14,Investimentos!$C$14,IF(Z2-AA2-AB2&lt;Investimentos!$C$14,Z2-AA2-AB2,0))</f>
        <v>300000</v>
      </c>
      <c r="AD2" s="18">
        <f ca="1">Z2-AA2-AB2-AC2</f>
        <v>3612791.4366993657</v>
      </c>
      <c r="AF2" s="9"/>
    </row>
    <row r="3" spans="1:32" x14ac:dyDescent="0.2">
      <c r="A3" s="4">
        <v>45689</v>
      </c>
      <c r="B3" s="5" t="str">
        <f t="shared" ref="B3:B66" si="1">TEXT(A3,"MMMM")</f>
        <v>fevereiro</v>
      </c>
      <c r="C3" s="5" t="str">
        <f t="shared" ref="C3:C29" si="2">TEXT(A3,"AAAA")</f>
        <v>2025</v>
      </c>
      <c r="D3" s="5">
        <f>SUMIFS(Despesas!$F:$F,Despesas!$J:$J,"&lt;="&amp;$A3,Despesas!$L:$L,"&gt;="&amp;$A3,Despesas!$C:$C,D$1,Despesas!$M:$M,"Mensal")+SUMIFS(Despesas!$F:$F,Despesas!$J:$J,"&lt;="&amp;$A3,Despesas!$L:$L,"&gt;="&amp;$A3,Despesas!$C:$C,D$1,Despesas!$M:$M,$B3)</f>
        <v>23000</v>
      </c>
      <c r="E3" s="18">
        <f>SUMIFS(Despesas!$F:$F,Despesas!$J:$J,"&lt;="&amp;$A3,Despesas!$L:$L,"&gt;="&amp;$A3,Despesas!$C:$C,E$1,Despesas!$M:$M,"Mensal")+SUMIFS(Despesas!$F:$F,Despesas!$J:$J,"&lt;="&amp;$A3,Despesas!$L:$L,"&gt;="&amp;$A3,Despesas!$C:$C,E$1,Despesas!$M:$M,$B3)</f>
        <v>15000</v>
      </c>
      <c r="F3" s="5">
        <f>SUMIFS(Despesas!$F:$F,Despesas!$J:$J,"&lt;="&amp;$A3,Despesas!$L:$L,"&gt;="&amp;$A3,Despesas!$C:$C,F$1,Despesas!$M:$M,"Mensal")+SUMIFS(Despesas!$F:$F,Despesas!$J:$J,"&lt;="&amp;$A3,Despesas!$L:$L,"&gt;="&amp;$A3,Despesas!$C:$C,F$1,Despesas!$M:$M,$B3)</f>
        <v>13000</v>
      </c>
      <c r="G3" s="5">
        <f>SUMIFS(Despesas!$F:$F,Despesas!$J:$J,"&lt;="&amp;$A3,Despesas!$L:$L,"&gt;="&amp;$A3,Despesas!$C:$C,G$1,Despesas!$M:$M,"Mensal")+SUMIFS(Despesas!$F:$F,Despesas!$J:$J,"&lt;="&amp;$A3,Despesas!$L:$L,"&gt;="&amp;$A3,Despesas!$C:$C,G$1,Despesas!$M:$M,$B3)</f>
        <v>0</v>
      </c>
      <c r="H3" s="18">
        <f>SUMIFS(Despesas!$F:$F,Despesas!$J:$J,"&lt;="&amp;$A3,Despesas!$L:$L,"&gt;="&amp;$A3,Despesas!$C:$C,H$1,Despesas!$M:$M,"Mensal")+SUMIFS(Despesas!$F:$F,Despesas!$J:$J,"&lt;="&amp;$A3,Despesas!$L:$L,"&gt;="&amp;$A3,Despesas!$C:$C,H$1,Despesas!$M:$M,$B3)</f>
        <v>6650</v>
      </c>
      <c r="I3" s="18">
        <f>IF(Imóveis!$F$2="PRICE",IF(AND(Dados!$A3&gt;=Imóveis!$Q$2,Dados!$A3&lt;=Imóveis!$T$2),Imóveis!$U$2,0),IF((IF(AND(Dados!$A3&gt;=Imóveis!$Q$2,Dados!$A3&lt;=Imóveis!$T$2),Imóveis!$S$2-(DATEDIF(Imóveis!$Q$2,Dados!$A3,"m")),0))=0,0,((Imóveis!$N$2/Imóveis!$S$2)+((Imóveis!$N$2-((Imóveis!$S$2-(IF(AND(Dados!$A3&gt;=Imóveis!$Q$2,Dados!$A3&lt;=Imóveis!$T$2),Imóveis!$S$2-(DATEDIF(Imóveis!$Q$2,Dados!$A3,"m")),)))*(Imóveis!$N$2/Imóveis!$S$2)))*Imóveis!$P$2))))*IF(AND(Imóveis!$E$2&gt;0,Dados!$A3&gt;Imóveis!$E$2),0,1)</f>
        <v>18879.553286018243</v>
      </c>
      <c r="J3" s="18">
        <f>IF(Imóveis!$F$3="PRICE",IF(AND(Dados!$A3&gt;=Imóveis!$Q$3,Dados!$A3&lt;=Imóveis!$T$3),Imóveis!$U$3,0),IF((IF(AND(Dados!$A3&gt;=Imóveis!$Q$3,Dados!$A3&lt;=Imóveis!$T$3),Imóveis!$S$3-(DATEDIF(Imóveis!$Q$3,Dados!$A3,"m")),0))=0,0,((Imóveis!$N$3/Imóveis!$S$3)+((Imóveis!$N$3-((Imóveis!$S$3-(IF(AND(Dados!$A3&gt;=Imóveis!$Q$3,Dados!$A3&lt;=Imóveis!$T$3),Imóveis!$S$3-(DATEDIF(Imóveis!$Q$3,Dados!$A3,"m")),)))*(Imóveis!$N$3/Imóveis!$S$3)))*Imóveis!$P$3))))*IF(AND(Imóveis!$E$3&gt;0,Dados!$A3&gt;Imóveis!$E$3),0,1)</f>
        <v>0</v>
      </c>
      <c r="K3" s="18">
        <f>IF(Imóveis!$F$4="PRICE",IF(AND(Dados!$A3&gt;=Imóveis!$Q$4,Dados!$A3&lt;=Imóveis!$T$4),Imóveis!$U$4,0),IF((IF(AND(Dados!$A3&gt;=Imóveis!$Q$4,Dados!$A3&lt;=Imóveis!$T$4),Imóveis!$S$4-(DATEDIF(Imóveis!$Q$4,Dados!$A3,"m")),0))=0,0,((Imóveis!$N$4/Imóveis!$S$4)+((Imóveis!$N$4-((Imóveis!$S$4-(IF(AND(Dados!$A3&gt;=Imóveis!$Q$4,Dados!$A3&lt;=Imóveis!$T$4),Imóveis!$S$4-(DATEDIF(Imóveis!$Q$4,Dados!$A3,"m")),)))*(Imóveis!$N$4/Imóveis!$S$4)))*Imóveis!$P$4))))*IF(AND(Imóveis!$E$4&gt;0,Dados!$A3&gt;Imóveis!$E$4),0,1)</f>
        <v>4643.949359272583</v>
      </c>
      <c r="L3" s="18">
        <f>IF(Imóveis!$F$5="PRICE",IF(AND(Dados!$A3&gt;=Imóveis!$Q$5,Dados!$A3&lt;=Imóveis!$T$5),Imóveis!$U$5,0),IF((IF(AND(Dados!$A3&gt;=Imóveis!$Q$5,Dados!$A3&lt;=Imóveis!$T$5),Imóveis!$S$5-(DATEDIF(Imóveis!$Q$5,Dados!$A3,"m")),0))=0,0,((Imóveis!$N$5/Imóveis!$S$5)+((Imóveis!$N$5-((Imóveis!$S$5-(IF(AND(Dados!$A3 &gt;=Imóveis!$Q$5,Dados!$A3&lt;=Imóveis!$T$5),Imóveis!$S$5-(DATEDIF(Imóveis!$Q$5,Dados!$A3,"m")),)))*(Imóveis!$N$5/Imóveis!$S$5)))*Imóveis!$P$5))))*IF(AND(Imóveis!$E$5&gt;0,Dados!$A3&gt;Imóveis!$E$5),0,1)*Imóveis!$I$5</f>
        <v>0</v>
      </c>
      <c r="M3" s="18">
        <f>IF(Imóveis!$F$6="PRICE",IF(AND(Dados!$A3&gt;=Imóveis!$Q$6,Dados!$A3&lt;=Imóveis!$T$6),Imóveis!$U$6,0),IF((IF(AND(Dados!$A3&gt;=Imóveis!$Q$6,Dados!$A3&lt;=Imóveis!$T$6),Imóveis!$S$6-(DATEDIF(Imóveis!$Q$6,Dados!$A3,"m")),0))=0,0,((Imóveis!$N$6/Imóveis!$S$6)+((Imóveis!$N$6-((Imóveis!$S$6-(IF(AND(Dados!$A3&gt;=Imóveis!$Q$6,Dados!$A3&lt;=Imóveis!$T$6),Imóveis!$S$6-(DATEDIF(Imóveis!$Q$6,Dados!$A3,"m")),)))*(Imóveis!$N$6/Imóveis!$S$6)))*Imóveis!$P$6))))*IF(AND(Imóveis!$E$6&gt;0,Dados!$A3&gt;Imóveis!$E$6),0,1)*Imóveis!$I$6</f>
        <v>0</v>
      </c>
      <c r="N3" s="18">
        <f t="shared" ref="N3:N66" si="3">SUM(D3:M3)</f>
        <v>81173.502645290821</v>
      </c>
      <c r="O3" s="18">
        <f>SUMIFS(Receitas!$F:$F,Receitas!$J:$J,"&lt;="&amp;$A3,Receitas!$L:$L,"&gt;="&amp;$A3,Receitas!$C:$C,O$1,Receitas!$M:$M,"Mensal")+SUMIFS(Receitas!$F:$F,Receitas!$J:$J,"&lt;="&amp;$A3,Receitas!$L:$L,"&gt;="&amp;$A3,Receitas!$C:$C,O$1,Receitas!$M:$M,$B3)</f>
        <v>50000</v>
      </c>
      <c r="P3" s="18">
        <f>SUMIFS(Receitas!$F:$F,Receitas!$J:$J,"&lt;="&amp;$A3,Receitas!$L:$L,"&gt;="&amp;$A3,Receitas!$C:$C,P$1,Receitas!$M:$M,"Mensal")+SUMIFS(Receitas!$F:$F,Receitas!$J:$J,"&lt;="&amp;$A3,Receitas!$L:$L,"&gt;="&amp;$A3,Receitas!$C:$C,P$1,Receitas!$M:$M,$B3)</f>
        <v>20000</v>
      </c>
      <c r="Q3" s="18">
        <f>SUMIFS(Receitas!$F:$F,Receitas!$J:$J,"&lt;="&amp;$A3,Receitas!$L:$L,"&gt;="&amp;$A3,Receitas!$C:$C,Q$1,Receitas!$M:$M,"Mensal")+SUMIFS(Receitas!$F:$F,Receitas!$J:$J,"&lt;="&amp;$A3,Receitas!$L:$L,"&gt;="&amp;$A3,Receitas!$C:$C,Q$1,Receitas!$M:$M,$B3)</f>
        <v>3950</v>
      </c>
      <c r="R3" s="18" cm="1">
        <f t="array" ref="R3">(IF(AND(Membros!$F$2="Sim",A3&lt;=MAX(Membros!$E$2:$E$5)),Membros!K$2,IF(AND(A3&gt;=Membros!J$2,A3&lt;=MAX(Membros!$E$2:$E$5)),Membros!K$2,0))+IF(AND(Membros!$F$3="Sim",A3&lt;=MAX(Membros!$E$2:$E$5)),Membros!K$3,IF(AND(A3&gt;=Membros!J$3,A3&lt;=MAX(Membros!$E$2:$E$5)),Membros!K$3,0)))*IF(AND(COUNTIFS(Tabela3[Tipo],"Provedor",Tabela3[Simulação Seguro],"Sim")=2,A3&gt;=MAX(IF(Tabela3[Tipo]="Dependente",Tabela3[Expectativa de Vida (Data)]))),0,1)</f>
        <v>0</v>
      </c>
      <c r="S3" s="18">
        <f t="shared" ref="S3:S66" si="4">O3+P3+Q3+R3</f>
        <v>73950</v>
      </c>
      <c r="U3" s="18">
        <f ca="1">Z2</f>
        <v>4528872.5422710171</v>
      </c>
      <c r="V3" s="18">
        <f>SUMIF(Imóveis!E:E,Dados!A:A,Imóveis!Z:Z)-SUMIF(Imóveis!E:E,Dados!A:A,Imóveis!Y:Y)</f>
        <v>0</v>
      </c>
      <c r="W3" s="18">
        <f>-SUMIF(Projetos!N:N,A3,Projetos!F:F)</f>
        <v>0</v>
      </c>
      <c r="X3" s="18">
        <f t="shared" si="0"/>
        <v>-7223.5026452908205</v>
      </c>
      <c r="Y3" s="26">
        <f ca="1">(U3*((Indicadores_Economicos!D$2+1)^(1/12)-1))</f>
        <v>14826.350210140963</v>
      </c>
      <c r="Z3" s="18">
        <f t="shared" ref="Z3:Z66" ca="1" si="5">U3+V3+W3+X3+Y3</f>
        <v>4536475.389835868</v>
      </c>
      <c r="AA3" s="18">
        <f ca="1">Auxiliar_Projetos!E3</f>
        <v>329036.02003190381</v>
      </c>
      <c r="AB3" s="18">
        <f ca="1">Auxiliar_Projetos!K3</f>
        <v>289061.97476411855</v>
      </c>
      <c r="AC3" s="18">
        <f ca="1">IF(Z3-AA3-AB3&gt;Investimentos!$C$14,Investimentos!$C$14,IF(Z3-AA3-AB3&lt;Investimentos!$C$14,Z3-AA3-AB3,0))</f>
        <v>300000</v>
      </c>
      <c r="AD3" s="18">
        <f t="shared" ref="AD3:AD66" ca="1" si="6">Z3-AA3-AB3-AC3</f>
        <v>3618377.3950398457</v>
      </c>
    </row>
    <row r="4" spans="1:32" x14ac:dyDescent="0.2">
      <c r="A4" s="4">
        <v>45717</v>
      </c>
      <c r="B4" s="5" t="str">
        <f t="shared" si="1"/>
        <v>março</v>
      </c>
      <c r="C4" s="5" t="str">
        <f t="shared" si="2"/>
        <v>2025</v>
      </c>
      <c r="D4" s="5">
        <f>SUMIFS(Despesas!$F:$F,Despesas!$J:$J,"&lt;="&amp;$A4,Despesas!$L:$L,"&gt;="&amp;$A4,Despesas!$C:$C,D$1,Despesas!$M:$M,"Mensal")+SUMIFS(Despesas!$F:$F,Despesas!$J:$J,"&lt;="&amp;$A4,Despesas!$L:$L,"&gt;="&amp;$A4,Despesas!$C:$C,D$1,Despesas!$M:$M,$B4)</f>
        <v>23000</v>
      </c>
      <c r="E4" s="18">
        <f>SUMIFS(Despesas!$F:$F,Despesas!$J:$J,"&lt;="&amp;$A4,Despesas!$L:$L,"&gt;="&amp;$A4,Despesas!$C:$C,E$1,Despesas!$M:$M,"Mensal")+SUMIFS(Despesas!$F:$F,Despesas!$J:$J,"&lt;="&amp;$A4,Despesas!$L:$L,"&gt;="&amp;$A4,Despesas!$C:$C,E$1,Despesas!$M:$M,$B4)</f>
        <v>15000</v>
      </c>
      <c r="F4" s="5">
        <f>SUMIFS(Despesas!$F:$F,Despesas!$J:$J,"&lt;="&amp;$A4,Despesas!$L:$L,"&gt;="&amp;$A4,Despesas!$C:$C,F$1,Despesas!$M:$M,"Mensal")+SUMIFS(Despesas!$F:$F,Despesas!$J:$J,"&lt;="&amp;$A4,Despesas!$L:$L,"&gt;="&amp;$A4,Despesas!$C:$C,F$1,Despesas!$M:$M,$B4)</f>
        <v>13000</v>
      </c>
      <c r="G4" s="5">
        <f>SUMIFS(Despesas!$F:$F,Despesas!$J:$J,"&lt;="&amp;$A4,Despesas!$L:$L,"&gt;="&amp;$A4,Despesas!$C:$C,G$1,Despesas!$M:$M,"Mensal")+SUMIFS(Despesas!$F:$F,Despesas!$J:$J,"&lt;="&amp;$A4,Despesas!$L:$L,"&gt;="&amp;$A4,Despesas!$C:$C,G$1,Despesas!$M:$M,$B4)</f>
        <v>0</v>
      </c>
      <c r="H4" s="18">
        <f>SUMIFS(Despesas!$F:$F,Despesas!$J:$J,"&lt;="&amp;$A4,Despesas!$L:$L,"&gt;="&amp;$A4,Despesas!$C:$C,H$1,Despesas!$M:$M,"Mensal")+SUMIFS(Despesas!$F:$F,Despesas!$J:$J,"&lt;="&amp;$A4,Despesas!$L:$L,"&gt;="&amp;$A4,Despesas!$C:$C,H$1,Despesas!$M:$M,$B4)</f>
        <v>5350</v>
      </c>
      <c r="I4" s="18">
        <f>IF(Imóveis!$F$2="PRICE",IF(AND(Dados!$A4&gt;=Imóveis!$Q$2,Dados!$A4&lt;=Imóveis!$T$2),Imóveis!$U$2,0),IF((IF(AND(Dados!$A4&gt;=Imóveis!$Q$2,Dados!$A4&lt;=Imóveis!$T$2),Imóveis!$S$2-(DATEDIF(Imóveis!$Q$2,Dados!$A4,"m")),0))=0,0,((Imóveis!$N$2/Imóveis!$S$2)+((Imóveis!$N$2-((Imóveis!$S$2-(IF(AND(Dados!$A4&gt;=Imóveis!$Q$2,Dados!$A4&lt;=Imóveis!$T$2),Imóveis!$S$2-(DATEDIF(Imóveis!$Q$2,Dados!$A4,"m")),)))*(Imóveis!$N$2/Imóveis!$S$2)))*Imóveis!$P$2))))*IF(AND(Imóveis!$E$2&gt;0,Dados!$A4&gt;Imóveis!$E$2),0,1)</f>
        <v>18817.532193793435</v>
      </c>
      <c r="J4" s="18">
        <f>IF(Imóveis!$F$3="PRICE",IF(AND(Dados!$A4&gt;=Imóveis!$Q$3,Dados!$A4&lt;=Imóveis!$T$3),Imóveis!$U$3,0),IF((IF(AND(Dados!$A4&gt;=Imóveis!$Q$3,Dados!$A4&lt;=Imóveis!$T$3),Imóveis!$S$3-(DATEDIF(Imóveis!$Q$3,Dados!$A4,"m")),0))=0,0,((Imóveis!$N$3/Imóveis!$S$3)+((Imóveis!$N$3-((Imóveis!$S$3-(IF(AND(Dados!$A4&gt;=Imóveis!$Q$3,Dados!$A4&lt;=Imóveis!$T$3),Imóveis!$S$3-(DATEDIF(Imóveis!$Q$3,Dados!$A4,"m")),)))*(Imóveis!$N$3/Imóveis!$S$3)))*Imóveis!$P$3))))*IF(AND(Imóveis!$E$3&gt;0,Dados!$A4&gt;Imóveis!$E$3),0,1)</f>
        <v>0</v>
      </c>
      <c r="K4" s="18">
        <f>IF(Imóveis!$F$4="PRICE",IF(AND(Dados!$A4&gt;=Imóveis!$Q$4,Dados!$A4&lt;=Imóveis!$T$4),Imóveis!$U$4,0),IF((IF(AND(Dados!$A4&gt;=Imóveis!$Q$4,Dados!$A4&lt;=Imóveis!$T$4),Imóveis!$S$4-(DATEDIF(Imóveis!$Q$4,Dados!$A4,"m")),0))=0,0,((Imóveis!$N$4/Imóveis!$S$4)+((Imóveis!$N$4-((Imóveis!$S$4-(IF(AND(Dados!$A4&gt;=Imóveis!$Q$4,Dados!$A4&lt;=Imóveis!$T$4),Imóveis!$S$4-(DATEDIF(Imóveis!$Q$4,Dados!$A4,"m")),)))*(Imóveis!$N$4/Imóveis!$S$4)))*Imóveis!$P$4))))*IF(AND(Imóveis!$E$4&gt;0,Dados!$A4&gt;Imóveis!$E$4),0,1)</f>
        <v>4643.949359272583</v>
      </c>
      <c r="L4" s="18">
        <f>IF(Imóveis!$F$5="PRICE",IF(AND(Dados!$A4&gt;=Imóveis!$Q$5,Dados!$A4&lt;=Imóveis!$T$5),Imóveis!$U$5,0),IF((IF(AND(Dados!$A4&gt;=Imóveis!$Q$5,Dados!$A4&lt;=Imóveis!$T$5),Imóveis!$S$5-(DATEDIF(Imóveis!$Q$5,Dados!$A4,"m")),0))=0,0,((Imóveis!$N$5/Imóveis!$S$5)+((Imóveis!$N$5-((Imóveis!$S$5-(IF(AND(Dados!$A4 &gt;=Imóveis!$Q$5,Dados!$A4&lt;=Imóveis!$T$5),Imóveis!$S$5-(DATEDIF(Imóveis!$Q$5,Dados!$A4,"m")),)))*(Imóveis!$N$5/Imóveis!$S$5)))*Imóveis!$P$5))))*IF(AND(Imóveis!$E$5&gt;0,Dados!$A4&gt;Imóveis!$E$5),0,1)*Imóveis!$I$5</f>
        <v>0</v>
      </c>
      <c r="M4" s="18">
        <f>IF(Imóveis!$F$6="PRICE",IF(AND(Dados!$A4&gt;=Imóveis!$Q$6,Dados!$A4&lt;=Imóveis!$T$6),Imóveis!$U$6,0),IF((IF(AND(Dados!$A4&gt;=Imóveis!$Q$6,Dados!$A4&lt;=Imóveis!$T$6),Imóveis!$S$6-(DATEDIF(Imóveis!$Q$6,Dados!$A4,"m")),0))=0,0,((Imóveis!$N$6/Imóveis!$S$6)+((Imóveis!$N$6-((Imóveis!$S$6-(IF(AND(Dados!$A4&gt;=Imóveis!$Q$6,Dados!$A4&lt;=Imóveis!$T$6),Imóveis!$S$6-(DATEDIF(Imóveis!$Q$6,Dados!$A4,"m")),)))*(Imóveis!$N$6/Imóveis!$S$6)))*Imóveis!$P$6))))*IF(AND(Imóveis!$E$6&gt;0,Dados!$A4&gt;Imóveis!$E$6),0,1)*Imóveis!$I$6</f>
        <v>0</v>
      </c>
      <c r="N4" s="18">
        <f t="shared" si="3"/>
        <v>79811.481553066013</v>
      </c>
      <c r="O4" s="18">
        <f>SUMIFS(Receitas!$F:$F,Receitas!$J:$J,"&lt;="&amp;$A4,Receitas!$L:$L,"&gt;="&amp;$A4,Receitas!$C:$C,O$1,Receitas!$M:$M,"Mensal")+SUMIFS(Receitas!$F:$F,Receitas!$J:$J,"&lt;="&amp;$A4,Receitas!$L:$L,"&gt;="&amp;$A4,Receitas!$C:$C,O$1,Receitas!$M:$M,$B4)</f>
        <v>50000</v>
      </c>
      <c r="P4" s="18">
        <f>SUMIFS(Receitas!$F:$F,Receitas!$J:$J,"&lt;="&amp;$A4,Receitas!$L:$L,"&gt;="&amp;$A4,Receitas!$C:$C,P$1,Receitas!$M:$M,"Mensal")+SUMIFS(Receitas!$F:$F,Receitas!$J:$J,"&lt;="&amp;$A4,Receitas!$L:$L,"&gt;="&amp;$A4,Receitas!$C:$C,P$1,Receitas!$M:$M,$B4)</f>
        <v>20000</v>
      </c>
      <c r="Q4" s="18">
        <f>SUMIFS(Receitas!$F:$F,Receitas!$J:$J,"&lt;="&amp;$A4,Receitas!$L:$L,"&gt;="&amp;$A4,Receitas!$C:$C,Q$1,Receitas!$M:$M,"Mensal")+SUMIFS(Receitas!$F:$F,Receitas!$J:$J,"&lt;="&amp;$A4,Receitas!$L:$L,"&gt;="&amp;$A4,Receitas!$C:$C,Q$1,Receitas!$M:$M,$B4)</f>
        <v>3950</v>
      </c>
      <c r="R4" s="18" cm="1">
        <f t="array" ref="R4">(IF(AND(Membros!$F$2="Sim",A4&lt;=MAX(Membros!$E$2:$E$5)),Membros!K$2,IF(AND(A4&gt;=Membros!J$2,A4&lt;=MAX(Membros!$E$2:$E$5)),Membros!K$2,0))+IF(AND(Membros!$F$3="Sim",A4&lt;=MAX(Membros!$E$2:$E$5)),Membros!K$3,IF(AND(A4&gt;=Membros!J$3,A4&lt;=MAX(Membros!$E$2:$E$5)),Membros!K$3,0)))*IF(AND(COUNTIFS(Tabela3[Tipo],"Provedor",Tabela3[Simulação Seguro],"Sim")=2,A4&gt;=MAX(IF(Tabela3[Tipo]="Dependente",Tabela3[Expectativa de Vida (Data)]))),0,1)</f>
        <v>0</v>
      </c>
      <c r="S4" s="18">
        <f t="shared" si="4"/>
        <v>73950</v>
      </c>
      <c r="U4" s="18">
        <f t="shared" ref="U4:U67" ca="1" si="7">Z3</f>
        <v>4536475.389835868</v>
      </c>
      <c r="V4" s="18">
        <f>SUMIF(Imóveis!E:E,Dados!A:A,Imóveis!Z:Z)-SUMIF(Imóveis!E:E,Dados!A:A,Imóveis!Y:Y)</f>
        <v>0</v>
      </c>
      <c r="W4" s="18">
        <f>-SUMIF(Projetos!N:N,A4,Projetos!F:F)</f>
        <v>0</v>
      </c>
      <c r="X4" s="18">
        <f t="shared" si="0"/>
        <v>-5861.4815530660126</v>
      </c>
      <c r="Y4" s="26">
        <f ca="1">(U4*((Indicadores_Economicos!D$2+1)^(1/12)-1))</f>
        <v>14851.23995467201</v>
      </c>
      <c r="Z4" s="18">
        <f t="shared" ca="1" si="5"/>
        <v>4545465.1482374743</v>
      </c>
      <c r="AA4" s="18">
        <f ca="1">Auxiliar_Projetos!E4</f>
        <v>330113.19834045868</v>
      </c>
      <c r="AB4" s="18">
        <f ca="1">Auxiliar_Projetos!K4</f>
        <v>290008.28845042485</v>
      </c>
      <c r="AC4" s="18">
        <f ca="1">IF(Z4-AA4-AB4&gt;Investimentos!$C$14,Investimentos!$C$14,IF(Z4-AA4-AB4&lt;Investimentos!$C$14,Z4-AA4-AB4,0))</f>
        <v>300000</v>
      </c>
      <c r="AD4" s="18">
        <f t="shared" ca="1" si="6"/>
        <v>3625343.6614465904</v>
      </c>
    </row>
    <row r="5" spans="1:32" x14ac:dyDescent="0.2">
      <c r="A5" s="4">
        <v>45748</v>
      </c>
      <c r="B5" s="5" t="str">
        <f t="shared" si="1"/>
        <v>abril</v>
      </c>
      <c r="C5" s="5" t="str">
        <f t="shared" si="2"/>
        <v>2025</v>
      </c>
      <c r="D5" s="5">
        <f>SUMIFS(Despesas!$F:$F,Despesas!$J:$J,"&lt;="&amp;$A5,Despesas!$L:$L,"&gt;="&amp;$A5,Despesas!$C:$C,D$1,Despesas!$M:$M,"Mensal")+SUMIFS(Despesas!$F:$F,Despesas!$J:$J,"&lt;="&amp;$A5,Despesas!$L:$L,"&gt;="&amp;$A5,Despesas!$C:$C,D$1,Despesas!$M:$M,$B5)</f>
        <v>23000</v>
      </c>
      <c r="E5" s="18">
        <f>SUMIFS(Despesas!$F:$F,Despesas!$J:$J,"&lt;="&amp;$A5,Despesas!$L:$L,"&gt;="&amp;$A5,Despesas!$C:$C,E$1,Despesas!$M:$M,"Mensal")+SUMIFS(Despesas!$F:$F,Despesas!$J:$J,"&lt;="&amp;$A5,Despesas!$L:$L,"&gt;="&amp;$A5,Despesas!$C:$C,E$1,Despesas!$M:$M,$B5)</f>
        <v>15000</v>
      </c>
      <c r="F5" s="5">
        <f>SUMIFS(Despesas!$F:$F,Despesas!$J:$J,"&lt;="&amp;$A5,Despesas!$L:$L,"&gt;="&amp;$A5,Despesas!$C:$C,F$1,Despesas!$M:$M,"Mensal")+SUMIFS(Despesas!$F:$F,Despesas!$J:$J,"&lt;="&amp;$A5,Despesas!$L:$L,"&gt;="&amp;$A5,Despesas!$C:$C,F$1,Despesas!$M:$M,$B5)</f>
        <v>13000</v>
      </c>
      <c r="G5" s="5">
        <f>SUMIFS(Despesas!$F:$F,Despesas!$J:$J,"&lt;="&amp;$A5,Despesas!$L:$L,"&gt;="&amp;$A5,Despesas!$C:$C,G$1,Despesas!$M:$M,"Mensal")+SUMIFS(Despesas!$F:$F,Despesas!$J:$J,"&lt;="&amp;$A5,Despesas!$L:$L,"&gt;="&amp;$A5,Despesas!$C:$C,G$1,Despesas!$M:$M,$B5)</f>
        <v>0</v>
      </c>
      <c r="H5" s="18">
        <f>SUMIFS(Despesas!$F:$F,Despesas!$J:$J,"&lt;="&amp;$A5,Despesas!$L:$L,"&gt;="&amp;$A5,Despesas!$C:$C,H$1,Despesas!$M:$M,"Mensal")+SUMIFS(Despesas!$F:$F,Despesas!$J:$J,"&lt;="&amp;$A5,Despesas!$L:$L,"&gt;="&amp;$A5,Despesas!$C:$C,H$1,Despesas!$M:$M,$B5)</f>
        <v>5350</v>
      </c>
      <c r="I5" s="18">
        <f>IF(Imóveis!$F$2="PRICE",IF(AND(Dados!$A5&gt;=Imóveis!$Q$2,Dados!$A5&lt;=Imóveis!$T$2),Imóveis!$U$2,0),IF((IF(AND(Dados!$A5&gt;=Imóveis!$Q$2,Dados!$A5&lt;=Imóveis!$T$2),Imóveis!$S$2-(DATEDIF(Imóveis!$Q$2,Dados!$A5,"m")),0))=0,0,((Imóveis!$N$2/Imóveis!$S$2)+((Imóveis!$N$2-((Imóveis!$S$2-(IF(AND(Dados!$A5&gt;=Imóveis!$Q$2,Dados!$A5&lt;=Imóveis!$T$2),Imóveis!$S$2-(DATEDIF(Imóveis!$Q$2,Dados!$A5,"m")),)))*(Imóveis!$N$2/Imóveis!$S$2)))*Imóveis!$P$2))))*IF(AND(Imóveis!$E$2&gt;0,Dados!$A5&gt;Imóveis!$E$2),0,1)</f>
        <v>18755.511101568627</v>
      </c>
      <c r="J5" s="18">
        <f>IF(Imóveis!$F$3="PRICE",IF(AND(Dados!$A5&gt;=Imóveis!$Q$3,Dados!$A5&lt;=Imóveis!$T$3),Imóveis!$U$3,0),IF((IF(AND(Dados!$A5&gt;=Imóveis!$Q$3,Dados!$A5&lt;=Imóveis!$T$3),Imóveis!$S$3-(DATEDIF(Imóveis!$Q$3,Dados!$A5,"m")),0))=0,0,((Imóveis!$N$3/Imóveis!$S$3)+((Imóveis!$N$3-((Imóveis!$S$3-(IF(AND(Dados!$A5&gt;=Imóveis!$Q$3,Dados!$A5&lt;=Imóveis!$T$3),Imóveis!$S$3-(DATEDIF(Imóveis!$Q$3,Dados!$A5,"m")),)))*(Imóveis!$N$3/Imóveis!$S$3)))*Imóveis!$P$3))))*IF(AND(Imóveis!$E$3&gt;0,Dados!$A5&gt;Imóveis!$E$3),0,1)</f>
        <v>0</v>
      </c>
      <c r="K5" s="18">
        <f>IF(Imóveis!$F$4="PRICE",IF(AND(Dados!$A5&gt;=Imóveis!$Q$4,Dados!$A5&lt;=Imóveis!$T$4),Imóveis!$U$4,0),IF((IF(AND(Dados!$A5&gt;=Imóveis!$Q$4,Dados!$A5&lt;=Imóveis!$T$4),Imóveis!$S$4-(DATEDIF(Imóveis!$Q$4,Dados!$A5,"m")),0))=0,0,((Imóveis!$N$4/Imóveis!$S$4)+((Imóveis!$N$4-((Imóveis!$S$4-(IF(AND(Dados!$A5&gt;=Imóveis!$Q$4,Dados!$A5&lt;=Imóveis!$T$4),Imóveis!$S$4-(DATEDIF(Imóveis!$Q$4,Dados!$A5,"m")),)))*(Imóveis!$N$4/Imóveis!$S$4)))*Imóveis!$P$4))))*IF(AND(Imóveis!$E$4&gt;0,Dados!$A5&gt;Imóveis!$E$4),0,1)</f>
        <v>4643.949359272583</v>
      </c>
      <c r="L5" s="18">
        <f>IF(Imóveis!$F$5="PRICE",IF(AND(Dados!$A5&gt;=Imóveis!$Q$5,Dados!$A5&lt;=Imóveis!$T$5),Imóveis!$U$5,0),IF((IF(AND(Dados!$A5&gt;=Imóveis!$Q$5,Dados!$A5&lt;=Imóveis!$T$5),Imóveis!$S$5-(DATEDIF(Imóveis!$Q$5,Dados!$A5,"m")),0))=0,0,((Imóveis!$N$5/Imóveis!$S$5)+((Imóveis!$N$5-((Imóveis!$S$5-(IF(AND(Dados!$A5 &gt;=Imóveis!$Q$5,Dados!$A5&lt;=Imóveis!$T$5),Imóveis!$S$5-(DATEDIF(Imóveis!$Q$5,Dados!$A5,"m")),)))*(Imóveis!$N$5/Imóveis!$S$5)))*Imóveis!$P$5))))*IF(AND(Imóveis!$E$5&gt;0,Dados!$A5&gt;Imóveis!$E$5),0,1)*Imóveis!$I$5</f>
        <v>0</v>
      </c>
      <c r="M5" s="18">
        <f>IF(Imóveis!$F$6="PRICE",IF(AND(Dados!$A5&gt;=Imóveis!$Q$6,Dados!$A5&lt;=Imóveis!$T$6),Imóveis!$U$6,0),IF((IF(AND(Dados!$A5&gt;=Imóveis!$Q$6,Dados!$A5&lt;=Imóveis!$T$6),Imóveis!$S$6-(DATEDIF(Imóveis!$Q$6,Dados!$A5,"m")),0))=0,0,((Imóveis!$N$6/Imóveis!$S$6)+((Imóveis!$N$6-((Imóveis!$S$6-(IF(AND(Dados!$A5&gt;=Imóveis!$Q$6,Dados!$A5&lt;=Imóveis!$T$6),Imóveis!$S$6-(DATEDIF(Imóveis!$Q$6,Dados!$A5,"m")),)))*(Imóveis!$N$6/Imóveis!$S$6)))*Imóveis!$P$6))))*IF(AND(Imóveis!$E$6&gt;0,Dados!$A5&gt;Imóveis!$E$6),0,1)*Imóveis!$I$6</f>
        <v>0</v>
      </c>
      <c r="N5" s="18">
        <f t="shared" si="3"/>
        <v>79749.460460841205</v>
      </c>
      <c r="O5" s="18">
        <f>SUMIFS(Receitas!$F:$F,Receitas!$J:$J,"&lt;="&amp;$A5,Receitas!$L:$L,"&gt;="&amp;$A5,Receitas!$C:$C,O$1,Receitas!$M:$M,"Mensal")+SUMIFS(Receitas!$F:$F,Receitas!$J:$J,"&lt;="&amp;$A5,Receitas!$L:$L,"&gt;="&amp;$A5,Receitas!$C:$C,O$1,Receitas!$M:$M,$B5)</f>
        <v>50000</v>
      </c>
      <c r="P5" s="18">
        <f>SUMIFS(Receitas!$F:$F,Receitas!$J:$J,"&lt;="&amp;$A5,Receitas!$L:$L,"&gt;="&amp;$A5,Receitas!$C:$C,P$1,Receitas!$M:$M,"Mensal")+SUMIFS(Receitas!$F:$F,Receitas!$J:$J,"&lt;="&amp;$A5,Receitas!$L:$L,"&gt;="&amp;$A5,Receitas!$C:$C,P$1,Receitas!$M:$M,$B5)</f>
        <v>85000</v>
      </c>
      <c r="Q5" s="18">
        <f>SUMIFS(Receitas!$F:$F,Receitas!$J:$J,"&lt;="&amp;$A5,Receitas!$L:$L,"&gt;="&amp;$A5,Receitas!$C:$C,Q$1,Receitas!$M:$M,"Mensal")+SUMIFS(Receitas!$F:$F,Receitas!$J:$J,"&lt;="&amp;$A5,Receitas!$L:$L,"&gt;="&amp;$A5,Receitas!$C:$C,Q$1,Receitas!$M:$M,$B5)</f>
        <v>3950</v>
      </c>
      <c r="R5" s="18" cm="1">
        <f t="array" ref="R5">(IF(AND(Membros!$F$2="Sim",A5&lt;=MAX(Membros!$E$2:$E$5)),Membros!K$2,IF(AND(A5&gt;=Membros!J$2,A5&lt;=MAX(Membros!$E$2:$E$5)),Membros!K$2,0))+IF(AND(Membros!$F$3="Sim",A5&lt;=MAX(Membros!$E$2:$E$5)),Membros!K$3,IF(AND(A5&gt;=Membros!J$3,A5&lt;=MAX(Membros!$E$2:$E$5)),Membros!K$3,0)))*IF(AND(COUNTIFS(Tabela3[Tipo],"Provedor",Tabela3[Simulação Seguro],"Sim")=2,A5&gt;=MAX(IF(Tabela3[Tipo]="Dependente",Tabela3[Expectativa de Vida (Data)]))),0,1)</f>
        <v>0</v>
      </c>
      <c r="S5" s="18">
        <f t="shared" si="4"/>
        <v>138950</v>
      </c>
      <c r="U5" s="18">
        <f t="shared" ca="1" si="7"/>
        <v>4545465.1482374743</v>
      </c>
      <c r="V5" s="18">
        <f>SUMIF(Imóveis!E:E,Dados!A:A,Imóveis!Z:Z)-SUMIF(Imóveis!E:E,Dados!A:A,Imóveis!Y:Y)</f>
        <v>0</v>
      </c>
      <c r="W5" s="18">
        <f>-SUMIF(Projetos!N:N,A5,Projetos!F:F)</f>
        <v>0</v>
      </c>
      <c r="X5" s="18">
        <f t="shared" si="0"/>
        <v>59200.539539158795</v>
      </c>
      <c r="Y5" s="26">
        <f ca="1">(U5*((Indicadores_Economicos!D$2+1)^(1/12)-1))</f>
        <v>14880.670084383706</v>
      </c>
      <c r="Z5" s="18">
        <f t="shared" ca="1" si="5"/>
        <v>4619546.3578610159</v>
      </c>
      <c r="AA5" s="18">
        <f ca="1">Auxiliar_Projetos!E5</f>
        <v>331193.90305049479</v>
      </c>
      <c r="AB5" s="18">
        <f ca="1">Auxiliar_Projetos!K5</f>
        <v>290957.70012149244</v>
      </c>
      <c r="AC5" s="18">
        <f ca="1">IF(Z5-AA5-AB5&gt;Investimentos!$C$14,Investimentos!$C$14,IF(Z5-AA5-AB5&lt;Investimentos!$C$14,Z5-AA5-AB5,0))</f>
        <v>300000</v>
      </c>
      <c r="AD5" s="18">
        <f t="shared" ca="1" si="6"/>
        <v>3697394.754689029</v>
      </c>
    </row>
    <row r="6" spans="1:32" x14ac:dyDescent="0.2">
      <c r="A6" s="4">
        <v>45778</v>
      </c>
      <c r="B6" s="5" t="str">
        <f t="shared" si="1"/>
        <v>maio</v>
      </c>
      <c r="C6" s="5" t="str">
        <f t="shared" si="2"/>
        <v>2025</v>
      </c>
      <c r="D6" s="5">
        <f>SUMIFS(Despesas!$F:$F,Despesas!$J:$J,"&lt;="&amp;$A6,Despesas!$L:$L,"&gt;="&amp;$A6,Despesas!$C:$C,D$1,Despesas!$M:$M,"Mensal")+SUMIFS(Despesas!$F:$F,Despesas!$J:$J,"&lt;="&amp;$A6,Despesas!$L:$L,"&gt;="&amp;$A6,Despesas!$C:$C,D$1,Despesas!$M:$M,$B6)</f>
        <v>23000</v>
      </c>
      <c r="E6" s="18">
        <f>SUMIFS(Despesas!$F:$F,Despesas!$J:$J,"&lt;="&amp;$A6,Despesas!$L:$L,"&gt;="&amp;$A6,Despesas!$C:$C,E$1,Despesas!$M:$M,"Mensal")+SUMIFS(Despesas!$F:$F,Despesas!$J:$J,"&lt;="&amp;$A6,Despesas!$L:$L,"&gt;="&amp;$A6,Despesas!$C:$C,E$1,Despesas!$M:$M,$B6)</f>
        <v>15000</v>
      </c>
      <c r="F6" s="5">
        <f>SUMIFS(Despesas!$F:$F,Despesas!$J:$J,"&lt;="&amp;$A6,Despesas!$L:$L,"&gt;="&amp;$A6,Despesas!$C:$C,F$1,Despesas!$M:$M,"Mensal")+SUMIFS(Despesas!$F:$F,Despesas!$J:$J,"&lt;="&amp;$A6,Despesas!$L:$L,"&gt;="&amp;$A6,Despesas!$C:$C,F$1,Despesas!$M:$M,$B6)</f>
        <v>13000</v>
      </c>
      <c r="G6" s="5">
        <f>SUMIFS(Despesas!$F:$F,Despesas!$J:$J,"&lt;="&amp;$A6,Despesas!$L:$L,"&gt;="&amp;$A6,Despesas!$C:$C,G$1,Despesas!$M:$M,"Mensal")+SUMIFS(Despesas!$F:$F,Despesas!$J:$J,"&lt;="&amp;$A6,Despesas!$L:$L,"&gt;="&amp;$A6,Despesas!$C:$C,G$1,Despesas!$M:$M,$B6)</f>
        <v>0</v>
      </c>
      <c r="H6" s="18">
        <f>SUMIFS(Despesas!$F:$F,Despesas!$J:$J,"&lt;="&amp;$A6,Despesas!$L:$L,"&gt;="&amp;$A6,Despesas!$C:$C,H$1,Despesas!$M:$M,"Mensal")+SUMIFS(Despesas!$F:$F,Despesas!$J:$J,"&lt;="&amp;$A6,Despesas!$L:$L,"&gt;="&amp;$A6,Despesas!$C:$C,H$1,Despesas!$M:$M,$B6)</f>
        <v>5350</v>
      </c>
      <c r="I6" s="18">
        <f>IF(Imóveis!$F$2="PRICE",IF(AND(Dados!$A6&gt;=Imóveis!$Q$2,Dados!$A6&lt;=Imóveis!$T$2),Imóveis!$U$2,0),IF((IF(AND(Dados!$A6&gt;=Imóveis!$Q$2,Dados!$A6&lt;=Imóveis!$T$2),Imóveis!$S$2-(DATEDIF(Imóveis!$Q$2,Dados!$A6,"m")),0))=0,0,((Imóveis!$N$2/Imóveis!$S$2)+((Imóveis!$N$2-((Imóveis!$S$2-(IF(AND(Dados!$A6&gt;=Imóveis!$Q$2,Dados!$A6&lt;=Imóveis!$T$2),Imóveis!$S$2-(DATEDIF(Imóveis!$Q$2,Dados!$A6,"m")),)))*(Imóveis!$N$2/Imóveis!$S$2)))*Imóveis!$P$2))))*IF(AND(Imóveis!$E$2&gt;0,Dados!$A6&gt;Imóveis!$E$2),0,1)</f>
        <v>18693.490009343819</v>
      </c>
      <c r="J6" s="18">
        <f>IF(Imóveis!$F$3="PRICE",IF(AND(Dados!$A6&gt;=Imóveis!$Q$3,Dados!$A6&lt;=Imóveis!$T$3),Imóveis!$U$3,0),IF((IF(AND(Dados!$A6&gt;=Imóveis!$Q$3,Dados!$A6&lt;=Imóveis!$T$3),Imóveis!$S$3-(DATEDIF(Imóveis!$Q$3,Dados!$A6,"m")),0))=0,0,((Imóveis!$N$3/Imóveis!$S$3)+((Imóveis!$N$3-((Imóveis!$S$3-(IF(AND(Dados!$A6&gt;=Imóveis!$Q$3,Dados!$A6&lt;=Imóveis!$T$3),Imóveis!$S$3-(DATEDIF(Imóveis!$Q$3,Dados!$A6,"m")),)))*(Imóveis!$N$3/Imóveis!$S$3)))*Imóveis!$P$3))))*IF(AND(Imóveis!$E$3&gt;0,Dados!$A6&gt;Imóveis!$E$3),0,1)</f>
        <v>0</v>
      </c>
      <c r="K6" s="18">
        <f>IF(Imóveis!$F$4="PRICE",IF(AND(Dados!$A6&gt;=Imóveis!$Q$4,Dados!$A6&lt;=Imóveis!$T$4),Imóveis!$U$4,0),IF((IF(AND(Dados!$A6&gt;=Imóveis!$Q$4,Dados!$A6&lt;=Imóveis!$T$4),Imóveis!$S$4-(DATEDIF(Imóveis!$Q$4,Dados!$A6,"m")),0))=0,0,((Imóveis!$N$4/Imóveis!$S$4)+((Imóveis!$N$4-((Imóveis!$S$4-(IF(AND(Dados!$A6&gt;=Imóveis!$Q$4,Dados!$A6&lt;=Imóveis!$T$4),Imóveis!$S$4-(DATEDIF(Imóveis!$Q$4,Dados!$A6,"m")),)))*(Imóveis!$N$4/Imóveis!$S$4)))*Imóveis!$P$4))))*IF(AND(Imóveis!$E$4&gt;0,Dados!$A6&gt;Imóveis!$E$4),0,1)</f>
        <v>4643.949359272583</v>
      </c>
      <c r="L6" s="18">
        <f>IF(Imóveis!$F$5="PRICE",IF(AND(Dados!$A6&gt;=Imóveis!$Q$5,Dados!$A6&lt;=Imóveis!$T$5),Imóveis!$U$5,0),IF((IF(AND(Dados!$A6&gt;=Imóveis!$Q$5,Dados!$A6&lt;=Imóveis!$T$5),Imóveis!$S$5-(DATEDIF(Imóveis!$Q$5,Dados!$A6,"m")),0))=0,0,((Imóveis!$N$5/Imóveis!$S$5)+((Imóveis!$N$5-((Imóveis!$S$5-(IF(AND(Dados!$A6 &gt;=Imóveis!$Q$5,Dados!$A6&lt;=Imóveis!$T$5),Imóveis!$S$5-(DATEDIF(Imóveis!$Q$5,Dados!$A6,"m")),)))*(Imóveis!$N$5/Imóveis!$S$5)))*Imóveis!$P$5))))*IF(AND(Imóveis!$E$5&gt;0,Dados!$A6&gt;Imóveis!$E$5),0,1)*Imóveis!$I$5</f>
        <v>0</v>
      </c>
      <c r="M6" s="18">
        <f>IF(Imóveis!$F$6="PRICE",IF(AND(Dados!$A6&gt;=Imóveis!$Q$6,Dados!$A6&lt;=Imóveis!$T$6),Imóveis!$U$6,0),IF((IF(AND(Dados!$A6&gt;=Imóveis!$Q$6,Dados!$A6&lt;=Imóveis!$T$6),Imóveis!$S$6-(DATEDIF(Imóveis!$Q$6,Dados!$A6,"m")),0))=0,0,((Imóveis!$N$6/Imóveis!$S$6)+((Imóveis!$N$6-((Imóveis!$S$6-(IF(AND(Dados!$A6&gt;=Imóveis!$Q$6,Dados!$A6&lt;=Imóveis!$T$6),Imóveis!$S$6-(DATEDIF(Imóveis!$Q$6,Dados!$A6,"m")),)))*(Imóveis!$N$6/Imóveis!$S$6)))*Imóveis!$P$6))))*IF(AND(Imóveis!$E$6&gt;0,Dados!$A6&gt;Imóveis!$E$6),0,1)*Imóveis!$I$6</f>
        <v>0</v>
      </c>
      <c r="N6" s="18">
        <f t="shared" si="3"/>
        <v>79687.439368616397</v>
      </c>
      <c r="O6" s="18">
        <f>SUMIFS(Receitas!$F:$F,Receitas!$J:$J,"&lt;="&amp;$A6,Receitas!$L:$L,"&gt;="&amp;$A6,Receitas!$C:$C,O$1,Receitas!$M:$M,"Mensal")+SUMIFS(Receitas!$F:$F,Receitas!$J:$J,"&lt;="&amp;$A6,Receitas!$L:$L,"&gt;="&amp;$A6,Receitas!$C:$C,O$1,Receitas!$M:$M,$B6)</f>
        <v>50000</v>
      </c>
      <c r="P6" s="18">
        <f>SUMIFS(Receitas!$F:$F,Receitas!$J:$J,"&lt;="&amp;$A6,Receitas!$L:$L,"&gt;="&amp;$A6,Receitas!$C:$C,P$1,Receitas!$M:$M,"Mensal")+SUMIFS(Receitas!$F:$F,Receitas!$J:$J,"&lt;="&amp;$A6,Receitas!$L:$L,"&gt;="&amp;$A6,Receitas!$C:$C,P$1,Receitas!$M:$M,$B6)</f>
        <v>20000</v>
      </c>
      <c r="Q6" s="18">
        <f>SUMIFS(Receitas!$F:$F,Receitas!$J:$J,"&lt;="&amp;$A6,Receitas!$L:$L,"&gt;="&amp;$A6,Receitas!$C:$C,Q$1,Receitas!$M:$M,"Mensal")+SUMIFS(Receitas!$F:$F,Receitas!$J:$J,"&lt;="&amp;$A6,Receitas!$L:$L,"&gt;="&amp;$A6,Receitas!$C:$C,Q$1,Receitas!$M:$M,$B6)</f>
        <v>3950</v>
      </c>
      <c r="R6" s="18" cm="1">
        <f t="array" ref="R6">(IF(AND(Membros!$F$2="Sim",A6&lt;=MAX(Membros!$E$2:$E$5)),Membros!K$2,IF(AND(A6&gt;=Membros!J$2,A6&lt;=MAX(Membros!$E$2:$E$5)),Membros!K$2,0))+IF(AND(Membros!$F$3="Sim",A6&lt;=MAX(Membros!$E$2:$E$5)),Membros!K$3,IF(AND(A6&gt;=Membros!J$3,A6&lt;=MAX(Membros!$E$2:$E$5)),Membros!K$3,0)))*IF(AND(COUNTIFS(Tabela3[Tipo],"Provedor",Tabela3[Simulação Seguro],"Sim")=2,A6&gt;=MAX(IF(Tabela3[Tipo]="Dependente",Tabela3[Expectativa de Vida (Data)]))),0,1)</f>
        <v>0</v>
      </c>
      <c r="S6" s="18">
        <f t="shared" si="4"/>
        <v>73950</v>
      </c>
      <c r="U6" s="18">
        <f t="shared" ca="1" si="7"/>
        <v>4619546.3578610159</v>
      </c>
      <c r="V6" s="18">
        <f>SUMIF(Imóveis!E:E,Dados!A:A,Imóveis!Z:Z)-SUMIF(Imóveis!E:E,Dados!A:A,Imóveis!Y:Y)</f>
        <v>0</v>
      </c>
      <c r="W6" s="18">
        <f>-SUMIF(Projetos!N:N,A6,Projetos!F:F)</f>
        <v>0</v>
      </c>
      <c r="X6" s="18">
        <f t="shared" si="0"/>
        <v>-5737.4393686163967</v>
      </c>
      <c r="Y6" s="26">
        <f ca="1">(U6*((Indicadores_Economicos!D$2+1)^(1/12)-1))</f>
        <v>15123.192687441711</v>
      </c>
      <c r="Z6" s="18">
        <f t="shared" ca="1" si="5"/>
        <v>4628932.1111798408</v>
      </c>
      <c r="AA6" s="18">
        <f ca="1">Auxiliar_Projetos!E6</f>
        <v>332278.14570653293</v>
      </c>
      <c r="AB6" s="18">
        <f ca="1">Auxiliar_Projetos!K6</f>
        <v>291910.21991931729</v>
      </c>
      <c r="AC6" s="18">
        <f ca="1">IF(Z6-AA6-AB6&gt;Investimentos!$C$14,Investimentos!$C$14,IF(Z6-AA6-AB6&lt;Investimentos!$C$14,Z6-AA6-AB6,0))</f>
        <v>300000</v>
      </c>
      <c r="AD6" s="18">
        <f t="shared" ca="1" si="6"/>
        <v>3704743.7455539908</v>
      </c>
    </row>
    <row r="7" spans="1:32" x14ac:dyDescent="0.2">
      <c r="A7" s="4">
        <v>45809</v>
      </c>
      <c r="B7" s="5" t="str">
        <f t="shared" si="1"/>
        <v>junho</v>
      </c>
      <c r="C7" s="5" t="str">
        <f t="shared" si="2"/>
        <v>2025</v>
      </c>
      <c r="D7" s="5">
        <f>SUMIFS(Despesas!$F:$F,Despesas!$J:$J,"&lt;="&amp;$A7,Despesas!$L:$L,"&gt;="&amp;$A7,Despesas!$C:$C,D$1,Despesas!$M:$M,"Mensal")+SUMIFS(Despesas!$F:$F,Despesas!$J:$J,"&lt;="&amp;$A7,Despesas!$L:$L,"&gt;="&amp;$A7,Despesas!$C:$C,D$1,Despesas!$M:$M,$B7)</f>
        <v>23000</v>
      </c>
      <c r="E7" s="18">
        <f>SUMIFS(Despesas!$F:$F,Despesas!$J:$J,"&lt;="&amp;$A7,Despesas!$L:$L,"&gt;="&amp;$A7,Despesas!$C:$C,E$1,Despesas!$M:$M,"Mensal")+SUMIFS(Despesas!$F:$F,Despesas!$J:$J,"&lt;="&amp;$A7,Despesas!$L:$L,"&gt;="&amp;$A7,Despesas!$C:$C,E$1,Despesas!$M:$M,$B7)</f>
        <v>15000</v>
      </c>
      <c r="F7" s="5">
        <f>SUMIFS(Despesas!$F:$F,Despesas!$J:$J,"&lt;="&amp;$A7,Despesas!$L:$L,"&gt;="&amp;$A7,Despesas!$C:$C,F$1,Despesas!$M:$M,"Mensal")+SUMIFS(Despesas!$F:$F,Despesas!$J:$J,"&lt;="&amp;$A7,Despesas!$L:$L,"&gt;="&amp;$A7,Despesas!$C:$C,F$1,Despesas!$M:$M,$B7)</f>
        <v>13000</v>
      </c>
      <c r="G7" s="5">
        <f>SUMIFS(Despesas!$F:$F,Despesas!$J:$J,"&lt;="&amp;$A7,Despesas!$L:$L,"&gt;="&amp;$A7,Despesas!$C:$C,G$1,Despesas!$M:$M,"Mensal")+SUMIFS(Despesas!$F:$F,Despesas!$J:$J,"&lt;="&amp;$A7,Despesas!$L:$L,"&gt;="&amp;$A7,Despesas!$C:$C,G$1,Despesas!$M:$M,$B7)</f>
        <v>0</v>
      </c>
      <c r="H7" s="18">
        <f>SUMIFS(Despesas!$F:$F,Despesas!$J:$J,"&lt;="&amp;$A7,Despesas!$L:$L,"&gt;="&amp;$A7,Despesas!$C:$C,H$1,Despesas!$M:$M,"Mensal")+SUMIFS(Despesas!$F:$F,Despesas!$J:$J,"&lt;="&amp;$A7,Despesas!$L:$L,"&gt;="&amp;$A7,Despesas!$C:$C,H$1,Despesas!$M:$M,$B7)</f>
        <v>5350</v>
      </c>
      <c r="I7" s="18">
        <f>IF(Imóveis!$F$2="PRICE",IF(AND(Dados!$A7&gt;=Imóveis!$Q$2,Dados!$A7&lt;=Imóveis!$T$2),Imóveis!$U$2,0),IF((IF(AND(Dados!$A7&gt;=Imóveis!$Q$2,Dados!$A7&lt;=Imóveis!$T$2),Imóveis!$S$2-(DATEDIF(Imóveis!$Q$2,Dados!$A7,"m")),0))=0,0,((Imóveis!$N$2/Imóveis!$S$2)+((Imóveis!$N$2-((Imóveis!$S$2-(IF(AND(Dados!$A7&gt;=Imóveis!$Q$2,Dados!$A7&lt;=Imóveis!$T$2),Imóveis!$S$2-(DATEDIF(Imóveis!$Q$2,Dados!$A7,"m")),)))*(Imóveis!$N$2/Imóveis!$S$2)))*Imóveis!$P$2))))*IF(AND(Imóveis!$E$2&gt;0,Dados!$A7&gt;Imóveis!$E$2),0,1)</f>
        <v>18631.468917119011</v>
      </c>
      <c r="J7" s="18">
        <f>IF(Imóveis!$F$3="PRICE",IF(AND(Dados!$A7&gt;=Imóveis!$Q$3,Dados!$A7&lt;=Imóveis!$T$3),Imóveis!$U$3,0),IF((IF(AND(Dados!$A7&gt;=Imóveis!$Q$3,Dados!$A7&lt;=Imóveis!$T$3),Imóveis!$S$3-(DATEDIF(Imóveis!$Q$3,Dados!$A7,"m")),0))=0,0,((Imóveis!$N$3/Imóveis!$S$3)+((Imóveis!$N$3-((Imóveis!$S$3-(IF(AND(Dados!$A7&gt;=Imóveis!$Q$3,Dados!$A7&lt;=Imóveis!$T$3),Imóveis!$S$3-(DATEDIF(Imóveis!$Q$3,Dados!$A7,"m")),)))*(Imóveis!$N$3/Imóveis!$S$3)))*Imóveis!$P$3))))*IF(AND(Imóveis!$E$3&gt;0,Dados!$A7&gt;Imóveis!$E$3),0,1)</f>
        <v>0</v>
      </c>
      <c r="K7" s="18">
        <f>IF(Imóveis!$F$4="PRICE",IF(AND(Dados!$A7&gt;=Imóveis!$Q$4,Dados!$A7&lt;=Imóveis!$T$4),Imóveis!$U$4,0),IF((IF(AND(Dados!$A7&gt;=Imóveis!$Q$4,Dados!$A7&lt;=Imóveis!$T$4),Imóveis!$S$4-(DATEDIF(Imóveis!$Q$4,Dados!$A7,"m")),0))=0,0,((Imóveis!$N$4/Imóveis!$S$4)+((Imóveis!$N$4-((Imóveis!$S$4-(IF(AND(Dados!$A7&gt;=Imóveis!$Q$4,Dados!$A7&lt;=Imóveis!$T$4),Imóveis!$S$4-(DATEDIF(Imóveis!$Q$4,Dados!$A7,"m")),)))*(Imóveis!$N$4/Imóveis!$S$4)))*Imóveis!$P$4))))*IF(AND(Imóveis!$E$4&gt;0,Dados!$A7&gt;Imóveis!$E$4),0,1)</f>
        <v>4643.949359272583</v>
      </c>
      <c r="L7" s="18">
        <f>IF(Imóveis!$F$5="PRICE",IF(AND(Dados!$A7&gt;=Imóveis!$Q$5,Dados!$A7&lt;=Imóveis!$T$5),Imóveis!$U$5,0),IF((IF(AND(Dados!$A7&gt;=Imóveis!$Q$5,Dados!$A7&lt;=Imóveis!$T$5),Imóveis!$S$5-(DATEDIF(Imóveis!$Q$5,Dados!$A7,"m")),0))=0,0,((Imóveis!$N$5/Imóveis!$S$5)+((Imóveis!$N$5-((Imóveis!$S$5-(IF(AND(Dados!$A7 &gt;=Imóveis!$Q$5,Dados!$A7&lt;=Imóveis!$T$5),Imóveis!$S$5-(DATEDIF(Imóveis!$Q$5,Dados!$A7,"m")),)))*(Imóveis!$N$5/Imóveis!$S$5)))*Imóveis!$P$5))))*IF(AND(Imóveis!$E$5&gt;0,Dados!$A7&gt;Imóveis!$E$5),0,1)*Imóveis!$I$5</f>
        <v>0</v>
      </c>
      <c r="M7" s="18">
        <f>IF(Imóveis!$F$6="PRICE",IF(AND(Dados!$A7&gt;=Imóveis!$Q$6,Dados!$A7&lt;=Imóveis!$T$6),Imóveis!$U$6,0),IF((IF(AND(Dados!$A7&gt;=Imóveis!$Q$6,Dados!$A7&lt;=Imóveis!$T$6),Imóveis!$S$6-(DATEDIF(Imóveis!$Q$6,Dados!$A7,"m")),0))=0,0,((Imóveis!$N$6/Imóveis!$S$6)+((Imóveis!$N$6-((Imóveis!$S$6-(IF(AND(Dados!$A7&gt;=Imóveis!$Q$6,Dados!$A7&lt;=Imóveis!$T$6),Imóveis!$S$6-(DATEDIF(Imóveis!$Q$6,Dados!$A7,"m")),)))*(Imóveis!$N$6/Imóveis!$S$6)))*Imóveis!$P$6))))*IF(AND(Imóveis!$E$6&gt;0,Dados!$A7&gt;Imóveis!$E$6),0,1)*Imóveis!$I$6</f>
        <v>0</v>
      </c>
      <c r="N7" s="18">
        <f t="shared" si="3"/>
        <v>79625.418276391589</v>
      </c>
      <c r="O7" s="18">
        <f>SUMIFS(Receitas!$F:$F,Receitas!$J:$J,"&lt;="&amp;$A7,Receitas!$L:$L,"&gt;="&amp;$A7,Receitas!$C:$C,O$1,Receitas!$M:$M,"Mensal")+SUMIFS(Receitas!$F:$F,Receitas!$J:$J,"&lt;="&amp;$A7,Receitas!$L:$L,"&gt;="&amp;$A7,Receitas!$C:$C,O$1,Receitas!$M:$M,$B7)</f>
        <v>50000</v>
      </c>
      <c r="P7" s="18">
        <f>SUMIFS(Receitas!$F:$F,Receitas!$J:$J,"&lt;="&amp;$A7,Receitas!$L:$L,"&gt;="&amp;$A7,Receitas!$C:$C,P$1,Receitas!$M:$M,"Mensal")+SUMIFS(Receitas!$F:$F,Receitas!$J:$J,"&lt;="&amp;$A7,Receitas!$L:$L,"&gt;="&amp;$A7,Receitas!$C:$C,P$1,Receitas!$M:$M,$B7)</f>
        <v>20000</v>
      </c>
      <c r="Q7" s="18">
        <f>SUMIFS(Receitas!$F:$F,Receitas!$J:$J,"&lt;="&amp;$A7,Receitas!$L:$L,"&gt;="&amp;$A7,Receitas!$C:$C,Q$1,Receitas!$M:$M,"Mensal")+SUMIFS(Receitas!$F:$F,Receitas!$J:$J,"&lt;="&amp;$A7,Receitas!$L:$L,"&gt;="&amp;$A7,Receitas!$C:$C,Q$1,Receitas!$M:$M,$B7)</f>
        <v>3950</v>
      </c>
      <c r="R7" s="18" cm="1">
        <f t="array" ref="R7">(IF(AND(Membros!$F$2="Sim",A7&lt;=MAX(Membros!$E$2:$E$5)),Membros!K$2,IF(AND(A7&gt;=Membros!J$2,A7&lt;=MAX(Membros!$E$2:$E$5)),Membros!K$2,0))+IF(AND(Membros!$F$3="Sim",A7&lt;=MAX(Membros!$E$2:$E$5)),Membros!K$3,IF(AND(A7&gt;=Membros!J$3,A7&lt;=MAX(Membros!$E$2:$E$5)),Membros!K$3,0)))*IF(AND(COUNTIFS(Tabela3[Tipo],"Provedor",Tabela3[Simulação Seguro],"Sim")=2,A7&gt;=MAX(IF(Tabela3[Tipo]="Dependente",Tabela3[Expectativa de Vida (Data)]))),0,1)</f>
        <v>0</v>
      </c>
      <c r="S7" s="18">
        <f t="shared" si="4"/>
        <v>73950</v>
      </c>
      <c r="U7" s="18">
        <f t="shared" ca="1" si="7"/>
        <v>4628932.1111798408</v>
      </c>
      <c r="V7" s="18">
        <f>SUMIF(Imóveis!E:E,Dados!A:A,Imóveis!Z:Z)-SUMIF(Imóveis!E:E,Dados!A:A,Imóveis!Y:Y)</f>
        <v>0</v>
      </c>
      <c r="W7" s="18">
        <f>-SUMIF(Projetos!N:N,A7,Projetos!F:F)</f>
        <v>0</v>
      </c>
      <c r="X7" s="18">
        <f t="shared" si="0"/>
        <v>-5675.4182763915887</v>
      </c>
      <c r="Y7" s="26">
        <f ca="1">(U7*((Indicadores_Economicos!D$2+1)^(1/12)-1))</f>
        <v>15153.919201467454</v>
      </c>
      <c r="Z7" s="18">
        <f t="shared" ca="1" si="5"/>
        <v>4638410.612104916</v>
      </c>
      <c r="AA7" s="18">
        <f ca="1">Auxiliar_Projetos!E7</f>
        <v>333365.93789088767</v>
      </c>
      <c r="AB7" s="18">
        <f ca="1">Auxiliar_Projetos!K7</f>
        <v>292865.85801909759</v>
      </c>
      <c r="AC7" s="18">
        <f ca="1">IF(Z7-AA7-AB7&gt;Investimentos!$C$14,Investimentos!$C$14,IF(Z7-AA7-AB7&lt;Investimentos!$C$14,Z7-AA7-AB7,0))</f>
        <v>300000</v>
      </c>
      <c r="AD7" s="18">
        <f t="shared" ca="1" si="6"/>
        <v>3712178.816194931</v>
      </c>
    </row>
    <row r="8" spans="1:32" x14ac:dyDescent="0.2">
      <c r="A8" s="4">
        <v>45839</v>
      </c>
      <c r="B8" s="5" t="str">
        <f t="shared" si="1"/>
        <v>julho</v>
      </c>
      <c r="C8" s="5" t="str">
        <f t="shared" si="2"/>
        <v>2025</v>
      </c>
      <c r="D8" s="5">
        <f>SUMIFS(Despesas!$F:$F,Despesas!$J:$J,"&lt;="&amp;$A8,Despesas!$L:$L,"&gt;="&amp;$A8,Despesas!$C:$C,D$1,Despesas!$M:$M,"Mensal")+SUMIFS(Despesas!$F:$F,Despesas!$J:$J,"&lt;="&amp;$A8,Despesas!$L:$L,"&gt;="&amp;$A8,Despesas!$C:$C,D$1,Despesas!$M:$M,$B8)</f>
        <v>23000</v>
      </c>
      <c r="E8" s="18">
        <f>SUMIFS(Despesas!$F:$F,Despesas!$J:$J,"&lt;="&amp;$A8,Despesas!$L:$L,"&gt;="&amp;$A8,Despesas!$C:$C,E$1,Despesas!$M:$M,"Mensal")+SUMIFS(Despesas!$F:$F,Despesas!$J:$J,"&lt;="&amp;$A8,Despesas!$L:$L,"&gt;="&amp;$A8,Despesas!$C:$C,E$1,Despesas!$M:$M,$B8)</f>
        <v>15000</v>
      </c>
      <c r="F8" s="5">
        <f>SUMIFS(Despesas!$F:$F,Despesas!$J:$J,"&lt;="&amp;$A8,Despesas!$L:$L,"&gt;="&amp;$A8,Despesas!$C:$C,F$1,Despesas!$M:$M,"Mensal")+SUMIFS(Despesas!$F:$F,Despesas!$J:$J,"&lt;="&amp;$A8,Despesas!$L:$L,"&gt;="&amp;$A8,Despesas!$C:$C,F$1,Despesas!$M:$M,$B8)</f>
        <v>13000</v>
      </c>
      <c r="G8" s="5">
        <f ca="1">SUMIFS(Despesas!$F:$F,Despesas!$J:$J,"&lt;="&amp;$A8,Despesas!$L:$L,"&gt;="&amp;$A8,Despesas!$C:$C,G$1,Despesas!$M:$M,"Mensal")+SUMIFS(Despesas!$F:$F,Despesas!$J:$J,"&lt;="&amp;$A8,Despesas!$L:$L,"&gt;="&amp;$A8,Despesas!$C:$C,G$1,Despesas!$M:$M,$B8)</f>
        <v>55757</v>
      </c>
      <c r="H8" s="18">
        <f>SUMIFS(Despesas!$F:$F,Despesas!$J:$J,"&lt;="&amp;$A8,Despesas!$L:$L,"&gt;="&amp;$A8,Despesas!$C:$C,H$1,Despesas!$M:$M,"Mensal")+SUMIFS(Despesas!$F:$F,Despesas!$J:$J,"&lt;="&amp;$A8,Despesas!$L:$L,"&gt;="&amp;$A8,Despesas!$C:$C,H$1,Despesas!$M:$M,$B8)</f>
        <v>5350</v>
      </c>
      <c r="I8" s="18">
        <f>IF(Imóveis!$F$2="PRICE",IF(AND(Dados!$A8&gt;=Imóveis!$Q$2,Dados!$A8&lt;=Imóveis!$T$2),Imóveis!$U$2,0),IF((IF(AND(Dados!$A8&gt;=Imóveis!$Q$2,Dados!$A8&lt;=Imóveis!$T$2),Imóveis!$S$2-(DATEDIF(Imóveis!$Q$2,Dados!$A8,"m")),0))=0,0,((Imóveis!$N$2/Imóveis!$S$2)+((Imóveis!$N$2-((Imóveis!$S$2-(IF(AND(Dados!$A8&gt;=Imóveis!$Q$2,Dados!$A8&lt;=Imóveis!$T$2),Imóveis!$S$2-(DATEDIF(Imóveis!$Q$2,Dados!$A8,"m")),)))*(Imóveis!$N$2/Imóveis!$S$2)))*Imóveis!$P$2))))*IF(AND(Imóveis!$E$2&gt;0,Dados!$A8&gt;Imóveis!$E$2),0,1)</f>
        <v>18569.447824894203</v>
      </c>
      <c r="J8" s="18">
        <f>IF(Imóveis!$F$3="PRICE",IF(AND(Dados!$A8&gt;=Imóveis!$Q$3,Dados!$A8&lt;=Imóveis!$T$3),Imóveis!$U$3,0),IF((IF(AND(Dados!$A8&gt;=Imóveis!$Q$3,Dados!$A8&lt;=Imóveis!$T$3),Imóveis!$S$3-(DATEDIF(Imóveis!$Q$3,Dados!$A8,"m")),0))=0,0,((Imóveis!$N$3/Imóveis!$S$3)+((Imóveis!$N$3-((Imóveis!$S$3-(IF(AND(Dados!$A8&gt;=Imóveis!$Q$3,Dados!$A8&lt;=Imóveis!$T$3),Imóveis!$S$3-(DATEDIF(Imóveis!$Q$3,Dados!$A8,"m")),)))*(Imóveis!$N$3/Imóveis!$S$3)))*Imóveis!$P$3))))*IF(AND(Imóveis!$E$3&gt;0,Dados!$A8&gt;Imóveis!$E$3),0,1)</f>
        <v>0</v>
      </c>
      <c r="K8" s="18">
        <f>IF(Imóveis!$F$4="PRICE",IF(AND(Dados!$A8&gt;=Imóveis!$Q$4,Dados!$A8&lt;=Imóveis!$T$4),Imóveis!$U$4,0),IF((IF(AND(Dados!$A8&gt;=Imóveis!$Q$4,Dados!$A8&lt;=Imóveis!$T$4),Imóveis!$S$4-(DATEDIF(Imóveis!$Q$4,Dados!$A8,"m")),0))=0,0,((Imóveis!$N$4/Imóveis!$S$4)+((Imóveis!$N$4-((Imóveis!$S$4-(IF(AND(Dados!$A8&gt;=Imóveis!$Q$4,Dados!$A8&lt;=Imóveis!$T$4),Imóveis!$S$4-(DATEDIF(Imóveis!$Q$4,Dados!$A8,"m")),)))*(Imóveis!$N$4/Imóveis!$S$4)))*Imóveis!$P$4))))*IF(AND(Imóveis!$E$4&gt;0,Dados!$A8&gt;Imóveis!$E$4),0,1)</f>
        <v>4643.949359272583</v>
      </c>
      <c r="L8" s="18">
        <f>IF(Imóveis!$F$5="PRICE",IF(AND(Dados!$A8&gt;=Imóveis!$Q$5,Dados!$A8&lt;=Imóveis!$T$5),Imóveis!$U$5,0),IF((IF(AND(Dados!$A8&gt;=Imóveis!$Q$5,Dados!$A8&lt;=Imóveis!$T$5),Imóveis!$S$5-(DATEDIF(Imóveis!$Q$5,Dados!$A8,"m")),0))=0,0,((Imóveis!$N$5/Imóveis!$S$5)+((Imóveis!$N$5-((Imóveis!$S$5-(IF(AND(Dados!$A8 &gt;=Imóveis!$Q$5,Dados!$A8&lt;=Imóveis!$T$5),Imóveis!$S$5-(DATEDIF(Imóveis!$Q$5,Dados!$A8,"m")),)))*(Imóveis!$N$5/Imóveis!$S$5)))*Imóveis!$P$5))))*IF(AND(Imóveis!$E$5&gt;0,Dados!$A8&gt;Imóveis!$E$5),0,1)*Imóveis!$I$5</f>
        <v>0</v>
      </c>
      <c r="M8" s="18">
        <f>IF(Imóveis!$F$6="PRICE",IF(AND(Dados!$A8&gt;=Imóveis!$Q$6,Dados!$A8&lt;=Imóveis!$T$6),Imóveis!$U$6,0),IF((IF(AND(Dados!$A8&gt;=Imóveis!$Q$6,Dados!$A8&lt;=Imóveis!$T$6),Imóveis!$S$6-(DATEDIF(Imóveis!$Q$6,Dados!$A8,"m")),0))=0,0,((Imóveis!$N$6/Imóveis!$S$6)+((Imóveis!$N$6-((Imóveis!$S$6-(IF(AND(Dados!$A8&gt;=Imóveis!$Q$6,Dados!$A8&lt;=Imóveis!$T$6),Imóveis!$S$6-(DATEDIF(Imóveis!$Q$6,Dados!$A8,"m")),)))*(Imóveis!$N$6/Imóveis!$S$6)))*Imóveis!$P$6))))*IF(AND(Imóveis!$E$6&gt;0,Dados!$A8&gt;Imóveis!$E$6),0,1)*Imóveis!$I$6</f>
        <v>0</v>
      </c>
      <c r="N8" s="18">
        <f t="shared" ca="1" si="3"/>
        <v>135320.3971841668</v>
      </c>
      <c r="O8" s="18">
        <f>SUMIFS(Receitas!$F:$F,Receitas!$J:$J,"&lt;="&amp;$A8,Receitas!$L:$L,"&gt;="&amp;$A8,Receitas!$C:$C,O$1,Receitas!$M:$M,"Mensal")+SUMIFS(Receitas!$F:$F,Receitas!$J:$J,"&lt;="&amp;$A8,Receitas!$L:$L,"&gt;="&amp;$A8,Receitas!$C:$C,O$1,Receitas!$M:$M,$B8)</f>
        <v>50000</v>
      </c>
      <c r="P8" s="18">
        <f>SUMIFS(Receitas!$F:$F,Receitas!$J:$J,"&lt;="&amp;$A8,Receitas!$L:$L,"&gt;="&amp;$A8,Receitas!$C:$C,P$1,Receitas!$M:$M,"Mensal")+SUMIFS(Receitas!$F:$F,Receitas!$J:$J,"&lt;="&amp;$A8,Receitas!$L:$L,"&gt;="&amp;$A8,Receitas!$C:$C,P$1,Receitas!$M:$M,$B8)</f>
        <v>20000</v>
      </c>
      <c r="Q8" s="18">
        <f>SUMIFS(Receitas!$F:$F,Receitas!$J:$J,"&lt;="&amp;$A8,Receitas!$L:$L,"&gt;="&amp;$A8,Receitas!$C:$C,Q$1,Receitas!$M:$M,"Mensal")+SUMIFS(Receitas!$F:$F,Receitas!$J:$J,"&lt;="&amp;$A8,Receitas!$L:$L,"&gt;="&amp;$A8,Receitas!$C:$C,Q$1,Receitas!$M:$M,$B8)</f>
        <v>3950</v>
      </c>
      <c r="R8" s="18" cm="1">
        <f t="array" ref="R8">(IF(AND(Membros!$F$2="Sim",A8&lt;=MAX(Membros!$E$2:$E$5)),Membros!K$2,IF(AND(A8&gt;=Membros!J$2,A8&lt;=MAX(Membros!$E$2:$E$5)),Membros!K$2,0))+IF(AND(Membros!$F$3="Sim",A8&lt;=MAX(Membros!$E$2:$E$5)),Membros!K$3,IF(AND(A8&gt;=Membros!J$3,A8&lt;=MAX(Membros!$E$2:$E$5)),Membros!K$3,0)))*IF(AND(COUNTIFS(Tabela3[Tipo],"Provedor",Tabela3[Simulação Seguro],"Sim")=2,A8&gt;=MAX(IF(Tabela3[Tipo]="Dependente",Tabela3[Expectativa de Vida (Data)]))),0,1)</f>
        <v>0</v>
      </c>
      <c r="S8" s="18">
        <f t="shared" si="4"/>
        <v>73950</v>
      </c>
      <c r="U8" s="18">
        <f t="shared" ca="1" si="7"/>
        <v>4638410.612104916</v>
      </c>
      <c r="V8" s="18">
        <f>SUMIF(Imóveis!E:E,Dados!A:A,Imóveis!Z:Z)-SUMIF(Imóveis!E:E,Dados!A:A,Imóveis!Y:Y)</f>
        <v>0</v>
      </c>
      <c r="W8" s="18">
        <f>-SUMIF(Projetos!N:N,A8,Projetos!F:F)</f>
        <v>0</v>
      </c>
      <c r="X8" s="18">
        <f t="shared" ca="1" si="0"/>
        <v>-61370.397184166795</v>
      </c>
      <c r="Y8" s="26">
        <f ca="1">(U8*((Indicadores_Economicos!D$2+1)^(1/12)-1))</f>
        <v>15184.949347021482</v>
      </c>
      <c r="Z8" s="18">
        <f t="shared" ca="1" si="5"/>
        <v>4592225.16426777</v>
      </c>
      <c r="AA8" s="18">
        <f ca="1">Auxiliar_Projetos!E8</f>
        <v>334457.29122379114</v>
      </c>
      <c r="AB8" s="18">
        <f ca="1">Auxiliar_Projetos!K8</f>
        <v>293824.62462934252</v>
      </c>
      <c r="AC8" s="18">
        <f ca="1">IF(Z8-AA8-AB8&gt;Investimentos!$C$14,Investimentos!$C$14,IF(Z8-AA8-AB8&lt;Investimentos!$C$14,Z8-AA8-AB8,0))</f>
        <v>300000</v>
      </c>
      <c r="AD8" s="18">
        <f t="shared" ca="1" si="6"/>
        <v>3663943.2484146361</v>
      </c>
      <c r="AE8" s="18"/>
    </row>
    <row r="9" spans="1:32" x14ac:dyDescent="0.2">
      <c r="A9" s="4">
        <v>45870</v>
      </c>
      <c r="B9" s="5" t="str">
        <f t="shared" si="1"/>
        <v>agosto</v>
      </c>
      <c r="C9" s="5" t="str">
        <f t="shared" si="2"/>
        <v>2025</v>
      </c>
      <c r="D9" s="5">
        <f>SUMIFS(Despesas!$F:$F,Despesas!$J:$J,"&lt;="&amp;$A9,Despesas!$L:$L,"&gt;="&amp;$A9,Despesas!$C:$C,D$1,Despesas!$M:$M,"Mensal")+SUMIFS(Despesas!$F:$F,Despesas!$J:$J,"&lt;="&amp;$A9,Despesas!$L:$L,"&gt;="&amp;$A9,Despesas!$C:$C,D$1,Despesas!$M:$M,$B9)</f>
        <v>23000</v>
      </c>
      <c r="E9" s="18">
        <f>SUMIFS(Despesas!$F:$F,Despesas!$J:$J,"&lt;="&amp;$A9,Despesas!$L:$L,"&gt;="&amp;$A9,Despesas!$C:$C,E$1,Despesas!$M:$M,"Mensal")+SUMIFS(Despesas!$F:$F,Despesas!$J:$J,"&lt;="&amp;$A9,Despesas!$L:$L,"&gt;="&amp;$A9,Despesas!$C:$C,E$1,Despesas!$M:$M,$B9)</f>
        <v>15000</v>
      </c>
      <c r="F9" s="5">
        <f>SUMIFS(Despesas!$F:$F,Despesas!$J:$J,"&lt;="&amp;$A9,Despesas!$L:$L,"&gt;="&amp;$A9,Despesas!$C:$C,F$1,Despesas!$M:$M,"Mensal")+SUMIFS(Despesas!$F:$F,Despesas!$J:$J,"&lt;="&amp;$A9,Despesas!$L:$L,"&gt;="&amp;$A9,Despesas!$C:$C,F$1,Despesas!$M:$M,$B9)</f>
        <v>13000</v>
      </c>
      <c r="G9" s="5">
        <f>SUMIFS(Despesas!$F:$F,Despesas!$J:$J,"&lt;="&amp;$A9,Despesas!$L:$L,"&gt;="&amp;$A9,Despesas!$C:$C,G$1,Despesas!$M:$M,"Mensal")+SUMIFS(Despesas!$F:$F,Despesas!$J:$J,"&lt;="&amp;$A9,Despesas!$L:$L,"&gt;="&amp;$A9,Despesas!$C:$C,G$1,Despesas!$M:$M,$B9)</f>
        <v>0</v>
      </c>
      <c r="H9" s="18">
        <f>SUMIFS(Despesas!$F:$F,Despesas!$J:$J,"&lt;="&amp;$A9,Despesas!$L:$L,"&gt;="&amp;$A9,Despesas!$C:$C,H$1,Despesas!$M:$M,"Mensal")+SUMIFS(Despesas!$F:$F,Despesas!$J:$J,"&lt;="&amp;$A9,Despesas!$L:$L,"&gt;="&amp;$A9,Despesas!$C:$C,H$1,Despesas!$M:$M,$B9)</f>
        <v>5350</v>
      </c>
      <c r="I9" s="18">
        <f>IF(Imóveis!$F$2="PRICE",IF(AND(Dados!$A9&gt;=Imóveis!$Q$2,Dados!$A9&lt;=Imóveis!$T$2),Imóveis!$U$2,0),IF((IF(AND(Dados!$A9&gt;=Imóveis!$Q$2,Dados!$A9&lt;=Imóveis!$T$2),Imóveis!$S$2-(DATEDIF(Imóveis!$Q$2,Dados!$A9,"m")),0))=0,0,((Imóveis!$N$2/Imóveis!$S$2)+((Imóveis!$N$2-((Imóveis!$S$2-(IF(AND(Dados!$A9&gt;=Imóveis!$Q$2,Dados!$A9&lt;=Imóveis!$T$2),Imóveis!$S$2-(DATEDIF(Imóveis!$Q$2,Dados!$A9,"m")),)))*(Imóveis!$N$2/Imóveis!$S$2)))*Imóveis!$P$2))))*IF(AND(Imóveis!$E$2&gt;0,Dados!$A9&gt;Imóveis!$E$2),0,1)</f>
        <v>18507.426732669395</v>
      </c>
      <c r="J9" s="18">
        <f>IF(Imóveis!$F$3="PRICE",IF(AND(Dados!$A9&gt;=Imóveis!$Q$3,Dados!$A9&lt;=Imóveis!$T$3),Imóveis!$U$3,0),IF((IF(AND(Dados!$A9&gt;=Imóveis!$Q$3,Dados!$A9&lt;=Imóveis!$T$3),Imóveis!$S$3-(DATEDIF(Imóveis!$Q$3,Dados!$A9,"m")),0))=0,0,((Imóveis!$N$3/Imóveis!$S$3)+((Imóveis!$N$3-((Imóveis!$S$3-(IF(AND(Dados!$A9&gt;=Imóveis!$Q$3,Dados!$A9&lt;=Imóveis!$T$3),Imóveis!$S$3-(DATEDIF(Imóveis!$Q$3,Dados!$A9,"m")),)))*(Imóveis!$N$3/Imóveis!$S$3)))*Imóveis!$P$3))))*IF(AND(Imóveis!$E$3&gt;0,Dados!$A9&gt;Imóveis!$E$3),0,1)</f>
        <v>0</v>
      </c>
      <c r="K9" s="18">
        <f>IF(Imóveis!$F$4="PRICE",IF(AND(Dados!$A9&gt;=Imóveis!$Q$4,Dados!$A9&lt;=Imóveis!$T$4),Imóveis!$U$4,0),IF((IF(AND(Dados!$A9&gt;=Imóveis!$Q$4,Dados!$A9&lt;=Imóveis!$T$4),Imóveis!$S$4-(DATEDIF(Imóveis!$Q$4,Dados!$A9,"m")),0))=0,0,((Imóveis!$N$4/Imóveis!$S$4)+((Imóveis!$N$4-((Imóveis!$S$4-(IF(AND(Dados!$A9&gt;=Imóveis!$Q$4,Dados!$A9&lt;=Imóveis!$T$4),Imóveis!$S$4-(DATEDIF(Imóveis!$Q$4,Dados!$A9,"m")),)))*(Imóveis!$N$4/Imóveis!$S$4)))*Imóveis!$P$4))))*IF(AND(Imóveis!$E$4&gt;0,Dados!$A9&gt;Imóveis!$E$4),0,1)</f>
        <v>4643.949359272583</v>
      </c>
      <c r="L9" s="18">
        <f>IF(Imóveis!$F$5="PRICE",IF(AND(Dados!$A9&gt;=Imóveis!$Q$5,Dados!$A9&lt;=Imóveis!$T$5),Imóveis!$U$5,0),IF((IF(AND(Dados!$A9&gt;=Imóveis!$Q$5,Dados!$A9&lt;=Imóveis!$T$5),Imóveis!$S$5-(DATEDIF(Imóveis!$Q$5,Dados!$A9,"m")),0))=0,0,((Imóveis!$N$5/Imóveis!$S$5)+((Imóveis!$N$5-((Imóveis!$S$5-(IF(AND(Dados!$A9 &gt;=Imóveis!$Q$5,Dados!$A9&lt;=Imóveis!$T$5),Imóveis!$S$5-(DATEDIF(Imóveis!$Q$5,Dados!$A9,"m")),)))*(Imóveis!$N$5/Imóveis!$S$5)))*Imóveis!$P$5))))*IF(AND(Imóveis!$E$5&gt;0,Dados!$A9&gt;Imóveis!$E$5),0,1)*Imóveis!$I$5</f>
        <v>0</v>
      </c>
      <c r="M9" s="18">
        <f>IF(Imóveis!$F$6="PRICE",IF(AND(Dados!$A9&gt;=Imóveis!$Q$6,Dados!$A9&lt;=Imóveis!$T$6),Imóveis!$U$6,0),IF((IF(AND(Dados!$A9&gt;=Imóveis!$Q$6,Dados!$A9&lt;=Imóveis!$T$6),Imóveis!$S$6-(DATEDIF(Imóveis!$Q$6,Dados!$A9,"m")),0))=0,0,((Imóveis!$N$6/Imóveis!$S$6)+((Imóveis!$N$6-((Imóveis!$S$6-(IF(AND(Dados!$A9&gt;=Imóveis!$Q$6,Dados!$A9&lt;=Imóveis!$T$6),Imóveis!$S$6-(DATEDIF(Imóveis!$Q$6,Dados!$A9,"m")),)))*(Imóveis!$N$6/Imóveis!$S$6)))*Imóveis!$P$6))))*IF(AND(Imóveis!$E$6&gt;0,Dados!$A9&gt;Imóveis!$E$6),0,1)*Imóveis!$I$6</f>
        <v>0</v>
      </c>
      <c r="N9" s="18">
        <f t="shared" si="3"/>
        <v>79501.376091941973</v>
      </c>
      <c r="O9" s="18">
        <f>SUMIFS(Receitas!$F:$F,Receitas!$J:$J,"&lt;="&amp;$A9,Receitas!$L:$L,"&gt;="&amp;$A9,Receitas!$C:$C,O$1,Receitas!$M:$M,"Mensal")+SUMIFS(Receitas!$F:$F,Receitas!$J:$J,"&lt;="&amp;$A9,Receitas!$L:$L,"&gt;="&amp;$A9,Receitas!$C:$C,O$1,Receitas!$M:$M,$B9)</f>
        <v>50000</v>
      </c>
      <c r="P9" s="18">
        <f>SUMIFS(Receitas!$F:$F,Receitas!$J:$J,"&lt;="&amp;$A9,Receitas!$L:$L,"&gt;="&amp;$A9,Receitas!$C:$C,P$1,Receitas!$M:$M,"Mensal")+SUMIFS(Receitas!$F:$F,Receitas!$J:$J,"&lt;="&amp;$A9,Receitas!$L:$L,"&gt;="&amp;$A9,Receitas!$C:$C,P$1,Receitas!$M:$M,$B9)</f>
        <v>20000</v>
      </c>
      <c r="Q9" s="18">
        <f>SUMIFS(Receitas!$F:$F,Receitas!$J:$J,"&lt;="&amp;$A9,Receitas!$L:$L,"&gt;="&amp;$A9,Receitas!$C:$C,Q$1,Receitas!$M:$M,"Mensal")+SUMIFS(Receitas!$F:$F,Receitas!$J:$J,"&lt;="&amp;$A9,Receitas!$L:$L,"&gt;="&amp;$A9,Receitas!$C:$C,Q$1,Receitas!$M:$M,$B9)</f>
        <v>3950</v>
      </c>
      <c r="R9" s="18" cm="1">
        <f t="array" ref="R9">(IF(AND(Membros!$F$2="Sim",A9&lt;=MAX(Membros!$E$2:$E$5)),Membros!K$2,IF(AND(A9&gt;=Membros!J$2,A9&lt;=MAX(Membros!$E$2:$E$5)),Membros!K$2,0))+IF(AND(Membros!$F$3="Sim",A9&lt;=MAX(Membros!$E$2:$E$5)),Membros!K$3,IF(AND(A9&gt;=Membros!J$3,A9&lt;=MAX(Membros!$E$2:$E$5)),Membros!K$3,0)))*IF(AND(COUNTIFS(Tabela3[Tipo],"Provedor",Tabela3[Simulação Seguro],"Sim")=2,A9&gt;=MAX(IF(Tabela3[Tipo]="Dependente",Tabela3[Expectativa de Vida (Data)]))),0,1)</f>
        <v>0</v>
      </c>
      <c r="S9" s="18">
        <f t="shared" si="4"/>
        <v>73950</v>
      </c>
      <c r="U9" s="18">
        <f t="shared" ca="1" si="7"/>
        <v>4592225.16426777</v>
      </c>
      <c r="V9" s="18">
        <f>SUMIF(Imóveis!E:E,Dados!A:A,Imóveis!Z:Z)-SUMIF(Imóveis!E:E,Dados!A:A,Imóveis!Y:Y)</f>
        <v>0</v>
      </c>
      <c r="W9" s="18">
        <f>-SUMIF(Projetos!N:N,A9,Projetos!F:F)</f>
        <v>0</v>
      </c>
      <c r="X9" s="18">
        <f t="shared" si="0"/>
        <v>-5551.3760919419728</v>
      </c>
      <c r="Y9" s="26">
        <f ca="1">(U9*((Indicadores_Economicos!D$2+1)^(1/12)-1))</f>
        <v>15033.750209078344</v>
      </c>
      <c r="Z9" s="18">
        <f t="shared" ca="1" si="5"/>
        <v>4601707.538384906</v>
      </c>
      <c r="AA9" s="18">
        <f ca="1">Auxiliar_Projetos!E9</f>
        <v>335552.21736351697</v>
      </c>
      <c r="AB9" s="18">
        <f ca="1">Auxiliar_Projetos!K9</f>
        <v>294786.52999198128</v>
      </c>
      <c r="AC9" s="18">
        <f ca="1">IF(Z9-AA9-AB9&gt;Investimentos!$C$14,Investimentos!$C$14,IF(Z9-AA9-AB9&lt;Investimentos!$C$14,Z9-AA9-AB9,0))</f>
        <v>300000</v>
      </c>
      <c r="AD9" s="18">
        <f t="shared" ca="1" si="6"/>
        <v>3671368.7910294081</v>
      </c>
      <c r="AE9" s="18"/>
    </row>
    <row r="10" spans="1:32" x14ac:dyDescent="0.2">
      <c r="A10" s="4">
        <v>45901</v>
      </c>
      <c r="B10" s="5" t="str">
        <f t="shared" si="1"/>
        <v>setembro</v>
      </c>
      <c r="C10" s="5" t="str">
        <f t="shared" si="2"/>
        <v>2025</v>
      </c>
      <c r="D10" s="5">
        <f>SUMIFS(Despesas!$F:$F,Despesas!$J:$J,"&lt;="&amp;$A10,Despesas!$L:$L,"&gt;="&amp;$A10,Despesas!$C:$C,D$1,Despesas!$M:$M,"Mensal")+SUMIFS(Despesas!$F:$F,Despesas!$J:$J,"&lt;="&amp;$A10,Despesas!$L:$L,"&gt;="&amp;$A10,Despesas!$C:$C,D$1,Despesas!$M:$M,$B10)</f>
        <v>23000</v>
      </c>
      <c r="E10" s="18">
        <f>SUMIFS(Despesas!$F:$F,Despesas!$J:$J,"&lt;="&amp;$A10,Despesas!$L:$L,"&gt;="&amp;$A10,Despesas!$C:$C,E$1,Despesas!$M:$M,"Mensal")+SUMIFS(Despesas!$F:$F,Despesas!$J:$J,"&lt;="&amp;$A10,Despesas!$L:$L,"&gt;="&amp;$A10,Despesas!$C:$C,E$1,Despesas!$M:$M,$B10)</f>
        <v>15000</v>
      </c>
      <c r="F10" s="5">
        <f>SUMIFS(Despesas!$F:$F,Despesas!$J:$J,"&lt;="&amp;$A10,Despesas!$L:$L,"&gt;="&amp;$A10,Despesas!$C:$C,F$1,Despesas!$M:$M,"Mensal")+SUMIFS(Despesas!$F:$F,Despesas!$J:$J,"&lt;="&amp;$A10,Despesas!$L:$L,"&gt;="&amp;$A10,Despesas!$C:$C,F$1,Despesas!$M:$M,$B10)</f>
        <v>13000</v>
      </c>
      <c r="G10" s="5">
        <f>SUMIFS(Despesas!$F:$F,Despesas!$J:$J,"&lt;="&amp;$A10,Despesas!$L:$L,"&gt;="&amp;$A10,Despesas!$C:$C,G$1,Despesas!$M:$M,"Mensal")+SUMIFS(Despesas!$F:$F,Despesas!$J:$J,"&lt;="&amp;$A10,Despesas!$L:$L,"&gt;="&amp;$A10,Despesas!$C:$C,G$1,Despesas!$M:$M,$B10)</f>
        <v>0</v>
      </c>
      <c r="H10" s="18">
        <f>SUMIFS(Despesas!$F:$F,Despesas!$J:$J,"&lt;="&amp;$A10,Despesas!$L:$L,"&gt;="&amp;$A10,Despesas!$C:$C,H$1,Despesas!$M:$M,"Mensal")+SUMIFS(Despesas!$F:$F,Despesas!$J:$J,"&lt;="&amp;$A10,Despesas!$L:$L,"&gt;="&amp;$A10,Despesas!$C:$C,H$1,Despesas!$M:$M,$B10)</f>
        <v>5350</v>
      </c>
      <c r="I10" s="18">
        <f>IF(Imóveis!$F$2="PRICE",IF(AND(Dados!$A10&gt;=Imóveis!$Q$2,Dados!$A10&lt;=Imóveis!$T$2),Imóveis!$U$2,0),IF((IF(AND(Dados!$A10&gt;=Imóveis!$Q$2,Dados!$A10&lt;=Imóveis!$T$2),Imóveis!$S$2-(DATEDIF(Imóveis!$Q$2,Dados!$A10,"m")),0))=0,0,((Imóveis!$N$2/Imóveis!$S$2)+((Imóveis!$N$2-((Imóveis!$S$2-(IF(AND(Dados!$A10&gt;=Imóveis!$Q$2,Dados!$A10&lt;=Imóveis!$T$2),Imóveis!$S$2-(DATEDIF(Imóveis!$Q$2,Dados!$A10,"m")),)))*(Imóveis!$N$2/Imóveis!$S$2)))*Imóveis!$P$2))))*IF(AND(Imóveis!$E$2&gt;0,Dados!$A10&gt;Imóveis!$E$2),0,1)</f>
        <v>18445.405640444591</v>
      </c>
      <c r="J10" s="18">
        <f>IF(Imóveis!$F$3="PRICE",IF(AND(Dados!$A10&gt;=Imóveis!$Q$3,Dados!$A10&lt;=Imóveis!$T$3),Imóveis!$U$3,0),IF((IF(AND(Dados!$A10&gt;=Imóveis!$Q$3,Dados!$A10&lt;=Imóveis!$T$3),Imóveis!$S$3-(DATEDIF(Imóveis!$Q$3,Dados!$A10,"m")),0))=0,0,((Imóveis!$N$3/Imóveis!$S$3)+((Imóveis!$N$3-((Imóveis!$S$3-(IF(AND(Dados!$A10&gt;=Imóveis!$Q$3,Dados!$A10&lt;=Imóveis!$T$3),Imóveis!$S$3-(DATEDIF(Imóveis!$Q$3,Dados!$A10,"m")),)))*(Imóveis!$N$3/Imóveis!$S$3)))*Imóveis!$P$3))))*IF(AND(Imóveis!$E$3&gt;0,Dados!$A10&gt;Imóveis!$E$3),0,1)</f>
        <v>0</v>
      </c>
      <c r="K10" s="18">
        <f>IF(Imóveis!$F$4="PRICE",IF(AND(Dados!$A10&gt;=Imóveis!$Q$4,Dados!$A10&lt;=Imóveis!$T$4),Imóveis!$U$4,0),IF((IF(AND(Dados!$A10&gt;=Imóveis!$Q$4,Dados!$A10&lt;=Imóveis!$T$4),Imóveis!$S$4-(DATEDIF(Imóveis!$Q$4,Dados!$A10,"m")),0))=0,0,((Imóveis!$N$4/Imóveis!$S$4)+((Imóveis!$N$4-((Imóveis!$S$4-(IF(AND(Dados!$A10&gt;=Imóveis!$Q$4,Dados!$A10&lt;=Imóveis!$T$4),Imóveis!$S$4-(DATEDIF(Imóveis!$Q$4,Dados!$A10,"m")),)))*(Imóveis!$N$4/Imóveis!$S$4)))*Imóveis!$P$4))))*IF(AND(Imóveis!$E$4&gt;0,Dados!$A10&gt;Imóveis!$E$4),0,1)</f>
        <v>4643.949359272583</v>
      </c>
      <c r="L10" s="18">
        <f>IF(Imóveis!$F$5="PRICE",IF(AND(Dados!$A10&gt;=Imóveis!$Q$5,Dados!$A10&lt;=Imóveis!$T$5),Imóveis!$U$5,0),IF((IF(AND(Dados!$A10&gt;=Imóveis!$Q$5,Dados!$A10&lt;=Imóveis!$T$5),Imóveis!$S$5-(DATEDIF(Imóveis!$Q$5,Dados!$A10,"m")),0))=0,0,((Imóveis!$N$5/Imóveis!$S$5)+((Imóveis!$N$5-((Imóveis!$S$5-(IF(AND(Dados!$A10 &gt;=Imóveis!$Q$5,Dados!$A10&lt;=Imóveis!$T$5),Imóveis!$S$5-(DATEDIF(Imóveis!$Q$5,Dados!$A10,"m")),)))*(Imóveis!$N$5/Imóveis!$S$5)))*Imóveis!$P$5))))*IF(AND(Imóveis!$E$5&gt;0,Dados!$A10&gt;Imóveis!$E$5),0,1)*Imóveis!$I$5</f>
        <v>0</v>
      </c>
      <c r="M10" s="18">
        <f>IF(Imóveis!$F$6="PRICE",IF(AND(Dados!$A10&gt;=Imóveis!$Q$6,Dados!$A10&lt;=Imóveis!$T$6),Imóveis!$U$6,0),IF((IF(AND(Dados!$A10&gt;=Imóveis!$Q$6,Dados!$A10&lt;=Imóveis!$T$6),Imóveis!$S$6-(DATEDIF(Imóveis!$Q$6,Dados!$A10,"m")),0))=0,0,((Imóveis!$N$6/Imóveis!$S$6)+((Imóveis!$N$6-((Imóveis!$S$6-(IF(AND(Dados!$A10&gt;=Imóveis!$Q$6,Dados!$A10&lt;=Imóveis!$T$6),Imóveis!$S$6-(DATEDIF(Imóveis!$Q$6,Dados!$A10,"m")),)))*(Imóveis!$N$6/Imóveis!$S$6)))*Imóveis!$P$6))))*IF(AND(Imóveis!$E$6&gt;0,Dados!$A10&gt;Imóveis!$E$6),0,1)*Imóveis!$I$6</f>
        <v>0</v>
      </c>
      <c r="N10" s="18">
        <f t="shared" si="3"/>
        <v>79439.354999717165</v>
      </c>
      <c r="O10" s="18">
        <f>SUMIFS(Receitas!$F:$F,Receitas!$J:$J,"&lt;="&amp;$A10,Receitas!$L:$L,"&gt;="&amp;$A10,Receitas!$C:$C,O$1,Receitas!$M:$M,"Mensal")+SUMIFS(Receitas!$F:$F,Receitas!$J:$J,"&lt;="&amp;$A10,Receitas!$L:$L,"&gt;="&amp;$A10,Receitas!$C:$C,O$1,Receitas!$M:$M,$B10)</f>
        <v>50000</v>
      </c>
      <c r="P10" s="18">
        <f>SUMIFS(Receitas!$F:$F,Receitas!$J:$J,"&lt;="&amp;$A10,Receitas!$L:$L,"&gt;="&amp;$A10,Receitas!$C:$C,P$1,Receitas!$M:$M,"Mensal")+SUMIFS(Receitas!$F:$F,Receitas!$J:$J,"&lt;="&amp;$A10,Receitas!$L:$L,"&gt;="&amp;$A10,Receitas!$C:$C,P$1,Receitas!$M:$M,$B10)</f>
        <v>20000</v>
      </c>
      <c r="Q10" s="18">
        <f>SUMIFS(Receitas!$F:$F,Receitas!$J:$J,"&lt;="&amp;$A10,Receitas!$L:$L,"&gt;="&amp;$A10,Receitas!$C:$C,Q$1,Receitas!$M:$M,"Mensal")+SUMIFS(Receitas!$F:$F,Receitas!$J:$J,"&lt;="&amp;$A10,Receitas!$L:$L,"&gt;="&amp;$A10,Receitas!$C:$C,Q$1,Receitas!$M:$M,$B10)</f>
        <v>3950</v>
      </c>
      <c r="R10" s="18" cm="1">
        <f t="array" ref="R10">(IF(AND(Membros!$F$2="Sim",A10&lt;=MAX(Membros!$E$2:$E$5)),Membros!K$2,IF(AND(A10&gt;=Membros!J$2,A10&lt;=MAX(Membros!$E$2:$E$5)),Membros!K$2,0))+IF(AND(Membros!$F$3="Sim",A10&lt;=MAX(Membros!$E$2:$E$5)),Membros!K$3,IF(AND(A10&gt;=Membros!J$3,A10&lt;=MAX(Membros!$E$2:$E$5)),Membros!K$3,0)))*IF(AND(COUNTIFS(Tabela3[Tipo],"Provedor",Tabela3[Simulação Seguro],"Sim")=2,A10&gt;=MAX(IF(Tabela3[Tipo]="Dependente",Tabela3[Expectativa de Vida (Data)]))),0,1)</f>
        <v>0</v>
      </c>
      <c r="S10" s="18">
        <f t="shared" si="4"/>
        <v>73950</v>
      </c>
      <c r="U10" s="18">
        <f t="shared" ca="1" si="7"/>
        <v>4601707.538384906</v>
      </c>
      <c r="V10" s="18">
        <f>SUMIF(Imóveis!E:E,Dados!A:A,Imóveis!Z:Z)-SUMIF(Imóveis!E:E,Dados!A:A,Imóveis!Y:Y)</f>
        <v>0</v>
      </c>
      <c r="W10" s="18">
        <f>-SUMIF(Projetos!N:N,A10,Projetos!F:F)</f>
        <v>0</v>
      </c>
      <c r="X10" s="18">
        <f t="shared" si="0"/>
        <v>-5489.3549997171649</v>
      </c>
      <c r="Y10" s="26">
        <f ca="1">(U10*((Indicadores_Economicos!D$2+1)^(1/12)-1))</f>
        <v>15064.793034455304</v>
      </c>
      <c r="Z10" s="18">
        <f t="shared" ca="1" si="5"/>
        <v>4611282.9764196444</v>
      </c>
      <c r="AA10" s="18">
        <f ca="1">Auxiliar_Projetos!E10</f>
        <v>336650.728006505</v>
      </c>
      <c r="AB10" s="18">
        <f ca="1">Auxiliar_Projetos!K10</f>
        <v>295751.58438247239</v>
      </c>
      <c r="AC10" s="18">
        <f ca="1">IF(Z10-AA10-AB10&gt;Investimentos!$C$14,Investimentos!$C$14,IF(Z10-AA10-AB10&lt;Investimentos!$C$14,Z10-AA10-AB10,0))</f>
        <v>300000</v>
      </c>
      <c r="AD10" s="18">
        <f t="shared" ca="1" si="6"/>
        <v>3678880.6640306665</v>
      </c>
      <c r="AE10" s="18"/>
    </row>
    <row r="11" spans="1:32" x14ac:dyDescent="0.2">
      <c r="A11" s="4">
        <v>45931</v>
      </c>
      <c r="B11" s="5" t="str">
        <f t="shared" si="1"/>
        <v>outubro</v>
      </c>
      <c r="C11" s="5" t="str">
        <f t="shared" si="2"/>
        <v>2025</v>
      </c>
      <c r="D11" s="5">
        <f>SUMIFS(Despesas!$F:$F,Despesas!$J:$J,"&lt;="&amp;$A11,Despesas!$L:$L,"&gt;="&amp;$A11,Despesas!$C:$C,D$1,Despesas!$M:$M,"Mensal")+SUMIFS(Despesas!$F:$F,Despesas!$J:$J,"&lt;="&amp;$A11,Despesas!$L:$L,"&gt;="&amp;$A11,Despesas!$C:$C,D$1,Despesas!$M:$M,$B11)</f>
        <v>23000</v>
      </c>
      <c r="E11" s="18">
        <f>SUMIFS(Despesas!$F:$F,Despesas!$J:$J,"&lt;="&amp;$A11,Despesas!$L:$L,"&gt;="&amp;$A11,Despesas!$C:$C,E$1,Despesas!$M:$M,"Mensal")+SUMIFS(Despesas!$F:$F,Despesas!$J:$J,"&lt;="&amp;$A11,Despesas!$L:$L,"&gt;="&amp;$A11,Despesas!$C:$C,E$1,Despesas!$M:$M,$B11)</f>
        <v>15000</v>
      </c>
      <c r="F11" s="5">
        <f>SUMIFS(Despesas!$F:$F,Despesas!$J:$J,"&lt;="&amp;$A11,Despesas!$L:$L,"&gt;="&amp;$A11,Despesas!$C:$C,F$1,Despesas!$M:$M,"Mensal")+SUMIFS(Despesas!$F:$F,Despesas!$J:$J,"&lt;="&amp;$A11,Despesas!$L:$L,"&gt;="&amp;$A11,Despesas!$C:$C,F$1,Despesas!$M:$M,$B11)</f>
        <v>13000</v>
      </c>
      <c r="G11" s="5">
        <f>SUMIFS(Despesas!$F:$F,Despesas!$J:$J,"&lt;="&amp;$A11,Despesas!$L:$L,"&gt;="&amp;$A11,Despesas!$C:$C,G$1,Despesas!$M:$M,"Mensal")+SUMIFS(Despesas!$F:$F,Despesas!$J:$J,"&lt;="&amp;$A11,Despesas!$L:$L,"&gt;="&amp;$A11,Despesas!$C:$C,G$1,Despesas!$M:$M,$B11)</f>
        <v>0</v>
      </c>
      <c r="H11" s="18">
        <f>SUMIFS(Despesas!$F:$F,Despesas!$J:$J,"&lt;="&amp;$A11,Despesas!$L:$L,"&gt;="&amp;$A11,Despesas!$C:$C,H$1,Despesas!$M:$M,"Mensal")+SUMIFS(Despesas!$F:$F,Despesas!$J:$J,"&lt;="&amp;$A11,Despesas!$L:$L,"&gt;="&amp;$A11,Despesas!$C:$C,H$1,Despesas!$M:$M,$B11)</f>
        <v>5350</v>
      </c>
      <c r="I11" s="18">
        <f>IF(Imóveis!$F$2="PRICE",IF(AND(Dados!$A11&gt;=Imóveis!$Q$2,Dados!$A11&lt;=Imóveis!$T$2),Imóveis!$U$2,0),IF((IF(AND(Dados!$A11&gt;=Imóveis!$Q$2,Dados!$A11&lt;=Imóveis!$T$2),Imóveis!$S$2-(DATEDIF(Imóveis!$Q$2,Dados!$A11,"m")),0))=0,0,((Imóveis!$N$2/Imóveis!$S$2)+((Imóveis!$N$2-((Imóveis!$S$2-(IF(AND(Dados!$A11&gt;=Imóveis!$Q$2,Dados!$A11&lt;=Imóveis!$T$2),Imóveis!$S$2-(DATEDIF(Imóveis!$Q$2,Dados!$A11,"m")),)))*(Imóveis!$N$2/Imóveis!$S$2)))*Imóveis!$P$2))))*IF(AND(Imóveis!$E$2&gt;0,Dados!$A11&gt;Imóveis!$E$2),0,1)</f>
        <v>18383.384548219783</v>
      </c>
      <c r="J11" s="18">
        <f>IF(Imóveis!$F$3="PRICE",IF(AND(Dados!$A11&gt;=Imóveis!$Q$3,Dados!$A11&lt;=Imóveis!$T$3),Imóveis!$U$3,0),IF((IF(AND(Dados!$A11&gt;=Imóveis!$Q$3,Dados!$A11&lt;=Imóveis!$T$3),Imóveis!$S$3-(DATEDIF(Imóveis!$Q$3,Dados!$A11,"m")),0))=0,0,((Imóveis!$N$3/Imóveis!$S$3)+((Imóveis!$N$3-((Imóveis!$S$3-(IF(AND(Dados!$A11&gt;=Imóveis!$Q$3,Dados!$A11&lt;=Imóveis!$T$3),Imóveis!$S$3-(DATEDIF(Imóveis!$Q$3,Dados!$A11,"m")),)))*(Imóveis!$N$3/Imóveis!$S$3)))*Imóveis!$P$3))))*IF(AND(Imóveis!$E$3&gt;0,Dados!$A11&gt;Imóveis!$E$3),0,1)</f>
        <v>0</v>
      </c>
      <c r="K11" s="18">
        <f>IF(Imóveis!$F$4="PRICE",IF(AND(Dados!$A11&gt;=Imóveis!$Q$4,Dados!$A11&lt;=Imóveis!$T$4),Imóveis!$U$4,0),IF((IF(AND(Dados!$A11&gt;=Imóveis!$Q$4,Dados!$A11&lt;=Imóveis!$T$4),Imóveis!$S$4-(DATEDIF(Imóveis!$Q$4,Dados!$A11,"m")),0))=0,0,((Imóveis!$N$4/Imóveis!$S$4)+((Imóveis!$N$4-((Imóveis!$S$4-(IF(AND(Dados!$A11&gt;=Imóveis!$Q$4,Dados!$A11&lt;=Imóveis!$T$4),Imóveis!$S$4-(DATEDIF(Imóveis!$Q$4,Dados!$A11,"m")),)))*(Imóveis!$N$4/Imóveis!$S$4)))*Imóveis!$P$4))))*IF(AND(Imóveis!$E$4&gt;0,Dados!$A11&gt;Imóveis!$E$4),0,1)</f>
        <v>4643.949359272583</v>
      </c>
      <c r="L11" s="18">
        <f>IF(Imóveis!$F$5="PRICE",IF(AND(Dados!$A11&gt;=Imóveis!$Q$5,Dados!$A11&lt;=Imóveis!$T$5),Imóveis!$U$5,0),IF((IF(AND(Dados!$A11&gt;=Imóveis!$Q$5,Dados!$A11&lt;=Imóveis!$T$5),Imóveis!$S$5-(DATEDIF(Imóveis!$Q$5,Dados!$A11,"m")),0))=0,0,((Imóveis!$N$5/Imóveis!$S$5)+((Imóveis!$N$5-((Imóveis!$S$5-(IF(AND(Dados!$A11 &gt;=Imóveis!$Q$5,Dados!$A11&lt;=Imóveis!$T$5),Imóveis!$S$5-(DATEDIF(Imóveis!$Q$5,Dados!$A11,"m")),)))*(Imóveis!$N$5/Imóveis!$S$5)))*Imóveis!$P$5))))*IF(AND(Imóveis!$E$5&gt;0,Dados!$A11&gt;Imóveis!$E$5),0,1)*Imóveis!$I$5</f>
        <v>0</v>
      </c>
      <c r="M11" s="18">
        <f>IF(Imóveis!$F$6="PRICE",IF(AND(Dados!$A11&gt;=Imóveis!$Q$6,Dados!$A11&lt;=Imóveis!$T$6),Imóveis!$U$6,0),IF((IF(AND(Dados!$A11&gt;=Imóveis!$Q$6,Dados!$A11&lt;=Imóveis!$T$6),Imóveis!$S$6-(DATEDIF(Imóveis!$Q$6,Dados!$A11,"m")),0))=0,0,((Imóveis!$N$6/Imóveis!$S$6)+((Imóveis!$N$6-((Imóveis!$S$6-(IF(AND(Dados!$A11&gt;=Imóveis!$Q$6,Dados!$A11&lt;=Imóveis!$T$6),Imóveis!$S$6-(DATEDIF(Imóveis!$Q$6,Dados!$A11,"m")),)))*(Imóveis!$N$6/Imóveis!$S$6)))*Imóveis!$P$6))))*IF(AND(Imóveis!$E$6&gt;0,Dados!$A11&gt;Imóveis!$E$6),0,1)*Imóveis!$I$6</f>
        <v>0</v>
      </c>
      <c r="N11" s="18">
        <f t="shared" si="3"/>
        <v>79377.333907492357</v>
      </c>
      <c r="O11" s="18">
        <f>SUMIFS(Receitas!$F:$F,Receitas!$J:$J,"&lt;="&amp;$A11,Receitas!$L:$L,"&gt;="&amp;$A11,Receitas!$C:$C,O$1,Receitas!$M:$M,"Mensal")+SUMIFS(Receitas!$F:$F,Receitas!$J:$J,"&lt;="&amp;$A11,Receitas!$L:$L,"&gt;="&amp;$A11,Receitas!$C:$C,O$1,Receitas!$M:$M,$B11)</f>
        <v>50000</v>
      </c>
      <c r="P11" s="18">
        <f>SUMIFS(Receitas!$F:$F,Receitas!$J:$J,"&lt;="&amp;$A11,Receitas!$L:$L,"&gt;="&amp;$A11,Receitas!$C:$C,P$1,Receitas!$M:$M,"Mensal")+SUMIFS(Receitas!$F:$F,Receitas!$J:$J,"&lt;="&amp;$A11,Receitas!$L:$L,"&gt;="&amp;$A11,Receitas!$C:$C,P$1,Receitas!$M:$M,$B11)</f>
        <v>20000</v>
      </c>
      <c r="Q11" s="18">
        <f>SUMIFS(Receitas!$F:$F,Receitas!$J:$J,"&lt;="&amp;$A11,Receitas!$L:$L,"&gt;="&amp;$A11,Receitas!$C:$C,Q$1,Receitas!$M:$M,"Mensal")+SUMIFS(Receitas!$F:$F,Receitas!$J:$J,"&lt;="&amp;$A11,Receitas!$L:$L,"&gt;="&amp;$A11,Receitas!$C:$C,Q$1,Receitas!$M:$M,$B11)</f>
        <v>3950</v>
      </c>
      <c r="R11" s="18" cm="1">
        <f t="array" ref="R11">(IF(AND(Membros!$F$2="Sim",A11&lt;=MAX(Membros!$E$2:$E$5)),Membros!K$2,IF(AND(A11&gt;=Membros!J$2,A11&lt;=MAX(Membros!$E$2:$E$5)),Membros!K$2,0))+IF(AND(Membros!$F$3="Sim",A11&lt;=MAX(Membros!$E$2:$E$5)),Membros!K$3,IF(AND(A11&gt;=Membros!J$3,A11&lt;=MAX(Membros!$E$2:$E$5)),Membros!K$3,0)))*IF(AND(COUNTIFS(Tabela3[Tipo],"Provedor",Tabela3[Simulação Seguro],"Sim")=2,A11&gt;=MAX(IF(Tabela3[Tipo]="Dependente",Tabela3[Expectativa de Vida (Data)]))),0,1)</f>
        <v>0</v>
      </c>
      <c r="S11" s="18">
        <f t="shared" si="4"/>
        <v>73950</v>
      </c>
      <c r="U11" s="18">
        <f t="shared" ca="1" si="7"/>
        <v>4611282.9764196444</v>
      </c>
      <c r="V11" s="18">
        <f>SUMIF(Imóveis!E:E,Dados!A:A,Imóveis!Z:Z)-SUMIF(Imóveis!E:E,Dados!A:A,Imóveis!Y:Y)</f>
        <v>0</v>
      </c>
      <c r="W11" s="18">
        <f>-SUMIF(Projetos!N:N,A11,Projetos!F:F)</f>
        <v>0</v>
      </c>
      <c r="X11" s="18">
        <f t="shared" si="0"/>
        <v>-5427.333907492357</v>
      </c>
      <c r="Y11" s="26">
        <f ca="1">(U11*((Indicadores_Economicos!D$2+1)^(1/12)-1))</f>
        <v>15096.140526881609</v>
      </c>
      <c r="Z11" s="18">
        <f t="shared" ca="1" si="5"/>
        <v>4620951.7830390334</v>
      </c>
      <c r="AA11" s="18">
        <f ca="1">Auxiliar_Projetos!E11</f>
        <v>337752.83488748613</v>
      </c>
      <c r="AB11" s="18">
        <f ca="1">Auxiliar_Projetos!K11</f>
        <v>296719.79810991365</v>
      </c>
      <c r="AC11" s="18">
        <f ca="1">IF(Z11-AA11-AB11&gt;Investimentos!$C$14,Investimentos!$C$14,IF(Z11-AA11-AB11&lt;Investimentos!$C$14,Z11-AA11-AB11,0))</f>
        <v>300000</v>
      </c>
      <c r="AD11" s="18">
        <f t="shared" ca="1" si="6"/>
        <v>3686479.1500416338</v>
      </c>
      <c r="AE11" s="18"/>
    </row>
    <row r="12" spans="1:32" x14ac:dyDescent="0.2">
      <c r="A12" s="4">
        <v>45962</v>
      </c>
      <c r="B12" s="5" t="str">
        <f t="shared" si="1"/>
        <v>novembro</v>
      </c>
      <c r="C12" s="5" t="str">
        <f t="shared" si="2"/>
        <v>2025</v>
      </c>
      <c r="D12" s="5">
        <f>SUMIFS(Despesas!$F:$F,Despesas!$J:$J,"&lt;="&amp;$A12,Despesas!$L:$L,"&gt;="&amp;$A12,Despesas!$C:$C,D$1,Despesas!$M:$M,"Mensal")+SUMIFS(Despesas!$F:$F,Despesas!$J:$J,"&lt;="&amp;$A12,Despesas!$L:$L,"&gt;="&amp;$A12,Despesas!$C:$C,D$1,Despesas!$M:$M,$B12)</f>
        <v>23000</v>
      </c>
      <c r="E12" s="18">
        <f>SUMIFS(Despesas!$F:$F,Despesas!$J:$J,"&lt;="&amp;$A12,Despesas!$L:$L,"&gt;="&amp;$A12,Despesas!$C:$C,E$1,Despesas!$M:$M,"Mensal")+SUMIFS(Despesas!$F:$F,Despesas!$J:$J,"&lt;="&amp;$A12,Despesas!$L:$L,"&gt;="&amp;$A12,Despesas!$C:$C,E$1,Despesas!$M:$M,$B12)</f>
        <v>15000</v>
      </c>
      <c r="F12" s="5">
        <f>SUMIFS(Despesas!$F:$F,Despesas!$J:$J,"&lt;="&amp;$A12,Despesas!$L:$L,"&gt;="&amp;$A12,Despesas!$C:$C,F$1,Despesas!$M:$M,"Mensal")+SUMIFS(Despesas!$F:$F,Despesas!$J:$J,"&lt;="&amp;$A12,Despesas!$L:$L,"&gt;="&amp;$A12,Despesas!$C:$C,F$1,Despesas!$M:$M,$B12)</f>
        <v>13000</v>
      </c>
      <c r="G12" s="5">
        <f>SUMIFS(Despesas!$F:$F,Despesas!$J:$J,"&lt;="&amp;$A12,Despesas!$L:$L,"&gt;="&amp;$A12,Despesas!$C:$C,G$1,Despesas!$M:$M,"Mensal")+SUMIFS(Despesas!$F:$F,Despesas!$J:$J,"&lt;="&amp;$A12,Despesas!$L:$L,"&gt;="&amp;$A12,Despesas!$C:$C,G$1,Despesas!$M:$M,$B12)</f>
        <v>0</v>
      </c>
      <c r="H12" s="18">
        <f>SUMIFS(Despesas!$F:$F,Despesas!$J:$J,"&lt;="&amp;$A12,Despesas!$L:$L,"&gt;="&amp;$A12,Despesas!$C:$C,H$1,Despesas!$M:$M,"Mensal")+SUMIFS(Despesas!$F:$F,Despesas!$J:$J,"&lt;="&amp;$A12,Despesas!$L:$L,"&gt;="&amp;$A12,Despesas!$C:$C,H$1,Despesas!$M:$M,$B12)</f>
        <v>5350</v>
      </c>
      <c r="I12" s="18">
        <f>IF(Imóveis!$F$2="PRICE",IF(AND(Dados!$A12&gt;=Imóveis!$Q$2,Dados!$A12&lt;=Imóveis!$T$2),Imóveis!$U$2,0),IF((IF(AND(Dados!$A12&gt;=Imóveis!$Q$2,Dados!$A12&lt;=Imóveis!$T$2),Imóveis!$S$2-(DATEDIF(Imóveis!$Q$2,Dados!$A12,"m")),0))=0,0,((Imóveis!$N$2/Imóveis!$S$2)+((Imóveis!$N$2-((Imóveis!$S$2-(IF(AND(Dados!$A12&gt;=Imóveis!$Q$2,Dados!$A12&lt;=Imóveis!$T$2),Imóveis!$S$2-(DATEDIF(Imóveis!$Q$2,Dados!$A12,"m")),)))*(Imóveis!$N$2/Imóveis!$S$2)))*Imóveis!$P$2))))*IF(AND(Imóveis!$E$2&gt;0,Dados!$A12&gt;Imóveis!$E$2),0,1)</f>
        <v>18321.363455994979</v>
      </c>
      <c r="J12" s="18">
        <f>IF(Imóveis!$F$3="PRICE",IF(AND(Dados!$A12&gt;=Imóveis!$Q$3,Dados!$A12&lt;=Imóveis!$T$3),Imóveis!$U$3,0),IF((IF(AND(Dados!$A12&gt;=Imóveis!$Q$3,Dados!$A12&lt;=Imóveis!$T$3),Imóveis!$S$3-(DATEDIF(Imóveis!$Q$3,Dados!$A12,"m")),0))=0,0,((Imóveis!$N$3/Imóveis!$S$3)+((Imóveis!$N$3-((Imóveis!$S$3-(IF(AND(Dados!$A12&gt;=Imóveis!$Q$3,Dados!$A12&lt;=Imóveis!$T$3),Imóveis!$S$3-(DATEDIF(Imóveis!$Q$3,Dados!$A12,"m")),)))*(Imóveis!$N$3/Imóveis!$S$3)))*Imóveis!$P$3))))*IF(AND(Imóveis!$E$3&gt;0,Dados!$A12&gt;Imóveis!$E$3),0,1)</f>
        <v>0</v>
      </c>
      <c r="K12" s="18">
        <f>IF(Imóveis!$F$4="PRICE",IF(AND(Dados!$A12&gt;=Imóveis!$Q$4,Dados!$A12&lt;=Imóveis!$T$4),Imóveis!$U$4,0),IF((IF(AND(Dados!$A12&gt;=Imóveis!$Q$4,Dados!$A12&lt;=Imóveis!$T$4),Imóveis!$S$4-(DATEDIF(Imóveis!$Q$4,Dados!$A12,"m")),0))=0,0,((Imóveis!$N$4/Imóveis!$S$4)+((Imóveis!$N$4-((Imóveis!$S$4-(IF(AND(Dados!$A12&gt;=Imóveis!$Q$4,Dados!$A12&lt;=Imóveis!$T$4),Imóveis!$S$4-(DATEDIF(Imóveis!$Q$4,Dados!$A12,"m")),)))*(Imóveis!$N$4/Imóveis!$S$4)))*Imóveis!$P$4))))*IF(AND(Imóveis!$E$4&gt;0,Dados!$A12&gt;Imóveis!$E$4),0,1)</f>
        <v>4643.949359272583</v>
      </c>
      <c r="L12" s="18">
        <f>IF(Imóveis!$F$5="PRICE",IF(AND(Dados!$A12&gt;=Imóveis!$Q$5,Dados!$A12&lt;=Imóveis!$T$5),Imóveis!$U$5,0),IF((IF(AND(Dados!$A12&gt;=Imóveis!$Q$5,Dados!$A12&lt;=Imóveis!$T$5),Imóveis!$S$5-(DATEDIF(Imóveis!$Q$5,Dados!$A12,"m")),0))=0,0,((Imóveis!$N$5/Imóveis!$S$5)+((Imóveis!$N$5-((Imóveis!$S$5-(IF(AND(Dados!$A12 &gt;=Imóveis!$Q$5,Dados!$A12&lt;=Imóveis!$T$5),Imóveis!$S$5-(DATEDIF(Imóveis!$Q$5,Dados!$A12,"m")),)))*(Imóveis!$N$5/Imóveis!$S$5)))*Imóveis!$P$5))))*IF(AND(Imóveis!$E$5&gt;0,Dados!$A12&gt;Imóveis!$E$5),0,1)*Imóveis!$I$5</f>
        <v>0</v>
      </c>
      <c r="M12" s="18">
        <f>IF(Imóveis!$F$6="PRICE",IF(AND(Dados!$A12&gt;=Imóveis!$Q$6,Dados!$A12&lt;=Imóveis!$T$6),Imóveis!$U$6,0),IF((IF(AND(Dados!$A12&gt;=Imóveis!$Q$6,Dados!$A12&lt;=Imóveis!$T$6),Imóveis!$S$6-(DATEDIF(Imóveis!$Q$6,Dados!$A12,"m")),0))=0,0,((Imóveis!$N$6/Imóveis!$S$6)+((Imóveis!$N$6-((Imóveis!$S$6-(IF(AND(Dados!$A12&gt;=Imóveis!$Q$6,Dados!$A12&lt;=Imóveis!$T$6),Imóveis!$S$6-(DATEDIF(Imóveis!$Q$6,Dados!$A12,"m")),)))*(Imóveis!$N$6/Imóveis!$S$6)))*Imóveis!$P$6))))*IF(AND(Imóveis!$E$6&gt;0,Dados!$A12&gt;Imóveis!$E$6),0,1)*Imóveis!$I$6</f>
        <v>0</v>
      </c>
      <c r="N12" s="18">
        <f t="shared" si="3"/>
        <v>79315.312815267564</v>
      </c>
      <c r="O12" s="18">
        <f>SUMIFS(Receitas!$F:$F,Receitas!$J:$J,"&lt;="&amp;$A12,Receitas!$L:$L,"&gt;="&amp;$A12,Receitas!$C:$C,O$1,Receitas!$M:$M,"Mensal")+SUMIFS(Receitas!$F:$F,Receitas!$J:$J,"&lt;="&amp;$A12,Receitas!$L:$L,"&gt;="&amp;$A12,Receitas!$C:$C,O$1,Receitas!$M:$M,$B12)</f>
        <v>50000</v>
      </c>
      <c r="P12" s="18">
        <f>SUMIFS(Receitas!$F:$F,Receitas!$J:$J,"&lt;="&amp;$A12,Receitas!$L:$L,"&gt;="&amp;$A12,Receitas!$C:$C,P$1,Receitas!$M:$M,"Mensal")+SUMIFS(Receitas!$F:$F,Receitas!$J:$J,"&lt;="&amp;$A12,Receitas!$L:$L,"&gt;="&amp;$A12,Receitas!$C:$C,P$1,Receitas!$M:$M,$B12)</f>
        <v>86666.666666666672</v>
      </c>
      <c r="Q12" s="18">
        <f>SUMIFS(Receitas!$F:$F,Receitas!$J:$J,"&lt;="&amp;$A12,Receitas!$L:$L,"&gt;="&amp;$A12,Receitas!$C:$C,Q$1,Receitas!$M:$M,"Mensal")+SUMIFS(Receitas!$F:$F,Receitas!$J:$J,"&lt;="&amp;$A12,Receitas!$L:$L,"&gt;="&amp;$A12,Receitas!$C:$C,Q$1,Receitas!$M:$M,$B12)</f>
        <v>3950</v>
      </c>
      <c r="R12" s="18" cm="1">
        <f t="array" ref="R12">(IF(AND(Membros!$F$2="Sim",A12&lt;=MAX(Membros!$E$2:$E$5)),Membros!K$2,IF(AND(A12&gt;=Membros!J$2,A12&lt;=MAX(Membros!$E$2:$E$5)),Membros!K$2,0))+IF(AND(Membros!$F$3="Sim",A12&lt;=MAX(Membros!$E$2:$E$5)),Membros!K$3,IF(AND(A12&gt;=Membros!J$3,A12&lt;=MAX(Membros!$E$2:$E$5)),Membros!K$3,0)))*IF(AND(COUNTIFS(Tabela3[Tipo],"Provedor",Tabela3[Simulação Seguro],"Sim")=2,A12&gt;=MAX(IF(Tabela3[Tipo]="Dependente",Tabela3[Expectativa de Vida (Data)]))),0,1)</f>
        <v>0</v>
      </c>
      <c r="S12" s="18">
        <f t="shared" si="4"/>
        <v>140616.66666666669</v>
      </c>
      <c r="U12" s="18">
        <f t="shared" ca="1" si="7"/>
        <v>4620951.7830390334</v>
      </c>
      <c r="V12" s="18">
        <f>SUMIF(Imóveis!E:E,Dados!A:A,Imóveis!Z:Z)-SUMIF(Imóveis!E:E,Dados!A:A,Imóveis!Y:Y)</f>
        <v>0</v>
      </c>
      <c r="W12" s="18">
        <f>-SUMIF(Projetos!N:N,A12,Projetos!F:F)</f>
        <v>0</v>
      </c>
      <c r="X12" s="18">
        <f t="shared" si="0"/>
        <v>61301.353851399123</v>
      </c>
      <c r="Y12" s="26">
        <f ca="1">(U12*((Indicadores_Economicos!D$2+1)^(1/12)-1))</f>
        <v>15127.793683757891</v>
      </c>
      <c r="Z12" s="18">
        <f t="shared" ca="1" si="5"/>
        <v>4697380.9305741908</v>
      </c>
      <c r="AA12" s="18">
        <f ca="1">Auxiliar_Projetos!E12</f>
        <v>338858.54977960774</v>
      </c>
      <c r="AB12" s="18">
        <f ca="1">Auxiliar_Projetos!K12</f>
        <v>297691.18151715212</v>
      </c>
      <c r="AC12" s="18">
        <f ca="1">IF(Z12-AA12-AB12&gt;Investimentos!$C$14,Investimentos!$C$14,IF(Z12-AA12-AB12&lt;Investimentos!$C$14,Z12-AA12-AB12,0))</f>
        <v>300000</v>
      </c>
      <c r="AD12" s="18">
        <f t="shared" ca="1" si="6"/>
        <v>3760831.1992774308</v>
      </c>
      <c r="AE12" s="18"/>
    </row>
    <row r="13" spans="1:32" x14ac:dyDescent="0.2">
      <c r="A13" s="4">
        <v>45992</v>
      </c>
      <c r="B13" s="5" t="str">
        <f t="shared" si="1"/>
        <v>dezembro</v>
      </c>
      <c r="C13" s="5" t="str">
        <f t="shared" si="2"/>
        <v>2025</v>
      </c>
      <c r="D13" s="5">
        <f>SUMIFS(Despesas!$F:$F,Despesas!$J:$J,"&lt;="&amp;$A13,Despesas!$L:$L,"&gt;="&amp;$A13,Despesas!$C:$C,D$1,Despesas!$M:$M,"Mensal")+SUMIFS(Despesas!$F:$F,Despesas!$J:$J,"&lt;="&amp;$A13,Despesas!$L:$L,"&gt;="&amp;$A13,Despesas!$C:$C,D$1,Despesas!$M:$M,$B13)</f>
        <v>23000</v>
      </c>
      <c r="E13" s="18">
        <f>SUMIFS(Despesas!$F:$F,Despesas!$J:$J,"&lt;="&amp;$A13,Despesas!$L:$L,"&gt;="&amp;$A13,Despesas!$C:$C,E$1,Despesas!$M:$M,"Mensal")+SUMIFS(Despesas!$F:$F,Despesas!$J:$J,"&lt;="&amp;$A13,Despesas!$L:$L,"&gt;="&amp;$A13,Despesas!$C:$C,E$1,Despesas!$M:$M,$B13)</f>
        <v>15000</v>
      </c>
      <c r="F13" s="5">
        <f>SUMIFS(Despesas!$F:$F,Despesas!$J:$J,"&lt;="&amp;$A13,Despesas!$L:$L,"&gt;="&amp;$A13,Despesas!$C:$C,F$1,Despesas!$M:$M,"Mensal")+SUMIFS(Despesas!$F:$F,Despesas!$J:$J,"&lt;="&amp;$A13,Despesas!$L:$L,"&gt;="&amp;$A13,Despesas!$C:$C,F$1,Despesas!$M:$M,$B13)</f>
        <v>13000</v>
      </c>
      <c r="G13" s="5">
        <f ca="1">SUMIFS(Despesas!$F:$F,Despesas!$J:$J,"&lt;="&amp;$A13,Despesas!$L:$L,"&gt;="&amp;$A13,Despesas!$C:$C,G$1,Despesas!$M:$M,"Mensal")+SUMIFS(Despesas!$F:$F,Despesas!$J:$J,"&lt;="&amp;$A13,Despesas!$L:$L,"&gt;="&amp;$A13,Despesas!$C:$C,G$1,Despesas!$M:$M,$B13)</f>
        <v>55757</v>
      </c>
      <c r="H13" s="18">
        <f>SUMIFS(Despesas!$F:$F,Despesas!$J:$J,"&lt;="&amp;$A13,Despesas!$L:$L,"&gt;="&amp;$A13,Despesas!$C:$C,H$1,Despesas!$M:$M,"Mensal")+SUMIFS(Despesas!$F:$F,Despesas!$J:$J,"&lt;="&amp;$A13,Despesas!$L:$L,"&gt;="&amp;$A13,Despesas!$C:$C,H$1,Despesas!$M:$M,$B13)</f>
        <v>5350</v>
      </c>
      <c r="I13" s="18">
        <f>IF(Imóveis!$F$2="PRICE",IF(AND(Dados!$A13&gt;=Imóveis!$Q$2,Dados!$A13&lt;=Imóveis!$T$2),Imóveis!$U$2,0),IF((IF(AND(Dados!$A13&gt;=Imóveis!$Q$2,Dados!$A13&lt;=Imóveis!$T$2),Imóveis!$S$2-(DATEDIF(Imóveis!$Q$2,Dados!$A13,"m")),0))=0,0,((Imóveis!$N$2/Imóveis!$S$2)+((Imóveis!$N$2-((Imóveis!$S$2-(IF(AND(Dados!$A13&gt;=Imóveis!$Q$2,Dados!$A13&lt;=Imóveis!$T$2),Imóveis!$S$2-(DATEDIF(Imóveis!$Q$2,Dados!$A13,"m")),)))*(Imóveis!$N$2/Imóveis!$S$2)))*Imóveis!$P$2))))*IF(AND(Imóveis!$E$2&gt;0,Dados!$A13&gt;Imóveis!$E$2),0,1)</f>
        <v>18259.342363770171</v>
      </c>
      <c r="J13" s="18">
        <f>IF(Imóveis!$F$3="PRICE",IF(AND(Dados!$A13&gt;=Imóveis!$Q$3,Dados!$A13&lt;=Imóveis!$T$3),Imóveis!$U$3,0),IF((IF(AND(Dados!$A13&gt;=Imóveis!$Q$3,Dados!$A13&lt;=Imóveis!$T$3),Imóveis!$S$3-(DATEDIF(Imóveis!$Q$3,Dados!$A13,"m")),0))=0,0,((Imóveis!$N$3/Imóveis!$S$3)+((Imóveis!$N$3-((Imóveis!$S$3-(IF(AND(Dados!$A13&gt;=Imóveis!$Q$3,Dados!$A13&lt;=Imóveis!$T$3),Imóveis!$S$3-(DATEDIF(Imóveis!$Q$3,Dados!$A13,"m")),)))*(Imóveis!$N$3/Imóveis!$S$3)))*Imóveis!$P$3))))*IF(AND(Imóveis!$E$3&gt;0,Dados!$A13&gt;Imóveis!$E$3),0,1)</f>
        <v>0</v>
      </c>
      <c r="K13" s="18">
        <f>IF(Imóveis!$F$4="PRICE",IF(AND(Dados!$A13&gt;=Imóveis!$Q$4,Dados!$A13&lt;=Imóveis!$T$4),Imóveis!$U$4,0),IF((IF(AND(Dados!$A13&gt;=Imóveis!$Q$4,Dados!$A13&lt;=Imóveis!$T$4),Imóveis!$S$4-(DATEDIF(Imóveis!$Q$4,Dados!$A13,"m")),0))=0,0,((Imóveis!$N$4/Imóveis!$S$4)+((Imóveis!$N$4-((Imóveis!$S$4-(IF(AND(Dados!$A13&gt;=Imóveis!$Q$4,Dados!$A13&lt;=Imóveis!$T$4),Imóveis!$S$4-(DATEDIF(Imóveis!$Q$4,Dados!$A13,"m")),)))*(Imóveis!$N$4/Imóveis!$S$4)))*Imóveis!$P$4))))*IF(AND(Imóveis!$E$4&gt;0,Dados!$A13&gt;Imóveis!$E$4),0,1)</f>
        <v>4643.949359272583</v>
      </c>
      <c r="L13" s="18">
        <f>IF(Imóveis!$F$5="PRICE",IF(AND(Dados!$A13&gt;=Imóveis!$Q$5,Dados!$A13&lt;=Imóveis!$T$5),Imóveis!$U$5,0),IF((IF(AND(Dados!$A13&gt;=Imóveis!$Q$5,Dados!$A13&lt;=Imóveis!$T$5),Imóveis!$S$5-(DATEDIF(Imóveis!$Q$5,Dados!$A13,"m")),0))=0,0,((Imóveis!$N$5/Imóveis!$S$5)+((Imóveis!$N$5-((Imóveis!$S$5-(IF(AND(Dados!$A13 &gt;=Imóveis!$Q$5,Dados!$A13&lt;=Imóveis!$T$5),Imóveis!$S$5-(DATEDIF(Imóveis!$Q$5,Dados!$A13,"m")),)))*(Imóveis!$N$5/Imóveis!$S$5)))*Imóveis!$P$5))))*IF(AND(Imóveis!$E$5&gt;0,Dados!$A13&gt;Imóveis!$E$5),0,1)*Imóveis!$I$5</f>
        <v>0</v>
      </c>
      <c r="M13" s="18">
        <f>IF(Imóveis!$F$6="PRICE",IF(AND(Dados!$A13&gt;=Imóveis!$Q$6,Dados!$A13&lt;=Imóveis!$T$6),Imóveis!$U$6,0),IF((IF(AND(Dados!$A13&gt;=Imóveis!$Q$6,Dados!$A13&lt;=Imóveis!$T$6),Imóveis!$S$6-(DATEDIF(Imóveis!$Q$6,Dados!$A13,"m")),0))=0,0,((Imóveis!$N$6/Imóveis!$S$6)+((Imóveis!$N$6-((Imóveis!$S$6-(IF(AND(Dados!$A13&gt;=Imóveis!$Q$6,Dados!$A13&lt;=Imóveis!$T$6),Imóveis!$S$6-(DATEDIF(Imóveis!$Q$6,Dados!$A13,"m")),)))*(Imóveis!$N$6/Imóveis!$S$6)))*Imóveis!$P$6))))*IF(AND(Imóveis!$E$6&gt;0,Dados!$A13&gt;Imóveis!$E$6),0,1)*Imóveis!$I$6</f>
        <v>0</v>
      </c>
      <c r="N13" s="18">
        <f t="shared" ca="1" si="3"/>
        <v>135010.29172304276</v>
      </c>
      <c r="O13" s="18">
        <f>SUMIFS(Receitas!$F:$F,Receitas!$J:$J,"&lt;="&amp;$A13,Receitas!$L:$L,"&gt;="&amp;$A13,Receitas!$C:$C,O$1,Receitas!$M:$M,"Mensal")+SUMIFS(Receitas!$F:$F,Receitas!$J:$J,"&lt;="&amp;$A13,Receitas!$L:$L,"&gt;="&amp;$A13,Receitas!$C:$C,O$1,Receitas!$M:$M,$B13)</f>
        <v>50000</v>
      </c>
      <c r="P13" s="18">
        <f>SUMIFS(Receitas!$F:$F,Receitas!$J:$J,"&lt;="&amp;$A13,Receitas!$L:$L,"&gt;="&amp;$A13,Receitas!$C:$C,P$1,Receitas!$M:$M,"Mensal")+SUMIFS(Receitas!$F:$F,Receitas!$J:$J,"&lt;="&amp;$A13,Receitas!$L:$L,"&gt;="&amp;$A13,Receitas!$C:$C,P$1,Receitas!$M:$M,$B13)</f>
        <v>20000</v>
      </c>
      <c r="Q13" s="18">
        <f>SUMIFS(Receitas!$F:$F,Receitas!$J:$J,"&lt;="&amp;$A13,Receitas!$L:$L,"&gt;="&amp;$A13,Receitas!$C:$C,Q$1,Receitas!$M:$M,"Mensal")+SUMIFS(Receitas!$F:$F,Receitas!$J:$J,"&lt;="&amp;$A13,Receitas!$L:$L,"&gt;="&amp;$A13,Receitas!$C:$C,Q$1,Receitas!$M:$M,$B13)</f>
        <v>3950</v>
      </c>
      <c r="R13" s="18" cm="1">
        <f t="array" ref="R13">(IF(AND(Membros!$F$2="Sim",A13&lt;=MAX(Membros!$E$2:$E$5)),Membros!K$2,IF(AND(A13&gt;=Membros!J$2,A13&lt;=MAX(Membros!$E$2:$E$5)),Membros!K$2,0))+IF(AND(Membros!$F$3="Sim",A13&lt;=MAX(Membros!$E$2:$E$5)),Membros!K$3,IF(AND(A13&gt;=Membros!J$3,A13&lt;=MAX(Membros!$E$2:$E$5)),Membros!K$3,0)))*IF(AND(COUNTIFS(Tabela3[Tipo],"Provedor",Tabela3[Simulação Seguro],"Sim")=2,A13&gt;=MAX(IF(Tabela3[Tipo]="Dependente",Tabela3[Expectativa de Vida (Data)]))),0,1)</f>
        <v>0</v>
      </c>
      <c r="S13" s="18">
        <f t="shared" si="4"/>
        <v>73950</v>
      </c>
      <c r="U13" s="18">
        <f t="shared" ca="1" si="7"/>
        <v>4697380.9305741908</v>
      </c>
      <c r="V13" s="18">
        <f>SUMIF(Imóveis!E:E,Dados!A:A,Imóveis!Z:Z)-SUMIF(Imóveis!E:E,Dados!A:A,Imóveis!Y:Y)</f>
        <v>0</v>
      </c>
      <c r="W13" s="18">
        <f>-SUMIF(Projetos!N:N,A13,Projetos!F:F)</f>
        <v>0</v>
      </c>
      <c r="X13" s="18">
        <f t="shared" ca="1" si="0"/>
        <v>-61060.291723042756</v>
      </c>
      <c r="Y13" s="26">
        <f ca="1">(U13*((Indicadores_Economicos!D$2+1)^(1/12)-1))</f>
        <v>15378.002824563286</v>
      </c>
      <c r="Z13" s="18">
        <f t="shared" ca="1" si="5"/>
        <v>4651698.6416757116</v>
      </c>
      <c r="AA13" s="18">
        <f ca="1">Auxiliar_Projetos!E13</f>
        <v>339967.88449455949</v>
      </c>
      <c r="AB13" s="18">
        <f ca="1">Auxiliar_Projetos!K13</f>
        <v>298665.74498089461</v>
      </c>
      <c r="AC13" s="18">
        <f ca="1">IF(Z13-AA13-AB13&gt;Investimentos!$C$14,Investimentos!$C$14,IF(Z13-AA13-AB13&lt;Investimentos!$C$14,Z13-AA13-AB13,0))</f>
        <v>300000</v>
      </c>
      <c r="AD13" s="18">
        <f t="shared" ca="1" si="6"/>
        <v>3713065.0122002573</v>
      </c>
      <c r="AE13" s="18"/>
    </row>
    <row r="14" spans="1:32" x14ac:dyDescent="0.2">
      <c r="A14" s="4">
        <v>46023</v>
      </c>
      <c r="B14" s="5" t="str">
        <f t="shared" si="1"/>
        <v>janeiro</v>
      </c>
      <c r="C14" s="5" t="str">
        <f t="shared" si="2"/>
        <v>2026</v>
      </c>
      <c r="D14" s="5">
        <f>SUMIFS(Despesas!$F:$F,Despesas!$J:$J,"&lt;="&amp;$A14,Despesas!$L:$L,"&gt;="&amp;$A14,Despesas!$C:$C,D$1,Despesas!$M:$M,"Mensal")+SUMIFS(Despesas!$F:$F,Despesas!$J:$J,"&lt;="&amp;$A14,Despesas!$L:$L,"&gt;="&amp;$A14,Despesas!$C:$C,D$1,Despesas!$M:$M,$B14)</f>
        <v>23000</v>
      </c>
      <c r="E14" s="18">
        <f>SUMIFS(Despesas!$F:$F,Despesas!$J:$J,"&lt;="&amp;$A14,Despesas!$L:$L,"&gt;="&amp;$A14,Despesas!$C:$C,E$1,Despesas!$M:$M,"Mensal")+SUMIFS(Despesas!$F:$F,Despesas!$J:$J,"&lt;="&amp;$A14,Despesas!$L:$L,"&gt;="&amp;$A14,Despesas!$C:$C,E$1,Despesas!$M:$M,$B14)</f>
        <v>16000</v>
      </c>
      <c r="F14" s="5">
        <f>SUMIFS(Despesas!$F:$F,Despesas!$J:$J,"&lt;="&amp;$A14,Despesas!$L:$L,"&gt;="&amp;$A14,Despesas!$C:$C,F$1,Despesas!$M:$M,"Mensal")+SUMIFS(Despesas!$F:$F,Despesas!$J:$J,"&lt;="&amp;$A14,Despesas!$L:$L,"&gt;="&amp;$A14,Despesas!$C:$C,F$1,Despesas!$M:$M,$B14)</f>
        <v>13000</v>
      </c>
      <c r="G14" s="5">
        <f>SUMIFS(Despesas!$F:$F,Despesas!$J:$J,"&lt;="&amp;$A14,Despesas!$L:$L,"&gt;="&amp;$A14,Despesas!$C:$C,G$1,Despesas!$M:$M,"Mensal")+SUMIFS(Despesas!$F:$F,Despesas!$J:$J,"&lt;="&amp;$A14,Despesas!$L:$L,"&gt;="&amp;$A14,Despesas!$C:$C,G$1,Despesas!$M:$M,$B14)</f>
        <v>0</v>
      </c>
      <c r="H14" s="18">
        <f ca="1">SUMIFS(Despesas!$F:$F,Despesas!$J:$J,"&lt;="&amp;$A14,Despesas!$L:$L,"&gt;="&amp;$A14,Despesas!$C:$C,H$1,Despesas!$M:$M,"Mensal")+SUMIFS(Despesas!$F:$F,Despesas!$J:$J,"&lt;="&amp;$A14,Despesas!$L:$L,"&gt;="&amp;$A14,Despesas!$C:$C,H$1,Despesas!$M:$M,$B14)</f>
        <v>10762.055</v>
      </c>
      <c r="I14" s="18">
        <f>IF(Imóveis!$F$2="PRICE",IF(AND(Dados!$A14&gt;=Imóveis!$Q$2,Dados!$A14&lt;=Imóveis!$T$2),Imóveis!$U$2,0),IF((IF(AND(Dados!$A14&gt;=Imóveis!$Q$2,Dados!$A14&lt;=Imóveis!$T$2),Imóveis!$S$2-(DATEDIF(Imóveis!$Q$2,Dados!$A14,"m")),0))=0,0,((Imóveis!$N$2/Imóveis!$S$2)+((Imóveis!$N$2-((Imóveis!$S$2-(IF(AND(Dados!$A14&gt;=Imóveis!$Q$2,Dados!$A14&lt;=Imóveis!$T$2),Imóveis!$S$2-(DATEDIF(Imóveis!$Q$2,Dados!$A14,"m")),)))*(Imóveis!$N$2/Imóveis!$S$2)))*Imóveis!$P$2))))*IF(AND(Imóveis!$E$2&gt;0,Dados!$A14&gt;Imóveis!$E$2),0,1)</f>
        <v>18197.321271545363</v>
      </c>
      <c r="J14" s="18">
        <f ca="1">IF(Imóveis!$F$3="PRICE",IF(AND(Dados!$A14&gt;=Imóveis!$Q$3,Dados!$A14&lt;=Imóveis!$T$3),Imóveis!$U$3,0),IF((IF(AND(Dados!$A14&gt;=Imóveis!$Q$3,Dados!$A14&lt;=Imóveis!$T$3),Imóveis!$S$3-(DATEDIF(Imóveis!$Q$3,Dados!$A14,"m")),0))=0,0,((Imóveis!$N$3/Imóveis!$S$3)+((Imóveis!$N$3-((Imóveis!$S$3-(IF(AND(Dados!$A14&gt;=Imóveis!$Q$3,Dados!$A14&lt;=Imóveis!$T$3),Imóveis!$S$3-(DATEDIF(Imóveis!$Q$3,Dados!$A14,"m")),)))*(Imóveis!$N$3/Imóveis!$S$3)))*Imóveis!$P$3))))*IF(AND(Imóveis!$E$3&gt;0,Dados!$A14&gt;Imóveis!$E$3),0,1)</f>
        <v>9314.6986248807771</v>
      </c>
      <c r="K14" s="18">
        <f>IF(Imóveis!$F$4="PRICE",IF(AND(Dados!$A14&gt;=Imóveis!$Q$4,Dados!$A14&lt;=Imóveis!$T$4),Imóveis!$U$4,0),IF((IF(AND(Dados!$A14&gt;=Imóveis!$Q$4,Dados!$A14&lt;=Imóveis!$T$4),Imóveis!$S$4-(DATEDIF(Imóveis!$Q$4,Dados!$A14,"m")),0))=0,0,((Imóveis!$N$4/Imóveis!$S$4)+((Imóveis!$N$4-((Imóveis!$S$4-(IF(AND(Dados!$A14&gt;=Imóveis!$Q$4,Dados!$A14&lt;=Imóveis!$T$4),Imóveis!$S$4-(DATEDIF(Imóveis!$Q$4,Dados!$A14,"m")),)))*(Imóveis!$N$4/Imóveis!$S$4)))*Imóveis!$P$4))))*IF(AND(Imóveis!$E$4&gt;0,Dados!$A14&gt;Imóveis!$E$4),0,1)</f>
        <v>4643.949359272583</v>
      </c>
      <c r="L14" s="18">
        <f>IF(Imóveis!$F$5="PRICE",IF(AND(Dados!$A14&gt;=Imóveis!$Q$5,Dados!$A14&lt;=Imóveis!$T$5),Imóveis!$U$5,0),IF((IF(AND(Dados!$A14&gt;=Imóveis!$Q$5,Dados!$A14&lt;=Imóveis!$T$5),Imóveis!$S$5-(DATEDIF(Imóveis!$Q$5,Dados!$A14,"m")),0))=0,0,((Imóveis!$N$5/Imóveis!$S$5)+((Imóveis!$N$5-((Imóveis!$S$5-(IF(AND(Dados!$A14 &gt;=Imóveis!$Q$5,Dados!$A14&lt;=Imóveis!$T$5),Imóveis!$S$5-(DATEDIF(Imóveis!$Q$5,Dados!$A14,"m")),)))*(Imóveis!$N$5/Imóveis!$S$5)))*Imóveis!$P$5))))*IF(AND(Imóveis!$E$5&gt;0,Dados!$A14&gt;Imóveis!$E$5),0,1)*Imóveis!$I$5</f>
        <v>0</v>
      </c>
      <c r="M14" s="18">
        <f>IF(Imóveis!$F$6="PRICE",IF(AND(Dados!$A14&gt;=Imóveis!$Q$6,Dados!$A14&lt;=Imóveis!$T$6),Imóveis!$U$6,0),IF((IF(AND(Dados!$A14&gt;=Imóveis!$Q$6,Dados!$A14&lt;=Imóveis!$T$6),Imóveis!$S$6-(DATEDIF(Imóveis!$Q$6,Dados!$A14,"m")),0))=0,0,((Imóveis!$N$6/Imóveis!$S$6)+((Imóveis!$N$6-((Imóveis!$S$6-(IF(AND(Dados!$A14&gt;=Imóveis!$Q$6,Dados!$A14&lt;=Imóveis!$T$6),Imóveis!$S$6-(DATEDIF(Imóveis!$Q$6,Dados!$A14,"m")),)))*(Imóveis!$N$6/Imóveis!$S$6)))*Imóveis!$P$6))))*IF(AND(Imóveis!$E$6&gt;0,Dados!$A14&gt;Imóveis!$E$6),0,1)*Imóveis!$I$6</f>
        <v>0</v>
      </c>
      <c r="N14" s="18">
        <f t="shared" ca="1" si="3"/>
        <v>94918.024255698721</v>
      </c>
      <c r="O14" s="18">
        <f>SUMIFS(Receitas!$F:$F,Receitas!$J:$J,"&lt;="&amp;$A14,Receitas!$L:$L,"&gt;="&amp;$A14,Receitas!$C:$C,O$1,Receitas!$M:$M,"Mensal")+SUMIFS(Receitas!$F:$F,Receitas!$J:$J,"&lt;="&amp;$A14,Receitas!$L:$L,"&gt;="&amp;$A14,Receitas!$C:$C,O$1,Receitas!$M:$M,$B14)</f>
        <v>50000</v>
      </c>
      <c r="P14" s="18">
        <f>SUMIFS(Receitas!$F:$F,Receitas!$J:$J,"&lt;="&amp;$A14,Receitas!$L:$L,"&gt;="&amp;$A14,Receitas!$C:$C,P$1,Receitas!$M:$M,"Mensal")+SUMIFS(Receitas!$F:$F,Receitas!$J:$J,"&lt;="&amp;$A14,Receitas!$L:$L,"&gt;="&amp;$A14,Receitas!$C:$C,P$1,Receitas!$M:$M,$B14)</f>
        <v>20000</v>
      </c>
      <c r="Q14" s="18">
        <f ca="1">SUMIFS(Receitas!$F:$F,Receitas!$J:$J,"&lt;="&amp;$A14,Receitas!$L:$L,"&gt;="&amp;$A14,Receitas!$C:$C,Q$1,Receitas!$M:$M,"Mensal")+SUMIFS(Receitas!$F:$F,Receitas!$J:$J,"&lt;="&amp;$A14,Receitas!$L:$L,"&gt;="&amp;$A14,Receitas!$C:$C,Q$1,Receitas!$M:$M,$B14)</f>
        <v>15101.400000000001</v>
      </c>
      <c r="R14" s="18" cm="1">
        <f t="array" ref="R14">(IF(AND(Membros!$F$2="Sim",A14&lt;=MAX(Membros!$E$2:$E$5)),Membros!K$2,IF(AND(A14&gt;=Membros!J$2,A14&lt;=MAX(Membros!$E$2:$E$5)),Membros!K$2,0))+IF(AND(Membros!$F$3="Sim",A14&lt;=MAX(Membros!$E$2:$E$5)),Membros!K$3,IF(AND(A14&gt;=Membros!J$3,A14&lt;=MAX(Membros!$E$2:$E$5)),Membros!K$3,0)))*IF(AND(COUNTIFS(Tabela3[Tipo],"Provedor",Tabela3[Simulação Seguro],"Sim")=2,A14&gt;=MAX(IF(Tabela3[Tipo]="Dependente",Tabela3[Expectativa de Vida (Data)]))),0,1)</f>
        <v>0</v>
      </c>
      <c r="S14" s="18">
        <f t="shared" ca="1" si="4"/>
        <v>85101.4</v>
      </c>
      <c r="U14" s="18">
        <f t="shared" ca="1" si="7"/>
        <v>4651698.6416757116</v>
      </c>
      <c r="V14" s="18">
        <f>SUMIF(Imóveis!E:E,Dados!A:A,Imóveis!Z:Z)-SUMIF(Imóveis!E:E,Dados!A:A,Imóveis!Y:Y)</f>
        <v>0</v>
      </c>
      <c r="W14" s="18">
        <f>-SUMIF(Projetos!N:N,A14,Projetos!F:F)</f>
        <v>0</v>
      </c>
      <c r="X14" s="18">
        <f t="shared" ca="1" si="0"/>
        <v>-9816.6242556987272</v>
      </c>
      <c r="Y14" s="26">
        <f ca="1">(U14*((Indicadores_Economicos!D$2+1)^(1/12)-1))</f>
        <v>15228.450898054431</v>
      </c>
      <c r="Z14" s="18">
        <f t="shared" ca="1" si="5"/>
        <v>4657110.4683180666</v>
      </c>
      <c r="AA14" s="18">
        <f ca="1">Auxiliar_Projetos!E14</f>
        <v>341080.85088269936</v>
      </c>
      <c r="AB14" s="18">
        <f ca="1">Auxiliar_Projetos!K14</f>
        <v>299643.49891181866</v>
      </c>
      <c r="AC14" s="18">
        <f ca="1">IF(Z14-AA14-AB14&gt;Investimentos!$C$14,Investimentos!$C$14,IF(Z14-AA14-AB14&lt;Investimentos!$C$14,Z14-AA14-AB14,0))</f>
        <v>300000</v>
      </c>
      <c r="AD14" s="18">
        <f t="shared" ca="1" si="6"/>
        <v>3716386.1185235484</v>
      </c>
      <c r="AE14" s="18"/>
    </row>
    <row r="15" spans="1:32" x14ac:dyDescent="0.2">
      <c r="A15" s="4">
        <v>46054</v>
      </c>
      <c r="B15" s="5" t="str">
        <f t="shared" si="1"/>
        <v>fevereiro</v>
      </c>
      <c r="C15" s="5" t="str">
        <f t="shared" si="2"/>
        <v>2026</v>
      </c>
      <c r="D15" s="5">
        <f>SUMIFS(Despesas!$F:$F,Despesas!$J:$J,"&lt;="&amp;$A15,Despesas!$L:$L,"&gt;="&amp;$A15,Despesas!$C:$C,D$1,Despesas!$M:$M,"Mensal")+SUMIFS(Despesas!$F:$F,Despesas!$J:$J,"&lt;="&amp;$A15,Despesas!$L:$L,"&gt;="&amp;$A15,Despesas!$C:$C,D$1,Despesas!$M:$M,$B15)</f>
        <v>23000</v>
      </c>
      <c r="E15" s="18">
        <f>SUMIFS(Despesas!$F:$F,Despesas!$J:$J,"&lt;="&amp;$A15,Despesas!$L:$L,"&gt;="&amp;$A15,Despesas!$C:$C,E$1,Despesas!$M:$M,"Mensal")+SUMIFS(Despesas!$F:$F,Despesas!$J:$J,"&lt;="&amp;$A15,Despesas!$L:$L,"&gt;="&amp;$A15,Despesas!$C:$C,E$1,Despesas!$M:$M,$B15)</f>
        <v>16000</v>
      </c>
      <c r="F15" s="5">
        <f>SUMIFS(Despesas!$F:$F,Despesas!$J:$J,"&lt;="&amp;$A15,Despesas!$L:$L,"&gt;="&amp;$A15,Despesas!$C:$C,F$1,Despesas!$M:$M,"Mensal")+SUMIFS(Despesas!$F:$F,Despesas!$J:$J,"&lt;="&amp;$A15,Despesas!$L:$L,"&gt;="&amp;$A15,Despesas!$C:$C,F$1,Despesas!$M:$M,$B15)</f>
        <v>13000</v>
      </c>
      <c r="G15" s="5">
        <f>SUMIFS(Despesas!$F:$F,Despesas!$J:$J,"&lt;="&amp;$A15,Despesas!$L:$L,"&gt;="&amp;$A15,Despesas!$C:$C,G$1,Despesas!$M:$M,"Mensal")+SUMIFS(Despesas!$F:$F,Despesas!$J:$J,"&lt;="&amp;$A15,Despesas!$L:$L,"&gt;="&amp;$A15,Despesas!$C:$C,G$1,Despesas!$M:$M,$B15)</f>
        <v>0</v>
      </c>
      <c r="H15" s="18">
        <f ca="1">SUMIFS(Despesas!$F:$F,Despesas!$J:$J,"&lt;="&amp;$A15,Despesas!$L:$L,"&gt;="&amp;$A15,Despesas!$C:$C,H$1,Despesas!$M:$M,"Mensal")+SUMIFS(Despesas!$F:$F,Despesas!$J:$J,"&lt;="&amp;$A15,Despesas!$L:$L,"&gt;="&amp;$A15,Despesas!$C:$C,H$1,Despesas!$M:$M,$B15)</f>
        <v>12619.625</v>
      </c>
      <c r="I15" s="18">
        <f>IF(Imóveis!$F$2="PRICE",IF(AND(Dados!$A15&gt;=Imóveis!$Q$2,Dados!$A15&lt;=Imóveis!$T$2),Imóveis!$U$2,0),IF((IF(AND(Dados!$A15&gt;=Imóveis!$Q$2,Dados!$A15&lt;=Imóveis!$T$2),Imóveis!$S$2-(DATEDIF(Imóveis!$Q$2,Dados!$A15,"m")),0))=0,0,((Imóveis!$N$2/Imóveis!$S$2)+((Imóveis!$N$2-((Imóveis!$S$2-(IF(AND(Dados!$A15&gt;=Imóveis!$Q$2,Dados!$A15&lt;=Imóveis!$T$2),Imóveis!$S$2-(DATEDIF(Imóveis!$Q$2,Dados!$A15,"m")),)))*(Imóveis!$N$2/Imóveis!$S$2)))*Imóveis!$P$2))))*IF(AND(Imóveis!$E$2&gt;0,Dados!$A15&gt;Imóveis!$E$2),0,1)</f>
        <v>18135.300179320555</v>
      </c>
      <c r="J15" s="18">
        <f ca="1">IF(Imóveis!$F$3="PRICE",IF(AND(Dados!$A15&gt;=Imóveis!$Q$3,Dados!$A15&lt;=Imóveis!$T$3),Imóveis!$U$3,0),IF((IF(AND(Dados!$A15&gt;=Imóveis!$Q$3,Dados!$A15&lt;=Imóveis!$T$3),Imóveis!$S$3-(DATEDIF(Imóveis!$Q$3,Dados!$A15,"m")),0))=0,0,((Imóveis!$N$3/Imóveis!$S$3)+((Imóveis!$N$3-((Imóveis!$S$3-(IF(AND(Dados!$A15&gt;=Imóveis!$Q$3,Dados!$A15&lt;=Imóveis!$T$3),Imóveis!$S$3-(DATEDIF(Imóveis!$Q$3,Dados!$A15,"m")),)))*(Imóveis!$N$3/Imóveis!$S$3)))*Imóveis!$P$3))))*IF(AND(Imóveis!$E$3&gt;0,Dados!$A15&gt;Imóveis!$E$3),0,1)</f>
        <v>9314.6986248807771</v>
      </c>
      <c r="K15" s="18">
        <f>IF(Imóveis!$F$4="PRICE",IF(AND(Dados!$A15&gt;=Imóveis!$Q$4,Dados!$A15&lt;=Imóveis!$T$4),Imóveis!$U$4,0),IF((IF(AND(Dados!$A15&gt;=Imóveis!$Q$4,Dados!$A15&lt;=Imóveis!$T$4),Imóveis!$S$4-(DATEDIF(Imóveis!$Q$4,Dados!$A15,"m")),0))=0,0,((Imóveis!$N$4/Imóveis!$S$4)+((Imóveis!$N$4-((Imóveis!$S$4-(IF(AND(Dados!$A15&gt;=Imóveis!$Q$4,Dados!$A15&lt;=Imóveis!$T$4),Imóveis!$S$4-(DATEDIF(Imóveis!$Q$4,Dados!$A15,"m")),)))*(Imóveis!$N$4/Imóveis!$S$4)))*Imóveis!$P$4))))*IF(AND(Imóveis!$E$4&gt;0,Dados!$A15&gt;Imóveis!$E$4),0,1)</f>
        <v>4643.949359272583</v>
      </c>
      <c r="L15" s="18">
        <f>IF(Imóveis!$F$5="PRICE",IF(AND(Dados!$A15&gt;=Imóveis!$Q$5,Dados!$A15&lt;=Imóveis!$T$5),Imóveis!$U$5,0),IF((IF(AND(Dados!$A15&gt;=Imóveis!$Q$5,Dados!$A15&lt;=Imóveis!$T$5),Imóveis!$S$5-(DATEDIF(Imóveis!$Q$5,Dados!$A15,"m")),0))=0,0,((Imóveis!$N$5/Imóveis!$S$5)+((Imóveis!$N$5-((Imóveis!$S$5-(IF(AND(Dados!$A15 &gt;=Imóveis!$Q$5,Dados!$A15&lt;=Imóveis!$T$5),Imóveis!$S$5-(DATEDIF(Imóveis!$Q$5,Dados!$A15,"m")),)))*(Imóveis!$N$5/Imóveis!$S$5)))*Imóveis!$P$5))))*IF(AND(Imóveis!$E$5&gt;0,Dados!$A15&gt;Imóveis!$E$5),0,1)*Imóveis!$I$5</f>
        <v>0</v>
      </c>
      <c r="M15" s="18">
        <f>IF(Imóveis!$F$6="PRICE",IF(AND(Dados!$A15&gt;=Imóveis!$Q$6,Dados!$A15&lt;=Imóveis!$T$6),Imóveis!$U$6,0),IF((IF(AND(Dados!$A15&gt;=Imóveis!$Q$6,Dados!$A15&lt;=Imóveis!$T$6),Imóveis!$S$6-(DATEDIF(Imóveis!$Q$6,Dados!$A15,"m")),0))=0,0,((Imóveis!$N$6/Imóveis!$S$6)+((Imóveis!$N$6-((Imóveis!$S$6-(IF(AND(Dados!$A15&gt;=Imóveis!$Q$6,Dados!$A15&lt;=Imóveis!$T$6),Imóveis!$S$6-(DATEDIF(Imóveis!$Q$6,Dados!$A15,"m")),)))*(Imóveis!$N$6/Imóveis!$S$6)))*Imóveis!$P$6))))*IF(AND(Imóveis!$E$6&gt;0,Dados!$A15&gt;Imóveis!$E$6),0,1)*Imóveis!$I$6</f>
        <v>0</v>
      </c>
      <c r="N15" s="18">
        <f t="shared" ca="1" si="3"/>
        <v>96713.57316347392</v>
      </c>
      <c r="O15" s="18">
        <f>SUMIFS(Receitas!$F:$F,Receitas!$J:$J,"&lt;="&amp;$A15,Receitas!$L:$L,"&gt;="&amp;$A15,Receitas!$C:$C,O$1,Receitas!$M:$M,"Mensal")+SUMIFS(Receitas!$F:$F,Receitas!$J:$J,"&lt;="&amp;$A15,Receitas!$L:$L,"&gt;="&amp;$A15,Receitas!$C:$C,O$1,Receitas!$M:$M,$B15)</f>
        <v>50000</v>
      </c>
      <c r="P15" s="18">
        <f>SUMIFS(Receitas!$F:$F,Receitas!$J:$J,"&lt;="&amp;$A15,Receitas!$L:$L,"&gt;="&amp;$A15,Receitas!$C:$C,P$1,Receitas!$M:$M,"Mensal")+SUMIFS(Receitas!$F:$F,Receitas!$J:$J,"&lt;="&amp;$A15,Receitas!$L:$L,"&gt;="&amp;$A15,Receitas!$C:$C,P$1,Receitas!$M:$M,$B15)</f>
        <v>20000</v>
      </c>
      <c r="Q15" s="18">
        <f ca="1">SUMIFS(Receitas!$F:$F,Receitas!$J:$J,"&lt;="&amp;$A15,Receitas!$L:$L,"&gt;="&amp;$A15,Receitas!$C:$C,Q$1,Receitas!$M:$M,"Mensal")+SUMIFS(Receitas!$F:$F,Receitas!$J:$J,"&lt;="&amp;$A15,Receitas!$L:$L,"&gt;="&amp;$A15,Receitas!$C:$C,Q$1,Receitas!$M:$M,$B15)</f>
        <v>15101.400000000001</v>
      </c>
      <c r="R15" s="18" cm="1">
        <f t="array" ref="R15">(IF(AND(Membros!$F$2="Sim",A15&lt;=MAX(Membros!$E$2:$E$5)),Membros!K$2,IF(AND(A15&gt;=Membros!J$2,A15&lt;=MAX(Membros!$E$2:$E$5)),Membros!K$2,0))+IF(AND(Membros!$F$3="Sim",A15&lt;=MAX(Membros!$E$2:$E$5)),Membros!K$3,IF(AND(A15&gt;=Membros!J$3,A15&lt;=MAX(Membros!$E$2:$E$5)),Membros!K$3,0)))*IF(AND(COUNTIFS(Tabela3[Tipo],"Provedor",Tabela3[Simulação Seguro],"Sim")=2,A15&gt;=MAX(IF(Tabela3[Tipo]="Dependente",Tabela3[Expectativa de Vida (Data)]))),0,1)</f>
        <v>0</v>
      </c>
      <c r="S15" s="18">
        <f t="shared" ca="1" si="4"/>
        <v>85101.4</v>
      </c>
      <c r="U15" s="18">
        <f t="shared" ca="1" si="7"/>
        <v>4657110.4683180666</v>
      </c>
      <c r="V15" s="18">
        <f>SUMIF(Imóveis!E:E,Dados!A:A,Imóveis!Z:Z)-SUMIF(Imóveis!E:E,Dados!A:A,Imóveis!Y:Y)</f>
        <v>0</v>
      </c>
      <c r="W15" s="18">
        <f>-SUMIF(Projetos!N:N,A15,Projetos!F:F)</f>
        <v>0</v>
      </c>
      <c r="X15" s="18">
        <f t="shared" ca="1" si="0"/>
        <v>-11612.173163473926</v>
      </c>
      <c r="Y15" s="26">
        <f ca="1">(U15*((Indicadores_Economicos!D$2+1)^(1/12)-1))</f>
        <v>15246.167810227871</v>
      </c>
      <c r="Z15" s="18">
        <f t="shared" ca="1" si="5"/>
        <v>4660744.4629648207</v>
      </c>
      <c r="AA15" s="18">
        <f ca="1">Auxiliar_Projetos!E15</f>
        <v>342197.46083318029</v>
      </c>
      <c r="AB15" s="18">
        <f ca="1">Auxiliar_Projetos!K15</f>
        <v>300624.45375468355</v>
      </c>
      <c r="AC15" s="18">
        <f ca="1">IF(Z15-AA15-AB15&gt;Investimentos!$C$14,Investimentos!$C$14,IF(Z15-AA15-AB15&lt;Investimentos!$C$14,Z15-AA15-AB15,0))</f>
        <v>300000</v>
      </c>
      <c r="AD15" s="18">
        <f t="shared" ca="1" si="6"/>
        <v>3717922.5483769565</v>
      </c>
      <c r="AE15" s="18"/>
    </row>
    <row r="16" spans="1:32" x14ac:dyDescent="0.2">
      <c r="A16" s="4">
        <v>46082</v>
      </c>
      <c r="B16" s="5" t="str">
        <f t="shared" si="1"/>
        <v>março</v>
      </c>
      <c r="C16" s="5" t="str">
        <f t="shared" si="2"/>
        <v>2026</v>
      </c>
      <c r="D16" s="5">
        <f>SUMIFS(Despesas!$F:$F,Despesas!$J:$J,"&lt;="&amp;$A16,Despesas!$L:$L,"&gt;="&amp;$A16,Despesas!$C:$C,D$1,Despesas!$M:$M,"Mensal")+SUMIFS(Despesas!$F:$F,Despesas!$J:$J,"&lt;="&amp;$A16,Despesas!$L:$L,"&gt;="&amp;$A16,Despesas!$C:$C,D$1,Despesas!$M:$M,$B16)</f>
        <v>23000</v>
      </c>
      <c r="E16" s="18">
        <f>SUMIFS(Despesas!$F:$F,Despesas!$J:$J,"&lt;="&amp;$A16,Despesas!$L:$L,"&gt;="&amp;$A16,Despesas!$C:$C,E$1,Despesas!$M:$M,"Mensal")+SUMIFS(Despesas!$F:$F,Despesas!$J:$J,"&lt;="&amp;$A16,Despesas!$L:$L,"&gt;="&amp;$A16,Despesas!$C:$C,E$1,Despesas!$M:$M,$B16)</f>
        <v>16000</v>
      </c>
      <c r="F16" s="5">
        <f>SUMIFS(Despesas!$F:$F,Despesas!$J:$J,"&lt;="&amp;$A16,Despesas!$L:$L,"&gt;="&amp;$A16,Despesas!$C:$C,F$1,Despesas!$M:$M,"Mensal")+SUMIFS(Despesas!$F:$F,Despesas!$J:$J,"&lt;="&amp;$A16,Despesas!$L:$L,"&gt;="&amp;$A16,Despesas!$C:$C,F$1,Despesas!$M:$M,$B16)</f>
        <v>13000</v>
      </c>
      <c r="G16" s="5">
        <f>SUMIFS(Despesas!$F:$F,Despesas!$J:$J,"&lt;="&amp;$A16,Despesas!$L:$L,"&gt;="&amp;$A16,Despesas!$C:$C,G$1,Despesas!$M:$M,"Mensal")+SUMIFS(Despesas!$F:$F,Despesas!$J:$J,"&lt;="&amp;$A16,Despesas!$L:$L,"&gt;="&amp;$A16,Despesas!$C:$C,G$1,Despesas!$M:$M,$B16)</f>
        <v>0</v>
      </c>
      <c r="H16" s="18">
        <f ca="1">SUMIFS(Despesas!$F:$F,Despesas!$J:$J,"&lt;="&amp;$A16,Despesas!$L:$L,"&gt;="&amp;$A16,Despesas!$C:$C,H$1,Despesas!$M:$M,"Mensal")+SUMIFS(Despesas!$F:$F,Despesas!$J:$J,"&lt;="&amp;$A16,Despesas!$L:$L,"&gt;="&amp;$A16,Despesas!$C:$C,H$1,Despesas!$M:$M,$B16)</f>
        <v>10762.055</v>
      </c>
      <c r="I16" s="18">
        <f>IF(Imóveis!$F$2="PRICE",IF(AND(Dados!$A16&gt;=Imóveis!$Q$2,Dados!$A16&lt;=Imóveis!$T$2),Imóveis!$U$2,0),IF((IF(AND(Dados!$A16&gt;=Imóveis!$Q$2,Dados!$A16&lt;=Imóveis!$T$2),Imóveis!$S$2-(DATEDIF(Imóveis!$Q$2,Dados!$A16,"m")),0))=0,0,((Imóveis!$N$2/Imóveis!$S$2)+((Imóveis!$N$2-((Imóveis!$S$2-(IF(AND(Dados!$A16&gt;=Imóveis!$Q$2,Dados!$A16&lt;=Imóveis!$T$2),Imóveis!$S$2-(DATEDIF(Imóveis!$Q$2,Dados!$A16,"m")),)))*(Imóveis!$N$2/Imóveis!$S$2)))*Imóveis!$P$2))))*IF(AND(Imóveis!$E$2&gt;0,Dados!$A16&gt;Imóveis!$E$2),0,1)</f>
        <v>18073.279087095747</v>
      </c>
      <c r="J16" s="18">
        <f ca="1">IF(Imóveis!$F$3="PRICE",IF(AND(Dados!$A16&gt;=Imóveis!$Q$3,Dados!$A16&lt;=Imóveis!$T$3),Imóveis!$U$3,0),IF((IF(AND(Dados!$A16&gt;=Imóveis!$Q$3,Dados!$A16&lt;=Imóveis!$T$3),Imóveis!$S$3-(DATEDIF(Imóveis!$Q$3,Dados!$A16,"m")),0))=0,0,((Imóveis!$N$3/Imóveis!$S$3)+((Imóveis!$N$3-((Imóveis!$S$3-(IF(AND(Dados!$A16&gt;=Imóveis!$Q$3,Dados!$A16&lt;=Imóveis!$T$3),Imóveis!$S$3-(DATEDIF(Imóveis!$Q$3,Dados!$A16,"m")),)))*(Imóveis!$N$3/Imóveis!$S$3)))*Imóveis!$P$3))))*IF(AND(Imóveis!$E$3&gt;0,Dados!$A16&gt;Imóveis!$E$3),0,1)</f>
        <v>9314.6986248807771</v>
      </c>
      <c r="K16" s="18">
        <f>IF(Imóveis!$F$4="PRICE",IF(AND(Dados!$A16&gt;=Imóveis!$Q$4,Dados!$A16&lt;=Imóveis!$T$4),Imóveis!$U$4,0),IF((IF(AND(Dados!$A16&gt;=Imóveis!$Q$4,Dados!$A16&lt;=Imóveis!$T$4),Imóveis!$S$4-(DATEDIF(Imóveis!$Q$4,Dados!$A16,"m")),0))=0,0,((Imóveis!$N$4/Imóveis!$S$4)+((Imóveis!$N$4-((Imóveis!$S$4-(IF(AND(Dados!$A16&gt;=Imóveis!$Q$4,Dados!$A16&lt;=Imóveis!$T$4),Imóveis!$S$4-(DATEDIF(Imóveis!$Q$4,Dados!$A16,"m")),)))*(Imóveis!$N$4/Imóveis!$S$4)))*Imóveis!$P$4))))*IF(AND(Imóveis!$E$4&gt;0,Dados!$A16&gt;Imóveis!$E$4),0,1)</f>
        <v>4643.949359272583</v>
      </c>
      <c r="L16" s="18">
        <f>IF(Imóveis!$F$5="PRICE",IF(AND(Dados!$A16&gt;=Imóveis!$Q$5,Dados!$A16&lt;=Imóveis!$T$5),Imóveis!$U$5,0),IF((IF(AND(Dados!$A16&gt;=Imóveis!$Q$5,Dados!$A16&lt;=Imóveis!$T$5),Imóveis!$S$5-(DATEDIF(Imóveis!$Q$5,Dados!$A16,"m")),0))=0,0,((Imóveis!$N$5/Imóveis!$S$5)+((Imóveis!$N$5-((Imóveis!$S$5-(IF(AND(Dados!$A16 &gt;=Imóveis!$Q$5,Dados!$A16&lt;=Imóveis!$T$5),Imóveis!$S$5-(DATEDIF(Imóveis!$Q$5,Dados!$A16,"m")),)))*(Imóveis!$N$5/Imóveis!$S$5)))*Imóveis!$P$5))))*IF(AND(Imóveis!$E$5&gt;0,Dados!$A16&gt;Imóveis!$E$5),0,1)*Imóveis!$I$5</f>
        <v>0</v>
      </c>
      <c r="M16" s="18">
        <f>IF(Imóveis!$F$6="PRICE",IF(AND(Dados!$A16&gt;=Imóveis!$Q$6,Dados!$A16&lt;=Imóveis!$T$6),Imóveis!$U$6,0),IF((IF(AND(Dados!$A16&gt;=Imóveis!$Q$6,Dados!$A16&lt;=Imóveis!$T$6),Imóveis!$S$6-(DATEDIF(Imóveis!$Q$6,Dados!$A16,"m")),0))=0,0,((Imóveis!$N$6/Imóveis!$S$6)+((Imóveis!$N$6-((Imóveis!$S$6-(IF(AND(Dados!$A16&gt;=Imóveis!$Q$6,Dados!$A16&lt;=Imóveis!$T$6),Imóveis!$S$6-(DATEDIF(Imóveis!$Q$6,Dados!$A16,"m")),)))*(Imóveis!$N$6/Imóveis!$S$6)))*Imóveis!$P$6))))*IF(AND(Imóveis!$E$6&gt;0,Dados!$A16&gt;Imóveis!$E$6),0,1)*Imóveis!$I$6</f>
        <v>0</v>
      </c>
      <c r="N16" s="18">
        <f t="shared" ca="1" si="3"/>
        <v>94793.982071249106</v>
      </c>
      <c r="O16" s="18">
        <f>SUMIFS(Receitas!$F:$F,Receitas!$J:$J,"&lt;="&amp;$A16,Receitas!$L:$L,"&gt;="&amp;$A16,Receitas!$C:$C,O$1,Receitas!$M:$M,"Mensal")+SUMIFS(Receitas!$F:$F,Receitas!$J:$J,"&lt;="&amp;$A16,Receitas!$L:$L,"&gt;="&amp;$A16,Receitas!$C:$C,O$1,Receitas!$M:$M,$B16)</f>
        <v>50000</v>
      </c>
      <c r="P16" s="18">
        <f>SUMIFS(Receitas!$F:$F,Receitas!$J:$J,"&lt;="&amp;$A16,Receitas!$L:$L,"&gt;="&amp;$A16,Receitas!$C:$C,P$1,Receitas!$M:$M,"Mensal")+SUMIFS(Receitas!$F:$F,Receitas!$J:$J,"&lt;="&amp;$A16,Receitas!$L:$L,"&gt;="&amp;$A16,Receitas!$C:$C,P$1,Receitas!$M:$M,$B16)</f>
        <v>20000</v>
      </c>
      <c r="Q16" s="18">
        <f ca="1">SUMIFS(Receitas!$F:$F,Receitas!$J:$J,"&lt;="&amp;$A16,Receitas!$L:$L,"&gt;="&amp;$A16,Receitas!$C:$C,Q$1,Receitas!$M:$M,"Mensal")+SUMIFS(Receitas!$F:$F,Receitas!$J:$J,"&lt;="&amp;$A16,Receitas!$L:$L,"&gt;="&amp;$A16,Receitas!$C:$C,Q$1,Receitas!$M:$M,$B16)</f>
        <v>15101.400000000001</v>
      </c>
      <c r="R16" s="18" cm="1">
        <f t="array" ref="R16">(IF(AND(Membros!$F$2="Sim",A16&lt;=MAX(Membros!$E$2:$E$5)),Membros!K$2,IF(AND(A16&gt;=Membros!J$2,A16&lt;=MAX(Membros!$E$2:$E$5)),Membros!K$2,0))+IF(AND(Membros!$F$3="Sim",A16&lt;=MAX(Membros!$E$2:$E$5)),Membros!K$3,IF(AND(A16&gt;=Membros!J$3,A16&lt;=MAX(Membros!$E$2:$E$5)),Membros!K$3,0)))*IF(AND(COUNTIFS(Tabela3[Tipo],"Provedor",Tabela3[Simulação Seguro],"Sim")=2,A16&gt;=MAX(IF(Tabela3[Tipo]="Dependente",Tabela3[Expectativa de Vida (Data)]))),0,1)</f>
        <v>0</v>
      </c>
      <c r="S16" s="18">
        <f t="shared" ca="1" si="4"/>
        <v>85101.4</v>
      </c>
      <c r="U16" s="18">
        <f t="shared" ca="1" si="7"/>
        <v>4660744.4629648207</v>
      </c>
      <c r="V16" s="18">
        <f>SUMIF(Imóveis!E:E,Dados!A:A,Imóveis!Z:Z)-SUMIF(Imóveis!E:E,Dados!A:A,Imóveis!Y:Y)</f>
        <v>0</v>
      </c>
      <c r="W16" s="18">
        <f>-SUMIF(Projetos!N:N,A16,Projetos!F:F)</f>
        <v>0</v>
      </c>
      <c r="X16" s="18">
        <f t="shared" ca="1" si="0"/>
        <v>-9692.5820712491113</v>
      </c>
      <c r="Y16" s="26">
        <f ca="1">(U16*((Indicadores_Economicos!D$2+1)^(1/12)-1))</f>
        <v>15258.064563071248</v>
      </c>
      <c r="Z16" s="18">
        <f t="shared" ca="1" si="5"/>
        <v>4666309.9454566427</v>
      </c>
      <c r="AA16" s="18">
        <f ca="1">Auxiliar_Projetos!E16</f>
        <v>343317.72627407731</v>
      </c>
      <c r="AB16" s="18">
        <f ca="1">Auxiliar_Projetos!K16</f>
        <v>301608.61998844205</v>
      </c>
      <c r="AC16" s="18">
        <f ca="1">IF(Z16-AA16-AB16&gt;Investimentos!$C$14,Investimentos!$C$14,IF(Z16-AA16-AB16&lt;Investimentos!$C$14,Z16-AA16-AB16,0))</f>
        <v>300000</v>
      </c>
      <c r="AD16" s="18">
        <f t="shared" ca="1" si="6"/>
        <v>3721383.5991941239</v>
      </c>
      <c r="AE16" s="18"/>
    </row>
    <row r="17" spans="1:31" x14ac:dyDescent="0.2">
      <c r="A17" s="4">
        <v>46113</v>
      </c>
      <c r="B17" s="5" t="str">
        <f t="shared" si="1"/>
        <v>abril</v>
      </c>
      <c r="C17" s="5" t="str">
        <f t="shared" si="2"/>
        <v>2026</v>
      </c>
      <c r="D17" s="5">
        <f>SUMIFS(Despesas!$F:$F,Despesas!$J:$J,"&lt;="&amp;$A17,Despesas!$L:$L,"&gt;="&amp;$A17,Despesas!$C:$C,D$1,Despesas!$M:$M,"Mensal")+SUMIFS(Despesas!$F:$F,Despesas!$J:$J,"&lt;="&amp;$A17,Despesas!$L:$L,"&gt;="&amp;$A17,Despesas!$C:$C,D$1,Despesas!$M:$M,$B17)</f>
        <v>23000</v>
      </c>
      <c r="E17" s="18">
        <f>SUMIFS(Despesas!$F:$F,Despesas!$J:$J,"&lt;="&amp;$A17,Despesas!$L:$L,"&gt;="&amp;$A17,Despesas!$C:$C,E$1,Despesas!$M:$M,"Mensal")+SUMIFS(Despesas!$F:$F,Despesas!$J:$J,"&lt;="&amp;$A17,Despesas!$L:$L,"&gt;="&amp;$A17,Despesas!$C:$C,E$1,Despesas!$M:$M,$B17)</f>
        <v>16000</v>
      </c>
      <c r="F17" s="5">
        <f>SUMIFS(Despesas!$F:$F,Despesas!$J:$J,"&lt;="&amp;$A17,Despesas!$L:$L,"&gt;="&amp;$A17,Despesas!$C:$C,F$1,Despesas!$M:$M,"Mensal")+SUMIFS(Despesas!$F:$F,Despesas!$J:$J,"&lt;="&amp;$A17,Despesas!$L:$L,"&gt;="&amp;$A17,Despesas!$C:$C,F$1,Despesas!$M:$M,$B17)</f>
        <v>13000</v>
      </c>
      <c r="G17" s="5">
        <f>SUMIFS(Despesas!$F:$F,Despesas!$J:$J,"&lt;="&amp;$A17,Despesas!$L:$L,"&gt;="&amp;$A17,Despesas!$C:$C,G$1,Despesas!$M:$M,"Mensal")+SUMIFS(Despesas!$F:$F,Despesas!$J:$J,"&lt;="&amp;$A17,Despesas!$L:$L,"&gt;="&amp;$A17,Despesas!$C:$C,G$1,Despesas!$M:$M,$B17)</f>
        <v>0</v>
      </c>
      <c r="H17" s="18">
        <f ca="1">SUMIFS(Despesas!$F:$F,Despesas!$J:$J,"&lt;="&amp;$A17,Despesas!$L:$L,"&gt;="&amp;$A17,Despesas!$C:$C,H$1,Despesas!$M:$M,"Mensal")+SUMIFS(Despesas!$F:$F,Despesas!$J:$J,"&lt;="&amp;$A17,Despesas!$L:$L,"&gt;="&amp;$A17,Despesas!$C:$C,H$1,Despesas!$M:$M,$B17)</f>
        <v>10762.055</v>
      </c>
      <c r="I17" s="18">
        <f>IF(Imóveis!$F$2="PRICE",IF(AND(Dados!$A17&gt;=Imóveis!$Q$2,Dados!$A17&lt;=Imóveis!$T$2),Imóveis!$U$2,0),IF((IF(AND(Dados!$A17&gt;=Imóveis!$Q$2,Dados!$A17&lt;=Imóveis!$T$2),Imóveis!$S$2-(DATEDIF(Imóveis!$Q$2,Dados!$A17,"m")),0))=0,0,((Imóveis!$N$2/Imóveis!$S$2)+((Imóveis!$N$2-((Imóveis!$S$2-(IF(AND(Dados!$A17&gt;=Imóveis!$Q$2,Dados!$A17&lt;=Imóveis!$T$2),Imóveis!$S$2-(DATEDIF(Imóveis!$Q$2,Dados!$A17,"m")),)))*(Imóveis!$N$2/Imóveis!$S$2)))*Imóveis!$P$2))))*IF(AND(Imóveis!$E$2&gt;0,Dados!$A17&gt;Imóveis!$E$2),0,1)</f>
        <v>18011.257994870939</v>
      </c>
      <c r="J17" s="18">
        <f ca="1">IF(Imóveis!$F$3="PRICE",IF(AND(Dados!$A17&gt;=Imóveis!$Q$3,Dados!$A17&lt;=Imóveis!$T$3),Imóveis!$U$3,0),IF((IF(AND(Dados!$A17&gt;=Imóveis!$Q$3,Dados!$A17&lt;=Imóveis!$T$3),Imóveis!$S$3-(DATEDIF(Imóveis!$Q$3,Dados!$A17,"m")),0))=0,0,((Imóveis!$N$3/Imóveis!$S$3)+((Imóveis!$N$3-((Imóveis!$S$3-(IF(AND(Dados!$A17&gt;=Imóveis!$Q$3,Dados!$A17&lt;=Imóveis!$T$3),Imóveis!$S$3-(DATEDIF(Imóveis!$Q$3,Dados!$A17,"m")),)))*(Imóveis!$N$3/Imóveis!$S$3)))*Imóveis!$P$3))))*IF(AND(Imóveis!$E$3&gt;0,Dados!$A17&gt;Imóveis!$E$3),0,1)</f>
        <v>9314.6986248807771</v>
      </c>
      <c r="K17" s="18">
        <f>IF(Imóveis!$F$4="PRICE",IF(AND(Dados!$A17&gt;=Imóveis!$Q$4,Dados!$A17&lt;=Imóveis!$T$4),Imóveis!$U$4,0),IF((IF(AND(Dados!$A17&gt;=Imóveis!$Q$4,Dados!$A17&lt;=Imóveis!$T$4),Imóveis!$S$4-(DATEDIF(Imóveis!$Q$4,Dados!$A17,"m")),0))=0,0,((Imóveis!$N$4/Imóveis!$S$4)+((Imóveis!$N$4-((Imóveis!$S$4-(IF(AND(Dados!$A17&gt;=Imóveis!$Q$4,Dados!$A17&lt;=Imóveis!$T$4),Imóveis!$S$4-(DATEDIF(Imóveis!$Q$4,Dados!$A17,"m")),)))*(Imóveis!$N$4/Imóveis!$S$4)))*Imóveis!$P$4))))*IF(AND(Imóveis!$E$4&gt;0,Dados!$A17&gt;Imóveis!$E$4),0,1)</f>
        <v>4643.949359272583</v>
      </c>
      <c r="L17" s="18">
        <f>IF(Imóveis!$F$5="PRICE",IF(AND(Dados!$A17&gt;=Imóveis!$Q$5,Dados!$A17&lt;=Imóveis!$T$5),Imóveis!$U$5,0),IF((IF(AND(Dados!$A17&gt;=Imóveis!$Q$5,Dados!$A17&lt;=Imóveis!$T$5),Imóveis!$S$5-(DATEDIF(Imóveis!$Q$5,Dados!$A17,"m")),0))=0,0,((Imóveis!$N$5/Imóveis!$S$5)+((Imóveis!$N$5-((Imóveis!$S$5-(IF(AND(Dados!$A17 &gt;=Imóveis!$Q$5,Dados!$A17&lt;=Imóveis!$T$5),Imóveis!$S$5-(DATEDIF(Imóveis!$Q$5,Dados!$A17,"m")),)))*(Imóveis!$N$5/Imóveis!$S$5)))*Imóveis!$P$5))))*IF(AND(Imóveis!$E$5&gt;0,Dados!$A17&gt;Imóveis!$E$5),0,1)*Imóveis!$I$5</f>
        <v>0</v>
      </c>
      <c r="M17" s="18">
        <f>IF(Imóveis!$F$6="PRICE",IF(AND(Dados!$A17&gt;=Imóveis!$Q$6,Dados!$A17&lt;=Imóveis!$T$6),Imóveis!$U$6,0),IF((IF(AND(Dados!$A17&gt;=Imóveis!$Q$6,Dados!$A17&lt;=Imóveis!$T$6),Imóveis!$S$6-(DATEDIF(Imóveis!$Q$6,Dados!$A17,"m")),0))=0,0,((Imóveis!$N$6/Imóveis!$S$6)+((Imóveis!$N$6-((Imóveis!$S$6-(IF(AND(Dados!$A17&gt;=Imóveis!$Q$6,Dados!$A17&lt;=Imóveis!$T$6),Imóveis!$S$6-(DATEDIF(Imóveis!$Q$6,Dados!$A17,"m")),)))*(Imóveis!$N$6/Imóveis!$S$6)))*Imóveis!$P$6))))*IF(AND(Imóveis!$E$6&gt;0,Dados!$A17&gt;Imóveis!$E$6),0,1)*Imóveis!$I$6</f>
        <v>0</v>
      </c>
      <c r="N17" s="18">
        <f t="shared" ca="1" si="3"/>
        <v>94731.960979024298</v>
      </c>
      <c r="O17" s="18">
        <f>SUMIFS(Receitas!$F:$F,Receitas!$J:$J,"&lt;="&amp;$A17,Receitas!$L:$L,"&gt;="&amp;$A17,Receitas!$C:$C,O$1,Receitas!$M:$M,"Mensal")+SUMIFS(Receitas!$F:$F,Receitas!$J:$J,"&lt;="&amp;$A17,Receitas!$L:$L,"&gt;="&amp;$A17,Receitas!$C:$C,O$1,Receitas!$M:$M,$B17)</f>
        <v>50000</v>
      </c>
      <c r="P17" s="18">
        <f>SUMIFS(Receitas!$F:$F,Receitas!$J:$J,"&lt;="&amp;$A17,Receitas!$L:$L,"&gt;="&amp;$A17,Receitas!$C:$C,P$1,Receitas!$M:$M,"Mensal")+SUMIFS(Receitas!$F:$F,Receitas!$J:$J,"&lt;="&amp;$A17,Receitas!$L:$L,"&gt;="&amp;$A17,Receitas!$C:$C,P$1,Receitas!$M:$M,$B17)</f>
        <v>85000</v>
      </c>
      <c r="Q17" s="18">
        <f ca="1">SUMIFS(Receitas!$F:$F,Receitas!$J:$J,"&lt;="&amp;$A17,Receitas!$L:$L,"&gt;="&amp;$A17,Receitas!$C:$C,Q$1,Receitas!$M:$M,"Mensal")+SUMIFS(Receitas!$F:$F,Receitas!$J:$J,"&lt;="&amp;$A17,Receitas!$L:$L,"&gt;="&amp;$A17,Receitas!$C:$C,Q$1,Receitas!$M:$M,$B17)</f>
        <v>15101.400000000001</v>
      </c>
      <c r="R17" s="18" cm="1">
        <f t="array" ref="R17">(IF(AND(Membros!$F$2="Sim",A17&lt;=MAX(Membros!$E$2:$E$5)),Membros!K$2,IF(AND(A17&gt;=Membros!J$2,A17&lt;=MAX(Membros!$E$2:$E$5)),Membros!K$2,0))+IF(AND(Membros!$F$3="Sim",A17&lt;=MAX(Membros!$E$2:$E$5)),Membros!K$3,IF(AND(A17&gt;=Membros!J$3,A17&lt;=MAX(Membros!$E$2:$E$5)),Membros!K$3,0)))*IF(AND(COUNTIFS(Tabela3[Tipo],"Provedor",Tabela3[Simulação Seguro],"Sim")=2,A17&gt;=MAX(IF(Tabela3[Tipo]="Dependente",Tabela3[Expectativa de Vida (Data)]))),0,1)</f>
        <v>0</v>
      </c>
      <c r="S17" s="18">
        <f t="shared" ca="1" si="4"/>
        <v>150101.4</v>
      </c>
      <c r="U17" s="18">
        <f t="shared" ca="1" si="7"/>
        <v>4666309.9454566427</v>
      </c>
      <c r="V17" s="18">
        <f>SUMIF(Imóveis!E:E,Dados!A:A,Imóveis!Z:Z)-SUMIF(Imóveis!E:E,Dados!A:A,Imóveis!Y:Y)</f>
        <v>0</v>
      </c>
      <c r="W17" s="18">
        <f>-SUMIF(Projetos!N:N,A17,Projetos!F:F)</f>
        <v>0</v>
      </c>
      <c r="X17" s="18">
        <f t="shared" ca="1" si="0"/>
        <v>55369.439020975697</v>
      </c>
      <c r="Y17" s="26">
        <f ca="1">(U17*((Indicadores_Economicos!D$2+1)^(1/12)-1))</f>
        <v>15276.284504511857</v>
      </c>
      <c r="Z17" s="18">
        <f t="shared" ca="1" si="5"/>
        <v>4736955.6689821295</v>
      </c>
      <c r="AA17" s="18">
        <f ca="1">Auxiliar_Projetos!E17</f>
        <v>344441.65917251486</v>
      </c>
      <c r="AB17" s="18">
        <f ca="1">Auxiliar_Projetos!K17</f>
        <v>302596.00812635233</v>
      </c>
      <c r="AC17" s="18">
        <f ca="1">IF(Z17-AA17-AB17&gt;Investimentos!$C$14,Investimentos!$C$14,IF(Z17-AA17-AB17&lt;Investimentos!$C$14,Z17-AA17-AB17,0))</f>
        <v>300000</v>
      </c>
      <c r="AD17" s="18">
        <f t="shared" ca="1" si="6"/>
        <v>3789918.0016832626</v>
      </c>
      <c r="AE17" s="18"/>
    </row>
    <row r="18" spans="1:31" x14ac:dyDescent="0.2">
      <c r="A18" s="4">
        <v>46143</v>
      </c>
      <c r="B18" s="5" t="str">
        <f t="shared" si="1"/>
        <v>maio</v>
      </c>
      <c r="C18" s="5" t="str">
        <f t="shared" si="2"/>
        <v>2026</v>
      </c>
      <c r="D18" s="5">
        <f>SUMIFS(Despesas!$F:$F,Despesas!$J:$J,"&lt;="&amp;$A18,Despesas!$L:$L,"&gt;="&amp;$A18,Despesas!$C:$C,D$1,Despesas!$M:$M,"Mensal")+SUMIFS(Despesas!$F:$F,Despesas!$J:$J,"&lt;="&amp;$A18,Despesas!$L:$L,"&gt;="&amp;$A18,Despesas!$C:$C,D$1,Despesas!$M:$M,$B18)</f>
        <v>23000</v>
      </c>
      <c r="E18" s="18">
        <f>SUMIFS(Despesas!$F:$F,Despesas!$J:$J,"&lt;="&amp;$A18,Despesas!$L:$L,"&gt;="&amp;$A18,Despesas!$C:$C,E$1,Despesas!$M:$M,"Mensal")+SUMIFS(Despesas!$F:$F,Despesas!$J:$J,"&lt;="&amp;$A18,Despesas!$L:$L,"&gt;="&amp;$A18,Despesas!$C:$C,E$1,Despesas!$M:$M,$B18)</f>
        <v>16000</v>
      </c>
      <c r="F18" s="5">
        <f>SUMIFS(Despesas!$F:$F,Despesas!$J:$J,"&lt;="&amp;$A18,Despesas!$L:$L,"&gt;="&amp;$A18,Despesas!$C:$C,F$1,Despesas!$M:$M,"Mensal")+SUMIFS(Despesas!$F:$F,Despesas!$J:$J,"&lt;="&amp;$A18,Despesas!$L:$L,"&gt;="&amp;$A18,Despesas!$C:$C,F$1,Despesas!$M:$M,$B18)</f>
        <v>13000</v>
      </c>
      <c r="G18" s="5">
        <f>SUMIFS(Despesas!$F:$F,Despesas!$J:$J,"&lt;="&amp;$A18,Despesas!$L:$L,"&gt;="&amp;$A18,Despesas!$C:$C,G$1,Despesas!$M:$M,"Mensal")+SUMIFS(Despesas!$F:$F,Despesas!$J:$J,"&lt;="&amp;$A18,Despesas!$L:$L,"&gt;="&amp;$A18,Despesas!$C:$C,G$1,Despesas!$M:$M,$B18)</f>
        <v>0</v>
      </c>
      <c r="H18" s="18">
        <f ca="1">SUMIFS(Despesas!$F:$F,Despesas!$J:$J,"&lt;="&amp;$A18,Despesas!$L:$L,"&gt;="&amp;$A18,Despesas!$C:$C,H$1,Despesas!$M:$M,"Mensal")+SUMIFS(Despesas!$F:$F,Despesas!$J:$J,"&lt;="&amp;$A18,Despesas!$L:$L,"&gt;="&amp;$A18,Despesas!$C:$C,H$1,Despesas!$M:$M,$B18)</f>
        <v>10762.055</v>
      </c>
      <c r="I18" s="18">
        <f>IF(Imóveis!$F$2="PRICE",IF(AND(Dados!$A18&gt;=Imóveis!$Q$2,Dados!$A18&lt;=Imóveis!$T$2),Imóveis!$U$2,0),IF((IF(AND(Dados!$A18&gt;=Imóveis!$Q$2,Dados!$A18&lt;=Imóveis!$T$2),Imóveis!$S$2-(DATEDIF(Imóveis!$Q$2,Dados!$A18,"m")),0))=0,0,((Imóveis!$N$2/Imóveis!$S$2)+((Imóveis!$N$2-((Imóveis!$S$2-(IF(AND(Dados!$A18&gt;=Imóveis!$Q$2,Dados!$A18&lt;=Imóveis!$T$2),Imóveis!$S$2-(DATEDIF(Imóveis!$Q$2,Dados!$A18,"m")),)))*(Imóveis!$N$2/Imóveis!$S$2)))*Imóveis!$P$2))))*IF(AND(Imóveis!$E$2&gt;0,Dados!$A18&gt;Imóveis!$E$2),0,1)</f>
        <v>17949.236902646135</v>
      </c>
      <c r="J18" s="18">
        <f ca="1">IF(Imóveis!$F$3="PRICE",IF(AND(Dados!$A18&gt;=Imóveis!$Q$3,Dados!$A18&lt;=Imóveis!$T$3),Imóveis!$U$3,0),IF((IF(AND(Dados!$A18&gt;=Imóveis!$Q$3,Dados!$A18&lt;=Imóveis!$T$3),Imóveis!$S$3-(DATEDIF(Imóveis!$Q$3,Dados!$A18,"m")),0))=0,0,((Imóveis!$N$3/Imóveis!$S$3)+((Imóveis!$N$3-((Imóveis!$S$3-(IF(AND(Dados!$A18&gt;=Imóveis!$Q$3,Dados!$A18&lt;=Imóveis!$T$3),Imóveis!$S$3-(DATEDIF(Imóveis!$Q$3,Dados!$A18,"m")),)))*(Imóveis!$N$3/Imóveis!$S$3)))*Imóveis!$P$3))))*IF(AND(Imóveis!$E$3&gt;0,Dados!$A18&gt;Imóveis!$E$3),0,1)</f>
        <v>9314.6986248807771</v>
      </c>
      <c r="K18" s="18">
        <f>IF(Imóveis!$F$4="PRICE",IF(AND(Dados!$A18&gt;=Imóveis!$Q$4,Dados!$A18&lt;=Imóveis!$T$4),Imóveis!$U$4,0),IF((IF(AND(Dados!$A18&gt;=Imóveis!$Q$4,Dados!$A18&lt;=Imóveis!$T$4),Imóveis!$S$4-(DATEDIF(Imóveis!$Q$4,Dados!$A18,"m")),0))=0,0,((Imóveis!$N$4/Imóveis!$S$4)+((Imóveis!$N$4-((Imóveis!$S$4-(IF(AND(Dados!$A18&gt;=Imóveis!$Q$4,Dados!$A18&lt;=Imóveis!$T$4),Imóveis!$S$4-(DATEDIF(Imóveis!$Q$4,Dados!$A18,"m")),)))*(Imóveis!$N$4/Imóveis!$S$4)))*Imóveis!$P$4))))*IF(AND(Imóveis!$E$4&gt;0,Dados!$A18&gt;Imóveis!$E$4),0,1)</f>
        <v>4643.949359272583</v>
      </c>
      <c r="L18" s="18">
        <f>IF(Imóveis!$F$5="PRICE",IF(AND(Dados!$A18&gt;=Imóveis!$Q$5,Dados!$A18&lt;=Imóveis!$T$5),Imóveis!$U$5,0),IF((IF(AND(Dados!$A18&gt;=Imóveis!$Q$5,Dados!$A18&lt;=Imóveis!$T$5),Imóveis!$S$5-(DATEDIF(Imóveis!$Q$5,Dados!$A18,"m")),0))=0,0,((Imóveis!$N$5/Imóveis!$S$5)+((Imóveis!$N$5-((Imóveis!$S$5-(IF(AND(Dados!$A18 &gt;=Imóveis!$Q$5,Dados!$A18&lt;=Imóveis!$T$5),Imóveis!$S$5-(DATEDIF(Imóveis!$Q$5,Dados!$A18,"m")),)))*(Imóveis!$N$5/Imóveis!$S$5)))*Imóveis!$P$5))))*IF(AND(Imóveis!$E$5&gt;0,Dados!$A18&gt;Imóveis!$E$5),0,1)*Imóveis!$I$5</f>
        <v>0</v>
      </c>
      <c r="M18" s="18">
        <f>IF(Imóveis!$F$6="PRICE",IF(AND(Dados!$A18&gt;=Imóveis!$Q$6,Dados!$A18&lt;=Imóveis!$T$6),Imóveis!$U$6,0),IF((IF(AND(Dados!$A18&gt;=Imóveis!$Q$6,Dados!$A18&lt;=Imóveis!$T$6),Imóveis!$S$6-(DATEDIF(Imóveis!$Q$6,Dados!$A18,"m")),0))=0,0,((Imóveis!$N$6/Imóveis!$S$6)+((Imóveis!$N$6-((Imóveis!$S$6-(IF(AND(Dados!$A18&gt;=Imóveis!$Q$6,Dados!$A18&lt;=Imóveis!$T$6),Imóveis!$S$6-(DATEDIF(Imóveis!$Q$6,Dados!$A18,"m")),)))*(Imóveis!$N$6/Imóveis!$S$6)))*Imóveis!$P$6))))*IF(AND(Imóveis!$E$6&gt;0,Dados!$A18&gt;Imóveis!$E$6),0,1)*Imóveis!$I$6</f>
        <v>0</v>
      </c>
      <c r="N18" s="18">
        <f t="shared" ca="1" si="3"/>
        <v>94669.93988679949</v>
      </c>
      <c r="O18" s="18">
        <f>SUMIFS(Receitas!$F:$F,Receitas!$J:$J,"&lt;="&amp;$A18,Receitas!$L:$L,"&gt;="&amp;$A18,Receitas!$C:$C,O$1,Receitas!$M:$M,"Mensal")+SUMIFS(Receitas!$F:$F,Receitas!$J:$J,"&lt;="&amp;$A18,Receitas!$L:$L,"&gt;="&amp;$A18,Receitas!$C:$C,O$1,Receitas!$M:$M,$B18)</f>
        <v>50000</v>
      </c>
      <c r="P18" s="18">
        <f>SUMIFS(Receitas!$F:$F,Receitas!$J:$J,"&lt;="&amp;$A18,Receitas!$L:$L,"&gt;="&amp;$A18,Receitas!$C:$C,P$1,Receitas!$M:$M,"Mensal")+SUMIFS(Receitas!$F:$F,Receitas!$J:$J,"&lt;="&amp;$A18,Receitas!$L:$L,"&gt;="&amp;$A18,Receitas!$C:$C,P$1,Receitas!$M:$M,$B18)</f>
        <v>20000</v>
      </c>
      <c r="Q18" s="18">
        <f ca="1">SUMIFS(Receitas!$F:$F,Receitas!$J:$J,"&lt;="&amp;$A18,Receitas!$L:$L,"&gt;="&amp;$A18,Receitas!$C:$C,Q$1,Receitas!$M:$M,"Mensal")+SUMIFS(Receitas!$F:$F,Receitas!$J:$J,"&lt;="&amp;$A18,Receitas!$L:$L,"&gt;="&amp;$A18,Receitas!$C:$C,Q$1,Receitas!$M:$M,$B18)</f>
        <v>15101.400000000001</v>
      </c>
      <c r="R18" s="18" cm="1">
        <f t="array" ref="R18">(IF(AND(Membros!$F$2="Sim",A18&lt;=MAX(Membros!$E$2:$E$5)),Membros!K$2,IF(AND(A18&gt;=Membros!J$2,A18&lt;=MAX(Membros!$E$2:$E$5)),Membros!K$2,0))+IF(AND(Membros!$F$3="Sim",A18&lt;=MAX(Membros!$E$2:$E$5)),Membros!K$3,IF(AND(A18&gt;=Membros!J$3,A18&lt;=MAX(Membros!$E$2:$E$5)),Membros!K$3,0)))*IF(AND(COUNTIFS(Tabela3[Tipo],"Provedor",Tabela3[Simulação Seguro],"Sim")=2,A18&gt;=MAX(IF(Tabela3[Tipo]="Dependente",Tabela3[Expectativa de Vida (Data)]))),0,1)</f>
        <v>0</v>
      </c>
      <c r="S18" s="18">
        <f t="shared" ca="1" si="4"/>
        <v>85101.4</v>
      </c>
      <c r="U18" s="18">
        <f t="shared" ca="1" si="7"/>
        <v>4736955.6689821295</v>
      </c>
      <c r="V18" s="18">
        <f>SUMIF(Imóveis!E:E,Dados!A:A,Imóveis!Z:Z)-SUMIF(Imóveis!E:E,Dados!A:A,Imóveis!Y:Y)</f>
        <v>0</v>
      </c>
      <c r="W18" s="18">
        <f>-SUMIF(Projetos!N:N,A18,Projetos!F:F)</f>
        <v>0</v>
      </c>
      <c r="X18" s="18">
        <f t="shared" ca="1" si="0"/>
        <v>-9568.5398867994954</v>
      </c>
      <c r="Y18" s="26">
        <f ca="1">(U18*((Indicadores_Economicos!D$2+1)^(1/12)-1))</f>
        <v>15507.560220059469</v>
      </c>
      <c r="Z18" s="18">
        <f t="shared" ca="1" si="5"/>
        <v>4742894.6893153889</v>
      </c>
      <c r="AA18" s="18">
        <f ca="1">Auxiliar_Projetos!E18</f>
        <v>345569.27153479453</v>
      </c>
      <c r="AB18" s="18">
        <f ca="1">Auxiliar_Projetos!K18</f>
        <v>303586.62871609017</v>
      </c>
      <c r="AC18" s="18">
        <f ca="1">IF(Z18-AA18-AB18&gt;Investimentos!$C$14,Investimentos!$C$14,IF(Z18-AA18-AB18&lt;Investimentos!$C$14,Z18-AA18-AB18,0))</f>
        <v>300000</v>
      </c>
      <c r="AD18" s="18">
        <f t="shared" ca="1" si="6"/>
        <v>3793738.7890645037</v>
      </c>
      <c r="AE18" s="18"/>
    </row>
    <row r="19" spans="1:31" x14ac:dyDescent="0.2">
      <c r="A19" s="4">
        <v>46174</v>
      </c>
      <c r="B19" s="5" t="str">
        <f t="shared" si="1"/>
        <v>junho</v>
      </c>
      <c r="C19" s="5" t="str">
        <f t="shared" si="2"/>
        <v>2026</v>
      </c>
      <c r="D19" s="5">
        <f>SUMIFS(Despesas!$F:$F,Despesas!$J:$J,"&lt;="&amp;$A19,Despesas!$L:$L,"&gt;="&amp;$A19,Despesas!$C:$C,D$1,Despesas!$M:$M,"Mensal")+SUMIFS(Despesas!$F:$F,Despesas!$J:$J,"&lt;="&amp;$A19,Despesas!$L:$L,"&gt;="&amp;$A19,Despesas!$C:$C,D$1,Despesas!$M:$M,$B19)</f>
        <v>23000</v>
      </c>
      <c r="E19" s="18">
        <f>SUMIFS(Despesas!$F:$F,Despesas!$J:$J,"&lt;="&amp;$A19,Despesas!$L:$L,"&gt;="&amp;$A19,Despesas!$C:$C,E$1,Despesas!$M:$M,"Mensal")+SUMIFS(Despesas!$F:$F,Despesas!$J:$J,"&lt;="&amp;$A19,Despesas!$L:$L,"&gt;="&amp;$A19,Despesas!$C:$C,E$1,Despesas!$M:$M,$B19)</f>
        <v>16000</v>
      </c>
      <c r="F19" s="5">
        <f>SUMIFS(Despesas!$F:$F,Despesas!$J:$J,"&lt;="&amp;$A19,Despesas!$L:$L,"&gt;="&amp;$A19,Despesas!$C:$C,F$1,Despesas!$M:$M,"Mensal")+SUMIFS(Despesas!$F:$F,Despesas!$J:$J,"&lt;="&amp;$A19,Despesas!$L:$L,"&gt;="&amp;$A19,Despesas!$C:$C,F$1,Despesas!$M:$M,$B19)</f>
        <v>13000</v>
      </c>
      <c r="G19" s="5">
        <f>SUMIFS(Despesas!$F:$F,Despesas!$J:$J,"&lt;="&amp;$A19,Despesas!$L:$L,"&gt;="&amp;$A19,Despesas!$C:$C,G$1,Despesas!$M:$M,"Mensal")+SUMIFS(Despesas!$F:$F,Despesas!$J:$J,"&lt;="&amp;$A19,Despesas!$L:$L,"&gt;="&amp;$A19,Despesas!$C:$C,G$1,Despesas!$M:$M,$B19)</f>
        <v>0</v>
      </c>
      <c r="H19" s="18">
        <f ca="1">SUMIFS(Despesas!$F:$F,Despesas!$J:$J,"&lt;="&amp;$A19,Despesas!$L:$L,"&gt;="&amp;$A19,Despesas!$C:$C,H$1,Despesas!$M:$M,"Mensal")+SUMIFS(Despesas!$F:$F,Despesas!$J:$J,"&lt;="&amp;$A19,Despesas!$L:$L,"&gt;="&amp;$A19,Despesas!$C:$C,H$1,Despesas!$M:$M,$B19)</f>
        <v>10762.055</v>
      </c>
      <c r="I19" s="18">
        <f>IF(Imóveis!$F$2="PRICE",IF(AND(Dados!$A19&gt;=Imóveis!$Q$2,Dados!$A19&lt;=Imóveis!$T$2),Imóveis!$U$2,0),IF((IF(AND(Dados!$A19&gt;=Imóveis!$Q$2,Dados!$A19&lt;=Imóveis!$T$2),Imóveis!$S$2-(DATEDIF(Imóveis!$Q$2,Dados!$A19,"m")),0))=0,0,((Imóveis!$N$2/Imóveis!$S$2)+((Imóveis!$N$2-((Imóveis!$S$2-(IF(AND(Dados!$A19&gt;=Imóveis!$Q$2,Dados!$A19&lt;=Imóveis!$T$2),Imóveis!$S$2-(DATEDIF(Imóveis!$Q$2,Dados!$A19,"m")),)))*(Imóveis!$N$2/Imóveis!$S$2)))*Imóveis!$P$2))))*IF(AND(Imóveis!$E$2&gt;0,Dados!$A19&gt;Imóveis!$E$2),0,1)</f>
        <v>17887.215810421327</v>
      </c>
      <c r="J19" s="18">
        <f ca="1">IF(Imóveis!$F$3="PRICE",IF(AND(Dados!$A19&gt;=Imóveis!$Q$3,Dados!$A19&lt;=Imóveis!$T$3),Imóveis!$U$3,0),IF((IF(AND(Dados!$A19&gt;=Imóveis!$Q$3,Dados!$A19&lt;=Imóveis!$T$3),Imóveis!$S$3-(DATEDIF(Imóveis!$Q$3,Dados!$A19,"m")),0))=0,0,((Imóveis!$N$3/Imóveis!$S$3)+((Imóveis!$N$3-((Imóveis!$S$3-(IF(AND(Dados!$A19&gt;=Imóveis!$Q$3,Dados!$A19&lt;=Imóveis!$T$3),Imóveis!$S$3-(DATEDIF(Imóveis!$Q$3,Dados!$A19,"m")),)))*(Imóveis!$N$3/Imóveis!$S$3)))*Imóveis!$P$3))))*IF(AND(Imóveis!$E$3&gt;0,Dados!$A19&gt;Imóveis!$E$3),0,1)</f>
        <v>9314.6986248807771</v>
      </c>
      <c r="K19" s="18">
        <f>IF(Imóveis!$F$4="PRICE",IF(AND(Dados!$A19&gt;=Imóveis!$Q$4,Dados!$A19&lt;=Imóveis!$T$4),Imóveis!$U$4,0),IF((IF(AND(Dados!$A19&gt;=Imóveis!$Q$4,Dados!$A19&lt;=Imóveis!$T$4),Imóveis!$S$4-(DATEDIF(Imóveis!$Q$4,Dados!$A19,"m")),0))=0,0,((Imóveis!$N$4/Imóveis!$S$4)+((Imóveis!$N$4-((Imóveis!$S$4-(IF(AND(Dados!$A19&gt;=Imóveis!$Q$4,Dados!$A19&lt;=Imóveis!$T$4),Imóveis!$S$4-(DATEDIF(Imóveis!$Q$4,Dados!$A19,"m")),)))*(Imóveis!$N$4/Imóveis!$S$4)))*Imóveis!$P$4))))*IF(AND(Imóveis!$E$4&gt;0,Dados!$A19&gt;Imóveis!$E$4),0,1)</f>
        <v>4643.949359272583</v>
      </c>
      <c r="L19" s="18">
        <f>IF(Imóveis!$F$5="PRICE",IF(AND(Dados!$A19&gt;=Imóveis!$Q$5,Dados!$A19&lt;=Imóveis!$T$5),Imóveis!$U$5,0),IF((IF(AND(Dados!$A19&gt;=Imóveis!$Q$5,Dados!$A19&lt;=Imóveis!$T$5),Imóveis!$S$5-(DATEDIF(Imóveis!$Q$5,Dados!$A19,"m")),0))=0,0,((Imóveis!$N$5/Imóveis!$S$5)+((Imóveis!$N$5-((Imóveis!$S$5-(IF(AND(Dados!$A19 &gt;=Imóveis!$Q$5,Dados!$A19&lt;=Imóveis!$T$5),Imóveis!$S$5-(DATEDIF(Imóveis!$Q$5,Dados!$A19,"m")),)))*(Imóveis!$N$5/Imóveis!$S$5)))*Imóveis!$P$5))))*IF(AND(Imóveis!$E$5&gt;0,Dados!$A19&gt;Imóveis!$E$5),0,1)*Imóveis!$I$5</f>
        <v>0</v>
      </c>
      <c r="M19" s="18">
        <f>IF(Imóveis!$F$6="PRICE",IF(AND(Dados!$A19&gt;=Imóveis!$Q$6,Dados!$A19&lt;=Imóveis!$T$6),Imóveis!$U$6,0),IF((IF(AND(Dados!$A19&gt;=Imóveis!$Q$6,Dados!$A19&lt;=Imóveis!$T$6),Imóveis!$S$6-(DATEDIF(Imóveis!$Q$6,Dados!$A19,"m")),0))=0,0,((Imóveis!$N$6/Imóveis!$S$6)+((Imóveis!$N$6-((Imóveis!$S$6-(IF(AND(Dados!$A19&gt;=Imóveis!$Q$6,Dados!$A19&lt;=Imóveis!$T$6),Imóveis!$S$6-(DATEDIF(Imóveis!$Q$6,Dados!$A19,"m")),)))*(Imóveis!$N$6/Imóveis!$S$6)))*Imóveis!$P$6))))*IF(AND(Imóveis!$E$6&gt;0,Dados!$A19&gt;Imóveis!$E$6),0,1)*Imóveis!$I$6</f>
        <v>0</v>
      </c>
      <c r="N19" s="18">
        <f t="shared" ca="1" si="3"/>
        <v>94607.918794574682</v>
      </c>
      <c r="O19" s="18">
        <f>SUMIFS(Receitas!$F:$F,Receitas!$J:$J,"&lt;="&amp;$A19,Receitas!$L:$L,"&gt;="&amp;$A19,Receitas!$C:$C,O$1,Receitas!$M:$M,"Mensal")+SUMIFS(Receitas!$F:$F,Receitas!$J:$J,"&lt;="&amp;$A19,Receitas!$L:$L,"&gt;="&amp;$A19,Receitas!$C:$C,O$1,Receitas!$M:$M,$B19)</f>
        <v>50000</v>
      </c>
      <c r="P19" s="18">
        <f>SUMIFS(Receitas!$F:$F,Receitas!$J:$J,"&lt;="&amp;$A19,Receitas!$L:$L,"&gt;="&amp;$A19,Receitas!$C:$C,P$1,Receitas!$M:$M,"Mensal")+SUMIFS(Receitas!$F:$F,Receitas!$J:$J,"&lt;="&amp;$A19,Receitas!$L:$L,"&gt;="&amp;$A19,Receitas!$C:$C,P$1,Receitas!$M:$M,$B19)</f>
        <v>20000</v>
      </c>
      <c r="Q19" s="18">
        <f ca="1">SUMIFS(Receitas!$F:$F,Receitas!$J:$J,"&lt;="&amp;$A19,Receitas!$L:$L,"&gt;="&amp;$A19,Receitas!$C:$C,Q$1,Receitas!$M:$M,"Mensal")+SUMIFS(Receitas!$F:$F,Receitas!$J:$J,"&lt;="&amp;$A19,Receitas!$L:$L,"&gt;="&amp;$A19,Receitas!$C:$C,Q$1,Receitas!$M:$M,$B19)</f>
        <v>15101.400000000001</v>
      </c>
      <c r="R19" s="18" cm="1">
        <f t="array" ref="R19">(IF(AND(Membros!$F$2="Sim",A19&lt;=MAX(Membros!$E$2:$E$5)),Membros!K$2,IF(AND(A19&gt;=Membros!J$2,A19&lt;=MAX(Membros!$E$2:$E$5)),Membros!K$2,0))+IF(AND(Membros!$F$3="Sim",A19&lt;=MAX(Membros!$E$2:$E$5)),Membros!K$3,IF(AND(A19&gt;=Membros!J$3,A19&lt;=MAX(Membros!$E$2:$E$5)),Membros!K$3,0)))*IF(AND(COUNTIFS(Tabela3[Tipo],"Provedor",Tabela3[Simulação Seguro],"Sim")=2,A19&gt;=MAX(IF(Tabela3[Tipo]="Dependente",Tabela3[Expectativa de Vida (Data)]))),0,1)</f>
        <v>0</v>
      </c>
      <c r="S19" s="18">
        <f t="shared" ca="1" si="4"/>
        <v>85101.4</v>
      </c>
      <c r="U19" s="18">
        <f t="shared" ca="1" si="7"/>
        <v>4742894.6893153889</v>
      </c>
      <c r="V19" s="18">
        <f>SUMIF(Imóveis!E:E,Dados!A:A,Imóveis!Z:Z)-SUMIF(Imóveis!E:E,Dados!A:A,Imóveis!Y:Y)</f>
        <v>0</v>
      </c>
      <c r="W19" s="18">
        <f>-SUMIF(Projetos!N:N,A19,Projetos!F:F)</f>
        <v>0</v>
      </c>
      <c r="X19" s="18">
        <f t="shared" ca="1" si="0"/>
        <v>-9506.5187945746875</v>
      </c>
      <c r="Y19" s="26">
        <f ca="1">(U19*((Indicadores_Economicos!D$2+1)^(1/12)-1))</f>
        <v>15527.003027191749</v>
      </c>
      <c r="Z19" s="18">
        <f t="shared" ca="1" si="5"/>
        <v>4748915.1735480055</v>
      </c>
      <c r="AA19" s="18">
        <f ca="1">Auxiliar_Projetos!E19</f>
        <v>346700.57540652348</v>
      </c>
      <c r="AB19" s="18">
        <f ca="1">Auxiliar_Projetos!K19</f>
        <v>304580.4923398617</v>
      </c>
      <c r="AC19" s="18">
        <f ca="1">IF(Z19-AA19-AB19&gt;Investimentos!$C$14,Investimentos!$C$14,IF(Z19-AA19-AB19&lt;Investimentos!$C$14,Z19-AA19-AB19,0))</f>
        <v>300000</v>
      </c>
      <c r="AD19" s="18">
        <f t="shared" ca="1" si="6"/>
        <v>3797634.1058016205</v>
      </c>
      <c r="AE19" s="18"/>
    </row>
    <row r="20" spans="1:31" x14ac:dyDescent="0.2">
      <c r="A20" s="4">
        <v>46204</v>
      </c>
      <c r="B20" s="5" t="str">
        <f t="shared" si="1"/>
        <v>julho</v>
      </c>
      <c r="C20" s="5" t="str">
        <f t="shared" si="2"/>
        <v>2026</v>
      </c>
      <c r="D20" s="5">
        <f>SUMIFS(Despesas!$F:$F,Despesas!$J:$J,"&lt;="&amp;$A20,Despesas!$L:$L,"&gt;="&amp;$A20,Despesas!$C:$C,D$1,Despesas!$M:$M,"Mensal")+SUMIFS(Despesas!$F:$F,Despesas!$J:$J,"&lt;="&amp;$A20,Despesas!$L:$L,"&gt;="&amp;$A20,Despesas!$C:$C,D$1,Despesas!$M:$M,$B20)</f>
        <v>23000</v>
      </c>
      <c r="E20" s="18">
        <f>SUMIFS(Despesas!$F:$F,Despesas!$J:$J,"&lt;="&amp;$A20,Despesas!$L:$L,"&gt;="&amp;$A20,Despesas!$C:$C,E$1,Despesas!$M:$M,"Mensal")+SUMIFS(Despesas!$F:$F,Despesas!$J:$J,"&lt;="&amp;$A20,Despesas!$L:$L,"&gt;="&amp;$A20,Despesas!$C:$C,E$1,Despesas!$M:$M,$B20)</f>
        <v>16000</v>
      </c>
      <c r="F20" s="5">
        <f>SUMIFS(Despesas!$F:$F,Despesas!$J:$J,"&lt;="&amp;$A20,Despesas!$L:$L,"&gt;="&amp;$A20,Despesas!$C:$C,F$1,Despesas!$M:$M,"Mensal")+SUMIFS(Despesas!$F:$F,Despesas!$J:$J,"&lt;="&amp;$A20,Despesas!$L:$L,"&gt;="&amp;$A20,Despesas!$C:$C,F$1,Despesas!$M:$M,$B20)</f>
        <v>13000</v>
      </c>
      <c r="G20" s="5">
        <f ca="1">SUMIFS(Despesas!$F:$F,Despesas!$J:$J,"&lt;="&amp;$A20,Despesas!$L:$L,"&gt;="&amp;$A20,Despesas!$C:$C,G$1,Despesas!$M:$M,"Mensal")+SUMIFS(Despesas!$F:$F,Despesas!$J:$J,"&lt;="&amp;$A20,Despesas!$L:$L,"&gt;="&amp;$A20,Despesas!$C:$C,G$1,Despesas!$M:$M,$B20)</f>
        <v>55757</v>
      </c>
      <c r="H20" s="18">
        <f ca="1">SUMIFS(Despesas!$F:$F,Despesas!$J:$J,"&lt;="&amp;$A20,Despesas!$L:$L,"&gt;="&amp;$A20,Despesas!$C:$C,H$1,Despesas!$M:$M,"Mensal")+SUMIFS(Despesas!$F:$F,Despesas!$J:$J,"&lt;="&amp;$A20,Despesas!$L:$L,"&gt;="&amp;$A20,Despesas!$C:$C,H$1,Despesas!$M:$M,$B20)</f>
        <v>10762.055</v>
      </c>
      <c r="I20" s="18">
        <f>IF(Imóveis!$F$2="PRICE",IF(AND(Dados!$A20&gt;=Imóveis!$Q$2,Dados!$A20&lt;=Imóveis!$T$2),Imóveis!$U$2,0),IF((IF(AND(Dados!$A20&gt;=Imóveis!$Q$2,Dados!$A20&lt;=Imóveis!$T$2),Imóveis!$S$2-(DATEDIF(Imóveis!$Q$2,Dados!$A20,"m")),0))=0,0,((Imóveis!$N$2/Imóveis!$S$2)+((Imóveis!$N$2-((Imóveis!$S$2-(IF(AND(Dados!$A20&gt;=Imóveis!$Q$2,Dados!$A20&lt;=Imóveis!$T$2),Imóveis!$S$2-(DATEDIF(Imóveis!$Q$2,Dados!$A20,"m")),)))*(Imóveis!$N$2/Imóveis!$S$2)))*Imóveis!$P$2))))*IF(AND(Imóveis!$E$2&gt;0,Dados!$A20&gt;Imóveis!$E$2),0,1)</f>
        <v>17825.194718196522</v>
      </c>
      <c r="J20" s="18">
        <f ca="1">IF(Imóveis!$F$3="PRICE",IF(AND(Dados!$A20&gt;=Imóveis!$Q$3,Dados!$A20&lt;=Imóveis!$T$3),Imóveis!$U$3,0),IF((IF(AND(Dados!$A20&gt;=Imóveis!$Q$3,Dados!$A20&lt;=Imóveis!$T$3),Imóveis!$S$3-(DATEDIF(Imóveis!$Q$3,Dados!$A20,"m")),0))=0,0,((Imóveis!$N$3/Imóveis!$S$3)+((Imóveis!$N$3-((Imóveis!$S$3-(IF(AND(Dados!$A20&gt;=Imóveis!$Q$3,Dados!$A20&lt;=Imóveis!$T$3),Imóveis!$S$3-(DATEDIF(Imóveis!$Q$3,Dados!$A20,"m")),)))*(Imóveis!$N$3/Imóveis!$S$3)))*Imóveis!$P$3))))*IF(AND(Imóveis!$E$3&gt;0,Dados!$A20&gt;Imóveis!$E$3),0,1)</f>
        <v>9314.6986248807771</v>
      </c>
      <c r="K20" s="18">
        <f>IF(Imóveis!$F$4="PRICE",IF(AND(Dados!$A20&gt;=Imóveis!$Q$4,Dados!$A20&lt;=Imóveis!$T$4),Imóveis!$U$4,0),IF((IF(AND(Dados!$A20&gt;=Imóveis!$Q$4,Dados!$A20&lt;=Imóveis!$T$4),Imóveis!$S$4-(DATEDIF(Imóveis!$Q$4,Dados!$A20,"m")),0))=0,0,((Imóveis!$N$4/Imóveis!$S$4)+((Imóveis!$N$4-((Imóveis!$S$4-(IF(AND(Dados!$A20&gt;=Imóveis!$Q$4,Dados!$A20&lt;=Imóveis!$T$4),Imóveis!$S$4-(DATEDIF(Imóveis!$Q$4,Dados!$A20,"m")),)))*(Imóveis!$N$4/Imóveis!$S$4)))*Imóveis!$P$4))))*IF(AND(Imóveis!$E$4&gt;0,Dados!$A20&gt;Imóveis!$E$4),0,1)</f>
        <v>4643.949359272583</v>
      </c>
      <c r="L20" s="18">
        <f>IF(Imóveis!$F$5="PRICE",IF(AND(Dados!$A20&gt;=Imóveis!$Q$5,Dados!$A20&lt;=Imóveis!$T$5),Imóveis!$U$5,0),IF((IF(AND(Dados!$A20&gt;=Imóveis!$Q$5,Dados!$A20&lt;=Imóveis!$T$5),Imóveis!$S$5-(DATEDIF(Imóveis!$Q$5,Dados!$A20,"m")),0))=0,0,((Imóveis!$N$5/Imóveis!$S$5)+((Imóveis!$N$5-((Imóveis!$S$5-(IF(AND(Dados!$A20 &gt;=Imóveis!$Q$5,Dados!$A20&lt;=Imóveis!$T$5),Imóveis!$S$5-(DATEDIF(Imóveis!$Q$5,Dados!$A20,"m")),)))*(Imóveis!$N$5/Imóveis!$S$5)))*Imóveis!$P$5))))*IF(AND(Imóveis!$E$5&gt;0,Dados!$A20&gt;Imóveis!$E$5),0,1)*Imóveis!$I$5</f>
        <v>0</v>
      </c>
      <c r="M20" s="18">
        <f>IF(Imóveis!$F$6="PRICE",IF(AND(Dados!$A20&gt;=Imóveis!$Q$6,Dados!$A20&lt;=Imóveis!$T$6),Imóveis!$U$6,0),IF((IF(AND(Dados!$A20&gt;=Imóveis!$Q$6,Dados!$A20&lt;=Imóveis!$T$6),Imóveis!$S$6-(DATEDIF(Imóveis!$Q$6,Dados!$A20,"m")),0))=0,0,((Imóveis!$N$6/Imóveis!$S$6)+((Imóveis!$N$6-((Imóveis!$S$6-(IF(AND(Dados!$A20&gt;=Imóveis!$Q$6,Dados!$A20&lt;=Imóveis!$T$6),Imóveis!$S$6-(DATEDIF(Imóveis!$Q$6,Dados!$A20,"m")),)))*(Imóveis!$N$6/Imóveis!$S$6)))*Imóveis!$P$6))))*IF(AND(Imóveis!$E$6&gt;0,Dados!$A20&gt;Imóveis!$E$6),0,1)*Imóveis!$I$6</f>
        <v>0</v>
      </c>
      <c r="N20" s="18">
        <f t="shared" ca="1" si="3"/>
        <v>150302.89770234987</v>
      </c>
      <c r="O20" s="18">
        <f>SUMIFS(Receitas!$F:$F,Receitas!$J:$J,"&lt;="&amp;$A20,Receitas!$L:$L,"&gt;="&amp;$A20,Receitas!$C:$C,O$1,Receitas!$M:$M,"Mensal")+SUMIFS(Receitas!$F:$F,Receitas!$J:$J,"&lt;="&amp;$A20,Receitas!$L:$L,"&gt;="&amp;$A20,Receitas!$C:$C,O$1,Receitas!$M:$M,$B20)</f>
        <v>50000</v>
      </c>
      <c r="P20" s="18">
        <f>SUMIFS(Receitas!$F:$F,Receitas!$J:$J,"&lt;="&amp;$A20,Receitas!$L:$L,"&gt;="&amp;$A20,Receitas!$C:$C,P$1,Receitas!$M:$M,"Mensal")+SUMIFS(Receitas!$F:$F,Receitas!$J:$J,"&lt;="&amp;$A20,Receitas!$L:$L,"&gt;="&amp;$A20,Receitas!$C:$C,P$1,Receitas!$M:$M,$B20)</f>
        <v>20000</v>
      </c>
      <c r="Q20" s="18">
        <f ca="1">SUMIFS(Receitas!$F:$F,Receitas!$J:$J,"&lt;="&amp;$A20,Receitas!$L:$L,"&gt;="&amp;$A20,Receitas!$C:$C,Q$1,Receitas!$M:$M,"Mensal")+SUMIFS(Receitas!$F:$F,Receitas!$J:$J,"&lt;="&amp;$A20,Receitas!$L:$L,"&gt;="&amp;$A20,Receitas!$C:$C,Q$1,Receitas!$M:$M,$B20)</f>
        <v>15101.400000000001</v>
      </c>
      <c r="R20" s="18" cm="1">
        <f t="array" ref="R20">(IF(AND(Membros!$F$2="Sim",A20&lt;=MAX(Membros!$E$2:$E$5)),Membros!K$2,IF(AND(A20&gt;=Membros!J$2,A20&lt;=MAX(Membros!$E$2:$E$5)),Membros!K$2,0))+IF(AND(Membros!$F$3="Sim",A20&lt;=MAX(Membros!$E$2:$E$5)),Membros!K$3,IF(AND(A20&gt;=Membros!J$3,A20&lt;=MAX(Membros!$E$2:$E$5)),Membros!K$3,0)))*IF(AND(COUNTIFS(Tabela3[Tipo],"Provedor",Tabela3[Simulação Seguro],"Sim")=2,A20&gt;=MAX(IF(Tabela3[Tipo]="Dependente",Tabela3[Expectativa de Vida (Data)]))),0,1)</f>
        <v>0</v>
      </c>
      <c r="S20" s="18">
        <f t="shared" ca="1" si="4"/>
        <v>85101.4</v>
      </c>
      <c r="U20" s="18">
        <f t="shared" ca="1" si="7"/>
        <v>4748915.1735480055</v>
      </c>
      <c r="V20" s="18">
        <f>SUMIF(Imóveis!E:E,Dados!A:A,Imóveis!Z:Z)-SUMIF(Imóveis!E:E,Dados!A:A,Imóveis!Y:Y)</f>
        <v>0</v>
      </c>
      <c r="W20" s="18">
        <f>-SUMIF(Projetos!N:N,A20,Projetos!F:F)</f>
        <v>0</v>
      </c>
      <c r="X20" s="18">
        <f t="shared" ca="1" si="0"/>
        <v>-65201.49770234988</v>
      </c>
      <c r="Y20" s="26">
        <f ca="1">(U20*((Indicadores_Economicos!D$2+1)^(1/12)-1))</f>
        <v>15546.712525932167</v>
      </c>
      <c r="Z20" s="18">
        <f t="shared" ca="1" si="5"/>
        <v>4699260.3883715877</v>
      </c>
      <c r="AA20" s="18">
        <f ca="1">Auxiliar_Projetos!E20</f>
        <v>347835.58287274308</v>
      </c>
      <c r="AB20" s="18">
        <f ca="1">Auxiliar_Projetos!K20</f>
        <v>305577.60961451643</v>
      </c>
      <c r="AC20" s="18">
        <f ca="1">IF(Z20-AA20-AB20&gt;Investimentos!$C$14,Investimentos!$C$14,IF(Z20-AA20-AB20&lt;Investimentos!$C$14,Z20-AA20-AB20,0))</f>
        <v>300000</v>
      </c>
      <c r="AD20" s="18">
        <f t="shared" ca="1" si="6"/>
        <v>3745847.1958843283</v>
      </c>
      <c r="AE20" s="18"/>
    </row>
    <row r="21" spans="1:31" x14ac:dyDescent="0.2">
      <c r="A21" s="4">
        <v>46235</v>
      </c>
      <c r="B21" s="5" t="str">
        <f t="shared" si="1"/>
        <v>agosto</v>
      </c>
      <c r="C21" s="5" t="str">
        <f t="shared" si="2"/>
        <v>2026</v>
      </c>
      <c r="D21" s="5">
        <f>SUMIFS(Despesas!$F:$F,Despesas!$J:$J,"&lt;="&amp;$A21,Despesas!$L:$L,"&gt;="&amp;$A21,Despesas!$C:$C,D$1,Despesas!$M:$M,"Mensal")+SUMIFS(Despesas!$F:$F,Despesas!$J:$J,"&lt;="&amp;$A21,Despesas!$L:$L,"&gt;="&amp;$A21,Despesas!$C:$C,D$1,Despesas!$M:$M,$B21)</f>
        <v>23000</v>
      </c>
      <c r="E21" s="18">
        <f>SUMIFS(Despesas!$F:$F,Despesas!$J:$J,"&lt;="&amp;$A21,Despesas!$L:$L,"&gt;="&amp;$A21,Despesas!$C:$C,E$1,Despesas!$M:$M,"Mensal")+SUMIFS(Despesas!$F:$F,Despesas!$J:$J,"&lt;="&amp;$A21,Despesas!$L:$L,"&gt;="&amp;$A21,Despesas!$C:$C,E$1,Despesas!$M:$M,$B21)</f>
        <v>16000</v>
      </c>
      <c r="F21" s="5">
        <f>SUMIFS(Despesas!$F:$F,Despesas!$J:$J,"&lt;="&amp;$A21,Despesas!$L:$L,"&gt;="&amp;$A21,Despesas!$C:$C,F$1,Despesas!$M:$M,"Mensal")+SUMIFS(Despesas!$F:$F,Despesas!$J:$J,"&lt;="&amp;$A21,Despesas!$L:$L,"&gt;="&amp;$A21,Despesas!$C:$C,F$1,Despesas!$M:$M,$B21)</f>
        <v>13000</v>
      </c>
      <c r="G21" s="5">
        <f>SUMIFS(Despesas!$F:$F,Despesas!$J:$J,"&lt;="&amp;$A21,Despesas!$L:$L,"&gt;="&amp;$A21,Despesas!$C:$C,G$1,Despesas!$M:$M,"Mensal")+SUMIFS(Despesas!$F:$F,Despesas!$J:$J,"&lt;="&amp;$A21,Despesas!$L:$L,"&gt;="&amp;$A21,Despesas!$C:$C,G$1,Despesas!$M:$M,$B21)</f>
        <v>0</v>
      </c>
      <c r="H21" s="18">
        <f ca="1">SUMIFS(Despesas!$F:$F,Despesas!$J:$J,"&lt;="&amp;$A21,Despesas!$L:$L,"&gt;="&amp;$A21,Despesas!$C:$C,H$1,Despesas!$M:$M,"Mensal")+SUMIFS(Despesas!$F:$F,Despesas!$J:$J,"&lt;="&amp;$A21,Despesas!$L:$L,"&gt;="&amp;$A21,Despesas!$C:$C,H$1,Despesas!$M:$M,$B21)</f>
        <v>10762.055</v>
      </c>
      <c r="I21" s="18">
        <f>IF(Imóveis!$F$2="PRICE",IF(AND(Dados!$A21&gt;=Imóveis!$Q$2,Dados!$A21&lt;=Imóveis!$T$2),Imóveis!$U$2,0),IF((IF(AND(Dados!$A21&gt;=Imóveis!$Q$2,Dados!$A21&lt;=Imóveis!$T$2),Imóveis!$S$2-(DATEDIF(Imóveis!$Q$2,Dados!$A21,"m")),0))=0,0,((Imóveis!$N$2/Imóveis!$S$2)+((Imóveis!$N$2-((Imóveis!$S$2-(IF(AND(Dados!$A21&gt;=Imóveis!$Q$2,Dados!$A21&lt;=Imóveis!$T$2),Imóveis!$S$2-(DATEDIF(Imóveis!$Q$2,Dados!$A21,"m")),)))*(Imóveis!$N$2/Imóveis!$S$2)))*Imóveis!$P$2))))*IF(AND(Imóveis!$E$2&gt;0,Dados!$A21&gt;Imóveis!$E$2),0,1)</f>
        <v>17763.173625971715</v>
      </c>
      <c r="J21" s="18">
        <f ca="1">IF(Imóveis!$F$3="PRICE",IF(AND(Dados!$A21&gt;=Imóveis!$Q$3,Dados!$A21&lt;=Imóveis!$T$3),Imóveis!$U$3,0),IF((IF(AND(Dados!$A21&gt;=Imóveis!$Q$3,Dados!$A21&lt;=Imóveis!$T$3),Imóveis!$S$3-(DATEDIF(Imóveis!$Q$3,Dados!$A21,"m")),0))=0,0,((Imóveis!$N$3/Imóveis!$S$3)+((Imóveis!$N$3-((Imóveis!$S$3-(IF(AND(Dados!$A21&gt;=Imóveis!$Q$3,Dados!$A21&lt;=Imóveis!$T$3),Imóveis!$S$3-(DATEDIF(Imóveis!$Q$3,Dados!$A21,"m")),)))*(Imóveis!$N$3/Imóveis!$S$3)))*Imóveis!$P$3))))*IF(AND(Imóveis!$E$3&gt;0,Dados!$A21&gt;Imóveis!$E$3),0,1)</f>
        <v>9314.6986248807771</v>
      </c>
      <c r="K21" s="18">
        <f>IF(Imóveis!$F$4="PRICE",IF(AND(Dados!$A21&gt;=Imóveis!$Q$4,Dados!$A21&lt;=Imóveis!$T$4),Imóveis!$U$4,0),IF((IF(AND(Dados!$A21&gt;=Imóveis!$Q$4,Dados!$A21&lt;=Imóveis!$T$4),Imóveis!$S$4-(DATEDIF(Imóveis!$Q$4,Dados!$A21,"m")),0))=0,0,((Imóveis!$N$4/Imóveis!$S$4)+((Imóveis!$N$4-((Imóveis!$S$4-(IF(AND(Dados!$A21&gt;=Imóveis!$Q$4,Dados!$A21&lt;=Imóveis!$T$4),Imóveis!$S$4-(DATEDIF(Imóveis!$Q$4,Dados!$A21,"m")),)))*(Imóveis!$N$4/Imóveis!$S$4)))*Imóveis!$P$4))))*IF(AND(Imóveis!$E$4&gt;0,Dados!$A21&gt;Imóveis!$E$4),0,1)</f>
        <v>4643.949359272583</v>
      </c>
      <c r="L21" s="18">
        <f>IF(Imóveis!$F$5="PRICE",IF(AND(Dados!$A21&gt;=Imóveis!$Q$5,Dados!$A21&lt;=Imóveis!$T$5),Imóveis!$U$5,0),IF((IF(AND(Dados!$A21&gt;=Imóveis!$Q$5,Dados!$A21&lt;=Imóveis!$T$5),Imóveis!$S$5-(DATEDIF(Imóveis!$Q$5,Dados!$A21,"m")),0))=0,0,((Imóveis!$N$5/Imóveis!$S$5)+((Imóveis!$N$5-((Imóveis!$S$5-(IF(AND(Dados!$A21 &gt;=Imóveis!$Q$5,Dados!$A21&lt;=Imóveis!$T$5),Imóveis!$S$5-(DATEDIF(Imóveis!$Q$5,Dados!$A21,"m")),)))*(Imóveis!$N$5/Imóveis!$S$5)))*Imóveis!$P$5))))*IF(AND(Imóveis!$E$5&gt;0,Dados!$A21&gt;Imóveis!$E$5),0,1)*Imóveis!$I$5</f>
        <v>0</v>
      </c>
      <c r="M21" s="18">
        <f>IF(Imóveis!$F$6="PRICE",IF(AND(Dados!$A21&gt;=Imóveis!$Q$6,Dados!$A21&lt;=Imóveis!$T$6),Imóveis!$U$6,0),IF((IF(AND(Dados!$A21&gt;=Imóveis!$Q$6,Dados!$A21&lt;=Imóveis!$T$6),Imóveis!$S$6-(DATEDIF(Imóveis!$Q$6,Dados!$A21,"m")),0))=0,0,((Imóveis!$N$6/Imóveis!$S$6)+((Imóveis!$N$6-((Imóveis!$S$6-(IF(AND(Dados!$A21&gt;=Imóveis!$Q$6,Dados!$A21&lt;=Imóveis!$T$6),Imóveis!$S$6-(DATEDIF(Imóveis!$Q$6,Dados!$A21,"m")),)))*(Imóveis!$N$6/Imóveis!$S$6)))*Imóveis!$P$6))))*IF(AND(Imóveis!$E$6&gt;0,Dados!$A21&gt;Imóveis!$E$6),0,1)*Imóveis!$I$6</f>
        <v>0</v>
      </c>
      <c r="N21" s="18">
        <f t="shared" ca="1" si="3"/>
        <v>94483.876610125066</v>
      </c>
      <c r="O21" s="18">
        <f>SUMIFS(Receitas!$F:$F,Receitas!$J:$J,"&lt;="&amp;$A21,Receitas!$L:$L,"&gt;="&amp;$A21,Receitas!$C:$C,O$1,Receitas!$M:$M,"Mensal")+SUMIFS(Receitas!$F:$F,Receitas!$J:$J,"&lt;="&amp;$A21,Receitas!$L:$L,"&gt;="&amp;$A21,Receitas!$C:$C,O$1,Receitas!$M:$M,$B21)</f>
        <v>50000</v>
      </c>
      <c r="P21" s="18">
        <f>SUMIFS(Receitas!$F:$F,Receitas!$J:$J,"&lt;="&amp;$A21,Receitas!$L:$L,"&gt;="&amp;$A21,Receitas!$C:$C,P$1,Receitas!$M:$M,"Mensal")+SUMIFS(Receitas!$F:$F,Receitas!$J:$J,"&lt;="&amp;$A21,Receitas!$L:$L,"&gt;="&amp;$A21,Receitas!$C:$C,P$1,Receitas!$M:$M,$B21)</f>
        <v>20000</v>
      </c>
      <c r="Q21" s="18">
        <f ca="1">SUMIFS(Receitas!$F:$F,Receitas!$J:$J,"&lt;="&amp;$A21,Receitas!$L:$L,"&gt;="&amp;$A21,Receitas!$C:$C,Q$1,Receitas!$M:$M,"Mensal")+SUMIFS(Receitas!$F:$F,Receitas!$J:$J,"&lt;="&amp;$A21,Receitas!$L:$L,"&gt;="&amp;$A21,Receitas!$C:$C,Q$1,Receitas!$M:$M,$B21)</f>
        <v>15101.400000000001</v>
      </c>
      <c r="R21" s="18" cm="1">
        <f t="array" ref="R21">(IF(AND(Membros!$F$2="Sim",A21&lt;=MAX(Membros!$E$2:$E$5)),Membros!K$2,IF(AND(A21&gt;=Membros!J$2,A21&lt;=MAX(Membros!$E$2:$E$5)),Membros!K$2,0))+IF(AND(Membros!$F$3="Sim",A21&lt;=MAX(Membros!$E$2:$E$5)),Membros!K$3,IF(AND(A21&gt;=Membros!J$3,A21&lt;=MAX(Membros!$E$2:$E$5)),Membros!K$3,0)))*IF(AND(COUNTIFS(Tabela3[Tipo],"Provedor",Tabela3[Simulação Seguro],"Sim")=2,A21&gt;=MAX(IF(Tabela3[Tipo]="Dependente",Tabela3[Expectativa de Vida (Data)]))),0,1)</f>
        <v>0</v>
      </c>
      <c r="S21" s="18">
        <f t="shared" ca="1" si="4"/>
        <v>85101.4</v>
      </c>
      <c r="U21" s="18">
        <f t="shared" ca="1" si="7"/>
        <v>4699260.3883715877</v>
      </c>
      <c r="V21" s="18">
        <f>SUMIF(Imóveis!E:E,Dados!A:A,Imóveis!Z:Z)-SUMIF(Imóveis!E:E,Dados!A:A,Imóveis!Y:Y)</f>
        <v>0</v>
      </c>
      <c r="W21" s="18">
        <f>-SUMIF(Projetos!N:N,A21,Projetos!F:F)</f>
        <v>0</v>
      </c>
      <c r="X21" s="18">
        <f t="shared" ca="1" si="0"/>
        <v>-9382.4766101250716</v>
      </c>
      <c r="Y21" s="26">
        <f ca="1">(U21*((Indicadores_Economicos!D$2+1)^(1/12)-1))</f>
        <v>15384.155680323587</v>
      </c>
      <c r="Z21" s="18">
        <f t="shared" ca="1" si="5"/>
        <v>4705262.0674417866</v>
      </c>
      <c r="AA21" s="18">
        <f ca="1">Auxiliar_Projetos!E21</f>
        <v>348974.30605805793</v>
      </c>
      <c r="AB21" s="18">
        <f ca="1">Auxiliar_Projetos!K21</f>
        <v>306577.99119166075</v>
      </c>
      <c r="AC21" s="18">
        <f ca="1">IF(Z21-AA21-AB21&gt;Investimentos!$C$14,Investimentos!$C$14,IF(Z21-AA21-AB21&lt;Investimentos!$C$14,Z21-AA21-AB21,0))</f>
        <v>300000</v>
      </c>
      <c r="AD21" s="18">
        <f t="shared" ca="1" si="6"/>
        <v>3749709.7701920681</v>
      </c>
      <c r="AE21" s="18"/>
    </row>
    <row r="22" spans="1:31" x14ac:dyDescent="0.2">
      <c r="A22" s="4">
        <v>46266</v>
      </c>
      <c r="B22" s="5" t="str">
        <f t="shared" si="1"/>
        <v>setembro</v>
      </c>
      <c r="C22" s="5" t="str">
        <f t="shared" si="2"/>
        <v>2026</v>
      </c>
      <c r="D22" s="5">
        <f>SUMIFS(Despesas!$F:$F,Despesas!$J:$J,"&lt;="&amp;$A22,Despesas!$L:$L,"&gt;="&amp;$A22,Despesas!$C:$C,D$1,Despesas!$M:$M,"Mensal")+SUMIFS(Despesas!$F:$F,Despesas!$J:$J,"&lt;="&amp;$A22,Despesas!$L:$L,"&gt;="&amp;$A22,Despesas!$C:$C,D$1,Despesas!$M:$M,$B22)</f>
        <v>23000</v>
      </c>
      <c r="E22" s="18">
        <f>SUMIFS(Despesas!$F:$F,Despesas!$J:$J,"&lt;="&amp;$A22,Despesas!$L:$L,"&gt;="&amp;$A22,Despesas!$C:$C,E$1,Despesas!$M:$M,"Mensal")+SUMIFS(Despesas!$F:$F,Despesas!$J:$J,"&lt;="&amp;$A22,Despesas!$L:$L,"&gt;="&amp;$A22,Despesas!$C:$C,E$1,Despesas!$M:$M,$B22)</f>
        <v>16000</v>
      </c>
      <c r="F22" s="5">
        <f>SUMIFS(Despesas!$F:$F,Despesas!$J:$J,"&lt;="&amp;$A22,Despesas!$L:$L,"&gt;="&amp;$A22,Despesas!$C:$C,F$1,Despesas!$M:$M,"Mensal")+SUMIFS(Despesas!$F:$F,Despesas!$J:$J,"&lt;="&amp;$A22,Despesas!$L:$L,"&gt;="&amp;$A22,Despesas!$C:$C,F$1,Despesas!$M:$M,$B22)</f>
        <v>13000</v>
      </c>
      <c r="G22" s="5">
        <f>SUMIFS(Despesas!$F:$F,Despesas!$J:$J,"&lt;="&amp;$A22,Despesas!$L:$L,"&gt;="&amp;$A22,Despesas!$C:$C,G$1,Despesas!$M:$M,"Mensal")+SUMIFS(Despesas!$F:$F,Despesas!$J:$J,"&lt;="&amp;$A22,Despesas!$L:$L,"&gt;="&amp;$A22,Despesas!$C:$C,G$1,Despesas!$M:$M,$B22)</f>
        <v>0</v>
      </c>
      <c r="H22" s="18">
        <f ca="1">SUMIFS(Despesas!$F:$F,Despesas!$J:$J,"&lt;="&amp;$A22,Despesas!$L:$L,"&gt;="&amp;$A22,Despesas!$C:$C,H$1,Despesas!$M:$M,"Mensal")+SUMIFS(Despesas!$F:$F,Despesas!$J:$J,"&lt;="&amp;$A22,Despesas!$L:$L,"&gt;="&amp;$A22,Despesas!$C:$C,H$1,Despesas!$M:$M,$B22)</f>
        <v>10762.055</v>
      </c>
      <c r="I22" s="18">
        <f>IF(Imóveis!$F$2="PRICE",IF(AND(Dados!$A22&gt;=Imóveis!$Q$2,Dados!$A22&lt;=Imóveis!$T$2),Imóveis!$U$2,0),IF((IF(AND(Dados!$A22&gt;=Imóveis!$Q$2,Dados!$A22&lt;=Imóveis!$T$2),Imóveis!$S$2-(DATEDIF(Imóveis!$Q$2,Dados!$A22,"m")),0))=0,0,((Imóveis!$N$2/Imóveis!$S$2)+((Imóveis!$N$2-((Imóveis!$S$2-(IF(AND(Dados!$A22&gt;=Imóveis!$Q$2,Dados!$A22&lt;=Imóveis!$T$2),Imóveis!$S$2-(DATEDIF(Imóveis!$Q$2,Dados!$A22,"m")),)))*(Imóveis!$N$2/Imóveis!$S$2)))*Imóveis!$P$2))))*IF(AND(Imóveis!$E$2&gt;0,Dados!$A22&gt;Imóveis!$E$2),0,1)</f>
        <v>17701.152533746907</v>
      </c>
      <c r="J22" s="18">
        <f ca="1">IF(Imóveis!$F$3="PRICE",IF(AND(Dados!$A22&gt;=Imóveis!$Q$3,Dados!$A22&lt;=Imóveis!$T$3),Imóveis!$U$3,0),IF((IF(AND(Dados!$A22&gt;=Imóveis!$Q$3,Dados!$A22&lt;=Imóveis!$T$3),Imóveis!$S$3-(DATEDIF(Imóveis!$Q$3,Dados!$A22,"m")),0))=0,0,((Imóveis!$N$3/Imóveis!$S$3)+((Imóveis!$N$3-((Imóveis!$S$3-(IF(AND(Dados!$A22&gt;=Imóveis!$Q$3,Dados!$A22&lt;=Imóveis!$T$3),Imóveis!$S$3-(DATEDIF(Imóveis!$Q$3,Dados!$A22,"m")),)))*(Imóveis!$N$3/Imóveis!$S$3)))*Imóveis!$P$3))))*IF(AND(Imóveis!$E$3&gt;0,Dados!$A22&gt;Imóveis!$E$3),0,1)</f>
        <v>9314.6986248807771</v>
      </c>
      <c r="K22" s="18">
        <f>IF(Imóveis!$F$4="PRICE",IF(AND(Dados!$A22&gt;=Imóveis!$Q$4,Dados!$A22&lt;=Imóveis!$T$4),Imóveis!$U$4,0),IF((IF(AND(Dados!$A22&gt;=Imóveis!$Q$4,Dados!$A22&lt;=Imóveis!$T$4),Imóveis!$S$4-(DATEDIF(Imóveis!$Q$4,Dados!$A22,"m")),0))=0,0,((Imóveis!$N$4/Imóveis!$S$4)+((Imóveis!$N$4-((Imóveis!$S$4-(IF(AND(Dados!$A22&gt;=Imóveis!$Q$4,Dados!$A22&lt;=Imóveis!$T$4),Imóveis!$S$4-(DATEDIF(Imóveis!$Q$4,Dados!$A22,"m")),)))*(Imóveis!$N$4/Imóveis!$S$4)))*Imóveis!$P$4))))*IF(AND(Imóveis!$E$4&gt;0,Dados!$A22&gt;Imóveis!$E$4),0,1)</f>
        <v>4643.949359272583</v>
      </c>
      <c r="L22" s="18">
        <f>IF(Imóveis!$F$5="PRICE",IF(AND(Dados!$A22&gt;=Imóveis!$Q$5,Dados!$A22&lt;=Imóveis!$T$5),Imóveis!$U$5,0),IF((IF(AND(Dados!$A22&gt;=Imóveis!$Q$5,Dados!$A22&lt;=Imóveis!$T$5),Imóveis!$S$5-(DATEDIF(Imóveis!$Q$5,Dados!$A22,"m")),0))=0,0,((Imóveis!$N$5/Imóveis!$S$5)+((Imóveis!$N$5-((Imóveis!$S$5-(IF(AND(Dados!$A22 &gt;=Imóveis!$Q$5,Dados!$A22&lt;=Imóveis!$T$5),Imóveis!$S$5-(DATEDIF(Imóveis!$Q$5,Dados!$A22,"m")),)))*(Imóveis!$N$5/Imóveis!$S$5)))*Imóveis!$P$5))))*IF(AND(Imóveis!$E$5&gt;0,Dados!$A22&gt;Imóveis!$E$5),0,1)*Imóveis!$I$5</f>
        <v>0</v>
      </c>
      <c r="M22" s="18">
        <f>IF(Imóveis!$F$6="PRICE",IF(AND(Dados!$A22&gt;=Imóveis!$Q$6,Dados!$A22&lt;=Imóveis!$T$6),Imóveis!$U$6,0),IF((IF(AND(Dados!$A22&gt;=Imóveis!$Q$6,Dados!$A22&lt;=Imóveis!$T$6),Imóveis!$S$6-(DATEDIF(Imóveis!$Q$6,Dados!$A22,"m")),0))=0,0,((Imóveis!$N$6/Imóveis!$S$6)+((Imóveis!$N$6-((Imóveis!$S$6-(IF(AND(Dados!$A22&gt;=Imóveis!$Q$6,Dados!$A22&lt;=Imóveis!$T$6),Imóveis!$S$6-(DATEDIF(Imóveis!$Q$6,Dados!$A22,"m")),)))*(Imóveis!$N$6/Imóveis!$S$6)))*Imóveis!$P$6))))*IF(AND(Imóveis!$E$6&gt;0,Dados!$A22&gt;Imóveis!$E$6),0,1)*Imóveis!$I$6</f>
        <v>0</v>
      </c>
      <c r="N22" s="18">
        <f t="shared" ca="1" si="3"/>
        <v>94421.855517900258</v>
      </c>
      <c r="O22" s="18">
        <f>SUMIFS(Receitas!$F:$F,Receitas!$J:$J,"&lt;="&amp;$A22,Receitas!$L:$L,"&gt;="&amp;$A22,Receitas!$C:$C,O$1,Receitas!$M:$M,"Mensal")+SUMIFS(Receitas!$F:$F,Receitas!$J:$J,"&lt;="&amp;$A22,Receitas!$L:$L,"&gt;="&amp;$A22,Receitas!$C:$C,O$1,Receitas!$M:$M,$B22)</f>
        <v>50000</v>
      </c>
      <c r="P22" s="18">
        <f>SUMIFS(Receitas!$F:$F,Receitas!$J:$J,"&lt;="&amp;$A22,Receitas!$L:$L,"&gt;="&amp;$A22,Receitas!$C:$C,P$1,Receitas!$M:$M,"Mensal")+SUMIFS(Receitas!$F:$F,Receitas!$J:$J,"&lt;="&amp;$A22,Receitas!$L:$L,"&gt;="&amp;$A22,Receitas!$C:$C,P$1,Receitas!$M:$M,$B22)</f>
        <v>20000</v>
      </c>
      <c r="Q22" s="18">
        <f ca="1">SUMIFS(Receitas!$F:$F,Receitas!$J:$J,"&lt;="&amp;$A22,Receitas!$L:$L,"&gt;="&amp;$A22,Receitas!$C:$C,Q$1,Receitas!$M:$M,"Mensal")+SUMIFS(Receitas!$F:$F,Receitas!$J:$J,"&lt;="&amp;$A22,Receitas!$L:$L,"&gt;="&amp;$A22,Receitas!$C:$C,Q$1,Receitas!$M:$M,$B22)</f>
        <v>15101.400000000001</v>
      </c>
      <c r="R22" s="18" cm="1">
        <f t="array" ref="R22">(IF(AND(Membros!$F$2="Sim",A22&lt;=MAX(Membros!$E$2:$E$5)),Membros!K$2,IF(AND(A22&gt;=Membros!J$2,A22&lt;=MAX(Membros!$E$2:$E$5)),Membros!K$2,0))+IF(AND(Membros!$F$3="Sim",A22&lt;=MAX(Membros!$E$2:$E$5)),Membros!K$3,IF(AND(A22&gt;=Membros!J$3,A22&lt;=MAX(Membros!$E$2:$E$5)),Membros!K$3,0)))*IF(AND(COUNTIFS(Tabela3[Tipo],"Provedor",Tabela3[Simulação Seguro],"Sim")=2,A22&gt;=MAX(IF(Tabela3[Tipo]="Dependente",Tabela3[Expectativa de Vida (Data)]))),0,1)</f>
        <v>0</v>
      </c>
      <c r="S22" s="18">
        <f t="shared" ca="1" si="4"/>
        <v>85101.4</v>
      </c>
      <c r="U22" s="18">
        <f t="shared" ca="1" si="7"/>
        <v>4705262.0674417866</v>
      </c>
      <c r="V22" s="18">
        <f>SUMIF(Imóveis!E:E,Dados!A:A,Imóveis!Z:Z)-SUMIF(Imóveis!E:E,Dados!A:A,Imóveis!Y:Y)</f>
        <v>0</v>
      </c>
      <c r="W22" s="18">
        <f>-SUMIF(Projetos!N:N,A22,Projetos!F:F)</f>
        <v>0</v>
      </c>
      <c r="X22" s="18">
        <f t="shared" ca="1" si="0"/>
        <v>-9320.4555179002637</v>
      </c>
      <c r="Y22" s="26">
        <f ca="1">(U22*((Indicadores_Economicos!D$2+1)^(1/12)-1))</f>
        <v>15403.803615855688</v>
      </c>
      <c r="Z22" s="18">
        <f t="shared" ca="1" si="5"/>
        <v>4711345.4155397424</v>
      </c>
      <c r="AA22" s="18">
        <f ca="1">Auxiliar_Projetos!E22</f>
        <v>350116.75712676544</v>
      </c>
      <c r="AB22" s="18">
        <f ca="1">Auxiliar_Projetos!K22</f>
        <v>307581.64775777154</v>
      </c>
      <c r="AC22" s="18">
        <f ca="1">IF(Z22-AA22-AB22&gt;Investimentos!$C$14,Investimentos!$C$14,IF(Z22-AA22-AB22&lt;Investimentos!$C$14,Z22-AA22-AB22,0))</f>
        <v>300000</v>
      </c>
      <c r="AD22" s="18">
        <f t="shared" ca="1" si="6"/>
        <v>3753647.0106552057</v>
      </c>
      <c r="AE22" s="18"/>
    </row>
    <row r="23" spans="1:31" x14ac:dyDescent="0.2">
      <c r="A23" s="4">
        <v>46296</v>
      </c>
      <c r="B23" s="5" t="str">
        <f t="shared" si="1"/>
        <v>outubro</v>
      </c>
      <c r="C23" s="5" t="str">
        <f t="shared" si="2"/>
        <v>2026</v>
      </c>
      <c r="D23" s="5">
        <f>SUMIFS(Despesas!$F:$F,Despesas!$J:$J,"&lt;="&amp;$A23,Despesas!$L:$L,"&gt;="&amp;$A23,Despesas!$C:$C,D$1,Despesas!$M:$M,"Mensal")+SUMIFS(Despesas!$F:$F,Despesas!$J:$J,"&lt;="&amp;$A23,Despesas!$L:$L,"&gt;="&amp;$A23,Despesas!$C:$C,D$1,Despesas!$M:$M,$B23)</f>
        <v>23000</v>
      </c>
      <c r="E23" s="18">
        <f>SUMIFS(Despesas!$F:$F,Despesas!$J:$J,"&lt;="&amp;$A23,Despesas!$L:$L,"&gt;="&amp;$A23,Despesas!$C:$C,E$1,Despesas!$M:$M,"Mensal")+SUMIFS(Despesas!$F:$F,Despesas!$J:$J,"&lt;="&amp;$A23,Despesas!$L:$L,"&gt;="&amp;$A23,Despesas!$C:$C,E$1,Despesas!$M:$M,$B23)</f>
        <v>16000</v>
      </c>
      <c r="F23" s="5">
        <f>SUMIFS(Despesas!$F:$F,Despesas!$J:$J,"&lt;="&amp;$A23,Despesas!$L:$L,"&gt;="&amp;$A23,Despesas!$C:$C,F$1,Despesas!$M:$M,"Mensal")+SUMIFS(Despesas!$F:$F,Despesas!$J:$J,"&lt;="&amp;$A23,Despesas!$L:$L,"&gt;="&amp;$A23,Despesas!$C:$C,F$1,Despesas!$M:$M,$B23)</f>
        <v>13000</v>
      </c>
      <c r="G23" s="5">
        <f>SUMIFS(Despesas!$F:$F,Despesas!$J:$J,"&lt;="&amp;$A23,Despesas!$L:$L,"&gt;="&amp;$A23,Despesas!$C:$C,G$1,Despesas!$M:$M,"Mensal")+SUMIFS(Despesas!$F:$F,Despesas!$J:$J,"&lt;="&amp;$A23,Despesas!$L:$L,"&gt;="&amp;$A23,Despesas!$C:$C,G$1,Despesas!$M:$M,$B23)</f>
        <v>0</v>
      </c>
      <c r="H23" s="18">
        <f ca="1">SUMIFS(Despesas!$F:$F,Despesas!$J:$J,"&lt;="&amp;$A23,Despesas!$L:$L,"&gt;="&amp;$A23,Despesas!$C:$C,H$1,Despesas!$M:$M,"Mensal")+SUMIFS(Despesas!$F:$F,Despesas!$J:$J,"&lt;="&amp;$A23,Despesas!$L:$L,"&gt;="&amp;$A23,Despesas!$C:$C,H$1,Despesas!$M:$M,$B23)</f>
        <v>10762.055</v>
      </c>
      <c r="I23" s="18">
        <f>IF(Imóveis!$F$2="PRICE",IF(AND(Dados!$A23&gt;=Imóveis!$Q$2,Dados!$A23&lt;=Imóveis!$T$2),Imóveis!$U$2,0),IF((IF(AND(Dados!$A23&gt;=Imóveis!$Q$2,Dados!$A23&lt;=Imóveis!$T$2),Imóveis!$S$2-(DATEDIF(Imóveis!$Q$2,Dados!$A23,"m")),0))=0,0,((Imóveis!$N$2/Imóveis!$S$2)+((Imóveis!$N$2-((Imóveis!$S$2-(IF(AND(Dados!$A23&gt;=Imóveis!$Q$2,Dados!$A23&lt;=Imóveis!$T$2),Imóveis!$S$2-(DATEDIF(Imóveis!$Q$2,Dados!$A23,"m")),)))*(Imóveis!$N$2/Imóveis!$S$2)))*Imóveis!$P$2))))*IF(AND(Imóveis!$E$2&gt;0,Dados!$A23&gt;Imóveis!$E$2),0,1)</f>
        <v>17639.131441522099</v>
      </c>
      <c r="J23" s="18">
        <f ca="1">IF(Imóveis!$F$3="PRICE",IF(AND(Dados!$A23&gt;=Imóveis!$Q$3,Dados!$A23&lt;=Imóveis!$T$3),Imóveis!$U$3,0),IF((IF(AND(Dados!$A23&gt;=Imóveis!$Q$3,Dados!$A23&lt;=Imóveis!$T$3),Imóveis!$S$3-(DATEDIF(Imóveis!$Q$3,Dados!$A23,"m")),0))=0,0,((Imóveis!$N$3/Imóveis!$S$3)+((Imóveis!$N$3-((Imóveis!$S$3-(IF(AND(Dados!$A23&gt;=Imóveis!$Q$3,Dados!$A23&lt;=Imóveis!$T$3),Imóveis!$S$3-(DATEDIF(Imóveis!$Q$3,Dados!$A23,"m")),)))*(Imóveis!$N$3/Imóveis!$S$3)))*Imóveis!$P$3))))*IF(AND(Imóveis!$E$3&gt;0,Dados!$A23&gt;Imóveis!$E$3),0,1)</f>
        <v>9314.6986248807771</v>
      </c>
      <c r="K23" s="18">
        <f>IF(Imóveis!$F$4="PRICE",IF(AND(Dados!$A23&gt;=Imóveis!$Q$4,Dados!$A23&lt;=Imóveis!$T$4),Imóveis!$U$4,0),IF((IF(AND(Dados!$A23&gt;=Imóveis!$Q$4,Dados!$A23&lt;=Imóveis!$T$4),Imóveis!$S$4-(DATEDIF(Imóveis!$Q$4,Dados!$A23,"m")),0))=0,0,((Imóveis!$N$4/Imóveis!$S$4)+((Imóveis!$N$4-((Imóveis!$S$4-(IF(AND(Dados!$A23&gt;=Imóveis!$Q$4,Dados!$A23&lt;=Imóveis!$T$4),Imóveis!$S$4-(DATEDIF(Imóveis!$Q$4,Dados!$A23,"m")),)))*(Imóveis!$N$4/Imóveis!$S$4)))*Imóveis!$P$4))))*IF(AND(Imóveis!$E$4&gt;0,Dados!$A23&gt;Imóveis!$E$4),0,1)</f>
        <v>4643.949359272583</v>
      </c>
      <c r="L23" s="18">
        <f>IF(Imóveis!$F$5="PRICE",IF(AND(Dados!$A23&gt;=Imóveis!$Q$5,Dados!$A23&lt;=Imóveis!$T$5),Imóveis!$U$5,0),IF((IF(AND(Dados!$A23&gt;=Imóveis!$Q$5,Dados!$A23&lt;=Imóveis!$T$5),Imóveis!$S$5-(DATEDIF(Imóveis!$Q$5,Dados!$A23,"m")),0))=0,0,((Imóveis!$N$5/Imóveis!$S$5)+((Imóveis!$N$5-((Imóveis!$S$5-(IF(AND(Dados!$A23 &gt;=Imóveis!$Q$5,Dados!$A23&lt;=Imóveis!$T$5),Imóveis!$S$5-(DATEDIF(Imóveis!$Q$5,Dados!$A23,"m")),)))*(Imóveis!$N$5/Imóveis!$S$5)))*Imóveis!$P$5))))*IF(AND(Imóveis!$E$5&gt;0,Dados!$A23&gt;Imóveis!$E$5),0,1)*Imóveis!$I$5</f>
        <v>0</v>
      </c>
      <c r="M23" s="18">
        <f>IF(Imóveis!$F$6="PRICE",IF(AND(Dados!$A23&gt;=Imóveis!$Q$6,Dados!$A23&lt;=Imóveis!$T$6),Imóveis!$U$6,0),IF((IF(AND(Dados!$A23&gt;=Imóveis!$Q$6,Dados!$A23&lt;=Imóveis!$T$6),Imóveis!$S$6-(DATEDIF(Imóveis!$Q$6,Dados!$A23,"m")),0))=0,0,((Imóveis!$N$6/Imóveis!$S$6)+((Imóveis!$N$6-((Imóveis!$S$6-(IF(AND(Dados!$A23&gt;=Imóveis!$Q$6,Dados!$A23&lt;=Imóveis!$T$6),Imóveis!$S$6-(DATEDIF(Imóveis!$Q$6,Dados!$A23,"m")),)))*(Imóveis!$N$6/Imóveis!$S$6)))*Imóveis!$P$6))))*IF(AND(Imóveis!$E$6&gt;0,Dados!$A23&gt;Imóveis!$E$6),0,1)*Imóveis!$I$6</f>
        <v>0</v>
      </c>
      <c r="N23" s="18">
        <f t="shared" ca="1" si="3"/>
        <v>94359.83442567545</v>
      </c>
      <c r="O23" s="18">
        <f>SUMIFS(Receitas!$F:$F,Receitas!$J:$J,"&lt;="&amp;$A23,Receitas!$L:$L,"&gt;="&amp;$A23,Receitas!$C:$C,O$1,Receitas!$M:$M,"Mensal")+SUMIFS(Receitas!$F:$F,Receitas!$J:$J,"&lt;="&amp;$A23,Receitas!$L:$L,"&gt;="&amp;$A23,Receitas!$C:$C,O$1,Receitas!$M:$M,$B23)</f>
        <v>50000</v>
      </c>
      <c r="P23" s="18">
        <f>SUMIFS(Receitas!$F:$F,Receitas!$J:$J,"&lt;="&amp;$A23,Receitas!$L:$L,"&gt;="&amp;$A23,Receitas!$C:$C,P$1,Receitas!$M:$M,"Mensal")+SUMIFS(Receitas!$F:$F,Receitas!$J:$J,"&lt;="&amp;$A23,Receitas!$L:$L,"&gt;="&amp;$A23,Receitas!$C:$C,P$1,Receitas!$M:$M,$B23)</f>
        <v>20000</v>
      </c>
      <c r="Q23" s="18">
        <f ca="1">SUMIFS(Receitas!$F:$F,Receitas!$J:$J,"&lt;="&amp;$A23,Receitas!$L:$L,"&gt;="&amp;$A23,Receitas!$C:$C,Q$1,Receitas!$M:$M,"Mensal")+SUMIFS(Receitas!$F:$F,Receitas!$J:$J,"&lt;="&amp;$A23,Receitas!$L:$L,"&gt;="&amp;$A23,Receitas!$C:$C,Q$1,Receitas!$M:$M,$B23)</f>
        <v>15101.400000000001</v>
      </c>
      <c r="R23" s="18" cm="1">
        <f t="array" ref="R23">(IF(AND(Membros!$F$2="Sim",A23&lt;=MAX(Membros!$E$2:$E$5)),Membros!K$2,IF(AND(A23&gt;=Membros!J$2,A23&lt;=MAX(Membros!$E$2:$E$5)),Membros!K$2,0))+IF(AND(Membros!$F$3="Sim",A23&lt;=MAX(Membros!$E$2:$E$5)),Membros!K$3,IF(AND(A23&gt;=Membros!J$3,A23&lt;=MAX(Membros!$E$2:$E$5)),Membros!K$3,0)))*IF(AND(COUNTIFS(Tabela3[Tipo],"Provedor",Tabela3[Simulação Seguro],"Sim")=2,A23&gt;=MAX(IF(Tabela3[Tipo]="Dependente",Tabela3[Expectativa de Vida (Data)]))),0,1)</f>
        <v>0</v>
      </c>
      <c r="S23" s="18">
        <f t="shared" ca="1" si="4"/>
        <v>85101.4</v>
      </c>
      <c r="U23" s="18">
        <f t="shared" ca="1" si="7"/>
        <v>4711345.4155397424</v>
      </c>
      <c r="V23" s="18">
        <f>SUMIF(Imóveis!E:E,Dados!A:A,Imóveis!Z:Z)-SUMIF(Imóveis!E:E,Dados!A:A,Imóveis!Y:Y)</f>
        <v>0</v>
      </c>
      <c r="W23" s="18">
        <f>-SUMIF(Projetos!N:N,A23,Projetos!F:F)</f>
        <v>0</v>
      </c>
      <c r="X23" s="18">
        <f t="shared" ca="1" si="0"/>
        <v>-9258.4344256754557</v>
      </c>
      <c r="Y23" s="26">
        <f ca="1">(U23*((Indicadores_Economicos!D$2+1)^(1/12)-1))</f>
        <v>15423.71891453293</v>
      </c>
      <c r="Z23" s="18">
        <f t="shared" ca="1" si="5"/>
        <v>4717510.7000286002</v>
      </c>
      <c r="AA23" s="18">
        <f ca="1">Auxiliar_Projetos!E23</f>
        <v>351262.94828298583</v>
      </c>
      <c r="AB23" s="18">
        <f ca="1">Auxiliar_Projetos!K23</f>
        <v>308588.59003431047</v>
      </c>
      <c r="AC23" s="18">
        <f ca="1">IF(Z23-AA23-AB23&gt;Investimentos!$C$14,Investimentos!$C$14,IF(Z23-AA23-AB23&lt;Investimentos!$C$14,Z23-AA23-AB23,0))</f>
        <v>300000</v>
      </c>
      <c r="AD23" s="18">
        <f t="shared" ca="1" si="6"/>
        <v>3757659.1617113035</v>
      </c>
      <c r="AE23" s="18"/>
    </row>
    <row r="24" spans="1:31" x14ac:dyDescent="0.2">
      <c r="A24" s="4">
        <v>46327</v>
      </c>
      <c r="B24" s="5" t="str">
        <f t="shared" si="1"/>
        <v>novembro</v>
      </c>
      <c r="C24" s="5" t="str">
        <f t="shared" si="2"/>
        <v>2026</v>
      </c>
      <c r="D24" s="5">
        <f>SUMIFS(Despesas!$F:$F,Despesas!$J:$J,"&lt;="&amp;$A24,Despesas!$L:$L,"&gt;="&amp;$A24,Despesas!$C:$C,D$1,Despesas!$M:$M,"Mensal")+SUMIFS(Despesas!$F:$F,Despesas!$J:$J,"&lt;="&amp;$A24,Despesas!$L:$L,"&gt;="&amp;$A24,Despesas!$C:$C,D$1,Despesas!$M:$M,$B24)</f>
        <v>23000</v>
      </c>
      <c r="E24" s="18">
        <f>SUMIFS(Despesas!$F:$F,Despesas!$J:$J,"&lt;="&amp;$A24,Despesas!$L:$L,"&gt;="&amp;$A24,Despesas!$C:$C,E$1,Despesas!$M:$M,"Mensal")+SUMIFS(Despesas!$F:$F,Despesas!$J:$J,"&lt;="&amp;$A24,Despesas!$L:$L,"&gt;="&amp;$A24,Despesas!$C:$C,E$1,Despesas!$M:$M,$B24)</f>
        <v>16000</v>
      </c>
      <c r="F24" s="5">
        <f>SUMIFS(Despesas!$F:$F,Despesas!$J:$J,"&lt;="&amp;$A24,Despesas!$L:$L,"&gt;="&amp;$A24,Despesas!$C:$C,F$1,Despesas!$M:$M,"Mensal")+SUMIFS(Despesas!$F:$F,Despesas!$J:$J,"&lt;="&amp;$A24,Despesas!$L:$L,"&gt;="&amp;$A24,Despesas!$C:$C,F$1,Despesas!$M:$M,$B24)</f>
        <v>13000</v>
      </c>
      <c r="G24" s="5">
        <f>SUMIFS(Despesas!$F:$F,Despesas!$J:$J,"&lt;="&amp;$A24,Despesas!$L:$L,"&gt;="&amp;$A24,Despesas!$C:$C,G$1,Despesas!$M:$M,"Mensal")+SUMIFS(Despesas!$F:$F,Despesas!$J:$J,"&lt;="&amp;$A24,Despesas!$L:$L,"&gt;="&amp;$A24,Despesas!$C:$C,G$1,Despesas!$M:$M,$B24)</f>
        <v>0</v>
      </c>
      <c r="H24" s="18">
        <f ca="1">SUMIFS(Despesas!$F:$F,Despesas!$J:$J,"&lt;="&amp;$A24,Despesas!$L:$L,"&gt;="&amp;$A24,Despesas!$C:$C,H$1,Despesas!$M:$M,"Mensal")+SUMIFS(Despesas!$F:$F,Despesas!$J:$J,"&lt;="&amp;$A24,Despesas!$L:$L,"&gt;="&amp;$A24,Despesas!$C:$C,H$1,Despesas!$M:$M,$B24)</f>
        <v>10762.055</v>
      </c>
      <c r="I24" s="18">
        <f>IF(Imóveis!$F$2="PRICE",IF(AND(Dados!$A24&gt;=Imóveis!$Q$2,Dados!$A24&lt;=Imóveis!$T$2),Imóveis!$U$2,0),IF((IF(AND(Dados!$A24&gt;=Imóveis!$Q$2,Dados!$A24&lt;=Imóveis!$T$2),Imóveis!$S$2-(DATEDIF(Imóveis!$Q$2,Dados!$A24,"m")),0))=0,0,((Imóveis!$N$2/Imóveis!$S$2)+((Imóveis!$N$2-((Imóveis!$S$2-(IF(AND(Dados!$A24&gt;=Imóveis!$Q$2,Dados!$A24&lt;=Imóveis!$T$2),Imóveis!$S$2-(DATEDIF(Imóveis!$Q$2,Dados!$A24,"m")),)))*(Imóveis!$N$2/Imóveis!$S$2)))*Imóveis!$P$2))))*IF(AND(Imóveis!$E$2&gt;0,Dados!$A24&gt;Imóveis!$E$2),0,1)</f>
        <v>17577.110349297291</v>
      </c>
      <c r="J24" s="18">
        <f ca="1">IF(Imóveis!$F$3="PRICE",IF(AND(Dados!$A24&gt;=Imóveis!$Q$3,Dados!$A24&lt;=Imóveis!$T$3),Imóveis!$U$3,0),IF((IF(AND(Dados!$A24&gt;=Imóveis!$Q$3,Dados!$A24&lt;=Imóveis!$T$3),Imóveis!$S$3-(DATEDIF(Imóveis!$Q$3,Dados!$A24,"m")),0))=0,0,((Imóveis!$N$3/Imóveis!$S$3)+((Imóveis!$N$3-((Imóveis!$S$3-(IF(AND(Dados!$A24&gt;=Imóveis!$Q$3,Dados!$A24&lt;=Imóveis!$T$3),Imóveis!$S$3-(DATEDIF(Imóveis!$Q$3,Dados!$A24,"m")),)))*(Imóveis!$N$3/Imóveis!$S$3)))*Imóveis!$P$3))))*IF(AND(Imóveis!$E$3&gt;0,Dados!$A24&gt;Imóveis!$E$3),0,1)</f>
        <v>9314.6986248807771</v>
      </c>
      <c r="K24" s="18">
        <f>IF(Imóveis!$F$4="PRICE",IF(AND(Dados!$A24&gt;=Imóveis!$Q$4,Dados!$A24&lt;=Imóveis!$T$4),Imóveis!$U$4,0),IF((IF(AND(Dados!$A24&gt;=Imóveis!$Q$4,Dados!$A24&lt;=Imóveis!$T$4),Imóveis!$S$4-(DATEDIF(Imóveis!$Q$4,Dados!$A24,"m")),0))=0,0,((Imóveis!$N$4/Imóveis!$S$4)+((Imóveis!$N$4-((Imóveis!$S$4-(IF(AND(Dados!$A24&gt;=Imóveis!$Q$4,Dados!$A24&lt;=Imóveis!$T$4),Imóveis!$S$4-(DATEDIF(Imóveis!$Q$4,Dados!$A24,"m")),)))*(Imóveis!$N$4/Imóveis!$S$4)))*Imóveis!$P$4))))*IF(AND(Imóveis!$E$4&gt;0,Dados!$A24&gt;Imóveis!$E$4),0,1)</f>
        <v>4643.949359272583</v>
      </c>
      <c r="L24" s="18">
        <f>IF(Imóveis!$F$5="PRICE",IF(AND(Dados!$A24&gt;=Imóveis!$Q$5,Dados!$A24&lt;=Imóveis!$T$5),Imóveis!$U$5,0),IF((IF(AND(Dados!$A24&gt;=Imóveis!$Q$5,Dados!$A24&lt;=Imóveis!$T$5),Imóveis!$S$5-(DATEDIF(Imóveis!$Q$5,Dados!$A24,"m")),0))=0,0,((Imóveis!$N$5/Imóveis!$S$5)+((Imóveis!$N$5-((Imóveis!$S$5-(IF(AND(Dados!$A24 &gt;=Imóveis!$Q$5,Dados!$A24&lt;=Imóveis!$T$5),Imóveis!$S$5-(DATEDIF(Imóveis!$Q$5,Dados!$A24,"m")),)))*(Imóveis!$N$5/Imóveis!$S$5)))*Imóveis!$P$5))))*IF(AND(Imóveis!$E$5&gt;0,Dados!$A24&gt;Imóveis!$E$5),0,1)*Imóveis!$I$5</f>
        <v>0</v>
      </c>
      <c r="M24" s="18">
        <f>IF(Imóveis!$F$6="PRICE",IF(AND(Dados!$A24&gt;=Imóveis!$Q$6,Dados!$A24&lt;=Imóveis!$T$6),Imóveis!$U$6,0),IF((IF(AND(Dados!$A24&gt;=Imóveis!$Q$6,Dados!$A24&lt;=Imóveis!$T$6),Imóveis!$S$6-(DATEDIF(Imóveis!$Q$6,Dados!$A24,"m")),0))=0,0,((Imóveis!$N$6/Imóveis!$S$6)+((Imóveis!$N$6-((Imóveis!$S$6-(IF(AND(Dados!$A24&gt;=Imóveis!$Q$6,Dados!$A24&lt;=Imóveis!$T$6),Imóveis!$S$6-(DATEDIF(Imóveis!$Q$6,Dados!$A24,"m")),)))*(Imóveis!$N$6/Imóveis!$S$6)))*Imóveis!$P$6))))*IF(AND(Imóveis!$E$6&gt;0,Dados!$A24&gt;Imóveis!$E$6),0,1)*Imóveis!$I$6</f>
        <v>0</v>
      </c>
      <c r="N24" s="18">
        <f t="shared" ca="1" si="3"/>
        <v>94297.813333450642</v>
      </c>
      <c r="O24" s="18">
        <f>SUMIFS(Receitas!$F:$F,Receitas!$J:$J,"&lt;="&amp;$A24,Receitas!$L:$L,"&gt;="&amp;$A24,Receitas!$C:$C,O$1,Receitas!$M:$M,"Mensal")+SUMIFS(Receitas!$F:$F,Receitas!$J:$J,"&lt;="&amp;$A24,Receitas!$L:$L,"&gt;="&amp;$A24,Receitas!$C:$C,O$1,Receitas!$M:$M,$B24)</f>
        <v>50000</v>
      </c>
      <c r="P24" s="18">
        <f>SUMIFS(Receitas!$F:$F,Receitas!$J:$J,"&lt;="&amp;$A24,Receitas!$L:$L,"&gt;="&amp;$A24,Receitas!$C:$C,P$1,Receitas!$M:$M,"Mensal")+SUMIFS(Receitas!$F:$F,Receitas!$J:$J,"&lt;="&amp;$A24,Receitas!$L:$L,"&gt;="&amp;$A24,Receitas!$C:$C,P$1,Receitas!$M:$M,$B24)</f>
        <v>86666.666666666672</v>
      </c>
      <c r="Q24" s="18">
        <f ca="1">SUMIFS(Receitas!$F:$F,Receitas!$J:$J,"&lt;="&amp;$A24,Receitas!$L:$L,"&gt;="&amp;$A24,Receitas!$C:$C,Q$1,Receitas!$M:$M,"Mensal")+SUMIFS(Receitas!$F:$F,Receitas!$J:$J,"&lt;="&amp;$A24,Receitas!$L:$L,"&gt;="&amp;$A24,Receitas!$C:$C,Q$1,Receitas!$M:$M,$B24)</f>
        <v>15101.400000000001</v>
      </c>
      <c r="R24" s="18" cm="1">
        <f t="array" ref="R24">(IF(AND(Membros!$F$2="Sim",A24&lt;=MAX(Membros!$E$2:$E$5)),Membros!K$2,IF(AND(A24&gt;=Membros!J$2,A24&lt;=MAX(Membros!$E$2:$E$5)),Membros!K$2,0))+IF(AND(Membros!$F$3="Sim",A24&lt;=MAX(Membros!$E$2:$E$5)),Membros!K$3,IF(AND(A24&gt;=Membros!J$3,A24&lt;=MAX(Membros!$E$2:$E$5)),Membros!K$3,0)))*IF(AND(COUNTIFS(Tabela3[Tipo],"Provedor",Tabela3[Simulação Seguro],"Sim")=2,A24&gt;=MAX(IF(Tabela3[Tipo]="Dependente",Tabela3[Expectativa de Vida (Data)]))),0,1)</f>
        <v>0</v>
      </c>
      <c r="S24" s="18">
        <f t="shared" ca="1" si="4"/>
        <v>151768.06666666668</v>
      </c>
      <c r="U24" s="18">
        <f t="shared" ca="1" si="7"/>
        <v>4717510.7000286002</v>
      </c>
      <c r="V24" s="18">
        <f>SUMIF(Imóveis!E:E,Dados!A:A,Imóveis!Z:Z)-SUMIF(Imóveis!E:E,Dados!A:A,Imóveis!Y:Y)</f>
        <v>0</v>
      </c>
      <c r="W24" s="18">
        <f>-SUMIF(Projetos!N:N,A24,Projetos!F:F)</f>
        <v>0</v>
      </c>
      <c r="X24" s="18">
        <f t="shared" ca="1" si="0"/>
        <v>57470.253333216038</v>
      </c>
      <c r="Y24" s="26">
        <f ca="1">(U24*((Indicadores_Economicos!D$2+1)^(1/12)-1))</f>
        <v>15443.902451632679</v>
      </c>
      <c r="Z24" s="18">
        <f t="shared" ca="1" si="5"/>
        <v>4790424.8558134483</v>
      </c>
      <c r="AA24" s="18">
        <f ca="1">Auxiliar_Projetos!E24</f>
        <v>352412.89177079231</v>
      </c>
      <c r="AB24" s="18">
        <f ca="1">Auxiliar_Projetos!K24</f>
        <v>309598.82877783844</v>
      </c>
      <c r="AC24" s="18">
        <f ca="1">IF(Z24-AA24-AB24&gt;Investimentos!$C$14,Investimentos!$C$14,IF(Z24-AA24-AB24&lt;Investimentos!$C$14,Z24-AA24-AB24,0))</f>
        <v>300000</v>
      </c>
      <c r="AD24" s="18">
        <f t="shared" ca="1" si="6"/>
        <v>3828413.1352648176</v>
      </c>
      <c r="AE24" s="18"/>
    </row>
    <row r="25" spans="1:31" x14ac:dyDescent="0.2">
      <c r="A25" s="4">
        <v>46357</v>
      </c>
      <c r="B25" s="5" t="str">
        <f t="shared" si="1"/>
        <v>dezembro</v>
      </c>
      <c r="C25" s="5" t="str">
        <f t="shared" si="2"/>
        <v>2026</v>
      </c>
      <c r="D25" s="5">
        <f>SUMIFS(Despesas!$F:$F,Despesas!$J:$J,"&lt;="&amp;$A25,Despesas!$L:$L,"&gt;="&amp;$A25,Despesas!$C:$C,D$1,Despesas!$M:$M,"Mensal")+SUMIFS(Despesas!$F:$F,Despesas!$J:$J,"&lt;="&amp;$A25,Despesas!$L:$L,"&gt;="&amp;$A25,Despesas!$C:$C,D$1,Despesas!$M:$M,$B25)</f>
        <v>23000</v>
      </c>
      <c r="E25" s="18">
        <f>SUMIFS(Despesas!$F:$F,Despesas!$J:$J,"&lt;="&amp;$A25,Despesas!$L:$L,"&gt;="&amp;$A25,Despesas!$C:$C,E$1,Despesas!$M:$M,"Mensal")+SUMIFS(Despesas!$F:$F,Despesas!$J:$J,"&lt;="&amp;$A25,Despesas!$L:$L,"&gt;="&amp;$A25,Despesas!$C:$C,E$1,Despesas!$M:$M,$B25)</f>
        <v>16000</v>
      </c>
      <c r="F25" s="5">
        <f>SUMIFS(Despesas!$F:$F,Despesas!$J:$J,"&lt;="&amp;$A25,Despesas!$L:$L,"&gt;="&amp;$A25,Despesas!$C:$C,F$1,Despesas!$M:$M,"Mensal")+SUMIFS(Despesas!$F:$F,Despesas!$J:$J,"&lt;="&amp;$A25,Despesas!$L:$L,"&gt;="&amp;$A25,Despesas!$C:$C,F$1,Despesas!$M:$M,$B25)</f>
        <v>13000</v>
      </c>
      <c r="G25" s="5">
        <f ca="1">SUMIFS(Despesas!$F:$F,Despesas!$J:$J,"&lt;="&amp;$A25,Despesas!$L:$L,"&gt;="&amp;$A25,Despesas!$C:$C,G$1,Despesas!$M:$M,"Mensal")+SUMIFS(Despesas!$F:$F,Despesas!$J:$J,"&lt;="&amp;$A25,Despesas!$L:$L,"&gt;="&amp;$A25,Despesas!$C:$C,G$1,Despesas!$M:$M,$B25)</f>
        <v>55757</v>
      </c>
      <c r="H25" s="18">
        <f ca="1">SUMIFS(Despesas!$F:$F,Despesas!$J:$J,"&lt;="&amp;$A25,Despesas!$L:$L,"&gt;="&amp;$A25,Despesas!$C:$C,H$1,Despesas!$M:$M,"Mensal")+SUMIFS(Despesas!$F:$F,Despesas!$J:$J,"&lt;="&amp;$A25,Despesas!$L:$L,"&gt;="&amp;$A25,Despesas!$C:$C,H$1,Despesas!$M:$M,$B25)</f>
        <v>10762.055</v>
      </c>
      <c r="I25" s="18">
        <f>IF(Imóveis!$F$2="PRICE",IF(AND(Dados!$A25&gt;=Imóveis!$Q$2,Dados!$A25&lt;=Imóveis!$T$2),Imóveis!$U$2,0),IF((IF(AND(Dados!$A25&gt;=Imóveis!$Q$2,Dados!$A25&lt;=Imóveis!$T$2),Imóveis!$S$2-(DATEDIF(Imóveis!$Q$2,Dados!$A25,"m")),0))=0,0,((Imóveis!$N$2/Imóveis!$S$2)+((Imóveis!$N$2-((Imóveis!$S$2-(IF(AND(Dados!$A25&gt;=Imóveis!$Q$2,Dados!$A25&lt;=Imóveis!$T$2),Imóveis!$S$2-(DATEDIF(Imóveis!$Q$2,Dados!$A25,"m")),)))*(Imóveis!$N$2/Imóveis!$S$2)))*Imóveis!$P$2))))*IF(AND(Imóveis!$E$2&gt;0,Dados!$A25&gt;Imóveis!$E$2),0,1)</f>
        <v>17515.089257072483</v>
      </c>
      <c r="J25" s="18">
        <f ca="1">IF(Imóveis!$F$3="PRICE",IF(AND(Dados!$A25&gt;=Imóveis!$Q$3,Dados!$A25&lt;=Imóveis!$T$3),Imóveis!$U$3,0),IF((IF(AND(Dados!$A25&gt;=Imóveis!$Q$3,Dados!$A25&lt;=Imóveis!$T$3),Imóveis!$S$3-(DATEDIF(Imóveis!$Q$3,Dados!$A25,"m")),0))=0,0,((Imóveis!$N$3/Imóveis!$S$3)+((Imóveis!$N$3-((Imóveis!$S$3-(IF(AND(Dados!$A25&gt;=Imóveis!$Q$3,Dados!$A25&lt;=Imóveis!$T$3),Imóveis!$S$3-(DATEDIF(Imóveis!$Q$3,Dados!$A25,"m")),)))*(Imóveis!$N$3/Imóveis!$S$3)))*Imóveis!$P$3))))*IF(AND(Imóveis!$E$3&gt;0,Dados!$A25&gt;Imóveis!$E$3),0,1)</f>
        <v>9314.6986248807771</v>
      </c>
      <c r="K25" s="18">
        <f>IF(Imóveis!$F$4="PRICE",IF(AND(Dados!$A25&gt;=Imóveis!$Q$4,Dados!$A25&lt;=Imóveis!$T$4),Imóveis!$U$4,0),IF((IF(AND(Dados!$A25&gt;=Imóveis!$Q$4,Dados!$A25&lt;=Imóveis!$T$4),Imóveis!$S$4-(DATEDIF(Imóveis!$Q$4,Dados!$A25,"m")),0))=0,0,((Imóveis!$N$4/Imóveis!$S$4)+((Imóveis!$N$4-((Imóveis!$S$4-(IF(AND(Dados!$A25&gt;=Imóveis!$Q$4,Dados!$A25&lt;=Imóveis!$T$4),Imóveis!$S$4-(DATEDIF(Imóveis!$Q$4,Dados!$A25,"m")),)))*(Imóveis!$N$4/Imóveis!$S$4)))*Imóveis!$P$4))))*IF(AND(Imóveis!$E$4&gt;0,Dados!$A25&gt;Imóveis!$E$4),0,1)</f>
        <v>4643.949359272583</v>
      </c>
      <c r="L25" s="18">
        <f>IF(Imóveis!$F$5="PRICE",IF(AND(Dados!$A25&gt;=Imóveis!$Q$5,Dados!$A25&lt;=Imóveis!$T$5),Imóveis!$U$5,0),IF((IF(AND(Dados!$A25&gt;=Imóveis!$Q$5,Dados!$A25&lt;=Imóveis!$T$5),Imóveis!$S$5-(DATEDIF(Imóveis!$Q$5,Dados!$A25,"m")),0))=0,0,((Imóveis!$N$5/Imóveis!$S$5)+((Imóveis!$N$5-((Imóveis!$S$5-(IF(AND(Dados!$A25 &gt;=Imóveis!$Q$5,Dados!$A25&lt;=Imóveis!$T$5),Imóveis!$S$5-(DATEDIF(Imóveis!$Q$5,Dados!$A25,"m")),)))*(Imóveis!$N$5/Imóveis!$S$5)))*Imóveis!$P$5))))*IF(AND(Imóveis!$E$5&gt;0,Dados!$A25&gt;Imóveis!$E$5),0,1)*Imóveis!$I$5</f>
        <v>0</v>
      </c>
      <c r="M25" s="18">
        <f>IF(Imóveis!$F$6="PRICE",IF(AND(Dados!$A25&gt;=Imóveis!$Q$6,Dados!$A25&lt;=Imóveis!$T$6),Imóveis!$U$6,0),IF((IF(AND(Dados!$A25&gt;=Imóveis!$Q$6,Dados!$A25&lt;=Imóveis!$T$6),Imóveis!$S$6-(DATEDIF(Imóveis!$Q$6,Dados!$A25,"m")),0))=0,0,((Imóveis!$N$6/Imóveis!$S$6)+((Imóveis!$N$6-((Imóveis!$S$6-(IF(AND(Dados!$A25&gt;=Imóveis!$Q$6,Dados!$A25&lt;=Imóveis!$T$6),Imóveis!$S$6-(DATEDIF(Imóveis!$Q$6,Dados!$A25,"m")),)))*(Imóveis!$N$6/Imóveis!$S$6)))*Imóveis!$P$6))))*IF(AND(Imóveis!$E$6&gt;0,Dados!$A25&gt;Imóveis!$E$6),0,1)*Imóveis!$I$6</f>
        <v>0</v>
      </c>
      <c r="N25" s="18">
        <f t="shared" ca="1" si="3"/>
        <v>149992.79224122583</v>
      </c>
      <c r="O25" s="18">
        <f>SUMIFS(Receitas!$F:$F,Receitas!$J:$J,"&lt;="&amp;$A25,Receitas!$L:$L,"&gt;="&amp;$A25,Receitas!$C:$C,O$1,Receitas!$M:$M,"Mensal")+SUMIFS(Receitas!$F:$F,Receitas!$J:$J,"&lt;="&amp;$A25,Receitas!$L:$L,"&gt;="&amp;$A25,Receitas!$C:$C,O$1,Receitas!$M:$M,$B25)</f>
        <v>50000</v>
      </c>
      <c r="P25" s="18">
        <f>SUMIFS(Receitas!$F:$F,Receitas!$J:$J,"&lt;="&amp;$A25,Receitas!$L:$L,"&gt;="&amp;$A25,Receitas!$C:$C,P$1,Receitas!$M:$M,"Mensal")+SUMIFS(Receitas!$F:$F,Receitas!$J:$J,"&lt;="&amp;$A25,Receitas!$L:$L,"&gt;="&amp;$A25,Receitas!$C:$C,P$1,Receitas!$M:$M,$B25)</f>
        <v>20000</v>
      </c>
      <c r="Q25" s="18">
        <f ca="1">SUMIFS(Receitas!$F:$F,Receitas!$J:$J,"&lt;="&amp;$A25,Receitas!$L:$L,"&gt;="&amp;$A25,Receitas!$C:$C,Q$1,Receitas!$M:$M,"Mensal")+SUMIFS(Receitas!$F:$F,Receitas!$J:$J,"&lt;="&amp;$A25,Receitas!$L:$L,"&gt;="&amp;$A25,Receitas!$C:$C,Q$1,Receitas!$M:$M,$B25)</f>
        <v>15101.400000000001</v>
      </c>
      <c r="R25" s="18" cm="1">
        <f t="array" ref="R25">(IF(AND(Membros!$F$2="Sim",A25&lt;=MAX(Membros!$E$2:$E$5)),Membros!K$2,IF(AND(A25&gt;=Membros!J$2,A25&lt;=MAX(Membros!$E$2:$E$5)),Membros!K$2,0))+IF(AND(Membros!$F$3="Sim",A25&lt;=MAX(Membros!$E$2:$E$5)),Membros!K$3,IF(AND(A25&gt;=Membros!J$3,A25&lt;=MAX(Membros!$E$2:$E$5)),Membros!K$3,0)))*IF(AND(COUNTIFS(Tabela3[Tipo],"Provedor",Tabela3[Simulação Seguro],"Sim")=2,A25&gt;=MAX(IF(Tabela3[Tipo]="Dependente",Tabela3[Expectativa de Vida (Data)]))),0,1)</f>
        <v>0</v>
      </c>
      <c r="S25" s="18">
        <f t="shared" ca="1" si="4"/>
        <v>85101.4</v>
      </c>
      <c r="U25" s="18">
        <f t="shared" ca="1" si="7"/>
        <v>4790424.8558134483</v>
      </c>
      <c r="V25" s="18">
        <f>SUMIF(Imóveis!E:E,Dados!A:A,Imóveis!Z:Z)-SUMIF(Imóveis!E:E,Dados!A:A,Imóveis!Y:Y)</f>
        <v>0</v>
      </c>
      <c r="W25" s="18">
        <f>-SUMIF(Projetos!N:N,A25,Projetos!F:F)</f>
        <v>0</v>
      </c>
      <c r="X25" s="18">
        <f t="shared" ca="1" si="0"/>
        <v>-64891.39224122584</v>
      </c>
      <c r="Y25" s="26">
        <f ca="1">(U25*((Indicadores_Economicos!D$2+1)^(1/12)-1))</f>
        <v>15682.604424110985</v>
      </c>
      <c r="Z25" s="18">
        <f t="shared" ca="1" si="5"/>
        <v>4741216.0679963334</v>
      </c>
      <c r="AA25" s="18">
        <f ca="1">Auxiliar_Projetos!E25</f>
        <v>353566.59987434209</v>
      </c>
      <c r="AB25" s="18">
        <f ca="1">Auxiliar_Projetos!K25</f>
        <v>310612.37478013063</v>
      </c>
      <c r="AC25" s="18">
        <f ca="1">IF(Z25-AA25-AB25&gt;Investimentos!$C$14,Investimentos!$C$14,IF(Z25-AA25-AB25&lt;Investimentos!$C$14,Z25-AA25-AB25,0))</f>
        <v>300000</v>
      </c>
      <c r="AD25" s="18">
        <f t="shared" ca="1" si="6"/>
        <v>3777037.0933418609</v>
      </c>
      <c r="AE25" s="18"/>
    </row>
    <row r="26" spans="1:31" x14ac:dyDescent="0.2">
      <c r="A26" s="4">
        <v>46388</v>
      </c>
      <c r="B26" s="5" t="str">
        <f t="shared" si="1"/>
        <v>janeiro</v>
      </c>
      <c r="C26" s="5" t="str">
        <f t="shared" si="2"/>
        <v>2027</v>
      </c>
      <c r="D26" s="5">
        <f>SUMIFS(Despesas!$F:$F,Despesas!$J:$J,"&lt;="&amp;$A26,Despesas!$L:$L,"&gt;="&amp;$A26,Despesas!$C:$C,D$1,Despesas!$M:$M,"Mensal")+SUMIFS(Despesas!$F:$F,Despesas!$J:$J,"&lt;="&amp;$A26,Despesas!$L:$L,"&gt;="&amp;$A26,Despesas!$C:$C,D$1,Despesas!$M:$M,$B26)</f>
        <v>23000</v>
      </c>
      <c r="E26" s="18">
        <f>SUMIFS(Despesas!$F:$F,Despesas!$J:$J,"&lt;="&amp;$A26,Despesas!$L:$L,"&gt;="&amp;$A26,Despesas!$C:$C,E$1,Despesas!$M:$M,"Mensal")+SUMIFS(Despesas!$F:$F,Despesas!$J:$J,"&lt;="&amp;$A26,Despesas!$L:$L,"&gt;="&amp;$A26,Despesas!$C:$C,E$1,Despesas!$M:$M,$B26)</f>
        <v>17000</v>
      </c>
      <c r="F26" s="5">
        <f>SUMIFS(Despesas!$F:$F,Despesas!$J:$J,"&lt;="&amp;$A26,Despesas!$L:$L,"&gt;="&amp;$A26,Despesas!$C:$C,F$1,Despesas!$M:$M,"Mensal")+SUMIFS(Despesas!$F:$F,Despesas!$J:$J,"&lt;="&amp;$A26,Despesas!$L:$L,"&gt;="&amp;$A26,Despesas!$C:$C,F$1,Despesas!$M:$M,$B26)</f>
        <v>13000</v>
      </c>
      <c r="G26" s="5">
        <f>SUMIFS(Despesas!$F:$F,Despesas!$J:$J,"&lt;="&amp;$A26,Despesas!$L:$L,"&gt;="&amp;$A26,Despesas!$C:$C,G$1,Despesas!$M:$M,"Mensal")+SUMIFS(Despesas!$F:$F,Despesas!$J:$J,"&lt;="&amp;$A26,Despesas!$L:$L,"&gt;="&amp;$A26,Despesas!$C:$C,G$1,Despesas!$M:$M,$B26)</f>
        <v>0</v>
      </c>
      <c r="H26" s="18">
        <f ca="1">SUMIFS(Despesas!$F:$F,Despesas!$J:$J,"&lt;="&amp;$A26,Despesas!$L:$L,"&gt;="&amp;$A26,Despesas!$C:$C,H$1,Despesas!$M:$M,"Mensal")+SUMIFS(Despesas!$F:$F,Despesas!$J:$J,"&lt;="&amp;$A26,Despesas!$L:$L,"&gt;="&amp;$A26,Despesas!$C:$C,H$1,Despesas!$M:$M,$B26)</f>
        <v>10762.055</v>
      </c>
      <c r="I26" s="18">
        <f>IF(Imóveis!$F$2="PRICE",IF(AND(Dados!$A26&gt;=Imóveis!$Q$2,Dados!$A26&lt;=Imóveis!$T$2),Imóveis!$U$2,0),IF((IF(AND(Dados!$A26&gt;=Imóveis!$Q$2,Dados!$A26&lt;=Imóveis!$T$2),Imóveis!$S$2-(DATEDIF(Imóveis!$Q$2,Dados!$A26,"m")),0))=0,0,((Imóveis!$N$2/Imóveis!$S$2)+((Imóveis!$N$2-((Imóveis!$S$2-(IF(AND(Dados!$A26&gt;=Imóveis!$Q$2,Dados!$A26&lt;=Imóveis!$T$2),Imóveis!$S$2-(DATEDIF(Imóveis!$Q$2,Dados!$A26,"m")),)))*(Imóveis!$N$2/Imóveis!$S$2)))*Imóveis!$P$2))))*IF(AND(Imóveis!$E$2&gt;0,Dados!$A26&gt;Imóveis!$E$2),0,1)</f>
        <v>17453.068164847675</v>
      </c>
      <c r="J26" s="18">
        <f ca="1">IF(Imóveis!$F$3="PRICE",IF(AND(Dados!$A26&gt;=Imóveis!$Q$3,Dados!$A26&lt;=Imóveis!$T$3),Imóveis!$U$3,0),IF((IF(AND(Dados!$A26&gt;=Imóveis!$Q$3,Dados!$A26&lt;=Imóveis!$T$3),Imóveis!$S$3-(DATEDIF(Imóveis!$Q$3,Dados!$A26,"m")),0))=0,0,((Imóveis!$N$3/Imóveis!$S$3)+((Imóveis!$N$3-((Imóveis!$S$3-(IF(AND(Dados!$A26&gt;=Imóveis!$Q$3,Dados!$A26&lt;=Imóveis!$T$3),Imóveis!$S$3-(DATEDIF(Imóveis!$Q$3,Dados!$A26,"m")),)))*(Imóveis!$N$3/Imóveis!$S$3)))*Imóveis!$P$3))))*IF(AND(Imóveis!$E$3&gt;0,Dados!$A26&gt;Imóveis!$E$3),0,1)</f>
        <v>9314.6986248807771</v>
      </c>
      <c r="K26" s="18">
        <f>IF(Imóveis!$F$4="PRICE",IF(AND(Dados!$A26&gt;=Imóveis!$Q$4,Dados!$A26&lt;=Imóveis!$T$4),Imóveis!$U$4,0),IF((IF(AND(Dados!$A26&gt;=Imóveis!$Q$4,Dados!$A26&lt;=Imóveis!$T$4),Imóveis!$S$4-(DATEDIF(Imóveis!$Q$4,Dados!$A26,"m")),0))=0,0,((Imóveis!$N$4/Imóveis!$S$4)+((Imóveis!$N$4-((Imóveis!$S$4-(IF(AND(Dados!$A26&gt;=Imóveis!$Q$4,Dados!$A26&lt;=Imóveis!$T$4),Imóveis!$S$4-(DATEDIF(Imóveis!$Q$4,Dados!$A26,"m")),)))*(Imóveis!$N$4/Imóveis!$S$4)))*Imóveis!$P$4))))*IF(AND(Imóveis!$E$4&gt;0,Dados!$A26&gt;Imóveis!$E$4),0,1)</f>
        <v>4643.949359272583</v>
      </c>
      <c r="L26" s="18">
        <f>IF(Imóveis!$F$5="PRICE",IF(AND(Dados!$A26&gt;=Imóveis!$Q$5,Dados!$A26&lt;=Imóveis!$T$5),Imóveis!$U$5,0),IF((IF(AND(Dados!$A26&gt;=Imóveis!$Q$5,Dados!$A26&lt;=Imóveis!$T$5),Imóveis!$S$5-(DATEDIF(Imóveis!$Q$5,Dados!$A26,"m")),0))=0,0,((Imóveis!$N$5/Imóveis!$S$5)+((Imóveis!$N$5-((Imóveis!$S$5-(IF(AND(Dados!$A26 &gt;=Imóveis!$Q$5,Dados!$A26&lt;=Imóveis!$T$5),Imóveis!$S$5-(DATEDIF(Imóveis!$Q$5,Dados!$A26,"m")),)))*(Imóveis!$N$5/Imóveis!$S$5)))*Imóveis!$P$5))))*IF(AND(Imóveis!$E$5&gt;0,Dados!$A26&gt;Imóveis!$E$5),0,1)*Imóveis!$I$5</f>
        <v>0</v>
      </c>
      <c r="M26" s="18">
        <f>IF(Imóveis!$F$6="PRICE",IF(AND(Dados!$A26&gt;=Imóveis!$Q$6,Dados!$A26&lt;=Imóveis!$T$6),Imóveis!$U$6,0),IF((IF(AND(Dados!$A26&gt;=Imóveis!$Q$6,Dados!$A26&lt;=Imóveis!$T$6),Imóveis!$S$6-(DATEDIF(Imóveis!$Q$6,Dados!$A26,"m")),0))=0,0,((Imóveis!$N$6/Imóveis!$S$6)+((Imóveis!$N$6-((Imóveis!$S$6-(IF(AND(Dados!$A26&gt;=Imóveis!$Q$6,Dados!$A26&lt;=Imóveis!$T$6),Imóveis!$S$6-(DATEDIF(Imóveis!$Q$6,Dados!$A26,"m")),)))*(Imóveis!$N$6/Imóveis!$S$6)))*Imóveis!$P$6))))*IF(AND(Imóveis!$E$6&gt;0,Dados!$A26&gt;Imóveis!$E$6),0,1)*Imóveis!$I$6</f>
        <v>0</v>
      </c>
      <c r="N26" s="18">
        <f t="shared" ca="1" si="3"/>
        <v>95173.771149001026</v>
      </c>
      <c r="O26" s="18">
        <f>SUMIFS(Receitas!$F:$F,Receitas!$J:$J,"&lt;="&amp;$A26,Receitas!$L:$L,"&gt;="&amp;$A26,Receitas!$C:$C,O$1,Receitas!$M:$M,"Mensal")+SUMIFS(Receitas!$F:$F,Receitas!$J:$J,"&lt;="&amp;$A26,Receitas!$L:$L,"&gt;="&amp;$A26,Receitas!$C:$C,O$1,Receitas!$M:$M,$B26)</f>
        <v>50000</v>
      </c>
      <c r="P26" s="18">
        <f>SUMIFS(Receitas!$F:$F,Receitas!$J:$J,"&lt;="&amp;$A26,Receitas!$L:$L,"&gt;="&amp;$A26,Receitas!$C:$C,P$1,Receitas!$M:$M,"Mensal")+SUMIFS(Receitas!$F:$F,Receitas!$J:$J,"&lt;="&amp;$A26,Receitas!$L:$L,"&gt;="&amp;$A26,Receitas!$C:$C,P$1,Receitas!$M:$M,$B26)</f>
        <v>20000</v>
      </c>
      <c r="Q26" s="18">
        <f ca="1">SUMIFS(Receitas!$F:$F,Receitas!$J:$J,"&lt;="&amp;$A26,Receitas!$L:$L,"&gt;="&amp;$A26,Receitas!$C:$C,Q$1,Receitas!$M:$M,"Mensal")+SUMIFS(Receitas!$F:$F,Receitas!$J:$J,"&lt;="&amp;$A26,Receitas!$L:$L,"&gt;="&amp;$A26,Receitas!$C:$C,Q$1,Receitas!$M:$M,$B26)</f>
        <v>15101.400000000001</v>
      </c>
      <c r="R26" s="18" cm="1">
        <f t="array" ref="R26">(IF(AND(Membros!$F$2="Sim",A26&lt;=MAX(Membros!$E$2:$E$5)),Membros!K$2,IF(AND(A26&gt;=Membros!J$2,A26&lt;=MAX(Membros!$E$2:$E$5)),Membros!K$2,0))+IF(AND(Membros!$F$3="Sim",A26&lt;=MAX(Membros!$E$2:$E$5)),Membros!K$3,IF(AND(A26&gt;=Membros!J$3,A26&lt;=MAX(Membros!$E$2:$E$5)),Membros!K$3,0)))*IF(AND(COUNTIFS(Tabela3[Tipo],"Provedor",Tabela3[Simulação Seguro],"Sim")=2,A26&gt;=MAX(IF(Tabela3[Tipo]="Dependente",Tabela3[Expectativa de Vida (Data)]))),0,1)</f>
        <v>0</v>
      </c>
      <c r="S26" s="18">
        <f t="shared" ca="1" si="4"/>
        <v>85101.4</v>
      </c>
      <c r="U26" s="18">
        <f t="shared" ca="1" si="7"/>
        <v>4741216.0679963334</v>
      </c>
      <c r="V26" s="18">
        <f>SUMIF(Imóveis!E:E,Dados!A:A,Imóveis!Z:Z)-SUMIF(Imóveis!E:E,Dados!A:A,Imóveis!Y:Y)</f>
        <v>0</v>
      </c>
      <c r="W26" s="18">
        <f>-SUMIF(Projetos!N:N,A26,Projetos!F:F)</f>
        <v>0</v>
      </c>
      <c r="X26" s="18">
        <f t="shared" ca="1" si="0"/>
        <v>-10072.371149001032</v>
      </c>
      <c r="Y26" s="26">
        <f ca="1">(U26*((Indicadores_Economicos!D$2+1)^(1/12)-1))</f>
        <v>15521.50765780031</v>
      </c>
      <c r="Z26" s="18">
        <f t="shared" ca="1" si="5"/>
        <v>4746665.2045051325</v>
      </c>
      <c r="AA26" s="18">
        <f ca="1">Auxiliar_Projetos!E26</f>
        <v>354724.08491800755</v>
      </c>
      <c r="AB26" s="18">
        <f ca="1">Auxiliar_Projetos!K26</f>
        <v>311629.23886829161</v>
      </c>
      <c r="AC26" s="18">
        <f ca="1">IF(Z26-AA26-AB26&gt;Investimentos!$C$14,Investimentos!$C$14,IF(Z26-AA26-AB26&lt;Investimentos!$C$14,Z26-AA26-AB26,0))</f>
        <v>300000</v>
      </c>
      <c r="AD26" s="18">
        <f t="shared" ca="1" si="6"/>
        <v>3780311.8807188338</v>
      </c>
      <c r="AE26" s="18"/>
    </row>
    <row r="27" spans="1:31" x14ac:dyDescent="0.2">
      <c r="A27" s="4">
        <v>46419</v>
      </c>
      <c r="B27" s="5" t="str">
        <f t="shared" si="1"/>
        <v>fevereiro</v>
      </c>
      <c r="C27" s="5" t="str">
        <f t="shared" si="2"/>
        <v>2027</v>
      </c>
      <c r="D27" s="5">
        <f>SUMIFS(Despesas!$F:$F,Despesas!$J:$J,"&lt;="&amp;$A27,Despesas!$L:$L,"&gt;="&amp;$A27,Despesas!$C:$C,D$1,Despesas!$M:$M,"Mensal")+SUMIFS(Despesas!$F:$F,Despesas!$J:$J,"&lt;="&amp;$A27,Despesas!$L:$L,"&gt;="&amp;$A27,Despesas!$C:$C,D$1,Despesas!$M:$M,$B27)</f>
        <v>23000</v>
      </c>
      <c r="E27" s="18">
        <f>SUMIFS(Despesas!$F:$F,Despesas!$J:$J,"&lt;="&amp;$A27,Despesas!$L:$L,"&gt;="&amp;$A27,Despesas!$C:$C,E$1,Despesas!$M:$M,"Mensal")+SUMIFS(Despesas!$F:$F,Despesas!$J:$J,"&lt;="&amp;$A27,Despesas!$L:$L,"&gt;="&amp;$A27,Despesas!$C:$C,E$1,Despesas!$M:$M,$B27)</f>
        <v>17000</v>
      </c>
      <c r="F27" s="5">
        <f>SUMIFS(Despesas!$F:$F,Despesas!$J:$J,"&lt;="&amp;$A27,Despesas!$L:$L,"&gt;="&amp;$A27,Despesas!$C:$C,F$1,Despesas!$M:$M,"Mensal")+SUMIFS(Despesas!$F:$F,Despesas!$J:$J,"&lt;="&amp;$A27,Despesas!$L:$L,"&gt;="&amp;$A27,Despesas!$C:$C,F$1,Despesas!$M:$M,$B27)</f>
        <v>13000</v>
      </c>
      <c r="G27" s="5">
        <f>SUMIFS(Despesas!$F:$F,Despesas!$J:$J,"&lt;="&amp;$A27,Despesas!$L:$L,"&gt;="&amp;$A27,Despesas!$C:$C,G$1,Despesas!$M:$M,"Mensal")+SUMIFS(Despesas!$F:$F,Despesas!$J:$J,"&lt;="&amp;$A27,Despesas!$L:$L,"&gt;="&amp;$A27,Despesas!$C:$C,G$1,Despesas!$M:$M,$B27)</f>
        <v>0</v>
      </c>
      <c r="H27" s="18">
        <f ca="1">SUMIFS(Despesas!$F:$F,Despesas!$J:$J,"&lt;="&amp;$A27,Despesas!$L:$L,"&gt;="&amp;$A27,Despesas!$C:$C,H$1,Despesas!$M:$M,"Mensal")+SUMIFS(Despesas!$F:$F,Despesas!$J:$J,"&lt;="&amp;$A27,Despesas!$L:$L,"&gt;="&amp;$A27,Despesas!$C:$C,H$1,Despesas!$M:$M,$B27)</f>
        <v>12619.625</v>
      </c>
      <c r="I27" s="18">
        <f>IF(Imóveis!$F$2="PRICE",IF(AND(Dados!$A27&gt;=Imóveis!$Q$2,Dados!$A27&lt;=Imóveis!$T$2),Imóveis!$U$2,0),IF((IF(AND(Dados!$A27&gt;=Imóveis!$Q$2,Dados!$A27&lt;=Imóveis!$T$2),Imóveis!$S$2-(DATEDIF(Imóveis!$Q$2,Dados!$A27,"m")),0))=0,0,((Imóveis!$N$2/Imóveis!$S$2)+((Imóveis!$N$2-((Imóveis!$S$2-(IF(AND(Dados!$A27&gt;=Imóveis!$Q$2,Dados!$A27&lt;=Imóveis!$T$2),Imóveis!$S$2-(DATEDIF(Imóveis!$Q$2,Dados!$A27,"m")),)))*(Imóveis!$N$2/Imóveis!$S$2)))*Imóveis!$P$2))))*IF(AND(Imóveis!$E$2&gt;0,Dados!$A27&gt;Imóveis!$E$2),0,1)</f>
        <v>17391.04707262287</v>
      </c>
      <c r="J27" s="18">
        <f ca="1">IF(Imóveis!$F$3="PRICE",IF(AND(Dados!$A27&gt;=Imóveis!$Q$3,Dados!$A27&lt;=Imóveis!$T$3),Imóveis!$U$3,0),IF((IF(AND(Dados!$A27&gt;=Imóveis!$Q$3,Dados!$A27&lt;=Imóveis!$T$3),Imóveis!$S$3-(DATEDIF(Imóveis!$Q$3,Dados!$A27,"m")),0))=0,0,((Imóveis!$N$3/Imóveis!$S$3)+((Imóveis!$N$3-((Imóveis!$S$3-(IF(AND(Dados!$A27&gt;=Imóveis!$Q$3,Dados!$A27&lt;=Imóveis!$T$3),Imóveis!$S$3-(DATEDIF(Imóveis!$Q$3,Dados!$A27,"m")),)))*(Imóveis!$N$3/Imóveis!$S$3)))*Imóveis!$P$3))))*IF(AND(Imóveis!$E$3&gt;0,Dados!$A27&gt;Imóveis!$E$3),0,1)</f>
        <v>9314.6986248807771</v>
      </c>
      <c r="K27" s="18">
        <f>IF(Imóveis!$F$4="PRICE",IF(AND(Dados!$A27&gt;=Imóveis!$Q$4,Dados!$A27&lt;=Imóveis!$T$4),Imóveis!$U$4,0),IF((IF(AND(Dados!$A27&gt;=Imóveis!$Q$4,Dados!$A27&lt;=Imóveis!$T$4),Imóveis!$S$4-(DATEDIF(Imóveis!$Q$4,Dados!$A27,"m")),0))=0,0,((Imóveis!$N$4/Imóveis!$S$4)+((Imóveis!$N$4-((Imóveis!$S$4-(IF(AND(Dados!$A27&gt;=Imóveis!$Q$4,Dados!$A27&lt;=Imóveis!$T$4),Imóveis!$S$4-(DATEDIF(Imóveis!$Q$4,Dados!$A27,"m")),)))*(Imóveis!$N$4/Imóveis!$S$4)))*Imóveis!$P$4))))*IF(AND(Imóveis!$E$4&gt;0,Dados!$A27&gt;Imóveis!$E$4),0,1)</f>
        <v>4643.949359272583</v>
      </c>
      <c r="L27" s="18">
        <f>IF(Imóveis!$F$5="PRICE",IF(AND(Dados!$A27&gt;=Imóveis!$Q$5,Dados!$A27&lt;=Imóveis!$T$5),Imóveis!$U$5,0),IF((IF(AND(Dados!$A27&gt;=Imóveis!$Q$5,Dados!$A27&lt;=Imóveis!$T$5),Imóveis!$S$5-(DATEDIF(Imóveis!$Q$5,Dados!$A27,"m")),0))=0,0,((Imóveis!$N$5/Imóveis!$S$5)+((Imóveis!$N$5-((Imóveis!$S$5-(IF(AND(Dados!$A27 &gt;=Imóveis!$Q$5,Dados!$A27&lt;=Imóveis!$T$5),Imóveis!$S$5-(DATEDIF(Imóveis!$Q$5,Dados!$A27,"m")),)))*(Imóveis!$N$5/Imóveis!$S$5)))*Imóveis!$P$5))))*IF(AND(Imóveis!$E$5&gt;0,Dados!$A27&gt;Imóveis!$E$5),0,1)*Imóveis!$I$5</f>
        <v>0</v>
      </c>
      <c r="M27" s="18">
        <f>IF(Imóveis!$F$6="PRICE",IF(AND(Dados!$A27&gt;=Imóveis!$Q$6,Dados!$A27&lt;=Imóveis!$T$6),Imóveis!$U$6,0),IF((IF(AND(Dados!$A27&gt;=Imóveis!$Q$6,Dados!$A27&lt;=Imóveis!$T$6),Imóveis!$S$6-(DATEDIF(Imóveis!$Q$6,Dados!$A27,"m")),0))=0,0,((Imóveis!$N$6/Imóveis!$S$6)+((Imóveis!$N$6-((Imóveis!$S$6-(IF(AND(Dados!$A27&gt;=Imóveis!$Q$6,Dados!$A27&lt;=Imóveis!$T$6),Imóveis!$S$6-(DATEDIF(Imóveis!$Q$6,Dados!$A27,"m")),)))*(Imóveis!$N$6/Imóveis!$S$6)))*Imóveis!$P$6))))*IF(AND(Imóveis!$E$6&gt;0,Dados!$A27&gt;Imóveis!$E$6),0,1)*Imóveis!$I$6</f>
        <v>0</v>
      </c>
      <c r="N27" s="18">
        <f t="shared" ca="1" si="3"/>
        <v>96969.320056776225</v>
      </c>
      <c r="O27" s="18">
        <f>SUMIFS(Receitas!$F:$F,Receitas!$J:$J,"&lt;="&amp;$A27,Receitas!$L:$L,"&gt;="&amp;$A27,Receitas!$C:$C,O$1,Receitas!$M:$M,"Mensal")+SUMIFS(Receitas!$F:$F,Receitas!$J:$J,"&lt;="&amp;$A27,Receitas!$L:$L,"&gt;="&amp;$A27,Receitas!$C:$C,O$1,Receitas!$M:$M,$B27)</f>
        <v>50000</v>
      </c>
      <c r="P27" s="18">
        <f>SUMIFS(Receitas!$F:$F,Receitas!$J:$J,"&lt;="&amp;$A27,Receitas!$L:$L,"&gt;="&amp;$A27,Receitas!$C:$C,P$1,Receitas!$M:$M,"Mensal")+SUMIFS(Receitas!$F:$F,Receitas!$J:$J,"&lt;="&amp;$A27,Receitas!$L:$L,"&gt;="&amp;$A27,Receitas!$C:$C,P$1,Receitas!$M:$M,$B27)</f>
        <v>20000</v>
      </c>
      <c r="Q27" s="18">
        <f ca="1">SUMIFS(Receitas!$F:$F,Receitas!$J:$J,"&lt;="&amp;$A27,Receitas!$L:$L,"&gt;="&amp;$A27,Receitas!$C:$C,Q$1,Receitas!$M:$M,"Mensal")+SUMIFS(Receitas!$F:$F,Receitas!$J:$J,"&lt;="&amp;$A27,Receitas!$L:$L,"&gt;="&amp;$A27,Receitas!$C:$C,Q$1,Receitas!$M:$M,$B27)</f>
        <v>15101.400000000001</v>
      </c>
      <c r="R27" s="18" cm="1">
        <f t="array" ref="R27">(IF(AND(Membros!$F$2="Sim",A27&lt;=MAX(Membros!$E$2:$E$5)),Membros!K$2,IF(AND(A27&gt;=Membros!J$2,A27&lt;=MAX(Membros!$E$2:$E$5)),Membros!K$2,0))+IF(AND(Membros!$F$3="Sim",A27&lt;=MAX(Membros!$E$2:$E$5)),Membros!K$3,IF(AND(A27&gt;=Membros!J$3,A27&lt;=MAX(Membros!$E$2:$E$5)),Membros!K$3,0)))*IF(AND(COUNTIFS(Tabela3[Tipo],"Provedor",Tabela3[Simulação Seguro],"Sim")=2,A27&gt;=MAX(IF(Tabela3[Tipo]="Dependente",Tabela3[Expectativa de Vida (Data)]))),0,1)</f>
        <v>0</v>
      </c>
      <c r="S27" s="18">
        <f t="shared" ca="1" si="4"/>
        <v>85101.4</v>
      </c>
      <c r="U27" s="18">
        <f t="shared" ca="1" si="7"/>
        <v>4746665.2045051325</v>
      </c>
      <c r="V27" s="18">
        <f>SUMIF(Imóveis!E:E,Dados!A:A,Imóveis!Z:Z)-SUMIF(Imóveis!E:E,Dados!A:A,Imóveis!Y:Y)</f>
        <v>0</v>
      </c>
      <c r="W27" s="18">
        <f>-SUMIF(Projetos!N:N,A27,Projetos!F:F)</f>
        <v>0</v>
      </c>
      <c r="X27" s="18">
        <f t="shared" ca="1" si="0"/>
        <v>-11867.920056776231</v>
      </c>
      <c r="Y27" s="26">
        <f ca="1">(U27*((Indicadores_Economicos!D$2+1)^(1/12)-1))</f>
        <v>15539.346712767798</v>
      </c>
      <c r="Z27" s="18">
        <f t="shared" ca="1" si="5"/>
        <v>4750336.6311611244</v>
      </c>
      <c r="AA27" s="18">
        <f ca="1">Auxiliar_Projetos!E27</f>
        <v>355885.35926650773</v>
      </c>
      <c r="AB27" s="18">
        <f ca="1">Auxiliar_Projetos!K27</f>
        <v>312649.43190487107</v>
      </c>
      <c r="AC27" s="18">
        <f ca="1">IF(Z27-AA27-AB27&gt;Investimentos!$C$14,Investimentos!$C$14,IF(Z27-AA27-AB27&lt;Investimentos!$C$14,Z27-AA27-AB27,0))</f>
        <v>300000</v>
      </c>
      <c r="AD27" s="18">
        <f t="shared" ca="1" si="6"/>
        <v>3781801.839989746</v>
      </c>
      <c r="AE27" s="18"/>
    </row>
    <row r="28" spans="1:31" x14ac:dyDescent="0.2">
      <c r="A28" s="4">
        <v>46447</v>
      </c>
      <c r="B28" s="5" t="str">
        <f t="shared" si="1"/>
        <v>março</v>
      </c>
      <c r="C28" s="5" t="str">
        <f t="shared" si="2"/>
        <v>2027</v>
      </c>
      <c r="D28" s="5">
        <f>SUMIFS(Despesas!$F:$F,Despesas!$J:$J,"&lt;="&amp;$A28,Despesas!$L:$L,"&gt;="&amp;$A28,Despesas!$C:$C,D$1,Despesas!$M:$M,"Mensal")+SUMIFS(Despesas!$F:$F,Despesas!$J:$J,"&lt;="&amp;$A28,Despesas!$L:$L,"&gt;="&amp;$A28,Despesas!$C:$C,D$1,Despesas!$M:$M,$B28)</f>
        <v>23000</v>
      </c>
      <c r="E28" s="18">
        <f>SUMIFS(Despesas!$F:$F,Despesas!$J:$J,"&lt;="&amp;$A28,Despesas!$L:$L,"&gt;="&amp;$A28,Despesas!$C:$C,E$1,Despesas!$M:$M,"Mensal")+SUMIFS(Despesas!$F:$F,Despesas!$J:$J,"&lt;="&amp;$A28,Despesas!$L:$L,"&gt;="&amp;$A28,Despesas!$C:$C,E$1,Despesas!$M:$M,$B28)</f>
        <v>17000</v>
      </c>
      <c r="F28" s="5">
        <f>SUMIFS(Despesas!$F:$F,Despesas!$J:$J,"&lt;="&amp;$A28,Despesas!$L:$L,"&gt;="&amp;$A28,Despesas!$C:$C,F$1,Despesas!$M:$M,"Mensal")+SUMIFS(Despesas!$F:$F,Despesas!$J:$J,"&lt;="&amp;$A28,Despesas!$L:$L,"&gt;="&amp;$A28,Despesas!$C:$C,F$1,Despesas!$M:$M,$B28)</f>
        <v>13000</v>
      </c>
      <c r="G28" s="5">
        <f>SUMIFS(Despesas!$F:$F,Despesas!$J:$J,"&lt;="&amp;$A28,Despesas!$L:$L,"&gt;="&amp;$A28,Despesas!$C:$C,G$1,Despesas!$M:$M,"Mensal")+SUMIFS(Despesas!$F:$F,Despesas!$J:$J,"&lt;="&amp;$A28,Despesas!$L:$L,"&gt;="&amp;$A28,Despesas!$C:$C,G$1,Despesas!$M:$M,$B28)</f>
        <v>0</v>
      </c>
      <c r="H28" s="18">
        <f ca="1">SUMIFS(Despesas!$F:$F,Despesas!$J:$J,"&lt;="&amp;$A28,Despesas!$L:$L,"&gt;="&amp;$A28,Despesas!$C:$C,H$1,Despesas!$M:$M,"Mensal")+SUMIFS(Despesas!$F:$F,Despesas!$J:$J,"&lt;="&amp;$A28,Despesas!$L:$L,"&gt;="&amp;$A28,Despesas!$C:$C,H$1,Despesas!$M:$M,$B28)</f>
        <v>10762.055</v>
      </c>
      <c r="I28" s="18">
        <f>IF(Imóveis!$F$2="PRICE",IF(AND(Dados!$A28&gt;=Imóveis!$Q$2,Dados!$A28&lt;=Imóveis!$T$2),Imóveis!$U$2,0),IF((IF(AND(Dados!$A28&gt;=Imóveis!$Q$2,Dados!$A28&lt;=Imóveis!$T$2),Imóveis!$S$2-(DATEDIF(Imóveis!$Q$2,Dados!$A28,"m")),0))=0,0,((Imóveis!$N$2/Imóveis!$S$2)+((Imóveis!$N$2-((Imóveis!$S$2-(IF(AND(Dados!$A28&gt;=Imóveis!$Q$2,Dados!$A28&lt;=Imóveis!$T$2),Imóveis!$S$2-(DATEDIF(Imóveis!$Q$2,Dados!$A28,"m")),)))*(Imóveis!$N$2/Imóveis!$S$2)))*Imóveis!$P$2))))*IF(AND(Imóveis!$E$2&gt;0,Dados!$A28&gt;Imóveis!$E$2),0,1)</f>
        <v>17329.025980398066</v>
      </c>
      <c r="J28" s="18">
        <f ca="1">IF(Imóveis!$F$3="PRICE",IF(AND(Dados!$A28&gt;=Imóveis!$Q$3,Dados!$A28&lt;=Imóveis!$T$3),Imóveis!$U$3,0),IF((IF(AND(Dados!$A28&gt;=Imóveis!$Q$3,Dados!$A28&lt;=Imóveis!$T$3),Imóveis!$S$3-(DATEDIF(Imóveis!$Q$3,Dados!$A28,"m")),0))=0,0,((Imóveis!$N$3/Imóveis!$S$3)+((Imóveis!$N$3-((Imóveis!$S$3-(IF(AND(Dados!$A28&gt;=Imóveis!$Q$3,Dados!$A28&lt;=Imóveis!$T$3),Imóveis!$S$3-(DATEDIF(Imóveis!$Q$3,Dados!$A28,"m")),)))*(Imóveis!$N$3/Imóveis!$S$3)))*Imóveis!$P$3))))*IF(AND(Imóveis!$E$3&gt;0,Dados!$A28&gt;Imóveis!$E$3),0,1)</f>
        <v>9314.6986248807771</v>
      </c>
      <c r="K28" s="18">
        <f>IF(Imóveis!$F$4="PRICE",IF(AND(Dados!$A28&gt;=Imóveis!$Q$4,Dados!$A28&lt;=Imóveis!$T$4),Imóveis!$U$4,0),IF((IF(AND(Dados!$A28&gt;=Imóveis!$Q$4,Dados!$A28&lt;=Imóveis!$T$4),Imóveis!$S$4-(DATEDIF(Imóveis!$Q$4,Dados!$A28,"m")),0))=0,0,((Imóveis!$N$4/Imóveis!$S$4)+((Imóveis!$N$4-((Imóveis!$S$4-(IF(AND(Dados!$A28&gt;=Imóveis!$Q$4,Dados!$A28&lt;=Imóveis!$T$4),Imóveis!$S$4-(DATEDIF(Imóveis!$Q$4,Dados!$A28,"m")),)))*(Imóveis!$N$4/Imóveis!$S$4)))*Imóveis!$P$4))))*IF(AND(Imóveis!$E$4&gt;0,Dados!$A28&gt;Imóveis!$E$4),0,1)</f>
        <v>4643.949359272583</v>
      </c>
      <c r="L28" s="18">
        <f>IF(Imóveis!$F$5="PRICE",IF(AND(Dados!$A28&gt;=Imóveis!$Q$5,Dados!$A28&lt;=Imóveis!$T$5),Imóveis!$U$5,0),IF((IF(AND(Dados!$A28&gt;=Imóveis!$Q$5,Dados!$A28&lt;=Imóveis!$T$5),Imóveis!$S$5-(DATEDIF(Imóveis!$Q$5,Dados!$A28,"m")),0))=0,0,((Imóveis!$N$5/Imóveis!$S$5)+((Imóveis!$N$5-((Imóveis!$S$5-(IF(AND(Dados!$A28 &gt;=Imóveis!$Q$5,Dados!$A28&lt;=Imóveis!$T$5),Imóveis!$S$5-(DATEDIF(Imóveis!$Q$5,Dados!$A28,"m")),)))*(Imóveis!$N$5/Imóveis!$S$5)))*Imóveis!$P$5))))*IF(AND(Imóveis!$E$5&gt;0,Dados!$A28&gt;Imóveis!$E$5),0,1)*Imóveis!$I$5</f>
        <v>0</v>
      </c>
      <c r="M28" s="18">
        <f>IF(Imóveis!$F$6="PRICE",IF(AND(Dados!$A28&gt;=Imóveis!$Q$6,Dados!$A28&lt;=Imóveis!$T$6),Imóveis!$U$6,0),IF((IF(AND(Dados!$A28&gt;=Imóveis!$Q$6,Dados!$A28&lt;=Imóveis!$T$6),Imóveis!$S$6-(DATEDIF(Imóveis!$Q$6,Dados!$A28,"m")),0))=0,0,((Imóveis!$N$6/Imóveis!$S$6)+((Imóveis!$N$6-((Imóveis!$S$6-(IF(AND(Dados!$A28&gt;=Imóveis!$Q$6,Dados!$A28&lt;=Imóveis!$T$6),Imóveis!$S$6-(DATEDIF(Imóveis!$Q$6,Dados!$A28,"m")),)))*(Imóveis!$N$6/Imóveis!$S$6)))*Imóveis!$P$6))))*IF(AND(Imóveis!$E$6&gt;0,Dados!$A28&gt;Imóveis!$E$6),0,1)*Imóveis!$I$6</f>
        <v>0</v>
      </c>
      <c r="N28" s="18">
        <f t="shared" ca="1" si="3"/>
        <v>95049.728964551425</v>
      </c>
      <c r="O28" s="18">
        <f>SUMIFS(Receitas!$F:$F,Receitas!$J:$J,"&lt;="&amp;$A28,Receitas!$L:$L,"&gt;="&amp;$A28,Receitas!$C:$C,O$1,Receitas!$M:$M,"Mensal")+SUMIFS(Receitas!$F:$F,Receitas!$J:$J,"&lt;="&amp;$A28,Receitas!$L:$L,"&gt;="&amp;$A28,Receitas!$C:$C,O$1,Receitas!$M:$M,$B28)</f>
        <v>50000</v>
      </c>
      <c r="P28" s="18">
        <f>SUMIFS(Receitas!$F:$F,Receitas!$J:$J,"&lt;="&amp;$A28,Receitas!$L:$L,"&gt;="&amp;$A28,Receitas!$C:$C,P$1,Receitas!$M:$M,"Mensal")+SUMIFS(Receitas!$F:$F,Receitas!$J:$J,"&lt;="&amp;$A28,Receitas!$L:$L,"&gt;="&amp;$A28,Receitas!$C:$C,P$1,Receitas!$M:$M,$B28)</f>
        <v>20000</v>
      </c>
      <c r="Q28" s="18">
        <f ca="1">SUMIFS(Receitas!$F:$F,Receitas!$J:$J,"&lt;="&amp;$A28,Receitas!$L:$L,"&gt;="&amp;$A28,Receitas!$C:$C,Q$1,Receitas!$M:$M,"Mensal")+SUMIFS(Receitas!$F:$F,Receitas!$J:$J,"&lt;="&amp;$A28,Receitas!$L:$L,"&gt;="&amp;$A28,Receitas!$C:$C,Q$1,Receitas!$M:$M,$B28)</f>
        <v>15101.400000000001</v>
      </c>
      <c r="R28" s="18" cm="1">
        <f t="array" ref="R28">(IF(AND(Membros!$F$2="Sim",A28&lt;=MAX(Membros!$E$2:$E$5)),Membros!K$2,IF(AND(A28&gt;=Membros!J$2,A28&lt;=MAX(Membros!$E$2:$E$5)),Membros!K$2,0))+IF(AND(Membros!$F$3="Sim",A28&lt;=MAX(Membros!$E$2:$E$5)),Membros!K$3,IF(AND(A28&gt;=Membros!J$3,A28&lt;=MAX(Membros!$E$2:$E$5)),Membros!K$3,0)))*IF(AND(COUNTIFS(Tabela3[Tipo],"Provedor",Tabela3[Simulação Seguro],"Sim")=2,A28&gt;=MAX(IF(Tabela3[Tipo]="Dependente",Tabela3[Expectativa de Vida (Data)]))),0,1)</f>
        <v>0</v>
      </c>
      <c r="S28" s="18">
        <f t="shared" ca="1" si="4"/>
        <v>85101.4</v>
      </c>
      <c r="U28" s="18">
        <f t="shared" ca="1" si="7"/>
        <v>4750336.6311611244</v>
      </c>
      <c r="V28" s="18">
        <f>SUMIF(Imóveis!E:E,Dados!A:A,Imóveis!Z:Z)-SUMIF(Imóveis!E:E,Dados!A:A,Imóveis!Y:Y)</f>
        <v>0</v>
      </c>
      <c r="W28" s="18">
        <f>-SUMIF(Projetos!N:N,A28,Projetos!F:F)</f>
        <v>0</v>
      </c>
      <c r="X28" s="18">
        <f t="shared" ca="1" si="0"/>
        <v>-9948.3289645514305</v>
      </c>
      <c r="Y28" s="26">
        <f ca="1">(U28*((Indicadores_Economicos!D$2+1)^(1/12)-1))</f>
        <v>15551.366008268944</v>
      </c>
      <c r="Z28" s="18">
        <f t="shared" ca="1" si="5"/>
        <v>4755939.6682048421</v>
      </c>
      <c r="AA28" s="18">
        <f ca="1">Auxiliar_Projetos!E28</f>
        <v>357050.43532504066</v>
      </c>
      <c r="AB28" s="18">
        <f ca="1">Auxiliar_Projetos!K28</f>
        <v>313672.96478797996</v>
      </c>
      <c r="AC28" s="18">
        <f ca="1">IF(Z28-AA28-AB28&gt;Investimentos!$C$14,Investimentos!$C$14,IF(Z28-AA28-AB28&lt;Investimentos!$C$14,Z28-AA28-AB28,0))</f>
        <v>300000</v>
      </c>
      <c r="AD28" s="18">
        <f t="shared" ca="1" si="6"/>
        <v>3785216.2680918216</v>
      </c>
      <c r="AE28" s="18"/>
    </row>
    <row r="29" spans="1:31" x14ac:dyDescent="0.2">
      <c r="A29" s="4">
        <v>46478</v>
      </c>
      <c r="B29" s="5" t="str">
        <f t="shared" si="1"/>
        <v>abril</v>
      </c>
      <c r="C29" s="5" t="str">
        <f t="shared" si="2"/>
        <v>2027</v>
      </c>
      <c r="D29" s="5">
        <f>SUMIFS(Despesas!$F:$F,Despesas!$J:$J,"&lt;="&amp;$A29,Despesas!$L:$L,"&gt;="&amp;$A29,Despesas!$C:$C,D$1,Despesas!$M:$M,"Mensal")+SUMIFS(Despesas!$F:$F,Despesas!$J:$J,"&lt;="&amp;$A29,Despesas!$L:$L,"&gt;="&amp;$A29,Despesas!$C:$C,D$1,Despesas!$M:$M,$B29)</f>
        <v>23000</v>
      </c>
      <c r="E29" s="18">
        <f>SUMIFS(Despesas!$F:$F,Despesas!$J:$J,"&lt;="&amp;$A29,Despesas!$L:$L,"&gt;="&amp;$A29,Despesas!$C:$C,E$1,Despesas!$M:$M,"Mensal")+SUMIFS(Despesas!$F:$F,Despesas!$J:$J,"&lt;="&amp;$A29,Despesas!$L:$L,"&gt;="&amp;$A29,Despesas!$C:$C,E$1,Despesas!$M:$M,$B29)</f>
        <v>17000</v>
      </c>
      <c r="F29" s="5">
        <f>SUMIFS(Despesas!$F:$F,Despesas!$J:$J,"&lt;="&amp;$A29,Despesas!$L:$L,"&gt;="&amp;$A29,Despesas!$C:$C,F$1,Despesas!$M:$M,"Mensal")+SUMIFS(Despesas!$F:$F,Despesas!$J:$J,"&lt;="&amp;$A29,Despesas!$L:$L,"&gt;="&amp;$A29,Despesas!$C:$C,F$1,Despesas!$M:$M,$B29)</f>
        <v>13000</v>
      </c>
      <c r="G29" s="5">
        <f>SUMIFS(Despesas!$F:$F,Despesas!$J:$J,"&lt;="&amp;$A29,Despesas!$L:$L,"&gt;="&amp;$A29,Despesas!$C:$C,G$1,Despesas!$M:$M,"Mensal")+SUMIFS(Despesas!$F:$F,Despesas!$J:$J,"&lt;="&amp;$A29,Despesas!$L:$L,"&gt;="&amp;$A29,Despesas!$C:$C,G$1,Despesas!$M:$M,$B29)</f>
        <v>0</v>
      </c>
      <c r="H29" s="18">
        <f ca="1">SUMIFS(Despesas!$F:$F,Despesas!$J:$J,"&lt;="&amp;$A29,Despesas!$L:$L,"&gt;="&amp;$A29,Despesas!$C:$C,H$1,Despesas!$M:$M,"Mensal")+SUMIFS(Despesas!$F:$F,Despesas!$J:$J,"&lt;="&amp;$A29,Despesas!$L:$L,"&gt;="&amp;$A29,Despesas!$C:$C,H$1,Despesas!$M:$M,$B29)</f>
        <v>10762.055</v>
      </c>
      <c r="I29" s="18">
        <f>IF(Imóveis!$F$2="PRICE",IF(AND(Dados!$A29&gt;=Imóveis!$Q$2,Dados!$A29&lt;=Imóveis!$T$2),Imóveis!$U$2,0),IF((IF(AND(Dados!$A29&gt;=Imóveis!$Q$2,Dados!$A29&lt;=Imóveis!$T$2),Imóveis!$S$2-(DATEDIF(Imóveis!$Q$2,Dados!$A29,"m")),0))=0,0,((Imóveis!$N$2/Imóveis!$S$2)+((Imóveis!$N$2-((Imóveis!$S$2-(IF(AND(Dados!$A29&gt;=Imóveis!$Q$2,Dados!$A29&lt;=Imóveis!$T$2),Imóveis!$S$2-(DATEDIF(Imóveis!$Q$2,Dados!$A29,"m")),)))*(Imóveis!$N$2/Imóveis!$S$2)))*Imóveis!$P$2))))*IF(AND(Imóveis!$E$2&gt;0,Dados!$A29&gt;Imóveis!$E$2),0,1)</f>
        <v>17267.004888173258</v>
      </c>
      <c r="J29" s="18">
        <f ca="1">IF(Imóveis!$F$3="PRICE",IF(AND(Dados!$A29&gt;=Imóveis!$Q$3,Dados!$A29&lt;=Imóveis!$T$3),Imóveis!$U$3,0),IF((IF(AND(Dados!$A29&gt;=Imóveis!$Q$3,Dados!$A29&lt;=Imóveis!$T$3),Imóveis!$S$3-(DATEDIF(Imóveis!$Q$3,Dados!$A29,"m")),0))=0,0,((Imóveis!$N$3/Imóveis!$S$3)+((Imóveis!$N$3-((Imóveis!$S$3-(IF(AND(Dados!$A29&gt;=Imóveis!$Q$3,Dados!$A29&lt;=Imóveis!$T$3),Imóveis!$S$3-(DATEDIF(Imóveis!$Q$3,Dados!$A29,"m")),)))*(Imóveis!$N$3/Imóveis!$S$3)))*Imóveis!$P$3))))*IF(AND(Imóveis!$E$3&gt;0,Dados!$A29&gt;Imóveis!$E$3),0,1)</f>
        <v>9314.6986248807771</v>
      </c>
      <c r="K29" s="18">
        <f>IF(Imóveis!$F$4="PRICE",IF(AND(Dados!$A29&gt;=Imóveis!$Q$4,Dados!$A29&lt;=Imóveis!$T$4),Imóveis!$U$4,0),IF((IF(AND(Dados!$A29&gt;=Imóveis!$Q$4,Dados!$A29&lt;=Imóveis!$T$4),Imóveis!$S$4-(DATEDIF(Imóveis!$Q$4,Dados!$A29,"m")),0))=0,0,((Imóveis!$N$4/Imóveis!$S$4)+((Imóveis!$N$4-((Imóveis!$S$4-(IF(AND(Dados!$A29&gt;=Imóveis!$Q$4,Dados!$A29&lt;=Imóveis!$T$4),Imóveis!$S$4-(DATEDIF(Imóveis!$Q$4,Dados!$A29,"m")),)))*(Imóveis!$N$4/Imóveis!$S$4)))*Imóveis!$P$4))))*IF(AND(Imóveis!$E$4&gt;0,Dados!$A29&gt;Imóveis!$E$4),0,1)</f>
        <v>4643.949359272583</v>
      </c>
      <c r="L29" s="18">
        <f>IF(Imóveis!$F$5="PRICE",IF(AND(Dados!$A29&gt;=Imóveis!$Q$5,Dados!$A29&lt;=Imóveis!$T$5),Imóveis!$U$5,0),IF((IF(AND(Dados!$A29&gt;=Imóveis!$Q$5,Dados!$A29&lt;=Imóveis!$T$5),Imóveis!$S$5-(DATEDIF(Imóveis!$Q$5,Dados!$A29,"m")),0))=0,0,((Imóveis!$N$5/Imóveis!$S$5)+((Imóveis!$N$5-((Imóveis!$S$5-(IF(AND(Dados!$A29 &gt;=Imóveis!$Q$5,Dados!$A29&lt;=Imóveis!$T$5),Imóveis!$S$5-(DATEDIF(Imóveis!$Q$5,Dados!$A29,"m")),)))*(Imóveis!$N$5/Imóveis!$S$5)))*Imóveis!$P$5))))*IF(AND(Imóveis!$E$5&gt;0,Dados!$A29&gt;Imóveis!$E$5),0,1)*Imóveis!$I$5</f>
        <v>0</v>
      </c>
      <c r="M29" s="18">
        <f>IF(Imóveis!$F$6="PRICE",IF(AND(Dados!$A29&gt;=Imóveis!$Q$6,Dados!$A29&lt;=Imóveis!$T$6),Imóveis!$U$6,0),IF((IF(AND(Dados!$A29&gt;=Imóveis!$Q$6,Dados!$A29&lt;=Imóveis!$T$6),Imóveis!$S$6-(DATEDIF(Imóveis!$Q$6,Dados!$A29,"m")),0))=0,0,((Imóveis!$N$6/Imóveis!$S$6)+((Imóveis!$N$6-((Imóveis!$S$6-(IF(AND(Dados!$A29&gt;=Imóveis!$Q$6,Dados!$A29&lt;=Imóveis!$T$6),Imóveis!$S$6-(DATEDIF(Imóveis!$Q$6,Dados!$A29,"m")),)))*(Imóveis!$N$6/Imóveis!$S$6)))*Imóveis!$P$6))))*IF(AND(Imóveis!$E$6&gt;0,Dados!$A29&gt;Imóveis!$E$6),0,1)*Imóveis!$I$6</f>
        <v>0</v>
      </c>
      <c r="N29" s="18">
        <f t="shared" ca="1" si="3"/>
        <v>94987.707872326617</v>
      </c>
      <c r="O29" s="18">
        <f>SUMIFS(Receitas!$F:$F,Receitas!$J:$J,"&lt;="&amp;$A29,Receitas!$L:$L,"&gt;="&amp;$A29,Receitas!$C:$C,O$1,Receitas!$M:$M,"Mensal")+SUMIFS(Receitas!$F:$F,Receitas!$J:$J,"&lt;="&amp;$A29,Receitas!$L:$L,"&gt;="&amp;$A29,Receitas!$C:$C,O$1,Receitas!$M:$M,$B29)</f>
        <v>50000</v>
      </c>
      <c r="P29" s="18">
        <f>SUMIFS(Receitas!$F:$F,Receitas!$J:$J,"&lt;="&amp;$A29,Receitas!$L:$L,"&gt;="&amp;$A29,Receitas!$C:$C,P$1,Receitas!$M:$M,"Mensal")+SUMIFS(Receitas!$F:$F,Receitas!$J:$J,"&lt;="&amp;$A29,Receitas!$L:$L,"&gt;="&amp;$A29,Receitas!$C:$C,P$1,Receitas!$M:$M,$B29)</f>
        <v>85000</v>
      </c>
      <c r="Q29" s="18">
        <f ca="1">SUMIFS(Receitas!$F:$F,Receitas!$J:$J,"&lt;="&amp;$A29,Receitas!$L:$L,"&gt;="&amp;$A29,Receitas!$C:$C,Q$1,Receitas!$M:$M,"Mensal")+SUMIFS(Receitas!$F:$F,Receitas!$J:$J,"&lt;="&amp;$A29,Receitas!$L:$L,"&gt;="&amp;$A29,Receitas!$C:$C,Q$1,Receitas!$M:$M,$B29)</f>
        <v>15101.400000000001</v>
      </c>
      <c r="R29" s="18" cm="1">
        <f t="array" ref="R29">(IF(AND(Membros!$F$2="Sim",A29&lt;=MAX(Membros!$E$2:$E$5)),Membros!K$2,IF(AND(A29&gt;=Membros!J$2,A29&lt;=MAX(Membros!$E$2:$E$5)),Membros!K$2,0))+IF(AND(Membros!$F$3="Sim",A29&lt;=MAX(Membros!$E$2:$E$5)),Membros!K$3,IF(AND(A29&gt;=Membros!J$3,A29&lt;=MAX(Membros!$E$2:$E$5)),Membros!K$3,0)))*IF(AND(COUNTIFS(Tabela3[Tipo],"Provedor",Tabela3[Simulação Seguro],"Sim")=2,A29&gt;=MAX(IF(Tabela3[Tipo]="Dependente",Tabela3[Expectativa de Vida (Data)]))),0,1)</f>
        <v>0</v>
      </c>
      <c r="S29" s="18">
        <f t="shared" ca="1" si="4"/>
        <v>150101.4</v>
      </c>
      <c r="U29" s="18">
        <f t="shared" ca="1" si="7"/>
        <v>4755939.6682048421</v>
      </c>
      <c r="V29" s="18">
        <f>SUMIF(Imóveis!E:E,Dados!A:A,Imóveis!Z:Z)-SUMIF(Imóveis!E:E,Dados!A:A,Imóveis!Y:Y)</f>
        <v>0</v>
      </c>
      <c r="W29" s="18">
        <f>-SUMIF(Projetos!N:N,A29,Projetos!F:F)</f>
        <v>0</v>
      </c>
      <c r="X29" s="18">
        <f t="shared" ca="1" si="0"/>
        <v>55113.692127673377</v>
      </c>
      <c r="Y29" s="26">
        <f ca="1">(U29*((Indicadores_Economicos!D$2+1)^(1/12)-1))</f>
        <v>15569.708893540097</v>
      </c>
      <c r="Z29" s="18">
        <f t="shared" ca="1" si="5"/>
        <v>4826623.0692260554</v>
      </c>
      <c r="AA29" s="18">
        <f ca="1">Auxiliar_Projetos!E29</f>
        <v>358219.3255394157</v>
      </c>
      <c r="AB29" s="18">
        <f ca="1">Auxiliar_Projetos!K29</f>
        <v>314699.84845140664</v>
      </c>
      <c r="AC29" s="18">
        <f ca="1">IF(Z29-AA29-AB29&gt;Investimentos!$C$14,Investimentos!$C$14,IF(Z29-AA29-AB29&lt;Investimentos!$C$14,Z29-AA29-AB29,0))</f>
        <v>300000</v>
      </c>
      <c r="AD29" s="18">
        <f t="shared" ca="1" si="6"/>
        <v>3853703.895235233</v>
      </c>
      <c r="AE29" s="18"/>
    </row>
    <row r="30" spans="1:31" x14ac:dyDescent="0.2">
      <c r="A30" s="4">
        <v>46508</v>
      </c>
      <c r="B30" s="5" t="str">
        <f t="shared" si="1"/>
        <v>maio</v>
      </c>
      <c r="C30" s="5" t="str">
        <f t="shared" ref="C30:C39" si="8">TEXT(A30,"AAAA")</f>
        <v>2027</v>
      </c>
      <c r="D30" s="5">
        <f>SUMIFS(Despesas!$F:$F,Despesas!$J:$J,"&lt;="&amp;$A30,Despesas!$L:$L,"&gt;="&amp;$A30,Despesas!$C:$C,D$1,Despesas!$M:$M,"Mensal")+SUMIFS(Despesas!$F:$F,Despesas!$J:$J,"&lt;="&amp;$A30,Despesas!$L:$L,"&gt;="&amp;$A30,Despesas!$C:$C,D$1,Despesas!$M:$M,$B30)</f>
        <v>23000</v>
      </c>
      <c r="E30" s="18">
        <f>SUMIFS(Despesas!$F:$F,Despesas!$J:$J,"&lt;="&amp;$A30,Despesas!$L:$L,"&gt;="&amp;$A30,Despesas!$C:$C,E$1,Despesas!$M:$M,"Mensal")+SUMIFS(Despesas!$F:$F,Despesas!$J:$J,"&lt;="&amp;$A30,Despesas!$L:$L,"&gt;="&amp;$A30,Despesas!$C:$C,E$1,Despesas!$M:$M,$B30)</f>
        <v>17000</v>
      </c>
      <c r="F30" s="5">
        <f>SUMIFS(Despesas!$F:$F,Despesas!$J:$J,"&lt;="&amp;$A30,Despesas!$L:$L,"&gt;="&amp;$A30,Despesas!$C:$C,F$1,Despesas!$M:$M,"Mensal")+SUMIFS(Despesas!$F:$F,Despesas!$J:$J,"&lt;="&amp;$A30,Despesas!$L:$L,"&gt;="&amp;$A30,Despesas!$C:$C,F$1,Despesas!$M:$M,$B30)</f>
        <v>13000</v>
      </c>
      <c r="G30" s="5">
        <f>SUMIFS(Despesas!$F:$F,Despesas!$J:$J,"&lt;="&amp;$A30,Despesas!$L:$L,"&gt;="&amp;$A30,Despesas!$C:$C,G$1,Despesas!$M:$M,"Mensal")+SUMIFS(Despesas!$F:$F,Despesas!$J:$J,"&lt;="&amp;$A30,Despesas!$L:$L,"&gt;="&amp;$A30,Despesas!$C:$C,G$1,Despesas!$M:$M,$B30)</f>
        <v>0</v>
      </c>
      <c r="H30" s="18">
        <f ca="1">SUMIFS(Despesas!$F:$F,Despesas!$J:$J,"&lt;="&amp;$A30,Despesas!$L:$L,"&gt;="&amp;$A30,Despesas!$C:$C,H$1,Despesas!$M:$M,"Mensal")+SUMIFS(Despesas!$F:$F,Despesas!$J:$J,"&lt;="&amp;$A30,Despesas!$L:$L,"&gt;="&amp;$A30,Despesas!$C:$C,H$1,Despesas!$M:$M,$B30)</f>
        <v>10762.055</v>
      </c>
      <c r="I30" s="18">
        <f>IF(Imóveis!$F$2="PRICE",IF(AND(Dados!$A30&gt;=Imóveis!$Q$2,Dados!$A30&lt;=Imóveis!$T$2),Imóveis!$U$2,0),IF((IF(AND(Dados!$A30&gt;=Imóveis!$Q$2,Dados!$A30&lt;=Imóveis!$T$2),Imóveis!$S$2-(DATEDIF(Imóveis!$Q$2,Dados!$A30,"m")),0))=0,0,((Imóveis!$N$2/Imóveis!$S$2)+((Imóveis!$N$2-((Imóveis!$S$2-(IF(AND(Dados!$A30&gt;=Imóveis!$Q$2,Dados!$A30&lt;=Imóveis!$T$2),Imóveis!$S$2-(DATEDIF(Imóveis!$Q$2,Dados!$A30,"m")),)))*(Imóveis!$N$2/Imóveis!$S$2)))*Imóveis!$P$2))))*IF(AND(Imóveis!$E$2&gt;0,Dados!$A30&gt;Imóveis!$E$2),0,1)</f>
        <v>17204.98379594845</v>
      </c>
      <c r="J30" s="18">
        <f ca="1">IF(Imóveis!$F$3="PRICE",IF(AND(Dados!$A30&gt;=Imóveis!$Q$3,Dados!$A30&lt;=Imóveis!$T$3),Imóveis!$U$3,0),IF((IF(AND(Dados!$A30&gt;=Imóveis!$Q$3,Dados!$A30&lt;=Imóveis!$T$3),Imóveis!$S$3-(DATEDIF(Imóveis!$Q$3,Dados!$A30,"m")),0))=0,0,((Imóveis!$N$3/Imóveis!$S$3)+((Imóveis!$N$3-((Imóveis!$S$3-(IF(AND(Dados!$A30&gt;=Imóveis!$Q$3,Dados!$A30&lt;=Imóveis!$T$3),Imóveis!$S$3-(DATEDIF(Imóveis!$Q$3,Dados!$A30,"m")),)))*(Imóveis!$N$3/Imóveis!$S$3)))*Imóveis!$P$3))))*IF(AND(Imóveis!$E$3&gt;0,Dados!$A30&gt;Imóveis!$E$3),0,1)</f>
        <v>9314.6986248807771</v>
      </c>
      <c r="K30" s="18">
        <f>IF(Imóveis!$F$4="PRICE",IF(AND(Dados!$A30&gt;=Imóveis!$Q$4,Dados!$A30&lt;=Imóveis!$T$4),Imóveis!$U$4,0),IF((IF(AND(Dados!$A30&gt;=Imóveis!$Q$4,Dados!$A30&lt;=Imóveis!$T$4),Imóveis!$S$4-(DATEDIF(Imóveis!$Q$4,Dados!$A30,"m")),0))=0,0,((Imóveis!$N$4/Imóveis!$S$4)+((Imóveis!$N$4-((Imóveis!$S$4-(IF(AND(Dados!$A30&gt;=Imóveis!$Q$4,Dados!$A30&lt;=Imóveis!$T$4),Imóveis!$S$4-(DATEDIF(Imóveis!$Q$4,Dados!$A30,"m")),)))*(Imóveis!$N$4/Imóveis!$S$4)))*Imóveis!$P$4))))*IF(AND(Imóveis!$E$4&gt;0,Dados!$A30&gt;Imóveis!$E$4),0,1)</f>
        <v>4643.949359272583</v>
      </c>
      <c r="L30" s="18">
        <f>IF(Imóveis!$F$5="PRICE",IF(AND(Dados!$A30&gt;=Imóveis!$Q$5,Dados!$A30&lt;=Imóveis!$T$5),Imóveis!$U$5,0),IF((IF(AND(Dados!$A30&gt;=Imóveis!$Q$5,Dados!$A30&lt;=Imóveis!$T$5),Imóveis!$S$5-(DATEDIF(Imóveis!$Q$5,Dados!$A30,"m")),0))=0,0,((Imóveis!$N$5/Imóveis!$S$5)+((Imóveis!$N$5-((Imóveis!$S$5-(IF(AND(Dados!$A30 &gt;=Imóveis!$Q$5,Dados!$A30&lt;=Imóveis!$T$5),Imóveis!$S$5-(DATEDIF(Imóveis!$Q$5,Dados!$A30,"m")),)))*(Imóveis!$N$5/Imóveis!$S$5)))*Imóveis!$P$5))))*IF(AND(Imóveis!$E$5&gt;0,Dados!$A30&gt;Imóveis!$E$5),0,1)*Imóveis!$I$5</f>
        <v>0</v>
      </c>
      <c r="M30" s="18">
        <f>IF(Imóveis!$F$6="PRICE",IF(AND(Dados!$A30&gt;=Imóveis!$Q$6,Dados!$A30&lt;=Imóveis!$T$6),Imóveis!$U$6,0),IF((IF(AND(Dados!$A30&gt;=Imóveis!$Q$6,Dados!$A30&lt;=Imóveis!$T$6),Imóveis!$S$6-(DATEDIF(Imóveis!$Q$6,Dados!$A30,"m")),0))=0,0,((Imóveis!$N$6/Imóveis!$S$6)+((Imóveis!$N$6-((Imóveis!$S$6-(IF(AND(Dados!$A30&gt;=Imóveis!$Q$6,Dados!$A30&lt;=Imóveis!$T$6),Imóveis!$S$6-(DATEDIF(Imóveis!$Q$6,Dados!$A30,"m")),)))*(Imóveis!$N$6/Imóveis!$S$6)))*Imóveis!$P$6))))*IF(AND(Imóveis!$E$6&gt;0,Dados!$A30&gt;Imóveis!$E$6),0,1)*Imóveis!$I$6</f>
        <v>0</v>
      </c>
      <c r="N30" s="18">
        <f t="shared" ca="1" si="3"/>
        <v>94925.686780101809</v>
      </c>
      <c r="O30" s="18">
        <f>SUMIFS(Receitas!$F:$F,Receitas!$J:$J,"&lt;="&amp;$A30,Receitas!$L:$L,"&gt;="&amp;$A30,Receitas!$C:$C,O$1,Receitas!$M:$M,"Mensal")+SUMIFS(Receitas!$F:$F,Receitas!$J:$J,"&lt;="&amp;$A30,Receitas!$L:$L,"&gt;="&amp;$A30,Receitas!$C:$C,O$1,Receitas!$M:$M,$B30)</f>
        <v>50000</v>
      </c>
      <c r="P30" s="18">
        <f>SUMIFS(Receitas!$F:$F,Receitas!$J:$J,"&lt;="&amp;$A30,Receitas!$L:$L,"&gt;="&amp;$A30,Receitas!$C:$C,P$1,Receitas!$M:$M,"Mensal")+SUMIFS(Receitas!$F:$F,Receitas!$J:$J,"&lt;="&amp;$A30,Receitas!$L:$L,"&gt;="&amp;$A30,Receitas!$C:$C,P$1,Receitas!$M:$M,$B30)</f>
        <v>20000</v>
      </c>
      <c r="Q30" s="18">
        <f ca="1">SUMIFS(Receitas!$F:$F,Receitas!$J:$J,"&lt;="&amp;$A30,Receitas!$L:$L,"&gt;="&amp;$A30,Receitas!$C:$C,Q$1,Receitas!$M:$M,"Mensal")+SUMIFS(Receitas!$F:$F,Receitas!$J:$J,"&lt;="&amp;$A30,Receitas!$L:$L,"&gt;="&amp;$A30,Receitas!$C:$C,Q$1,Receitas!$M:$M,$B30)</f>
        <v>15101.400000000001</v>
      </c>
      <c r="R30" s="18" cm="1">
        <f t="array" ref="R30">(IF(AND(Membros!$F$2="Sim",A30&lt;=MAX(Membros!$E$2:$E$5)),Membros!K$2,IF(AND(A30&gt;=Membros!J$2,A30&lt;=MAX(Membros!$E$2:$E$5)),Membros!K$2,0))+IF(AND(Membros!$F$3="Sim",A30&lt;=MAX(Membros!$E$2:$E$5)),Membros!K$3,IF(AND(A30&gt;=Membros!J$3,A30&lt;=MAX(Membros!$E$2:$E$5)),Membros!K$3,0)))*IF(AND(COUNTIFS(Tabela3[Tipo],"Provedor",Tabela3[Simulação Seguro],"Sim")=2,A30&gt;=MAX(IF(Tabela3[Tipo]="Dependente",Tabela3[Expectativa de Vida (Data)]))),0,1)</f>
        <v>0</v>
      </c>
      <c r="S30" s="18">
        <f t="shared" ca="1" si="4"/>
        <v>85101.4</v>
      </c>
      <c r="U30" s="18">
        <f t="shared" ca="1" si="7"/>
        <v>4826623.0692260554</v>
      </c>
      <c r="V30" s="18">
        <f>SUMIF(Imóveis!E:E,Dados!A:A,Imóveis!Z:Z)-SUMIF(Imóveis!E:E,Dados!A:A,Imóveis!Y:Y)</f>
        <v>0</v>
      </c>
      <c r="W30" s="18">
        <f>-SUMIF(Projetos!N:N,A30,Projetos!F:F)</f>
        <v>0</v>
      </c>
      <c r="X30" s="18">
        <f t="shared" ca="1" si="0"/>
        <v>-9824.2867801018147</v>
      </c>
      <c r="Y30" s="26">
        <f ca="1">(U30*((Indicadores_Economicos!D$2+1)^(1/12)-1))</f>
        <v>15801.107955404363</v>
      </c>
      <c r="Z30" s="18">
        <f t="shared" ca="1" si="5"/>
        <v>4832599.8904013578</v>
      </c>
      <c r="AA30" s="18">
        <f ca="1">Auxiliar_Projetos!E30</f>
        <v>359392.04239618656</v>
      </c>
      <c r="AB30" s="18">
        <f ca="1">Auxiliar_Projetos!K30</f>
        <v>315730.09386473399</v>
      </c>
      <c r="AC30" s="18">
        <f ca="1">IF(Z30-AA30-AB30&gt;Investimentos!$C$14,Investimentos!$C$14,IF(Z30-AA30-AB30&lt;Investimentos!$C$14,Z30-AA30-AB30,0))</f>
        <v>300000</v>
      </c>
      <c r="AD30" s="18">
        <f t="shared" ca="1" si="6"/>
        <v>3857477.7541404371</v>
      </c>
      <c r="AE30" s="18"/>
    </row>
    <row r="31" spans="1:31" x14ac:dyDescent="0.2">
      <c r="A31" s="4">
        <v>46539</v>
      </c>
      <c r="B31" s="5" t="str">
        <f t="shared" si="1"/>
        <v>junho</v>
      </c>
      <c r="C31" s="5" t="str">
        <f t="shared" si="8"/>
        <v>2027</v>
      </c>
      <c r="D31" s="5">
        <f>SUMIFS(Despesas!$F:$F,Despesas!$J:$J,"&lt;="&amp;$A31,Despesas!$L:$L,"&gt;="&amp;$A31,Despesas!$C:$C,D$1,Despesas!$M:$M,"Mensal")+SUMIFS(Despesas!$F:$F,Despesas!$J:$J,"&lt;="&amp;$A31,Despesas!$L:$L,"&gt;="&amp;$A31,Despesas!$C:$C,D$1,Despesas!$M:$M,$B31)</f>
        <v>23000</v>
      </c>
      <c r="E31" s="18">
        <f>SUMIFS(Despesas!$F:$F,Despesas!$J:$J,"&lt;="&amp;$A31,Despesas!$L:$L,"&gt;="&amp;$A31,Despesas!$C:$C,E$1,Despesas!$M:$M,"Mensal")+SUMIFS(Despesas!$F:$F,Despesas!$J:$J,"&lt;="&amp;$A31,Despesas!$L:$L,"&gt;="&amp;$A31,Despesas!$C:$C,E$1,Despesas!$M:$M,$B31)</f>
        <v>17000</v>
      </c>
      <c r="F31" s="5">
        <f>SUMIFS(Despesas!$F:$F,Despesas!$J:$J,"&lt;="&amp;$A31,Despesas!$L:$L,"&gt;="&amp;$A31,Despesas!$C:$C,F$1,Despesas!$M:$M,"Mensal")+SUMIFS(Despesas!$F:$F,Despesas!$J:$J,"&lt;="&amp;$A31,Despesas!$L:$L,"&gt;="&amp;$A31,Despesas!$C:$C,F$1,Despesas!$M:$M,$B31)</f>
        <v>13000</v>
      </c>
      <c r="G31" s="5">
        <f>SUMIFS(Despesas!$F:$F,Despesas!$J:$J,"&lt;="&amp;$A31,Despesas!$L:$L,"&gt;="&amp;$A31,Despesas!$C:$C,G$1,Despesas!$M:$M,"Mensal")+SUMIFS(Despesas!$F:$F,Despesas!$J:$J,"&lt;="&amp;$A31,Despesas!$L:$L,"&gt;="&amp;$A31,Despesas!$C:$C,G$1,Despesas!$M:$M,$B31)</f>
        <v>0</v>
      </c>
      <c r="H31" s="18">
        <f ca="1">SUMIFS(Despesas!$F:$F,Despesas!$J:$J,"&lt;="&amp;$A31,Despesas!$L:$L,"&gt;="&amp;$A31,Despesas!$C:$C,H$1,Despesas!$M:$M,"Mensal")+SUMIFS(Despesas!$F:$F,Despesas!$J:$J,"&lt;="&amp;$A31,Despesas!$L:$L,"&gt;="&amp;$A31,Despesas!$C:$C,H$1,Despesas!$M:$M,$B31)</f>
        <v>10762.055</v>
      </c>
      <c r="I31" s="18">
        <f>IF(Imóveis!$F$2="PRICE",IF(AND(Dados!$A31&gt;=Imóveis!$Q$2,Dados!$A31&lt;=Imóveis!$T$2),Imóveis!$U$2,0),IF((IF(AND(Dados!$A31&gt;=Imóveis!$Q$2,Dados!$A31&lt;=Imóveis!$T$2),Imóveis!$S$2-(DATEDIF(Imóveis!$Q$2,Dados!$A31,"m")),0))=0,0,((Imóveis!$N$2/Imóveis!$S$2)+((Imóveis!$N$2-((Imóveis!$S$2-(IF(AND(Dados!$A31&gt;=Imóveis!$Q$2,Dados!$A31&lt;=Imóveis!$T$2),Imóveis!$S$2-(DATEDIF(Imóveis!$Q$2,Dados!$A31,"m")),)))*(Imóveis!$N$2/Imóveis!$S$2)))*Imóveis!$P$2))))*IF(AND(Imóveis!$E$2&gt;0,Dados!$A31&gt;Imóveis!$E$2),0,1)</f>
        <v>17142.962703723642</v>
      </c>
      <c r="J31" s="18">
        <f ca="1">IF(Imóveis!$F$3="PRICE",IF(AND(Dados!$A31&gt;=Imóveis!$Q$3,Dados!$A31&lt;=Imóveis!$T$3),Imóveis!$U$3,0),IF((IF(AND(Dados!$A31&gt;=Imóveis!$Q$3,Dados!$A31&lt;=Imóveis!$T$3),Imóveis!$S$3-(DATEDIF(Imóveis!$Q$3,Dados!$A31,"m")),0))=0,0,((Imóveis!$N$3/Imóveis!$S$3)+((Imóveis!$N$3-((Imóveis!$S$3-(IF(AND(Dados!$A31&gt;=Imóveis!$Q$3,Dados!$A31&lt;=Imóveis!$T$3),Imóveis!$S$3-(DATEDIF(Imóveis!$Q$3,Dados!$A31,"m")),)))*(Imóveis!$N$3/Imóveis!$S$3)))*Imóveis!$P$3))))*IF(AND(Imóveis!$E$3&gt;0,Dados!$A31&gt;Imóveis!$E$3),0,1)</f>
        <v>9314.6986248807771</v>
      </c>
      <c r="K31" s="18">
        <f>IF(Imóveis!$F$4="PRICE",IF(AND(Dados!$A31&gt;=Imóveis!$Q$4,Dados!$A31&lt;=Imóveis!$T$4),Imóveis!$U$4,0),IF((IF(AND(Dados!$A31&gt;=Imóveis!$Q$4,Dados!$A31&lt;=Imóveis!$T$4),Imóveis!$S$4-(DATEDIF(Imóveis!$Q$4,Dados!$A31,"m")),0))=0,0,((Imóveis!$N$4/Imóveis!$S$4)+((Imóveis!$N$4-((Imóveis!$S$4-(IF(AND(Dados!$A31&gt;=Imóveis!$Q$4,Dados!$A31&lt;=Imóveis!$T$4),Imóveis!$S$4-(DATEDIF(Imóveis!$Q$4,Dados!$A31,"m")),)))*(Imóveis!$N$4/Imóveis!$S$4)))*Imóveis!$P$4))))*IF(AND(Imóveis!$E$4&gt;0,Dados!$A31&gt;Imóveis!$E$4),0,1)</f>
        <v>4643.949359272583</v>
      </c>
      <c r="L31" s="18">
        <f>IF(Imóveis!$F$5="PRICE",IF(AND(Dados!$A31&gt;=Imóveis!$Q$5,Dados!$A31&lt;=Imóveis!$T$5),Imóveis!$U$5,0),IF((IF(AND(Dados!$A31&gt;=Imóveis!$Q$5,Dados!$A31&lt;=Imóveis!$T$5),Imóveis!$S$5-(DATEDIF(Imóveis!$Q$5,Dados!$A31,"m")),0))=0,0,((Imóveis!$N$5/Imóveis!$S$5)+((Imóveis!$N$5-((Imóveis!$S$5-(IF(AND(Dados!$A31 &gt;=Imóveis!$Q$5,Dados!$A31&lt;=Imóveis!$T$5),Imóveis!$S$5-(DATEDIF(Imóveis!$Q$5,Dados!$A31,"m")),)))*(Imóveis!$N$5/Imóveis!$S$5)))*Imóveis!$P$5))))*IF(AND(Imóveis!$E$5&gt;0,Dados!$A31&gt;Imóveis!$E$5),0,1)*Imóveis!$I$5</f>
        <v>0</v>
      </c>
      <c r="M31" s="18">
        <f>IF(Imóveis!$F$6="PRICE",IF(AND(Dados!$A31&gt;=Imóveis!$Q$6,Dados!$A31&lt;=Imóveis!$T$6),Imóveis!$U$6,0),IF((IF(AND(Dados!$A31&gt;=Imóveis!$Q$6,Dados!$A31&lt;=Imóveis!$T$6),Imóveis!$S$6-(DATEDIF(Imóveis!$Q$6,Dados!$A31,"m")),0))=0,0,((Imóveis!$N$6/Imóveis!$S$6)+((Imóveis!$N$6-((Imóveis!$S$6-(IF(AND(Dados!$A31&gt;=Imóveis!$Q$6,Dados!$A31&lt;=Imóveis!$T$6),Imóveis!$S$6-(DATEDIF(Imóveis!$Q$6,Dados!$A31,"m")),)))*(Imóveis!$N$6/Imóveis!$S$6)))*Imóveis!$P$6))))*IF(AND(Imóveis!$E$6&gt;0,Dados!$A31&gt;Imóveis!$E$6),0,1)*Imóveis!$I$6</f>
        <v>0</v>
      </c>
      <c r="N31" s="18">
        <f t="shared" ca="1" si="3"/>
        <v>94863.665687877001</v>
      </c>
      <c r="O31" s="18">
        <f>SUMIFS(Receitas!$F:$F,Receitas!$J:$J,"&lt;="&amp;$A31,Receitas!$L:$L,"&gt;="&amp;$A31,Receitas!$C:$C,O$1,Receitas!$M:$M,"Mensal")+SUMIFS(Receitas!$F:$F,Receitas!$J:$J,"&lt;="&amp;$A31,Receitas!$L:$L,"&gt;="&amp;$A31,Receitas!$C:$C,O$1,Receitas!$M:$M,$B31)</f>
        <v>50000</v>
      </c>
      <c r="P31" s="18">
        <f>SUMIFS(Receitas!$F:$F,Receitas!$J:$J,"&lt;="&amp;$A31,Receitas!$L:$L,"&gt;="&amp;$A31,Receitas!$C:$C,P$1,Receitas!$M:$M,"Mensal")+SUMIFS(Receitas!$F:$F,Receitas!$J:$J,"&lt;="&amp;$A31,Receitas!$L:$L,"&gt;="&amp;$A31,Receitas!$C:$C,P$1,Receitas!$M:$M,$B31)</f>
        <v>20000</v>
      </c>
      <c r="Q31" s="18">
        <f ca="1">SUMIFS(Receitas!$F:$F,Receitas!$J:$J,"&lt;="&amp;$A31,Receitas!$L:$L,"&gt;="&amp;$A31,Receitas!$C:$C,Q$1,Receitas!$M:$M,"Mensal")+SUMIFS(Receitas!$F:$F,Receitas!$J:$J,"&lt;="&amp;$A31,Receitas!$L:$L,"&gt;="&amp;$A31,Receitas!$C:$C,Q$1,Receitas!$M:$M,$B31)</f>
        <v>15101.400000000001</v>
      </c>
      <c r="R31" s="18" cm="1">
        <f t="array" ref="R31">(IF(AND(Membros!$F$2="Sim",A31&lt;=MAX(Membros!$E$2:$E$5)),Membros!K$2,IF(AND(A31&gt;=Membros!J$2,A31&lt;=MAX(Membros!$E$2:$E$5)),Membros!K$2,0))+IF(AND(Membros!$F$3="Sim",A31&lt;=MAX(Membros!$E$2:$E$5)),Membros!K$3,IF(AND(A31&gt;=Membros!J$3,A31&lt;=MAX(Membros!$E$2:$E$5)),Membros!K$3,0)))*IF(AND(COUNTIFS(Tabela3[Tipo],"Provedor",Tabela3[Simulação Seguro],"Sim")=2,A31&gt;=MAX(IF(Tabela3[Tipo]="Dependente",Tabela3[Expectativa de Vida (Data)]))),0,1)</f>
        <v>0</v>
      </c>
      <c r="S31" s="18">
        <f t="shared" ca="1" si="4"/>
        <v>85101.4</v>
      </c>
      <c r="U31" s="18">
        <f t="shared" ca="1" si="7"/>
        <v>4832599.8904013578</v>
      </c>
      <c r="V31" s="18">
        <f>SUMIF(Imóveis!E:E,Dados!A:A,Imóveis!Z:Z)-SUMIF(Imóveis!E:E,Dados!A:A,Imóveis!Y:Y)</f>
        <v>0</v>
      </c>
      <c r="W31" s="18">
        <f>-SUMIF(Projetos!N:N,A31,Projetos!F:F)</f>
        <v>0</v>
      </c>
      <c r="X31" s="18">
        <f t="shared" ca="1" si="0"/>
        <v>-9762.2656878770067</v>
      </c>
      <c r="Y31" s="26">
        <f ca="1">(U31*((Indicadores_Economicos!D$2+1)^(1/12)-1))</f>
        <v>15820.674512657039</v>
      </c>
      <c r="Z31" s="18">
        <f t="shared" ca="1" si="5"/>
        <v>4838658.2992261378</v>
      </c>
      <c r="AA31" s="18">
        <f ca="1">Auxiliar_Projetos!E31</f>
        <v>360568.59842278465</v>
      </c>
      <c r="AB31" s="18">
        <f ca="1">Auxiliar_Projetos!K31</f>
        <v>316763.71203345637</v>
      </c>
      <c r="AC31" s="18">
        <f ca="1">IF(Z31-AA31-AB31&gt;Investimentos!$C$14,Investimentos!$C$14,IF(Z31-AA31-AB31&lt;Investimentos!$C$14,Z31-AA31-AB31,0))</f>
        <v>300000</v>
      </c>
      <c r="AD31" s="18">
        <f t="shared" ca="1" si="6"/>
        <v>3861325.9887698973</v>
      </c>
      <c r="AE31" s="18"/>
    </row>
    <row r="32" spans="1:31" x14ac:dyDescent="0.2">
      <c r="A32" s="4">
        <v>46569</v>
      </c>
      <c r="B32" s="5" t="str">
        <f t="shared" si="1"/>
        <v>julho</v>
      </c>
      <c r="C32" s="5" t="str">
        <f t="shared" si="8"/>
        <v>2027</v>
      </c>
      <c r="D32" s="5">
        <f>SUMIFS(Despesas!$F:$F,Despesas!$J:$J,"&lt;="&amp;$A32,Despesas!$L:$L,"&gt;="&amp;$A32,Despesas!$C:$C,D$1,Despesas!$M:$M,"Mensal")+SUMIFS(Despesas!$F:$F,Despesas!$J:$J,"&lt;="&amp;$A32,Despesas!$L:$L,"&gt;="&amp;$A32,Despesas!$C:$C,D$1,Despesas!$M:$M,$B32)</f>
        <v>23000</v>
      </c>
      <c r="E32" s="18">
        <f>SUMIFS(Despesas!$F:$F,Despesas!$J:$J,"&lt;="&amp;$A32,Despesas!$L:$L,"&gt;="&amp;$A32,Despesas!$C:$C,E$1,Despesas!$M:$M,"Mensal")+SUMIFS(Despesas!$F:$F,Despesas!$J:$J,"&lt;="&amp;$A32,Despesas!$L:$L,"&gt;="&amp;$A32,Despesas!$C:$C,E$1,Despesas!$M:$M,$B32)</f>
        <v>17000</v>
      </c>
      <c r="F32" s="5">
        <f>SUMIFS(Despesas!$F:$F,Despesas!$J:$J,"&lt;="&amp;$A32,Despesas!$L:$L,"&gt;="&amp;$A32,Despesas!$C:$C,F$1,Despesas!$M:$M,"Mensal")+SUMIFS(Despesas!$F:$F,Despesas!$J:$J,"&lt;="&amp;$A32,Despesas!$L:$L,"&gt;="&amp;$A32,Despesas!$C:$C,F$1,Despesas!$M:$M,$B32)</f>
        <v>13000</v>
      </c>
      <c r="G32" s="5">
        <f ca="1">SUMIFS(Despesas!$F:$F,Despesas!$J:$J,"&lt;="&amp;$A32,Despesas!$L:$L,"&gt;="&amp;$A32,Despesas!$C:$C,G$1,Despesas!$M:$M,"Mensal")+SUMIFS(Despesas!$F:$F,Despesas!$J:$J,"&lt;="&amp;$A32,Despesas!$L:$L,"&gt;="&amp;$A32,Despesas!$C:$C,G$1,Despesas!$M:$M,$B32)</f>
        <v>55757</v>
      </c>
      <c r="H32" s="18">
        <f ca="1">SUMIFS(Despesas!$F:$F,Despesas!$J:$J,"&lt;="&amp;$A32,Despesas!$L:$L,"&gt;="&amp;$A32,Despesas!$C:$C,H$1,Despesas!$M:$M,"Mensal")+SUMIFS(Despesas!$F:$F,Despesas!$J:$J,"&lt;="&amp;$A32,Despesas!$L:$L,"&gt;="&amp;$A32,Despesas!$C:$C,H$1,Despesas!$M:$M,$B32)</f>
        <v>10762.055</v>
      </c>
      <c r="I32" s="18">
        <f>IF(Imóveis!$F$2="PRICE",IF(AND(Dados!$A32&gt;=Imóveis!$Q$2,Dados!$A32&lt;=Imóveis!$T$2),Imóveis!$U$2,0),IF((IF(AND(Dados!$A32&gt;=Imóveis!$Q$2,Dados!$A32&lt;=Imóveis!$T$2),Imóveis!$S$2-(DATEDIF(Imóveis!$Q$2,Dados!$A32,"m")),0))=0,0,((Imóveis!$N$2/Imóveis!$S$2)+((Imóveis!$N$2-((Imóveis!$S$2-(IF(AND(Dados!$A32&gt;=Imóveis!$Q$2,Dados!$A32&lt;=Imóveis!$T$2),Imóveis!$S$2-(DATEDIF(Imóveis!$Q$2,Dados!$A32,"m")),)))*(Imóveis!$N$2/Imóveis!$S$2)))*Imóveis!$P$2))))*IF(AND(Imóveis!$E$2&gt;0,Dados!$A32&gt;Imóveis!$E$2),0,1)</f>
        <v>17080.941611498834</v>
      </c>
      <c r="J32" s="18">
        <f ca="1">IF(Imóveis!$F$3="PRICE",IF(AND(Dados!$A32&gt;=Imóveis!$Q$3,Dados!$A32&lt;=Imóveis!$T$3),Imóveis!$U$3,0),IF((IF(AND(Dados!$A32&gt;=Imóveis!$Q$3,Dados!$A32&lt;=Imóveis!$T$3),Imóveis!$S$3-(DATEDIF(Imóveis!$Q$3,Dados!$A32,"m")),0))=0,0,((Imóveis!$N$3/Imóveis!$S$3)+((Imóveis!$N$3-((Imóveis!$S$3-(IF(AND(Dados!$A32&gt;=Imóveis!$Q$3,Dados!$A32&lt;=Imóveis!$T$3),Imóveis!$S$3-(DATEDIF(Imóveis!$Q$3,Dados!$A32,"m")),)))*(Imóveis!$N$3/Imóveis!$S$3)))*Imóveis!$P$3))))*IF(AND(Imóveis!$E$3&gt;0,Dados!$A32&gt;Imóveis!$E$3),0,1)</f>
        <v>9314.6986248807771</v>
      </c>
      <c r="K32" s="18">
        <f>IF(Imóveis!$F$4="PRICE",IF(AND(Dados!$A32&gt;=Imóveis!$Q$4,Dados!$A32&lt;=Imóveis!$T$4),Imóveis!$U$4,0),IF((IF(AND(Dados!$A32&gt;=Imóveis!$Q$4,Dados!$A32&lt;=Imóveis!$T$4),Imóveis!$S$4-(DATEDIF(Imóveis!$Q$4,Dados!$A32,"m")),0))=0,0,((Imóveis!$N$4/Imóveis!$S$4)+((Imóveis!$N$4-((Imóveis!$S$4-(IF(AND(Dados!$A32&gt;=Imóveis!$Q$4,Dados!$A32&lt;=Imóveis!$T$4),Imóveis!$S$4-(DATEDIF(Imóveis!$Q$4,Dados!$A32,"m")),)))*(Imóveis!$N$4/Imóveis!$S$4)))*Imóveis!$P$4))))*IF(AND(Imóveis!$E$4&gt;0,Dados!$A32&gt;Imóveis!$E$4),0,1)</f>
        <v>4643.949359272583</v>
      </c>
      <c r="L32" s="18">
        <f>IF(Imóveis!$F$5="PRICE",IF(AND(Dados!$A32&gt;=Imóveis!$Q$5,Dados!$A32&lt;=Imóveis!$T$5),Imóveis!$U$5,0),IF((IF(AND(Dados!$A32&gt;=Imóveis!$Q$5,Dados!$A32&lt;=Imóveis!$T$5),Imóveis!$S$5-(DATEDIF(Imóveis!$Q$5,Dados!$A32,"m")),0))=0,0,((Imóveis!$N$5/Imóveis!$S$5)+((Imóveis!$N$5-((Imóveis!$S$5-(IF(AND(Dados!$A32 &gt;=Imóveis!$Q$5,Dados!$A32&lt;=Imóveis!$T$5),Imóveis!$S$5-(DATEDIF(Imóveis!$Q$5,Dados!$A32,"m")),)))*(Imóveis!$N$5/Imóveis!$S$5)))*Imóveis!$P$5))))*IF(AND(Imóveis!$E$5&gt;0,Dados!$A32&gt;Imóveis!$E$5),0,1)*Imóveis!$I$5</f>
        <v>0</v>
      </c>
      <c r="M32" s="18">
        <f>IF(Imóveis!$F$6="PRICE",IF(AND(Dados!$A32&gt;=Imóveis!$Q$6,Dados!$A32&lt;=Imóveis!$T$6),Imóveis!$U$6,0),IF((IF(AND(Dados!$A32&gt;=Imóveis!$Q$6,Dados!$A32&lt;=Imóveis!$T$6),Imóveis!$S$6-(DATEDIF(Imóveis!$Q$6,Dados!$A32,"m")),0))=0,0,((Imóveis!$N$6/Imóveis!$S$6)+((Imóveis!$N$6-((Imóveis!$S$6-(IF(AND(Dados!$A32&gt;=Imóveis!$Q$6,Dados!$A32&lt;=Imóveis!$T$6),Imóveis!$S$6-(DATEDIF(Imóveis!$Q$6,Dados!$A32,"m")),)))*(Imóveis!$N$6/Imóveis!$S$6)))*Imóveis!$P$6))))*IF(AND(Imóveis!$E$6&gt;0,Dados!$A32&gt;Imóveis!$E$6),0,1)*Imóveis!$I$6</f>
        <v>0</v>
      </c>
      <c r="N32" s="18">
        <f t="shared" ca="1" si="3"/>
        <v>150558.64459565218</v>
      </c>
      <c r="O32" s="18">
        <f>SUMIFS(Receitas!$F:$F,Receitas!$J:$J,"&lt;="&amp;$A32,Receitas!$L:$L,"&gt;="&amp;$A32,Receitas!$C:$C,O$1,Receitas!$M:$M,"Mensal")+SUMIFS(Receitas!$F:$F,Receitas!$J:$J,"&lt;="&amp;$A32,Receitas!$L:$L,"&gt;="&amp;$A32,Receitas!$C:$C,O$1,Receitas!$M:$M,$B32)</f>
        <v>50000</v>
      </c>
      <c r="P32" s="18">
        <f>SUMIFS(Receitas!$F:$F,Receitas!$J:$J,"&lt;="&amp;$A32,Receitas!$L:$L,"&gt;="&amp;$A32,Receitas!$C:$C,P$1,Receitas!$M:$M,"Mensal")+SUMIFS(Receitas!$F:$F,Receitas!$J:$J,"&lt;="&amp;$A32,Receitas!$L:$L,"&gt;="&amp;$A32,Receitas!$C:$C,P$1,Receitas!$M:$M,$B32)</f>
        <v>20000</v>
      </c>
      <c r="Q32" s="18">
        <f ca="1">SUMIFS(Receitas!$F:$F,Receitas!$J:$J,"&lt;="&amp;$A32,Receitas!$L:$L,"&gt;="&amp;$A32,Receitas!$C:$C,Q$1,Receitas!$M:$M,"Mensal")+SUMIFS(Receitas!$F:$F,Receitas!$J:$J,"&lt;="&amp;$A32,Receitas!$L:$L,"&gt;="&amp;$A32,Receitas!$C:$C,Q$1,Receitas!$M:$M,$B32)</f>
        <v>15101.400000000001</v>
      </c>
      <c r="R32" s="18" cm="1">
        <f t="array" ref="R32">(IF(AND(Membros!$F$2="Sim",A32&lt;=MAX(Membros!$E$2:$E$5)),Membros!K$2,IF(AND(A32&gt;=Membros!J$2,A32&lt;=MAX(Membros!$E$2:$E$5)),Membros!K$2,0))+IF(AND(Membros!$F$3="Sim",A32&lt;=MAX(Membros!$E$2:$E$5)),Membros!K$3,IF(AND(A32&gt;=Membros!J$3,A32&lt;=MAX(Membros!$E$2:$E$5)),Membros!K$3,0)))*IF(AND(COUNTIFS(Tabela3[Tipo],"Provedor",Tabela3[Simulação Seguro],"Sim")=2,A32&gt;=MAX(IF(Tabela3[Tipo]="Dependente",Tabela3[Expectativa de Vida (Data)]))),0,1)</f>
        <v>0</v>
      </c>
      <c r="S32" s="18">
        <f t="shared" ca="1" si="4"/>
        <v>85101.4</v>
      </c>
      <c r="U32" s="18">
        <f t="shared" ca="1" si="7"/>
        <v>4838658.2992261378</v>
      </c>
      <c r="V32" s="18">
        <f>SUMIF(Imóveis!E:E,Dados!A:A,Imóveis!Z:Z)-SUMIF(Imóveis!E:E,Dados!A:A,Imóveis!Y:Y)</f>
        <v>0</v>
      </c>
      <c r="W32" s="18">
        <f>-SUMIF(Projetos!N:N,A32,Projetos!F:F)</f>
        <v>0</v>
      </c>
      <c r="X32" s="18">
        <f t="shared" ca="1" si="0"/>
        <v>-65457.244595652184</v>
      </c>
      <c r="Y32" s="26">
        <f ca="1">(U32*((Indicadores_Economicos!D$2+1)^(1/12)-1))</f>
        <v>15840.508166643547</v>
      </c>
      <c r="Z32" s="18">
        <f t="shared" ca="1" si="5"/>
        <v>4789041.5627971292</v>
      </c>
      <c r="AA32" s="18">
        <f ca="1">Auxiliar_Projetos!E32</f>
        <v>361749.00618765305</v>
      </c>
      <c r="AB32" s="18">
        <f ca="1">Auxiliar_Projetos!K32</f>
        <v>317800.71399909729</v>
      </c>
      <c r="AC32" s="18">
        <f ca="1">IF(Z32-AA32-AB32&gt;Investimentos!$C$14,Investimentos!$C$14,IF(Z32-AA32-AB32&lt;Investimentos!$C$14,Z32-AA32-AB32,0))</f>
        <v>300000</v>
      </c>
      <c r="AD32" s="18">
        <f t="shared" ca="1" si="6"/>
        <v>3809491.8426103787</v>
      </c>
      <c r="AE32" s="18"/>
    </row>
    <row r="33" spans="1:31" x14ac:dyDescent="0.2">
      <c r="A33" s="4">
        <v>46600</v>
      </c>
      <c r="B33" s="5" t="str">
        <f t="shared" si="1"/>
        <v>agosto</v>
      </c>
      <c r="C33" s="5" t="str">
        <f t="shared" si="8"/>
        <v>2027</v>
      </c>
      <c r="D33" s="5">
        <f>SUMIFS(Despesas!$F:$F,Despesas!$J:$J,"&lt;="&amp;$A33,Despesas!$L:$L,"&gt;="&amp;$A33,Despesas!$C:$C,D$1,Despesas!$M:$M,"Mensal")+SUMIFS(Despesas!$F:$F,Despesas!$J:$J,"&lt;="&amp;$A33,Despesas!$L:$L,"&gt;="&amp;$A33,Despesas!$C:$C,D$1,Despesas!$M:$M,$B33)</f>
        <v>23000</v>
      </c>
      <c r="E33" s="18">
        <f>SUMIFS(Despesas!$F:$F,Despesas!$J:$J,"&lt;="&amp;$A33,Despesas!$L:$L,"&gt;="&amp;$A33,Despesas!$C:$C,E$1,Despesas!$M:$M,"Mensal")+SUMIFS(Despesas!$F:$F,Despesas!$J:$J,"&lt;="&amp;$A33,Despesas!$L:$L,"&gt;="&amp;$A33,Despesas!$C:$C,E$1,Despesas!$M:$M,$B33)</f>
        <v>17000</v>
      </c>
      <c r="F33" s="5">
        <f>SUMIFS(Despesas!$F:$F,Despesas!$J:$J,"&lt;="&amp;$A33,Despesas!$L:$L,"&gt;="&amp;$A33,Despesas!$C:$C,F$1,Despesas!$M:$M,"Mensal")+SUMIFS(Despesas!$F:$F,Despesas!$J:$J,"&lt;="&amp;$A33,Despesas!$L:$L,"&gt;="&amp;$A33,Despesas!$C:$C,F$1,Despesas!$M:$M,$B33)</f>
        <v>13000</v>
      </c>
      <c r="G33" s="5">
        <f>SUMIFS(Despesas!$F:$F,Despesas!$J:$J,"&lt;="&amp;$A33,Despesas!$L:$L,"&gt;="&amp;$A33,Despesas!$C:$C,G$1,Despesas!$M:$M,"Mensal")+SUMIFS(Despesas!$F:$F,Despesas!$J:$J,"&lt;="&amp;$A33,Despesas!$L:$L,"&gt;="&amp;$A33,Despesas!$C:$C,G$1,Despesas!$M:$M,$B33)</f>
        <v>0</v>
      </c>
      <c r="H33" s="18">
        <f ca="1">SUMIFS(Despesas!$F:$F,Despesas!$J:$J,"&lt;="&amp;$A33,Despesas!$L:$L,"&gt;="&amp;$A33,Despesas!$C:$C,H$1,Despesas!$M:$M,"Mensal")+SUMIFS(Despesas!$F:$F,Despesas!$J:$J,"&lt;="&amp;$A33,Despesas!$L:$L,"&gt;="&amp;$A33,Despesas!$C:$C,H$1,Despesas!$M:$M,$B33)</f>
        <v>10762.055</v>
      </c>
      <c r="I33" s="18">
        <f>IF(Imóveis!$F$2="PRICE",IF(AND(Dados!$A33&gt;=Imóveis!$Q$2,Dados!$A33&lt;=Imóveis!$T$2),Imóveis!$U$2,0),IF((IF(AND(Dados!$A33&gt;=Imóveis!$Q$2,Dados!$A33&lt;=Imóveis!$T$2),Imóveis!$S$2-(DATEDIF(Imóveis!$Q$2,Dados!$A33,"m")),0))=0,0,((Imóveis!$N$2/Imóveis!$S$2)+((Imóveis!$N$2-((Imóveis!$S$2-(IF(AND(Dados!$A33&gt;=Imóveis!$Q$2,Dados!$A33&lt;=Imóveis!$T$2),Imóveis!$S$2-(DATEDIF(Imóveis!$Q$2,Dados!$A33,"m")),)))*(Imóveis!$N$2/Imóveis!$S$2)))*Imóveis!$P$2))))*IF(AND(Imóveis!$E$2&gt;0,Dados!$A33&gt;Imóveis!$E$2),0,1)</f>
        <v>17018.92051927403</v>
      </c>
      <c r="J33" s="18">
        <f ca="1">IF(Imóveis!$F$3="PRICE",IF(AND(Dados!$A33&gt;=Imóveis!$Q$3,Dados!$A33&lt;=Imóveis!$T$3),Imóveis!$U$3,0),IF((IF(AND(Dados!$A33&gt;=Imóveis!$Q$3,Dados!$A33&lt;=Imóveis!$T$3),Imóveis!$S$3-(DATEDIF(Imóveis!$Q$3,Dados!$A33,"m")),0))=0,0,((Imóveis!$N$3/Imóveis!$S$3)+((Imóveis!$N$3-((Imóveis!$S$3-(IF(AND(Dados!$A33&gt;=Imóveis!$Q$3,Dados!$A33&lt;=Imóveis!$T$3),Imóveis!$S$3-(DATEDIF(Imóveis!$Q$3,Dados!$A33,"m")),)))*(Imóveis!$N$3/Imóveis!$S$3)))*Imóveis!$P$3))))*IF(AND(Imóveis!$E$3&gt;0,Dados!$A33&gt;Imóveis!$E$3),0,1)</f>
        <v>9314.6986248807771</v>
      </c>
      <c r="K33" s="18">
        <f>IF(Imóveis!$F$4="PRICE",IF(AND(Dados!$A33&gt;=Imóveis!$Q$4,Dados!$A33&lt;=Imóveis!$T$4),Imóveis!$U$4,0),IF((IF(AND(Dados!$A33&gt;=Imóveis!$Q$4,Dados!$A33&lt;=Imóveis!$T$4),Imóveis!$S$4-(DATEDIF(Imóveis!$Q$4,Dados!$A33,"m")),0))=0,0,((Imóveis!$N$4/Imóveis!$S$4)+((Imóveis!$N$4-((Imóveis!$S$4-(IF(AND(Dados!$A33&gt;=Imóveis!$Q$4,Dados!$A33&lt;=Imóveis!$T$4),Imóveis!$S$4-(DATEDIF(Imóveis!$Q$4,Dados!$A33,"m")),)))*(Imóveis!$N$4/Imóveis!$S$4)))*Imóveis!$P$4))))*IF(AND(Imóveis!$E$4&gt;0,Dados!$A33&gt;Imóveis!$E$4),0,1)</f>
        <v>4643.949359272583</v>
      </c>
      <c r="L33" s="18">
        <f>IF(Imóveis!$F$5="PRICE",IF(AND(Dados!$A33&gt;=Imóveis!$Q$5,Dados!$A33&lt;=Imóveis!$T$5),Imóveis!$U$5,0),IF((IF(AND(Dados!$A33&gt;=Imóveis!$Q$5,Dados!$A33&lt;=Imóveis!$T$5),Imóveis!$S$5-(DATEDIF(Imóveis!$Q$5,Dados!$A33,"m")),0))=0,0,((Imóveis!$N$5/Imóveis!$S$5)+((Imóveis!$N$5-((Imóveis!$S$5-(IF(AND(Dados!$A33 &gt;=Imóveis!$Q$5,Dados!$A33&lt;=Imóveis!$T$5),Imóveis!$S$5-(DATEDIF(Imóveis!$Q$5,Dados!$A33,"m")),)))*(Imóveis!$N$5/Imóveis!$S$5)))*Imóveis!$P$5))))*IF(AND(Imóveis!$E$5&gt;0,Dados!$A33&gt;Imóveis!$E$5),0,1)*Imóveis!$I$5</f>
        <v>0</v>
      </c>
      <c r="M33" s="18">
        <f>IF(Imóveis!$F$6="PRICE",IF(AND(Dados!$A33&gt;=Imóveis!$Q$6,Dados!$A33&lt;=Imóveis!$T$6),Imóveis!$U$6,0),IF((IF(AND(Dados!$A33&gt;=Imóveis!$Q$6,Dados!$A33&lt;=Imóveis!$T$6),Imóveis!$S$6-(DATEDIF(Imóveis!$Q$6,Dados!$A33,"m")),0))=0,0,((Imóveis!$N$6/Imóveis!$S$6)+((Imóveis!$N$6-((Imóveis!$S$6-(IF(AND(Dados!$A33&gt;=Imóveis!$Q$6,Dados!$A33&lt;=Imóveis!$T$6),Imóveis!$S$6-(DATEDIF(Imóveis!$Q$6,Dados!$A33,"m")),)))*(Imóveis!$N$6/Imóveis!$S$6)))*Imóveis!$P$6))))*IF(AND(Imóveis!$E$6&gt;0,Dados!$A33&gt;Imóveis!$E$6),0,1)*Imóveis!$I$6</f>
        <v>0</v>
      </c>
      <c r="N33" s="18">
        <f t="shared" ca="1" si="3"/>
        <v>94739.623503427385</v>
      </c>
      <c r="O33" s="18">
        <f>SUMIFS(Receitas!$F:$F,Receitas!$J:$J,"&lt;="&amp;$A33,Receitas!$L:$L,"&gt;="&amp;$A33,Receitas!$C:$C,O$1,Receitas!$M:$M,"Mensal")+SUMIFS(Receitas!$F:$F,Receitas!$J:$J,"&lt;="&amp;$A33,Receitas!$L:$L,"&gt;="&amp;$A33,Receitas!$C:$C,O$1,Receitas!$M:$M,$B33)</f>
        <v>50000</v>
      </c>
      <c r="P33" s="18">
        <f>SUMIFS(Receitas!$F:$F,Receitas!$J:$J,"&lt;="&amp;$A33,Receitas!$L:$L,"&gt;="&amp;$A33,Receitas!$C:$C,P$1,Receitas!$M:$M,"Mensal")+SUMIFS(Receitas!$F:$F,Receitas!$J:$J,"&lt;="&amp;$A33,Receitas!$L:$L,"&gt;="&amp;$A33,Receitas!$C:$C,P$1,Receitas!$M:$M,$B33)</f>
        <v>20000</v>
      </c>
      <c r="Q33" s="18">
        <f ca="1">SUMIFS(Receitas!$F:$F,Receitas!$J:$J,"&lt;="&amp;$A33,Receitas!$L:$L,"&gt;="&amp;$A33,Receitas!$C:$C,Q$1,Receitas!$M:$M,"Mensal")+SUMIFS(Receitas!$F:$F,Receitas!$J:$J,"&lt;="&amp;$A33,Receitas!$L:$L,"&gt;="&amp;$A33,Receitas!$C:$C,Q$1,Receitas!$M:$M,$B33)</f>
        <v>15101.400000000001</v>
      </c>
      <c r="R33" s="18" cm="1">
        <f t="array" ref="R33">(IF(AND(Membros!$F$2="Sim",A33&lt;=MAX(Membros!$E$2:$E$5)),Membros!K$2,IF(AND(A33&gt;=Membros!J$2,A33&lt;=MAX(Membros!$E$2:$E$5)),Membros!K$2,0))+IF(AND(Membros!$F$3="Sim",A33&lt;=MAX(Membros!$E$2:$E$5)),Membros!K$3,IF(AND(A33&gt;=Membros!J$3,A33&lt;=MAX(Membros!$E$2:$E$5)),Membros!K$3,0)))*IF(AND(COUNTIFS(Tabela3[Tipo],"Provedor",Tabela3[Simulação Seguro],"Sim")=2,A33&gt;=MAX(IF(Tabela3[Tipo]="Dependente",Tabela3[Expectativa de Vida (Data)]))),0,1)</f>
        <v>0</v>
      </c>
      <c r="S33" s="18">
        <f t="shared" ca="1" si="4"/>
        <v>85101.4</v>
      </c>
      <c r="U33" s="18">
        <f t="shared" ca="1" si="7"/>
        <v>4789041.5627971292</v>
      </c>
      <c r="V33" s="18">
        <f>SUMIF(Imóveis!E:E,Dados!A:A,Imóveis!Z:Z)-SUMIF(Imóveis!E:E,Dados!A:A,Imóveis!Y:Y)</f>
        <v>0</v>
      </c>
      <c r="W33" s="18">
        <f>-SUMIF(Projetos!N:N,A33,Projetos!F:F)</f>
        <v>0</v>
      </c>
      <c r="X33" s="18">
        <f t="shared" ca="1" si="0"/>
        <v>-9638.2235034273908</v>
      </c>
      <c r="Y33" s="26">
        <f ca="1">(U33*((Indicadores_Economicos!D$2+1)^(1/12)-1))</f>
        <v>15678.075882733023</v>
      </c>
      <c r="Z33" s="18">
        <f t="shared" ca="1" si="5"/>
        <v>4795081.4151764344</v>
      </c>
      <c r="AA33" s="18">
        <f ca="1">Auxiliar_Projetos!E33</f>
        <v>362933.27830038051</v>
      </c>
      <c r="AB33" s="18">
        <f ca="1">Auxiliar_Projetos!K33</f>
        <v>318841.11083932733</v>
      </c>
      <c r="AC33" s="18">
        <f ca="1">IF(Z33-AA33-AB33&gt;Investimentos!$C$14,Investimentos!$C$14,IF(Z33-AA33-AB33&lt;Investimentos!$C$14,Z33-AA33-AB33,0))</f>
        <v>300000</v>
      </c>
      <c r="AD33" s="18">
        <f t="shared" ca="1" si="6"/>
        <v>3813307.0260367268</v>
      </c>
      <c r="AE33" s="18"/>
    </row>
    <row r="34" spans="1:31" x14ac:dyDescent="0.2">
      <c r="A34" s="4">
        <v>46631</v>
      </c>
      <c r="B34" s="5" t="str">
        <f t="shared" si="1"/>
        <v>setembro</v>
      </c>
      <c r="C34" s="5" t="str">
        <f t="shared" si="8"/>
        <v>2027</v>
      </c>
      <c r="D34" s="5">
        <f>SUMIFS(Despesas!$F:$F,Despesas!$J:$J,"&lt;="&amp;$A34,Despesas!$L:$L,"&gt;="&amp;$A34,Despesas!$C:$C,D$1,Despesas!$M:$M,"Mensal")+SUMIFS(Despesas!$F:$F,Despesas!$J:$J,"&lt;="&amp;$A34,Despesas!$L:$L,"&gt;="&amp;$A34,Despesas!$C:$C,D$1,Despesas!$M:$M,$B34)</f>
        <v>23000</v>
      </c>
      <c r="E34" s="18">
        <f>SUMIFS(Despesas!$F:$F,Despesas!$J:$J,"&lt;="&amp;$A34,Despesas!$L:$L,"&gt;="&amp;$A34,Despesas!$C:$C,E$1,Despesas!$M:$M,"Mensal")+SUMIFS(Despesas!$F:$F,Despesas!$J:$J,"&lt;="&amp;$A34,Despesas!$L:$L,"&gt;="&amp;$A34,Despesas!$C:$C,E$1,Despesas!$M:$M,$B34)</f>
        <v>17000</v>
      </c>
      <c r="F34" s="5">
        <f>SUMIFS(Despesas!$F:$F,Despesas!$J:$J,"&lt;="&amp;$A34,Despesas!$L:$L,"&gt;="&amp;$A34,Despesas!$C:$C,F$1,Despesas!$M:$M,"Mensal")+SUMIFS(Despesas!$F:$F,Despesas!$J:$J,"&lt;="&amp;$A34,Despesas!$L:$L,"&gt;="&amp;$A34,Despesas!$C:$C,F$1,Despesas!$M:$M,$B34)</f>
        <v>13000</v>
      </c>
      <c r="G34" s="5">
        <f>SUMIFS(Despesas!$F:$F,Despesas!$J:$J,"&lt;="&amp;$A34,Despesas!$L:$L,"&gt;="&amp;$A34,Despesas!$C:$C,G$1,Despesas!$M:$M,"Mensal")+SUMIFS(Despesas!$F:$F,Despesas!$J:$J,"&lt;="&amp;$A34,Despesas!$L:$L,"&gt;="&amp;$A34,Despesas!$C:$C,G$1,Despesas!$M:$M,$B34)</f>
        <v>0</v>
      </c>
      <c r="H34" s="18">
        <f ca="1">SUMIFS(Despesas!$F:$F,Despesas!$J:$J,"&lt;="&amp;$A34,Despesas!$L:$L,"&gt;="&amp;$A34,Despesas!$C:$C,H$1,Despesas!$M:$M,"Mensal")+SUMIFS(Despesas!$F:$F,Despesas!$J:$J,"&lt;="&amp;$A34,Despesas!$L:$L,"&gt;="&amp;$A34,Despesas!$C:$C,H$1,Despesas!$M:$M,$B34)</f>
        <v>10762.055</v>
      </c>
      <c r="I34" s="18">
        <f>IF(Imóveis!$F$2="PRICE",IF(AND(Dados!$A34&gt;=Imóveis!$Q$2,Dados!$A34&lt;=Imóveis!$T$2),Imóveis!$U$2,0),IF((IF(AND(Dados!$A34&gt;=Imóveis!$Q$2,Dados!$A34&lt;=Imóveis!$T$2),Imóveis!$S$2-(DATEDIF(Imóveis!$Q$2,Dados!$A34,"m")),0))=0,0,((Imóveis!$N$2/Imóveis!$S$2)+((Imóveis!$N$2-((Imóveis!$S$2-(IF(AND(Dados!$A34&gt;=Imóveis!$Q$2,Dados!$A34&lt;=Imóveis!$T$2),Imóveis!$S$2-(DATEDIF(Imóveis!$Q$2,Dados!$A34,"m")),)))*(Imóveis!$N$2/Imóveis!$S$2)))*Imóveis!$P$2))))*IF(AND(Imóveis!$E$2&gt;0,Dados!$A34&gt;Imóveis!$E$2),0,1)</f>
        <v>16956.899427049219</v>
      </c>
      <c r="J34" s="18">
        <f ca="1">IF(Imóveis!$F$3="PRICE",IF(AND(Dados!$A34&gt;=Imóveis!$Q$3,Dados!$A34&lt;=Imóveis!$T$3),Imóveis!$U$3,0),IF((IF(AND(Dados!$A34&gt;=Imóveis!$Q$3,Dados!$A34&lt;=Imóveis!$T$3),Imóveis!$S$3-(DATEDIF(Imóveis!$Q$3,Dados!$A34,"m")),0))=0,0,((Imóveis!$N$3/Imóveis!$S$3)+((Imóveis!$N$3-((Imóveis!$S$3-(IF(AND(Dados!$A34&gt;=Imóveis!$Q$3,Dados!$A34&lt;=Imóveis!$T$3),Imóveis!$S$3-(DATEDIF(Imóveis!$Q$3,Dados!$A34,"m")),)))*(Imóveis!$N$3/Imóveis!$S$3)))*Imóveis!$P$3))))*IF(AND(Imóveis!$E$3&gt;0,Dados!$A34&gt;Imóveis!$E$3),0,1)</f>
        <v>9314.6986248807771</v>
      </c>
      <c r="K34" s="18">
        <f>IF(Imóveis!$F$4="PRICE",IF(AND(Dados!$A34&gt;=Imóveis!$Q$4,Dados!$A34&lt;=Imóveis!$T$4),Imóveis!$U$4,0),IF((IF(AND(Dados!$A34&gt;=Imóveis!$Q$4,Dados!$A34&lt;=Imóveis!$T$4),Imóveis!$S$4-(DATEDIF(Imóveis!$Q$4,Dados!$A34,"m")),0))=0,0,((Imóveis!$N$4/Imóveis!$S$4)+((Imóveis!$N$4-((Imóveis!$S$4-(IF(AND(Dados!$A34&gt;=Imóveis!$Q$4,Dados!$A34&lt;=Imóveis!$T$4),Imóveis!$S$4-(DATEDIF(Imóveis!$Q$4,Dados!$A34,"m")),)))*(Imóveis!$N$4/Imóveis!$S$4)))*Imóveis!$P$4))))*IF(AND(Imóveis!$E$4&gt;0,Dados!$A34&gt;Imóveis!$E$4),0,1)</f>
        <v>4643.949359272583</v>
      </c>
      <c r="L34" s="18">
        <f>IF(Imóveis!$F$5="PRICE",IF(AND(Dados!$A34&gt;=Imóveis!$Q$5,Dados!$A34&lt;=Imóveis!$T$5),Imóveis!$U$5,0),IF((IF(AND(Dados!$A34&gt;=Imóveis!$Q$5,Dados!$A34&lt;=Imóveis!$T$5),Imóveis!$S$5-(DATEDIF(Imóveis!$Q$5,Dados!$A34,"m")),0))=0,0,((Imóveis!$N$5/Imóveis!$S$5)+((Imóveis!$N$5-((Imóveis!$S$5-(IF(AND(Dados!$A34 &gt;=Imóveis!$Q$5,Dados!$A34&lt;=Imóveis!$T$5),Imóveis!$S$5-(DATEDIF(Imóveis!$Q$5,Dados!$A34,"m")),)))*(Imóveis!$N$5/Imóveis!$S$5)))*Imóveis!$P$5))))*IF(AND(Imóveis!$E$5&gt;0,Dados!$A34&gt;Imóveis!$E$5),0,1)*Imóveis!$I$5</f>
        <v>0</v>
      </c>
      <c r="M34" s="18">
        <f>IF(Imóveis!$F$6="PRICE",IF(AND(Dados!$A34&gt;=Imóveis!$Q$6,Dados!$A34&lt;=Imóveis!$T$6),Imóveis!$U$6,0),IF((IF(AND(Dados!$A34&gt;=Imóveis!$Q$6,Dados!$A34&lt;=Imóveis!$T$6),Imóveis!$S$6-(DATEDIF(Imóveis!$Q$6,Dados!$A34,"m")),0))=0,0,((Imóveis!$N$6/Imóveis!$S$6)+((Imóveis!$N$6-((Imóveis!$S$6-(IF(AND(Dados!$A34&gt;=Imóveis!$Q$6,Dados!$A34&lt;=Imóveis!$T$6),Imóveis!$S$6-(DATEDIF(Imóveis!$Q$6,Dados!$A34,"m")),)))*(Imóveis!$N$6/Imóveis!$S$6)))*Imóveis!$P$6))))*IF(AND(Imóveis!$E$6&gt;0,Dados!$A34&gt;Imóveis!$E$6),0,1)*Imóveis!$I$6</f>
        <v>0</v>
      </c>
      <c r="N34" s="18">
        <f t="shared" ca="1" si="3"/>
        <v>94677.602411202577</v>
      </c>
      <c r="O34" s="18">
        <f>SUMIFS(Receitas!$F:$F,Receitas!$J:$J,"&lt;="&amp;$A34,Receitas!$L:$L,"&gt;="&amp;$A34,Receitas!$C:$C,O$1,Receitas!$M:$M,"Mensal")+SUMIFS(Receitas!$F:$F,Receitas!$J:$J,"&lt;="&amp;$A34,Receitas!$L:$L,"&gt;="&amp;$A34,Receitas!$C:$C,O$1,Receitas!$M:$M,$B34)</f>
        <v>50000</v>
      </c>
      <c r="P34" s="18">
        <f>SUMIFS(Receitas!$F:$F,Receitas!$J:$J,"&lt;="&amp;$A34,Receitas!$L:$L,"&gt;="&amp;$A34,Receitas!$C:$C,P$1,Receitas!$M:$M,"Mensal")+SUMIFS(Receitas!$F:$F,Receitas!$J:$J,"&lt;="&amp;$A34,Receitas!$L:$L,"&gt;="&amp;$A34,Receitas!$C:$C,P$1,Receitas!$M:$M,$B34)</f>
        <v>20000</v>
      </c>
      <c r="Q34" s="18">
        <f ca="1">SUMIFS(Receitas!$F:$F,Receitas!$J:$J,"&lt;="&amp;$A34,Receitas!$L:$L,"&gt;="&amp;$A34,Receitas!$C:$C,Q$1,Receitas!$M:$M,"Mensal")+SUMIFS(Receitas!$F:$F,Receitas!$J:$J,"&lt;="&amp;$A34,Receitas!$L:$L,"&gt;="&amp;$A34,Receitas!$C:$C,Q$1,Receitas!$M:$M,$B34)</f>
        <v>15101.400000000001</v>
      </c>
      <c r="R34" s="18" cm="1">
        <f t="array" ref="R34">(IF(AND(Membros!$F$2="Sim",A34&lt;=MAX(Membros!$E$2:$E$5)),Membros!K$2,IF(AND(A34&gt;=Membros!J$2,A34&lt;=MAX(Membros!$E$2:$E$5)),Membros!K$2,0))+IF(AND(Membros!$F$3="Sim",A34&lt;=MAX(Membros!$E$2:$E$5)),Membros!K$3,IF(AND(A34&gt;=Membros!J$3,A34&lt;=MAX(Membros!$E$2:$E$5)),Membros!K$3,0)))*IF(AND(COUNTIFS(Tabela3[Tipo],"Provedor",Tabela3[Simulação Seguro],"Sim")=2,A34&gt;=MAX(IF(Tabela3[Tipo]="Dependente",Tabela3[Expectativa de Vida (Data)]))),0,1)</f>
        <v>0</v>
      </c>
      <c r="S34" s="18">
        <f t="shared" ca="1" si="4"/>
        <v>85101.4</v>
      </c>
      <c r="U34" s="18">
        <f t="shared" ca="1" si="7"/>
        <v>4795081.4151764344</v>
      </c>
      <c r="V34" s="18">
        <f>SUMIF(Imóveis!E:E,Dados!A:A,Imóveis!Z:Z)-SUMIF(Imóveis!E:E,Dados!A:A,Imóveis!Y:Y)</f>
        <v>0</v>
      </c>
      <c r="W34" s="18">
        <f>-SUMIF(Projetos!N:N,A34,Projetos!F:F)</f>
        <v>0</v>
      </c>
      <c r="X34" s="18">
        <f t="shared" ca="1" si="0"/>
        <v>-9576.2024112025829</v>
      </c>
      <c r="Y34" s="26">
        <f ca="1">(U34*((Indicadores_Economicos!D$2+1)^(1/12)-1))</f>
        <v>15697.848787745763</v>
      </c>
      <c r="Z34" s="18">
        <f t="shared" ca="1" si="5"/>
        <v>4801203.0615529772</v>
      </c>
      <c r="AA34" s="18">
        <f ca="1">Auxiliar_Projetos!E34</f>
        <v>364121.42741183634</v>
      </c>
      <c r="AB34" s="18">
        <f ca="1">Auxiliar_Projetos!K34</f>
        <v>319884.9136680825</v>
      </c>
      <c r="AC34" s="18">
        <f ca="1">IF(Z34-AA34-AB34&gt;Investimentos!$C$14,Investimentos!$C$14,IF(Z34-AA34-AB34&lt;Investimentos!$C$14,Z34-AA34-AB34,0))</f>
        <v>300000</v>
      </c>
      <c r="AD34" s="18">
        <f t="shared" ca="1" si="6"/>
        <v>3817196.7204730581</v>
      </c>
      <c r="AE34" s="18"/>
    </row>
    <row r="35" spans="1:31" x14ac:dyDescent="0.2">
      <c r="A35" s="4">
        <v>46661</v>
      </c>
      <c r="B35" s="5" t="str">
        <f t="shared" si="1"/>
        <v>outubro</v>
      </c>
      <c r="C35" s="5" t="str">
        <f t="shared" si="8"/>
        <v>2027</v>
      </c>
      <c r="D35" s="5">
        <f>SUMIFS(Despesas!$F:$F,Despesas!$J:$J,"&lt;="&amp;$A35,Despesas!$L:$L,"&gt;="&amp;$A35,Despesas!$C:$C,D$1,Despesas!$M:$M,"Mensal")+SUMIFS(Despesas!$F:$F,Despesas!$J:$J,"&lt;="&amp;$A35,Despesas!$L:$L,"&gt;="&amp;$A35,Despesas!$C:$C,D$1,Despesas!$M:$M,$B35)</f>
        <v>23000</v>
      </c>
      <c r="E35" s="18">
        <f>SUMIFS(Despesas!$F:$F,Despesas!$J:$J,"&lt;="&amp;$A35,Despesas!$L:$L,"&gt;="&amp;$A35,Despesas!$C:$C,E$1,Despesas!$M:$M,"Mensal")+SUMIFS(Despesas!$F:$F,Despesas!$J:$J,"&lt;="&amp;$A35,Despesas!$L:$L,"&gt;="&amp;$A35,Despesas!$C:$C,E$1,Despesas!$M:$M,$B35)</f>
        <v>17000</v>
      </c>
      <c r="F35" s="5">
        <f>SUMIFS(Despesas!$F:$F,Despesas!$J:$J,"&lt;="&amp;$A35,Despesas!$L:$L,"&gt;="&amp;$A35,Despesas!$C:$C,F$1,Despesas!$M:$M,"Mensal")+SUMIFS(Despesas!$F:$F,Despesas!$J:$J,"&lt;="&amp;$A35,Despesas!$L:$L,"&gt;="&amp;$A35,Despesas!$C:$C,F$1,Despesas!$M:$M,$B35)</f>
        <v>13000</v>
      </c>
      <c r="G35" s="5">
        <f>SUMIFS(Despesas!$F:$F,Despesas!$J:$J,"&lt;="&amp;$A35,Despesas!$L:$L,"&gt;="&amp;$A35,Despesas!$C:$C,G$1,Despesas!$M:$M,"Mensal")+SUMIFS(Despesas!$F:$F,Despesas!$J:$J,"&lt;="&amp;$A35,Despesas!$L:$L,"&gt;="&amp;$A35,Despesas!$C:$C,G$1,Despesas!$M:$M,$B35)</f>
        <v>0</v>
      </c>
      <c r="H35" s="18">
        <f ca="1">SUMIFS(Despesas!$F:$F,Despesas!$J:$J,"&lt;="&amp;$A35,Despesas!$L:$L,"&gt;="&amp;$A35,Despesas!$C:$C,H$1,Despesas!$M:$M,"Mensal")+SUMIFS(Despesas!$F:$F,Despesas!$J:$J,"&lt;="&amp;$A35,Despesas!$L:$L,"&gt;="&amp;$A35,Despesas!$C:$C,H$1,Despesas!$M:$M,$B35)</f>
        <v>10762.055</v>
      </c>
      <c r="I35" s="18">
        <f>IF(Imóveis!$F$2="PRICE",IF(AND(Dados!$A35&gt;=Imóveis!$Q$2,Dados!$A35&lt;=Imóveis!$T$2),Imóveis!$U$2,0),IF((IF(AND(Dados!$A35&gt;=Imóveis!$Q$2,Dados!$A35&lt;=Imóveis!$T$2),Imóveis!$S$2-(DATEDIF(Imóveis!$Q$2,Dados!$A35,"m")),0))=0,0,((Imóveis!$N$2/Imóveis!$S$2)+((Imóveis!$N$2-((Imóveis!$S$2-(IF(AND(Dados!$A35&gt;=Imóveis!$Q$2,Dados!$A35&lt;=Imóveis!$T$2),Imóveis!$S$2-(DATEDIF(Imóveis!$Q$2,Dados!$A35,"m")),)))*(Imóveis!$N$2/Imóveis!$S$2)))*Imóveis!$P$2))))*IF(AND(Imóveis!$E$2&gt;0,Dados!$A35&gt;Imóveis!$E$2),0,1)</f>
        <v>16894.878334824414</v>
      </c>
      <c r="J35" s="18">
        <f ca="1">IF(Imóveis!$F$3="PRICE",IF(AND(Dados!$A35&gt;=Imóveis!$Q$3,Dados!$A35&lt;=Imóveis!$T$3),Imóveis!$U$3,0),IF((IF(AND(Dados!$A35&gt;=Imóveis!$Q$3,Dados!$A35&lt;=Imóveis!$T$3),Imóveis!$S$3-(DATEDIF(Imóveis!$Q$3,Dados!$A35,"m")),0))=0,0,((Imóveis!$N$3/Imóveis!$S$3)+((Imóveis!$N$3-((Imóveis!$S$3-(IF(AND(Dados!$A35&gt;=Imóveis!$Q$3,Dados!$A35&lt;=Imóveis!$T$3),Imóveis!$S$3-(DATEDIF(Imóveis!$Q$3,Dados!$A35,"m")),)))*(Imóveis!$N$3/Imóveis!$S$3)))*Imóveis!$P$3))))*IF(AND(Imóveis!$E$3&gt;0,Dados!$A35&gt;Imóveis!$E$3),0,1)</f>
        <v>9314.6986248807771</v>
      </c>
      <c r="K35" s="18">
        <f>IF(Imóveis!$F$4="PRICE",IF(AND(Dados!$A35&gt;=Imóveis!$Q$4,Dados!$A35&lt;=Imóveis!$T$4),Imóveis!$U$4,0),IF((IF(AND(Dados!$A35&gt;=Imóveis!$Q$4,Dados!$A35&lt;=Imóveis!$T$4),Imóveis!$S$4-(DATEDIF(Imóveis!$Q$4,Dados!$A35,"m")),0))=0,0,((Imóveis!$N$4/Imóveis!$S$4)+((Imóveis!$N$4-((Imóveis!$S$4-(IF(AND(Dados!$A35&gt;=Imóveis!$Q$4,Dados!$A35&lt;=Imóveis!$T$4),Imóveis!$S$4-(DATEDIF(Imóveis!$Q$4,Dados!$A35,"m")),)))*(Imóveis!$N$4/Imóveis!$S$4)))*Imóveis!$P$4))))*IF(AND(Imóveis!$E$4&gt;0,Dados!$A35&gt;Imóveis!$E$4),0,1)</f>
        <v>4643.949359272583</v>
      </c>
      <c r="L35" s="18">
        <f>IF(Imóveis!$F$5="PRICE",IF(AND(Dados!$A35&gt;=Imóveis!$Q$5,Dados!$A35&lt;=Imóveis!$T$5),Imóveis!$U$5,0),IF((IF(AND(Dados!$A35&gt;=Imóveis!$Q$5,Dados!$A35&lt;=Imóveis!$T$5),Imóveis!$S$5-(DATEDIF(Imóveis!$Q$5,Dados!$A35,"m")),0))=0,0,((Imóveis!$N$5/Imóveis!$S$5)+((Imóveis!$N$5-((Imóveis!$S$5-(IF(AND(Dados!$A35 &gt;=Imóveis!$Q$5,Dados!$A35&lt;=Imóveis!$T$5),Imóveis!$S$5-(DATEDIF(Imóveis!$Q$5,Dados!$A35,"m")),)))*(Imóveis!$N$5/Imóveis!$S$5)))*Imóveis!$P$5))))*IF(AND(Imóveis!$E$5&gt;0,Dados!$A35&gt;Imóveis!$E$5),0,1)*Imóveis!$I$5</f>
        <v>0</v>
      </c>
      <c r="M35" s="18">
        <f>IF(Imóveis!$F$6="PRICE",IF(AND(Dados!$A35&gt;=Imóveis!$Q$6,Dados!$A35&lt;=Imóveis!$T$6),Imóveis!$U$6,0),IF((IF(AND(Dados!$A35&gt;=Imóveis!$Q$6,Dados!$A35&lt;=Imóveis!$T$6),Imóveis!$S$6-(DATEDIF(Imóveis!$Q$6,Dados!$A35,"m")),0))=0,0,((Imóveis!$N$6/Imóveis!$S$6)+((Imóveis!$N$6-((Imóveis!$S$6-(IF(AND(Dados!$A35&gt;=Imóveis!$Q$6,Dados!$A35&lt;=Imóveis!$T$6),Imóveis!$S$6-(DATEDIF(Imóveis!$Q$6,Dados!$A35,"m")),)))*(Imóveis!$N$6/Imóveis!$S$6)))*Imóveis!$P$6))))*IF(AND(Imóveis!$E$6&gt;0,Dados!$A35&gt;Imóveis!$E$6),0,1)*Imóveis!$I$6</f>
        <v>0</v>
      </c>
      <c r="N35" s="18">
        <f t="shared" ca="1" si="3"/>
        <v>94615.581318977769</v>
      </c>
      <c r="O35" s="18">
        <f>SUMIFS(Receitas!$F:$F,Receitas!$J:$J,"&lt;="&amp;$A35,Receitas!$L:$L,"&gt;="&amp;$A35,Receitas!$C:$C,O$1,Receitas!$M:$M,"Mensal")+SUMIFS(Receitas!$F:$F,Receitas!$J:$J,"&lt;="&amp;$A35,Receitas!$L:$L,"&gt;="&amp;$A35,Receitas!$C:$C,O$1,Receitas!$M:$M,$B35)</f>
        <v>50000</v>
      </c>
      <c r="P35" s="18">
        <f>SUMIFS(Receitas!$F:$F,Receitas!$J:$J,"&lt;="&amp;$A35,Receitas!$L:$L,"&gt;="&amp;$A35,Receitas!$C:$C,P$1,Receitas!$M:$M,"Mensal")+SUMIFS(Receitas!$F:$F,Receitas!$J:$J,"&lt;="&amp;$A35,Receitas!$L:$L,"&gt;="&amp;$A35,Receitas!$C:$C,P$1,Receitas!$M:$M,$B35)</f>
        <v>20000</v>
      </c>
      <c r="Q35" s="18">
        <f ca="1">SUMIFS(Receitas!$F:$F,Receitas!$J:$J,"&lt;="&amp;$A35,Receitas!$L:$L,"&gt;="&amp;$A35,Receitas!$C:$C,Q$1,Receitas!$M:$M,"Mensal")+SUMIFS(Receitas!$F:$F,Receitas!$J:$J,"&lt;="&amp;$A35,Receitas!$L:$L,"&gt;="&amp;$A35,Receitas!$C:$C,Q$1,Receitas!$M:$M,$B35)</f>
        <v>15101.400000000001</v>
      </c>
      <c r="R35" s="18" cm="1">
        <f t="array" ref="R35">(IF(AND(Membros!$F$2="Sim",A35&lt;=MAX(Membros!$E$2:$E$5)),Membros!K$2,IF(AND(A35&gt;=Membros!J$2,A35&lt;=MAX(Membros!$E$2:$E$5)),Membros!K$2,0))+IF(AND(Membros!$F$3="Sim",A35&lt;=MAX(Membros!$E$2:$E$5)),Membros!K$3,IF(AND(A35&gt;=Membros!J$3,A35&lt;=MAX(Membros!$E$2:$E$5)),Membros!K$3,0)))*IF(AND(COUNTIFS(Tabela3[Tipo],"Provedor",Tabela3[Simulação Seguro],"Sim")=2,A35&gt;=MAX(IF(Tabela3[Tipo]="Dependente",Tabela3[Expectativa de Vida (Data)]))),0,1)</f>
        <v>0</v>
      </c>
      <c r="S35" s="18">
        <f t="shared" ca="1" si="4"/>
        <v>85101.4</v>
      </c>
      <c r="U35" s="18">
        <f t="shared" ca="1" si="7"/>
        <v>4801203.0615529772</v>
      </c>
      <c r="V35" s="18">
        <f>SUMIF(Imóveis!E:E,Dados!A:A,Imóveis!Z:Z)-SUMIF(Imóveis!E:E,Dados!A:A,Imóveis!Y:Y)</f>
        <v>0</v>
      </c>
      <c r="W35" s="18">
        <f>-SUMIF(Projetos!N:N,A35,Projetos!F:F)</f>
        <v>0</v>
      </c>
      <c r="X35" s="18">
        <f t="shared" ca="1" si="0"/>
        <v>-9514.1813189777749</v>
      </c>
      <c r="Y35" s="26">
        <f ca="1">(U35*((Indicadores_Economicos!D$2+1)^(1/12)-1))</f>
        <v>15717.889465021204</v>
      </c>
      <c r="Z35" s="18">
        <f t="shared" ca="1" si="5"/>
        <v>4807406.7696990203</v>
      </c>
      <c r="AA35" s="18">
        <f ca="1">Auxiliar_Projetos!E35</f>
        <v>365313.46621430555</v>
      </c>
      <c r="AB35" s="18">
        <f ca="1">Auxiliar_Projetos!K35</f>
        <v>320932.13363568299</v>
      </c>
      <c r="AC35" s="18">
        <f ca="1">IF(Z35-AA35-AB35&gt;Investimentos!$C$14,Investimentos!$C$14,IF(Z35-AA35-AB35&lt;Investimentos!$C$14,Z35-AA35-AB35,0))</f>
        <v>300000</v>
      </c>
      <c r="AD35" s="18">
        <f t="shared" ca="1" si="6"/>
        <v>3821161.1698490316</v>
      </c>
      <c r="AE35" s="18"/>
    </row>
    <row r="36" spans="1:31" x14ac:dyDescent="0.2">
      <c r="A36" s="4">
        <v>46692</v>
      </c>
      <c r="B36" s="5" t="str">
        <f t="shared" si="1"/>
        <v>novembro</v>
      </c>
      <c r="C36" s="5" t="str">
        <f t="shared" si="8"/>
        <v>2027</v>
      </c>
      <c r="D36" s="5">
        <f>SUMIFS(Despesas!$F:$F,Despesas!$J:$J,"&lt;="&amp;$A36,Despesas!$L:$L,"&gt;="&amp;$A36,Despesas!$C:$C,D$1,Despesas!$M:$M,"Mensal")+SUMIFS(Despesas!$F:$F,Despesas!$J:$J,"&lt;="&amp;$A36,Despesas!$L:$L,"&gt;="&amp;$A36,Despesas!$C:$C,D$1,Despesas!$M:$M,$B36)</f>
        <v>23000</v>
      </c>
      <c r="E36" s="18">
        <f>SUMIFS(Despesas!$F:$F,Despesas!$J:$J,"&lt;="&amp;$A36,Despesas!$L:$L,"&gt;="&amp;$A36,Despesas!$C:$C,E$1,Despesas!$M:$M,"Mensal")+SUMIFS(Despesas!$F:$F,Despesas!$J:$J,"&lt;="&amp;$A36,Despesas!$L:$L,"&gt;="&amp;$A36,Despesas!$C:$C,E$1,Despesas!$M:$M,$B36)</f>
        <v>17000</v>
      </c>
      <c r="F36" s="5">
        <f>SUMIFS(Despesas!$F:$F,Despesas!$J:$J,"&lt;="&amp;$A36,Despesas!$L:$L,"&gt;="&amp;$A36,Despesas!$C:$C,F$1,Despesas!$M:$M,"Mensal")+SUMIFS(Despesas!$F:$F,Despesas!$J:$J,"&lt;="&amp;$A36,Despesas!$L:$L,"&gt;="&amp;$A36,Despesas!$C:$C,F$1,Despesas!$M:$M,$B36)</f>
        <v>13000</v>
      </c>
      <c r="G36" s="5">
        <f>SUMIFS(Despesas!$F:$F,Despesas!$J:$J,"&lt;="&amp;$A36,Despesas!$L:$L,"&gt;="&amp;$A36,Despesas!$C:$C,G$1,Despesas!$M:$M,"Mensal")+SUMIFS(Despesas!$F:$F,Despesas!$J:$J,"&lt;="&amp;$A36,Despesas!$L:$L,"&gt;="&amp;$A36,Despesas!$C:$C,G$1,Despesas!$M:$M,$B36)</f>
        <v>0</v>
      </c>
      <c r="H36" s="18">
        <f ca="1">SUMIFS(Despesas!$F:$F,Despesas!$J:$J,"&lt;="&amp;$A36,Despesas!$L:$L,"&gt;="&amp;$A36,Despesas!$C:$C,H$1,Despesas!$M:$M,"Mensal")+SUMIFS(Despesas!$F:$F,Despesas!$J:$J,"&lt;="&amp;$A36,Despesas!$L:$L,"&gt;="&amp;$A36,Despesas!$C:$C,H$1,Despesas!$M:$M,$B36)</f>
        <v>10762.055</v>
      </c>
      <c r="I36" s="18">
        <f>IF(Imóveis!$F$2="PRICE",IF(AND(Dados!$A36&gt;=Imóveis!$Q$2,Dados!$A36&lt;=Imóveis!$T$2),Imóveis!$U$2,0),IF((IF(AND(Dados!$A36&gt;=Imóveis!$Q$2,Dados!$A36&lt;=Imóveis!$T$2),Imóveis!$S$2-(DATEDIF(Imóveis!$Q$2,Dados!$A36,"m")),0))=0,0,((Imóveis!$N$2/Imóveis!$S$2)+((Imóveis!$N$2-((Imóveis!$S$2-(IF(AND(Dados!$A36&gt;=Imóveis!$Q$2,Dados!$A36&lt;=Imóveis!$T$2),Imóveis!$S$2-(DATEDIF(Imóveis!$Q$2,Dados!$A36,"m")),)))*(Imóveis!$N$2/Imóveis!$S$2)))*Imóveis!$P$2))))*IF(AND(Imóveis!$E$2&gt;0,Dados!$A36&gt;Imóveis!$E$2),0,1)</f>
        <v>16832.857242599606</v>
      </c>
      <c r="J36" s="18">
        <f ca="1">IF(Imóveis!$F$3="PRICE",IF(AND(Dados!$A36&gt;=Imóveis!$Q$3,Dados!$A36&lt;=Imóveis!$T$3),Imóveis!$U$3,0),IF((IF(AND(Dados!$A36&gt;=Imóveis!$Q$3,Dados!$A36&lt;=Imóveis!$T$3),Imóveis!$S$3-(DATEDIF(Imóveis!$Q$3,Dados!$A36,"m")),0))=0,0,((Imóveis!$N$3/Imóveis!$S$3)+((Imóveis!$N$3-((Imóveis!$S$3-(IF(AND(Dados!$A36&gt;=Imóveis!$Q$3,Dados!$A36&lt;=Imóveis!$T$3),Imóveis!$S$3-(DATEDIF(Imóveis!$Q$3,Dados!$A36,"m")),)))*(Imóveis!$N$3/Imóveis!$S$3)))*Imóveis!$P$3))))*IF(AND(Imóveis!$E$3&gt;0,Dados!$A36&gt;Imóveis!$E$3),0,1)</f>
        <v>9314.6986248807771</v>
      </c>
      <c r="K36" s="18">
        <f>IF(Imóveis!$F$4="PRICE",IF(AND(Dados!$A36&gt;=Imóveis!$Q$4,Dados!$A36&lt;=Imóveis!$T$4),Imóveis!$U$4,0),IF((IF(AND(Dados!$A36&gt;=Imóveis!$Q$4,Dados!$A36&lt;=Imóveis!$T$4),Imóveis!$S$4-(DATEDIF(Imóveis!$Q$4,Dados!$A36,"m")),0))=0,0,((Imóveis!$N$4/Imóveis!$S$4)+((Imóveis!$N$4-((Imóveis!$S$4-(IF(AND(Dados!$A36&gt;=Imóveis!$Q$4,Dados!$A36&lt;=Imóveis!$T$4),Imóveis!$S$4-(DATEDIF(Imóveis!$Q$4,Dados!$A36,"m")),)))*(Imóveis!$N$4/Imóveis!$S$4)))*Imóveis!$P$4))))*IF(AND(Imóveis!$E$4&gt;0,Dados!$A36&gt;Imóveis!$E$4),0,1)</f>
        <v>4643.949359272583</v>
      </c>
      <c r="L36" s="18">
        <f>IF(Imóveis!$F$5="PRICE",IF(AND(Dados!$A36&gt;=Imóveis!$Q$5,Dados!$A36&lt;=Imóveis!$T$5),Imóveis!$U$5,0),IF((IF(AND(Dados!$A36&gt;=Imóveis!$Q$5,Dados!$A36&lt;=Imóveis!$T$5),Imóveis!$S$5-(DATEDIF(Imóveis!$Q$5,Dados!$A36,"m")),0))=0,0,((Imóveis!$N$5/Imóveis!$S$5)+((Imóveis!$N$5-((Imóveis!$S$5-(IF(AND(Dados!$A36 &gt;=Imóveis!$Q$5,Dados!$A36&lt;=Imóveis!$T$5),Imóveis!$S$5-(DATEDIF(Imóveis!$Q$5,Dados!$A36,"m")),)))*(Imóveis!$N$5/Imóveis!$S$5)))*Imóveis!$P$5))))*IF(AND(Imóveis!$E$5&gt;0,Dados!$A36&gt;Imóveis!$E$5),0,1)*Imóveis!$I$5</f>
        <v>0</v>
      </c>
      <c r="M36" s="18">
        <f>IF(Imóveis!$F$6="PRICE",IF(AND(Dados!$A36&gt;=Imóveis!$Q$6,Dados!$A36&lt;=Imóveis!$T$6),Imóveis!$U$6,0),IF((IF(AND(Dados!$A36&gt;=Imóveis!$Q$6,Dados!$A36&lt;=Imóveis!$T$6),Imóveis!$S$6-(DATEDIF(Imóveis!$Q$6,Dados!$A36,"m")),0))=0,0,((Imóveis!$N$6/Imóveis!$S$6)+((Imóveis!$N$6-((Imóveis!$S$6-(IF(AND(Dados!$A36&gt;=Imóveis!$Q$6,Dados!$A36&lt;=Imóveis!$T$6),Imóveis!$S$6-(DATEDIF(Imóveis!$Q$6,Dados!$A36,"m")),)))*(Imóveis!$N$6/Imóveis!$S$6)))*Imóveis!$P$6))))*IF(AND(Imóveis!$E$6&gt;0,Dados!$A36&gt;Imóveis!$E$6),0,1)*Imóveis!$I$6</f>
        <v>0</v>
      </c>
      <c r="N36" s="18">
        <f t="shared" ca="1" si="3"/>
        <v>94553.560226752961</v>
      </c>
      <c r="O36" s="18">
        <f>SUMIFS(Receitas!$F:$F,Receitas!$J:$J,"&lt;="&amp;$A36,Receitas!$L:$L,"&gt;="&amp;$A36,Receitas!$C:$C,O$1,Receitas!$M:$M,"Mensal")+SUMIFS(Receitas!$F:$F,Receitas!$J:$J,"&lt;="&amp;$A36,Receitas!$L:$L,"&gt;="&amp;$A36,Receitas!$C:$C,O$1,Receitas!$M:$M,$B36)</f>
        <v>50000</v>
      </c>
      <c r="P36" s="18">
        <f>SUMIFS(Receitas!$F:$F,Receitas!$J:$J,"&lt;="&amp;$A36,Receitas!$L:$L,"&gt;="&amp;$A36,Receitas!$C:$C,P$1,Receitas!$M:$M,"Mensal")+SUMIFS(Receitas!$F:$F,Receitas!$J:$J,"&lt;="&amp;$A36,Receitas!$L:$L,"&gt;="&amp;$A36,Receitas!$C:$C,P$1,Receitas!$M:$M,$B36)</f>
        <v>86666.666666666672</v>
      </c>
      <c r="Q36" s="18">
        <f ca="1">SUMIFS(Receitas!$F:$F,Receitas!$J:$J,"&lt;="&amp;$A36,Receitas!$L:$L,"&gt;="&amp;$A36,Receitas!$C:$C,Q$1,Receitas!$M:$M,"Mensal")+SUMIFS(Receitas!$F:$F,Receitas!$J:$J,"&lt;="&amp;$A36,Receitas!$L:$L,"&gt;="&amp;$A36,Receitas!$C:$C,Q$1,Receitas!$M:$M,$B36)</f>
        <v>15101.400000000001</v>
      </c>
      <c r="R36" s="18" cm="1">
        <f t="array" ref="R36">(IF(AND(Membros!$F$2="Sim",A36&lt;=MAX(Membros!$E$2:$E$5)),Membros!K$2,IF(AND(A36&gt;=Membros!J$2,A36&lt;=MAX(Membros!$E$2:$E$5)),Membros!K$2,0))+IF(AND(Membros!$F$3="Sim",A36&lt;=MAX(Membros!$E$2:$E$5)),Membros!K$3,IF(AND(A36&gt;=Membros!J$3,A36&lt;=MAX(Membros!$E$2:$E$5)),Membros!K$3,0)))*IF(AND(COUNTIFS(Tabela3[Tipo],"Provedor",Tabela3[Simulação Seguro],"Sim")=2,A36&gt;=MAX(IF(Tabela3[Tipo]="Dependente",Tabela3[Expectativa de Vida (Data)]))),0,1)</f>
        <v>0</v>
      </c>
      <c r="S36" s="18">
        <f t="shared" ca="1" si="4"/>
        <v>151768.06666666668</v>
      </c>
      <c r="U36" s="18">
        <f t="shared" ca="1" si="7"/>
        <v>4807406.7696990203</v>
      </c>
      <c r="V36" s="18">
        <f>SUMIF(Imóveis!E:E,Dados!A:A,Imóveis!Z:Z)-SUMIF(Imóveis!E:E,Dados!A:A,Imóveis!Y:Y)</f>
        <v>0</v>
      </c>
      <c r="W36" s="18">
        <f>-SUMIF(Projetos!N:N,A36,Projetos!F:F)</f>
        <v>0</v>
      </c>
      <c r="X36" s="18">
        <f t="shared" ca="1" si="0"/>
        <v>57214.506439913719</v>
      </c>
      <c r="Y36" s="26">
        <f ca="1">(U36*((Indicadores_Economicos!D$2+1)^(1/12)-1))</f>
        <v>15738.198791176057</v>
      </c>
      <c r="Z36" s="18">
        <f t="shared" ca="1" si="5"/>
        <v>4880359.4749301104</v>
      </c>
      <c r="AA36" s="18">
        <f ca="1">Auxiliar_Projetos!E36</f>
        <v>366509.40744162432</v>
      </c>
      <c r="AB36" s="18">
        <f ca="1">Auxiliar_Projetos!K36</f>
        <v>321982.78192895208</v>
      </c>
      <c r="AC36" s="18">
        <f ca="1">IF(Z36-AA36-AB36&gt;Investimentos!$C$14,Investimentos!$C$14,IF(Z36-AA36-AB36&lt;Investimentos!$C$14,Z36-AA36-AB36,0))</f>
        <v>300000</v>
      </c>
      <c r="AD36" s="18">
        <f t="shared" ca="1" si="6"/>
        <v>3891867.2855595341</v>
      </c>
      <c r="AE36" s="18"/>
    </row>
    <row r="37" spans="1:31" x14ac:dyDescent="0.2">
      <c r="A37" s="4">
        <v>46722</v>
      </c>
      <c r="B37" s="5" t="str">
        <f t="shared" si="1"/>
        <v>dezembro</v>
      </c>
      <c r="C37" s="5" t="str">
        <f t="shared" si="8"/>
        <v>2027</v>
      </c>
      <c r="D37" s="5">
        <f>SUMIFS(Despesas!$F:$F,Despesas!$J:$J,"&lt;="&amp;$A37,Despesas!$L:$L,"&gt;="&amp;$A37,Despesas!$C:$C,D$1,Despesas!$M:$M,"Mensal")+SUMIFS(Despesas!$F:$F,Despesas!$J:$J,"&lt;="&amp;$A37,Despesas!$L:$L,"&gt;="&amp;$A37,Despesas!$C:$C,D$1,Despesas!$M:$M,$B37)</f>
        <v>23000</v>
      </c>
      <c r="E37" s="18">
        <f>SUMIFS(Despesas!$F:$F,Despesas!$J:$J,"&lt;="&amp;$A37,Despesas!$L:$L,"&gt;="&amp;$A37,Despesas!$C:$C,E$1,Despesas!$M:$M,"Mensal")+SUMIFS(Despesas!$F:$F,Despesas!$J:$J,"&lt;="&amp;$A37,Despesas!$L:$L,"&gt;="&amp;$A37,Despesas!$C:$C,E$1,Despesas!$M:$M,$B37)</f>
        <v>17000</v>
      </c>
      <c r="F37" s="5">
        <f>SUMIFS(Despesas!$F:$F,Despesas!$J:$J,"&lt;="&amp;$A37,Despesas!$L:$L,"&gt;="&amp;$A37,Despesas!$C:$C,F$1,Despesas!$M:$M,"Mensal")+SUMIFS(Despesas!$F:$F,Despesas!$J:$J,"&lt;="&amp;$A37,Despesas!$L:$L,"&gt;="&amp;$A37,Despesas!$C:$C,F$1,Despesas!$M:$M,$B37)</f>
        <v>13000</v>
      </c>
      <c r="G37" s="5">
        <f ca="1">SUMIFS(Despesas!$F:$F,Despesas!$J:$J,"&lt;="&amp;$A37,Despesas!$L:$L,"&gt;="&amp;$A37,Despesas!$C:$C,G$1,Despesas!$M:$M,"Mensal")+SUMIFS(Despesas!$F:$F,Despesas!$J:$J,"&lt;="&amp;$A37,Despesas!$L:$L,"&gt;="&amp;$A37,Despesas!$C:$C,G$1,Despesas!$M:$M,$B37)</f>
        <v>55757</v>
      </c>
      <c r="H37" s="18">
        <f ca="1">SUMIFS(Despesas!$F:$F,Despesas!$J:$J,"&lt;="&amp;$A37,Despesas!$L:$L,"&gt;="&amp;$A37,Despesas!$C:$C,H$1,Despesas!$M:$M,"Mensal")+SUMIFS(Despesas!$F:$F,Despesas!$J:$J,"&lt;="&amp;$A37,Despesas!$L:$L,"&gt;="&amp;$A37,Despesas!$C:$C,H$1,Despesas!$M:$M,$B37)</f>
        <v>10762.055</v>
      </c>
      <c r="I37" s="18">
        <f>IF(Imóveis!$F$2="PRICE",IF(AND(Dados!$A37&gt;=Imóveis!$Q$2,Dados!$A37&lt;=Imóveis!$T$2),Imóveis!$U$2,0),IF((IF(AND(Dados!$A37&gt;=Imóveis!$Q$2,Dados!$A37&lt;=Imóveis!$T$2),Imóveis!$S$2-(DATEDIF(Imóveis!$Q$2,Dados!$A37,"m")),0))=0,0,((Imóveis!$N$2/Imóveis!$S$2)+((Imóveis!$N$2-((Imóveis!$S$2-(IF(AND(Dados!$A37&gt;=Imóveis!$Q$2,Dados!$A37&lt;=Imóveis!$T$2),Imóveis!$S$2-(DATEDIF(Imóveis!$Q$2,Dados!$A37,"m")),)))*(Imóveis!$N$2/Imóveis!$S$2)))*Imóveis!$P$2))))*IF(AND(Imóveis!$E$2&gt;0,Dados!$A37&gt;Imóveis!$E$2),0,1)</f>
        <v>16770.836150374802</v>
      </c>
      <c r="J37" s="18">
        <f ca="1">IF(Imóveis!$F$3="PRICE",IF(AND(Dados!$A37&gt;=Imóveis!$Q$3,Dados!$A37&lt;=Imóveis!$T$3),Imóveis!$U$3,0),IF((IF(AND(Dados!$A37&gt;=Imóveis!$Q$3,Dados!$A37&lt;=Imóveis!$T$3),Imóveis!$S$3-(DATEDIF(Imóveis!$Q$3,Dados!$A37,"m")),0))=0,0,((Imóveis!$N$3/Imóveis!$S$3)+((Imóveis!$N$3-((Imóveis!$S$3-(IF(AND(Dados!$A37&gt;=Imóveis!$Q$3,Dados!$A37&lt;=Imóveis!$T$3),Imóveis!$S$3-(DATEDIF(Imóveis!$Q$3,Dados!$A37,"m")),)))*(Imóveis!$N$3/Imóveis!$S$3)))*Imóveis!$P$3))))*IF(AND(Imóveis!$E$3&gt;0,Dados!$A37&gt;Imóveis!$E$3),0,1)</f>
        <v>9314.6986248807771</v>
      </c>
      <c r="K37" s="18">
        <f>IF(Imóveis!$F$4="PRICE",IF(AND(Dados!$A37&gt;=Imóveis!$Q$4,Dados!$A37&lt;=Imóveis!$T$4),Imóveis!$U$4,0),IF((IF(AND(Dados!$A37&gt;=Imóveis!$Q$4,Dados!$A37&lt;=Imóveis!$T$4),Imóveis!$S$4-(DATEDIF(Imóveis!$Q$4,Dados!$A37,"m")),0))=0,0,((Imóveis!$N$4/Imóveis!$S$4)+((Imóveis!$N$4-((Imóveis!$S$4-(IF(AND(Dados!$A37&gt;=Imóveis!$Q$4,Dados!$A37&lt;=Imóveis!$T$4),Imóveis!$S$4-(DATEDIF(Imóveis!$Q$4,Dados!$A37,"m")),)))*(Imóveis!$N$4/Imóveis!$S$4)))*Imóveis!$P$4))))*IF(AND(Imóveis!$E$4&gt;0,Dados!$A37&gt;Imóveis!$E$4),0,1)</f>
        <v>4643.949359272583</v>
      </c>
      <c r="L37" s="18">
        <f>IF(Imóveis!$F$5="PRICE",IF(AND(Dados!$A37&gt;=Imóveis!$Q$5,Dados!$A37&lt;=Imóveis!$T$5),Imóveis!$U$5,0),IF((IF(AND(Dados!$A37&gt;=Imóveis!$Q$5,Dados!$A37&lt;=Imóveis!$T$5),Imóveis!$S$5-(DATEDIF(Imóveis!$Q$5,Dados!$A37,"m")),0))=0,0,((Imóveis!$N$5/Imóveis!$S$5)+((Imóveis!$N$5-((Imóveis!$S$5-(IF(AND(Dados!$A37 &gt;=Imóveis!$Q$5,Dados!$A37&lt;=Imóveis!$T$5),Imóveis!$S$5-(DATEDIF(Imóveis!$Q$5,Dados!$A37,"m")),)))*(Imóveis!$N$5/Imóveis!$S$5)))*Imóveis!$P$5))))*IF(AND(Imóveis!$E$5&gt;0,Dados!$A37&gt;Imóveis!$E$5),0,1)*Imóveis!$I$5</f>
        <v>0</v>
      </c>
      <c r="M37" s="18">
        <f>IF(Imóveis!$F$6="PRICE",IF(AND(Dados!$A37&gt;=Imóveis!$Q$6,Dados!$A37&lt;=Imóveis!$T$6),Imóveis!$U$6,0),IF((IF(AND(Dados!$A37&gt;=Imóveis!$Q$6,Dados!$A37&lt;=Imóveis!$T$6),Imóveis!$S$6-(DATEDIF(Imóveis!$Q$6,Dados!$A37,"m")),0))=0,0,((Imóveis!$N$6/Imóveis!$S$6)+((Imóveis!$N$6-((Imóveis!$S$6-(IF(AND(Dados!$A37&gt;=Imóveis!$Q$6,Dados!$A37&lt;=Imóveis!$T$6),Imóveis!$S$6-(DATEDIF(Imóveis!$Q$6,Dados!$A37,"m")),)))*(Imóveis!$N$6/Imóveis!$S$6)))*Imóveis!$P$6))))*IF(AND(Imóveis!$E$6&gt;0,Dados!$A37&gt;Imóveis!$E$6),0,1)*Imóveis!$I$6</f>
        <v>0</v>
      </c>
      <c r="N37" s="18">
        <f t="shared" ca="1" si="3"/>
        <v>150248.53913452814</v>
      </c>
      <c r="O37" s="18">
        <f>SUMIFS(Receitas!$F:$F,Receitas!$J:$J,"&lt;="&amp;$A37,Receitas!$L:$L,"&gt;="&amp;$A37,Receitas!$C:$C,O$1,Receitas!$M:$M,"Mensal")+SUMIFS(Receitas!$F:$F,Receitas!$J:$J,"&lt;="&amp;$A37,Receitas!$L:$L,"&gt;="&amp;$A37,Receitas!$C:$C,O$1,Receitas!$M:$M,$B37)</f>
        <v>50000</v>
      </c>
      <c r="P37" s="18">
        <f>SUMIFS(Receitas!$F:$F,Receitas!$J:$J,"&lt;="&amp;$A37,Receitas!$L:$L,"&gt;="&amp;$A37,Receitas!$C:$C,P$1,Receitas!$M:$M,"Mensal")+SUMIFS(Receitas!$F:$F,Receitas!$J:$J,"&lt;="&amp;$A37,Receitas!$L:$L,"&gt;="&amp;$A37,Receitas!$C:$C,P$1,Receitas!$M:$M,$B37)</f>
        <v>20000</v>
      </c>
      <c r="Q37" s="18">
        <f ca="1">SUMIFS(Receitas!$F:$F,Receitas!$J:$J,"&lt;="&amp;$A37,Receitas!$L:$L,"&gt;="&amp;$A37,Receitas!$C:$C,Q$1,Receitas!$M:$M,"Mensal")+SUMIFS(Receitas!$F:$F,Receitas!$J:$J,"&lt;="&amp;$A37,Receitas!$L:$L,"&gt;="&amp;$A37,Receitas!$C:$C,Q$1,Receitas!$M:$M,$B37)</f>
        <v>15101.400000000001</v>
      </c>
      <c r="R37" s="18" cm="1">
        <f t="array" ref="R37">(IF(AND(Membros!$F$2="Sim",A37&lt;=MAX(Membros!$E$2:$E$5)),Membros!K$2,IF(AND(A37&gt;=Membros!J$2,A37&lt;=MAX(Membros!$E$2:$E$5)),Membros!K$2,0))+IF(AND(Membros!$F$3="Sim",A37&lt;=MAX(Membros!$E$2:$E$5)),Membros!K$3,IF(AND(A37&gt;=Membros!J$3,A37&lt;=MAX(Membros!$E$2:$E$5)),Membros!K$3,0)))*IF(AND(COUNTIFS(Tabela3[Tipo],"Provedor",Tabela3[Simulação Seguro],"Sim")=2,A37&gt;=MAX(IF(Tabela3[Tipo]="Dependente",Tabela3[Expectativa de Vida (Data)]))),0,1)</f>
        <v>0</v>
      </c>
      <c r="S37" s="18">
        <f t="shared" ca="1" si="4"/>
        <v>85101.4</v>
      </c>
      <c r="U37" s="18">
        <f t="shared" ca="1" si="7"/>
        <v>4880359.4749301104</v>
      </c>
      <c r="V37" s="18">
        <f>SUMIF(Imóveis!E:E,Dados!A:A,Imóveis!Z:Z)-SUMIF(Imóveis!E:E,Dados!A:A,Imóveis!Y:Y)</f>
        <v>0</v>
      </c>
      <c r="W37" s="18">
        <f>-SUMIF(Projetos!N:N,A37,Projetos!F:F)</f>
        <v>0</v>
      </c>
      <c r="X37" s="18">
        <f t="shared" ca="1" si="0"/>
        <v>-65147.139134528144</v>
      </c>
      <c r="Y37" s="26">
        <f ca="1">(U37*((Indicadores_Economicos!D$2+1)^(1/12)-1))</f>
        <v>15977.026964510109</v>
      </c>
      <c r="Z37" s="18">
        <f t="shared" ca="1" si="5"/>
        <v>4831189.3627600921</v>
      </c>
      <c r="AA37" s="18">
        <f ca="1">Auxiliar_Projetos!E37</f>
        <v>367709.26386931614</v>
      </c>
      <c r="AB37" s="18">
        <f ca="1">Auxiliar_Projetos!K37</f>
        <v>323036.86977133597</v>
      </c>
      <c r="AC37" s="18">
        <f ca="1">IF(Z37-AA37-AB37&gt;Investimentos!$C$14,Investimentos!$C$14,IF(Z37-AA37-AB37&lt;Investimentos!$C$14,Z37-AA37-AB37,0))</f>
        <v>300000</v>
      </c>
      <c r="AD37" s="18">
        <f t="shared" ca="1" si="6"/>
        <v>3840443.2291194396</v>
      </c>
      <c r="AE37" s="18"/>
    </row>
    <row r="38" spans="1:31" x14ac:dyDescent="0.2">
      <c r="A38" s="4">
        <v>46753</v>
      </c>
      <c r="B38" s="5" t="str">
        <f t="shared" si="1"/>
        <v>janeiro</v>
      </c>
      <c r="C38" s="5" t="str">
        <f t="shared" si="8"/>
        <v>2028</v>
      </c>
      <c r="D38" s="5">
        <f>SUMIFS(Despesas!$F:$F,Despesas!$J:$J,"&lt;="&amp;$A38,Despesas!$L:$L,"&gt;="&amp;$A38,Despesas!$C:$C,D$1,Despesas!$M:$M,"Mensal")+SUMIFS(Despesas!$F:$F,Despesas!$J:$J,"&lt;="&amp;$A38,Despesas!$L:$L,"&gt;="&amp;$A38,Despesas!$C:$C,D$1,Despesas!$M:$M,$B38)</f>
        <v>23000</v>
      </c>
      <c r="E38" s="18">
        <f>SUMIFS(Despesas!$F:$F,Despesas!$J:$J,"&lt;="&amp;$A38,Despesas!$L:$L,"&gt;="&amp;$A38,Despesas!$C:$C,E$1,Despesas!$M:$M,"Mensal")+SUMIFS(Despesas!$F:$F,Despesas!$J:$J,"&lt;="&amp;$A38,Despesas!$L:$L,"&gt;="&amp;$A38,Despesas!$C:$C,E$1,Despesas!$M:$M,$B38)</f>
        <v>18000</v>
      </c>
      <c r="F38" s="5">
        <f>SUMIFS(Despesas!$F:$F,Despesas!$J:$J,"&lt;="&amp;$A38,Despesas!$L:$L,"&gt;="&amp;$A38,Despesas!$C:$C,F$1,Despesas!$M:$M,"Mensal")+SUMIFS(Despesas!$F:$F,Despesas!$J:$J,"&lt;="&amp;$A38,Despesas!$L:$L,"&gt;="&amp;$A38,Despesas!$C:$C,F$1,Despesas!$M:$M,$B38)</f>
        <v>13000</v>
      </c>
      <c r="G38" s="5">
        <f>SUMIFS(Despesas!$F:$F,Despesas!$J:$J,"&lt;="&amp;$A38,Despesas!$L:$L,"&gt;="&amp;$A38,Despesas!$C:$C,G$1,Despesas!$M:$M,"Mensal")+SUMIFS(Despesas!$F:$F,Despesas!$J:$J,"&lt;="&amp;$A38,Despesas!$L:$L,"&gt;="&amp;$A38,Despesas!$C:$C,G$1,Despesas!$M:$M,$B38)</f>
        <v>0</v>
      </c>
      <c r="H38" s="18">
        <f ca="1">SUMIFS(Despesas!$F:$F,Despesas!$J:$J,"&lt;="&amp;$A38,Despesas!$L:$L,"&gt;="&amp;$A38,Despesas!$C:$C,H$1,Despesas!$M:$M,"Mensal")+SUMIFS(Despesas!$F:$F,Despesas!$J:$J,"&lt;="&amp;$A38,Despesas!$L:$L,"&gt;="&amp;$A38,Despesas!$C:$C,H$1,Despesas!$M:$M,$B38)</f>
        <v>2686.355</v>
      </c>
      <c r="I38" s="18">
        <f>IF(Imóveis!$F$2="PRICE",IF(AND(Dados!$A38&gt;=Imóveis!$Q$2,Dados!$A38&lt;=Imóveis!$T$2),Imóveis!$U$2,0),IF((IF(AND(Dados!$A38&gt;=Imóveis!$Q$2,Dados!$A38&lt;=Imóveis!$T$2),Imóveis!$S$2-(DATEDIF(Imóveis!$Q$2,Dados!$A38,"m")),0))=0,0,((Imóveis!$N$2/Imóveis!$S$2)+((Imóveis!$N$2-((Imóveis!$S$2-(IF(AND(Dados!$A38&gt;=Imóveis!$Q$2,Dados!$A38&lt;=Imóveis!$T$2),Imóveis!$S$2-(DATEDIF(Imóveis!$Q$2,Dados!$A38,"m")),)))*(Imóveis!$N$2/Imóveis!$S$2)))*Imóveis!$P$2))))*IF(AND(Imóveis!$E$2&gt;0,Dados!$A38&gt;Imóveis!$E$2),0,1)</f>
        <v>16708.815058149994</v>
      </c>
      <c r="J38" s="18">
        <f ca="1">IF(Imóveis!$F$3="PRICE",IF(AND(Dados!$A38&gt;=Imóveis!$Q$3,Dados!$A38&lt;=Imóveis!$T$3),Imóveis!$U$3,0),IF((IF(AND(Dados!$A38&gt;=Imóveis!$Q$3,Dados!$A38&lt;=Imóveis!$T$3),Imóveis!$S$3-(DATEDIF(Imóveis!$Q$3,Dados!$A38,"m")),0))=0,0,((Imóveis!$N$3/Imóveis!$S$3)+((Imóveis!$N$3-((Imóveis!$S$3-(IF(AND(Dados!$A38&gt;=Imóveis!$Q$3,Dados!$A38&lt;=Imóveis!$T$3),Imóveis!$S$3-(DATEDIF(Imóveis!$Q$3,Dados!$A38,"m")),)))*(Imóveis!$N$3/Imóveis!$S$3)))*Imóveis!$P$3))))*IF(AND(Imóveis!$E$3&gt;0,Dados!$A38&gt;Imóveis!$E$3),0,1)</f>
        <v>9314.6986248807771</v>
      </c>
      <c r="K38" s="18">
        <f>IF(Imóveis!$F$4="PRICE",IF(AND(Dados!$A38&gt;=Imóveis!$Q$4,Dados!$A38&lt;=Imóveis!$T$4),Imóveis!$U$4,0),IF((IF(AND(Dados!$A38&gt;=Imóveis!$Q$4,Dados!$A38&lt;=Imóveis!$T$4),Imóveis!$S$4-(DATEDIF(Imóveis!$Q$4,Dados!$A38,"m")),0))=0,0,((Imóveis!$N$4/Imóveis!$S$4)+((Imóveis!$N$4-((Imóveis!$S$4-(IF(AND(Dados!$A38&gt;=Imóveis!$Q$4,Dados!$A38&lt;=Imóveis!$T$4),Imóveis!$S$4-(DATEDIF(Imóveis!$Q$4,Dados!$A38,"m")),)))*(Imóveis!$N$4/Imóveis!$S$4)))*Imóveis!$P$4))))*IF(AND(Imóveis!$E$4&gt;0,Dados!$A38&gt;Imóveis!$E$4),0,1)</f>
        <v>4643.949359272583</v>
      </c>
      <c r="L38" s="18">
        <f>IF(Imóveis!$F$5="PRICE",IF(AND(Dados!$A38&gt;=Imóveis!$Q$5,Dados!$A38&lt;=Imóveis!$T$5),Imóveis!$U$5,0),IF((IF(AND(Dados!$A38&gt;=Imóveis!$Q$5,Dados!$A38&lt;=Imóveis!$T$5),Imóveis!$S$5-(DATEDIF(Imóveis!$Q$5,Dados!$A38,"m")),0))=0,0,((Imóveis!$N$5/Imóveis!$S$5)+((Imóveis!$N$5-((Imóveis!$S$5-(IF(AND(Dados!$A38 &gt;=Imóveis!$Q$5,Dados!$A38&lt;=Imóveis!$T$5),Imóveis!$S$5-(DATEDIF(Imóveis!$Q$5,Dados!$A38,"m")),)))*(Imóveis!$N$5/Imóveis!$S$5)))*Imóveis!$P$5))))*IF(AND(Imóveis!$E$5&gt;0,Dados!$A38&gt;Imóveis!$E$5),0,1)*Imóveis!$I$5</f>
        <v>0</v>
      </c>
      <c r="M38" s="18">
        <f>IF(Imóveis!$F$6="PRICE",IF(AND(Dados!$A38&gt;=Imóveis!$Q$6,Dados!$A38&lt;=Imóveis!$T$6),Imóveis!$U$6,0),IF((IF(AND(Dados!$A38&gt;=Imóveis!$Q$6,Dados!$A38&lt;=Imóveis!$T$6),Imóveis!$S$6-(DATEDIF(Imóveis!$Q$6,Dados!$A38,"m")),0))=0,0,((Imóveis!$N$6/Imóveis!$S$6)+((Imóveis!$N$6-((Imóveis!$S$6-(IF(AND(Dados!$A38&gt;=Imóveis!$Q$6,Dados!$A38&lt;=Imóveis!$T$6),Imóveis!$S$6-(DATEDIF(Imóveis!$Q$6,Dados!$A38,"m")),)))*(Imóveis!$N$6/Imóveis!$S$6)))*Imóveis!$P$6))))*IF(AND(Imóveis!$E$6&gt;0,Dados!$A38&gt;Imóveis!$E$6),0,1)*Imóveis!$I$6</f>
        <v>0</v>
      </c>
      <c r="N38" s="18">
        <f t="shared" ca="1" si="3"/>
        <v>87353.818042303348</v>
      </c>
      <c r="O38" s="18">
        <f>SUMIFS(Receitas!$F:$F,Receitas!$J:$J,"&lt;="&amp;$A38,Receitas!$L:$L,"&gt;="&amp;$A38,Receitas!$C:$C,O$1,Receitas!$M:$M,"Mensal")+SUMIFS(Receitas!$F:$F,Receitas!$J:$J,"&lt;="&amp;$A38,Receitas!$L:$L,"&gt;="&amp;$A38,Receitas!$C:$C,O$1,Receitas!$M:$M,$B38)</f>
        <v>50000</v>
      </c>
      <c r="P38" s="18">
        <f>SUMIFS(Receitas!$F:$F,Receitas!$J:$J,"&lt;="&amp;$A38,Receitas!$L:$L,"&gt;="&amp;$A38,Receitas!$C:$C,P$1,Receitas!$M:$M,"Mensal")+SUMIFS(Receitas!$F:$F,Receitas!$J:$J,"&lt;="&amp;$A38,Receitas!$L:$L,"&gt;="&amp;$A38,Receitas!$C:$C,P$1,Receitas!$M:$M,$B38)</f>
        <v>20000</v>
      </c>
      <c r="Q38" s="18">
        <f ca="1">SUMIFS(Receitas!$F:$F,Receitas!$J:$J,"&lt;="&amp;$A38,Receitas!$L:$L,"&gt;="&amp;$A38,Receitas!$C:$C,Q$1,Receitas!$M:$M,"Mensal")+SUMIFS(Receitas!$F:$F,Receitas!$J:$J,"&lt;="&amp;$A38,Receitas!$L:$L,"&gt;="&amp;$A38,Receitas!$C:$C,Q$1,Receitas!$M:$M,$B38)</f>
        <v>15101.400000000001</v>
      </c>
      <c r="R38" s="18" cm="1">
        <f t="array" ref="R38">(IF(AND(Membros!$F$2="Sim",A38&lt;=MAX(Membros!$E$2:$E$5)),Membros!K$2,IF(AND(A38&gt;=Membros!J$2,A38&lt;=MAX(Membros!$E$2:$E$5)),Membros!K$2,0))+IF(AND(Membros!$F$3="Sim",A38&lt;=MAX(Membros!$E$2:$E$5)),Membros!K$3,IF(AND(A38&gt;=Membros!J$3,A38&lt;=MAX(Membros!$E$2:$E$5)),Membros!K$3,0)))*IF(AND(COUNTIFS(Tabela3[Tipo],"Provedor",Tabela3[Simulação Seguro],"Sim")=2,A38&gt;=MAX(IF(Tabela3[Tipo]="Dependente",Tabela3[Expectativa de Vida (Data)]))),0,1)</f>
        <v>0</v>
      </c>
      <c r="S38" s="18">
        <f t="shared" ca="1" si="4"/>
        <v>85101.4</v>
      </c>
      <c r="U38" s="18">
        <f t="shared" ca="1" si="7"/>
        <v>4831189.3627600921</v>
      </c>
      <c r="V38" s="18">
        <f>SUMIF(Imóveis!E:E,Dados!A:A,Imóveis!Z:Z)-SUMIF(Imóveis!E:E,Dados!A:A,Imóveis!Y:Y)</f>
        <v>0</v>
      </c>
      <c r="W38" s="18">
        <f>-SUMIF(Projetos!N:N,A38,Projetos!F:F)</f>
        <v>0</v>
      </c>
      <c r="X38" s="18">
        <f t="shared" ca="1" si="0"/>
        <v>-2252.418042303354</v>
      </c>
      <c r="Y38" s="26">
        <f ca="1">(U38*((Indicadores_Economicos!D$2+1)^(1/12)-1))</f>
        <v>15816.056812203937</v>
      </c>
      <c r="Z38" s="18">
        <f t="shared" ca="1" si="5"/>
        <v>4844753.0015299926</v>
      </c>
      <c r="AA38" s="18">
        <f ca="1">Auxiliar_Projetos!E38</f>
        <v>368913.04831472819</v>
      </c>
      <c r="AB38" s="18">
        <f ca="1">Auxiliar_Projetos!K38</f>
        <v>324094.40842302341</v>
      </c>
      <c r="AC38" s="18">
        <f ca="1">IF(Z38-AA38-AB38&gt;Investimentos!$C$14,Investimentos!$C$14,IF(Z38-AA38-AB38&lt;Investimentos!$C$14,Z38-AA38-AB38,0))</f>
        <v>300000</v>
      </c>
      <c r="AD38" s="18">
        <f t="shared" ca="1" si="6"/>
        <v>3851745.5447922414</v>
      </c>
      <c r="AE38" s="18"/>
    </row>
    <row r="39" spans="1:31" x14ac:dyDescent="0.2">
      <c r="A39" s="4">
        <v>46784</v>
      </c>
      <c r="B39" s="5" t="str">
        <f t="shared" si="1"/>
        <v>fevereiro</v>
      </c>
      <c r="C39" s="5" t="str">
        <f t="shared" si="8"/>
        <v>2028</v>
      </c>
      <c r="D39" s="5">
        <f>SUMIFS(Despesas!$F:$F,Despesas!$J:$J,"&lt;="&amp;$A39,Despesas!$L:$L,"&gt;="&amp;$A39,Despesas!$C:$C,D$1,Despesas!$M:$M,"Mensal")+SUMIFS(Despesas!$F:$F,Despesas!$J:$J,"&lt;="&amp;$A39,Despesas!$L:$L,"&gt;="&amp;$A39,Despesas!$C:$C,D$1,Despesas!$M:$M,$B39)</f>
        <v>23000</v>
      </c>
      <c r="E39" s="18">
        <f>SUMIFS(Despesas!$F:$F,Despesas!$J:$J,"&lt;="&amp;$A39,Despesas!$L:$L,"&gt;="&amp;$A39,Despesas!$C:$C,E$1,Despesas!$M:$M,"Mensal")+SUMIFS(Despesas!$F:$F,Despesas!$J:$J,"&lt;="&amp;$A39,Despesas!$L:$L,"&gt;="&amp;$A39,Despesas!$C:$C,E$1,Despesas!$M:$M,$B39)</f>
        <v>18000</v>
      </c>
      <c r="F39" s="5">
        <f>SUMIFS(Despesas!$F:$F,Despesas!$J:$J,"&lt;="&amp;$A39,Despesas!$L:$L,"&gt;="&amp;$A39,Despesas!$C:$C,F$1,Despesas!$M:$M,"Mensal")+SUMIFS(Despesas!$F:$F,Despesas!$J:$J,"&lt;="&amp;$A39,Despesas!$L:$L,"&gt;="&amp;$A39,Despesas!$C:$C,F$1,Despesas!$M:$M,$B39)</f>
        <v>13000</v>
      </c>
      <c r="G39" s="5">
        <f>SUMIFS(Despesas!$F:$F,Despesas!$J:$J,"&lt;="&amp;$A39,Despesas!$L:$L,"&gt;="&amp;$A39,Despesas!$C:$C,G$1,Despesas!$M:$M,"Mensal")+SUMIFS(Despesas!$F:$F,Despesas!$J:$J,"&lt;="&amp;$A39,Despesas!$L:$L,"&gt;="&amp;$A39,Despesas!$C:$C,G$1,Despesas!$M:$M,$B39)</f>
        <v>0</v>
      </c>
      <c r="H39" s="18">
        <f ca="1">SUMIFS(Despesas!$F:$F,Despesas!$J:$J,"&lt;="&amp;$A39,Despesas!$L:$L,"&gt;="&amp;$A39,Despesas!$C:$C,H$1,Despesas!$M:$M,"Mensal")+SUMIFS(Despesas!$F:$F,Despesas!$J:$J,"&lt;="&amp;$A39,Despesas!$L:$L,"&gt;="&amp;$A39,Despesas!$C:$C,H$1,Despesas!$M:$M,$B39)</f>
        <v>4543.9250000000002</v>
      </c>
      <c r="I39" s="18">
        <f>IF(Imóveis!$F$2="PRICE",IF(AND(Dados!$A39&gt;=Imóveis!$Q$2,Dados!$A39&lt;=Imóveis!$T$2),Imóveis!$U$2,0),IF((IF(AND(Dados!$A39&gt;=Imóveis!$Q$2,Dados!$A39&lt;=Imóveis!$T$2),Imóveis!$S$2-(DATEDIF(Imóveis!$Q$2,Dados!$A39,"m")),0))=0,0,((Imóveis!$N$2/Imóveis!$S$2)+((Imóveis!$N$2-((Imóveis!$S$2-(IF(AND(Dados!$A39&gt;=Imóveis!$Q$2,Dados!$A39&lt;=Imóveis!$T$2),Imóveis!$S$2-(DATEDIF(Imóveis!$Q$2,Dados!$A39,"m")),)))*(Imóveis!$N$2/Imóveis!$S$2)))*Imóveis!$P$2))))*IF(AND(Imóveis!$E$2&gt;0,Dados!$A39&gt;Imóveis!$E$2),0,1)</f>
        <v>16646.793965925186</v>
      </c>
      <c r="J39" s="18">
        <f ca="1">IF(Imóveis!$F$3="PRICE",IF(AND(Dados!$A39&gt;=Imóveis!$Q$3,Dados!$A39&lt;=Imóveis!$T$3),Imóveis!$U$3,0),IF((IF(AND(Dados!$A39&gt;=Imóveis!$Q$3,Dados!$A39&lt;=Imóveis!$T$3),Imóveis!$S$3-(DATEDIF(Imóveis!$Q$3,Dados!$A39,"m")),0))=0,0,((Imóveis!$N$3/Imóveis!$S$3)+((Imóveis!$N$3-((Imóveis!$S$3-(IF(AND(Dados!$A39&gt;=Imóveis!$Q$3,Dados!$A39&lt;=Imóveis!$T$3),Imóveis!$S$3-(DATEDIF(Imóveis!$Q$3,Dados!$A39,"m")),)))*(Imóveis!$N$3/Imóveis!$S$3)))*Imóveis!$P$3))))*IF(AND(Imóveis!$E$3&gt;0,Dados!$A39&gt;Imóveis!$E$3),0,1)</f>
        <v>9314.6986248807771</v>
      </c>
      <c r="K39" s="18">
        <f>IF(Imóveis!$F$4="PRICE",IF(AND(Dados!$A39&gt;=Imóveis!$Q$4,Dados!$A39&lt;=Imóveis!$T$4),Imóveis!$U$4,0),IF((IF(AND(Dados!$A39&gt;=Imóveis!$Q$4,Dados!$A39&lt;=Imóveis!$T$4),Imóveis!$S$4-(DATEDIF(Imóveis!$Q$4,Dados!$A39,"m")),0))=0,0,((Imóveis!$N$4/Imóveis!$S$4)+((Imóveis!$N$4-((Imóveis!$S$4-(IF(AND(Dados!$A39&gt;=Imóveis!$Q$4,Dados!$A39&lt;=Imóveis!$T$4),Imóveis!$S$4-(DATEDIF(Imóveis!$Q$4,Dados!$A39,"m")),)))*(Imóveis!$N$4/Imóveis!$S$4)))*Imóveis!$P$4))))*IF(AND(Imóveis!$E$4&gt;0,Dados!$A39&gt;Imóveis!$E$4),0,1)</f>
        <v>4643.949359272583</v>
      </c>
      <c r="L39" s="18">
        <f>IF(Imóveis!$F$5="PRICE",IF(AND(Dados!$A39&gt;=Imóveis!$Q$5,Dados!$A39&lt;=Imóveis!$T$5),Imóveis!$U$5,0),IF((IF(AND(Dados!$A39&gt;=Imóveis!$Q$5,Dados!$A39&lt;=Imóveis!$T$5),Imóveis!$S$5-(DATEDIF(Imóveis!$Q$5,Dados!$A39,"m")),0))=0,0,((Imóveis!$N$5/Imóveis!$S$5)+((Imóveis!$N$5-((Imóveis!$S$5-(IF(AND(Dados!$A39 &gt;=Imóveis!$Q$5,Dados!$A39&lt;=Imóveis!$T$5),Imóveis!$S$5-(DATEDIF(Imóveis!$Q$5,Dados!$A39,"m")),)))*(Imóveis!$N$5/Imóveis!$S$5)))*Imóveis!$P$5))))*IF(AND(Imóveis!$E$5&gt;0,Dados!$A39&gt;Imóveis!$E$5),0,1)*Imóveis!$I$5</f>
        <v>0</v>
      </c>
      <c r="M39" s="18">
        <f>IF(Imóveis!$F$6="PRICE",IF(AND(Dados!$A39&gt;=Imóveis!$Q$6,Dados!$A39&lt;=Imóveis!$T$6),Imóveis!$U$6,0),IF((IF(AND(Dados!$A39&gt;=Imóveis!$Q$6,Dados!$A39&lt;=Imóveis!$T$6),Imóveis!$S$6-(DATEDIF(Imóveis!$Q$6,Dados!$A39,"m")),0))=0,0,((Imóveis!$N$6/Imóveis!$S$6)+((Imóveis!$N$6-((Imóveis!$S$6-(IF(AND(Dados!$A39&gt;=Imóveis!$Q$6,Dados!$A39&lt;=Imóveis!$T$6),Imóveis!$S$6-(DATEDIF(Imóveis!$Q$6,Dados!$A39,"m")),)))*(Imóveis!$N$6/Imóveis!$S$6)))*Imóveis!$P$6))))*IF(AND(Imóveis!$E$6&gt;0,Dados!$A39&gt;Imóveis!$E$6),0,1)*Imóveis!$I$6</f>
        <v>0</v>
      </c>
      <c r="N39" s="18">
        <f t="shared" ca="1" si="3"/>
        <v>89149.366950078547</v>
      </c>
      <c r="O39" s="18">
        <f>SUMIFS(Receitas!$F:$F,Receitas!$J:$J,"&lt;="&amp;$A39,Receitas!$L:$L,"&gt;="&amp;$A39,Receitas!$C:$C,O$1,Receitas!$M:$M,"Mensal")+SUMIFS(Receitas!$F:$F,Receitas!$J:$J,"&lt;="&amp;$A39,Receitas!$L:$L,"&gt;="&amp;$A39,Receitas!$C:$C,O$1,Receitas!$M:$M,$B39)</f>
        <v>50000</v>
      </c>
      <c r="P39" s="18">
        <f>SUMIFS(Receitas!$F:$F,Receitas!$J:$J,"&lt;="&amp;$A39,Receitas!$L:$L,"&gt;="&amp;$A39,Receitas!$C:$C,P$1,Receitas!$M:$M,"Mensal")+SUMIFS(Receitas!$F:$F,Receitas!$J:$J,"&lt;="&amp;$A39,Receitas!$L:$L,"&gt;="&amp;$A39,Receitas!$C:$C,P$1,Receitas!$M:$M,$B39)</f>
        <v>20000</v>
      </c>
      <c r="Q39" s="18">
        <f ca="1">SUMIFS(Receitas!$F:$F,Receitas!$J:$J,"&lt;="&amp;$A39,Receitas!$L:$L,"&gt;="&amp;$A39,Receitas!$C:$C,Q$1,Receitas!$M:$M,"Mensal")+SUMIFS(Receitas!$F:$F,Receitas!$J:$J,"&lt;="&amp;$A39,Receitas!$L:$L,"&gt;="&amp;$A39,Receitas!$C:$C,Q$1,Receitas!$M:$M,$B39)</f>
        <v>15101.400000000001</v>
      </c>
      <c r="R39" s="18" cm="1">
        <f t="array" ref="R39">(IF(AND(Membros!$F$2="Sim",A39&lt;=MAX(Membros!$E$2:$E$5)),Membros!K$2,IF(AND(A39&gt;=Membros!J$2,A39&lt;=MAX(Membros!$E$2:$E$5)),Membros!K$2,0))+IF(AND(Membros!$F$3="Sim",A39&lt;=MAX(Membros!$E$2:$E$5)),Membros!K$3,IF(AND(A39&gt;=Membros!J$3,A39&lt;=MAX(Membros!$E$2:$E$5)),Membros!K$3,0)))*IF(AND(COUNTIFS(Tabela3[Tipo],"Provedor",Tabela3[Simulação Seguro],"Sim")=2,A39&gt;=MAX(IF(Tabela3[Tipo]="Dependente",Tabela3[Expectativa de Vida (Data)]))),0,1)</f>
        <v>0</v>
      </c>
      <c r="S39" s="18">
        <f t="shared" ca="1" si="4"/>
        <v>85101.4</v>
      </c>
      <c r="U39" s="18">
        <f t="shared" ca="1" si="7"/>
        <v>4844753.0015299926</v>
      </c>
      <c r="V39" s="18">
        <f>SUMIF(Imóveis!E:E,Dados!A:A,Imóveis!Z:Z)-SUMIF(Imóveis!E:E,Dados!A:A,Imóveis!Y:Y)</f>
        <v>0</v>
      </c>
      <c r="W39" s="18">
        <f>-SUMIF(Projetos!N:N,A39,Projetos!F:F)</f>
        <v>0</v>
      </c>
      <c r="X39" s="18">
        <f t="shared" ca="1" si="0"/>
        <v>-4047.9669500785531</v>
      </c>
      <c r="Y39" s="26">
        <f ca="1">(U39*((Indicadores_Economicos!D$2+1)^(1/12)-1))</f>
        <v>15860.460636036336</v>
      </c>
      <c r="Z39" s="18">
        <f t="shared" ca="1" si="5"/>
        <v>4856565.4952159505</v>
      </c>
      <c r="AA39" s="18">
        <f ca="1">Auxiliar_Projetos!E39</f>
        <v>370120.7736371684</v>
      </c>
      <c r="AB39" s="18">
        <f ca="1">Auxiliar_Projetos!K39</f>
        <v>325155.40918106609</v>
      </c>
      <c r="AC39" s="18">
        <f ca="1">IF(Z39-AA39-AB39&gt;Investimentos!$C$14,Investimentos!$C$14,IF(Z39-AA39-AB39&lt;Investimentos!$C$14,Z39-AA39-AB39,0))</f>
        <v>300000</v>
      </c>
      <c r="AD39" s="18">
        <f t="shared" ca="1" si="6"/>
        <v>3861289.3123977166</v>
      </c>
      <c r="AE39" s="18"/>
    </row>
    <row r="40" spans="1:31" x14ac:dyDescent="0.2">
      <c r="A40" s="4">
        <v>46813</v>
      </c>
      <c r="B40" s="5" t="str">
        <f t="shared" si="1"/>
        <v>março</v>
      </c>
      <c r="C40" s="5" t="str">
        <f t="shared" ref="C40:C70" si="9">TEXT(A40,"AAAA")</f>
        <v>2028</v>
      </c>
      <c r="D40" s="5">
        <f>SUMIFS(Despesas!$F:$F,Despesas!$J:$J,"&lt;="&amp;$A40,Despesas!$L:$L,"&gt;="&amp;$A40,Despesas!$C:$C,D$1,Despesas!$M:$M,"Mensal")+SUMIFS(Despesas!$F:$F,Despesas!$J:$J,"&lt;="&amp;$A40,Despesas!$L:$L,"&gt;="&amp;$A40,Despesas!$C:$C,D$1,Despesas!$M:$M,$B40)</f>
        <v>23000</v>
      </c>
      <c r="E40" s="18">
        <f>SUMIFS(Despesas!$F:$F,Despesas!$J:$J,"&lt;="&amp;$A40,Despesas!$L:$L,"&gt;="&amp;$A40,Despesas!$C:$C,E$1,Despesas!$M:$M,"Mensal")+SUMIFS(Despesas!$F:$F,Despesas!$J:$J,"&lt;="&amp;$A40,Despesas!$L:$L,"&gt;="&amp;$A40,Despesas!$C:$C,E$1,Despesas!$M:$M,$B40)</f>
        <v>18000</v>
      </c>
      <c r="F40" s="5">
        <f>SUMIFS(Despesas!$F:$F,Despesas!$J:$J,"&lt;="&amp;$A40,Despesas!$L:$L,"&gt;="&amp;$A40,Despesas!$C:$C,F$1,Despesas!$M:$M,"Mensal")+SUMIFS(Despesas!$F:$F,Despesas!$J:$J,"&lt;="&amp;$A40,Despesas!$L:$L,"&gt;="&amp;$A40,Despesas!$C:$C,F$1,Despesas!$M:$M,$B40)</f>
        <v>13000</v>
      </c>
      <c r="G40" s="5">
        <f>SUMIFS(Despesas!$F:$F,Despesas!$J:$J,"&lt;="&amp;$A40,Despesas!$L:$L,"&gt;="&amp;$A40,Despesas!$C:$C,G$1,Despesas!$M:$M,"Mensal")+SUMIFS(Despesas!$F:$F,Despesas!$J:$J,"&lt;="&amp;$A40,Despesas!$L:$L,"&gt;="&amp;$A40,Despesas!$C:$C,G$1,Despesas!$M:$M,$B40)</f>
        <v>0</v>
      </c>
      <c r="H40" s="18">
        <f ca="1">SUMIFS(Despesas!$F:$F,Despesas!$J:$J,"&lt;="&amp;$A40,Despesas!$L:$L,"&gt;="&amp;$A40,Despesas!$C:$C,H$1,Despesas!$M:$M,"Mensal")+SUMIFS(Despesas!$F:$F,Despesas!$J:$J,"&lt;="&amp;$A40,Despesas!$L:$L,"&gt;="&amp;$A40,Despesas!$C:$C,H$1,Despesas!$M:$M,$B40)</f>
        <v>2686.355</v>
      </c>
      <c r="I40" s="18">
        <f>IF(Imóveis!$F$2="PRICE",IF(AND(Dados!$A40&gt;=Imóveis!$Q$2,Dados!$A40&lt;=Imóveis!$T$2),Imóveis!$U$2,0),IF((IF(AND(Dados!$A40&gt;=Imóveis!$Q$2,Dados!$A40&lt;=Imóveis!$T$2),Imóveis!$S$2-(DATEDIF(Imóveis!$Q$2,Dados!$A40,"m")),0))=0,0,((Imóveis!$N$2/Imóveis!$S$2)+((Imóveis!$N$2-((Imóveis!$S$2-(IF(AND(Dados!$A40&gt;=Imóveis!$Q$2,Dados!$A40&lt;=Imóveis!$T$2),Imóveis!$S$2-(DATEDIF(Imóveis!$Q$2,Dados!$A40,"m")),)))*(Imóveis!$N$2/Imóveis!$S$2)))*Imóveis!$P$2))))*IF(AND(Imóveis!$E$2&gt;0,Dados!$A40&gt;Imóveis!$E$2),0,1)</f>
        <v>16584.772873700378</v>
      </c>
      <c r="J40" s="18">
        <f ca="1">IF(Imóveis!$F$3="PRICE",IF(AND(Dados!$A40&gt;=Imóveis!$Q$3,Dados!$A40&lt;=Imóveis!$T$3),Imóveis!$U$3,0),IF((IF(AND(Dados!$A40&gt;=Imóveis!$Q$3,Dados!$A40&lt;=Imóveis!$T$3),Imóveis!$S$3-(DATEDIF(Imóveis!$Q$3,Dados!$A40,"m")),0))=0,0,((Imóveis!$N$3/Imóveis!$S$3)+((Imóveis!$N$3-((Imóveis!$S$3-(IF(AND(Dados!$A40&gt;=Imóveis!$Q$3,Dados!$A40&lt;=Imóveis!$T$3),Imóveis!$S$3-(DATEDIF(Imóveis!$Q$3,Dados!$A40,"m")),)))*(Imóveis!$N$3/Imóveis!$S$3)))*Imóveis!$P$3))))*IF(AND(Imóveis!$E$3&gt;0,Dados!$A40&gt;Imóveis!$E$3),0,1)</f>
        <v>9314.6986248807771</v>
      </c>
      <c r="K40" s="18">
        <f>IF(Imóveis!$F$4="PRICE",IF(AND(Dados!$A40&gt;=Imóveis!$Q$4,Dados!$A40&lt;=Imóveis!$T$4),Imóveis!$U$4,0),IF((IF(AND(Dados!$A40&gt;=Imóveis!$Q$4,Dados!$A40&lt;=Imóveis!$T$4),Imóveis!$S$4-(DATEDIF(Imóveis!$Q$4,Dados!$A40,"m")),0))=0,0,((Imóveis!$N$4/Imóveis!$S$4)+((Imóveis!$N$4-((Imóveis!$S$4-(IF(AND(Dados!$A40&gt;=Imóveis!$Q$4,Dados!$A40&lt;=Imóveis!$T$4),Imóveis!$S$4-(DATEDIF(Imóveis!$Q$4,Dados!$A40,"m")),)))*(Imóveis!$N$4/Imóveis!$S$4)))*Imóveis!$P$4))))*IF(AND(Imóveis!$E$4&gt;0,Dados!$A40&gt;Imóveis!$E$4),0,1)</f>
        <v>4643.949359272583</v>
      </c>
      <c r="L40" s="18">
        <f>IF(Imóveis!$F$5="PRICE",IF(AND(Dados!$A40&gt;=Imóveis!$Q$5,Dados!$A40&lt;=Imóveis!$T$5),Imóveis!$U$5,0),IF((IF(AND(Dados!$A40&gt;=Imóveis!$Q$5,Dados!$A40&lt;=Imóveis!$T$5),Imóveis!$S$5-(DATEDIF(Imóveis!$Q$5,Dados!$A40,"m")),0))=0,0,((Imóveis!$N$5/Imóveis!$S$5)+((Imóveis!$N$5-((Imóveis!$S$5-(IF(AND(Dados!$A40 &gt;=Imóveis!$Q$5,Dados!$A40&lt;=Imóveis!$T$5),Imóveis!$S$5-(DATEDIF(Imóveis!$Q$5,Dados!$A40,"m")),)))*(Imóveis!$N$5/Imóveis!$S$5)))*Imóveis!$P$5))))*IF(AND(Imóveis!$E$5&gt;0,Dados!$A40&gt;Imóveis!$E$5),0,1)*Imóveis!$I$5</f>
        <v>0</v>
      </c>
      <c r="M40" s="18">
        <f>IF(Imóveis!$F$6="PRICE",IF(AND(Dados!$A40&gt;=Imóveis!$Q$6,Dados!$A40&lt;=Imóveis!$T$6),Imóveis!$U$6,0),IF((IF(AND(Dados!$A40&gt;=Imóveis!$Q$6,Dados!$A40&lt;=Imóveis!$T$6),Imóveis!$S$6-(DATEDIF(Imóveis!$Q$6,Dados!$A40,"m")),0))=0,0,((Imóveis!$N$6/Imóveis!$S$6)+((Imóveis!$N$6-((Imóveis!$S$6-(IF(AND(Dados!$A40&gt;=Imóveis!$Q$6,Dados!$A40&lt;=Imóveis!$T$6),Imóveis!$S$6-(DATEDIF(Imóveis!$Q$6,Dados!$A40,"m")),)))*(Imóveis!$N$6/Imóveis!$S$6)))*Imóveis!$P$6))))*IF(AND(Imóveis!$E$6&gt;0,Dados!$A40&gt;Imóveis!$E$6),0,1)*Imóveis!$I$6</f>
        <v>0</v>
      </c>
      <c r="N40" s="18">
        <f t="shared" ca="1" si="3"/>
        <v>87229.775857853732</v>
      </c>
      <c r="O40" s="18">
        <f>SUMIFS(Receitas!$F:$F,Receitas!$J:$J,"&lt;="&amp;$A40,Receitas!$L:$L,"&gt;="&amp;$A40,Receitas!$C:$C,O$1,Receitas!$M:$M,"Mensal")+SUMIFS(Receitas!$F:$F,Receitas!$J:$J,"&lt;="&amp;$A40,Receitas!$L:$L,"&gt;="&amp;$A40,Receitas!$C:$C,O$1,Receitas!$M:$M,$B40)</f>
        <v>50000</v>
      </c>
      <c r="P40" s="18">
        <f>SUMIFS(Receitas!$F:$F,Receitas!$J:$J,"&lt;="&amp;$A40,Receitas!$L:$L,"&gt;="&amp;$A40,Receitas!$C:$C,P$1,Receitas!$M:$M,"Mensal")+SUMIFS(Receitas!$F:$F,Receitas!$J:$J,"&lt;="&amp;$A40,Receitas!$L:$L,"&gt;="&amp;$A40,Receitas!$C:$C,P$1,Receitas!$M:$M,$B40)</f>
        <v>20000</v>
      </c>
      <c r="Q40" s="18">
        <f ca="1">SUMIFS(Receitas!$F:$F,Receitas!$J:$J,"&lt;="&amp;$A40,Receitas!$L:$L,"&gt;="&amp;$A40,Receitas!$C:$C,Q$1,Receitas!$M:$M,"Mensal")+SUMIFS(Receitas!$F:$F,Receitas!$J:$J,"&lt;="&amp;$A40,Receitas!$L:$L,"&gt;="&amp;$A40,Receitas!$C:$C,Q$1,Receitas!$M:$M,$B40)</f>
        <v>15101.400000000001</v>
      </c>
      <c r="R40" s="18" cm="1">
        <f t="array" ref="R40">(IF(AND(Membros!$F$2="Sim",A40&lt;=MAX(Membros!$E$2:$E$5)),Membros!K$2,IF(AND(A40&gt;=Membros!J$2,A40&lt;=MAX(Membros!$E$2:$E$5)),Membros!K$2,0))+IF(AND(Membros!$F$3="Sim",A40&lt;=MAX(Membros!$E$2:$E$5)),Membros!K$3,IF(AND(A40&gt;=Membros!J$3,A40&lt;=MAX(Membros!$E$2:$E$5)),Membros!K$3,0)))*IF(AND(COUNTIFS(Tabela3[Tipo],"Provedor",Tabela3[Simulação Seguro],"Sim")=2,A40&gt;=MAX(IF(Tabela3[Tipo]="Dependente",Tabela3[Expectativa de Vida (Data)]))),0,1)</f>
        <v>0</v>
      </c>
      <c r="S40" s="18">
        <f t="shared" ca="1" si="4"/>
        <v>85101.4</v>
      </c>
      <c r="U40" s="18">
        <f t="shared" ca="1" si="7"/>
        <v>4856565.4952159505</v>
      </c>
      <c r="V40" s="18">
        <f>SUMIF(Imóveis!E:E,Dados!A:A,Imóveis!Z:Z)-SUMIF(Imóveis!E:E,Dados!A:A,Imóveis!Y:Y)</f>
        <v>0</v>
      </c>
      <c r="W40" s="18">
        <f>-SUMIF(Projetos!N:N,A40,Projetos!F:F)</f>
        <v>0</v>
      </c>
      <c r="X40" s="18">
        <f t="shared" ca="1" si="0"/>
        <v>-2128.3758578537381</v>
      </c>
      <c r="Y40" s="26">
        <f ca="1">(U40*((Indicadores_Economicos!D$2+1)^(1/12)-1))</f>
        <v>15899.131666543029</v>
      </c>
      <c r="Z40" s="18">
        <f t="shared" ca="1" si="5"/>
        <v>4870336.2510246402</v>
      </c>
      <c r="AA40" s="18">
        <f ca="1">Auxiliar_Projetos!E40</f>
        <v>371332.45273804263</v>
      </c>
      <c r="AB40" s="18">
        <f ca="1">Auxiliar_Projetos!K40</f>
        <v>326219.88337949931</v>
      </c>
      <c r="AC40" s="18">
        <f ca="1">IF(Z40-AA40-AB40&gt;Investimentos!$C$14,Investimentos!$C$14,IF(Z40-AA40-AB40&lt;Investimentos!$C$14,Z40-AA40-AB40,0))</f>
        <v>300000</v>
      </c>
      <c r="AD40" s="18">
        <f t="shared" ca="1" si="6"/>
        <v>3872783.9149070978</v>
      </c>
      <c r="AE40" s="18"/>
    </row>
    <row r="41" spans="1:31" x14ac:dyDescent="0.2">
      <c r="A41" s="4">
        <v>46844</v>
      </c>
      <c r="B41" s="5" t="str">
        <f t="shared" si="1"/>
        <v>abril</v>
      </c>
      <c r="C41" s="5" t="str">
        <f t="shared" si="9"/>
        <v>2028</v>
      </c>
      <c r="D41" s="5">
        <f>SUMIFS(Despesas!$F:$F,Despesas!$J:$J,"&lt;="&amp;$A41,Despesas!$L:$L,"&gt;="&amp;$A41,Despesas!$C:$C,D$1,Despesas!$M:$M,"Mensal")+SUMIFS(Despesas!$F:$F,Despesas!$J:$J,"&lt;="&amp;$A41,Despesas!$L:$L,"&gt;="&amp;$A41,Despesas!$C:$C,D$1,Despesas!$M:$M,$B41)</f>
        <v>23000</v>
      </c>
      <c r="E41" s="18">
        <f>SUMIFS(Despesas!$F:$F,Despesas!$J:$J,"&lt;="&amp;$A41,Despesas!$L:$L,"&gt;="&amp;$A41,Despesas!$C:$C,E$1,Despesas!$M:$M,"Mensal")+SUMIFS(Despesas!$F:$F,Despesas!$J:$J,"&lt;="&amp;$A41,Despesas!$L:$L,"&gt;="&amp;$A41,Despesas!$C:$C,E$1,Despesas!$M:$M,$B41)</f>
        <v>18000</v>
      </c>
      <c r="F41" s="5">
        <f>SUMIFS(Despesas!$F:$F,Despesas!$J:$J,"&lt;="&amp;$A41,Despesas!$L:$L,"&gt;="&amp;$A41,Despesas!$C:$C,F$1,Despesas!$M:$M,"Mensal")+SUMIFS(Despesas!$F:$F,Despesas!$J:$J,"&lt;="&amp;$A41,Despesas!$L:$L,"&gt;="&amp;$A41,Despesas!$C:$C,F$1,Despesas!$M:$M,$B41)</f>
        <v>13000</v>
      </c>
      <c r="G41" s="5">
        <f>SUMIFS(Despesas!$F:$F,Despesas!$J:$J,"&lt;="&amp;$A41,Despesas!$L:$L,"&gt;="&amp;$A41,Despesas!$C:$C,G$1,Despesas!$M:$M,"Mensal")+SUMIFS(Despesas!$F:$F,Despesas!$J:$J,"&lt;="&amp;$A41,Despesas!$L:$L,"&gt;="&amp;$A41,Despesas!$C:$C,G$1,Despesas!$M:$M,$B41)</f>
        <v>0</v>
      </c>
      <c r="H41" s="18">
        <f ca="1">SUMIFS(Despesas!$F:$F,Despesas!$J:$J,"&lt;="&amp;$A41,Despesas!$L:$L,"&gt;="&amp;$A41,Despesas!$C:$C,H$1,Despesas!$M:$M,"Mensal")+SUMIFS(Despesas!$F:$F,Despesas!$J:$J,"&lt;="&amp;$A41,Despesas!$L:$L,"&gt;="&amp;$A41,Despesas!$C:$C,H$1,Despesas!$M:$M,$B41)</f>
        <v>2686.355</v>
      </c>
      <c r="I41" s="18">
        <f>IF(Imóveis!$F$2="PRICE",IF(AND(Dados!$A41&gt;=Imóveis!$Q$2,Dados!$A41&lt;=Imóveis!$T$2),Imóveis!$U$2,0),IF((IF(AND(Dados!$A41&gt;=Imóveis!$Q$2,Dados!$A41&lt;=Imóveis!$T$2),Imóveis!$S$2-(DATEDIF(Imóveis!$Q$2,Dados!$A41,"m")),0))=0,0,((Imóveis!$N$2/Imóveis!$S$2)+((Imóveis!$N$2-((Imóveis!$S$2-(IF(AND(Dados!$A41&gt;=Imóveis!$Q$2,Dados!$A41&lt;=Imóveis!$T$2),Imóveis!$S$2-(DATEDIF(Imóveis!$Q$2,Dados!$A41,"m")),)))*(Imóveis!$N$2/Imóveis!$S$2)))*Imóveis!$P$2))))*IF(AND(Imóveis!$E$2&gt;0,Dados!$A41&gt;Imóveis!$E$2),0,1)</f>
        <v>16522.75178147557</v>
      </c>
      <c r="J41" s="18">
        <f ca="1">IF(Imóveis!$F$3="PRICE",IF(AND(Dados!$A41&gt;=Imóveis!$Q$3,Dados!$A41&lt;=Imóveis!$T$3),Imóveis!$U$3,0),IF((IF(AND(Dados!$A41&gt;=Imóveis!$Q$3,Dados!$A41&lt;=Imóveis!$T$3),Imóveis!$S$3-(DATEDIF(Imóveis!$Q$3,Dados!$A41,"m")),0))=0,0,((Imóveis!$N$3/Imóveis!$S$3)+((Imóveis!$N$3-((Imóveis!$S$3-(IF(AND(Dados!$A41&gt;=Imóveis!$Q$3,Dados!$A41&lt;=Imóveis!$T$3),Imóveis!$S$3-(DATEDIF(Imóveis!$Q$3,Dados!$A41,"m")),)))*(Imóveis!$N$3/Imóveis!$S$3)))*Imóveis!$P$3))))*IF(AND(Imóveis!$E$3&gt;0,Dados!$A41&gt;Imóveis!$E$3),0,1)</f>
        <v>9314.6986248807771</v>
      </c>
      <c r="K41" s="18">
        <f>IF(Imóveis!$F$4="PRICE",IF(AND(Dados!$A41&gt;=Imóveis!$Q$4,Dados!$A41&lt;=Imóveis!$T$4),Imóveis!$U$4,0),IF((IF(AND(Dados!$A41&gt;=Imóveis!$Q$4,Dados!$A41&lt;=Imóveis!$T$4),Imóveis!$S$4-(DATEDIF(Imóveis!$Q$4,Dados!$A41,"m")),0))=0,0,((Imóveis!$N$4/Imóveis!$S$4)+((Imóveis!$N$4-((Imóveis!$S$4-(IF(AND(Dados!$A41&gt;=Imóveis!$Q$4,Dados!$A41&lt;=Imóveis!$T$4),Imóveis!$S$4-(DATEDIF(Imóveis!$Q$4,Dados!$A41,"m")),)))*(Imóveis!$N$4/Imóveis!$S$4)))*Imóveis!$P$4))))*IF(AND(Imóveis!$E$4&gt;0,Dados!$A41&gt;Imóveis!$E$4),0,1)</f>
        <v>4643.949359272583</v>
      </c>
      <c r="L41" s="18">
        <f>IF(Imóveis!$F$5="PRICE",IF(AND(Dados!$A41&gt;=Imóveis!$Q$5,Dados!$A41&lt;=Imóveis!$T$5),Imóveis!$U$5,0),IF((IF(AND(Dados!$A41&gt;=Imóveis!$Q$5,Dados!$A41&lt;=Imóveis!$T$5),Imóveis!$S$5-(DATEDIF(Imóveis!$Q$5,Dados!$A41,"m")),0))=0,0,((Imóveis!$N$5/Imóveis!$S$5)+((Imóveis!$N$5-((Imóveis!$S$5-(IF(AND(Dados!$A41 &gt;=Imóveis!$Q$5,Dados!$A41&lt;=Imóveis!$T$5),Imóveis!$S$5-(DATEDIF(Imóveis!$Q$5,Dados!$A41,"m")),)))*(Imóveis!$N$5/Imóveis!$S$5)))*Imóveis!$P$5))))*IF(AND(Imóveis!$E$5&gt;0,Dados!$A41&gt;Imóveis!$E$5),0,1)*Imóveis!$I$5</f>
        <v>0</v>
      </c>
      <c r="M41" s="18">
        <f>IF(Imóveis!$F$6="PRICE",IF(AND(Dados!$A41&gt;=Imóveis!$Q$6,Dados!$A41&lt;=Imóveis!$T$6),Imóveis!$U$6,0),IF((IF(AND(Dados!$A41&gt;=Imóveis!$Q$6,Dados!$A41&lt;=Imóveis!$T$6),Imóveis!$S$6-(DATEDIF(Imóveis!$Q$6,Dados!$A41,"m")),0))=0,0,((Imóveis!$N$6/Imóveis!$S$6)+((Imóveis!$N$6-((Imóveis!$S$6-(IF(AND(Dados!$A41&gt;=Imóveis!$Q$6,Dados!$A41&lt;=Imóveis!$T$6),Imóveis!$S$6-(DATEDIF(Imóveis!$Q$6,Dados!$A41,"m")),)))*(Imóveis!$N$6/Imóveis!$S$6)))*Imóveis!$P$6))))*IF(AND(Imóveis!$E$6&gt;0,Dados!$A41&gt;Imóveis!$E$6),0,1)*Imóveis!$I$6</f>
        <v>0</v>
      </c>
      <c r="N41" s="18">
        <f t="shared" ca="1" si="3"/>
        <v>87167.754765628924</v>
      </c>
      <c r="O41" s="18">
        <f>SUMIFS(Receitas!$F:$F,Receitas!$J:$J,"&lt;="&amp;$A41,Receitas!$L:$L,"&gt;="&amp;$A41,Receitas!$C:$C,O$1,Receitas!$M:$M,"Mensal")+SUMIFS(Receitas!$F:$F,Receitas!$J:$J,"&lt;="&amp;$A41,Receitas!$L:$L,"&gt;="&amp;$A41,Receitas!$C:$C,O$1,Receitas!$M:$M,$B41)</f>
        <v>50000</v>
      </c>
      <c r="P41" s="18">
        <f>SUMIFS(Receitas!$F:$F,Receitas!$J:$J,"&lt;="&amp;$A41,Receitas!$L:$L,"&gt;="&amp;$A41,Receitas!$C:$C,P$1,Receitas!$M:$M,"Mensal")+SUMIFS(Receitas!$F:$F,Receitas!$J:$J,"&lt;="&amp;$A41,Receitas!$L:$L,"&gt;="&amp;$A41,Receitas!$C:$C,P$1,Receitas!$M:$M,$B41)</f>
        <v>85000</v>
      </c>
      <c r="Q41" s="18">
        <f ca="1">SUMIFS(Receitas!$F:$F,Receitas!$J:$J,"&lt;="&amp;$A41,Receitas!$L:$L,"&gt;="&amp;$A41,Receitas!$C:$C,Q$1,Receitas!$M:$M,"Mensal")+SUMIFS(Receitas!$F:$F,Receitas!$J:$J,"&lt;="&amp;$A41,Receitas!$L:$L,"&gt;="&amp;$A41,Receitas!$C:$C,Q$1,Receitas!$M:$M,$B41)</f>
        <v>15101.400000000001</v>
      </c>
      <c r="R41" s="18" cm="1">
        <f t="array" ref="R41">(IF(AND(Membros!$F$2="Sim",A41&lt;=MAX(Membros!$E$2:$E$5)),Membros!K$2,IF(AND(A41&gt;=Membros!J$2,A41&lt;=MAX(Membros!$E$2:$E$5)),Membros!K$2,0))+IF(AND(Membros!$F$3="Sim",A41&lt;=MAX(Membros!$E$2:$E$5)),Membros!K$3,IF(AND(A41&gt;=Membros!J$3,A41&lt;=MAX(Membros!$E$2:$E$5)),Membros!K$3,0)))*IF(AND(COUNTIFS(Tabela3[Tipo],"Provedor",Tabela3[Simulação Seguro],"Sim")=2,A41&gt;=MAX(IF(Tabela3[Tipo]="Dependente",Tabela3[Expectativa de Vida (Data)]))),0,1)</f>
        <v>0</v>
      </c>
      <c r="S41" s="18">
        <f t="shared" ca="1" si="4"/>
        <v>150101.4</v>
      </c>
      <c r="U41" s="18">
        <f t="shared" ca="1" si="7"/>
        <v>4870336.2510246402</v>
      </c>
      <c r="V41" s="18">
        <f>SUMIF(Imóveis!E:E,Dados!A:A,Imóveis!Z:Z)-SUMIF(Imóveis!E:E,Dados!A:A,Imóveis!Y:Y)</f>
        <v>0</v>
      </c>
      <c r="W41" s="18">
        <f>-SUMIF(Projetos!N:N,A41,Projetos!F:F)</f>
        <v>0</v>
      </c>
      <c r="X41" s="18">
        <f t="shared" ca="1" si="0"/>
        <v>62933.64523437107</v>
      </c>
      <c r="Y41" s="26">
        <f ca="1">(U41*((Indicadores_Economicos!D$2+1)^(1/12)-1))</f>
        <v>15944.213537664884</v>
      </c>
      <c r="Z41" s="18">
        <f t="shared" ca="1" si="5"/>
        <v>4949214.1097966768</v>
      </c>
      <c r="AA41" s="18">
        <f ca="1">Auxiliar_Projetos!E41</f>
        <v>372548.09856099269</v>
      </c>
      <c r="AB41" s="18">
        <f ca="1">Auxiliar_Projetos!K41</f>
        <v>327287.8423894631</v>
      </c>
      <c r="AC41" s="18">
        <f ca="1">IF(Z41-AA41-AB41&gt;Investimentos!$C$14,Investimentos!$C$14,IF(Z41-AA41-AB41&lt;Investimentos!$C$14,Z41-AA41-AB41,0))</f>
        <v>300000</v>
      </c>
      <c r="AD41" s="18">
        <f t="shared" ca="1" si="6"/>
        <v>3949378.1688462207</v>
      </c>
      <c r="AE41" s="18"/>
    </row>
    <row r="42" spans="1:31" x14ac:dyDescent="0.2">
      <c r="A42" s="4">
        <v>46874</v>
      </c>
      <c r="B42" s="5" t="str">
        <f t="shared" si="1"/>
        <v>maio</v>
      </c>
      <c r="C42" s="5" t="str">
        <f t="shared" si="9"/>
        <v>2028</v>
      </c>
      <c r="D42" s="5">
        <f>SUMIFS(Despesas!$F:$F,Despesas!$J:$J,"&lt;="&amp;$A42,Despesas!$L:$L,"&gt;="&amp;$A42,Despesas!$C:$C,D$1,Despesas!$M:$M,"Mensal")+SUMIFS(Despesas!$F:$F,Despesas!$J:$J,"&lt;="&amp;$A42,Despesas!$L:$L,"&gt;="&amp;$A42,Despesas!$C:$C,D$1,Despesas!$M:$M,$B42)</f>
        <v>23000</v>
      </c>
      <c r="E42" s="18">
        <f>SUMIFS(Despesas!$F:$F,Despesas!$J:$J,"&lt;="&amp;$A42,Despesas!$L:$L,"&gt;="&amp;$A42,Despesas!$C:$C,E$1,Despesas!$M:$M,"Mensal")+SUMIFS(Despesas!$F:$F,Despesas!$J:$J,"&lt;="&amp;$A42,Despesas!$L:$L,"&gt;="&amp;$A42,Despesas!$C:$C,E$1,Despesas!$M:$M,$B42)</f>
        <v>18000</v>
      </c>
      <c r="F42" s="5">
        <f>SUMIFS(Despesas!$F:$F,Despesas!$J:$J,"&lt;="&amp;$A42,Despesas!$L:$L,"&gt;="&amp;$A42,Despesas!$C:$C,F$1,Despesas!$M:$M,"Mensal")+SUMIFS(Despesas!$F:$F,Despesas!$J:$J,"&lt;="&amp;$A42,Despesas!$L:$L,"&gt;="&amp;$A42,Despesas!$C:$C,F$1,Despesas!$M:$M,$B42)</f>
        <v>13000</v>
      </c>
      <c r="G42" s="5">
        <f>SUMIFS(Despesas!$F:$F,Despesas!$J:$J,"&lt;="&amp;$A42,Despesas!$L:$L,"&gt;="&amp;$A42,Despesas!$C:$C,G$1,Despesas!$M:$M,"Mensal")+SUMIFS(Despesas!$F:$F,Despesas!$J:$J,"&lt;="&amp;$A42,Despesas!$L:$L,"&gt;="&amp;$A42,Despesas!$C:$C,G$1,Despesas!$M:$M,$B42)</f>
        <v>0</v>
      </c>
      <c r="H42" s="18">
        <f ca="1">SUMIFS(Despesas!$F:$F,Despesas!$J:$J,"&lt;="&amp;$A42,Despesas!$L:$L,"&gt;="&amp;$A42,Despesas!$C:$C,H$1,Despesas!$M:$M,"Mensal")+SUMIFS(Despesas!$F:$F,Despesas!$J:$J,"&lt;="&amp;$A42,Despesas!$L:$L,"&gt;="&amp;$A42,Despesas!$C:$C,H$1,Despesas!$M:$M,$B42)</f>
        <v>2686.355</v>
      </c>
      <c r="I42" s="18">
        <f>IF(Imóveis!$F$2="PRICE",IF(AND(Dados!$A42&gt;=Imóveis!$Q$2,Dados!$A42&lt;=Imóveis!$T$2),Imóveis!$U$2,0),IF((IF(AND(Dados!$A42&gt;=Imóveis!$Q$2,Dados!$A42&lt;=Imóveis!$T$2),Imóveis!$S$2-(DATEDIF(Imóveis!$Q$2,Dados!$A42,"m")),0))=0,0,((Imóveis!$N$2/Imóveis!$S$2)+((Imóveis!$N$2-((Imóveis!$S$2-(IF(AND(Dados!$A42&gt;=Imóveis!$Q$2,Dados!$A42&lt;=Imóveis!$T$2),Imóveis!$S$2-(DATEDIF(Imóveis!$Q$2,Dados!$A42,"m")),)))*(Imóveis!$N$2/Imóveis!$S$2)))*Imóveis!$P$2))))*IF(AND(Imóveis!$E$2&gt;0,Dados!$A42&gt;Imóveis!$E$2),0,1)</f>
        <v>16460.730689250766</v>
      </c>
      <c r="J42" s="18">
        <f ca="1">IF(Imóveis!$F$3="PRICE",IF(AND(Dados!$A42&gt;=Imóveis!$Q$3,Dados!$A42&lt;=Imóveis!$T$3),Imóveis!$U$3,0),IF((IF(AND(Dados!$A42&gt;=Imóveis!$Q$3,Dados!$A42&lt;=Imóveis!$T$3),Imóveis!$S$3-(DATEDIF(Imóveis!$Q$3,Dados!$A42,"m")),0))=0,0,((Imóveis!$N$3/Imóveis!$S$3)+((Imóveis!$N$3-((Imóveis!$S$3-(IF(AND(Dados!$A42&gt;=Imóveis!$Q$3,Dados!$A42&lt;=Imóveis!$T$3),Imóveis!$S$3-(DATEDIF(Imóveis!$Q$3,Dados!$A42,"m")),)))*(Imóveis!$N$3/Imóveis!$S$3)))*Imóveis!$P$3))))*IF(AND(Imóveis!$E$3&gt;0,Dados!$A42&gt;Imóveis!$E$3),0,1)</f>
        <v>9314.6986248807771</v>
      </c>
      <c r="K42" s="18">
        <f>IF(Imóveis!$F$4="PRICE",IF(AND(Dados!$A42&gt;=Imóveis!$Q$4,Dados!$A42&lt;=Imóveis!$T$4),Imóveis!$U$4,0),IF((IF(AND(Dados!$A42&gt;=Imóveis!$Q$4,Dados!$A42&lt;=Imóveis!$T$4),Imóveis!$S$4-(DATEDIF(Imóveis!$Q$4,Dados!$A42,"m")),0))=0,0,((Imóveis!$N$4/Imóveis!$S$4)+((Imóveis!$N$4-((Imóveis!$S$4-(IF(AND(Dados!$A42&gt;=Imóveis!$Q$4,Dados!$A42&lt;=Imóveis!$T$4),Imóveis!$S$4-(DATEDIF(Imóveis!$Q$4,Dados!$A42,"m")),)))*(Imóveis!$N$4/Imóveis!$S$4)))*Imóveis!$P$4))))*IF(AND(Imóveis!$E$4&gt;0,Dados!$A42&gt;Imóveis!$E$4),0,1)</f>
        <v>4643.949359272583</v>
      </c>
      <c r="L42" s="18">
        <f>IF(Imóveis!$F$5="PRICE",IF(AND(Dados!$A42&gt;=Imóveis!$Q$5,Dados!$A42&lt;=Imóveis!$T$5),Imóveis!$U$5,0),IF((IF(AND(Dados!$A42&gt;=Imóveis!$Q$5,Dados!$A42&lt;=Imóveis!$T$5),Imóveis!$S$5-(DATEDIF(Imóveis!$Q$5,Dados!$A42,"m")),0))=0,0,((Imóveis!$N$5/Imóveis!$S$5)+((Imóveis!$N$5-((Imóveis!$S$5-(IF(AND(Dados!$A42 &gt;=Imóveis!$Q$5,Dados!$A42&lt;=Imóveis!$T$5),Imóveis!$S$5-(DATEDIF(Imóveis!$Q$5,Dados!$A42,"m")),)))*(Imóveis!$N$5/Imóveis!$S$5)))*Imóveis!$P$5))))*IF(AND(Imóveis!$E$5&gt;0,Dados!$A42&gt;Imóveis!$E$5),0,1)*Imóveis!$I$5</f>
        <v>0</v>
      </c>
      <c r="M42" s="18">
        <f>IF(Imóveis!$F$6="PRICE",IF(AND(Dados!$A42&gt;=Imóveis!$Q$6,Dados!$A42&lt;=Imóveis!$T$6),Imóveis!$U$6,0),IF((IF(AND(Dados!$A42&gt;=Imóveis!$Q$6,Dados!$A42&lt;=Imóveis!$T$6),Imóveis!$S$6-(DATEDIF(Imóveis!$Q$6,Dados!$A42,"m")),0))=0,0,((Imóveis!$N$6/Imóveis!$S$6)+((Imóveis!$N$6-((Imóveis!$S$6-(IF(AND(Dados!$A42&gt;=Imóveis!$Q$6,Dados!$A42&lt;=Imóveis!$T$6),Imóveis!$S$6-(DATEDIF(Imóveis!$Q$6,Dados!$A42,"m")),)))*(Imóveis!$N$6/Imóveis!$S$6)))*Imóveis!$P$6))))*IF(AND(Imóveis!$E$6&gt;0,Dados!$A42&gt;Imóveis!$E$6),0,1)*Imóveis!$I$6</f>
        <v>0</v>
      </c>
      <c r="N42" s="18">
        <f t="shared" ca="1" si="3"/>
        <v>87105.733673404131</v>
      </c>
      <c r="O42" s="18">
        <f>SUMIFS(Receitas!$F:$F,Receitas!$J:$J,"&lt;="&amp;$A42,Receitas!$L:$L,"&gt;="&amp;$A42,Receitas!$C:$C,O$1,Receitas!$M:$M,"Mensal")+SUMIFS(Receitas!$F:$F,Receitas!$J:$J,"&lt;="&amp;$A42,Receitas!$L:$L,"&gt;="&amp;$A42,Receitas!$C:$C,O$1,Receitas!$M:$M,$B42)</f>
        <v>50000</v>
      </c>
      <c r="P42" s="18">
        <f>SUMIFS(Receitas!$F:$F,Receitas!$J:$J,"&lt;="&amp;$A42,Receitas!$L:$L,"&gt;="&amp;$A42,Receitas!$C:$C,P$1,Receitas!$M:$M,"Mensal")+SUMIFS(Receitas!$F:$F,Receitas!$J:$J,"&lt;="&amp;$A42,Receitas!$L:$L,"&gt;="&amp;$A42,Receitas!$C:$C,P$1,Receitas!$M:$M,$B42)</f>
        <v>20000</v>
      </c>
      <c r="Q42" s="18">
        <f ca="1">SUMIFS(Receitas!$F:$F,Receitas!$J:$J,"&lt;="&amp;$A42,Receitas!$L:$L,"&gt;="&amp;$A42,Receitas!$C:$C,Q$1,Receitas!$M:$M,"Mensal")+SUMIFS(Receitas!$F:$F,Receitas!$J:$J,"&lt;="&amp;$A42,Receitas!$L:$L,"&gt;="&amp;$A42,Receitas!$C:$C,Q$1,Receitas!$M:$M,$B42)</f>
        <v>15101.400000000001</v>
      </c>
      <c r="R42" s="18" cm="1">
        <f t="array" ref="R42">(IF(AND(Membros!$F$2="Sim",A42&lt;=MAX(Membros!$E$2:$E$5)),Membros!K$2,IF(AND(A42&gt;=Membros!J$2,A42&lt;=MAX(Membros!$E$2:$E$5)),Membros!K$2,0))+IF(AND(Membros!$F$3="Sim",A42&lt;=MAX(Membros!$E$2:$E$5)),Membros!K$3,IF(AND(A42&gt;=Membros!J$3,A42&lt;=MAX(Membros!$E$2:$E$5)),Membros!K$3,0)))*IF(AND(COUNTIFS(Tabela3[Tipo],"Provedor",Tabela3[Simulação Seguro],"Sim")=2,A42&gt;=MAX(IF(Tabela3[Tipo]="Dependente",Tabela3[Expectativa de Vida (Data)]))),0,1)</f>
        <v>0</v>
      </c>
      <c r="S42" s="18">
        <f t="shared" ca="1" si="4"/>
        <v>85101.4</v>
      </c>
      <c r="U42" s="18">
        <f t="shared" ca="1" si="7"/>
        <v>4949214.1097966768</v>
      </c>
      <c r="V42" s="18">
        <f>SUMIF(Imóveis!E:E,Dados!A:A,Imóveis!Z:Z)-SUMIF(Imóveis!E:E,Dados!A:A,Imóveis!Y:Y)</f>
        <v>0</v>
      </c>
      <c r="W42" s="18">
        <f>-SUMIF(Projetos!N:N,A42,Projetos!F:F)</f>
        <v>-150000</v>
      </c>
      <c r="X42" s="18">
        <f t="shared" ca="1" si="0"/>
        <v>-2004.3336734041368</v>
      </c>
      <c r="Y42" s="26">
        <f ca="1">(U42*((Indicadores_Economicos!D$2+1)^(1/12)-1))</f>
        <v>16202.439121861567</v>
      </c>
      <c r="Z42" s="18">
        <f t="shared" ca="1" si="5"/>
        <v>4813412.2152451342</v>
      </c>
      <c r="AA42" s="18">
        <f ca="1">Auxiliar_Projetos!E42</f>
        <v>223276.66312470453</v>
      </c>
      <c r="AB42" s="18">
        <f ca="1">Auxiliar_Projetos!K42</f>
        <v>328359.29761932354</v>
      </c>
      <c r="AC42" s="18">
        <f ca="1">IF(Z42-AA42-AB42&gt;Investimentos!$C$14,Investimentos!$C$14,IF(Z42-AA42-AB42&lt;Investimentos!$C$14,Z42-AA42-AB42,0))</f>
        <v>300000</v>
      </c>
      <c r="AD42" s="18">
        <f t="shared" ca="1" si="6"/>
        <v>3961776.2545011062</v>
      </c>
      <c r="AE42" s="18"/>
    </row>
    <row r="43" spans="1:31" x14ac:dyDescent="0.2">
      <c r="A43" s="4">
        <v>46905</v>
      </c>
      <c r="B43" s="5" t="str">
        <f t="shared" si="1"/>
        <v>junho</v>
      </c>
      <c r="C43" s="5" t="str">
        <f t="shared" si="9"/>
        <v>2028</v>
      </c>
      <c r="D43" s="5">
        <f>SUMIFS(Despesas!$F:$F,Despesas!$J:$J,"&lt;="&amp;$A43,Despesas!$L:$L,"&gt;="&amp;$A43,Despesas!$C:$C,D$1,Despesas!$M:$M,"Mensal")+SUMIFS(Despesas!$F:$F,Despesas!$J:$J,"&lt;="&amp;$A43,Despesas!$L:$L,"&gt;="&amp;$A43,Despesas!$C:$C,D$1,Despesas!$M:$M,$B43)</f>
        <v>23000</v>
      </c>
      <c r="E43" s="18">
        <f>SUMIFS(Despesas!$F:$F,Despesas!$J:$J,"&lt;="&amp;$A43,Despesas!$L:$L,"&gt;="&amp;$A43,Despesas!$C:$C,E$1,Despesas!$M:$M,"Mensal")+SUMIFS(Despesas!$F:$F,Despesas!$J:$J,"&lt;="&amp;$A43,Despesas!$L:$L,"&gt;="&amp;$A43,Despesas!$C:$C,E$1,Despesas!$M:$M,$B43)</f>
        <v>18000</v>
      </c>
      <c r="F43" s="5">
        <f>SUMIFS(Despesas!$F:$F,Despesas!$J:$J,"&lt;="&amp;$A43,Despesas!$L:$L,"&gt;="&amp;$A43,Despesas!$C:$C,F$1,Despesas!$M:$M,"Mensal")+SUMIFS(Despesas!$F:$F,Despesas!$J:$J,"&lt;="&amp;$A43,Despesas!$L:$L,"&gt;="&amp;$A43,Despesas!$C:$C,F$1,Despesas!$M:$M,$B43)</f>
        <v>13000</v>
      </c>
      <c r="G43" s="5">
        <f>SUMIFS(Despesas!$F:$F,Despesas!$J:$J,"&lt;="&amp;$A43,Despesas!$L:$L,"&gt;="&amp;$A43,Despesas!$C:$C,G$1,Despesas!$M:$M,"Mensal")+SUMIFS(Despesas!$F:$F,Despesas!$J:$J,"&lt;="&amp;$A43,Despesas!$L:$L,"&gt;="&amp;$A43,Despesas!$C:$C,G$1,Despesas!$M:$M,$B43)</f>
        <v>0</v>
      </c>
      <c r="H43" s="18">
        <f ca="1">SUMIFS(Despesas!$F:$F,Despesas!$J:$J,"&lt;="&amp;$A43,Despesas!$L:$L,"&gt;="&amp;$A43,Despesas!$C:$C,H$1,Despesas!$M:$M,"Mensal")+SUMIFS(Despesas!$F:$F,Despesas!$J:$J,"&lt;="&amp;$A43,Despesas!$L:$L,"&gt;="&amp;$A43,Despesas!$C:$C,H$1,Despesas!$M:$M,$B43)</f>
        <v>2686.355</v>
      </c>
      <c r="I43" s="18">
        <f>IF(Imóveis!$F$2="PRICE",IF(AND(Dados!$A43&gt;=Imóveis!$Q$2,Dados!$A43&lt;=Imóveis!$T$2),Imóveis!$U$2,0),IF((IF(AND(Dados!$A43&gt;=Imóveis!$Q$2,Dados!$A43&lt;=Imóveis!$T$2),Imóveis!$S$2-(DATEDIF(Imóveis!$Q$2,Dados!$A43,"m")),0))=0,0,((Imóveis!$N$2/Imóveis!$S$2)+((Imóveis!$N$2-((Imóveis!$S$2-(IF(AND(Dados!$A43&gt;=Imóveis!$Q$2,Dados!$A43&lt;=Imóveis!$T$2),Imóveis!$S$2-(DATEDIF(Imóveis!$Q$2,Dados!$A43,"m")),)))*(Imóveis!$N$2/Imóveis!$S$2)))*Imóveis!$P$2))))*IF(AND(Imóveis!$E$2&gt;0,Dados!$A43&gt;Imóveis!$E$2),0,1)</f>
        <v>16398.709597025958</v>
      </c>
      <c r="J43" s="18">
        <f ca="1">IF(Imóveis!$F$3="PRICE",IF(AND(Dados!$A43&gt;=Imóveis!$Q$3,Dados!$A43&lt;=Imóveis!$T$3),Imóveis!$U$3,0),IF((IF(AND(Dados!$A43&gt;=Imóveis!$Q$3,Dados!$A43&lt;=Imóveis!$T$3),Imóveis!$S$3-(DATEDIF(Imóveis!$Q$3,Dados!$A43,"m")),0))=0,0,((Imóveis!$N$3/Imóveis!$S$3)+((Imóveis!$N$3-((Imóveis!$S$3-(IF(AND(Dados!$A43&gt;=Imóveis!$Q$3,Dados!$A43&lt;=Imóveis!$T$3),Imóveis!$S$3-(DATEDIF(Imóveis!$Q$3,Dados!$A43,"m")),)))*(Imóveis!$N$3/Imóveis!$S$3)))*Imóveis!$P$3))))*IF(AND(Imóveis!$E$3&gt;0,Dados!$A43&gt;Imóveis!$E$3),0,1)</f>
        <v>9314.6986248807771</v>
      </c>
      <c r="K43" s="18">
        <f>IF(Imóveis!$F$4="PRICE",IF(AND(Dados!$A43&gt;=Imóveis!$Q$4,Dados!$A43&lt;=Imóveis!$T$4),Imóveis!$U$4,0),IF((IF(AND(Dados!$A43&gt;=Imóveis!$Q$4,Dados!$A43&lt;=Imóveis!$T$4),Imóveis!$S$4-(DATEDIF(Imóveis!$Q$4,Dados!$A43,"m")),0))=0,0,((Imóveis!$N$4/Imóveis!$S$4)+((Imóveis!$N$4-((Imóveis!$S$4-(IF(AND(Dados!$A43&gt;=Imóveis!$Q$4,Dados!$A43&lt;=Imóveis!$T$4),Imóveis!$S$4-(DATEDIF(Imóveis!$Q$4,Dados!$A43,"m")),)))*(Imóveis!$N$4/Imóveis!$S$4)))*Imóveis!$P$4))))*IF(AND(Imóveis!$E$4&gt;0,Dados!$A43&gt;Imóveis!$E$4),0,1)</f>
        <v>4643.949359272583</v>
      </c>
      <c r="L43" s="18">
        <f>IF(Imóveis!$F$5="PRICE",IF(AND(Dados!$A43&gt;=Imóveis!$Q$5,Dados!$A43&lt;=Imóveis!$T$5),Imóveis!$U$5,0),IF((IF(AND(Dados!$A43&gt;=Imóveis!$Q$5,Dados!$A43&lt;=Imóveis!$T$5),Imóveis!$S$5-(DATEDIF(Imóveis!$Q$5,Dados!$A43,"m")),0))=0,0,((Imóveis!$N$5/Imóveis!$S$5)+((Imóveis!$N$5-((Imóveis!$S$5-(IF(AND(Dados!$A43 &gt;=Imóveis!$Q$5,Dados!$A43&lt;=Imóveis!$T$5),Imóveis!$S$5-(DATEDIF(Imóveis!$Q$5,Dados!$A43,"m")),)))*(Imóveis!$N$5/Imóveis!$S$5)))*Imóveis!$P$5))))*IF(AND(Imóveis!$E$5&gt;0,Dados!$A43&gt;Imóveis!$E$5),0,1)*Imóveis!$I$5</f>
        <v>0</v>
      </c>
      <c r="M43" s="18">
        <f>IF(Imóveis!$F$6="PRICE",IF(AND(Dados!$A43&gt;=Imóveis!$Q$6,Dados!$A43&lt;=Imóveis!$T$6),Imóveis!$U$6,0),IF((IF(AND(Dados!$A43&gt;=Imóveis!$Q$6,Dados!$A43&lt;=Imóveis!$T$6),Imóveis!$S$6-(DATEDIF(Imóveis!$Q$6,Dados!$A43,"m")),0))=0,0,((Imóveis!$N$6/Imóveis!$S$6)+((Imóveis!$N$6-((Imóveis!$S$6-(IF(AND(Dados!$A43&gt;=Imóveis!$Q$6,Dados!$A43&lt;=Imóveis!$T$6),Imóveis!$S$6-(DATEDIF(Imóveis!$Q$6,Dados!$A43,"m")),)))*(Imóveis!$N$6/Imóveis!$S$6)))*Imóveis!$P$6))))*IF(AND(Imóveis!$E$6&gt;0,Dados!$A43&gt;Imóveis!$E$6),0,1)*Imóveis!$I$6</f>
        <v>0</v>
      </c>
      <c r="N43" s="18">
        <f t="shared" ca="1" si="3"/>
        <v>87043.712581179323</v>
      </c>
      <c r="O43" s="18">
        <f>SUMIFS(Receitas!$F:$F,Receitas!$J:$J,"&lt;="&amp;$A43,Receitas!$L:$L,"&gt;="&amp;$A43,Receitas!$C:$C,O$1,Receitas!$M:$M,"Mensal")+SUMIFS(Receitas!$F:$F,Receitas!$J:$J,"&lt;="&amp;$A43,Receitas!$L:$L,"&gt;="&amp;$A43,Receitas!$C:$C,O$1,Receitas!$M:$M,$B43)</f>
        <v>50000</v>
      </c>
      <c r="P43" s="18">
        <f>SUMIFS(Receitas!$F:$F,Receitas!$J:$J,"&lt;="&amp;$A43,Receitas!$L:$L,"&gt;="&amp;$A43,Receitas!$C:$C,P$1,Receitas!$M:$M,"Mensal")+SUMIFS(Receitas!$F:$F,Receitas!$J:$J,"&lt;="&amp;$A43,Receitas!$L:$L,"&gt;="&amp;$A43,Receitas!$C:$C,P$1,Receitas!$M:$M,$B43)</f>
        <v>20000</v>
      </c>
      <c r="Q43" s="18">
        <f ca="1">SUMIFS(Receitas!$F:$F,Receitas!$J:$J,"&lt;="&amp;$A43,Receitas!$L:$L,"&gt;="&amp;$A43,Receitas!$C:$C,Q$1,Receitas!$M:$M,"Mensal")+SUMIFS(Receitas!$F:$F,Receitas!$J:$J,"&lt;="&amp;$A43,Receitas!$L:$L,"&gt;="&amp;$A43,Receitas!$C:$C,Q$1,Receitas!$M:$M,$B43)</f>
        <v>15101.400000000001</v>
      </c>
      <c r="R43" s="18" cm="1">
        <f t="array" ref="R43">(IF(AND(Membros!$F$2="Sim",A43&lt;=MAX(Membros!$E$2:$E$5)),Membros!K$2,IF(AND(A43&gt;=Membros!J$2,A43&lt;=MAX(Membros!$E$2:$E$5)),Membros!K$2,0))+IF(AND(Membros!$F$3="Sim",A43&lt;=MAX(Membros!$E$2:$E$5)),Membros!K$3,IF(AND(A43&gt;=Membros!J$3,A43&lt;=MAX(Membros!$E$2:$E$5)),Membros!K$3,0)))*IF(AND(COUNTIFS(Tabela3[Tipo],"Provedor",Tabela3[Simulação Seguro],"Sim")=2,A43&gt;=MAX(IF(Tabela3[Tipo]="Dependente",Tabela3[Expectativa de Vida (Data)]))),0,1)</f>
        <v>0</v>
      </c>
      <c r="S43" s="18">
        <f t="shared" ca="1" si="4"/>
        <v>85101.4</v>
      </c>
      <c r="U43" s="18">
        <f t="shared" ca="1" si="7"/>
        <v>4813412.2152451342</v>
      </c>
      <c r="V43" s="18">
        <f>SUMIF(Imóveis!E:E,Dados!A:A,Imóveis!Z:Z)-SUMIF(Imóveis!E:E,Dados!A:A,Imóveis!Y:Y)</f>
        <v>0</v>
      </c>
      <c r="W43" s="18">
        <f>-SUMIF(Projetos!N:N,A43,Projetos!F:F)</f>
        <v>0</v>
      </c>
      <c r="X43" s="18">
        <f t="shared" ca="1" si="0"/>
        <v>-1942.3125811793288</v>
      </c>
      <c r="Y43" s="26">
        <f ca="1">(U43*((Indicadores_Economicos!D$2+1)^(1/12)-1))</f>
        <v>15757.859057170201</v>
      </c>
      <c r="Z43" s="18">
        <f t="shared" ca="1" si="5"/>
        <v>4827227.7617211249</v>
      </c>
      <c r="AA43" s="18">
        <f ca="1">Auxiliar_Projetos!E43</f>
        <v>224007.61281921249</v>
      </c>
      <c r="AB43" s="18">
        <f ca="1">Auxiliar_Projetos!K43</f>
        <v>329434.26051479479</v>
      </c>
      <c r="AC43" s="18">
        <f ca="1">IF(Z43-AA43-AB43&gt;Investimentos!$C$14,Investimentos!$C$14,IF(Z43-AA43-AB43&lt;Investimentos!$C$14,Z43-AA43-AB43,0))</f>
        <v>300000</v>
      </c>
      <c r="AD43" s="18">
        <f t="shared" ca="1" si="6"/>
        <v>3973785.8883871175</v>
      </c>
      <c r="AE43" s="18"/>
    </row>
    <row r="44" spans="1:31" x14ac:dyDescent="0.2">
      <c r="A44" s="4">
        <v>46935</v>
      </c>
      <c r="B44" s="5" t="str">
        <f t="shared" si="1"/>
        <v>julho</v>
      </c>
      <c r="C44" s="5" t="str">
        <f t="shared" si="9"/>
        <v>2028</v>
      </c>
      <c r="D44" s="5">
        <f>SUMIFS(Despesas!$F:$F,Despesas!$J:$J,"&lt;="&amp;$A44,Despesas!$L:$L,"&gt;="&amp;$A44,Despesas!$C:$C,D$1,Despesas!$M:$M,"Mensal")+SUMIFS(Despesas!$F:$F,Despesas!$J:$J,"&lt;="&amp;$A44,Despesas!$L:$L,"&gt;="&amp;$A44,Despesas!$C:$C,D$1,Despesas!$M:$M,$B44)</f>
        <v>23000</v>
      </c>
      <c r="E44" s="18">
        <f>SUMIFS(Despesas!$F:$F,Despesas!$J:$J,"&lt;="&amp;$A44,Despesas!$L:$L,"&gt;="&amp;$A44,Despesas!$C:$C,E$1,Despesas!$M:$M,"Mensal")+SUMIFS(Despesas!$F:$F,Despesas!$J:$J,"&lt;="&amp;$A44,Despesas!$L:$L,"&gt;="&amp;$A44,Despesas!$C:$C,E$1,Despesas!$M:$M,$B44)</f>
        <v>18000</v>
      </c>
      <c r="F44" s="5">
        <f>SUMIFS(Despesas!$F:$F,Despesas!$J:$J,"&lt;="&amp;$A44,Despesas!$L:$L,"&gt;="&amp;$A44,Despesas!$C:$C,F$1,Despesas!$M:$M,"Mensal")+SUMIFS(Despesas!$F:$F,Despesas!$J:$J,"&lt;="&amp;$A44,Despesas!$L:$L,"&gt;="&amp;$A44,Despesas!$C:$C,F$1,Despesas!$M:$M,$B44)</f>
        <v>13000</v>
      </c>
      <c r="G44" s="5">
        <f ca="1">SUMIFS(Despesas!$F:$F,Despesas!$J:$J,"&lt;="&amp;$A44,Despesas!$L:$L,"&gt;="&amp;$A44,Despesas!$C:$C,G$1,Despesas!$M:$M,"Mensal")+SUMIFS(Despesas!$F:$F,Despesas!$J:$J,"&lt;="&amp;$A44,Despesas!$L:$L,"&gt;="&amp;$A44,Despesas!$C:$C,G$1,Despesas!$M:$M,$B44)</f>
        <v>55757</v>
      </c>
      <c r="H44" s="18">
        <f ca="1">SUMIFS(Despesas!$F:$F,Despesas!$J:$J,"&lt;="&amp;$A44,Despesas!$L:$L,"&gt;="&amp;$A44,Despesas!$C:$C,H$1,Despesas!$M:$M,"Mensal")+SUMIFS(Despesas!$F:$F,Despesas!$J:$J,"&lt;="&amp;$A44,Despesas!$L:$L,"&gt;="&amp;$A44,Despesas!$C:$C,H$1,Despesas!$M:$M,$B44)</f>
        <v>2686.355</v>
      </c>
      <c r="I44" s="18">
        <f>IF(Imóveis!$F$2="PRICE",IF(AND(Dados!$A44&gt;=Imóveis!$Q$2,Dados!$A44&lt;=Imóveis!$T$2),Imóveis!$U$2,0),IF((IF(AND(Dados!$A44&gt;=Imóveis!$Q$2,Dados!$A44&lt;=Imóveis!$T$2),Imóveis!$S$2-(DATEDIF(Imóveis!$Q$2,Dados!$A44,"m")),0))=0,0,((Imóveis!$N$2/Imóveis!$S$2)+((Imóveis!$N$2-((Imóveis!$S$2-(IF(AND(Dados!$A44&gt;=Imóveis!$Q$2,Dados!$A44&lt;=Imóveis!$T$2),Imóveis!$S$2-(DATEDIF(Imóveis!$Q$2,Dados!$A44,"m")),)))*(Imóveis!$N$2/Imóveis!$S$2)))*Imóveis!$P$2))))*IF(AND(Imóveis!$E$2&gt;0,Dados!$A44&gt;Imóveis!$E$2),0,1)</f>
        <v>16336.688504801152</v>
      </c>
      <c r="J44" s="18">
        <f ca="1">IF(Imóveis!$F$3="PRICE",IF(AND(Dados!$A44&gt;=Imóveis!$Q$3,Dados!$A44&lt;=Imóveis!$T$3),Imóveis!$U$3,0),IF((IF(AND(Dados!$A44&gt;=Imóveis!$Q$3,Dados!$A44&lt;=Imóveis!$T$3),Imóveis!$S$3-(DATEDIF(Imóveis!$Q$3,Dados!$A44,"m")),0))=0,0,((Imóveis!$N$3/Imóveis!$S$3)+((Imóveis!$N$3-((Imóveis!$S$3-(IF(AND(Dados!$A44&gt;=Imóveis!$Q$3,Dados!$A44&lt;=Imóveis!$T$3),Imóveis!$S$3-(DATEDIF(Imóveis!$Q$3,Dados!$A44,"m")),)))*(Imóveis!$N$3/Imóveis!$S$3)))*Imóveis!$P$3))))*IF(AND(Imóveis!$E$3&gt;0,Dados!$A44&gt;Imóveis!$E$3),0,1)</f>
        <v>9314.6986248807771</v>
      </c>
      <c r="K44" s="18">
        <f>IF(Imóveis!$F$4="PRICE",IF(AND(Dados!$A44&gt;=Imóveis!$Q$4,Dados!$A44&lt;=Imóveis!$T$4),Imóveis!$U$4,0),IF((IF(AND(Dados!$A44&gt;=Imóveis!$Q$4,Dados!$A44&lt;=Imóveis!$T$4),Imóveis!$S$4-(DATEDIF(Imóveis!$Q$4,Dados!$A44,"m")),0))=0,0,((Imóveis!$N$4/Imóveis!$S$4)+((Imóveis!$N$4-((Imóveis!$S$4-(IF(AND(Dados!$A44&gt;=Imóveis!$Q$4,Dados!$A44&lt;=Imóveis!$T$4),Imóveis!$S$4-(DATEDIF(Imóveis!$Q$4,Dados!$A44,"m")),)))*(Imóveis!$N$4/Imóveis!$S$4)))*Imóveis!$P$4))))*IF(AND(Imóveis!$E$4&gt;0,Dados!$A44&gt;Imóveis!$E$4),0,1)</f>
        <v>4643.949359272583</v>
      </c>
      <c r="L44" s="18">
        <f>IF(Imóveis!$F$5="PRICE",IF(AND(Dados!$A44&gt;=Imóveis!$Q$5,Dados!$A44&lt;=Imóveis!$T$5),Imóveis!$U$5,0),IF((IF(AND(Dados!$A44&gt;=Imóveis!$Q$5,Dados!$A44&lt;=Imóveis!$T$5),Imóveis!$S$5-(DATEDIF(Imóveis!$Q$5,Dados!$A44,"m")),0))=0,0,((Imóveis!$N$5/Imóveis!$S$5)+((Imóveis!$N$5-((Imóveis!$S$5-(IF(AND(Dados!$A44 &gt;=Imóveis!$Q$5,Dados!$A44&lt;=Imóveis!$T$5),Imóveis!$S$5-(DATEDIF(Imóveis!$Q$5,Dados!$A44,"m")),)))*(Imóveis!$N$5/Imóveis!$S$5)))*Imóveis!$P$5))))*IF(AND(Imóveis!$E$5&gt;0,Dados!$A44&gt;Imóveis!$E$5),0,1)*Imóveis!$I$5</f>
        <v>0</v>
      </c>
      <c r="M44" s="18">
        <f>IF(Imóveis!$F$6="PRICE",IF(AND(Dados!$A44&gt;=Imóveis!$Q$6,Dados!$A44&lt;=Imóveis!$T$6),Imóveis!$U$6,0),IF((IF(AND(Dados!$A44&gt;=Imóveis!$Q$6,Dados!$A44&lt;=Imóveis!$T$6),Imóveis!$S$6-(DATEDIF(Imóveis!$Q$6,Dados!$A44,"m")),0))=0,0,((Imóveis!$N$6/Imóveis!$S$6)+((Imóveis!$N$6-((Imóveis!$S$6-(IF(AND(Dados!$A44&gt;=Imóveis!$Q$6,Dados!$A44&lt;=Imóveis!$T$6),Imóveis!$S$6-(DATEDIF(Imóveis!$Q$6,Dados!$A44,"m")),)))*(Imóveis!$N$6/Imóveis!$S$6)))*Imóveis!$P$6))))*IF(AND(Imóveis!$E$6&gt;0,Dados!$A44&gt;Imóveis!$E$6),0,1)*Imóveis!$I$6</f>
        <v>0</v>
      </c>
      <c r="N44" s="18">
        <f t="shared" ca="1" si="3"/>
        <v>142738.6914889545</v>
      </c>
      <c r="O44" s="18">
        <f>SUMIFS(Receitas!$F:$F,Receitas!$J:$J,"&lt;="&amp;$A44,Receitas!$L:$L,"&gt;="&amp;$A44,Receitas!$C:$C,O$1,Receitas!$M:$M,"Mensal")+SUMIFS(Receitas!$F:$F,Receitas!$J:$J,"&lt;="&amp;$A44,Receitas!$L:$L,"&gt;="&amp;$A44,Receitas!$C:$C,O$1,Receitas!$M:$M,$B44)</f>
        <v>50000</v>
      </c>
      <c r="P44" s="18">
        <f>SUMIFS(Receitas!$F:$F,Receitas!$J:$J,"&lt;="&amp;$A44,Receitas!$L:$L,"&gt;="&amp;$A44,Receitas!$C:$C,P$1,Receitas!$M:$M,"Mensal")+SUMIFS(Receitas!$F:$F,Receitas!$J:$J,"&lt;="&amp;$A44,Receitas!$L:$L,"&gt;="&amp;$A44,Receitas!$C:$C,P$1,Receitas!$M:$M,$B44)</f>
        <v>20000</v>
      </c>
      <c r="Q44" s="18">
        <f ca="1">SUMIFS(Receitas!$F:$F,Receitas!$J:$J,"&lt;="&amp;$A44,Receitas!$L:$L,"&gt;="&amp;$A44,Receitas!$C:$C,Q$1,Receitas!$M:$M,"Mensal")+SUMIFS(Receitas!$F:$F,Receitas!$J:$J,"&lt;="&amp;$A44,Receitas!$L:$L,"&gt;="&amp;$A44,Receitas!$C:$C,Q$1,Receitas!$M:$M,$B44)</f>
        <v>15101.400000000001</v>
      </c>
      <c r="R44" s="18" cm="1">
        <f t="array" ref="R44">(IF(AND(Membros!$F$2="Sim",A44&lt;=MAX(Membros!$E$2:$E$5)),Membros!K$2,IF(AND(A44&gt;=Membros!J$2,A44&lt;=MAX(Membros!$E$2:$E$5)),Membros!K$2,0))+IF(AND(Membros!$F$3="Sim",A44&lt;=MAX(Membros!$E$2:$E$5)),Membros!K$3,IF(AND(A44&gt;=Membros!J$3,A44&lt;=MAX(Membros!$E$2:$E$5)),Membros!K$3,0)))*IF(AND(COUNTIFS(Tabela3[Tipo],"Provedor",Tabela3[Simulação Seguro],"Sim")=2,A44&gt;=MAX(IF(Tabela3[Tipo]="Dependente",Tabela3[Expectativa de Vida (Data)]))),0,1)</f>
        <v>0</v>
      </c>
      <c r="S44" s="18">
        <f t="shared" ca="1" si="4"/>
        <v>85101.4</v>
      </c>
      <c r="U44" s="18">
        <f t="shared" ca="1" si="7"/>
        <v>4827227.7617211249</v>
      </c>
      <c r="V44" s="18">
        <f>SUMIF(Imóveis!E:E,Dados!A:A,Imóveis!Z:Z)-SUMIF(Imóveis!E:E,Dados!A:A,Imóveis!Y:Y)</f>
        <v>0</v>
      </c>
      <c r="W44" s="18">
        <f>-SUMIF(Projetos!N:N,A44,Projetos!F:F)</f>
        <v>0</v>
      </c>
      <c r="X44" s="18">
        <f t="shared" ca="1" si="0"/>
        <v>-57637.291488954506</v>
      </c>
      <c r="Y44" s="26">
        <f ca="1">(U44*((Indicadores_Economicos!D$2+1)^(1/12)-1))</f>
        <v>15803.087561281469</v>
      </c>
      <c r="Z44" s="18">
        <f t="shared" ca="1" si="5"/>
        <v>4785393.5577934515</v>
      </c>
      <c r="AA44" s="18">
        <f ca="1">Auxiliar_Projetos!E44</f>
        <v>224740.95545281415</v>
      </c>
      <c r="AB44" s="18">
        <f ca="1">Auxiliar_Projetos!K44</f>
        <v>330512.74255906133</v>
      </c>
      <c r="AC44" s="18">
        <f ca="1">IF(Z44-AA44-AB44&gt;Investimentos!$C$14,Investimentos!$C$14,IF(Z44-AA44-AB44&lt;Investimentos!$C$14,Z44-AA44-AB44,0))</f>
        <v>300000</v>
      </c>
      <c r="AD44" s="18">
        <f t="shared" ca="1" si="6"/>
        <v>3930139.8597815763</v>
      </c>
      <c r="AE44" s="18"/>
    </row>
    <row r="45" spans="1:31" x14ac:dyDescent="0.2">
      <c r="A45" s="4">
        <v>46966</v>
      </c>
      <c r="B45" s="5" t="str">
        <f t="shared" si="1"/>
        <v>agosto</v>
      </c>
      <c r="C45" s="5" t="str">
        <f t="shared" si="9"/>
        <v>2028</v>
      </c>
      <c r="D45" s="5">
        <f>SUMIFS(Despesas!$F:$F,Despesas!$J:$J,"&lt;="&amp;$A45,Despesas!$L:$L,"&gt;="&amp;$A45,Despesas!$C:$C,D$1,Despesas!$M:$M,"Mensal")+SUMIFS(Despesas!$F:$F,Despesas!$J:$J,"&lt;="&amp;$A45,Despesas!$L:$L,"&gt;="&amp;$A45,Despesas!$C:$C,D$1,Despesas!$M:$M,$B45)</f>
        <v>23000</v>
      </c>
      <c r="E45" s="18">
        <f>SUMIFS(Despesas!$F:$F,Despesas!$J:$J,"&lt;="&amp;$A45,Despesas!$L:$L,"&gt;="&amp;$A45,Despesas!$C:$C,E$1,Despesas!$M:$M,"Mensal")+SUMIFS(Despesas!$F:$F,Despesas!$J:$J,"&lt;="&amp;$A45,Despesas!$L:$L,"&gt;="&amp;$A45,Despesas!$C:$C,E$1,Despesas!$M:$M,$B45)</f>
        <v>18000</v>
      </c>
      <c r="F45" s="5">
        <f>SUMIFS(Despesas!$F:$F,Despesas!$J:$J,"&lt;="&amp;$A45,Despesas!$L:$L,"&gt;="&amp;$A45,Despesas!$C:$C,F$1,Despesas!$M:$M,"Mensal")+SUMIFS(Despesas!$F:$F,Despesas!$J:$J,"&lt;="&amp;$A45,Despesas!$L:$L,"&gt;="&amp;$A45,Despesas!$C:$C,F$1,Despesas!$M:$M,$B45)</f>
        <v>13000</v>
      </c>
      <c r="G45" s="5">
        <f>SUMIFS(Despesas!$F:$F,Despesas!$J:$J,"&lt;="&amp;$A45,Despesas!$L:$L,"&gt;="&amp;$A45,Despesas!$C:$C,G$1,Despesas!$M:$M,"Mensal")+SUMIFS(Despesas!$F:$F,Despesas!$J:$J,"&lt;="&amp;$A45,Despesas!$L:$L,"&gt;="&amp;$A45,Despesas!$C:$C,G$1,Despesas!$M:$M,$B45)</f>
        <v>0</v>
      </c>
      <c r="H45" s="18">
        <f ca="1">SUMIFS(Despesas!$F:$F,Despesas!$J:$J,"&lt;="&amp;$A45,Despesas!$L:$L,"&gt;="&amp;$A45,Despesas!$C:$C,H$1,Despesas!$M:$M,"Mensal")+SUMIFS(Despesas!$F:$F,Despesas!$J:$J,"&lt;="&amp;$A45,Despesas!$L:$L,"&gt;="&amp;$A45,Despesas!$C:$C,H$1,Despesas!$M:$M,$B45)</f>
        <v>2686.355</v>
      </c>
      <c r="I45" s="18">
        <f>IF(Imóveis!$F$2="PRICE",IF(AND(Dados!$A45&gt;=Imóveis!$Q$2,Dados!$A45&lt;=Imóveis!$T$2),Imóveis!$U$2,0),IF((IF(AND(Dados!$A45&gt;=Imóveis!$Q$2,Dados!$A45&lt;=Imóveis!$T$2),Imóveis!$S$2-(DATEDIF(Imóveis!$Q$2,Dados!$A45,"m")),0))=0,0,((Imóveis!$N$2/Imóveis!$S$2)+((Imóveis!$N$2-((Imóveis!$S$2-(IF(AND(Dados!$A45&gt;=Imóveis!$Q$2,Dados!$A45&lt;=Imóveis!$T$2),Imóveis!$S$2-(DATEDIF(Imóveis!$Q$2,Dados!$A45,"m")),)))*(Imóveis!$N$2/Imóveis!$S$2)))*Imóveis!$P$2))))*IF(AND(Imóveis!$E$2&gt;0,Dados!$A45&gt;Imóveis!$E$2),0,1)</f>
        <v>16274.667412576344</v>
      </c>
      <c r="J45" s="18">
        <f ca="1">IF(Imóveis!$F$3="PRICE",IF(AND(Dados!$A45&gt;=Imóveis!$Q$3,Dados!$A45&lt;=Imóveis!$T$3),Imóveis!$U$3,0),IF((IF(AND(Dados!$A45&gt;=Imóveis!$Q$3,Dados!$A45&lt;=Imóveis!$T$3),Imóveis!$S$3-(DATEDIF(Imóveis!$Q$3,Dados!$A45,"m")),0))=0,0,((Imóveis!$N$3/Imóveis!$S$3)+((Imóveis!$N$3-((Imóveis!$S$3-(IF(AND(Dados!$A45&gt;=Imóveis!$Q$3,Dados!$A45&lt;=Imóveis!$T$3),Imóveis!$S$3-(DATEDIF(Imóveis!$Q$3,Dados!$A45,"m")),)))*(Imóveis!$N$3/Imóveis!$S$3)))*Imóveis!$P$3))))*IF(AND(Imóveis!$E$3&gt;0,Dados!$A45&gt;Imóveis!$E$3),0,1)</f>
        <v>9314.6986248807771</v>
      </c>
      <c r="K45" s="18">
        <f>IF(Imóveis!$F$4="PRICE",IF(AND(Dados!$A45&gt;=Imóveis!$Q$4,Dados!$A45&lt;=Imóveis!$T$4),Imóveis!$U$4,0),IF((IF(AND(Dados!$A45&gt;=Imóveis!$Q$4,Dados!$A45&lt;=Imóveis!$T$4),Imóveis!$S$4-(DATEDIF(Imóveis!$Q$4,Dados!$A45,"m")),0))=0,0,((Imóveis!$N$4/Imóveis!$S$4)+((Imóveis!$N$4-((Imóveis!$S$4-(IF(AND(Dados!$A45&gt;=Imóveis!$Q$4,Dados!$A45&lt;=Imóveis!$T$4),Imóveis!$S$4-(DATEDIF(Imóveis!$Q$4,Dados!$A45,"m")),)))*(Imóveis!$N$4/Imóveis!$S$4)))*Imóveis!$P$4))))*IF(AND(Imóveis!$E$4&gt;0,Dados!$A45&gt;Imóveis!$E$4),0,1)</f>
        <v>4643.949359272583</v>
      </c>
      <c r="L45" s="18">
        <f>IF(Imóveis!$F$5="PRICE",IF(AND(Dados!$A45&gt;=Imóveis!$Q$5,Dados!$A45&lt;=Imóveis!$T$5),Imóveis!$U$5,0),IF((IF(AND(Dados!$A45&gt;=Imóveis!$Q$5,Dados!$A45&lt;=Imóveis!$T$5),Imóveis!$S$5-(DATEDIF(Imóveis!$Q$5,Dados!$A45,"m")),0))=0,0,((Imóveis!$N$5/Imóveis!$S$5)+((Imóveis!$N$5-((Imóveis!$S$5-(IF(AND(Dados!$A45 &gt;=Imóveis!$Q$5,Dados!$A45&lt;=Imóveis!$T$5),Imóveis!$S$5-(DATEDIF(Imóveis!$Q$5,Dados!$A45,"m")),)))*(Imóveis!$N$5/Imóveis!$S$5)))*Imóveis!$P$5))))*IF(AND(Imóveis!$E$5&gt;0,Dados!$A45&gt;Imóveis!$E$5),0,1)*Imóveis!$I$5</f>
        <v>0</v>
      </c>
      <c r="M45" s="18">
        <f>IF(Imóveis!$F$6="PRICE",IF(AND(Dados!$A45&gt;=Imóveis!$Q$6,Dados!$A45&lt;=Imóveis!$T$6),Imóveis!$U$6,0),IF((IF(AND(Dados!$A45&gt;=Imóveis!$Q$6,Dados!$A45&lt;=Imóveis!$T$6),Imóveis!$S$6-(DATEDIF(Imóveis!$Q$6,Dados!$A45,"m")),0))=0,0,((Imóveis!$N$6/Imóveis!$S$6)+((Imóveis!$N$6-((Imóveis!$S$6-(IF(AND(Dados!$A45&gt;=Imóveis!$Q$6,Dados!$A45&lt;=Imóveis!$T$6),Imóveis!$S$6-(DATEDIF(Imóveis!$Q$6,Dados!$A45,"m")),)))*(Imóveis!$N$6/Imóveis!$S$6)))*Imóveis!$P$6))))*IF(AND(Imóveis!$E$6&gt;0,Dados!$A45&gt;Imóveis!$E$6),0,1)*Imóveis!$I$6</f>
        <v>0</v>
      </c>
      <c r="N45" s="18">
        <f t="shared" ca="1" si="3"/>
        <v>86919.670396729707</v>
      </c>
      <c r="O45" s="18">
        <f>SUMIFS(Receitas!$F:$F,Receitas!$J:$J,"&lt;="&amp;$A45,Receitas!$L:$L,"&gt;="&amp;$A45,Receitas!$C:$C,O$1,Receitas!$M:$M,"Mensal")+SUMIFS(Receitas!$F:$F,Receitas!$J:$J,"&lt;="&amp;$A45,Receitas!$L:$L,"&gt;="&amp;$A45,Receitas!$C:$C,O$1,Receitas!$M:$M,$B45)</f>
        <v>50000</v>
      </c>
      <c r="P45" s="18">
        <f>SUMIFS(Receitas!$F:$F,Receitas!$J:$J,"&lt;="&amp;$A45,Receitas!$L:$L,"&gt;="&amp;$A45,Receitas!$C:$C,P$1,Receitas!$M:$M,"Mensal")+SUMIFS(Receitas!$F:$F,Receitas!$J:$J,"&lt;="&amp;$A45,Receitas!$L:$L,"&gt;="&amp;$A45,Receitas!$C:$C,P$1,Receitas!$M:$M,$B45)</f>
        <v>20000</v>
      </c>
      <c r="Q45" s="18">
        <f ca="1">SUMIFS(Receitas!$F:$F,Receitas!$J:$J,"&lt;="&amp;$A45,Receitas!$L:$L,"&gt;="&amp;$A45,Receitas!$C:$C,Q$1,Receitas!$M:$M,"Mensal")+SUMIFS(Receitas!$F:$F,Receitas!$J:$J,"&lt;="&amp;$A45,Receitas!$L:$L,"&gt;="&amp;$A45,Receitas!$C:$C,Q$1,Receitas!$M:$M,$B45)</f>
        <v>15101.400000000001</v>
      </c>
      <c r="R45" s="18" cm="1">
        <f t="array" ref="R45">(IF(AND(Membros!$F$2="Sim",A45&lt;=MAX(Membros!$E$2:$E$5)),Membros!K$2,IF(AND(A45&gt;=Membros!J$2,A45&lt;=MAX(Membros!$E$2:$E$5)),Membros!K$2,0))+IF(AND(Membros!$F$3="Sim",A45&lt;=MAX(Membros!$E$2:$E$5)),Membros!K$3,IF(AND(A45&gt;=Membros!J$3,A45&lt;=MAX(Membros!$E$2:$E$5)),Membros!K$3,0)))*IF(AND(COUNTIFS(Tabela3[Tipo],"Provedor",Tabela3[Simulação Seguro],"Sim")=2,A45&gt;=MAX(IF(Tabela3[Tipo]="Dependente",Tabela3[Expectativa de Vida (Data)]))),0,1)</f>
        <v>0</v>
      </c>
      <c r="S45" s="18">
        <f t="shared" ca="1" si="4"/>
        <v>85101.4</v>
      </c>
      <c r="U45" s="18">
        <f t="shared" ca="1" si="7"/>
        <v>4785393.5577934515</v>
      </c>
      <c r="V45" s="18">
        <f>SUMIF(Imóveis!E:E,Dados!A:A,Imóveis!Z:Z)-SUMIF(Imóveis!E:E,Dados!A:A,Imóveis!Y:Y)</f>
        <v>0</v>
      </c>
      <c r="W45" s="18">
        <f>-SUMIF(Projetos!N:N,A45,Projetos!F:F)</f>
        <v>0</v>
      </c>
      <c r="X45" s="18">
        <f t="shared" ca="1" si="0"/>
        <v>-1818.270396729713</v>
      </c>
      <c r="Y45" s="26">
        <f ca="1">(U45*((Indicadores_Economicos!D$2+1)^(1/12)-1))</f>
        <v>15666.133263626822</v>
      </c>
      <c r="Z45" s="18">
        <f t="shared" ca="1" si="5"/>
        <v>4799241.4206603486</v>
      </c>
      <c r="AA45" s="18">
        <f ca="1">Auxiliar_Projetos!E45</f>
        <v>225476.69885936941</v>
      </c>
      <c r="AB45" s="18">
        <f ca="1">Auxiliar_Projetos!K45</f>
        <v>331594.75527290057</v>
      </c>
      <c r="AC45" s="18">
        <f ca="1">IF(Z45-AA45-AB45&gt;Investimentos!$C$14,Investimentos!$C$14,IF(Z45-AA45-AB45&lt;Investimentos!$C$14,Z45-AA45-AB45,0))</f>
        <v>300000</v>
      </c>
      <c r="AD45" s="18">
        <f t="shared" ca="1" si="6"/>
        <v>3942169.9665280785</v>
      </c>
      <c r="AE45" s="18"/>
    </row>
    <row r="46" spans="1:31" x14ac:dyDescent="0.2">
      <c r="A46" s="4">
        <v>46997</v>
      </c>
      <c r="B46" s="5" t="str">
        <f t="shared" si="1"/>
        <v>setembro</v>
      </c>
      <c r="C46" s="5" t="str">
        <f t="shared" si="9"/>
        <v>2028</v>
      </c>
      <c r="D46" s="5">
        <f>SUMIFS(Despesas!$F:$F,Despesas!$J:$J,"&lt;="&amp;$A46,Despesas!$L:$L,"&gt;="&amp;$A46,Despesas!$C:$C,D$1,Despesas!$M:$M,"Mensal")+SUMIFS(Despesas!$F:$F,Despesas!$J:$J,"&lt;="&amp;$A46,Despesas!$L:$L,"&gt;="&amp;$A46,Despesas!$C:$C,D$1,Despesas!$M:$M,$B46)</f>
        <v>23000</v>
      </c>
      <c r="E46" s="18">
        <f>SUMIFS(Despesas!$F:$F,Despesas!$J:$J,"&lt;="&amp;$A46,Despesas!$L:$L,"&gt;="&amp;$A46,Despesas!$C:$C,E$1,Despesas!$M:$M,"Mensal")+SUMIFS(Despesas!$F:$F,Despesas!$J:$J,"&lt;="&amp;$A46,Despesas!$L:$L,"&gt;="&amp;$A46,Despesas!$C:$C,E$1,Despesas!$M:$M,$B46)</f>
        <v>18000</v>
      </c>
      <c r="F46" s="5">
        <f>SUMIFS(Despesas!$F:$F,Despesas!$J:$J,"&lt;="&amp;$A46,Despesas!$L:$L,"&gt;="&amp;$A46,Despesas!$C:$C,F$1,Despesas!$M:$M,"Mensal")+SUMIFS(Despesas!$F:$F,Despesas!$J:$J,"&lt;="&amp;$A46,Despesas!$L:$L,"&gt;="&amp;$A46,Despesas!$C:$C,F$1,Despesas!$M:$M,$B46)</f>
        <v>13000</v>
      </c>
      <c r="G46" s="5">
        <f>SUMIFS(Despesas!$F:$F,Despesas!$J:$J,"&lt;="&amp;$A46,Despesas!$L:$L,"&gt;="&amp;$A46,Despesas!$C:$C,G$1,Despesas!$M:$M,"Mensal")+SUMIFS(Despesas!$F:$F,Despesas!$J:$J,"&lt;="&amp;$A46,Despesas!$L:$L,"&gt;="&amp;$A46,Despesas!$C:$C,G$1,Despesas!$M:$M,$B46)</f>
        <v>0</v>
      </c>
      <c r="H46" s="18">
        <f ca="1">SUMIFS(Despesas!$F:$F,Despesas!$J:$J,"&lt;="&amp;$A46,Despesas!$L:$L,"&gt;="&amp;$A46,Despesas!$C:$C,H$1,Despesas!$M:$M,"Mensal")+SUMIFS(Despesas!$F:$F,Despesas!$J:$J,"&lt;="&amp;$A46,Despesas!$L:$L,"&gt;="&amp;$A46,Despesas!$C:$C,H$1,Despesas!$M:$M,$B46)</f>
        <v>2686.355</v>
      </c>
      <c r="I46" s="18">
        <f>IF(Imóveis!$F$2="PRICE",IF(AND(Dados!$A46&gt;=Imóveis!$Q$2,Dados!$A46&lt;=Imóveis!$T$2),Imóveis!$U$2,0),IF((IF(AND(Dados!$A46&gt;=Imóveis!$Q$2,Dados!$A46&lt;=Imóveis!$T$2),Imóveis!$S$2-(DATEDIF(Imóveis!$Q$2,Dados!$A46,"m")),0))=0,0,((Imóveis!$N$2/Imóveis!$S$2)+((Imóveis!$N$2-((Imóveis!$S$2-(IF(AND(Dados!$A46&gt;=Imóveis!$Q$2,Dados!$A46&lt;=Imóveis!$T$2),Imóveis!$S$2-(DATEDIF(Imóveis!$Q$2,Dados!$A46,"m")),)))*(Imóveis!$N$2/Imóveis!$S$2)))*Imóveis!$P$2))))*IF(AND(Imóveis!$E$2&gt;0,Dados!$A46&gt;Imóveis!$E$2),0,1)</f>
        <v>16212.646320351536</v>
      </c>
      <c r="J46" s="18">
        <f ca="1">IF(Imóveis!$F$3="PRICE",IF(AND(Dados!$A46&gt;=Imóveis!$Q$3,Dados!$A46&lt;=Imóveis!$T$3),Imóveis!$U$3,0),IF((IF(AND(Dados!$A46&gt;=Imóveis!$Q$3,Dados!$A46&lt;=Imóveis!$T$3),Imóveis!$S$3-(DATEDIF(Imóveis!$Q$3,Dados!$A46,"m")),0))=0,0,((Imóveis!$N$3/Imóveis!$S$3)+((Imóveis!$N$3-((Imóveis!$S$3-(IF(AND(Dados!$A46&gt;=Imóveis!$Q$3,Dados!$A46&lt;=Imóveis!$T$3),Imóveis!$S$3-(DATEDIF(Imóveis!$Q$3,Dados!$A46,"m")),)))*(Imóveis!$N$3/Imóveis!$S$3)))*Imóveis!$P$3))))*IF(AND(Imóveis!$E$3&gt;0,Dados!$A46&gt;Imóveis!$E$3),0,1)</f>
        <v>9314.6986248807771</v>
      </c>
      <c r="K46" s="18">
        <f>IF(Imóveis!$F$4="PRICE",IF(AND(Dados!$A46&gt;=Imóveis!$Q$4,Dados!$A46&lt;=Imóveis!$T$4),Imóveis!$U$4,0),IF((IF(AND(Dados!$A46&gt;=Imóveis!$Q$4,Dados!$A46&lt;=Imóveis!$T$4),Imóveis!$S$4-(DATEDIF(Imóveis!$Q$4,Dados!$A46,"m")),0))=0,0,((Imóveis!$N$4/Imóveis!$S$4)+((Imóveis!$N$4-((Imóveis!$S$4-(IF(AND(Dados!$A46&gt;=Imóveis!$Q$4,Dados!$A46&lt;=Imóveis!$T$4),Imóveis!$S$4-(DATEDIF(Imóveis!$Q$4,Dados!$A46,"m")),)))*(Imóveis!$N$4/Imóveis!$S$4)))*Imóveis!$P$4))))*IF(AND(Imóveis!$E$4&gt;0,Dados!$A46&gt;Imóveis!$E$4),0,1)</f>
        <v>4643.949359272583</v>
      </c>
      <c r="L46" s="18">
        <f>IF(Imóveis!$F$5="PRICE",IF(AND(Dados!$A46&gt;=Imóveis!$Q$5,Dados!$A46&lt;=Imóveis!$T$5),Imóveis!$U$5,0),IF((IF(AND(Dados!$A46&gt;=Imóveis!$Q$5,Dados!$A46&lt;=Imóveis!$T$5),Imóveis!$S$5-(DATEDIF(Imóveis!$Q$5,Dados!$A46,"m")),0))=0,0,((Imóveis!$N$5/Imóveis!$S$5)+((Imóveis!$N$5-((Imóveis!$S$5-(IF(AND(Dados!$A46 &gt;=Imóveis!$Q$5,Dados!$A46&lt;=Imóveis!$T$5),Imóveis!$S$5-(DATEDIF(Imóveis!$Q$5,Dados!$A46,"m")),)))*(Imóveis!$N$5/Imóveis!$S$5)))*Imóveis!$P$5))))*IF(AND(Imóveis!$E$5&gt;0,Dados!$A46&gt;Imóveis!$E$5),0,1)*Imóveis!$I$5</f>
        <v>0</v>
      </c>
      <c r="M46" s="18">
        <f>IF(Imóveis!$F$6="PRICE",IF(AND(Dados!$A46&gt;=Imóveis!$Q$6,Dados!$A46&lt;=Imóveis!$T$6),Imóveis!$U$6,0),IF((IF(AND(Dados!$A46&gt;=Imóveis!$Q$6,Dados!$A46&lt;=Imóveis!$T$6),Imóveis!$S$6-(DATEDIF(Imóveis!$Q$6,Dados!$A46,"m")),0))=0,0,((Imóveis!$N$6/Imóveis!$S$6)+((Imóveis!$N$6-((Imóveis!$S$6-(IF(AND(Dados!$A46&gt;=Imóveis!$Q$6,Dados!$A46&lt;=Imóveis!$T$6),Imóveis!$S$6-(DATEDIF(Imóveis!$Q$6,Dados!$A46,"m")),)))*(Imóveis!$N$6/Imóveis!$S$6)))*Imóveis!$P$6))))*IF(AND(Imóveis!$E$6&gt;0,Dados!$A46&gt;Imóveis!$E$6),0,1)*Imóveis!$I$6</f>
        <v>0</v>
      </c>
      <c r="N46" s="18">
        <f t="shared" ca="1" si="3"/>
        <v>86857.649304504899</v>
      </c>
      <c r="O46" s="18">
        <f>SUMIFS(Receitas!$F:$F,Receitas!$J:$J,"&lt;="&amp;$A46,Receitas!$L:$L,"&gt;="&amp;$A46,Receitas!$C:$C,O$1,Receitas!$M:$M,"Mensal")+SUMIFS(Receitas!$F:$F,Receitas!$J:$J,"&lt;="&amp;$A46,Receitas!$L:$L,"&gt;="&amp;$A46,Receitas!$C:$C,O$1,Receitas!$M:$M,$B46)</f>
        <v>50000</v>
      </c>
      <c r="P46" s="18">
        <f>SUMIFS(Receitas!$F:$F,Receitas!$J:$J,"&lt;="&amp;$A46,Receitas!$L:$L,"&gt;="&amp;$A46,Receitas!$C:$C,P$1,Receitas!$M:$M,"Mensal")+SUMIFS(Receitas!$F:$F,Receitas!$J:$J,"&lt;="&amp;$A46,Receitas!$L:$L,"&gt;="&amp;$A46,Receitas!$C:$C,P$1,Receitas!$M:$M,$B46)</f>
        <v>20000</v>
      </c>
      <c r="Q46" s="18">
        <f ca="1">SUMIFS(Receitas!$F:$F,Receitas!$J:$J,"&lt;="&amp;$A46,Receitas!$L:$L,"&gt;="&amp;$A46,Receitas!$C:$C,Q$1,Receitas!$M:$M,"Mensal")+SUMIFS(Receitas!$F:$F,Receitas!$J:$J,"&lt;="&amp;$A46,Receitas!$L:$L,"&gt;="&amp;$A46,Receitas!$C:$C,Q$1,Receitas!$M:$M,$B46)</f>
        <v>15101.400000000001</v>
      </c>
      <c r="R46" s="18" cm="1">
        <f t="array" ref="R46">(IF(AND(Membros!$F$2="Sim",A46&lt;=MAX(Membros!$E$2:$E$5)),Membros!K$2,IF(AND(A46&gt;=Membros!J$2,A46&lt;=MAX(Membros!$E$2:$E$5)),Membros!K$2,0))+IF(AND(Membros!$F$3="Sim",A46&lt;=MAX(Membros!$E$2:$E$5)),Membros!K$3,IF(AND(A46&gt;=Membros!J$3,A46&lt;=MAX(Membros!$E$2:$E$5)),Membros!K$3,0)))*IF(AND(COUNTIFS(Tabela3[Tipo],"Provedor",Tabela3[Simulação Seguro],"Sim")=2,A46&gt;=MAX(IF(Tabela3[Tipo]="Dependente",Tabela3[Expectativa de Vida (Data)]))),0,1)</f>
        <v>0</v>
      </c>
      <c r="S46" s="18">
        <f t="shared" ca="1" si="4"/>
        <v>85101.4</v>
      </c>
      <c r="U46" s="18">
        <f t="shared" ca="1" si="7"/>
        <v>4799241.4206603486</v>
      </c>
      <c r="V46" s="18">
        <f>SUMIF(Imóveis!E:E,Dados!A:A,Imóveis!Z:Z)-SUMIF(Imóveis!E:E,Dados!A:A,Imóveis!Y:Y)</f>
        <v>0</v>
      </c>
      <c r="W46" s="18">
        <f>-SUMIF(Projetos!N:N,A46,Projetos!F:F)</f>
        <v>0</v>
      </c>
      <c r="X46" s="18">
        <f t="shared" ca="1" si="0"/>
        <v>-1756.249304504905</v>
      </c>
      <c r="Y46" s="26">
        <f ca="1">(U46*((Indicadores_Economicos!D$2+1)^(1/12)-1))</f>
        <v>15711.467563192618</v>
      </c>
      <c r="Z46" s="18">
        <f t="shared" ca="1" si="5"/>
        <v>4813196.6389190359</v>
      </c>
      <c r="AA46" s="18">
        <f ca="1">Auxiliar_Projetos!E46</f>
        <v>226214.8508983842</v>
      </c>
      <c r="AB46" s="18">
        <f ca="1">Auxiliar_Projetos!K46</f>
        <v>332680.310214806</v>
      </c>
      <c r="AC46" s="18">
        <f ca="1">IF(Z46-AA46-AB46&gt;Investimentos!$C$14,Investimentos!$C$14,IF(Z46-AA46-AB46&lt;Investimentos!$C$14,Z46-AA46-AB46,0))</f>
        <v>300000</v>
      </c>
      <c r="AD46" s="18">
        <f t="shared" ca="1" si="6"/>
        <v>3954301.4778058454</v>
      </c>
      <c r="AE46" s="18"/>
    </row>
    <row r="47" spans="1:31" x14ac:dyDescent="0.2">
      <c r="A47" s="4">
        <v>47027</v>
      </c>
      <c r="B47" s="5" t="str">
        <f t="shared" si="1"/>
        <v>outubro</v>
      </c>
      <c r="C47" s="5" t="str">
        <f t="shared" si="9"/>
        <v>2028</v>
      </c>
      <c r="D47" s="5">
        <f>SUMIFS(Despesas!$F:$F,Despesas!$J:$J,"&lt;="&amp;$A47,Despesas!$L:$L,"&gt;="&amp;$A47,Despesas!$C:$C,D$1,Despesas!$M:$M,"Mensal")+SUMIFS(Despesas!$F:$F,Despesas!$J:$J,"&lt;="&amp;$A47,Despesas!$L:$L,"&gt;="&amp;$A47,Despesas!$C:$C,D$1,Despesas!$M:$M,$B47)</f>
        <v>23000</v>
      </c>
      <c r="E47" s="18">
        <f>SUMIFS(Despesas!$F:$F,Despesas!$J:$J,"&lt;="&amp;$A47,Despesas!$L:$L,"&gt;="&amp;$A47,Despesas!$C:$C,E$1,Despesas!$M:$M,"Mensal")+SUMIFS(Despesas!$F:$F,Despesas!$J:$J,"&lt;="&amp;$A47,Despesas!$L:$L,"&gt;="&amp;$A47,Despesas!$C:$C,E$1,Despesas!$M:$M,$B47)</f>
        <v>18000</v>
      </c>
      <c r="F47" s="5">
        <f>SUMIFS(Despesas!$F:$F,Despesas!$J:$J,"&lt;="&amp;$A47,Despesas!$L:$L,"&gt;="&amp;$A47,Despesas!$C:$C,F$1,Despesas!$M:$M,"Mensal")+SUMIFS(Despesas!$F:$F,Despesas!$J:$J,"&lt;="&amp;$A47,Despesas!$L:$L,"&gt;="&amp;$A47,Despesas!$C:$C,F$1,Despesas!$M:$M,$B47)</f>
        <v>13000</v>
      </c>
      <c r="G47" s="5">
        <f>SUMIFS(Despesas!$F:$F,Despesas!$J:$J,"&lt;="&amp;$A47,Despesas!$L:$L,"&gt;="&amp;$A47,Despesas!$C:$C,G$1,Despesas!$M:$M,"Mensal")+SUMIFS(Despesas!$F:$F,Despesas!$J:$J,"&lt;="&amp;$A47,Despesas!$L:$L,"&gt;="&amp;$A47,Despesas!$C:$C,G$1,Despesas!$M:$M,$B47)</f>
        <v>0</v>
      </c>
      <c r="H47" s="18">
        <f ca="1">SUMIFS(Despesas!$F:$F,Despesas!$J:$J,"&lt;="&amp;$A47,Despesas!$L:$L,"&gt;="&amp;$A47,Despesas!$C:$C,H$1,Despesas!$M:$M,"Mensal")+SUMIFS(Despesas!$F:$F,Despesas!$J:$J,"&lt;="&amp;$A47,Despesas!$L:$L,"&gt;="&amp;$A47,Despesas!$C:$C,H$1,Despesas!$M:$M,$B47)</f>
        <v>2686.355</v>
      </c>
      <c r="I47" s="18">
        <f>IF(Imóveis!$F$2="PRICE",IF(AND(Dados!$A47&gt;=Imóveis!$Q$2,Dados!$A47&lt;=Imóveis!$T$2),Imóveis!$U$2,0),IF((IF(AND(Dados!$A47&gt;=Imóveis!$Q$2,Dados!$A47&lt;=Imóveis!$T$2),Imóveis!$S$2-(DATEDIF(Imóveis!$Q$2,Dados!$A47,"m")),0))=0,0,((Imóveis!$N$2/Imóveis!$S$2)+((Imóveis!$N$2-((Imóveis!$S$2-(IF(AND(Dados!$A47&gt;=Imóveis!$Q$2,Dados!$A47&lt;=Imóveis!$T$2),Imóveis!$S$2-(DATEDIF(Imóveis!$Q$2,Dados!$A47,"m")),)))*(Imóveis!$N$2/Imóveis!$S$2)))*Imóveis!$P$2))))*IF(AND(Imóveis!$E$2&gt;0,Dados!$A47&gt;Imóveis!$E$2),0,1)</f>
        <v>16150.62522812673</v>
      </c>
      <c r="J47" s="18">
        <f ca="1">IF(Imóveis!$F$3="PRICE",IF(AND(Dados!$A47&gt;=Imóveis!$Q$3,Dados!$A47&lt;=Imóveis!$T$3),Imóveis!$U$3,0),IF((IF(AND(Dados!$A47&gt;=Imóveis!$Q$3,Dados!$A47&lt;=Imóveis!$T$3),Imóveis!$S$3-(DATEDIF(Imóveis!$Q$3,Dados!$A47,"m")),0))=0,0,((Imóveis!$N$3/Imóveis!$S$3)+((Imóveis!$N$3-((Imóveis!$S$3-(IF(AND(Dados!$A47&gt;=Imóveis!$Q$3,Dados!$A47&lt;=Imóveis!$T$3),Imóveis!$S$3-(DATEDIF(Imóveis!$Q$3,Dados!$A47,"m")),)))*(Imóveis!$N$3/Imóveis!$S$3)))*Imóveis!$P$3))))*IF(AND(Imóveis!$E$3&gt;0,Dados!$A47&gt;Imóveis!$E$3),0,1)</f>
        <v>9314.6986248807771</v>
      </c>
      <c r="K47" s="18">
        <f>IF(Imóveis!$F$4="PRICE",IF(AND(Dados!$A47&gt;=Imóveis!$Q$4,Dados!$A47&lt;=Imóveis!$T$4),Imóveis!$U$4,0),IF((IF(AND(Dados!$A47&gt;=Imóveis!$Q$4,Dados!$A47&lt;=Imóveis!$T$4),Imóveis!$S$4-(DATEDIF(Imóveis!$Q$4,Dados!$A47,"m")),0))=0,0,((Imóveis!$N$4/Imóveis!$S$4)+((Imóveis!$N$4-((Imóveis!$S$4-(IF(AND(Dados!$A47&gt;=Imóveis!$Q$4,Dados!$A47&lt;=Imóveis!$T$4),Imóveis!$S$4-(DATEDIF(Imóveis!$Q$4,Dados!$A47,"m")),)))*(Imóveis!$N$4/Imóveis!$S$4)))*Imóveis!$P$4))))*IF(AND(Imóveis!$E$4&gt;0,Dados!$A47&gt;Imóveis!$E$4),0,1)</f>
        <v>4643.949359272583</v>
      </c>
      <c r="L47" s="18">
        <f>IF(Imóveis!$F$5="PRICE",IF(AND(Dados!$A47&gt;=Imóveis!$Q$5,Dados!$A47&lt;=Imóveis!$T$5),Imóveis!$U$5,0),IF((IF(AND(Dados!$A47&gt;=Imóveis!$Q$5,Dados!$A47&lt;=Imóveis!$T$5),Imóveis!$S$5-(DATEDIF(Imóveis!$Q$5,Dados!$A47,"m")),0))=0,0,((Imóveis!$N$5/Imóveis!$S$5)+((Imóveis!$N$5-((Imóveis!$S$5-(IF(AND(Dados!$A47 &gt;=Imóveis!$Q$5,Dados!$A47&lt;=Imóveis!$T$5),Imóveis!$S$5-(DATEDIF(Imóveis!$Q$5,Dados!$A47,"m")),)))*(Imóveis!$N$5/Imóveis!$S$5)))*Imóveis!$P$5))))*IF(AND(Imóveis!$E$5&gt;0,Dados!$A47&gt;Imóveis!$E$5),0,1)*Imóveis!$I$5</f>
        <v>0</v>
      </c>
      <c r="M47" s="18">
        <f>IF(Imóveis!$F$6="PRICE",IF(AND(Dados!$A47&gt;=Imóveis!$Q$6,Dados!$A47&lt;=Imóveis!$T$6),Imóveis!$U$6,0),IF((IF(AND(Dados!$A47&gt;=Imóveis!$Q$6,Dados!$A47&lt;=Imóveis!$T$6),Imóveis!$S$6-(DATEDIF(Imóveis!$Q$6,Dados!$A47,"m")),0))=0,0,((Imóveis!$N$6/Imóveis!$S$6)+((Imóveis!$N$6-((Imóveis!$S$6-(IF(AND(Dados!$A47&gt;=Imóveis!$Q$6,Dados!$A47&lt;=Imóveis!$T$6),Imóveis!$S$6-(DATEDIF(Imóveis!$Q$6,Dados!$A47,"m")),)))*(Imóveis!$N$6/Imóveis!$S$6)))*Imóveis!$P$6))))*IF(AND(Imóveis!$E$6&gt;0,Dados!$A47&gt;Imóveis!$E$6),0,1)*Imóveis!$I$6</f>
        <v>0</v>
      </c>
      <c r="N47" s="18">
        <f t="shared" ca="1" si="3"/>
        <v>86795.628212280091</v>
      </c>
      <c r="O47" s="18">
        <f>SUMIFS(Receitas!$F:$F,Receitas!$J:$J,"&lt;="&amp;$A47,Receitas!$L:$L,"&gt;="&amp;$A47,Receitas!$C:$C,O$1,Receitas!$M:$M,"Mensal")+SUMIFS(Receitas!$F:$F,Receitas!$J:$J,"&lt;="&amp;$A47,Receitas!$L:$L,"&gt;="&amp;$A47,Receitas!$C:$C,O$1,Receitas!$M:$M,$B47)</f>
        <v>50000</v>
      </c>
      <c r="P47" s="18">
        <f>SUMIFS(Receitas!$F:$F,Receitas!$J:$J,"&lt;="&amp;$A47,Receitas!$L:$L,"&gt;="&amp;$A47,Receitas!$C:$C,P$1,Receitas!$M:$M,"Mensal")+SUMIFS(Receitas!$F:$F,Receitas!$J:$J,"&lt;="&amp;$A47,Receitas!$L:$L,"&gt;="&amp;$A47,Receitas!$C:$C,P$1,Receitas!$M:$M,$B47)</f>
        <v>20000</v>
      </c>
      <c r="Q47" s="18">
        <f ca="1">SUMIFS(Receitas!$F:$F,Receitas!$J:$J,"&lt;="&amp;$A47,Receitas!$L:$L,"&gt;="&amp;$A47,Receitas!$C:$C,Q$1,Receitas!$M:$M,"Mensal")+SUMIFS(Receitas!$F:$F,Receitas!$J:$J,"&lt;="&amp;$A47,Receitas!$L:$L,"&gt;="&amp;$A47,Receitas!$C:$C,Q$1,Receitas!$M:$M,$B47)</f>
        <v>15101.400000000001</v>
      </c>
      <c r="R47" s="18" cm="1">
        <f t="array" ref="R47">(IF(AND(Membros!$F$2="Sim",A47&lt;=MAX(Membros!$E$2:$E$5)),Membros!K$2,IF(AND(A47&gt;=Membros!J$2,A47&lt;=MAX(Membros!$E$2:$E$5)),Membros!K$2,0))+IF(AND(Membros!$F$3="Sim",A47&lt;=MAX(Membros!$E$2:$E$5)),Membros!K$3,IF(AND(A47&gt;=Membros!J$3,A47&lt;=MAX(Membros!$E$2:$E$5)),Membros!K$3,0)))*IF(AND(COUNTIFS(Tabela3[Tipo],"Provedor",Tabela3[Simulação Seguro],"Sim")=2,A47&gt;=MAX(IF(Tabela3[Tipo]="Dependente",Tabela3[Expectativa de Vida (Data)]))),0,1)</f>
        <v>0</v>
      </c>
      <c r="S47" s="18">
        <f t="shared" ca="1" si="4"/>
        <v>85101.4</v>
      </c>
      <c r="U47" s="18">
        <f t="shared" ca="1" si="7"/>
        <v>4813196.6389190359</v>
      </c>
      <c r="V47" s="18">
        <f>SUMIF(Imóveis!E:E,Dados!A:A,Imóveis!Z:Z)-SUMIF(Imóveis!E:E,Dados!A:A,Imóveis!Y:Y)</f>
        <v>0</v>
      </c>
      <c r="W47" s="18">
        <f>-SUMIF(Projetos!N:N,A47,Projetos!F:F)</f>
        <v>0</v>
      </c>
      <c r="X47" s="18">
        <f t="shared" ca="1" si="0"/>
        <v>-1694.2282122800971</v>
      </c>
      <c r="Y47" s="26">
        <f ca="1">(U47*((Indicadores_Economicos!D$2+1)^(1/12)-1))</f>
        <v>15757.153316375352</v>
      </c>
      <c r="Z47" s="18">
        <f t="shared" ca="1" si="5"/>
        <v>4827259.5640231315</v>
      </c>
      <c r="AA47" s="18">
        <f ca="1">Auxiliar_Projetos!E47</f>
        <v>226955.41945509444</v>
      </c>
      <c r="AB47" s="18">
        <f ca="1">Auxiliar_Projetos!K47</f>
        <v>333769.4189811105</v>
      </c>
      <c r="AC47" s="18">
        <f ca="1">IF(Z47-AA47-AB47&gt;Investimentos!$C$14,Investimentos!$C$14,IF(Z47-AA47-AB47&lt;Investimentos!$C$14,Z47-AA47-AB47,0))</f>
        <v>300000</v>
      </c>
      <c r="AD47" s="18">
        <f t="shared" ca="1" si="6"/>
        <v>3966534.7255869266</v>
      </c>
      <c r="AE47" s="18"/>
    </row>
    <row r="48" spans="1:31" x14ac:dyDescent="0.2">
      <c r="A48" s="4">
        <v>47058</v>
      </c>
      <c r="B48" s="5" t="str">
        <f t="shared" si="1"/>
        <v>novembro</v>
      </c>
      <c r="C48" s="5" t="str">
        <f t="shared" si="9"/>
        <v>2028</v>
      </c>
      <c r="D48" s="5">
        <f>SUMIFS(Despesas!$F:$F,Despesas!$J:$J,"&lt;="&amp;$A48,Despesas!$L:$L,"&gt;="&amp;$A48,Despesas!$C:$C,D$1,Despesas!$M:$M,"Mensal")+SUMIFS(Despesas!$F:$F,Despesas!$J:$J,"&lt;="&amp;$A48,Despesas!$L:$L,"&gt;="&amp;$A48,Despesas!$C:$C,D$1,Despesas!$M:$M,$B48)</f>
        <v>23000</v>
      </c>
      <c r="E48" s="18">
        <f>SUMIFS(Despesas!$F:$F,Despesas!$J:$J,"&lt;="&amp;$A48,Despesas!$L:$L,"&gt;="&amp;$A48,Despesas!$C:$C,E$1,Despesas!$M:$M,"Mensal")+SUMIFS(Despesas!$F:$F,Despesas!$J:$J,"&lt;="&amp;$A48,Despesas!$L:$L,"&gt;="&amp;$A48,Despesas!$C:$C,E$1,Despesas!$M:$M,$B48)</f>
        <v>18000</v>
      </c>
      <c r="F48" s="5">
        <f>SUMIFS(Despesas!$F:$F,Despesas!$J:$J,"&lt;="&amp;$A48,Despesas!$L:$L,"&gt;="&amp;$A48,Despesas!$C:$C,F$1,Despesas!$M:$M,"Mensal")+SUMIFS(Despesas!$F:$F,Despesas!$J:$J,"&lt;="&amp;$A48,Despesas!$L:$L,"&gt;="&amp;$A48,Despesas!$C:$C,F$1,Despesas!$M:$M,$B48)</f>
        <v>13000</v>
      </c>
      <c r="G48" s="5">
        <f>SUMIFS(Despesas!$F:$F,Despesas!$J:$J,"&lt;="&amp;$A48,Despesas!$L:$L,"&gt;="&amp;$A48,Despesas!$C:$C,G$1,Despesas!$M:$M,"Mensal")+SUMIFS(Despesas!$F:$F,Despesas!$J:$J,"&lt;="&amp;$A48,Despesas!$L:$L,"&gt;="&amp;$A48,Despesas!$C:$C,G$1,Despesas!$M:$M,$B48)</f>
        <v>0</v>
      </c>
      <c r="H48" s="18">
        <f ca="1">SUMIFS(Despesas!$F:$F,Despesas!$J:$J,"&lt;="&amp;$A48,Despesas!$L:$L,"&gt;="&amp;$A48,Despesas!$C:$C,H$1,Despesas!$M:$M,"Mensal")+SUMIFS(Despesas!$F:$F,Despesas!$J:$J,"&lt;="&amp;$A48,Despesas!$L:$L,"&gt;="&amp;$A48,Despesas!$C:$C,H$1,Despesas!$M:$M,$B48)</f>
        <v>2686.355</v>
      </c>
      <c r="I48" s="18">
        <f>IF(Imóveis!$F$2="PRICE",IF(AND(Dados!$A48&gt;=Imóveis!$Q$2,Dados!$A48&lt;=Imóveis!$T$2),Imóveis!$U$2,0),IF((IF(AND(Dados!$A48&gt;=Imóveis!$Q$2,Dados!$A48&lt;=Imóveis!$T$2),Imóveis!$S$2-(DATEDIF(Imóveis!$Q$2,Dados!$A48,"m")),0))=0,0,((Imóveis!$N$2/Imóveis!$S$2)+((Imóveis!$N$2-((Imóveis!$S$2-(IF(AND(Dados!$A48&gt;=Imóveis!$Q$2,Dados!$A48&lt;=Imóveis!$T$2),Imóveis!$S$2-(DATEDIF(Imóveis!$Q$2,Dados!$A48,"m")),)))*(Imóveis!$N$2/Imóveis!$S$2)))*Imóveis!$P$2))))*IF(AND(Imóveis!$E$2&gt;0,Dados!$A48&gt;Imóveis!$E$2),0,1)</f>
        <v>16088.604135901924</v>
      </c>
      <c r="J48" s="18">
        <f ca="1">IF(Imóveis!$F$3="PRICE",IF(AND(Dados!$A48&gt;=Imóveis!$Q$3,Dados!$A48&lt;=Imóveis!$T$3),Imóveis!$U$3,0),IF((IF(AND(Dados!$A48&gt;=Imóveis!$Q$3,Dados!$A48&lt;=Imóveis!$T$3),Imóveis!$S$3-(DATEDIF(Imóveis!$Q$3,Dados!$A48,"m")),0))=0,0,((Imóveis!$N$3/Imóveis!$S$3)+((Imóveis!$N$3-((Imóveis!$S$3-(IF(AND(Dados!$A48&gt;=Imóveis!$Q$3,Dados!$A48&lt;=Imóveis!$T$3),Imóveis!$S$3-(DATEDIF(Imóveis!$Q$3,Dados!$A48,"m")),)))*(Imóveis!$N$3/Imóveis!$S$3)))*Imóveis!$P$3))))*IF(AND(Imóveis!$E$3&gt;0,Dados!$A48&gt;Imóveis!$E$3),0,1)</f>
        <v>9314.6986248807771</v>
      </c>
      <c r="K48" s="18">
        <f>IF(Imóveis!$F$4="PRICE",IF(AND(Dados!$A48&gt;=Imóveis!$Q$4,Dados!$A48&lt;=Imóveis!$T$4),Imóveis!$U$4,0),IF((IF(AND(Dados!$A48&gt;=Imóveis!$Q$4,Dados!$A48&lt;=Imóveis!$T$4),Imóveis!$S$4-(DATEDIF(Imóveis!$Q$4,Dados!$A48,"m")),0))=0,0,((Imóveis!$N$4/Imóveis!$S$4)+((Imóveis!$N$4-((Imóveis!$S$4-(IF(AND(Dados!$A48&gt;=Imóveis!$Q$4,Dados!$A48&lt;=Imóveis!$T$4),Imóveis!$S$4-(DATEDIF(Imóveis!$Q$4,Dados!$A48,"m")),)))*(Imóveis!$N$4/Imóveis!$S$4)))*Imóveis!$P$4))))*IF(AND(Imóveis!$E$4&gt;0,Dados!$A48&gt;Imóveis!$E$4),0,1)</f>
        <v>4643.949359272583</v>
      </c>
      <c r="L48" s="18">
        <f>IF(Imóveis!$F$5="PRICE",IF(AND(Dados!$A48&gt;=Imóveis!$Q$5,Dados!$A48&lt;=Imóveis!$T$5),Imóveis!$U$5,0),IF((IF(AND(Dados!$A48&gt;=Imóveis!$Q$5,Dados!$A48&lt;=Imóveis!$T$5),Imóveis!$S$5-(DATEDIF(Imóveis!$Q$5,Dados!$A48,"m")),0))=0,0,((Imóveis!$N$5/Imóveis!$S$5)+((Imóveis!$N$5-((Imóveis!$S$5-(IF(AND(Dados!$A48 &gt;=Imóveis!$Q$5,Dados!$A48&lt;=Imóveis!$T$5),Imóveis!$S$5-(DATEDIF(Imóveis!$Q$5,Dados!$A48,"m")),)))*(Imóveis!$N$5/Imóveis!$S$5)))*Imóveis!$P$5))))*IF(AND(Imóveis!$E$5&gt;0,Dados!$A48&gt;Imóveis!$E$5),0,1)*Imóveis!$I$5</f>
        <v>0</v>
      </c>
      <c r="M48" s="18">
        <f>IF(Imóveis!$F$6="PRICE",IF(AND(Dados!$A48&gt;=Imóveis!$Q$6,Dados!$A48&lt;=Imóveis!$T$6),Imóveis!$U$6,0),IF((IF(AND(Dados!$A48&gt;=Imóveis!$Q$6,Dados!$A48&lt;=Imóveis!$T$6),Imóveis!$S$6-(DATEDIF(Imóveis!$Q$6,Dados!$A48,"m")),0))=0,0,((Imóveis!$N$6/Imóveis!$S$6)+((Imóveis!$N$6-((Imóveis!$S$6-(IF(AND(Dados!$A48&gt;=Imóveis!$Q$6,Dados!$A48&lt;=Imóveis!$T$6),Imóveis!$S$6-(DATEDIF(Imóveis!$Q$6,Dados!$A48,"m")),)))*(Imóveis!$N$6/Imóveis!$S$6)))*Imóveis!$P$6))))*IF(AND(Imóveis!$E$6&gt;0,Dados!$A48&gt;Imóveis!$E$6),0,1)*Imóveis!$I$6</f>
        <v>0</v>
      </c>
      <c r="N48" s="18">
        <f t="shared" ca="1" si="3"/>
        <v>86733.607120055283</v>
      </c>
      <c r="O48" s="18">
        <f>SUMIFS(Receitas!$F:$F,Receitas!$J:$J,"&lt;="&amp;$A48,Receitas!$L:$L,"&gt;="&amp;$A48,Receitas!$C:$C,O$1,Receitas!$M:$M,"Mensal")+SUMIFS(Receitas!$F:$F,Receitas!$J:$J,"&lt;="&amp;$A48,Receitas!$L:$L,"&gt;="&amp;$A48,Receitas!$C:$C,O$1,Receitas!$M:$M,$B48)</f>
        <v>50000</v>
      </c>
      <c r="P48" s="18">
        <f>SUMIFS(Receitas!$F:$F,Receitas!$J:$J,"&lt;="&amp;$A48,Receitas!$L:$L,"&gt;="&amp;$A48,Receitas!$C:$C,P$1,Receitas!$M:$M,"Mensal")+SUMIFS(Receitas!$F:$F,Receitas!$J:$J,"&lt;="&amp;$A48,Receitas!$L:$L,"&gt;="&amp;$A48,Receitas!$C:$C,P$1,Receitas!$M:$M,$B48)</f>
        <v>86666.666666666672</v>
      </c>
      <c r="Q48" s="18">
        <f ca="1">SUMIFS(Receitas!$F:$F,Receitas!$J:$J,"&lt;="&amp;$A48,Receitas!$L:$L,"&gt;="&amp;$A48,Receitas!$C:$C,Q$1,Receitas!$M:$M,"Mensal")+SUMIFS(Receitas!$F:$F,Receitas!$J:$J,"&lt;="&amp;$A48,Receitas!$L:$L,"&gt;="&amp;$A48,Receitas!$C:$C,Q$1,Receitas!$M:$M,$B48)</f>
        <v>15101.400000000001</v>
      </c>
      <c r="R48" s="18" cm="1">
        <f t="array" ref="R48">(IF(AND(Membros!$F$2="Sim",A48&lt;=MAX(Membros!$E$2:$E$5)),Membros!K$2,IF(AND(A48&gt;=Membros!J$2,A48&lt;=MAX(Membros!$E$2:$E$5)),Membros!K$2,0))+IF(AND(Membros!$F$3="Sim",A48&lt;=MAX(Membros!$E$2:$E$5)),Membros!K$3,IF(AND(A48&gt;=Membros!J$3,A48&lt;=MAX(Membros!$E$2:$E$5)),Membros!K$3,0)))*IF(AND(COUNTIFS(Tabela3[Tipo],"Provedor",Tabela3[Simulação Seguro],"Sim")=2,A48&gt;=MAX(IF(Tabela3[Tipo]="Dependente",Tabela3[Expectativa de Vida (Data)]))),0,1)</f>
        <v>0</v>
      </c>
      <c r="S48" s="18">
        <f t="shared" ca="1" si="4"/>
        <v>151768.06666666668</v>
      </c>
      <c r="U48" s="18">
        <f t="shared" ca="1" si="7"/>
        <v>4827259.5640231315</v>
      </c>
      <c r="V48" s="18">
        <f>SUMIF(Imóveis!E:E,Dados!A:A,Imóveis!Z:Z)-SUMIF(Imóveis!E:E,Dados!A:A,Imóveis!Y:Y)</f>
        <v>0</v>
      </c>
      <c r="W48" s="18">
        <f>-SUMIF(Projetos!N:N,A48,Projetos!F:F)</f>
        <v>0</v>
      </c>
      <c r="X48" s="18">
        <f t="shared" ca="1" si="0"/>
        <v>65034.459546611397</v>
      </c>
      <c r="Y48" s="26">
        <f ca="1">(U48*((Indicadores_Economicos!D$2+1)^(1/12)-1))</f>
        <v>15803.191673742713</v>
      </c>
      <c r="Z48" s="18">
        <f t="shared" ca="1" si="5"/>
        <v>4908097.2152434858</v>
      </c>
      <c r="AA48" s="18">
        <f ca="1">Auxiliar_Projetos!E48</f>
        <v>227698.41244055022</v>
      </c>
      <c r="AB48" s="18">
        <f ca="1">Auxiliar_Projetos!K48</f>
        <v>334862.09320611041</v>
      </c>
      <c r="AC48" s="18">
        <f ca="1">IF(Z48-AA48-AB48&gt;Investimentos!$C$14,Investimentos!$C$14,IF(Z48-AA48-AB48&lt;Investimentos!$C$14,Z48-AA48-AB48,0))</f>
        <v>300000</v>
      </c>
      <c r="AD48" s="18">
        <f t="shared" ca="1" si="6"/>
        <v>4045536.7095968248</v>
      </c>
      <c r="AE48" s="18"/>
    </row>
    <row r="49" spans="1:31" x14ac:dyDescent="0.2">
      <c r="A49" s="4">
        <v>47088</v>
      </c>
      <c r="B49" s="5" t="str">
        <f t="shared" si="1"/>
        <v>dezembro</v>
      </c>
      <c r="C49" s="5" t="str">
        <f t="shared" si="9"/>
        <v>2028</v>
      </c>
      <c r="D49" s="5">
        <f>SUMIFS(Despesas!$F:$F,Despesas!$J:$J,"&lt;="&amp;$A49,Despesas!$L:$L,"&gt;="&amp;$A49,Despesas!$C:$C,D$1,Despesas!$M:$M,"Mensal")+SUMIFS(Despesas!$F:$F,Despesas!$J:$J,"&lt;="&amp;$A49,Despesas!$L:$L,"&gt;="&amp;$A49,Despesas!$C:$C,D$1,Despesas!$M:$M,$B49)</f>
        <v>23000</v>
      </c>
      <c r="E49" s="18">
        <f>SUMIFS(Despesas!$F:$F,Despesas!$J:$J,"&lt;="&amp;$A49,Despesas!$L:$L,"&gt;="&amp;$A49,Despesas!$C:$C,E$1,Despesas!$M:$M,"Mensal")+SUMIFS(Despesas!$F:$F,Despesas!$J:$J,"&lt;="&amp;$A49,Despesas!$L:$L,"&gt;="&amp;$A49,Despesas!$C:$C,E$1,Despesas!$M:$M,$B49)</f>
        <v>18000</v>
      </c>
      <c r="F49" s="5">
        <f>SUMIFS(Despesas!$F:$F,Despesas!$J:$J,"&lt;="&amp;$A49,Despesas!$L:$L,"&gt;="&amp;$A49,Despesas!$C:$C,F$1,Despesas!$M:$M,"Mensal")+SUMIFS(Despesas!$F:$F,Despesas!$J:$J,"&lt;="&amp;$A49,Despesas!$L:$L,"&gt;="&amp;$A49,Despesas!$C:$C,F$1,Despesas!$M:$M,$B49)</f>
        <v>13000</v>
      </c>
      <c r="G49" s="5">
        <f ca="1">SUMIFS(Despesas!$F:$F,Despesas!$J:$J,"&lt;="&amp;$A49,Despesas!$L:$L,"&gt;="&amp;$A49,Despesas!$C:$C,G$1,Despesas!$M:$M,"Mensal")+SUMIFS(Despesas!$F:$F,Despesas!$J:$J,"&lt;="&amp;$A49,Despesas!$L:$L,"&gt;="&amp;$A49,Despesas!$C:$C,G$1,Despesas!$M:$M,$B49)</f>
        <v>55757</v>
      </c>
      <c r="H49" s="18">
        <f ca="1">SUMIFS(Despesas!$F:$F,Despesas!$J:$J,"&lt;="&amp;$A49,Despesas!$L:$L,"&gt;="&amp;$A49,Despesas!$C:$C,H$1,Despesas!$M:$M,"Mensal")+SUMIFS(Despesas!$F:$F,Despesas!$J:$J,"&lt;="&amp;$A49,Despesas!$L:$L,"&gt;="&amp;$A49,Despesas!$C:$C,H$1,Despesas!$M:$M,$B49)</f>
        <v>2686.355</v>
      </c>
      <c r="I49" s="18">
        <f>IF(Imóveis!$F$2="PRICE",IF(AND(Dados!$A49&gt;=Imóveis!$Q$2,Dados!$A49&lt;=Imóveis!$T$2),Imóveis!$U$2,0),IF((IF(AND(Dados!$A49&gt;=Imóveis!$Q$2,Dados!$A49&lt;=Imóveis!$T$2),Imóveis!$S$2-(DATEDIF(Imóveis!$Q$2,Dados!$A49,"m")),0))=0,0,((Imóveis!$N$2/Imóveis!$S$2)+((Imóveis!$N$2-((Imóveis!$S$2-(IF(AND(Dados!$A49&gt;=Imóveis!$Q$2,Dados!$A49&lt;=Imóveis!$T$2),Imóveis!$S$2-(DATEDIF(Imóveis!$Q$2,Dados!$A49,"m")),)))*(Imóveis!$N$2/Imóveis!$S$2)))*Imóveis!$P$2))))*IF(AND(Imóveis!$E$2&gt;0,Dados!$A49&gt;Imóveis!$E$2),0,1)</f>
        <v>16026.583043677116</v>
      </c>
      <c r="J49" s="18">
        <f ca="1">IF(Imóveis!$F$3="PRICE",IF(AND(Dados!$A49&gt;=Imóveis!$Q$3,Dados!$A49&lt;=Imóveis!$T$3),Imóveis!$U$3,0),IF((IF(AND(Dados!$A49&gt;=Imóveis!$Q$3,Dados!$A49&lt;=Imóveis!$T$3),Imóveis!$S$3-(DATEDIF(Imóveis!$Q$3,Dados!$A49,"m")),0))=0,0,((Imóveis!$N$3/Imóveis!$S$3)+((Imóveis!$N$3-((Imóveis!$S$3-(IF(AND(Dados!$A49&gt;=Imóveis!$Q$3,Dados!$A49&lt;=Imóveis!$T$3),Imóveis!$S$3-(DATEDIF(Imóveis!$Q$3,Dados!$A49,"m")),)))*(Imóveis!$N$3/Imóveis!$S$3)))*Imóveis!$P$3))))*IF(AND(Imóveis!$E$3&gt;0,Dados!$A49&gt;Imóveis!$E$3),0,1)</f>
        <v>9314.6986248807771</v>
      </c>
      <c r="K49" s="18">
        <f>IF(Imóveis!$F$4="PRICE",IF(AND(Dados!$A49&gt;=Imóveis!$Q$4,Dados!$A49&lt;=Imóveis!$T$4),Imóveis!$U$4,0),IF((IF(AND(Dados!$A49&gt;=Imóveis!$Q$4,Dados!$A49&lt;=Imóveis!$T$4),Imóveis!$S$4-(DATEDIF(Imóveis!$Q$4,Dados!$A49,"m")),0))=0,0,((Imóveis!$N$4/Imóveis!$S$4)+((Imóveis!$N$4-((Imóveis!$S$4-(IF(AND(Dados!$A49&gt;=Imóveis!$Q$4,Dados!$A49&lt;=Imóveis!$T$4),Imóveis!$S$4-(DATEDIF(Imóveis!$Q$4,Dados!$A49,"m")),)))*(Imóveis!$N$4/Imóveis!$S$4)))*Imóveis!$P$4))))*IF(AND(Imóveis!$E$4&gt;0,Dados!$A49&gt;Imóveis!$E$4),0,1)</f>
        <v>4643.949359272583</v>
      </c>
      <c r="L49" s="18">
        <f>IF(Imóveis!$F$5="PRICE",IF(AND(Dados!$A49&gt;=Imóveis!$Q$5,Dados!$A49&lt;=Imóveis!$T$5),Imóveis!$U$5,0),IF((IF(AND(Dados!$A49&gt;=Imóveis!$Q$5,Dados!$A49&lt;=Imóveis!$T$5),Imóveis!$S$5-(DATEDIF(Imóveis!$Q$5,Dados!$A49,"m")),0))=0,0,((Imóveis!$N$5/Imóveis!$S$5)+((Imóveis!$N$5-((Imóveis!$S$5-(IF(AND(Dados!$A49 &gt;=Imóveis!$Q$5,Dados!$A49&lt;=Imóveis!$T$5),Imóveis!$S$5-(DATEDIF(Imóveis!$Q$5,Dados!$A49,"m")),)))*(Imóveis!$N$5/Imóveis!$S$5)))*Imóveis!$P$5))))*IF(AND(Imóveis!$E$5&gt;0,Dados!$A49&gt;Imóveis!$E$5),0,1)*Imóveis!$I$5</f>
        <v>0</v>
      </c>
      <c r="M49" s="18">
        <f>IF(Imóveis!$F$6="PRICE",IF(AND(Dados!$A49&gt;=Imóveis!$Q$6,Dados!$A49&lt;=Imóveis!$T$6),Imóveis!$U$6,0),IF((IF(AND(Dados!$A49&gt;=Imóveis!$Q$6,Dados!$A49&lt;=Imóveis!$T$6),Imóveis!$S$6-(DATEDIF(Imóveis!$Q$6,Dados!$A49,"m")),0))=0,0,((Imóveis!$N$6/Imóveis!$S$6)+((Imóveis!$N$6-((Imóveis!$S$6-(IF(AND(Dados!$A49&gt;=Imóveis!$Q$6,Dados!$A49&lt;=Imóveis!$T$6),Imóveis!$S$6-(DATEDIF(Imóveis!$Q$6,Dados!$A49,"m")),)))*(Imóveis!$N$6/Imóveis!$S$6)))*Imóveis!$P$6))))*IF(AND(Imóveis!$E$6&gt;0,Dados!$A49&gt;Imóveis!$E$6),0,1)*Imóveis!$I$6</f>
        <v>0</v>
      </c>
      <c r="N49" s="18">
        <f t="shared" ca="1" si="3"/>
        <v>142428.58602783046</v>
      </c>
      <c r="O49" s="18">
        <f>SUMIFS(Receitas!$F:$F,Receitas!$J:$J,"&lt;="&amp;$A49,Receitas!$L:$L,"&gt;="&amp;$A49,Receitas!$C:$C,O$1,Receitas!$M:$M,"Mensal")+SUMIFS(Receitas!$F:$F,Receitas!$J:$J,"&lt;="&amp;$A49,Receitas!$L:$L,"&gt;="&amp;$A49,Receitas!$C:$C,O$1,Receitas!$M:$M,$B49)</f>
        <v>50000</v>
      </c>
      <c r="P49" s="18">
        <f>SUMIFS(Receitas!$F:$F,Receitas!$J:$J,"&lt;="&amp;$A49,Receitas!$L:$L,"&gt;="&amp;$A49,Receitas!$C:$C,P$1,Receitas!$M:$M,"Mensal")+SUMIFS(Receitas!$F:$F,Receitas!$J:$J,"&lt;="&amp;$A49,Receitas!$L:$L,"&gt;="&amp;$A49,Receitas!$C:$C,P$1,Receitas!$M:$M,$B49)</f>
        <v>20000</v>
      </c>
      <c r="Q49" s="18">
        <f ca="1">SUMIFS(Receitas!$F:$F,Receitas!$J:$J,"&lt;="&amp;$A49,Receitas!$L:$L,"&gt;="&amp;$A49,Receitas!$C:$C,Q$1,Receitas!$M:$M,"Mensal")+SUMIFS(Receitas!$F:$F,Receitas!$J:$J,"&lt;="&amp;$A49,Receitas!$L:$L,"&gt;="&amp;$A49,Receitas!$C:$C,Q$1,Receitas!$M:$M,$B49)</f>
        <v>15101.400000000001</v>
      </c>
      <c r="R49" s="18" cm="1">
        <f t="array" ref="R49">(IF(AND(Membros!$F$2="Sim",A49&lt;=MAX(Membros!$E$2:$E$5)),Membros!K$2,IF(AND(A49&gt;=Membros!J$2,A49&lt;=MAX(Membros!$E$2:$E$5)),Membros!K$2,0))+IF(AND(Membros!$F$3="Sim",A49&lt;=MAX(Membros!$E$2:$E$5)),Membros!K$3,IF(AND(A49&gt;=Membros!J$3,A49&lt;=MAX(Membros!$E$2:$E$5)),Membros!K$3,0)))*IF(AND(COUNTIFS(Tabela3[Tipo],"Provedor",Tabela3[Simulação Seguro],"Sim")=2,A49&gt;=MAX(IF(Tabela3[Tipo]="Dependente",Tabela3[Expectativa de Vida (Data)]))),0,1)</f>
        <v>0</v>
      </c>
      <c r="S49" s="18">
        <f t="shared" ca="1" si="4"/>
        <v>85101.4</v>
      </c>
      <c r="U49" s="18">
        <f t="shared" ca="1" si="7"/>
        <v>4908097.2152434858</v>
      </c>
      <c r="V49" s="18">
        <f>SUMIF(Imóveis!E:E,Dados!A:A,Imóveis!Z:Z)-SUMIF(Imóveis!E:E,Dados!A:A,Imóveis!Y:Y)</f>
        <v>0</v>
      </c>
      <c r="W49" s="18">
        <f>-SUMIF(Projetos!N:N,A49,Projetos!F:F)</f>
        <v>0</v>
      </c>
      <c r="X49" s="18">
        <f t="shared" ca="1" si="0"/>
        <v>-57327.186027830467</v>
      </c>
      <c r="Y49" s="26">
        <f ca="1">(U49*((Indicadores_Economicos!D$2+1)^(1/12)-1))</f>
        <v>16067.833108442308</v>
      </c>
      <c r="Z49" s="18">
        <f t="shared" ca="1" si="5"/>
        <v>4866837.8623240972</v>
      </c>
      <c r="AA49" s="18">
        <f ca="1">Auxiliar_Projetos!E49</f>
        <v>228443.83779170038</v>
      </c>
      <c r="AB49" s="18">
        <f ca="1">Auxiliar_Projetos!K49</f>
        <v>335958.34456218965</v>
      </c>
      <c r="AC49" s="18">
        <f ca="1">IF(Z49-AA49-AB49&gt;Investimentos!$C$14,Investimentos!$C$14,IF(Z49-AA49-AB49&lt;Investimentos!$C$14,Z49-AA49-AB49,0))</f>
        <v>300000</v>
      </c>
      <c r="AD49" s="18">
        <f t="shared" ca="1" si="6"/>
        <v>4002435.6799702067</v>
      </c>
      <c r="AE49" s="18"/>
    </row>
    <row r="50" spans="1:31" x14ac:dyDescent="0.2">
      <c r="A50" s="4">
        <v>47119</v>
      </c>
      <c r="B50" s="5" t="str">
        <f t="shared" si="1"/>
        <v>janeiro</v>
      </c>
      <c r="C50" s="5" t="str">
        <f t="shared" si="9"/>
        <v>2029</v>
      </c>
      <c r="D50" s="5">
        <f>SUMIFS(Despesas!$F:$F,Despesas!$J:$J,"&lt;="&amp;$A50,Despesas!$L:$L,"&gt;="&amp;$A50,Despesas!$C:$C,D$1,Despesas!$M:$M,"Mensal")+SUMIFS(Despesas!$F:$F,Despesas!$J:$J,"&lt;="&amp;$A50,Despesas!$L:$L,"&gt;="&amp;$A50,Despesas!$C:$C,D$1,Despesas!$M:$M,$B50)</f>
        <v>23000</v>
      </c>
      <c r="E50" s="18">
        <f>SUMIFS(Despesas!$F:$F,Despesas!$J:$J,"&lt;="&amp;$A50,Despesas!$L:$L,"&gt;="&amp;$A50,Despesas!$C:$C,E$1,Despesas!$M:$M,"Mensal")+SUMIFS(Despesas!$F:$F,Despesas!$J:$J,"&lt;="&amp;$A50,Despesas!$L:$L,"&gt;="&amp;$A50,Despesas!$C:$C,E$1,Despesas!$M:$M,$B50)</f>
        <v>18000</v>
      </c>
      <c r="F50" s="5">
        <f>SUMIFS(Despesas!$F:$F,Despesas!$J:$J,"&lt;="&amp;$A50,Despesas!$L:$L,"&gt;="&amp;$A50,Despesas!$C:$C,F$1,Despesas!$M:$M,"Mensal")+SUMIFS(Despesas!$F:$F,Despesas!$J:$J,"&lt;="&amp;$A50,Despesas!$L:$L,"&gt;="&amp;$A50,Despesas!$C:$C,F$1,Despesas!$M:$M,$B50)</f>
        <v>13000</v>
      </c>
      <c r="G50" s="5">
        <f>SUMIFS(Despesas!$F:$F,Despesas!$J:$J,"&lt;="&amp;$A50,Despesas!$L:$L,"&gt;="&amp;$A50,Despesas!$C:$C,G$1,Despesas!$M:$M,"Mensal")+SUMIFS(Despesas!$F:$F,Despesas!$J:$J,"&lt;="&amp;$A50,Despesas!$L:$L,"&gt;="&amp;$A50,Despesas!$C:$C,G$1,Despesas!$M:$M,$B50)</f>
        <v>0</v>
      </c>
      <c r="H50" s="18">
        <f ca="1">SUMIFS(Despesas!$F:$F,Despesas!$J:$J,"&lt;="&amp;$A50,Despesas!$L:$L,"&gt;="&amp;$A50,Despesas!$C:$C,H$1,Despesas!$M:$M,"Mensal")+SUMIFS(Despesas!$F:$F,Despesas!$J:$J,"&lt;="&amp;$A50,Despesas!$L:$L,"&gt;="&amp;$A50,Despesas!$C:$C,H$1,Despesas!$M:$M,$B50)</f>
        <v>2686.355</v>
      </c>
      <c r="I50" s="18">
        <f>IF(Imóveis!$F$2="PRICE",IF(AND(Dados!$A50&gt;=Imóveis!$Q$2,Dados!$A50&lt;=Imóveis!$T$2),Imóveis!$U$2,0),IF((IF(AND(Dados!$A50&gt;=Imóveis!$Q$2,Dados!$A50&lt;=Imóveis!$T$2),Imóveis!$S$2-(DATEDIF(Imóveis!$Q$2,Dados!$A50,"m")),0))=0,0,((Imóveis!$N$2/Imóveis!$S$2)+((Imóveis!$N$2-((Imóveis!$S$2-(IF(AND(Dados!$A50&gt;=Imóveis!$Q$2,Dados!$A50&lt;=Imóveis!$T$2),Imóveis!$S$2-(DATEDIF(Imóveis!$Q$2,Dados!$A50,"m")),)))*(Imóveis!$N$2/Imóveis!$S$2)))*Imóveis!$P$2))))*IF(AND(Imóveis!$E$2&gt;0,Dados!$A50&gt;Imóveis!$E$2),0,1)</f>
        <v>15964.56195145231</v>
      </c>
      <c r="J50" s="18">
        <f ca="1">IF(Imóveis!$F$3="PRICE",IF(AND(Dados!$A50&gt;=Imóveis!$Q$3,Dados!$A50&lt;=Imóveis!$T$3),Imóveis!$U$3,0),IF((IF(AND(Dados!$A50&gt;=Imóveis!$Q$3,Dados!$A50&lt;=Imóveis!$T$3),Imóveis!$S$3-(DATEDIF(Imóveis!$Q$3,Dados!$A50,"m")),0))=0,0,((Imóveis!$N$3/Imóveis!$S$3)+((Imóveis!$N$3-((Imóveis!$S$3-(IF(AND(Dados!$A50&gt;=Imóveis!$Q$3,Dados!$A50&lt;=Imóveis!$T$3),Imóveis!$S$3-(DATEDIF(Imóveis!$Q$3,Dados!$A50,"m")),)))*(Imóveis!$N$3/Imóveis!$S$3)))*Imóveis!$P$3))))*IF(AND(Imóveis!$E$3&gt;0,Dados!$A50&gt;Imóveis!$E$3),0,1)</f>
        <v>9314.6986248807771</v>
      </c>
      <c r="K50" s="18">
        <f>IF(Imóveis!$F$4="PRICE",IF(AND(Dados!$A50&gt;=Imóveis!$Q$4,Dados!$A50&lt;=Imóveis!$T$4),Imóveis!$U$4,0),IF((IF(AND(Dados!$A50&gt;=Imóveis!$Q$4,Dados!$A50&lt;=Imóveis!$T$4),Imóveis!$S$4-(DATEDIF(Imóveis!$Q$4,Dados!$A50,"m")),0))=0,0,((Imóveis!$N$4/Imóveis!$S$4)+((Imóveis!$N$4-((Imóveis!$S$4-(IF(AND(Dados!$A50&gt;=Imóveis!$Q$4,Dados!$A50&lt;=Imóveis!$T$4),Imóveis!$S$4-(DATEDIF(Imóveis!$Q$4,Dados!$A50,"m")),)))*(Imóveis!$N$4/Imóveis!$S$4)))*Imóveis!$P$4))))*IF(AND(Imóveis!$E$4&gt;0,Dados!$A50&gt;Imóveis!$E$4),0,1)</f>
        <v>4643.949359272583</v>
      </c>
      <c r="L50" s="18">
        <f>IF(Imóveis!$F$5="PRICE",IF(AND(Dados!$A50&gt;=Imóveis!$Q$5,Dados!$A50&lt;=Imóveis!$T$5),Imóveis!$U$5,0),IF((IF(AND(Dados!$A50&gt;=Imóveis!$Q$5,Dados!$A50&lt;=Imóveis!$T$5),Imóveis!$S$5-(DATEDIF(Imóveis!$Q$5,Dados!$A50,"m")),0))=0,0,((Imóveis!$N$5/Imóveis!$S$5)+((Imóveis!$N$5-((Imóveis!$S$5-(IF(AND(Dados!$A50 &gt;=Imóveis!$Q$5,Dados!$A50&lt;=Imóveis!$T$5),Imóveis!$S$5-(DATEDIF(Imóveis!$Q$5,Dados!$A50,"m")),)))*(Imóveis!$N$5/Imóveis!$S$5)))*Imóveis!$P$5))))*IF(AND(Imóveis!$E$5&gt;0,Dados!$A50&gt;Imóveis!$E$5),0,1)*Imóveis!$I$5</f>
        <v>0</v>
      </c>
      <c r="M50" s="18">
        <f>IF(Imóveis!$F$6="PRICE",IF(AND(Dados!$A50&gt;=Imóveis!$Q$6,Dados!$A50&lt;=Imóveis!$T$6),Imóveis!$U$6,0),IF((IF(AND(Dados!$A50&gt;=Imóveis!$Q$6,Dados!$A50&lt;=Imóveis!$T$6),Imóveis!$S$6-(DATEDIF(Imóveis!$Q$6,Dados!$A50,"m")),0))=0,0,((Imóveis!$N$6/Imóveis!$S$6)+((Imóveis!$N$6-((Imóveis!$S$6-(IF(AND(Dados!$A50&gt;=Imóveis!$Q$6,Dados!$A50&lt;=Imóveis!$T$6),Imóveis!$S$6-(DATEDIF(Imóveis!$Q$6,Dados!$A50,"m")),)))*(Imóveis!$N$6/Imóveis!$S$6)))*Imóveis!$P$6))))*IF(AND(Imóveis!$E$6&gt;0,Dados!$A50&gt;Imóveis!$E$6),0,1)*Imóveis!$I$6</f>
        <v>0</v>
      </c>
      <c r="N50" s="18">
        <f t="shared" ca="1" si="3"/>
        <v>86609.564935605667</v>
      </c>
      <c r="O50" s="18">
        <f>SUMIFS(Receitas!$F:$F,Receitas!$J:$J,"&lt;="&amp;$A50,Receitas!$L:$L,"&gt;="&amp;$A50,Receitas!$C:$C,O$1,Receitas!$M:$M,"Mensal")+SUMIFS(Receitas!$F:$F,Receitas!$J:$J,"&lt;="&amp;$A50,Receitas!$L:$L,"&gt;="&amp;$A50,Receitas!$C:$C,O$1,Receitas!$M:$M,$B50)</f>
        <v>50000</v>
      </c>
      <c r="P50" s="18">
        <f>SUMIFS(Receitas!$F:$F,Receitas!$J:$J,"&lt;="&amp;$A50,Receitas!$L:$L,"&gt;="&amp;$A50,Receitas!$C:$C,P$1,Receitas!$M:$M,"Mensal")+SUMIFS(Receitas!$F:$F,Receitas!$J:$J,"&lt;="&amp;$A50,Receitas!$L:$L,"&gt;="&amp;$A50,Receitas!$C:$C,P$1,Receitas!$M:$M,$B50)</f>
        <v>20000</v>
      </c>
      <c r="Q50" s="18">
        <f ca="1">SUMIFS(Receitas!$F:$F,Receitas!$J:$J,"&lt;="&amp;$A50,Receitas!$L:$L,"&gt;="&amp;$A50,Receitas!$C:$C,Q$1,Receitas!$M:$M,"Mensal")+SUMIFS(Receitas!$F:$F,Receitas!$J:$J,"&lt;="&amp;$A50,Receitas!$L:$L,"&gt;="&amp;$A50,Receitas!$C:$C,Q$1,Receitas!$M:$M,$B50)</f>
        <v>15101.400000000001</v>
      </c>
      <c r="R50" s="18" cm="1">
        <f t="array" ref="R50">(IF(AND(Membros!$F$2="Sim",A50&lt;=MAX(Membros!$E$2:$E$5)),Membros!K$2,IF(AND(A50&gt;=Membros!J$2,A50&lt;=MAX(Membros!$E$2:$E$5)),Membros!K$2,0))+IF(AND(Membros!$F$3="Sim",A50&lt;=MAX(Membros!$E$2:$E$5)),Membros!K$3,IF(AND(A50&gt;=Membros!J$3,A50&lt;=MAX(Membros!$E$2:$E$5)),Membros!K$3,0)))*IF(AND(COUNTIFS(Tabela3[Tipo],"Provedor",Tabela3[Simulação Seguro],"Sim")=2,A50&gt;=MAX(IF(Tabela3[Tipo]="Dependente",Tabela3[Expectativa de Vida (Data)]))),0,1)</f>
        <v>0</v>
      </c>
      <c r="S50" s="18">
        <f t="shared" ca="1" si="4"/>
        <v>85101.4</v>
      </c>
      <c r="U50" s="18">
        <f t="shared" ca="1" si="7"/>
        <v>4866837.8623240972</v>
      </c>
      <c r="V50" s="18">
        <f>SUMIF(Imóveis!E:E,Dados!A:A,Imóveis!Z:Z)-SUMIF(Imóveis!E:E,Dados!A:A,Imóveis!Y:Y)</f>
        <v>0</v>
      </c>
      <c r="W50" s="18">
        <f>-SUMIF(Projetos!N:N,A50,Projetos!F:F)</f>
        <v>0</v>
      </c>
      <c r="X50" s="18">
        <f t="shared" ca="1" si="0"/>
        <v>-1508.1649356056732</v>
      </c>
      <c r="Y50" s="26">
        <f ca="1">(U50*((Indicadores_Economicos!D$2+1)^(1/12)-1))</f>
        <v>15932.76072340232</v>
      </c>
      <c r="Z50" s="18">
        <f t="shared" ca="1" si="5"/>
        <v>4881262.4581118943</v>
      </c>
      <c r="AA50" s="18">
        <f ca="1">Auxiliar_Projetos!E50</f>
        <v>229191.70347147726</v>
      </c>
      <c r="AB50" s="18">
        <f ca="1">Auxiliar_Projetos!K50</f>
        <v>337058.18475994456</v>
      </c>
      <c r="AC50" s="18">
        <f ca="1">IF(Z50-AA50-AB50&gt;Investimentos!$C$14,Investimentos!$C$14,IF(Z50-AA50-AB50&lt;Investimentos!$C$14,Z50-AA50-AB50,0))</f>
        <v>300000</v>
      </c>
      <c r="AD50" s="18">
        <f t="shared" ca="1" si="6"/>
        <v>4015012.5698804725</v>
      </c>
      <c r="AE50" s="18"/>
    </row>
    <row r="51" spans="1:31" x14ac:dyDescent="0.2">
      <c r="A51" s="4">
        <v>47150</v>
      </c>
      <c r="B51" s="5" t="str">
        <f t="shared" si="1"/>
        <v>fevereiro</v>
      </c>
      <c r="C51" s="5" t="str">
        <f t="shared" si="9"/>
        <v>2029</v>
      </c>
      <c r="D51" s="5">
        <f>SUMIFS(Despesas!$F:$F,Despesas!$J:$J,"&lt;="&amp;$A51,Despesas!$L:$L,"&gt;="&amp;$A51,Despesas!$C:$C,D$1,Despesas!$M:$M,"Mensal")+SUMIFS(Despesas!$F:$F,Despesas!$J:$J,"&lt;="&amp;$A51,Despesas!$L:$L,"&gt;="&amp;$A51,Despesas!$C:$C,D$1,Despesas!$M:$M,$B51)</f>
        <v>23000</v>
      </c>
      <c r="E51" s="18">
        <f>SUMIFS(Despesas!$F:$F,Despesas!$J:$J,"&lt;="&amp;$A51,Despesas!$L:$L,"&gt;="&amp;$A51,Despesas!$C:$C,E$1,Despesas!$M:$M,"Mensal")+SUMIFS(Despesas!$F:$F,Despesas!$J:$J,"&lt;="&amp;$A51,Despesas!$L:$L,"&gt;="&amp;$A51,Despesas!$C:$C,E$1,Despesas!$M:$M,$B51)</f>
        <v>18000</v>
      </c>
      <c r="F51" s="5">
        <f>SUMIFS(Despesas!$F:$F,Despesas!$J:$J,"&lt;="&amp;$A51,Despesas!$L:$L,"&gt;="&amp;$A51,Despesas!$C:$C,F$1,Despesas!$M:$M,"Mensal")+SUMIFS(Despesas!$F:$F,Despesas!$J:$J,"&lt;="&amp;$A51,Despesas!$L:$L,"&gt;="&amp;$A51,Despesas!$C:$C,F$1,Despesas!$M:$M,$B51)</f>
        <v>13000</v>
      </c>
      <c r="G51" s="5">
        <f>SUMIFS(Despesas!$F:$F,Despesas!$J:$J,"&lt;="&amp;$A51,Despesas!$L:$L,"&gt;="&amp;$A51,Despesas!$C:$C,G$1,Despesas!$M:$M,"Mensal")+SUMIFS(Despesas!$F:$F,Despesas!$J:$J,"&lt;="&amp;$A51,Despesas!$L:$L,"&gt;="&amp;$A51,Despesas!$C:$C,G$1,Despesas!$M:$M,$B51)</f>
        <v>0</v>
      </c>
      <c r="H51" s="18">
        <f ca="1">SUMIFS(Despesas!$F:$F,Despesas!$J:$J,"&lt;="&amp;$A51,Despesas!$L:$L,"&gt;="&amp;$A51,Despesas!$C:$C,H$1,Despesas!$M:$M,"Mensal")+SUMIFS(Despesas!$F:$F,Despesas!$J:$J,"&lt;="&amp;$A51,Despesas!$L:$L,"&gt;="&amp;$A51,Despesas!$C:$C,H$1,Despesas!$M:$M,$B51)</f>
        <v>4543.9250000000002</v>
      </c>
      <c r="I51" s="18">
        <f>IF(Imóveis!$F$2="PRICE",IF(AND(Dados!$A51&gt;=Imóveis!$Q$2,Dados!$A51&lt;=Imóveis!$T$2),Imóveis!$U$2,0),IF((IF(AND(Dados!$A51&gt;=Imóveis!$Q$2,Dados!$A51&lt;=Imóveis!$T$2),Imóveis!$S$2-(DATEDIF(Imóveis!$Q$2,Dados!$A51,"m")),0))=0,0,((Imóveis!$N$2/Imóveis!$S$2)+((Imóveis!$N$2-((Imóveis!$S$2-(IF(AND(Dados!$A51&gt;=Imóveis!$Q$2,Dados!$A51&lt;=Imóveis!$T$2),Imóveis!$S$2-(DATEDIF(Imóveis!$Q$2,Dados!$A51,"m")),)))*(Imóveis!$N$2/Imóveis!$S$2)))*Imóveis!$P$2))))*IF(AND(Imóveis!$E$2&gt;0,Dados!$A51&gt;Imóveis!$E$2),0,1)</f>
        <v>15902.540859227502</v>
      </c>
      <c r="J51" s="18">
        <f ca="1">IF(Imóveis!$F$3="PRICE",IF(AND(Dados!$A51&gt;=Imóveis!$Q$3,Dados!$A51&lt;=Imóveis!$T$3),Imóveis!$U$3,0),IF((IF(AND(Dados!$A51&gt;=Imóveis!$Q$3,Dados!$A51&lt;=Imóveis!$T$3),Imóveis!$S$3-(DATEDIF(Imóveis!$Q$3,Dados!$A51,"m")),0))=0,0,((Imóveis!$N$3/Imóveis!$S$3)+((Imóveis!$N$3-((Imóveis!$S$3-(IF(AND(Dados!$A51&gt;=Imóveis!$Q$3,Dados!$A51&lt;=Imóveis!$T$3),Imóveis!$S$3-(DATEDIF(Imóveis!$Q$3,Dados!$A51,"m")),)))*(Imóveis!$N$3/Imóveis!$S$3)))*Imóveis!$P$3))))*IF(AND(Imóveis!$E$3&gt;0,Dados!$A51&gt;Imóveis!$E$3),0,1)</f>
        <v>9314.6986248807771</v>
      </c>
      <c r="K51" s="18">
        <f>IF(Imóveis!$F$4="PRICE",IF(AND(Dados!$A51&gt;=Imóveis!$Q$4,Dados!$A51&lt;=Imóveis!$T$4),Imóveis!$U$4,0),IF((IF(AND(Dados!$A51&gt;=Imóveis!$Q$4,Dados!$A51&lt;=Imóveis!$T$4),Imóveis!$S$4-(DATEDIF(Imóveis!$Q$4,Dados!$A51,"m")),0))=0,0,((Imóveis!$N$4/Imóveis!$S$4)+((Imóveis!$N$4-((Imóveis!$S$4-(IF(AND(Dados!$A51&gt;=Imóveis!$Q$4,Dados!$A51&lt;=Imóveis!$T$4),Imóveis!$S$4-(DATEDIF(Imóveis!$Q$4,Dados!$A51,"m")),)))*(Imóveis!$N$4/Imóveis!$S$4)))*Imóveis!$P$4))))*IF(AND(Imóveis!$E$4&gt;0,Dados!$A51&gt;Imóveis!$E$4),0,1)</f>
        <v>4643.949359272583</v>
      </c>
      <c r="L51" s="18">
        <f>IF(Imóveis!$F$5="PRICE",IF(AND(Dados!$A51&gt;=Imóveis!$Q$5,Dados!$A51&lt;=Imóveis!$T$5),Imóveis!$U$5,0),IF((IF(AND(Dados!$A51&gt;=Imóveis!$Q$5,Dados!$A51&lt;=Imóveis!$T$5),Imóveis!$S$5-(DATEDIF(Imóveis!$Q$5,Dados!$A51,"m")),0))=0,0,((Imóveis!$N$5/Imóveis!$S$5)+((Imóveis!$N$5-((Imóveis!$S$5-(IF(AND(Dados!$A51 &gt;=Imóveis!$Q$5,Dados!$A51&lt;=Imóveis!$T$5),Imóveis!$S$5-(DATEDIF(Imóveis!$Q$5,Dados!$A51,"m")),)))*(Imóveis!$N$5/Imóveis!$S$5)))*Imóveis!$P$5))))*IF(AND(Imóveis!$E$5&gt;0,Dados!$A51&gt;Imóveis!$E$5),0,1)*Imóveis!$I$5</f>
        <v>0</v>
      </c>
      <c r="M51" s="18">
        <f>IF(Imóveis!$F$6="PRICE",IF(AND(Dados!$A51&gt;=Imóveis!$Q$6,Dados!$A51&lt;=Imóveis!$T$6),Imóveis!$U$6,0),IF((IF(AND(Dados!$A51&gt;=Imóveis!$Q$6,Dados!$A51&lt;=Imóveis!$T$6),Imóveis!$S$6-(DATEDIF(Imóveis!$Q$6,Dados!$A51,"m")),0))=0,0,((Imóveis!$N$6/Imóveis!$S$6)+((Imóveis!$N$6-((Imóveis!$S$6-(IF(AND(Dados!$A51&gt;=Imóveis!$Q$6,Dados!$A51&lt;=Imóveis!$T$6),Imóveis!$S$6-(DATEDIF(Imóveis!$Q$6,Dados!$A51,"m")),)))*(Imóveis!$N$6/Imóveis!$S$6)))*Imóveis!$P$6))))*IF(AND(Imóveis!$E$6&gt;0,Dados!$A51&gt;Imóveis!$E$6),0,1)*Imóveis!$I$6</f>
        <v>0</v>
      </c>
      <c r="N51" s="18">
        <f t="shared" ca="1" si="3"/>
        <v>88405.113843380866</v>
      </c>
      <c r="O51" s="18">
        <f>SUMIFS(Receitas!$F:$F,Receitas!$J:$J,"&lt;="&amp;$A51,Receitas!$L:$L,"&gt;="&amp;$A51,Receitas!$C:$C,O$1,Receitas!$M:$M,"Mensal")+SUMIFS(Receitas!$F:$F,Receitas!$J:$J,"&lt;="&amp;$A51,Receitas!$L:$L,"&gt;="&amp;$A51,Receitas!$C:$C,O$1,Receitas!$M:$M,$B51)</f>
        <v>50000</v>
      </c>
      <c r="P51" s="18">
        <f>SUMIFS(Receitas!$F:$F,Receitas!$J:$J,"&lt;="&amp;$A51,Receitas!$L:$L,"&gt;="&amp;$A51,Receitas!$C:$C,P$1,Receitas!$M:$M,"Mensal")+SUMIFS(Receitas!$F:$F,Receitas!$J:$J,"&lt;="&amp;$A51,Receitas!$L:$L,"&gt;="&amp;$A51,Receitas!$C:$C,P$1,Receitas!$M:$M,$B51)</f>
        <v>20000</v>
      </c>
      <c r="Q51" s="18">
        <f ca="1">SUMIFS(Receitas!$F:$F,Receitas!$J:$J,"&lt;="&amp;$A51,Receitas!$L:$L,"&gt;="&amp;$A51,Receitas!$C:$C,Q$1,Receitas!$M:$M,"Mensal")+SUMIFS(Receitas!$F:$F,Receitas!$J:$J,"&lt;="&amp;$A51,Receitas!$L:$L,"&gt;="&amp;$A51,Receitas!$C:$C,Q$1,Receitas!$M:$M,$B51)</f>
        <v>15101.400000000001</v>
      </c>
      <c r="R51" s="18" cm="1">
        <f t="array" ref="R51">(IF(AND(Membros!$F$2="Sim",A51&lt;=MAX(Membros!$E$2:$E$5)),Membros!K$2,IF(AND(A51&gt;=Membros!J$2,A51&lt;=MAX(Membros!$E$2:$E$5)),Membros!K$2,0))+IF(AND(Membros!$F$3="Sim",A51&lt;=MAX(Membros!$E$2:$E$5)),Membros!K$3,IF(AND(A51&gt;=Membros!J$3,A51&lt;=MAX(Membros!$E$2:$E$5)),Membros!K$3,0)))*IF(AND(COUNTIFS(Tabela3[Tipo],"Provedor",Tabela3[Simulação Seguro],"Sim")=2,A51&gt;=MAX(IF(Tabela3[Tipo]="Dependente",Tabela3[Expectativa de Vida (Data)]))),0,1)</f>
        <v>0</v>
      </c>
      <c r="S51" s="18">
        <f t="shared" ca="1" si="4"/>
        <v>85101.4</v>
      </c>
      <c r="U51" s="18">
        <f t="shared" ca="1" si="7"/>
        <v>4881262.4581118943</v>
      </c>
      <c r="V51" s="18">
        <f>SUMIF(Imóveis!E:E,Dados!A:A,Imóveis!Z:Z)-SUMIF(Imóveis!E:E,Dados!A:A,Imóveis!Y:Y)</f>
        <v>0</v>
      </c>
      <c r="W51" s="18">
        <f>-SUMIF(Projetos!N:N,A51,Projetos!F:F)</f>
        <v>0</v>
      </c>
      <c r="X51" s="18">
        <f t="shared" ca="1" si="0"/>
        <v>-3303.7138433808723</v>
      </c>
      <c r="Y51" s="26">
        <f ca="1">(U51*((Indicadores_Economicos!D$2+1)^(1/12)-1))</f>
        <v>15979.983096474971</v>
      </c>
      <c r="Z51" s="18">
        <f t="shared" ca="1" si="5"/>
        <v>4893938.7273649881</v>
      </c>
      <c r="AA51" s="18">
        <f ca="1">Auxiliar_Projetos!E51</f>
        <v>229942.01746888176</v>
      </c>
      <c r="AB51" s="18">
        <f ca="1">Auxiliar_Projetos!K51</f>
        <v>338161.62554830895</v>
      </c>
      <c r="AC51" s="18">
        <f ca="1">IF(Z51-AA51-AB51&gt;Investimentos!$C$14,Investimentos!$C$14,IF(Z51-AA51-AB51&lt;Investimentos!$C$14,Z51-AA51-AB51,0))</f>
        <v>300000</v>
      </c>
      <c r="AD51" s="18">
        <f t="shared" ca="1" si="6"/>
        <v>4025835.0843477976</v>
      </c>
      <c r="AE51" s="18"/>
    </row>
    <row r="52" spans="1:31" x14ac:dyDescent="0.2">
      <c r="A52" s="4">
        <v>47178</v>
      </c>
      <c r="B52" s="5" t="str">
        <f t="shared" si="1"/>
        <v>março</v>
      </c>
      <c r="C52" s="5" t="str">
        <f t="shared" si="9"/>
        <v>2029</v>
      </c>
      <c r="D52" s="5">
        <f>SUMIFS(Despesas!$F:$F,Despesas!$J:$J,"&lt;="&amp;$A52,Despesas!$L:$L,"&gt;="&amp;$A52,Despesas!$C:$C,D$1,Despesas!$M:$M,"Mensal")+SUMIFS(Despesas!$F:$F,Despesas!$J:$J,"&lt;="&amp;$A52,Despesas!$L:$L,"&gt;="&amp;$A52,Despesas!$C:$C,D$1,Despesas!$M:$M,$B52)</f>
        <v>23000</v>
      </c>
      <c r="E52" s="18">
        <f>SUMIFS(Despesas!$F:$F,Despesas!$J:$J,"&lt;="&amp;$A52,Despesas!$L:$L,"&gt;="&amp;$A52,Despesas!$C:$C,E$1,Despesas!$M:$M,"Mensal")+SUMIFS(Despesas!$F:$F,Despesas!$J:$J,"&lt;="&amp;$A52,Despesas!$L:$L,"&gt;="&amp;$A52,Despesas!$C:$C,E$1,Despesas!$M:$M,$B52)</f>
        <v>18000</v>
      </c>
      <c r="F52" s="5">
        <f>SUMIFS(Despesas!$F:$F,Despesas!$J:$J,"&lt;="&amp;$A52,Despesas!$L:$L,"&gt;="&amp;$A52,Despesas!$C:$C,F$1,Despesas!$M:$M,"Mensal")+SUMIFS(Despesas!$F:$F,Despesas!$J:$J,"&lt;="&amp;$A52,Despesas!$L:$L,"&gt;="&amp;$A52,Despesas!$C:$C,F$1,Despesas!$M:$M,$B52)</f>
        <v>13000</v>
      </c>
      <c r="G52" s="5">
        <f>SUMIFS(Despesas!$F:$F,Despesas!$J:$J,"&lt;="&amp;$A52,Despesas!$L:$L,"&gt;="&amp;$A52,Despesas!$C:$C,G$1,Despesas!$M:$M,"Mensal")+SUMIFS(Despesas!$F:$F,Despesas!$J:$J,"&lt;="&amp;$A52,Despesas!$L:$L,"&gt;="&amp;$A52,Despesas!$C:$C,G$1,Despesas!$M:$M,$B52)</f>
        <v>0</v>
      </c>
      <c r="H52" s="18">
        <f ca="1">SUMIFS(Despesas!$F:$F,Despesas!$J:$J,"&lt;="&amp;$A52,Despesas!$L:$L,"&gt;="&amp;$A52,Despesas!$C:$C,H$1,Despesas!$M:$M,"Mensal")+SUMIFS(Despesas!$F:$F,Despesas!$J:$J,"&lt;="&amp;$A52,Despesas!$L:$L,"&gt;="&amp;$A52,Despesas!$C:$C,H$1,Despesas!$M:$M,$B52)</f>
        <v>2686.355</v>
      </c>
      <c r="I52" s="18">
        <f>IF(Imóveis!$F$2="PRICE",IF(AND(Dados!$A52&gt;=Imóveis!$Q$2,Dados!$A52&lt;=Imóveis!$T$2),Imóveis!$U$2,0),IF((IF(AND(Dados!$A52&gt;=Imóveis!$Q$2,Dados!$A52&lt;=Imóveis!$T$2),Imóveis!$S$2-(DATEDIF(Imóveis!$Q$2,Dados!$A52,"m")),0))=0,0,((Imóveis!$N$2/Imóveis!$S$2)+((Imóveis!$N$2-((Imóveis!$S$2-(IF(AND(Dados!$A52&gt;=Imóveis!$Q$2,Dados!$A52&lt;=Imóveis!$T$2),Imóveis!$S$2-(DATEDIF(Imóveis!$Q$2,Dados!$A52,"m")),)))*(Imóveis!$N$2/Imóveis!$S$2)))*Imóveis!$P$2))))*IF(AND(Imóveis!$E$2&gt;0,Dados!$A52&gt;Imóveis!$E$2),0,1)</f>
        <v>15840.519767002694</v>
      </c>
      <c r="J52" s="18">
        <f ca="1">IF(Imóveis!$F$3="PRICE",IF(AND(Dados!$A52&gt;=Imóveis!$Q$3,Dados!$A52&lt;=Imóveis!$T$3),Imóveis!$U$3,0),IF((IF(AND(Dados!$A52&gt;=Imóveis!$Q$3,Dados!$A52&lt;=Imóveis!$T$3),Imóveis!$S$3-(DATEDIF(Imóveis!$Q$3,Dados!$A52,"m")),0))=0,0,((Imóveis!$N$3/Imóveis!$S$3)+((Imóveis!$N$3-((Imóveis!$S$3-(IF(AND(Dados!$A52&gt;=Imóveis!$Q$3,Dados!$A52&lt;=Imóveis!$T$3),Imóveis!$S$3-(DATEDIF(Imóveis!$Q$3,Dados!$A52,"m")),)))*(Imóveis!$N$3/Imóveis!$S$3)))*Imóveis!$P$3))))*IF(AND(Imóveis!$E$3&gt;0,Dados!$A52&gt;Imóveis!$E$3),0,1)</f>
        <v>9314.6986248807771</v>
      </c>
      <c r="K52" s="18">
        <f>IF(Imóveis!$F$4="PRICE",IF(AND(Dados!$A52&gt;=Imóveis!$Q$4,Dados!$A52&lt;=Imóveis!$T$4),Imóveis!$U$4,0),IF((IF(AND(Dados!$A52&gt;=Imóveis!$Q$4,Dados!$A52&lt;=Imóveis!$T$4),Imóveis!$S$4-(DATEDIF(Imóveis!$Q$4,Dados!$A52,"m")),0))=0,0,((Imóveis!$N$4/Imóveis!$S$4)+((Imóveis!$N$4-((Imóveis!$S$4-(IF(AND(Dados!$A52&gt;=Imóveis!$Q$4,Dados!$A52&lt;=Imóveis!$T$4),Imóveis!$S$4-(DATEDIF(Imóveis!$Q$4,Dados!$A52,"m")),)))*(Imóveis!$N$4/Imóveis!$S$4)))*Imóveis!$P$4))))*IF(AND(Imóveis!$E$4&gt;0,Dados!$A52&gt;Imóveis!$E$4),0,1)</f>
        <v>4643.949359272583</v>
      </c>
      <c r="L52" s="18">
        <f>IF(Imóveis!$F$5="PRICE",IF(AND(Dados!$A52&gt;=Imóveis!$Q$5,Dados!$A52&lt;=Imóveis!$T$5),Imóveis!$U$5,0),IF((IF(AND(Dados!$A52&gt;=Imóveis!$Q$5,Dados!$A52&lt;=Imóveis!$T$5),Imóveis!$S$5-(DATEDIF(Imóveis!$Q$5,Dados!$A52,"m")),0))=0,0,((Imóveis!$N$5/Imóveis!$S$5)+((Imóveis!$N$5-((Imóveis!$S$5-(IF(AND(Dados!$A52 &gt;=Imóveis!$Q$5,Dados!$A52&lt;=Imóveis!$T$5),Imóveis!$S$5-(DATEDIF(Imóveis!$Q$5,Dados!$A52,"m")),)))*(Imóveis!$N$5/Imóveis!$S$5)))*Imóveis!$P$5))))*IF(AND(Imóveis!$E$5&gt;0,Dados!$A52&gt;Imóveis!$E$5),0,1)*Imóveis!$I$5</f>
        <v>0</v>
      </c>
      <c r="M52" s="18">
        <f>IF(Imóveis!$F$6="PRICE",IF(AND(Dados!$A52&gt;=Imóveis!$Q$6,Dados!$A52&lt;=Imóveis!$T$6),Imóveis!$U$6,0),IF((IF(AND(Dados!$A52&gt;=Imóveis!$Q$6,Dados!$A52&lt;=Imóveis!$T$6),Imóveis!$S$6-(DATEDIF(Imóveis!$Q$6,Dados!$A52,"m")),0))=0,0,((Imóveis!$N$6/Imóveis!$S$6)+((Imóveis!$N$6-((Imóveis!$S$6-(IF(AND(Dados!$A52&gt;=Imóveis!$Q$6,Dados!$A52&lt;=Imóveis!$T$6),Imóveis!$S$6-(DATEDIF(Imóveis!$Q$6,Dados!$A52,"m")),)))*(Imóveis!$N$6/Imóveis!$S$6)))*Imóveis!$P$6))))*IF(AND(Imóveis!$E$6&gt;0,Dados!$A52&gt;Imóveis!$E$6),0,1)*Imóveis!$I$6</f>
        <v>0</v>
      </c>
      <c r="N52" s="18">
        <f t="shared" ca="1" si="3"/>
        <v>86485.522751156052</v>
      </c>
      <c r="O52" s="18">
        <f>SUMIFS(Receitas!$F:$F,Receitas!$J:$J,"&lt;="&amp;$A52,Receitas!$L:$L,"&gt;="&amp;$A52,Receitas!$C:$C,O$1,Receitas!$M:$M,"Mensal")+SUMIFS(Receitas!$F:$F,Receitas!$J:$J,"&lt;="&amp;$A52,Receitas!$L:$L,"&gt;="&amp;$A52,Receitas!$C:$C,O$1,Receitas!$M:$M,$B52)</f>
        <v>50000</v>
      </c>
      <c r="P52" s="18">
        <f>SUMIFS(Receitas!$F:$F,Receitas!$J:$J,"&lt;="&amp;$A52,Receitas!$L:$L,"&gt;="&amp;$A52,Receitas!$C:$C,P$1,Receitas!$M:$M,"Mensal")+SUMIFS(Receitas!$F:$F,Receitas!$J:$J,"&lt;="&amp;$A52,Receitas!$L:$L,"&gt;="&amp;$A52,Receitas!$C:$C,P$1,Receitas!$M:$M,$B52)</f>
        <v>20000</v>
      </c>
      <c r="Q52" s="18">
        <f ca="1">SUMIFS(Receitas!$F:$F,Receitas!$J:$J,"&lt;="&amp;$A52,Receitas!$L:$L,"&gt;="&amp;$A52,Receitas!$C:$C,Q$1,Receitas!$M:$M,"Mensal")+SUMIFS(Receitas!$F:$F,Receitas!$J:$J,"&lt;="&amp;$A52,Receitas!$L:$L,"&gt;="&amp;$A52,Receitas!$C:$C,Q$1,Receitas!$M:$M,$B52)</f>
        <v>15101.400000000001</v>
      </c>
      <c r="R52" s="18" cm="1">
        <f t="array" ref="R52">(IF(AND(Membros!$F$2="Sim",A52&lt;=MAX(Membros!$E$2:$E$5)),Membros!K$2,IF(AND(A52&gt;=Membros!J$2,A52&lt;=MAX(Membros!$E$2:$E$5)),Membros!K$2,0))+IF(AND(Membros!$F$3="Sim",A52&lt;=MAX(Membros!$E$2:$E$5)),Membros!K$3,IF(AND(A52&gt;=Membros!J$3,A52&lt;=MAX(Membros!$E$2:$E$5)),Membros!K$3,0)))*IF(AND(COUNTIFS(Tabela3[Tipo],"Provedor",Tabela3[Simulação Seguro],"Sim")=2,A52&gt;=MAX(IF(Tabela3[Tipo]="Dependente",Tabela3[Expectativa de Vida (Data)]))),0,1)</f>
        <v>0</v>
      </c>
      <c r="S52" s="18">
        <f t="shared" ca="1" si="4"/>
        <v>85101.4</v>
      </c>
      <c r="U52" s="18">
        <f t="shared" ca="1" si="7"/>
        <v>4893938.7273649881</v>
      </c>
      <c r="V52" s="18">
        <f>SUMIF(Imóveis!E:E,Dados!A:A,Imóveis!Z:Z)-SUMIF(Imóveis!E:E,Dados!A:A,Imóveis!Y:Y)</f>
        <v>0</v>
      </c>
      <c r="W52" s="18">
        <f>-SUMIF(Projetos!N:N,A52,Projetos!F:F)</f>
        <v>0</v>
      </c>
      <c r="X52" s="18">
        <f t="shared" ca="1" si="0"/>
        <v>-1384.1227511560573</v>
      </c>
      <c r="Y52" s="26">
        <f ca="1">(U52*((Indicadores_Economicos!D$2+1)^(1/12)-1))</f>
        <v>16021.481903418689</v>
      </c>
      <c r="Z52" s="18">
        <f t="shared" ca="1" si="5"/>
        <v>4908576.0865172511</v>
      </c>
      <c r="AA52" s="18">
        <f ca="1">Auxiliar_Projetos!E52</f>
        <v>230694.78779906873</v>
      </c>
      <c r="AB52" s="18">
        <f ca="1">Auxiliar_Projetos!K52</f>
        <v>339268.6787146795</v>
      </c>
      <c r="AC52" s="18">
        <f ca="1">IF(Z52-AA52-AB52&gt;Investimentos!$C$14,Investimentos!$C$14,IF(Z52-AA52-AB52&lt;Investimentos!$C$14,Z52-AA52-AB52,0))</f>
        <v>300000</v>
      </c>
      <c r="AD52" s="18">
        <f t="shared" ca="1" si="6"/>
        <v>4038612.6200035028</v>
      </c>
      <c r="AE52" s="18"/>
    </row>
    <row r="53" spans="1:31" x14ac:dyDescent="0.2">
      <c r="A53" s="4">
        <v>47209</v>
      </c>
      <c r="B53" s="5" t="str">
        <f t="shared" si="1"/>
        <v>abril</v>
      </c>
      <c r="C53" s="5" t="str">
        <f t="shared" si="9"/>
        <v>2029</v>
      </c>
      <c r="D53" s="5">
        <f>SUMIFS(Despesas!$F:$F,Despesas!$J:$J,"&lt;="&amp;$A53,Despesas!$L:$L,"&gt;="&amp;$A53,Despesas!$C:$C,D$1,Despesas!$M:$M,"Mensal")+SUMIFS(Despesas!$F:$F,Despesas!$J:$J,"&lt;="&amp;$A53,Despesas!$L:$L,"&gt;="&amp;$A53,Despesas!$C:$C,D$1,Despesas!$M:$M,$B53)</f>
        <v>23000</v>
      </c>
      <c r="E53" s="18">
        <f>SUMIFS(Despesas!$F:$F,Despesas!$J:$J,"&lt;="&amp;$A53,Despesas!$L:$L,"&gt;="&amp;$A53,Despesas!$C:$C,E$1,Despesas!$M:$M,"Mensal")+SUMIFS(Despesas!$F:$F,Despesas!$J:$J,"&lt;="&amp;$A53,Despesas!$L:$L,"&gt;="&amp;$A53,Despesas!$C:$C,E$1,Despesas!$M:$M,$B53)</f>
        <v>18000</v>
      </c>
      <c r="F53" s="5">
        <f>SUMIFS(Despesas!$F:$F,Despesas!$J:$J,"&lt;="&amp;$A53,Despesas!$L:$L,"&gt;="&amp;$A53,Despesas!$C:$C,F$1,Despesas!$M:$M,"Mensal")+SUMIFS(Despesas!$F:$F,Despesas!$J:$J,"&lt;="&amp;$A53,Despesas!$L:$L,"&gt;="&amp;$A53,Despesas!$C:$C,F$1,Despesas!$M:$M,$B53)</f>
        <v>13000</v>
      </c>
      <c r="G53" s="5">
        <f>SUMIFS(Despesas!$F:$F,Despesas!$J:$J,"&lt;="&amp;$A53,Despesas!$L:$L,"&gt;="&amp;$A53,Despesas!$C:$C,G$1,Despesas!$M:$M,"Mensal")+SUMIFS(Despesas!$F:$F,Despesas!$J:$J,"&lt;="&amp;$A53,Despesas!$L:$L,"&gt;="&amp;$A53,Despesas!$C:$C,G$1,Despesas!$M:$M,$B53)</f>
        <v>0</v>
      </c>
      <c r="H53" s="18">
        <f ca="1">SUMIFS(Despesas!$F:$F,Despesas!$J:$J,"&lt;="&amp;$A53,Despesas!$L:$L,"&gt;="&amp;$A53,Despesas!$C:$C,H$1,Despesas!$M:$M,"Mensal")+SUMIFS(Despesas!$F:$F,Despesas!$J:$J,"&lt;="&amp;$A53,Despesas!$L:$L,"&gt;="&amp;$A53,Despesas!$C:$C,H$1,Despesas!$M:$M,$B53)</f>
        <v>2686.355</v>
      </c>
      <c r="I53" s="18">
        <f>IF(Imóveis!$F$2="PRICE",IF(AND(Dados!$A53&gt;=Imóveis!$Q$2,Dados!$A53&lt;=Imóveis!$T$2),Imóveis!$U$2,0),IF((IF(AND(Dados!$A53&gt;=Imóveis!$Q$2,Dados!$A53&lt;=Imóveis!$T$2),Imóveis!$S$2-(DATEDIF(Imóveis!$Q$2,Dados!$A53,"m")),0))=0,0,((Imóveis!$N$2/Imóveis!$S$2)+((Imóveis!$N$2-((Imóveis!$S$2-(IF(AND(Dados!$A53&gt;=Imóveis!$Q$2,Dados!$A53&lt;=Imóveis!$T$2),Imóveis!$S$2-(DATEDIF(Imóveis!$Q$2,Dados!$A53,"m")),)))*(Imóveis!$N$2/Imóveis!$S$2)))*Imóveis!$P$2))))*IF(AND(Imóveis!$E$2&gt;0,Dados!$A53&gt;Imóveis!$E$2),0,1)</f>
        <v>15778.498674777888</v>
      </c>
      <c r="J53" s="18">
        <f ca="1">IF(Imóveis!$F$3="PRICE",IF(AND(Dados!$A53&gt;=Imóveis!$Q$3,Dados!$A53&lt;=Imóveis!$T$3),Imóveis!$U$3,0),IF((IF(AND(Dados!$A53&gt;=Imóveis!$Q$3,Dados!$A53&lt;=Imóveis!$T$3),Imóveis!$S$3-(DATEDIF(Imóveis!$Q$3,Dados!$A53,"m")),0))=0,0,((Imóveis!$N$3/Imóveis!$S$3)+((Imóveis!$N$3-((Imóveis!$S$3-(IF(AND(Dados!$A53&gt;=Imóveis!$Q$3,Dados!$A53&lt;=Imóveis!$T$3),Imóveis!$S$3-(DATEDIF(Imóveis!$Q$3,Dados!$A53,"m")),)))*(Imóveis!$N$3/Imóveis!$S$3)))*Imóveis!$P$3))))*IF(AND(Imóveis!$E$3&gt;0,Dados!$A53&gt;Imóveis!$E$3),0,1)</f>
        <v>9314.6986248807771</v>
      </c>
      <c r="K53" s="18">
        <f>IF(Imóveis!$F$4="PRICE",IF(AND(Dados!$A53&gt;=Imóveis!$Q$4,Dados!$A53&lt;=Imóveis!$T$4),Imóveis!$U$4,0),IF((IF(AND(Dados!$A53&gt;=Imóveis!$Q$4,Dados!$A53&lt;=Imóveis!$T$4),Imóveis!$S$4-(DATEDIF(Imóveis!$Q$4,Dados!$A53,"m")),0))=0,0,((Imóveis!$N$4/Imóveis!$S$4)+((Imóveis!$N$4-((Imóveis!$S$4-(IF(AND(Dados!$A53&gt;=Imóveis!$Q$4,Dados!$A53&lt;=Imóveis!$T$4),Imóveis!$S$4-(DATEDIF(Imóveis!$Q$4,Dados!$A53,"m")),)))*(Imóveis!$N$4/Imóveis!$S$4)))*Imóveis!$P$4))))*IF(AND(Imóveis!$E$4&gt;0,Dados!$A53&gt;Imóveis!$E$4),0,1)</f>
        <v>4643.949359272583</v>
      </c>
      <c r="L53" s="18">
        <f>IF(Imóveis!$F$5="PRICE",IF(AND(Dados!$A53&gt;=Imóveis!$Q$5,Dados!$A53&lt;=Imóveis!$T$5),Imóveis!$U$5,0),IF((IF(AND(Dados!$A53&gt;=Imóveis!$Q$5,Dados!$A53&lt;=Imóveis!$T$5),Imóveis!$S$5-(DATEDIF(Imóveis!$Q$5,Dados!$A53,"m")),0))=0,0,((Imóveis!$N$5/Imóveis!$S$5)+((Imóveis!$N$5-((Imóveis!$S$5-(IF(AND(Dados!$A53 &gt;=Imóveis!$Q$5,Dados!$A53&lt;=Imóveis!$T$5),Imóveis!$S$5-(DATEDIF(Imóveis!$Q$5,Dados!$A53,"m")),)))*(Imóveis!$N$5/Imóveis!$S$5)))*Imóveis!$P$5))))*IF(AND(Imóveis!$E$5&gt;0,Dados!$A53&gt;Imóveis!$E$5),0,1)*Imóveis!$I$5</f>
        <v>0</v>
      </c>
      <c r="M53" s="18">
        <f>IF(Imóveis!$F$6="PRICE",IF(AND(Dados!$A53&gt;=Imóveis!$Q$6,Dados!$A53&lt;=Imóveis!$T$6),Imóveis!$U$6,0),IF((IF(AND(Dados!$A53&gt;=Imóveis!$Q$6,Dados!$A53&lt;=Imóveis!$T$6),Imóveis!$S$6-(DATEDIF(Imóveis!$Q$6,Dados!$A53,"m")),0))=0,0,((Imóveis!$N$6/Imóveis!$S$6)+((Imóveis!$N$6-((Imóveis!$S$6-(IF(AND(Dados!$A53&gt;=Imóveis!$Q$6,Dados!$A53&lt;=Imóveis!$T$6),Imóveis!$S$6-(DATEDIF(Imóveis!$Q$6,Dados!$A53,"m")),)))*(Imóveis!$N$6/Imóveis!$S$6)))*Imóveis!$P$6))))*IF(AND(Imóveis!$E$6&gt;0,Dados!$A53&gt;Imóveis!$E$6),0,1)*Imóveis!$I$6</f>
        <v>0</v>
      </c>
      <c r="N53" s="18">
        <f t="shared" ca="1" si="3"/>
        <v>86423.501658931244</v>
      </c>
      <c r="O53" s="18">
        <f>SUMIFS(Receitas!$F:$F,Receitas!$J:$J,"&lt;="&amp;$A53,Receitas!$L:$L,"&gt;="&amp;$A53,Receitas!$C:$C,O$1,Receitas!$M:$M,"Mensal")+SUMIFS(Receitas!$F:$F,Receitas!$J:$J,"&lt;="&amp;$A53,Receitas!$L:$L,"&gt;="&amp;$A53,Receitas!$C:$C,O$1,Receitas!$M:$M,$B53)</f>
        <v>50000</v>
      </c>
      <c r="P53" s="18">
        <f>SUMIFS(Receitas!$F:$F,Receitas!$J:$J,"&lt;="&amp;$A53,Receitas!$L:$L,"&gt;="&amp;$A53,Receitas!$C:$C,P$1,Receitas!$M:$M,"Mensal")+SUMIFS(Receitas!$F:$F,Receitas!$J:$J,"&lt;="&amp;$A53,Receitas!$L:$L,"&gt;="&amp;$A53,Receitas!$C:$C,P$1,Receitas!$M:$M,$B53)</f>
        <v>85000</v>
      </c>
      <c r="Q53" s="18">
        <f ca="1">SUMIFS(Receitas!$F:$F,Receitas!$J:$J,"&lt;="&amp;$A53,Receitas!$L:$L,"&gt;="&amp;$A53,Receitas!$C:$C,Q$1,Receitas!$M:$M,"Mensal")+SUMIFS(Receitas!$F:$F,Receitas!$J:$J,"&lt;="&amp;$A53,Receitas!$L:$L,"&gt;="&amp;$A53,Receitas!$C:$C,Q$1,Receitas!$M:$M,$B53)</f>
        <v>15101.400000000001</v>
      </c>
      <c r="R53" s="18" cm="1">
        <f t="array" ref="R53">(IF(AND(Membros!$F$2="Sim",A53&lt;=MAX(Membros!$E$2:$E$5)),Membros!K$2,IF(AND(A53&gt;=Membros!J$2,A53&lt;=MAX(Membros!$E$2:$E$5)),Membros!K$2,0))+IF(AND(Membros!$F$3="Sim",A53&lt;=MAX(Membros!$E$2:$E$5)),Membros!K$3,IF(AND(A53&gt;=Membros!J$3,A53&lt;=MAX(Membros!$E$2:$E$5)),Membros!K$3,0)))*IF(AND(COUNTIFS(Tabela3[Tipo],"Provedor",Tabela3[Simulação Seguro],"Sim")=2,A53&gt;=MAX(IF(Tabela3[Tipo]="Dependente",Tabela3[Expectativa de Vida (Data)]))),0,1)</f>
        <v>0</v>
      </c>
      <c r="S53" s="18">
        <f t="shared" ca="1" si="4"/>
        <v>150101.4</v>
      </c>
      <c r="U53" s="18">
        <f t="shared" ca="1" si="7"/>
        <v>4908576.0865172511</v>
      </c>
      <c r="V53" s="18">
        <f>SUMIF(Imóveis!E:E,Dados!A:A,Imóveis!Z:Z)-SUMIF(Imóveis!E:E,Dados!A:A,Imóveis!Y:Y)</f>
        <v>0</v>
      </c>
      <c r="W53" s="18">
        <f>-SUMIF(Projetos!N:N,A53,Projetos!F:F)</f>
        <v>0</v>
      </c>
      <c r="X53" s="18">
        <f t="shared" ca="1" si="0"/>
        <v>63677.898341068751</v>
      </c>
      <c r="Y53" s="26">
        <f ca="1">(U53*((Indicadores_Economicos!D$2+1)^(1/12)-1))</f>
        <v>16069.400808381786</v>
      </c>
      <c r="Z53" s="18">
        <f t="shared" ca="1" si="5"/>
        <v>4988323.3856667019</v>
      </c>
      <c r="AA53" s="18">
        <f ca="1">Auxiliar_Projetos!E53</f>
        <v>231450.02250343247</v>
      </c>
      <c r="AB53" s="18">
        <f ca="1">Auxiliar_Projetos!K53</f>
        <v>340379.35608504183</v>
      </c>
      <c r="AC53" s="18">
        <f ca="1">IF(Z53-AA53-AB53&gt;Investimentos!$C$14,Investimentos!$C$14,IF(Z53-AA53-AB53&lt;Investimentos!$C$14,Z53-AA53-AB53,0))</f>
        <v>300000</v>
      </c>
      <c r="AD53" s="18">
        <f t="shared" ca="1" si="6"/>
        <v>4116494.0070782276</v>
      </c>
      <c r="AE53" s="18"/>
    </row>
    <row r="54" spans="1:31" x14ac:dyDescent="0.2">
      <c r="A54" s="4">
        <v>47239</v>
      </c>
      <c r="B54" s="5" t="str">
        <f t="shared" si="1"/>
        <v>maio</v>
      </c>
      <c r="C54" s="5" t="str">
        <f t="shared" si="9"/>
        <v>2029</v>
      </c>
      <c r="D54" s="5">
        <f>SUMIFS(Despesas!$F:$F,Despesas!$J:$J,"&lt;="&amp;$A54,Despesas!$L:$L,"&gt;="&amp;$A54,Despesas!$C:$C,D$1,Despesas!$M:$M,"Mensal")+SUMIFS(Despesas!$F:$F,Despesas!$J:$J,"&lt;="&amp;$A54,Despesas!$L:$L,"&gt;="&amp;$A54,Despesas!$C:$C,D$1,Despesas!$M:$M,$B54)</f>
        <v>23000</v>
      </c>
      <c r="E54" s="18">
        <f>SUMIFS(Despesas!$F:$F,Despesas!$J:$J,"&lt;="&amp;$A54,Despesas!$L:$L,"&gt;="&amp;$A54,Despesas!$C:$C,E$1,Despesas!$M:$M,"Mensal")+SUMIFS(Despesas!$F:$F,Despesas!$J:$J,"&lt;="&amp;$A54,Despesas!$L:$L,"&gt;="&amp;$A54,Despesas!$C:$C,E$1,Despesas!$M:$M,$B54)</f>
        <v>18000</v>
      </c>
      <c r="F54" s="5">
        <f>SUMIFS(Despesas!$F:$F,Despesas!$J:$J,"&lt;="&amp;$A54,Despesas!$L:$L,"&gt;="&amp;$A54,Despesas!$C:$C,F$1,Despesas!$M:$M,"Mensal")+SUMIFS(Despesas!$F:$F,Despesas!$J:$J,"&lt;="&amp;$A54,Despesas!$L:$L,"&gt;="&amp;$A54,Despesas!$C:$C,F$1,Despesas!$M:$M,$B54)</f>
        <v>13000</v>
      </c>
      <c r="G54" s="5">
        <f>SUMIFS(Despesas!$F:$F,Despesas!$J:$J,"&lt;="&amp;$A54,Despesas!$L:$L,"&gt;="&amp;$A54,Despesas!$C:$C,G$1,Despesas!$M:$M,"Mensal")+SUMIFS(Despesas!$F:$F,Despesas!$J:$J,"&lt;="&amp;$A54,Despesas!$L:$L,"&gt;="&amp;$A54,Despesas!$C:$C,G$1,Despesas!$M:$M,$B54)</f>
        <v>0</v>
      </c>
      <c r="H54" s="18">
        <f ca="1">SUMIFS(Despesas!$F:$F,Despesas!$J:$J,"&lt;="&amp;$A54,Despesas!$L:$L,"&gt;="&amp;$A54,Despesas!$C:$C,H$1,Despesas!$M:$M,"Mensal")+SUMIFS(Despesas!$F:$F,Despesas!$J:$J,"&lt;="&amp;$A54,Despesas!$L:$L,"&gt;="&amp;$A54,Despesas!$C:$C,H$1,Despesas!$M:$M,$B54)</f>
        <v>2686.355</v>
      </c>
      <c r="I54" s="18">
        <f>IF(Imóveis!$F$2="PRICE",IF(AND(Dados!$A54&gt;=Imóveis!$Q$2,Dados!$A54&lt;=Imóveis!$T$2),Imóveis!$U$2,0),IF((IF(AND(Dados!$A54&gt;=Imóveis!$Q$2,Dados!$A54&lt;=Imóveis!$T$2),Imóveis!$S$2-(DATEDIF(Imóveis!$Q$2,Dados!$A54,"m")),0))=0,0,((Imóveis!$N$2/Imóveis!$S$2)+((Imóveis!$N$2-((Imóveis!$S$2-(IF(AND(Dados!$A54&gt;=Imóveis!$Q$2,Dados!$A54&lt;=Imóveis!$T$2),Imóveis!$S$2-(DATEDIF(Imóveis!$Q$2,Dados!$A54,"m")),)))*(Imóveis!$N$2/Imóveis!$S$2)))*Imóveis!$P$2))))*IF(AND(Imóveis!$E$2&gt;0,Dados!$A54&gt;Imóveis!$E$2),0,1)</f>
        <v>15716.47758255308</v>
      </c>
      <c r="J54" s="18">
        <f ca="1">IF(Imóveis!$F$3="PRICE",IF(AND(Dados!$A54&gt;=Imóveis!$Q$3,Dados!$A54&lt;=Imóveis!$T$3),Imóveis!$U$3,0),IF((IF(AND(Dados!$A54&gt;=Imóveis!$Q$3,Dados!$A54&lt;=Imóveis!$T$3),Imóveis!$S$3-(DATEDIF(Imóveis!$Q$3,Dados!$A54,"m")),0))=0,0,((Imóveis!$N$3/Imóveis!$S$3)+((Imóveis!$N$3-((Imóveis!$S$3-(IF(AND(Dados!$A54&gt;=Imóveis!$Q$3,Dados!$A54&lt;=Imóveis!$T$3),Imóveis!$S$3-(DATEDIF(Imóveis!$Q$3,Dados!$A54,"m")),)))*(Imóveis!$N$3/Imóveis!$S$3)))*Imóveis!$P$3))))*IF(AND(Imóveis!$E$3&gt;0,Dados!$A54&gt;Imóveis!$E$3),0,1)</f>
        <v>9314.6986248807771</v>
      </c>
      <c r="K54" s="18">
        <f>IF(Imóveis!$F$4="PRICE",IF(AND(Dados!$A54&gt;=Imóveis!$Q$4,Dados!$A54&lt;=Imóveis!$T$4),Imóveis!$U$4,0),IF((IF(AND(Dados!$A54&gt;=Imóveis!$Q$4,Dados!$A54&lt;=Imóveis!$T$4),Imóveis!$S$4-(DATEDIF(Imóveis!$Q$4,Dados!$A54,"m")),0))=0,0,((Imóveis!$N$4/Imóveis!$S$4)+((Imóveis!$N$4-((Imóveis!$S$4-(IF(AND(Dados!$A54&gt;=Imóveis!$Q$4,Dados!$A54&lt;=Imóveis!$T$4),Imóveis!$S$4-(DATEDIF(Imóveis!$Q$4,Dados!$A54,"m")),)))*(Imóveis!$N$4/Imóveis!$S$4)))*Imóveis!$P$4))))*IF(AND(Imóveis!$E$4&gt;0,Dados!$A54&gt;Imóveis!$E$4),0,1)</f>
        <v>4643.949359272583</v>
      </c>
      <c r="L54" s="18">
        <f>IF(Imóveis!$F$5="PRICE",IF(AND(Dados!$A54&gt;=Imóveis!$Q$5,Dados!$A54&lt;=Imóveis!$T$5),Imóveis!$U$5,0),IF((IF(AND(Dados!$A54&gt;=Imóveis!$Q$5,Dados!$A54&lt;=Imóveis!$T$5),Imóveis!$S$5-(DATEDIF(Imóveis!$Q$5,Dados!$A54,"m")),0))=0,0,((Imóveis!$N$5/Imóveis!$S$5)+((Imóveis!$N$5-((Imóveis!$S$5-(IF(AND(Dados!$A54 &gt;=Imóveis!$Q$5,Dados!$A54&lt;=Imóveis!$T$5),Imóveis!$S$5-(DATEDIF(Imóveis!$Q$5,Dados!$A54,"m")),)))*(Imóveis!$N$5/Imóveis!$S$5)))*Imóveis!$P$5))))*IF(AND(Imóveis!$E$5&gt;0,Dados!$A54&gt;Imóveis!$E$5),0,1)*Imóveis!$I$5</f>
        <v>0</v>
      </c>
      <c r="M54" s="18">
        <f>IF(Imóveis!$F$6="PRICE",IF(AND(Dados!$A54&gt;=Imóveis!$Q$6,Dados!$A54&lt;=Imóveis!$T$6),Imóveis!$U$6,0),IF((IF(AND(Dados!$A54&gt;=Imóveis!$Q$6,Dados!$A54&lt;=Imóveis!$T$6),Imóveis!$S$6-(DATEDIF(Imóveis!$Q$6,Dados!$A54,"m")),0))=0,0,((Imóveis!$N$6/Imóveis!$S$6)+((Imóveis!$N$6-((Imóveis!$S$6-(IF(AND(Dados!$A54&gt;=Imóveis!$Q$6,Dados!$A54&lt;=Imóveis!$T$6),Imóveis!$S$6-(DATEDIF(Imóveis!$Q$6,Dados!$A54,"m")),)))*(Imóveis!$N$6/Imóveis!$S$6)))*Imóveis!$P$6))))*IF(AND(Imóveis!$E$6&gt;0,Dados!$A54&gt;Imóveis!$E$6),0,1)*Imóveis!$I$6</f>
        <v>0</v>
      </c>
      <c r="N54" s="18">
        <f t="shared" ca="1" si="3"/>
        <v>86361.480566706436</v>
      </c>
      <c r="O54" s="18">
        <f>SUMIFS(Receitas!$F:$F,Receitas!$J:$J,"&lt;="&amp;$A54,Receitas!$L:$L,"&gt;="&amp;$A54,Receitas!$C:$C,O$1,Receitas!$M:$M,"Mensal")+SUMIFS(Receitas!$F:$F,Receitas!$J:$J,"&lt;="&amp;$A54,Receitas!$L:$L,"&gt;="&amp;$A54,Receitas!$C:$C,O$1,Receitas!$M:$M,$B54)</f>
        <v>50000</v>
      </c>
      <c r="P54" s="18">
        <f>SUMIFS(Receitas!$F:$F,Receitas!$J:$J,"&lt;="&amp;$A54,Receitas!$L:$L,"&gt;="&amp;$A54,Receitas!$C:$C,P$1,Receitas!$M:$M,"Mensal")+SUMIFS(Receitas!$F:$F,Receitas!$J:$J,"&lt;="&amp;$A54,Receitas!$L:$L,"&gt;="&amp;$A54,Receitas!$C:$C,P$1,Receitas!$M:$M,$B54)</f>
        <v>20000</v>
      </c>
      <c r="Q54" s="18">
        <f ca="1">SUMIFS(Receitas!$F:$F,Receitas!$J:$J,"&lt;="&amp;$A54,Receitas!$L:$L,"&gt;="&amp;$A54,Receitas!$C:$C,Q$1,Receitas!$M:$M,"Mensal")+SUMIFS(Receitas!$F:$F,Receitas!$J:$J,"&lt;="&amp;$A54,Receitas!$L:$L,"&gt;="&amp;$A54,Receitas!$C:$C,Q$1,Receitas!$M:$M,$B54)</f>
        <v>15101.400000000001</v>
      </c>
      <c r="R54" s="18" cm="1">
        <f t="array" ref="R54">(IF(AND(Membros!$F$2="Sim",A54&lt;=MAX(Membros!$E$2:$E$5)),Membros!K$2,IF(AND(A54&gt;=Membros!J$2,A54&lt;=MAX(Membros!$E$2:$E$5)),Membros!K$2,0))+IF(AND(Membros!$F$3="Sim",A54&lt;=MAX(Membros!$E$2:$E$5)),Membros!K$3,IF(AND(A54&gt;=Membros!J$3,A54&lt;=MAX(Membros!$E$2:$E$5)),Membros!K$3,0)))*IF(AND(COUNTIFS(Tabela3[Tipo],"Provedor",Tabela3[Simulação Seguro],"Sim")=2,A54&gt;=MAX(IF(Tabela3[Tipo]="Dependente",Tabela3[Expectativa de Vida (Data)]))),0,1)</f>
        <v>0</v>
      </c>
      <c r="S54" s="18">
        <f t="shared" ca="1" si="4"/>
        <v>85101.4</v>
      </c>
      <c r="U54" s="18">
        <f t="shared" ca="1" si="7"/>
        <v>4988323.3856667019</v>
      </c>
      <c r="V54" s="18">
        <f>SUMIF(Imóveis!E:E,Dados!A:A,Imóveis!Z:Z)-SUMIF(Imóveis!E:E,Dados!A:A,Imóveis!Y:Y)</f>
        <v>0</v>
      </c>
      <c r="W54" s="18">
        <f>-SUMIF(Projetos!N:N,A54,Projetos!F:F)</f>
        <v>0</v>
      </c>
      <c r="X54" s="18">
        <f t="shared" ca="1" si="0"/>
        <v>-1260.0805667064415</v>
      </c>
      <c r="Y54" s="26">
        <f ca="1">(U54*((Indicadores_Economicos!D$2+1)^(1/12)-1))</f>
        <v>16330.472714130261</v>
      </c>
      <c r="Z54" s="18">
        <f t="shared" ca="1" si="5"/>
        <v>5003393.7778141256</v>
      </c>
      <c r="AA54" s="18">
        <f ca="1">Auxiliar_Projetos!E54</f>
        <v>232207.7296496928</v>
      </c>
      <c r="AB54" s="18">
        <f ca="1">Auxiliar_Projetos!K54</f>
        <v>341493.66952409671</v>
      </c>
      <c r="AC54" s="18">
        <f ca="1">IF(Z54-AA54-AB54&gt;Investimentos!$C$14,Investimentos!$C$14,IF(Z54-AA54-AB54&lt;Investimentos!$C$14,Z54-AA54-AB54,0))</f>
        <v>300000</v>
      </c>
      <c r="AD54" s="18">
        <f t="shared" ca="1" si="6"/>
        <v>4129692.378640336</v>
      </c>
      <c r="AE54" s="18"/>
    </row>
    <row r="55" spans="1:31" x14ac:dyDescent="0.2">
      <c r="A55" s="4">
        <v>47270</v>
      </c>
      <c r="B55" s="5" t="str">
        <f t="shared" si="1"/>
        <v>junho</v>
      </c>
      <c r="C55" s="5" t="str">
        <f t="shared" si="9"/>
        <v>2029</v>
      </c>
      <c r="D55" s="5">
        <f>SUMIFS(Despesas!$F:$F,Despesas!$J:$J,"&lt;="&amp;$A55,Despesas!$L:$L,"&gt;="&amp;$A55,Despesas!$C:$C,D$1,Despesas!$M:$M,"Mensal")+SUMIFS(Despesas!$F:$F,Despesas!$J:$J,"&lt;="&amp;$A55,Despesas!$L:$L,"&gt;="&amp;$A55,Despesas!$C:$C,D$1,Despesas!$M:$M,$B55)</f>
        <v>23000</v>
      </c>
      <c r="E55" s="18">
        <f>SUMIFS(Despesas!$F:$F,Despesas!$J:$J,"&lt;="&amp;$A55,Despesas!$L:$L,"&gt;="&amp;$A55,Despesas!$C:$C,E$1,Despesas!$M:$M,"Mensal")+SUMIFS(Despesas!$F:$F,Despesas!$J:$J,"&lt;="&amp;$A55,Despesas!$L:$L,"&gt;="&amp;$A55,Despesas!$C:$C,E$1,Despesas!$M:$M,$B55)</f>
        <v>18000</v>
      </c>
      <c r="F55" s="5">
        <f>SUMIFS(Despesas!$F:$F,Despesas!$J:$J,"&lt;="&amp;$A55,Despesas!$L:$L,"&gt;="&amp;$A55,Despesas!$C:$C,F$1,Despesas!$M:$M,"Mensal")+SUMIFS(Despesas!$F:$F,Despesas!$J:$J,"&lt;="&amp;$A55,Despesas!$L:$L,"&gt;="&amp;$A55,Despesas!$C:$C,F$1,Despesas!$M:$M,$B55)</f>
        <v>13000</v>
      </c>
      <c r="G55" s="5">
        <f>SUMIFS(Despesas!$F:$F,Despesas!$J:$J,"&lt;="&amp;$A55,Despesas!$L:$L,"&gt;="&amp;$A55,Despesas!$C:$C,G$1,Despesas!$M:$M,"Mensal")+SUMIFS(Despesas!$F:$F,Despesas!$J:$J,"&lt;="&amp;$A55,Despesas!$L:$L,"&gt;="&amp;$A55,Despesas!$C:$C,G$1,Despesas!$M:$M,$B55)</f>
        <v>0</v>
      </c>
      <c r="H55" s="18">
        <f ca="1">SUMIFS(Despesas!$F:$F,Despesas!$J:$J,"&lt;="&amp;$A55,Despesas!$L:$L,"&gt;="&amp;$A55,Despesas!$C:$C,H$1,Despesas!$M:$M,"Mensal")+SUMIFS(Despesas!$F:$F,Despesas!$J:$J,"&lt;="&amp;$A55,Despesas!$L:$L,"&gt;="&amp;$A55,Despesas!$C:$C,H$1,Despesas!$M:$M,$B55)</f>
        <v>2686.355</v>
      </c>
      <c r="I55" s="18">
        <f>IF(Imóveis!$F$2="PRICE",IF(AND(Dados!$A55&gt;=Imóveis!$Q$2,Dados!$A55&lt;=Imóveis!$T$2),Imóveis!$U$2,0),IF((IF(AND(Dados!$A55&gt;=Imóveis!$Q$2,Dados!$A55&lt;=Imóveis!$T$2),Imóveis!$S$2-(DATEDIF(Imóveis!$Q$2,Dados!$A55,"m")),0))=0,0,((Imóveis!$N$2/Imóveis!$S$2)+((Imóveis!$N$2-((Imóveis!$S$2-(IF(AND(Dados!$A55&gt;=Imóveis!$Q$2,Dados!$A55&lt;=Imóveis!$T$2),Imóveis!$S$2-(DATEDIF(Imóveis!$Q$2,Dados!$A55,"m")),)))*(Imóveis!$N$2/Imóveis!$S$2)))*Imóveis!$P$2))))*IF(AND(Imóveis!$E$2&gt;0,Dados!$A55&gt;Imóveis!$E$2),0,1)</f>
        <v>15654.456490328274</v>
      </c>
      <c r="J55" s="18">
        <f ca="1">IF(Imóveis!$F$3="PRICE",IF(AND(Dados!$A55&gt;=Imóveis!$Q$3,Dados!$A55&lt;=Imóveis!$T$3),Imóveis!$U$3,0),IF((IF(AND(Dados!$A55&gt;=Imóveis!$Q$3,Dados!$A55&lt;=Imóveis!$T$3),Imóveis!$S$3-(DATEDIF(Imóveis!$Q$3,Dados!$A55,"m")),0))=0,0,((Imóveis!$N$3/Imóveis!$S$3)+((Imóveis!$N$3-((Imóveis!$S$3-(IF(AND(Dados!$A55&gt;=Imóveis!$Q$3,Dados!$A55&lt;=Imóveis!$T$3),Imóveis!$S$3-(DATEDIF(Imóveis!$Q$3,Dados!$A55,"m")),)))*(Imóveis!$N$3/Imóveis!$S$3)))*Imóveis!$P$3))))*IF(AND(Imóveis!$E$3&gt;0,Dados!$A55&gt;Imóveis!$E$3),0,1)</f>
        <v>9314.6986248807771</v>
      </c>
      <c r="K55" s="18">
        <f>IF(Imóveis!$F$4="PRICE",IF(AND(Dados!$A55&gt;=Imóveis!$Q$4,Dados!$A55&lt;=Imóveis!$T$4),Imóveis!$U$4,0),IF((IF(AND(Dados!$A55&gt;=Imóveis!$Q$4,Dados!$A55&lt;=Imóveis!$T$4),Imóveis!$S$4-(DATEDIF(Imóveis!$Q$4,Dados!$A55,"m")),0))=0,0,((Imóveis!$N$4/Imóveis!$S$4)+((Imóveis!$N$4-((Imóveis!$S$4-(IF(AND(Dados!$A55&gt;=Imóveis!$Q$4,Dados!$A55&lt;=Imóveis!$T$4),Imóveis!$S$4-(DATEDIF(Imóveis!$Q$4,Dados!$A55,"m")),)))*(Imóveis!$N$4/Imóveis!$S$4)))*Imóveis!$P$4))))*IF(AND(Imóveis!$E$4&gt;0,Dados!$A55&gt;Imóveis!$E$4),0,1)</f>
        <v>4643.949359272583</v>
      </c>
      <c r="L55" s="18">
        <f>IF(Imóveis!$F$5="PRICE",IF(AND(Dados!$A55&gt;=Imóveis!$Q$5,Dados!$A55&lt;=Imóveis!$T$5),Imóveis!$U$5,0),IF((IF(AND(Dados!$A55&gt;=Imóveis!$Q$5,Dados!$A55&lt;=Imóveis!$T$5),Imóveis!$S$5-(DATEDIF(Imóveis!$Q$5,Dados!$A55,"m")),0))=0,0,((Imóveis!$N$5/Imóveis!$S$5)+((Imóveis!$N$5-((Imóveis!$S$5-(IF(AND(Dados!$A55 &gt;=Imóveis!$Q$5,Dados!$A55&lt;=Imóveis!$T$5),Imóveis!$S$5-(DATEDIF(Imóveis!$Q$5,Dados!$A55,"m")),)))*(Imóveis!$N$5/Imóveis!$S$5)))*Imóveis!$P$5))))*IF(AND(Imóveis!$E$5&gt;0,Dados!$A55&gt;Imóveis!$E$5),0,1)*Imóveis!$I$5</f>
        <v>0</v>
      </c>
      <c r="M55" s="18">
        <f>IF(Imóveis!$F$6="PRICE",IF(AND(Dados!$A55&gt;=Imóveis!$Q$6,Dados!$A55&lt;=Imóveis!$T$6),Imóveis!$U$6,0),IF((IF(AND(Dados!$A55&gt;=Imóveis!$Q$6,Dados!$A55&lt;=Imóveis!$T$6),Imóveis!$S$6-(DATEDIF(Imóveis!$Q$6,Dados!$A55,"m")),0))=0,0,((Imóveis!$N$6/Imóveis!$S$6)+((Imóveis!$N$6-((Imóveis!$S$6-(IF(AND(Dados!$A55&gt;=Imóveis!$Q$6,Dados!$A55&lt;=Imóveis!$T$6),Imóveis!$S$6-(DATEDIF(Imóveis!$Q$6,Dados!$A55,"m")),)))*(Imóveis!$N$6/Imóveis!$S$6)))*Imóveis!$P$6))))*IF(AND(Imóveis!$E$6&gt;0,Dados!$A55&gt;Imóveis!$E$6),0,1)*Imóveis!$I$6</f>
        <v>0</v>
      </c>
      <c r="N55" s="18">
        <f t="shared" ca="1" si="3"/>
        <v>86299.459474481642</v>
      </c>
      <c r="O55" s="18">
        <f>SUMIFS(Receitas!$F:$F,Receitas!$J:$J,"&lt;="&amp;$A55,Receitas!$L:$L,"&gt;="&amp;$A55,Receitas!$C:$C,O$1,Receitas!$M:$M,"Mensal")+SUMIFS(Receitas!$F:$F,Receitas!$J:$J,"&lt;="&amp;$A55,Receitas!$L:$L,"&gt;="&amp;$A55,Receitas!$C:$C,O$1,Receitas!$M:$M,$B55)</f>
        <v>50000</v>
      </c>
      <c r="P55" s="18">
        <f>SUMIFS(Receitas!$F:$F,Receitas!$J:$J,"&lt;="&amp;$A55,Receitas!$L:$L,"&gt;="&amp;$A55,Receitas!$C:$C,P$1,Receitas!$M:$M,"Mensal")+SUMIFS(Receitas!$F:$F,Receitas!$J:$J,"&lt;="&amp;$A55,Receitas!$L:$L,"&gt;="&amp;$A55,Receitas!$C:$C,P$1,Receitas!$M:$M,$B55)</f>
        <v>20000</v>
      </c>
      <c r="Q55" s="18">
        <f ca="1">SUMIFS(Receitas!$F:$F,Receitas!$J:$J,"&lt;="&amp;$A55,Receitas!$L:$L,"&gt;="&amp;$A55,Receitas!$C:$C,Q$1,Receitas!$M:$M,"Mensal")+SUMIFS(Receitas!$F:$F,Receitas!$J:$J,"&lt;="&amp;$A55,Receitas!$L:$L,"&gt;="&amp;$A55,Receitas!$C:$C,Q$1,Receitas!$M:$M,$B55)</f>
        <v>15101.400000000001</v>
      </c>
      <c r="R55" s="18" cm="1">
        <f t="array" ref="R55">(IF(AND(Membros!$F$2="Sim",A55&lt;=MAX(Membros!$E$2:$E$5)),Membros!K$2,IF(AND(A55&gt;=Membros!J$2,A55&lt;=MAX(Membros!$E$2:$E$5)),Membros!K$2,0))+IF(AND(Membros!$F$3="Sim",A55&lt;=MAX(Membros!$E$2:$E$5)),Membros!K$3,IF(AND(A55&gt;=Membros!J$3,A55&lt;=MAX(Membros!$E$2:$E$5)),Membros!K$3,0)))*IF(AND(COUNTIFS(Tabela3[Tipo],"Provedor",Tabela3[Simulação Seguro],"Sim")=2,A55&gt;=MAX(IF(Tabela3[Tipo]="Dependente",Tabela3[Expectativa de Vida (Data)]))),0,1)</f>
        <v>0</v>
      </c>
      <c r="S55" s="18">
        <f t="shared" ca="1" si="4"/>
        <v>85101.4</v>
      </c>
      <c r="U55" s="18">
        <f t="shared" ca="1" si="7"/>
        <v>5003393.7778141256</v>
      </c>
      <c r="V55" s="18">
        <f>SUMIF(Imóveis!E:E,Dados!A:A,Imóveis!Z:Z)-SUMIF(Imóveis!E:E,Dados!A:A,Imóveis!Y:Y)</f>
        <v>0</v>
      </c>
      <c r="W55" s="18">
        <f>-SUMIF(Projetos!N:N,A55,Projetos!F:F)</f>
        <v>0</v>
      </c>
      <c r="X55" s="18">
        <f t="shared" ca="1" si="0"/>
        <v>-1198.0594744816481</v>
      </c>
      <c r="Y55" s="26">
        <f ca="1">(U55*((Indicadores_Economicos!D$2+1)^(1/12)-1))</f>
        <v>16379.80925643662</v>
      </c>
      <c r="Z55" s="18">
        <f t="shared" ca="1" si="5"/>
        <v>5018575.5275960807</v>
      </c>
      <c r="AA55" s="18">
        <f ca="1">Auxiliar_Projetos!E55</f>
        <v>232967.91733198109</v>
      </c>
      <c r="AB55" s="18">
        <f ca="1">Auxiliar_Projetos!K55</f>
        <v>342611.63093538681</v>
      </c>
      <c r="AC55" s="18">
        <f ca="1">IF(Z55-AA55-AB55&gt;Investimentos!$C$14,Investimentos!$C$14,IF(Z55-AA55-AB55&lt;Investimentos!$C$14,Z55-AA55-AB55,0))</f>
        <v>300000</v>
      </c>
      <c r="AD55" s="18">
        <f t="shared" ca="1" si="6"/>
        <v>4142995.9793287124</v>
      </c>
      <c r="AE55" s="18"/>
    </row>
    <row r="56" spans="1:31" x14ac:dyDescent="0.2">
      <c r="A56" s="4">
        <v>47300</v>
      </c>
      <c r="B56" s="5" t="str">
        <f t="shared" si="1"/>
        <v>julho</v>
      </c>
      <c r="C56" s="5" t="str">
        <f t="shared" si="9"/>
        <v>2029</v>
      </c>
      <c r="D56" s="5">
        <f>SUMIFS(Despesas!$F:$F,Despesas!$J:$J,"&lt;="&amp;$A56,Despesas!$L:$L,"&gt;="&amp;$A56,Despesas!$C:$C,D$1,Despesas!$M:$M,"Mensal")+SUMIFS(Despesas!$F:$F,Despesas!$J:$J,"&lt;="&amp;$A56,Despesas!$L:$L,"&gt;="&amp;$A56,Despesas!$C:$C,D$1,Despesas!$M:$M,$B56)</f>
        <v>23000</v>
      </c>
      <c r="E56" s="18">
        <f>SUMIFS(Despesas!$F:$F,Despesas!$J:$J,"&lt;="&amp;$A56,Despesas!$L:$L,"&gt;="&amp;$A56,Despesas!$C:$C,E$1,Despesas!$M:$M,"Mensal")+SUMIFS(Despesas!$F:$F,Despesas!$J:$J,"&lt;="&amp;$A56,Despesas!$L:$L,"&gt;="&amp;$A56,Despesas!$C:$C,E$1,Despesas!$M:$M,$B56)</f>
        <v>18000</v>
      </c>
      <c r="F56" s="5">
        <f>SUMIFS(Despesas!$F:$F,Despesas!$J:$J,"&lt;="&amp;$A56,Despesas!$L:$L,"&gt;="&amp;$A56,Despesas!$C:$C,F$1,Despesas!$M:$M,"Mensal")+SUMIFS(Despesas!$F:$F,Despesas!$J:$J,"&lt;="&amp;$A56,Despesas!$L:$L,"&gt;="&amp;$A56,Despesas!$C:$C,F$1,Despesas!$M:$M,$B56)</f>
        <v>13000</v>
      </c>
      <c r="G56" s="5">
        <f ca="1">SUMIFS(Despesas!$F:$F,Despesas!$J:$J,"&lt;="&amp;$A56,Despesas!$L:$L,"&gt;="&amp;$A56,Despesas!$C:$C,G$1,Despesas!$M:$M,"Mensal")+SUMIFS(Despesas!$F:$F,Despesas!$J:$J,"&lt;="&amp;$A56,Despesas!$L:$L,"&gt;="&amp;$A56,Despesas!$C:$C,G$1,Despesas!$M:$M,$B56)</f>
        <v>55757</v>
      </c>
      <c r="H56" s="18">
        <f ca="1">SUMIFS(Despesas!$F:$F,Despesas!$J:$J,"&lt;="&amp;$A56,Despesas!$L:$L,"&gt;="&amp;$A56,Despesas!$C:$C,H$1,Despesas!$M:$M,"Mensal")+SUMIFS(Despesas!$F:$F,Despesas!$J:$J,"&lt;="&amp;$A56,Despesas!$L:$L,"&gt;="&amp;$A56,Despesas!$C:$C,H$1,Despesas!$M:$M,$B56)</f>
        <v>2686.355</v>
      </c>
      <c r="I56" s="18">
        <f>IF(Imóveis!$F$2="PRICE",IF(AND(Dados!$A56&gt;=Imóveis!$Q$2,Dados!$A56&lt;=Imóveis!$T$2),Imóveis!$U$2,0),IF((IF(AND(Dados!$A56&gt;=Imóveis!$Q$2,Dados!$A56&lt;=Imóveis!$T$2),Imóveis!$S$2-(DATEDIF(Imóveis!$Q$2,Dados!$A56,"m")),0))=0,0,((Imóveis!$N$2/Imóveis!$S$2)+((Imóveis!$N$2-((Imóveis!$S$2-(IF(AND(Dados!$A56&gt;=Imóveis!$Q$2,Dados!$A56&lt;=Imóveis!$T$2),Imóveis!$S$2-(DATEDIF(Imóveis!$Q$2,Dados!$A56,"m")),)))*(Imóveis!$N$2/Imóveis!$S$2)))*Imóveis!$P$2))))*IF(AND(Imóveis!$E$2&gt;0,Dados!$A56&gt;Imóveis!$E$2),0,1)</f>
        <v>15592.435398103466</v>
      </c>
      <c r="J56" s="18">
        <f ca="1">IF(Imóveis!$F$3="PRICE",IF(AND(Dados!$A56&gt;=Imóveis!$Q$3,Dados!$A56&lt;=Imóveis!$T$3),Imóveis!$U$3,0),IF((IF(AND(Dados!$A56&gt;=Imóveis!$Q$3,Dados!$A56&lt;=Imóveis!$T$3),Imóveis!$S$3-(DATEDIF(Imóveis!$Q$3,Dados!$A56,"m")),0))=0,0,((Imóveis!$N$3/Imóveis!$S$3)+((Imóveis!$N$3-((Imóveis!$S$3-(IF(AND(Dados!$A56&gt;=Imóveis!$Q$3,Dados!$A56&lt;=Imóveis!$T$3),Imóveis!$S$3-(DATEDIF(Imóveis!$Q$3,Dados!$A56,"m")),)))*(Imóveis!$N$3/Imóveis!$S$3)))*Imóveis!$P$3))))*IF(AND(Imóveis!$E$3&gt;0,Dados!$A56&gt;Imóveis!$E$3),0,1)</f>
        <v>9314.6986248807771</v>
      </c>
      <c r="K56" s="18">
        <f>IF(Imóveis!$F$4="PRICE",IF(AND(Dados!$A56&gt;=Imóveis!$Q$4,Dados!$A56&lt;=Imóveis!$T$4),Imóveis!$U$4,0),IF((IF(AND(Dados!$A56&gt;=Imóveis!$Q$4,Dados!$A56&lt;=Imóveis!$T$4),Imóveis!$S$4-(DATEDIF(Imóveis!$Q$4,Dados!$A56,"m")),0))=0,0,((Imóveis!$N$4/Imóveis!$S$4)+((Imóveis!$N$4-((Imóveis!$S$4-(IF(AND(Dados!$A56&gt;=Imóveis!$Q$4,Dados!$A56&lt;=Imóveis!$T$4),Imóveis!$S$4-(DATEDIF(Imóveis!$Q$4,Dados!$A56,"m")),)))*(Imóveis!$N$4/Imóveis!$S$4)))*Imóveis!$P$4))))*IF(AND(Imóveis!$E$4&gt;0,Dados!$A56&gt;Imóveis!$E$4),0,1)</f>
        <v>4643.949359272583</v>
      </c>
      <c r="L56" s="18">
        <f>IF(Imóveis!$F$5="PRICE",IF(AND(Dados!$A56&gt;=Imóveis!$Q$5,Dados!$A56&lt;=Imóveis!$T$5),Imóveis!$U$5,0),IF((IF(AND(Dados!$A56&gt;=Imóveis!$Q$5,Dados!$A56&lt;=Imóveis!$T$5),Imóveis!$S$5-(DATEDIF(Imóveis!$Q$5,Dados!$A56,"m")),0))=0,0,((Imóveis!$N$5/Imóveis!$S$5)+((Imóveis!$N$5-((Imóveis!$S$5-(IF(AND(Dados!$A56 &gt;=Imóveis!$Q$5,Dados!$A56&lt;=Imóveis!$T$5),Imóveis!$S$5-(DATEDIF(Imóveis!$Q$5,Dados!$A56,"m")),)))*(Imóveis!$N$5/Imóveis!$S$5)))*Imóveis!$P$5))))*IF(AND(Imóveis!$E$5&gt;0,Dados!$A56&gt;Imóveis!$E$5),0,1)*Imóveis!$I$5</f>
        <v>0</v>
      </c>
      <c r="M56" s="18">
        <f>IF(Imóveis!$F$6="PRICE",IF(AND(Dados!$A56&gt;=Imóveis!$Q$6,Dados!$A56&lt;=Imóveis!$T$6),Imóveis!$U$6,0),IF((IF(AND(Dados!$A56&gt;=Imóveis!$Q$6,Dados!$A56&lt;=Imóveis!$T$6),Imóveis!$S$6-(DATEDIF(Imóveis!$Q$6,Dados!$A56,"m")),0))=0,0,((Imóveis!$N$6/Imóveis!$S$6)+((Imóveis!$N$6-((Imóveis!$S$6-(IF(AND(Dados!$A56&gt;=Imóveis!$Q$6,Dados!$A56&lt;=Imóveis!$T$6),Imóveis!$S$6-(DATEDIF(Imóveis!$Q$6,Dados!$A56,"m")),)))*(Imóveis!$N$6/Imóveis!$S$6)))*Imóveis!$P$6))))*IF(AND(Imóveis!$E$6&gt;0,Dados!$A56&gt;Imóveis!$E$6),0,1)*Imóveis!$I$6</f>
        <v>0</v>
      </c>
      <c r="N56" s="18">
        <f t="shared" ca="1" si="3"/>
        <v>141994.43838225681</v>
      </c>
      <c r="O56" s="18">
        <f>SUMIFS(Receitas!$F:$F,Receitas!$J:$J,"&lt;="&amp;$A56,Receitas!$L:$L,"&gt;="&amp;$A56,Receitas!$C:$C,O$1,Receitas!$M:$M,"Mensal")+SUMIFS(Receitas!$F:$F,Receitas!$J:$J,"&lt;="&amp;$A56,Receitas!$L:$L,"&gt;="&amp;$A56,Receitas!$C:$C,O$1,Receitas!$M:$M,$B56)</f>
        <v>50000</v>
      </c>
      <c r="P56" s="18">
        <f>SUMIFS(Receitas!$F:$F,Receitas!$J:$J,"&lt;="&amp;$A56,Receitas!$L:$L,"&gt;="&amp;$A56,Receitas!$C:$C,P$1,Receitas!$M:$M,"Mensal")+SUMIFS(Receitas!$F:$F,Receitas!$J:$J,"&lt;="&amp;$A56,Receitas!$L:$L,"&gt;="&amp;$A56,Receitas!$C:$C,P$1,Receitas!$M:$M,$B56)</f>
        <v>20000</v>
      </c>
      <c r="Q56" s="18">
        <f ca="1">SUMIFS(Receitas!$F:$F,Receitas!$J:$J,"&lt;="&amp;$A56,Receitas!$L:$L,"&gt;="&amp;$A56,Receitas!$C:$C,Q$1,Receitas!$M:$M,"Mensal")+SUMIFS(Receitas!$F:$F,Receitas!$J:$J,"&lt;="&amp;$A56,Receitas!$L:$L,"&gt;="&amp;$A56,Receitas!$C:$C,Q$1,Receitas!$M:$M,$B56)</f>
        <v>15101.400000000001</v>
      </c>
      <c r="R56" s="18" cm="1">
        <f t="array" ref="R56">(IF(AND(Membros!$F$2="Sim",A56&lt;=MAX(Membros!$E$2:$E$5)),Membros!K$2,IF(AND(A56&gt;=Membros!J$2,A56&lt;=MAX(Membros!$E$2:$E$5)),Membros!K$2,0))+IF(AND(Membros!$F$3="Sim",A56&lt;=MAX(Membros!$E$2:$E$5)),Membros!K$3,IF(AND(A56&gt;=Membros!J$3,A56&lt;=MAX(Membros!$E$2:$E$5)),Membros!K$3,0)))*IF(AND(COUNTIFS(Tabela3[Tipo],"Provedor",Tabela3[Simulação Seguro],"Sim")=2,A56&gt;=MAX(IF(Tabela3[Tipo]="Dependente",Tabela3[Expectativa de Vida (Data)]))),0,1)</f>
        <v>0</v>
      </c>
      <c r="S56" s="18">
        <f t="shared" ca="1" si="4"/>
        <v>85101.4</v>
      </c>
      <c r="U56" s="18">
        <f t="shared" ca="1" si="7"/>
        <v>5018575.5275960807</v>
      </c>
      <c r="V56" s="18">
        <f>SUMIF(Imóveis!E:E,Dados!A:A,Imóveis!Z:Z)-SUMIF(Imóveis!E:E,Dados!A:A,Imóveis!Y:Y)</f>
        <v>0</v>
      </c>
      <c r="W56" s="18">
        <f>-SUMIF(Projetos!N:N,A56,Projetos!F:F)</f>
        <v>0</v>
      </c>
      <c r="X56" s="18">
        <f t="shared" ca="1" si="0"/>
        <v>-56893.038382256811</v>
      </c>
      <c r="Y56" s="26">
        <f ca="1">(U56*((Indicadores_Economicos!D$2+1)^(1/12)-1))</f>
        <v>16429.510354661197</v>
      </c>
      <c r="Z56" s="18">
        <f t="shared" ca="1" si="5"/>
        <v>4978111.9995684857</v>
      </c>
      <c r="AA56" s="18">
        <f ca="1">Auxiliar_Projetos!E56</f>
        <v>233730.59367092684</v>
      </c>
      <c r="AB56" s="18">
        <f ca="1">Auxiliar_Projetos!K56</f>
        <v>343733.25226142403</v>
      </c>
      <c r="AC56" s="18">
        <f ca="1">IF(Z56-AA56-AB56&gt;Investimentos!$C$14,Investimentos!$C$14,IF(Z56-AA56-AB56&lt;Investimentos!$C$14,Z56-AA56-AB56,0))</f>
        <v>300000</v>
      </c>
      <c r="AD56" s="18">
        <f t="shared" ca="1" si="6"/>
        <v>4100648.1536361342</v>
      </c>
      <c r="AE56" s="18"/>
    </row>
    <row r="57" spans="1:31" x14ac:dyDescent="0.2">
      <c r="A57" s="4">
        <v>47331</v>
      </c>
      <c r="B57" s="5" t="str">
        <f t="shared" si="1"/>
        <v>agosto</v>
      </c>
      <c r="C57" s="5" t="str">
        <f t="shared" si="9"/>
        <v>2029</v>
      </c>
      <c r="D57" s="5">
        <f>SUMIFS(Despesas!$F:$F,Despesas!$J:$J,"&lt;="&amp;$A57,Despesas!$L:$L,"&gt;="&amp;$A57,Despesas!$C:$C,D$1,Despesas!$M:$M,"Mensal")+SUMIFS(Despesas!$F:$F,Despesas!$J:$J,"&lt;="&amp;$A57,Despesas!$L:$L,"&gt;="&amp;$A57,Despesas!$C:$C,D$1,Despesas!$M:$M,$B57)</f>
        <v>23000</v>
      </c>
      <c r="E57" s="18">
        <f>SUMIFS(Despesas!$F:$F,Despesas!$J:$J,"&lt;="&amp;$A57,Despesas!$L:$L,"&gt;="&amp;$A57,Despesas!$C:$C,E$1,Despesas!$M:$M,"Mensal")+SUMIFS(Despesas!$F:$F,Despesas!$J:$J,"&lt;="&amp;$A57,Despesas!$L:$L,"&gt;="&amp;$A57,Despesas!$C:$C,E$1,Despesas!$M:$M,$B57)</f>
        <v>18000</v>
      </c>
      <c r="F57" s="5">
        <f>SUMIFS(Despesas!$F:$F,Despesas!$J:$J,"&lt;="&amp;$A57,Despesas!$L:$L,"&gt;="&amp;$A57,Despesas!$C:$C,F$1,Despesas!$M:$M,"Mensal")+SUMIFS(Despesas!$F:$F,Despesas!$J:$J,"&lt;="&amp;$A57,Despesas!$L:$L,"&gt;="&amp;$A57,Despesas!$C:$C,F$1,Despesas!$M:$M,$B57)</f>
        <v>13000</v>
      </c>
      <c r="G57" s="5">
        <f>SUMIFS(Despesas!$F:$F,Despesas!$J:$J,"&lt;="&amp;$A57,Despesas!$L:$L,"&gt;="&amp;$A57,Despesas!$C:$C,G$1,Despesas!$M:$M,"Mensal")+SUMIFS(Despesas!$F:$F,Despesas!$J:$J,"&lt;="&amp;$A57,Despesas!$L:$L,"&gt;="&amp;$A57,Despesas!$C:$C,G$1,Despesas!$M:$M,$B57)</f>
        <v>0</v>
      </c>
      <c r="H57" s="18">
        <f ca="1">SUMIFS(Despesas!$F:$F,Despesas!$J:$J,"&lt;="&amp;$A57,Despesas!$L:$L,"&gt;="&amp;$A57,Despesas!$C:$C,H$1,Despesas!$M:$M,"Mensal")+SUMIFS(Despesas!$F:$F,Despesas!$J:$J,"&lt;="&amp;$A57,Despesas!$L:$L,"&gt;="&amp;$A57,Despesas!$C:$C,H$1,Despesas!$M:$M,$B57)</f>
        <v>2686.355</v>
      </c>
      <c r="I57" s="18">
        <f>IF(Imóveis!$F$2="PRICE",IF(AND(Dados!$A57&gt;=Imóveis!$Q$2,Dados!$A57&lt;=Imóveis!$T$2),Imóveis!$U$2,0),IF((IF(AND(Dados!$A57&gt;=Imóveis!$Q$2,Dados!$A57&lt;=Imóveis!$T$2),Imóveis!$S$2-(DATEDIF(Imóveis!$Q$2,Dados!$A57,"m")),0))=0,0,((Imóveis!$N$2/Imóveis!$S$2)+((Imóveis!$N$2-((Imóveis!$S$2-(IF(AND(Dados!$A57&gt;=Imóveis!$Q$2,Dados!$A57&lt;=Imóveis!$T$2),Imóveis!$S$2-(DATEDIF(Imóveis!$Q$2,Dados!$A57,"m")),)))*(Imóveis!$N$2/Imóveis!$S$2)))*Imóveis!$P$2))))*IF(AND(Imóveis!$E$2&gt;0,Dados!$A57&gt;Imóveis!$E$2),0,1)</f>
        <v>15530.414305878659</v>
      </c>
      <c r="J57" s="18">
        <f ca="1">IF(Imóveis!$F$3="PRICE",IF(AND(Dados!$A57&gt;=Imóveis!$Q$3,Dados!$A57&lt;=Imóveis!$T$3),Imóveis!$U$3,0),IF((IF(AND(Dados!$A57&gt;=Imóveis!$Q$3,Dados!$A57&lt;=Imóveis!$T$3),Imóveis!$S$3-(DATEDIF(Imóveis!$Q$3,Dados!$A57,"m")),0))=0,0,((Imóveis!$N$3/Imóveis!$S$3)+((Imóveis!$N$3-((Imóveis!$S$3-(IF(AND(Dados!$A57&gt;=Imóveis!$Q$3,Dados!$A57&lt;=Imóveis!$T$3),Imóveis!$S$3-(DATEDIF(Imóveis!$Q$3,Dados!$A57,"m")),)))*(Imóveis!$N$3/Imóveis!$S$3)))*Imóveis!$P$3))))*IF(AND(Imóveis!$E$3&gt;0,Dados!$A57&gt;Imóveis!$E$3),0,1)</f>
        <v>9314.6986248807771</v>
      </c>
      <c r="K57" s="18">
        <f>IF(Imóveis!$F$4="PRICE",IF(AND(Dados!$A57&gt;=Imóveis!$Q$4,Dados!$A57&lt;=Imóveis!$T$4),Imóveis!$U$4,0),IF((IF(AND(Dados!$A57&gt;=Imóveis!$Q$4,Dados!$A57&lt;=Imóveis!$T$4),Imóveis!$S$4-(DATEDIF(Imóveis!$Q$4,Dados!$A57,"m")),0))=0,0,((Imóveis!$N$4/Imóveis!$S$4)+((Imóveis!$N$4-((Imóveis!$S$4-(IF(AND(Dados!$A57&gt;=Imóveis!$Q$4,Dados!$A57&lt;=Imóveis!$T$4),Imóveis!$S$4-(DATEDIF(Imóveis!$Q$4,Dados!$A57,"m")),)))*(Imóveis!$N$4/Imóveis!$S$4)))*Imóveis!$P$4))))*IF(AND(Imóveis!$E$4&gt;0,Dados!$A57&gt;Imóveis!$E$4),0,1)</f>
        <v>4643.949359272583</v>
      </c>
      <c r="L57" s="18">
        <f>IF(Imóveis!$F$5="PRICE",IF(AND(Dados!$A57&gt;=Imóveis!$Q$5,Dados!$A57&lt;=Imóveis!$T$5),Imóveis!$U$5,0),IF((IF(AND(Dados!$A57&gt;=Imóveis!$Q$5,Dados!$A57&lt;=Imóveis!$T$5),Imóveis!$S$5-(DATEDIF(Imóveis!$Q$5,Dados!$A57,"m")),0))=0,0,((Imóveis!$N$5/Imóveis!$S$5)+((Imóveis!$N$5-((Imóveis!$S$5-(IF(AND(Dados!$A57 &gt;=Imóveis!$Q$5,Dados!$A57&lt;=Imóveis!$T$5),Imóveis!$S$5-(DATEDIF(Imóveis!$Q$5,Dados!$A57,"m")),)))*(Imóveis!$N$5/Imóveis!$S$5)))*Imóveis!$P$5))))*IF(AND(Imóveis!$E$5&gt;0,Dados!$A57&gt;Imóveis!$E$5),0,1)*Imóveis!$I$5</f>
        <v>0</v>
      </c>
      <c r="M57" s="18">
        <f>IF(Imóveis!$F$6="PRICE",IF(AND(Dados!$A57&gt;=Imóveis!$Q$6,Dados!$A57&lt;=Imóveis!$T$6),Imóveis!$U$6,0),IF((IF(AND(Dados!$A57&gt;=Imóveis!$Q$6,Dados!$A57&lt;=Imóveis!$T$6),Imóveis!$S$6-(DATEDIF(Imóveis!$Q$6,Dados!$A57,"m")),0))=0,0,((Imóveis!$N$6/Imóveis!$S$6)+((Imóveis!$N$6-((Imóveis!$S$6-(IF(AND(Dados!$A57&gt;=Imóveis!$Q$6,Dados!$A57&lt;=Imóveis!$T$6),Imóveis!$S$6-(DATEDIF(Imóveis!$Q$6,Dados!$A57,"m")),)))*(Imóveis!$N$6/Imóveis!$S$6)))*Imóveis!$P$6))))*IF(AND(Imóveis!$E$6&gt;0,Dados!$A57&gt;Imóveis!$E$6),0,1)*Imóveis!$I$6</f>
        <v>0</v>
      </c>
      <c r="N57" s="18">
        <f t="shared" ca="1" si="3"/>
        <v>86175.417290032026</v>
      </c>
      <c r="O57" s="18">
        <f>SUMIFS(Receitas!$F:$F,Receitas!$J:$J,"&lt;="&amp;$A57,Receitas!$L:$L,"&gt;="&amp;$A57,Receitas!$C:$C,O$1,Receitas!$M:$M,"Mensal")+SUMIFS(Receitas!$F:$F,Receitas!$J:$J,"&lt;="&amp;$A57,Receitas!$L:$L,"&gt;="&amp;$A57,Receitas!$C:$C,O$1,Receitas!$M:$M,$B57)</f>
        <v>50000</v>
      </c>
      <c r="P57" s="18">
        <f>SUMIFS(Receitas!$F:$F,Receitas!$J:$J,"&lt;="&amp;$A57,Receitas!$L:$L,"&gt;="&amp;$A57,Receitas!$C:$C,P$1,Receitas!$M:$M,"Mensal")+SUMIFS(Receitas!$F:$F,Receitas!$J:$J,"&lt;="&amp;$A57,Receitas!$L:$L,"&gt;="&amp;$A57,Receitas!$C:$C,P$1,Receitas!$M:$M,$B57)</f>
        <v>20000</v>
      </c>
      <c r="Q57" s="18">
        <f ca="1">SUMIFS(Receitas!$F:$F,Receitas!$J:$J,"&lt;="&amp;$A57,Receitas!$L:$L,"&gt;="&amp;$A57,Receitas!$C:$C,Q$1,Receitas!$M:$M,"Mensal")+SUMIFS(Receitas!$F:$F,Receitas!$J:$J,"&lt;="&amp;$A57,Receitas!$L:$L,"&gt;="&amp;$A57,Receitas!$C:$C,Q$1,Receitas!$M:$M,$B57)</f>
        <v>15101.400000000001</v>
      </c>
      <c r="R57" s="18" cm="1">
        <f t="array" ref="R57">(IF(AND(Membros!$F$2="Sim",A57&lt;=MAX(Membros!$E$2:$E$5)),Membros!K$2,IF(AND(A57&gt;=Membros!J$2,A57&lt;=MAX(Membros!$E$2:$E$5)),Membros!K$2,0))+IF(AND(Membros!$F$3="Sim",A57&lt;=MAX(Membros!$E$2:$E$5)),Membros!K$3,IF(AND(A57&gt;=Membros!J$3,A57&lt;=MAX(Membros!$E$2:$E$5)),Membros!K$3,0)))*IF(AND(COUNTIFS(Tabela3[Tipo],"Provedor",Tabela3[Simulação Seguro],"Sim")=2,A57&gt;=MAX(IF(Tabela3[Tipo]="Dependente",Tabela3[Expectativa de Vida (Data)]))),0,1)</f>
        <v>0</v>
      </c>
      <c r="S57" s="18">
        <f t="shared" ca="1" si="4"/>
        <v>85101.4</v>
      </c>
      <c r="U57" s="18">
        <f t="shared" ca="1" si="7"/>
        <v>4978111.9995684857</v>
      </c>
      <c r="V57" s="18">
        <f>SUMIF(Imóveis!E:E,Dados!A:A,Imóveis!Z:Z)-SUMIF(Imóveis!E:E,Dados!A:A,Imóveis!Y:Y)</f>
        <v>0</v>
      </c>
      <c r="W57" s="18">
        <f>-SUMIF(Projetos!N:N,A57,Projetos!F:F)</f>
        <v>0</v>
      </c>
      <c r="X57" s="18">
        <f t="shared" ca="1" si="0"/>
        <v>-1074.0172900320322</v>
      </c>
      <c r="Y57" s="26">
        <f ca="1">(U57*((Indicadores_Economicos!D$2+1)^(1/12)-1))</f>
        <v>16297.043293229137</v>
      </c>
      <c r="Z57" s="18">
        <f t="shared" ca="1" si="5"/>
        <v>4993335.0255716825</v>
      </c>
      <c r="AA57" s="18">
        <f ca="1">Auxiliar_Projetos!E57</f>
        <v>234495.76681374433</v>
      </c>
      <c r="AB57" s="18">
        <f ca="1">Auxiliar_Projetos!K57</f>
        <v>344858.54548381688</v>
      </c>
      <c r="AC57" s="18">
        <f ca="1">IF(Z57-AA57-AB57&gt;Investimentos!$C$14,Investimentos!$C$14,IF(Z57-AA57-AB57&lt;Investimentos!$C$14,Z57-AA57-AB57,0))</f>
        <v>300000</v>
      </c>
      <c r="AD57" s="18">
        <f t="shared" ca="1" si="6"/>
        <v>4113980.7132741213</v>
      </c>
      <c r="AE57" s="18"/>
    </row>
    <row r="58" spans="1:31" x14ac:dyDescent="0.2">
      <c r="A58" s="4">
        <v>47362</v>
      </c>
      <c r="B58" s="5" t="str">
        <f t="shared" si="1"/>
        <v>setembro</v>
      </c>
      <c r="C58" s="5" t="str">
        <f t="shared" si="9"/>
        <v>2029</v>
      </c>
      <c r="D58" s="5">
        <f>SUMIFS(Despesas!$F:$F,Despesas!$J:$J,"&lt;="&amp;$A58,Despesas!$L:$L,"&gt;="&amp;$A58,Despesas!$C:$C,D$1,Despesas!$M:$M,"Mensal")+SUMIFS(Despesas!$F:$F,Despesas!$J:$J,"&lt;="&amp;$A58,Despesas!$L:$L,"&gt;="&amp;$A58,Despesas!$C:$C,D$1,Despesas!$M:$M,$B58)</f>
        <v>23000</v>
      </c>
      <c r="E58" s="18">
        <f>SUMIFS(Despesas!$F:$F,Despesas!$J:$J,"&lt;="&amp;$A58,Despesas!$L:$L,"&gt;="&amp;$A58,Despesas!$C:$C,E$1,Despesas!$M:$M,"Mensal")+SUMIFS(Despesas!$F:$F,Despesas!$J:$J,"&lt;="&amp;$A58,Despesas!$L:$L,"&gt;="&amp;$A58,Despesas!$C:$C,E$1,Despesas!$M:$M,$B58)</f>
        <v>18000</v>
      </c>
      <c r="F58" s="5">
        <f>SUMIFS(Despesas!$F:$F,Despesas!$J:$J,"&lt;="&amp;$A58,Despesas!$L:$L,"&gt;="&amp;$A58,Despesas!$C:$C,F$1,Despesas!$M:$M,"Mensal")+SUMIFS(Despesas!$F:$F,Despesas!$J:$J,"&lt;="&amp;$A58,Despesas!$L:$L,"&gt;="&amp;$A58,Despesas!$C:$C,F$1,Despesas!$M:$M,$B58)</f>
        <v>13000</v>
      </c>
      <c r="G58" s="5">
        <f>SUMIFS(Despesas!$F:$F,Despesas!$J:$J,"&lt;="&amp;$A58,Despesas!$L:$L,"&gt;="&amp;$A58,Despesas!$C:$C,G$1,Despesas!$M:$M,"Mensal")+SUMIFS(Despesas!$F:$F,Despesas!$J:$J,"&lt;="&amp;$A58,Despesas!$L:$L,"&gt;="&amp;$A58,Despesas!$C:$C,G$1,Despesas!$M:$M,$B58)</f>
        <v>0</v>
      </c>
      <c r="H58" s="18">
        <f ca="1">SUMIFS(Despesas!$F:$F,Despesas!$J:$J,"&lt;="&amp;$A58,Despesas!$L:$L,"&gt;="&amp;$A58,Despesas!$C:$C,H$1,Despesas!$M:$M,"Mensal")+SUMIFS(Despesas!$F:$F,Despesas!$J:$J,"&lt;="&amp;$A58,Despesas!$L:$L,"&gt;="&amp;$A58,Despesas!$C:$C,H$1,Despesas!$M:$M,$B58)</f>
        <v>2686.355</v>
      </c>
      <c r="I58" s="18">
        <f>IF(Imóveis!$F$2="PRICE",IF(AND(Dados!$A58&gt;=Imóveis!$Q$2,Dados!$A58&lt;=Imóveis!$T$2),Imóveis!$U$2,0),IF((IF(AND(Dados!$A58&gt;=Imóveis!$Q$2,Dados!$A58&lt;=Imóveis!$T$2),Imóveis!$S$2-(DATEDIF(Imóveis!$Q$2,Dados!$A58,"m")),0))=0,0,((Imóveis!$N$2/Imóveis!$S$2)+((Imóveis!$N$2-((Imóveis!$S$2-(IF(AND(Dados!$A58&gt;=Imóveis!$Q$2,Dados!$A58&lt;=Imóveis!$T$2),Imóveis!$S$2-(DATEDIF(Imóveis!$Q$2,Dados!$A58,"m")),)))*(Imóveis!$N$2/Imóveis!$S$2)))*Imóveis!$P$2))))*IF(AND(Imóveis!$E$2&gt;0,Dados!$A58&gt;Imóveis!$E$2),0,1)</f>
        <v>15468.393213653853</v>
      </c>
      <c r="J58" s="18">
        <f ca="1">IF(Imóveis!$F$3="PRICE",IF(AND(Dados!$A58&gt;=Imóveis!$Q$3,Dados!$A58&lt;=Imóveis!$T$3),Imóveis!$U$3,0),IF((IF(AND(Dados!$A58&gt;=Imóveis!$Q$3,Dados!$A58&lt;=Imóveis!$T$3),Imóveis!$S$3-(DATEDIF(Imóveis!$Q$3,Dados!$A58,"m")),0))=0,0,((Imóveis!$N$3/Imóveis!$S$3)+((Imóveis!$N$3-((Imóveis!$S$3-(IF(AND(Dados!$A58&gt;=Imóveis!$Q$3,Dados!$A58&lt;=Imóveis!$T$3),Imóveis!$S$3-(DATEDIF(Imóveis!$Q$3,Dados!$A58,"m")),)))*(Imóveis!$N$3/Imóveis!$S$3)))*Imóveis!$P$3))))*IF(AND(Imóveis!$E$3&gt;0,Dados!$A58&gt;Imóveis!$E$3),0,1)</f>
        <v>9314.6986248807771</v>
      </c>
      <c r="K58" s="18">
        <f>IF(Imóveis!$F$4="PRICE",IF(AND(Dados!$A58&gt;=Imóveis!$Q$4,Dados!$A58&lt;=Imóveis!$T$4),Imóveis!$U$4,0),IF((IF(AND(Dados!$A58&gt;=Imóveis!$Q$4,Dados!$A58&lt;=Imóveis!$T$4),Imóveis!$S$4-(DATEDIF(Imóveis!$Q$4,Dados!$A58,"m")),0))=0,0,((Imóveis!$N$4/Imóveis!$S$4)+((Imóveis!$N$4-((Imóveis!$S$4-(IF(AND(Dados!$A58&gt;=Imóveis!$Q$4,Dados!$A58&lt;=Imóveis!$T$4),Imóveis!$S$4-(DATEDIF(Imóveis!$Q$4,Dados!$A58,"m")),)))*(Imóveis!$N$4/Imóveis!$S$4)))*Imóveis!$P$4))))*IF(AND(Imóveis!$E$4&gt;0,Dados!$A58&gt;Imóveis!$E$4),0,1)</f>
        <v>4643.949359272583</v>
      </c>
      <c r="L58" s="18">
        <f>IF(Imóveis!$F$5="PRICE",IF(AND(Dados!$A58&gt;=Imóveis!$Q$5,Dados!$A58&lt;=Imóveis!$T$5),Imóveis!$U$5,0),IF((IF(AND(Dados!$A58&gt;=Imóveis!$Q$5,Dados!$A58&lt;=Imóveis!$T$5),Imóveis!$S$5-(DATEDIF(Imóveis!$Q$5,Dados!$A58,"m")),0))=0,0,((Imóveis!$N$5/Imóveis!$S$5)+((Imóveis!$N$5-((Imóveis!$S$5-(IF(AND(Dados!$A58 &gt;=Imóveis!$Q$5,Dados!$A58&lt;=Imóveis!$T$5),Imóveis!$S$5-(DATEDIF(Imóveis!$Q$5,Dados!$A58,"m")),)))*(Imóveis!$N$5/Imóveis!$S$5)))*Imóveis!$P$5))))*IF(AND(Imóveis!$E$5&gt;0,Dados!$A58&gt;Imóveis!$E$5),0,1)*Imóveis!$I$5</f>
        <v>0</v>
      </c>
      <c r="M58" s="18">
        <f>IF(Imóveis!$F$6="PRICE",IF(AND(Dados!$A58&gt;=Imóveis!$Q$6,Dados!$A58&lt;=Imóveis!$T$6),Imóveis!$U$6,0),IF((IF(AND(Dados!$A58&gt;=Imóveis!$Q$6,Dados!$A58&lt;=Imóveis!$T$6),Imóveis!$S$6-(DATEDIF(Imóveis!$Q$6,Dados!$A58,"m")),0))=0,0,((Imóveis!$N$6/Imóveis!$S$6)+((Imóveis!$N$6-((Imóveis!$S$6-(IF(AND(Dados!$A58&gt;=Imóveis!$Q$6,Dados!$A58&lt;=Imóveis!$T$6),Imóveis!$S$6-(DATEDIF(Imóveis!$Q$6,Dados!$A58,"m")),)))*(Imóveis!$N$6/Imóveis!$S$6)))*Imóveis!$P$6))))*IF(AND(Imóveis!$E$6&gt;0,Dados!$A58&gt;Imóveis!$E$6),0,1)*Imóveis!$I$6</f>
        <v>0</v>
      </c>
      <c r="N58" s="18">
        <f t="shared" ca="1" si="3"/>
        <v>86113.396197807218</v>
      </c>
      <c r="O58" s="18">
        <f>SUMIFS(Receitas!$F:$F,Receitas!$J:$J,"&lt;="&amp;$A58,Receitas!$L:$L,"&gt;="&amp;$A58,Receitas!$C:$C,O$1,Receitas!$M:$M,"Mensal")+SUMIFS(Receitas!$F:$F,Receitas!$J:$J,"&lt;="&amp;$A58,Receitas!$L:$L,"&gt;="&amp;$A58,Receitas!$C:$C,O$1,Receitas!$M:$M,$B58)</f>
        <v>50000</v>
      </c>
      <c r="P58" s="18">
        <f>SUMIFS(Receitas!$F:$F,Receitas!$J:$J,"&lt;="&amp;$A58,Receitas!$L:$L,"&gt;="&amp;$A58,Receitas!$C:$C,P$1,Receitas!$M:$M,"Mensal")+SUMIFS(Receitas!$F:$F,Receitas!$J:$J,"&lt;="&amp;$A58,Receitas!$L:$L,"&gt;="&amp;$A58,Receitas!$C:$C,P$1,Receitas!$M:$M,$B58)</f>
        <v>20000</v>
      </c>
      <c r="Q58" s="18">
        <f ca="1">SUMIFS(Receitas!$F:$F,Receitas!$J:$J,"&lt;="&amp;$A58,Receitas!$L:$L,"&gt;="&amp;$A58,Receitas!$C:$C,Q$1,Receitas!$M:$M,"Mensal")+SUMIFS(Receitas!$F:$F,Receitas!$J:$J,"&lt;="&amp;$A58,Receitas!$L:$L,"&gt;="&amp;$A58,Receitas!$C:$C,Q$1,Receitas!$M:$M,$B58)</f>
        <v>15101.400000000001</v>
      </c>
      <c r="R58" s="18" cm="1">
        <f t="array" ref="R58">(IF(AND(Membros!$F$2="Sim",A58&lt;=MAX(Membros!$E$2:$E$5)),Membros!K$2,IF(AND(A58&gt;=Membros!J$2,A58&lt;=MAX(Membros!$E$2:$E$5)),Membros!K$2,0))+IF(AND(Membros!$F$3="Sim",A58&lt;=MAX(Membros!$E$2:$E$5)),Membros!K$3,IF(AND(A58&gt;=Membros!J$3,A58&lt;=MAX(Membros!$E$2:$E$5)),Membros!K$3,0)))*IF(AND(COUNTIFS(Tabela3[Tipo],"Provedor",Tabela3[Simulação Seguro],"Sim")=2,A58&gt;=MAX(IF(Tabela3[Tipo]="Dependente",Tabela3[Expectativa de Vida (Data)]))),0,1)</f>
        <v>0</v>
      </c>
      <c r="S58" s="18">
        <f t="shared" ca="1" si="4"/>
        <v>85101.4</v>
      </c>
      <c r="U58" s="18">
        <f t="shared" ca="1" si="7"/>
        <v>4993335.0255716825</v>
      </c>
      <c r="V58" s="18">
        <f>SUMIF(Imóveis!E:E,Dados!A:A,Imóveis!Z:Z)-SUMIF(Imóveis!E:E,Dados!A:A,Imóveis!Y:Y)</f>
        <v>0</v>
      </c>
      <c r="W58" s="18">
        <f>-SUMIF(Projetos!N:N,A58,Projetos!F:F)</f>
        <v>0</v>
      </c>
      <c r="X58" s="18">
        <f t="shared" ca="1" si="0"/>
        <v>-1011.9961978072242</v>
      </c>
      <c r="Y58" s="26">
        <f ca="1">(U58*((Indicadores_Economicos!D$2+1)^(1/12)-1))</f>
        <v>16346.879519061251</v>
      </c>
      <c r="Z58" s="18">
        <f t="shared" ca="1" si="5"/>
        <v>5008669.9088929361</v>
      </c>
      <c r="AA58" s="18">
        <f ca="1">Auxiliar_Projetos!E58</f>
        <v>235263.44493431973</v>
      </c>
      <c r="AB58" s="18">
        <f ca="1">Auxiliar_Projetos!K58</f>
        <v>345987.52262339852</v>
      </c>
      <c r="AC58" s="18">
        <f ca="1">IF(Z58-AA58-AB58&gt;Investimentos!$C$14,Investimentos!$C$14,IF(Z58-AA58-AB58&lt;Investimentos!$C$14,Z58-AA58-AB58,0))</f>
        <v>300000</v>
      </c>
      <c r="AD58" s="18">
        <f t="shared" ca="1" si="6"/>
        <v>4127418.941335218</v>
      </c>
      <c r="AE58" s="18"/>
    </row>
    <row r="59" spans="1:31" x14ac:dyDescent="0.2">
      <c r="A59" s="4">
        <v>47392</v>
      </c>
      <c r="B59" s="5" t="str">
        <f t="shared" si="1"/>
        <v>outubro</v>
      </c>
      <c r="C59" s="5" t="str">
        <f t="shared" si="9"/>
        <v>2029</v>
      </c>
      <c r="D59" s="5">
        <f>SUMIFS(Despesas!$F:$F,Despesas!$J:$J,"&lt;="&amp;$A59,Despesas!$L:$L,"&gt;="&amp;$A59,Despesas!$C:$C,D$1,Despesas!$M:$M,"Mensal")+SUMIFS(Despesas!$F:$F,Despesas!$J:$J,"&lt;="&amp;$A59,Despesas!$L:$L,"&gt;="&amp;$A59,Despesas!$C:$C,D$1,Despesas!$M:$M,$B59)</f>
        <v>23000</v>
      </c>
      <c r="E59" s="18">
        <f>SUMIFS(Despesas!$F:$F,Despesas!$J:$J,"&lt;="&amp;$A59,Despesas!$L:$L,"&gt;="&amp;$A59,Despesas!$C:$C,E$1,Despesas!$M:$M,"Mensal")+SUMIFS(Despesas!$F:$F,Despesas!$J:$J,"&lt;="&amp;$A59,Despesas!$L:$L,"&gt;="&amp;$A59,Despesas!$C:$C,E$1,Despesas!$M:$M,$B59)</f>
        <v>18000</v>
      </c>
      <c r="F59" s="5">
        <f>SUMIFS(Despesas!$F:$F,Despesas!$J:$J,"&lt;="&amp;$A59,Despesas!$L:$L,"&gt;="&amp;$A59,Despesas!$C:$C,F$1,Despesas!$M:$M,"Mensal")+SUMIFS(Despesas!$F:$F,Despesas!$J:$J,"&lt;="&amp;$A59,Despesas!$L:$L,"&gt;="&amp;$A59,Despesas!$C:$C,F$1,Despesas!$M:$M,$B59)</f>
        <v>13000</v>
      </c>
      <c r="G59" s="5">
        <f>SUMIFS(Despesas!$F:$F,Despesas!$J:$J,"&lt;="&amp;$A59,Despesas!$L:$L,"&gt;="&amp;$A59,Despesas!$C:$C,G$1,Despesas!$M:$M,"Mensal")+SUMIFS(Despesas!$F:$F,Despesas!$J:$J,"&lt;="&amp;$A59,Despesas!$L:$L,"&gt;="&amp;$A59,Despesas!$C:$C,G$1,Despesas!$M:$M,$B59)</f>
        <v>0</v>
      </c>
      <c r="H59" s="18">
        <f ca="1">SUMIFS(Despesas!$F:$F,Despesas!$J:$J,"&lt;="&amp;$A59,Despesas!$L:$L,"&gt;="&amp;$A59,Despesas!$C:$C,H$1,Despesas!$M:$M,"Mensal")+SUMIFS(Despesas!$F:$F,Despesas!$J:$J,"&lt;="&amp;$A59,Despesas!$L:$L,"&gt;="&amp;$A59,Despesas!$C:$C,H$1,Despesas!$M:$M,$B59)</f>
        <v>2686.355</v>
      </c>
      <c r="I59" s="18">
        <f>IF(Imóveis!$F$2="PRICE",IF(AND(Dados!$A59&gt;=Imóveis!$Q$2,Dados!$A59&lt;=Imóveis!$T$2),Imóveis!$U$2,0),IF((IF(AND(Dados!$A59&gt;=Imóveis!$Q$2,Dados!$A59&lt;=Imóveis!$T$2),Imóveis!$S$2-(DATEDIF(Imóveis!$Q$2,Dados!$A59,"m")),0))=0,0,((Imóveis!$N$2/Imóveis!$S$2)+((Imóveis!$N$2-((Imóveis!$S$2-(IF(AND(Dados!$A59&gt;=Imóveis!$Q$2,Dados!$A59&lt;=Imóveis!$T$2),Imóveis!$S$2-(DATEDIF(Imóveis!$Q$2,Dados!$A59,"m")),)))*(Imóveis!$N$2/Imóveis!$S$2)))*Imóveis!$P$2))))*IF(AND(Imóveis!$E$2&gt;0,Dados!$A59&gt;Imóveis!$E$2),0,1)</f>
        <v>15406.372121429045</v>
      </c>
      <c r="J59" s="18">
        <f ca="1">IF(Imóveis!$F$3="PRICE",IF(AND(Dados!$A59&gt;=Imóveis!$Q$3,Dados!$A59&lt;=Imóveis!$T$3),Imóveis!$U$3,0),IF((IF(AND(Dados!$A59&gt;=Imóveis!$Q$3,Dados!$A59&lt;=Imóveis!$T$3),Imóveis!$S$3-(DATEDIF(Imóveis!$Q$3,Dados!$A59,"m")),0))=0,0,((Imóveis!$N$3/Imóveis!$S$3)+((Imóveis!$N$3-((Imóveis!$S$3-(IF(AND(Dados!$A59&gt;=Imóveis!$Q$3,Dados!$A59&lt;=Imóveis!$T$3),Imóveis!$S$3-(DATEDIF(Imóveis!$Q$3,Dados!$A59,"m")),)))*(Imóveis!$N$3/Imóveis!$S$3)))*Imóveis!$P$3))))*IF(AND(Imóveis!$E$3&gt;0,Dados!$A59&gt;Imóveis!$E$3),0,1)</f>
        <v>9314.6986248807771</v>
      </c>
      <c r="K59" s="18">
        <f>IF(Imóveis!$F$4="PRICE",IF(AND(Dados!$A59&gt;=Imóveis!$Q$4,Dados!$A59&lt;=Imóveis!$T$4),Imóveis!$U$4,0),IF((IF(AND(Dados!$A59&gt;=Imóveis!$Q$4,Dados!$A59&lt;=Imóveis!$T$4),Imóveis!$S$4-(DATEDIF(Imóveis!$Q$4,Dados!$A59,"m")),0))=0,0,((Imóveis!$N$4/Imóveis!$S$4)+((Imóveis!$N$4-((Imóveis!$S$4-(IF(AND(Dados!$A59&gt;=Imóveis!$Q$4,Dados!$A59&lt;=Imóveis!$T$4),Imóveis!$S$4-(DATEDIF(Imóveis!$Q$4,Dados!$A59,"m")),)))*(Imóveis!$N$4/Imóveis!$S$4)))*Imóveis!$P$4))))*IF(AND(Imóveis!$E$4&gt;0,Dados!$A59&gt;Imóveis!$E$4),0,1)</f>
        <v>4643.949359272583</v>
      </c>
      <c r="L59" s="18">
        <f>IF(Imóveis!$F$5="PRICE",IF(AND(Dados!$A59&gt;=Imóveis!$Q$5,Dados!$A59&lt;=Imóveis!$T$5),Imóveis!$U$5,0),IF((IF(AND(Dados!$A59&gt;=Imóveis!$Q$5,Dados!$A59&lt;=Imóveis!$T$5),Imóveis!$S$5-(DATEDIF(Imóveis!$Q$5,Dados!$A59,"m")),0))=0,0,((Imóveis!$N$5/Imóveis!$S$5)+((Imóveis!$N$5-((Imóveis!$S$5-(IF(AND(Dados!$A59 &gt;=Imóveis!$Q$5,Dados!$A59&lt;=Imóveis!$T$5),Imóveis!$S$5-(DATEDIF(Imóveis!$Q$5,Dados!$A59,"m")),)))*(Imóveis!$N$5/Imóveis!$S$5)))*Imóveis!$P$5))))*IF(AND(Imóveis!$E$5&gt;0,Dados!$A59&gt;Imóveis!$E$5),0,1)*Imóveis!$I$5</f>
        <v>0</v>
      </c>
      <c r="M59" s="18">
        <f>IF(Imóveis!$F$6="PRICE",IF(AND(Dados!$A59&gt;=Imóveis!$Q$6,Dados!$A59&lt;=Imóveis!$T$6),Imóveis!$U$6,0),IF((IF(AND(Dados!$A59&gt;=Imóveis!$Q$6,Dados!$A59&lt;=Imóveis!$T$6),Imóveis!$S$6-(DATEDIF(Imóveis!$Q$6,Dados!$A59,"m")),0))=0,0,((Imóveis!$N$6/Imóveis!$S$6)+((Imóveis!$N$6-((Imóveis!$S$6-(IF(AND(Dados!$A59&gt;=Imóveis!$Q$6,Dados!$A59&lt;=Imóveis!$T$6),Imóveis!$S$6-(DATEDIF(Imóveis!$Q$6,Dados!$A59,"m")),)))*(Imóveis!$N$6/Imóveis!$S$6)))*Imóveis!$P$6))))*IF(AND(Imóveis!$E$6&gt;0,Dados!$A59&gt;Imóveis!$E$6),0,1)*Imóveis!$I$6</f>
        <v>0</v>
      </c>
      <c r="N59" s="18">
        <f t="shared" ca="1" si="3"/>
        <v>86051.37510558241</v>
      </c>
      <c r="O59" s="18">
        <f>SUMIFS(Receitas!$F:$F,Receitas!$J:$J,"&lt;="&amp;$A59,Receitas!$L:$L,"&gt;="&amp;$A59,Receitas!$C:$C,O$1,Receitas!$M:$M,"Mensal")+SUMIFS(Receitas!$F:$F,Receitas!$J:$J,"&lt;="&amp;$A59,Receitas!$L:$L,"&gt;="&amp;$A59,Receitas!$C:$C,O$1,Receitas!$M:$M,$B59)</f>
        <v>50000</v>
      </c>
      <c r="P59" s="18">
        <f>SUMIFS(Receitas!$F:$F,Receitas!$J:$J,"&lt;="&amp;$A59,Receitas!$L:$L,"&gt;="&amp;$A59,Receitas!$C:$C,P$1,Receitas!$M:$M,"Mensal")+SUMIFS(Receitas!$F:$F,Receitas!$J:$J,"&lt;="&amp;$A59,Receitas!$L:$L,"&gt;="&amp;$A59,Receitas!$C:$C,P$1,Receitas!$M:$M,$B59)</f>
        <v>20000</v>
      </c>
      <c r="Q59" s="18">
        <f ca="1">SUMIFS(Receitas!$F:$F,Receitas!$J:$J,"&lt;="&amp;$A59,Receitas!$L:$L,"&gt;="&amp;$A59,Receitas!$C:$C,Q$1,Receitas!$M:$M,"Mensal")+SUMIFS(Receitas!$F:$F,Receitas!$J:$J,"&lt;="&amp;$A59,Receitas!$L:$L,"&gt;="&amp;$A59,Receitas!$C:$C,Q$1,Receitas!$M:$M,$B59)</f>
        <v>15101.400000000001</v>
      </c>
      <c r="R59" s="18" cm="1">
        <f t="array" ref="R59">(IF(AND(Membros!$F$2="Sim",A59&lt;=MAX(Membros!$E$2:$E$5)),Membros!K$2,IF(AND(A59&gt;=Membros!J$2,A59&lt;=MAX(Membros!$E$2:$E$5)),Membros!K$2,0))+IF(AND(Membros!$F$3="Sim",A59&lt;=MAX(Membros!$E$2:$E$5)),Membros!K$3,IF(AND(A59&gt;=Membros!J$3,A59&lt;=MAX(Membros!$E$2:$E$5)),Membros!K$3,0)))*IF(AND(COUNTIFS(Tabela3[Tipo],"Provedor",Tabela3[Simulação Seguro],"Sim")=2,A59&gt;=MAX(IF(Tabela3[Tipo]="Dependente",Tabela3[Expectativa de Vida (Data)]))),0,1)</f>
        <v>0</v>
      </c>
      <c r="S59" s="18">
        <f t="shared" ca="1" si="4"/>
        <v>85101.4</v>
      </c>
      <c r="U59" s="18">
        <f t="shared" ca="1" si="7"/>
        <v>5008669.9088929361</v>
      </c>
      <c r="V59" s="18">
        <f>SUMIF(Imóveis!E:E,Dados!A:A,Imóveis!Z:Z)-SUMIF(Imóveis!E:E,Dados!A:A,Imóveis!Y:Y)</f>
        <v>0</v>
      </c>
      <c r="W59" s="18">
        <f>-SUMIF(Projetos!N:N,A59,Projetos!F:F)</f>
        <v>0</v>
      </c>
      <c r="X59" s="18">
        <f t="shared" ca="1" si="0"/>
        <v>-949.97510558241629</v>
      </c>
      <c r="Y59" s="26">
        <f ca="1">(U59*((Indicadores_Economicos!D$2+1)^(1/12)-1))</f>
        <v>16397.081936645416</v>
      </c>
      <c r="Z59" s="18">
        <f t="shared" ca="1" si="5"/>
        <v>5024117.0157239987</v>
      </c>
      <c r="AA59" s="18">
        <f ca="1">Auxiliar_Projetos!E59</f>
        <v>236033.63623329837</v>
      </c>
      <c r="AB59" s="18">
        <f ca="1">Auxiliar_Projetos!K59</f>
        <v>347120.19574035518</v>
      </c>
      <c r="AC59" s="18">
        <f ca="1">IF(Z59-AA59-AB59&gt;Investimentos!$C$14,Investimentos!$C$14,IF(Z59-AA59-AB59&lt;Investimentos!$C$14,Z59-AA59-AB59,0))</f>
        <v>300000</v>
      </c>
      <c r="AD59" s="18">
        <f t="shared" ca="1" si="6"/>
        <v>4140963.1837503454</v>
      </c>
      <c r="AE59" s="18"/>
    </row>
    <row r="60" spans="1:31" x14ac:dyDescent="0.2">
      <c r="A60" s="4">
        <v>47423</v>
      </c>
      <c r="B60" s="5" t="str">
        <f t="shared" si="1"/>
        <v>novembro</v>
      </c>
      <c r="C60" s="5" t="str">
        <f t="shared" si="9"/>
        <v>2029</v>
      </c>
      <c r="D60" s="5">
        <f>SUMIFS(Despesas!$F:$F,Despesas!$J:$J,"&lt;="&amp;$A60,Despesas!$L:$L,"&gt;="&amp;$A60,Despesas!$C:$C,D$1,Despesas!$M:$M,"Mensal")+SUMIFS(Despesas!$F:$F,Despesas!$J:$J,"&lt;="&amp;$A60,Despesas!$L:$L,"&gt;="&amp;$A60,Despesas!$C:$C,D$1,Despesas!$M:$M,$B60)</f>
        <v>23000</v>
      </c>
      <c r="E60" s="18">
        <f>SUMIFS(Despesas!$F:$F,Despesas!$J:$J,"&lt;="&amp;$A60,Despesas!$L:$L,"&gt;="&amp;$A60,Despesas!$C:$C,E$1,Despesas!$M:$M,"Mensal")+SUMIFS(Despesas!$F:$F,Despesas!$J:$J,"&lt;="&amp;$A60,Despesas!$L:$L,"&gt;="&amp;$A60,Despesas!$C:$C,E$1,Despesas!$M:$M,$B60)</f>
        <v>18000</v>
      </c>
      <c r="F60" s="5">
        <f>SUMIFS(Despesas!$F:$F,Despesas!$J:$J,"&lt;="&amp;$A60,Despesas!$L:$L,"&gt;="&amp;$A60,Despesas!$C:$C,F$1,Despesas!$M:$M,"Mensal")+SUMIFS(Despesas!$F:$F,Despesas!$J:$J,"&lt;="&amp;$A60,Despesas!$L:$L,"&gt;="&amp;$A60,Despesas!$C:$C,F$1,Despesas!$M:$M,$B60)</f>
        <v>13000</v>
      </c>
      <c r="G60" s="5">
        <f>SUMIFS(Despesas!$F:$F,Despesas!$J:$J,"&lt;="&amp;$A60,Despesas!$L:$L,"&gt;="&amp;$A60,Despesas!$C:$C,G$1,Despesas!$M:$M,"Mensal")+SUMIFS(Despesas!$F:$F,Despesas!$J:$J,"&lt;="&amp;$A60,Despesas!$L:$L,"&gt;="&amp;$A60,Despesas!$C:$C,G$1,Despesas!$M:$M,$B60)</f>
        <v>0</v>
      </c>
      <c r="H60" s="18">
        <f ca="1">SUMIFS(Despesas!$F:$F,Despesas!$J:$J,"&lt;="&amp;$A60,Despesas!$L:$L,"&gt;="&amp;$A60,Despesas!$C:$C,H$1,Despesas!$M:$M,"Mensal")+SUMIFS(Despesas!$F:$F,Despesas!$J:$J,"&lt;="&amp;$A60,Despesas!$L:$L,"&gt;="&amp;$A60,Despesas!$C:$C,H$1,Despesas!$M:$M,$B60)</f>
        <v>2686.355</v>
      </c>
      <c r="I60" s="18">
        <f>IF(Imóveis!$F$2="PRICE",IF(AND(Dados!$A60&gt;=Imóveis!$Q$2,Dados!$A60&lt;=Imóveis!$T$2),Imóveis!$U$2,0),IF((IF(AND(Dados!$A60&gt;=Imóveis!$Q$2,Dados!$A60&lt;=Imóveis!$T$2),Imóveis!$S$2-(DATEDIF(Imóveis!$Q$2,Dados!$A60,"m")),0))=0,0,((Imóveis!$N$2/Imóveis!$S$2)+((Imóveis!$N$2-((Imóveis!$S$2-(IF(AND(Dados!$A60&gt;=Imóveis!$Q$2,Dados!$A60&lt;=Imóveis!$T$2),Imóveis!$S$2-(DATEDIF(Imóveis!$Q$2,Dados!$A60,"m")),)))*(Imóveis!$N$2/Imóveis!$S$2)))*Imóveis!$P$2))))*IF(AND(Imóveis!$E$2&gt;0,Dados!$A60&gt;Imóveis!$E$2),0,1)</f>
        <v>15344.351029204239</v>
      </c>
      <c r="J60" s="18">
        <f ca="1">IF(Imóveis!$F$3="PRICE",IF(AND(Dados!$A60&gt;=Imóveis!$Q$3,Dados!$A60&lt;=Imóveis!$T$3),Imóveis!$U$3,0),IF((IF(AND(Dados!$A60&gt;=Imóveis!$Q$3,Dados!$A60&lt;=Imóveis!$T$3),Imóveis!$S$3-(DATEDIF(Imóveis!$Q$3,Dados!$A60,"m")),0))=0,0,((Imóveis!$N$3/Imóveis!$S$3)+((Imóveis!$N$3-((Imóveis!$S$3-(IF(AND(Dados!$A60&gt;=Imóveis!$Q$3,Dados!$A60&lt;=Imóveis!$T$3),Imóveis!$S$3-(DATEDIF(Imóveis!$Q$3,Dados!$A60,"m")),)))*(Imóveis!$N$3/Imóveis!$S$3)))*Imóveis!$P$3))))*IF(AND(Imóveis!$E$3&gt;0,Dados!$A60&gt;Imóveis!$E$3),0,1)</f>
        <v>9314.6986248807771</v>
      </c>
      <c r="K60" s="18">
        <f>IF(Imóveis!$F$4="PRICE",IF(AND(Dados!$A60&gt;=Imóveis!$Q$4,Dados!$A60&lt;=Imóveis!$T$4),Imóveis!$U$4,0),IF((IF(AND(Dados!$A60&gt;=Imóveis!$Q$4,Dados!$A60&lt;=Imóveis!$T$4),Imóveis!$S$4-(DATEDIF(Imóveis!$Q$4,Dados!$A60,"m")),0))=0,0,((Imóveis!$N$4/Imóveis!$S$4)+((Imóveis!$N$4-((Imóveis!$S$4-(IF(AND(Dados!$A60&gt;=Imóveis!$Q$4,Dados!$A60&lt;=Imóveis!$T$4),Imóveis!$S$4-(DATEDIF(Imóveis!$Q$4,Dados!$A60,"m")),)))*(Imóveis!$N$4/Imóveis!$S$4)))*Imóveis!$P$4))))*IF(AND(Imóveis!$E$4&gt;0,Dados!$A60&gt;Imóveis!$E$4),0,1)</f>
        <v>4643.949359272583</v>
      </c>
      <c r="L60" s="18">
        <f>IF(Imóveis!$F$5="PRICE",IF(AND(Dados!$A60&gt;=Imóveis!$Q$5,Dados!$A60&lt;=Imóveis!$T$5),Imóveis!$U$5,0),IF((IF(AND(Dados!$A60&gt;=Imóveis!$Q$5,Dados!$A60&lt;=Imóveis!$T$5),Imóveis!$S$5-(DATEDIF(Imóveis!$Q$5,Dados!$A60,"m")),0))=0,0,((Imóveis!$N$5/Imóveis!$S$5)+((Imóveis!$N$5-((Imóveis!$S$5-(IF(AND(Dados!$A60 &gt;=Imóveis!$Q$5,Dados!$A60&lt;=Imóveis!$T$5),Imóveis!$S$5-(DATEDIF(Imóveis!$Q$5,Dados!$A60,"m")),)))*(Imóveis!$N$5/Imóveis!$S$5)))*Imóveis!$P$5))))*IF(AND(Imóveis!$E$5&gt;0,Dados!$A60&gt;Imóveis!$E$5),0,1)*Imóveis!$I$5</f>
        <v>0</v>
      </c>
      <c r="M60" s="18">
        <f>IF(Imóveis!$F$6="PRICE",IF(AND(Dados!$A60&gt;=Imóveis!$Q$6,Dados!$A60&lt;=Imóveis!$T$6),Imóveis!$U$6,0),IF((IF(AND(Dados!$A60&gt;=Imóveis!$Q$6,Dados!$A60&lt;=Imóveis!$T$6),Imóveis!$S$6-(DATEDIF(Imóveis!$Q$6,Dados!$A60,"m")),0))=0,0,((Imóveis!$N$6/Imóveis!$S$6)+((Imóveis!$N$6-((Imóveis!$S$6-(IF(AND(Dados!$A60&gt;=Imóveis!$Q$6,Dados!$A60&lt;=Imóveis!$T$6),Imóveis!$S$6-(DATEDIF(Imóveis!$Q$6,Dados!$A60,"m")),)))*(Imóveis!$N$6/Imóveis!$S$6)))*Imóveis!$P$6))))*IF(AND(Imóveis!$E$6&gt;0,Dados!$A60&gt;Imóveis!$E$6),0,1)*Imóveis!$I$6</f>
        <v>0</v>
      </c>
      <c r="N60" s="18">
        <f t="shared" ca="1" si="3"/>
        <v>85989.354013357603</v>
      </c>
      <c r="O60" s="18">
        <f>SUMIFS(Receitas!$F:$F,Receitas!$J:$J,"&lt;="&amp;$A60,Receitas!$L:$L,"&gt;="&amp;$A60,Receitas!$C:$C,O$1,Receitas!$M:$M,"Mensal")+SUMIFS(Receitas!$F:$F,Receitas!$J:$J,"&lt;="&amp;$A60,Receitas!$L:$L,"&gt;="&amp;$A60,Receitas!$C:$C,O$1,Receitas!$M:$M,$B60)</f>
        <v>50000</v>
      </c>
      <c r="P60" s="18">
        <f>SUMIFS(Receitas!$F:$F,Receitas!$J:$J,"&lt;="&amp;$A60,Receitas!$L:$L,"&gt;="&amp;$A60,Receitas!$C:$C,P$1,Receitas!$M:$M,"Mensal")+SUMIFS(Receitas!$F:$F,Receitas!$J:$J,"&lt;="&amp;$A60,Receitas!$L:$L,"&gt;="&amp;$A60,Receitas!$C:$C,P$1,Receitas!$M:$M,$B60)</f>
        <v>86666.666666666672</v>
      </c>
      <c r="Q60" s="18">
        <f ca="1">SUMIFS(Receitas!$F:$F,Receitas!$J:$J,"&lt;="&amp;$A60,Receitas!$L:$L,"&gt;="&amp;$A60,Receitas!$C:$C,Q$1,Receitas!$M:$M,"Mensal")+SUMIFS(Receitas!$F:$F,Receitas!$J:$J,"&lt;="&amp;$A60,Receitas!$L:$L,"&gt;="&amp;$A60,Receitas!$C:$C,Q$1,Receitas!$M:$M,$B60)</f>
        <v>15101.400000000001</v>
      </c>
      <c r="R60" s="18" cm="1">
        <f t="array" ref="R60">(IF(AND(Membros!$F$2="Sim",A60&lt;=MAX(Membros!$E$2:$E$5)),Membros!K$2,IF(AND(A60&gt;=Membros!J$2,A60&lt;=MAX(Membros!$E$2:$E$5)),Membros!K$2,0))+IF(AND(Membros!$F$3="Sim",A60&lt;=MAX(Membros!$E$2:$E$5)),Membros!K$3,IF(AND(A60&gt;=Membros!J$3,A60&lt;=MAX(Membros!$E$2:$E$5)),Membros!K$3,0)))*IF(AND(COUNTIFS(Tabela3[Tipo],"Provedor",Tabela3[Simulação Seguro],"Sim")=2,A60&gt;=MAX(IF(Tabela3[Tipo]="Dependente",Tabela3[Expectativa de Vida (Data)]))),0,1)</f>
        <v>0</v>
      </c>
      <c r="S60" s="18">
        <f t="shared" ca="1" si="4"/>
        <v>151768.06666666668</v>
      </c>
      <c r="U60" s="18">
        <f t="shared" ca="1" si="7"/>
        <v>5024117.0157239987</v>
      </c>
      <c r="V60" s="18">
        <f>SUMIF(Imóveis!E:E,Dados!A:A,Imóveis!Z:Z)-SUMIF(Imóveis!E:E,Dados!A:A,Imóveis!Y:Y)</f>
        <v>0</v>
      </c>
      <c r="W60" s="18">
        <f>-SUMIF(Projetos!N:N,A60,Projetos!F:F)</f>
        <v>0</v>
      </c>
      <c r="X60" s="18">
        <f t="shared" ca="1" si="0"/>
        <v>65778.712653309078</v>
      </c>
      <c r="Y60" s="26">
        <f ca="1">(U60*((Indicadores_Economicos!D$2+1)^(1/12)-1))</f>
        <v>16447.651744798142</v>
      </c>
      <c r="Z60" s="18">
        <f t="shared" ca="1" si="5"/>
        <v>5106343.3801221056</v>
      </c>
      <c r="AA60" s="18">
        <f ca="1">Auxiliar_Projetos!E60</f>
        <v>236806.34893817239</v>
      </c>
      <c r="AB60" s="18">
        <f ca="1">Auxiliar_Projetos!K60</f>
        <v>348256.57693435508</v>
      </c>
      <c r="AC60" s="18">
        <f ca="1">IF(Z60-AA60-AB60&gt;Investimentos!$C$14,Investimentos!$C$14,IF(Z60-AA60-AB60&lt;Investimentos!$C$14,Z60-AA60-AB60,0))</f>
        <v>300000</v>
      </c>
      <c r="AD60" s="18">
        <f t="shared" ca="1" si="6"/>
        <v>4221280.4542495776</v>
      </c>
      <c r="AE60" s="18"/>
    </row>
    <row r="61" spans="1:31" x14ac:dyDescent="0.2">
      <c r="A61" s="4">
        <v>47453</v>
      </c>
      <c r="B61" s="5" t="str">
        <f t="shared" si="1"/>
        <v>dezembro</v>
      </c>
      <c r="C61" s="5" t="str">
        <f t="shared" si="9"/>
        <v>2029</v>
      </c>
      <c r="D61" s="5">
        <f>SUMIFS(Despesas!$F:$F,Despesas!$J:$J,"&lt;="&amp;$A61,Despesas!$L:$L,"&gt;="&amp;$A61,Despesas!$C:$C,D$1,Despesas!$M:$M,"Mensal")+SUMIFS(Despesas!$F:$F,Despesas!$J:$J,"&lt;="&amp;$A61,Despesas!$L:$L,"&gt;="&amp;$A61,Despesas!$C:$C,D$1,Despesas!$M:$M,$B61)</f>
        <v>23000</v>
      </c>
      <c r="E61" s="18">
        <f>SUMIFS(Despesas!$F:$F,Despesas!$J:$J,"&lt;="&amp;$A61,Despesas!$L:$L,"&gt;="&amp;$A61,Despesas!$C:$C,E$1,Despesas!$M:$M,"Mensal")+SUMIFS(Despesas!$F:$F,Despesas!$J:$J,"&lt;="&amp;$A61,Despesas!$L:$L,"&gt;="&amp;$A61,Despesas!$C:$C,E$1,Despesas!$M:$M,$B61)</f>
        <v>18000</v>
      </c>
      <c r="F61" s="5">
        <f>SUMIFS(Despesas!$F:$F,Despesas!$J:$J,"&lt;="&amp;$A61,Despesas!$L:$L,"&gt;="&amp;$A61,Despesas!$C:$C,F$1,Despesas!$M:$M,"Mensal")+SUMIFS(Despesas!$F:$F,Despesas!$J:$J,"&lt;="&amp;$A61,Despesas!$L:$L,"&gt;="&amp;$A61,Despesas!$C:$C,F$1,Despesas!$M:$M,$B61)</f>
        <v>13000</v>
      </c>
      <c r="G61" s="5">
        <f ca="1">SUMIFS(Despesas!$F:$F,Despesas!$J:$J,"&lt;="&amp;$A61,Despesas!$L:$L,"&gt;="&amp;$A61,Despesas!$C:$C,G$1,Despesas!$M:$M,"Mensal")+SUMIFS(Despesas!$F:$F,Despesas!$J:$J,"&lt;="&amp;$A61,Despesas!$L:$L,"&gt;="&amp;$A61,Despesas!$C:$C,G$1,Despesas!$M:$M,$B61)</f>
        <v>55757</v>
      </c>
      <c r="H61" s="18">
        <f ca="1">SUMIFS(Despesas!$F:$F,Despesas!$J:$J,"&lt;="&amp;$A61,Despesas!$L:$L,"&gt;="&amp;$A61,Despesas!$C:$C,H$1,Despesas!$M:$M,"Mensal")+SUMIFS(Despesas!$F:$F,Despesas!$J:$J,"&lt;="&amp;$A61,Despesas!$L:$L,"&gt;="&amp;$A61,Despesas!$C:$C,H$1,Despesas!$M:$M,$B61)</f>
        <v>2686.355</v>
      </c>
      <c r="I61" s="18">
        <f>IF(Imóveis!$F$2="PRICE",IF(AND(Dados!$A61&gt;=Imóveis!$Q$2,Dados!$A61&lt;=Imóveis!$T$2),Imóveis!$U$2,0),IF((IF(AND(Dados!$A61&gt;=Imóveis!$Q$2,Dados!$A61&lt;=Imóveis!$T$2),Imóveis!$S$2-(DATEDIF(Imóveis!$Q$2,Dados!$A61,"m")),0))=0,0,((Imóveis!$N$2/Imóveis!$S$2)+((Imóveis!$N$2-((Imóveis!$S$2-(IF(AND(Dados!$A61&gt;=Imóveis!$Q$2,Dados!$A61&lt;=Imóveis!$T$2),Imóveis!$S$2-(DATEDIF(Imóveis!$Q$2,Dados!$A61,"m")),)))*(Imóveis!$N$2/Imóveis!$S$2)))*Imóveis!$P$2))))*IF(AND(Imóveis!$E$2&gt;0,Dados!$A61&gt;Imóveis!$E$2),0,1)</f>
        <v>15282.329936979431</v>
      </c>
      <c r="J61" s="18">
        <f ca="1">IF(Imóveis!$F$3="PRICE",IF(AND(Dados!$A61&gt;=Imóveis!$Q$3,Dados!$A61&lt;=Imóveis!$T$3),Imóveis!$U$3,0),IF((IF(AND(Dados!$A61&gt;=Imóveis!$Q$3,Dados!$A61&lt;=Imóveis!$T$3),Imóveis!$S$3-(DATEDIF(Imóveis!$Q$3,Dados!$A61,"m")),0))=0,0,((Imóveis!$N$3/Imóveis!$S$3)+((Imóveis!$N$3-((Imóveis!$S$3-(IF(AND(Dados!$A61&gt;=Imóveis!$Q$3,Dados!$A61&lt;=Imóveis!$T$3),Imóveis!$S$3-(DATEDIF(Imóveis!$Q$3,Dados!$A61,"m")),)))*(Imóveis!$N$3/Imóveis!$S$3)))*Imóveis!$P$3))))*IF(AND(Imóveis!$E$3&gt;0,Dados!$A61&gt;Imóveis!$E$3),0,1)</f>
        <v>9314.6986248807771</v>
      </c>
      <c r="K61" s="18">
        <f>IF(Imóveis!$F$4="PRICE",IF(AND(Dados!$A61&gt;=Imóveis!$Q$4,Dados!$A61&lt;=Imóveis!$T$4),Imóveis!$U$4,0),IF((IF(AND(Dados!$A61&gt;=Imóveis!$Q$4,Dados!$A61&lt;=Imóveis!$T$4),Imóveis!$S$4-(DATEDIF(Imóveis!$Q$4,Dados!$A61,"m")),0))=0,0,((Imóveis!$N$4/Imóveis!$S$4)+((Imóveis!$N$4-((Imóveis!$S$4-(IF(AND(Dados!$A61&gt;=Imóveis!$Q$4,Dados!$A61&lt;=Imóveis!$T$4),Imóveis!$S$4-(DATEDIF(Imóveis!$Q$4,Dados!$A61,"m")),)))*(Imóveis!$N$4/Imóveis!$S$4)))*Imóveis!$P$4))))*IF(AND(Imóveis!$E$4&gt;0,Dados!$A61&gt;Imóveis!$E$4),0,1)</f>
        <v>4643.949359272583</v>
      </c>
      <c r="L61" s="18">
        <f>IF(Imóveis!$F$5="PRICE",IF(AND(Dados!$A61&gt;=Imóveis!$Q$5,Dados!$A61&lt;=Imóveis!$T$5),Imóveis!$U$5,0),IF((IF(AND(Dados!$A61&gt;=Imóveis!$Q$5,Dados!$A61&lt;=Imóveis!$T$5),Imóveis!$S$5-(DATEDIF(Imóveis!$Q$5,Dados!$A61,"m")),0))=0,0,((Imóveis!$N$5/Imóveis!$S$5)+((Imóveis!$N$5-((Imóveis!$S$5-(IF(AND(Dados!$A61 &gt;=Imóveis!$Q$5,Dados!$A61&lt;=Imóveis!$T$5),Imóveis!$S$5-(DATEDIF(Imóveis!$Q$5,Dados!$A61,"m")),)))*(Imóveis!$N$5/Imóveis!$S$5)))*Imóveis!$P$5))))*IF(AND(Imóveis!$E$5&gt;0,Dados!$A61&gt;Imóveis!$E$5),0,1)*Imóveis!$I$5</f>
        <v>0</v>
      </c>
      <c r="M61" s="18">
        <f>IF(Imóveis!$F$6="PRICE",IF(AND(Dados!$A61&gt;=Imóveis!$Q$6,Dados!$A61&lt;=Imóveis!$T$6),Imóveis!$U$6,0),IF((IF(AND(Dados!$A61&gt;=Imóveis!$Q$6,Dados!$A61&lt;=Imóveis!$T$6),Imóveis!$S$6-(DATEDIF(Imóveis!$Q$6,Dados!$A61,"m")),0))=0,0,((Imóveis!$N$6/Imóveis!$S$6)+((Imóveis!$N$6-((Imóveis!$S$6-(IF(AND(Dados!$A61&gt;=Imóveis!$Q$6,Dados!$A61&lt;=Imóveis!$T$6),Imóveis!$S$6-(DATEDIF(Imóveis!$Q$6,Dados!$A61,"m")),)))*(Imóveis!$N$6/Imóveis!$S$6)))*Imóveis!$P$6))))*IF(AND(Imóveis!$E$6&gt;0,Dados!$A61&gt;Imóveis!$E$6),0,1)*Imóveis!$I$6</f>
        <v>0</v>
      </c>
      <c r="N61" s="18">
        <f t="shared" ca="1" si="3"/>
        <v>141684.33292113277</v>
      </c>
      <c r="O61" s="18">
        <f>SUMIFS(Receitas!$F:$F,Receitas!$J:$J,"&lt;="&amp;$A61,Receitas!$L:$L,"&gt;="&amp;$A61,Receitas!$C:$C,O$1,Receitas!$M:$M,"Mensal")+SUMIFS(Receitas!$F:$F,Receitas!$J:$J,"&lt;="&amp;$A61,Receitas!$L:$L,"&gt;="&amp;$A61,Receitas!$C:$C,O$1,Receitas!$M:$M,$B61)</f>
        <v>50000</v>
      </c>
      <c r="P61" s="18">
        <f>SUMIFS(Receitas!$F:$F,Receitas!$J:$J,"&lt;="&amp;$A61,Receitas!$L:$L,"&gt;="&amp;$A61,Receitas!$C:$C,P$1,Receitas!$M:$M,"Mensal")+SUMIFS(Receitas!$F:$F,Receitas!$J:$J,"&lt;="&amp;$A61,Receitas!$L:$L,"&gt;="&amp;$A61,Receitas!$C:$C,P$1,Receitas!$M:$M,$B61)</f>
        <v>20000</v>
      </c>
      <c r="Q61" s="18">
        <f ca="1">SUMIFS(Receitas!$F:$F,Receitas!$J:$J,"&lt;="&amp;$A61,Receitas!$L:$L,"&gt;="&amp;$A61,Receitas!$C:$C,Q$1,Receitas!$M:$M,"Mensal")+SUMIFS(Receitas!$F:$F,Receitas!$J:$J,"&lt;="&amp;$A61,Receitas!$L:$L,"&gt;="&amp;$A61,Receitas!$C:$C,Q$1,Receitas!$M:$M,$B61)</f>
        <v>15101.400000000001</v>
      </c>
      <c r="R61" s="18" cm="1">
        <f t="array" ref="R61">(IF(AND(Membros!$F$2="Sim",A61&lt;=MAX(Membros!$E$2:$E$5)),Membros!K$2,IF(AND(A61&gt;=Membros!J$2,A61&lt;=MAX(Membros!$E$2:$E$5)),Membros!K$2,0))+IF(AND(Membros!$F$3="Sim",A61&lt;=MAX(Membros!$E$2:$E$5)),Membros!K$3,IF(AND(A61&gt;=Membros!J$3,A61&lt;=MAX(Membros!$E$2:$E$5)),Membros!K$3,0)))*IF(AND(COUNTIFS(Tabela3[Tipo],"Provedor",Tabela3[Simulação Seguro],"Sim")=2,A61&gt;=MAX(IF(Tabela3[Tipo]="Dependente",Tabela3[Expectativa de Vida (Data)]))),0,1)</f>
        <v>0</v>
      </c>
      <c r="S61" s="18">
        <f t="shared" ca="1" si="4"/>
        <v>85101.4</v>
      </c>
      <c r="U61" s="18">
        <f t="shared" ca="1" si="7"/>
        <v>5106343.3801221056</v>
      </c>
      <c r="V61" s="18">
        <f>SUMIF(Imóveis!E:E,Dados!A:A,Imóveis!Z:Z)-SUMIF(Imóveis!E:E,Dados!A:A,Imóveis!Y:Y)</f>
        <v>0</v>
      </c>
      <c r="W61" s="18">
        <f>-SUMIF(Projetos!N:N,A61,Projetos!F:F)</f>
        <v>0</v>
      </c>
      <c r="X61" s="18">
        <f t="shared" ca="1" si="0"/>
        <v>-56582.932921132771</v>
      </c>
      <c r="Y61" s="26">
        <f ca="1">(U61*((Indicadores_Economicos!D$2+1)^(1/12)-1))</f>
        <v>16716.839465073812</v>
      </c>
      <c r="Z61" s="18">
        <f t="shared" ca="1" si="5"/>
        <v>5066477.2866660468</v>
      </c>
      <c r="AA61" s="18">
        <f ca="1">Auxiliar_Projetos!E61</f>
        <v>237581.59130336856</v>
      </c>
      <c r="AB61" s="18">
        <f ca="1">Auxiliar_Projetos!K61</f>
        <v>349396.67834467749</v>
      </c>
      <c r="AC61" s="18">
        <f ca="1">IF(Z61-AA61-AB61&gt;Investimentos!$C$14,Investimentos!$C$14,IF(Z61-AA61-AB61&lt;Investimentos!$C$14,Z61-AA61-AB61,0))</f>
        <v>300000</v>
      </c>
      <c r="AD61" s="18">
        <f t="shared" ca="1" si="6"/>
        <v>4179499.0170180006</v>
      </c>
      <c r="AE61" s="18"/>
    </row>
    <row r="62" spans="1:31" x14ac:dyDescent="0.2">
      <c r="A62" s="4">
        <v>47484</v>
      </c>
      <c r="B62" s="5" t="str">
        <f t="shared" si="1"/>
        <v>janeiro</v>
      </c>
      <c r="C62" s="5" t="str">
        <f t="shared" si="9"/>
        <v>2030</v>
      </c>
      <c r="D62" s="5">
        <f>SUMIFS(Despesas!$F:$F,Despesas!$J:$J,"&lt;="&amp;$A62,Despesas!$L:$L,"&gt;="&amp;$A62,Despesas!$C:$C,D$1,Despesas!$M:$M,"Mensal")+SUMIFS(Despesas!$F:$F,Despesas!$J:$J,"&lt;="&amp;$A62,Despesas!$L:$L,"&gt;="&amp;$A62,Despesas!$C:$C,D$1,Despesas!$M:$M,$B62)</f>
        <v>23000</v>
      </c>
      <c r="E62" s="18">
        <f ca="1">SUMIFS(Despesas!$F:$F,Despesas!$J:$J,"&lt;="&amp;$A62,Despesas!$L:$L,"&gt;="&amp;$A62,Despesas!$C:$C,E$1,Despesas!$M:$M,"Mensal")+SUMIFS(Despesas!$F:$F,Despesas!$J:$J,"&lt;="&amp;$A62,Despesas!$L:$L,"&gt;="&amp;$A62,Despesas!$C:$C,E$1,Despesas!$M:$M,$B62)</f>
        <v>22151.4</v>
      </c>
      <c r="F62" s="5">
        <f>SUMIFS(Despesas!$F:$F,Despesas!$J:$J,"&lt;="&amp;$A62,Despesas!$L:$L,"&gt;="&amp;$A62,Despesas!$C:$C,F$1,Despesas!$M:$M,"Mensal")+SUMIFS(Despesas!$F:$F,Despesas!$J:$J,"&lt;="&amp;$A62,Despesas!$L:$L,"&gt;="&amp;$A62,Despesas!$C:$C,F$1,Despesas!$M:$M,$B62)</f>
        <v>13000</v>
      </c>
      <c r="G62" s="5">
        <f>SUMIFS(Despesas!$F:$F,Despesas!$J:$J,"&lt;="&amp;$A62,Despesas!$L:$L,"&gt;="&amp;$A62,Despesas!$C:$C,G$1,Despesas!$M:$M,"Mensal")+SUMIFS(Despesas!$F:$F,Despesas!$J:$J,"&lt;="&amp;$A62,Despesas!$L:$L,"&gt;="&amp;$A62,Despesas!$C:$C,G$1,Despesas!$M:$M,$B62)</f>
        <v>0</v>
      </c>
      <c r="H62" s="18">
        <f ca="1">SUMIFS(Despesas!$F:$F,Despesas!$J:$J,"&lt;="&amp;$A62,Despesas!$L:$L,"&gt;="&amp;$A62,Despesas!$C:$C,H$1,Despesas!$M:$M,"Mensal")+SUMIFS(Despesas!$F:$F,Despesas!$J:$J,"&lt;="&amp;$A62,Despesas!$L:$L,"&gt;="&amp;$A62,Despesas!$C:$C,H$1,Despesas!$M:$M,$B62)</f>
        <v>2686.355</v>
      </c>
      <c r="I62" s="18">
        <f>IF(Imóveis!$F$2="PRICE",IF(AND(Dados!$A62&gt;=Imóveis!$Q$2,Dados!$A62&lt;=Imóveis!$T$2),Imóveis!$U$2,0),IF((IF(AND(Dados!$A62&gt;=Imóveis!$Q$2,Dados!$A62&lt;=Imóveis!$T$2),Imóveis!$S$2-(DATEDIF(Imóveis!$Q$2,Dados!$A62,"m")),0))=0,0,((Imóveis!$N$2/Imóveis!$S$2)+((Imóveis!$N$2-((Imóveis!$S$2-(IF(AND(Dados!$A62&gt;=Imóveis!$Q$2,Dados!$A62&lt;=Imóveis!$T$2),Imóveis!$S$2-(DATEDIF(Imóveis!$Q$2,Dados!$A62,"m")),)))*(Imóveis!$N$2/Imóveis!$S$2)))*Imóveis!$P$2))))*IF(AND(Imóveis!$E$2&gt;0,Dados!$A62&gt;Imóveis!$E$2),0,1)</f>
        <v>15220.308844754625</v>
      </c>
      <c r="J62" s="18">
        <f ca="1">IF(Imóveis!$F$3="PRICE",IF(AND(Dados!$A62&gt;=Imóveis!$Q$3,Dados!$A62&lt;=Imóveis!$T$3),Imóveis!$U$3,0),IF((IF(AND(Dados!$A62&gt;=Imóveis!$Q$3,Dados!$A62&lt;=Imóveis!$T$3),Imóveis!$S$3-(DATEDIF(Imóveis!$Q$3,Dados!$A62,"m")),0))=0,0,((Imóveis!$N$3/Imóveis!$S$3)+((Imóveis!$N$3-((Imóveis!$S$3-(IF(AND(Dados!$A62&gt;=Imóveis!$Q$3,Dados!$A62&lt;=Imóveis!$T$3),Imóveis!$S$3-(DATEDIF(Imóveis!$Q$3,Dados!$A62,"m")),)))*(Imóveis!$N$3/Imóveis!$S$3)))*Imóveis!$P$3))))*IF(AND(Imóveis!$E$3&gt;0,Dados!$A62&gt;Imóveis!$E$3),0,1)</f>
        <v>9314.6986248807771</v>
      </c>
      <c r="K62" s="18">
        <f>IF(Imóveis!$F$4="PRICE",IF(AND(Dados!$A62&gt;=Imóveis!$Q$4,Dados!$A62&lt;=Imóveis!$T$4),Imóveis!$U$4,0),IF((IF(AND(Dados!$A62&gt;=Imóveis!$Q$4,Dados!$A62&lt;=Imóveis!$T$4),Imóveis!$S$4-(DATEDIF(Imóveis!$Q$4,Dados!$A62,"m")),0))=0,0,((Imóveis!$N$4/Imóveis!$S$4)+((Imóveis!$N$4-((Imóveis!$S$4-(IF(AND(Dados!$A62&gt;=Imóveis!$Q$4,Dados!$A62&lt;=Imóveis!$T$4),Imóveis!$S$4-(DATEDIF(Imóveis!$Q$4,Dados!$A62,"m")),)))*(Imóveis!$N$4/Imóveis!$S$4)))*Imóveis!$P$4))))*IF(AND(Imóveis!$E$4&gt;0,Dados!$A62&gt;Imóveis!$E$4),0,1)</f>
        <v>4643.949359272583</v>
      </c>
      <c r="L62" s="18">
        <f>IF(Imóveis!$F$5="PRICE",IF(AND(Dados!$A62&gt;=Imóveis!$Q$5,Dados!$A62&lt;=Imóveis!$T$5),Imóveis!$U$5,0),IF((IF(AND(Dados!$A62&gt;=Imóveis!$Q$5,Dados!$A62&lt;=Imóveis!$T$5),Imóveis!$S$5-(DATEDIF(Imóveis!$Q$5,Dados!$A62,"m")),0))=0,0,((Imóveis!$N$5/Imóveis!$S$5)+((Imóveis!$N$5-((Imóveis!$S$5-(IF(AND(Dados!$A62 &gt;=Imóveis!$Q$5,Dados!$A62&lt;=Imóveis!$T$5),Imóveis!$S$5-(DATEDIF(Imóveis!$Q$5,Dados!$A62,"m")),)))*(Imóveis!$N$5/Imóveis!$S$5)))*Imóveis!$P$5))))*IF(AND(Imóveis!$E$5&gt;0,Dados!$A62&gt;Imóveis!$E$5),0,1)*Imóveis!$I$5</f>
        <v>0</v>
      </c>
      <c r="M62" s="18">
        <f>IF(Imóveis!$F$6="PRICE",IF(AND(Dados!$A62&gt;=Imóveis!$Q$6,Dados!$A62&lt;=Imóveis!$T$6),Imóveis!$U$6,0),IF((IF(AND(Dados!$A62&gt;=Imóveis!$Q$6,Dados!$A62&lt;=Imóveis!$T$6),Imóveis!$S$6-(DATEDIF(Imóveis!$Q$6,Dados!$A62,"m")),0))=0,0,((Imóveis!$N$6/Imóveis!$S$6)+((Imóveis!$N$6-((Imóveis!$S$6-(IF(AND(Dados!$A62&gt;=Imóveis!$Q$6,Dados!$A62&lt;=Imóveis!$T$6),Imóveis!$S$6-(DATEDIF(Imóveis!$Q$6,Dados!$A62,"m")),)))*(Imóveis!$N$6/Imóveis!$S$6)))*Imóveis!$P$6))))*IF(AND(Imóveis!$E$6&gt;0,Dados!$A62&gt;Imóveis!$E$6),0,1)*Imóveis!$I$6</f>
        <v>0</v>
      </c>
      <c r="N62" s="18">
        <f t="shared" ca="1" si="3"/>
        <v>90016.711828907981</v>
      </c>
      <c r="O62" s="18">
        <f>SUMIFS(Receitas!$F:$F,Receitas!$J:$J,"&lt;="&amp;$A62,Receitas!$L:$L,"&gt;="&amp;$A62,Receitas!$C:$C,O$1,Receitas!$M:$M,"Mensal")+SUMIFS(Receitas!$F:$F,Receitas!$J:$J,"&lt;="&amp;$A62,Receitas!$L:$L,"&gt;="&amp;$A62,Receitas!$C:$C,O$1,Receitas!$M:$M,$B62)</f>
        <v>50000</v>
      </c>
      <c r="P62" s="18">
        <f>SUMIFS(Receitas!$F:$F,Receitas!$J:$J,"&lt;="&amp;$A62,Receitas!$L:$L,"&gt;="&amp;$A62,Receitas!$C:$C,P$1,Receitas!$M:$M,"Mensal")+SUMIFS(Receitas!$F:$F,Receitas!$J:$J,"&lt;="&amp;$A62,Receitas!$L:$L,"&gt;="&amp;$A62,Receitas!$C:$C,P$1,Receitas!$M:$M,$B62)</f>
        <v>20000</v>
      </c>
      <c r="Q62" s="18">
        <f ca="1">SUMIFS(Receitas!$F:$F,Receitas!$J:$J,"&lt;="&amp;$A62,Receitas!$L:$L,"&gt;="&amp;$A62,Receitas!$C:$C,Q$1,Receitas!$M:$M,"Mensal")+SUMIFS(Receitas!$F:$F,Receitas!$J:$J,"&lt;="&amp;$A62,Receitas!$L:$L,"&gt;="&amp;$A62,Receitas!$C:$C,Q$1,Receitas!$M:$M,$B62)</f>
        <v>15101.400000000001</v>
      </c>
      <c r="R62" s="18" cm="1">
        <f t="array" ref="R62">(IF(AND(Membros!$F$2="Sim",A62&lt;=MAX(Membros!$E$2:$E$5)),Membros!K$2,IF(AND(A62&gt;=Membros!J$2,A62&lt;=MAX(Membros!$E$2:$E$5)),Membros!K$2,0))+IF(AND(Membros!$F$3="Sim",A62&lt;=MAX(Membros!$E$2:$E$5)),Membros!K$3,IF(AND(A62&gt;=Membros!J$3,A62&lt;=MAX(Membros!$E$2:$E$5)),Membros!K$3,0)))*IF(AND(COUNTIFS(Tabela3[Tipo],"Provedor",Tabela3[Simulação Seguro],"Sim")=2,A62&gt;=MAX(IF(Tabela3[Tipo]="Dependente",Tabela3[Expectativa de Vida (Data)]))),0,1)</f>
        <v>0</v>
      </c>
      <c r="S62" s="18">
        <f t="shared" ca="1" si="4"/>
        <v>85101.4</v>
      </c>
      <c r="U62" s="18">
        <f t="shared" ca="1" si="7"/>
        <v>5066477.2866660468</v>
      </c>
      <c r="V62" s="18">
        <f>SUMIF(Imóveis!E:E,Dados!A:A,Imóveis!Z:Z)-SUMIF(Imóveis!E:E,Dados!A:A,Imóveis!Y:Y)</f>
        <v>0</v>
      </c>
      <c r="W62" s="18">
        <f>-SUMIF(Projetos!N:N,A62,Projetos!F:F)</f>
        <v>0</v>
      </c>
      <c r="X62" s="18">
        <f t="shared" ca="1" si="0"/>
        <v>-4915.3118289079866</v>
      </c>
      <c r="Y62" s="26">
        <f ca="1">(U62*((Indicadores_Economicos!D$2+1)^(1/12)-1))</f>
        <v>16586.328248965852</v>
      </c>
      <c r="Z62" s="18">
        <f t="shared" ca="1" si="5"/>
        <v>5078148.3030861048</v>
      </c>
      <c r="AA62" s="18">
        <f ca="1">Auxiliar_Projetos!E62</f>
        <v>238359.37161033653</v>
      </c>
      <c r="AB62" s="18">
        <f ca="1">Auxiliar_Projetos!K62</f>
        <v>350540.51215034263</v>
      </c>
      <c r="AC62" s="18">
        <f ca="1">IF(Z62-AA62-AB62&gt;Investimentos!$C$14,Investimentos!$C$14,IF(Z62-AA62-AB62&lt;Investimentos!$C$14,Z62-AA62-AB62,0))</f>
        <v>300000</v>
      </c>
      <c r="AD62" s="18">
        <f t="shared" ca="1" si="6"/>
        <v>4189248.4193254253</v>
      </c>
      <c r="AE62" s="18"/>
    </row>
    <row r="63" spans="1:31" x14ac:dyDescent="0.2">
      <c r="A63" s="4">
        <v>47515</v>
      </c>
      <c r="B63" s="5" t="str">
        <f t="shared" si="1"/>
        <v>fevereiro</v>
      </c>
      <c r="C63" s="5" t="str">
        <f t="shared" si="9"/>
        <v>2030</v>
      </c>
      <c r="D63" s="5">
        <f>SUMIFS(Despesas!$F:$F,Despesas!$J:$J,"&lt;="&amp;$A63,Despesas!$L:$L,"&gt;="&amp;$A63,Despesas!$C:$C,D$1,Despesas!$M:$M,"Mensal")+SUMIFS(Despesas!$F:$F,Despesas!$J:$J,"&lt;="&amp;$A63,Despesas!$L:$L,"&gt;="&amp;$A63,Despesas!$C:$C,D$1,Despesas!$M:$M,$B63)</f>
        <v>23000</v>
      </c>
      <c r="E63" s="18">
        <f ca="1">SUMIFS(Despesas!$F:$F,Despesas!$J:$J,"&lt;="&amp;$A63,Despesas!$L:$L,"&gt;="&amp;$A63,Despesas!$C:$C,E$1,Despesas!$M:$M,"Mensal")+SUMIFS(Despesas!$F:$F,Despesas!$J:$J,"&lt;="&amp;$A63,Despesas!$L:$L,"&gt;="&amp;$A63,Despesas!$C:$C,E$1,Despesas!$M:$M,$B63)</f>
        <v>22151.4</v>
      </c>
      <c r="F63" s="5">
        <f>SUMIFS(Despesas!$F:$F,Despesas!$J:$J,"&lt;="&amp;$A63,Despesas!$L:$L,"&gt;="&amp;$A63,Despesas!$C:$C,F$1,Despesas!$M:$M,"Mensal")+SUMIFS(Despesas!$F:$F,Despesas!$J:$J,"&lt;="&amp;$A63,Despesas!$L:$L,"&gt;="&amp;$A63,Despesas!$C:$C,F$1,Despesas!$M:$M,$B63)</f>
        <v>13000</v>
      </c>
      <c r="G63" s="5">
        <f>SUMIFS(Despesas!$F:$F,Despesas!$J:$J,"&lt;="&amp;$A63,Despesas!$L:$L,"&gt;="&amp;$A63,Despesas!$C:$C,G$1,Despesas!$M:$M,"Mensal")+SUMIFS(Despesas!$F:$F,Despesas!$J:$J,"&lt;="&amp;$A63,Despesas!$L:$L,"&gt;="&amp;$A63,Despesas!$C:$C,G$1,Despesas!$M:$M,$B63)</f>
        <v>0</v>
      </c>
      <c r="H63" s="18">
        <f ca="1">SUMIFS(Despesas!$F:$F,Despesas!$J:$J,"&lt;="&amp;$A63,Despesas!$L:$L,"&gt;="&amp;$A63,Despesas!$C:$C,H$1,Despesas!$M:$M,"Mensal")+SUMIFS(Despesas!$F:$F,Despesas!$J:$J,"&lt;="&amp;$A63,Despesas!$L:$L,"&gt;="&amp;$A63,Despesas!$C:$C,H$1,Despesas!$M:$M,$B63)</f>
        <v>4543.9250000000002</v>
      </c>
      <c r="I63" s="18">
        <f>IF(Imóveis!$F$2="PRICE",IF(AND(Dados!$A63&gt;=Imóveis!$Q$2,Dados!$A63&lt;=Imóveis!$T$2),Imóveis!$U$2,0),IF((IF(AND(Dados!$A63&gt;=Imóveis!$Q$2,Dados!$A63&lt;=Imóveis!$T$2),Imóveis!$S$2-(DATEDIF(Imóveis!$Q$2,Dados!$A63,"m")),0))=0,0,((Imóveis!$N$2/Imóveis!$S$2)+((Imóveis!$N$2-((Imóveis!$S$2-(IF(AND(Dados!$A63&gt;=Imóveis!$Q$2,Dados!$A63&lt;=Imóveis!$T$2),Imóveis!$S$2-(DATEDIF(Imóveis!$Q$2,Dados!$A63,"m")),)))*(Imóveis!$N$2/Imóveis!$S$2)))*Imóveis!$P$2))))*IF(AND(Imóveis!$E$2&gt;0,Dados!$A63&gt;Imóveis!$E$2),0,1)</f>
        <v>15158.287752529817</v>
      </c>
      <c r="J63" s="18">
        <f ca="1">IF(Imóveis!$F$3="PRICE",IF(AND(Dados!$A63&gt;=Imóveis!$Q$3,Dados!$A63&lt;=Imóveis!$T$3),Imóveis!$U$3,0),IF((IF(AND(Dados!$A63&gt;=Imóveis!$Q$3,Dados!$A63&lt;=Imóveis!$T$3),Imóveis!$S$3-(DATEDIF(Imóveis!$Q$3,Dados!$A63,"m")),0))=0,0,((Imóveis!$N$3/Imóveis!$S$3)+((Imóveis!$N$3-((Imóveis!$S$3-(IF(AND(Dados!$A63&gt;=Imóveis!$Q$3,Dados!$A63&lt;=Imóveis!$T$3),Imóveis!$S$3-(DATEDIF(Imóveis!$Q$3,Dados!$A63,"m")),)))*(Imóveis!$N$3/Imóveis!$S$3)))*Imóveis!$P$3))))*IF(AND(Imóveis!$E$3&gt;0,Dados!$A63&gt;Imóveis!$E$3),0,1)</f>
        <v>9314.6986248807771</v>
      </c>
      <c r="K63" s="18">
        <f>IF(Imóveis!$F$4="PRICE",IF(AND(Dados!$A63&gt;=Imóveis!$Q$4,Dados!$A63&lt;=Imóveis!$T$4),Imóveis!$U$4,0),IF((IF(AND(Dados!$A63&gt;=Imóveis!$Q$4,Dados!$A63&lt;=Imóveis!$T$4),Imóveis!$S$4-(DATEDIF(Imóveis!$Q$4,Dados!$A63,"m")),0))=0,0,((Imóveis!$N$4/Imóveis!$S$4)+((Imóveis!$N$4-((Imóveis!$S$4-(IF(AND(Dados!$A63&gt;=Imóveis!$Q$4,Dados!$A63&lt;=Imóveis!$T$4),Imóveis!$S$4-(DATEDIF(Imóveis!$Q$4,Dados!$A63,"m")),)))*(Imóveis!$N$4/Imóveis!$S$4)))*Imóveis!$P$4))))*IF(AND(Imóveis!$E$4&gt;0,Dados!$A63&gt;Imóveis!$E$4),0,1)</f>
        <v>4643.949359272583</v>
      </c>
      <c r="L63" s="18">
        <f>IF(Imóveis!$F$5="PRICE",IF(AND(Dados!$A63&gt;=Imóveis!$Q$5,Dados!$A63&lt;=Imóveis!$T$5),Imóveis!$U$5,0),IF((IF(AND(Dados!$A63&gt;=Imóveis!$Q$5,Dados!$A63&lt;=Imóveis!$T$5),Imóveis!$S$5-(DATEDIF(Imóveis!$Q$5,Dados!$A63,"m")),0))=0,0,((Imóveis!$N$5/Imóveis!$S$5)+((Imóveis!$N$5-((Imóveis!$S$5-(IF(AND(Dados!$A63 &gt;=Imóveis!$Q$5,Dados!$A63&lt;=Imóveis!$T$5),Imóveis!$S$5-(DATEDIF(Imóveis!$Q$5,Dados!$A63,"m")),)))*(Imóveis!$N$5/Imóveis!$S$5)))*Imóveis!$P$5))))*IF(AND(Imóveis!$E$5&gt;0,Dados!$A63&gt;Imóveis!$E$5),0,1)*Imóveis!$I$5</f>
        <v>0</v>
      </c>
      <c r="M63" s="18">
        <f>IF(Imóveis!$F$6="PRICE",IF(AND(Dados!$A63&gt;=Imóveis!$Q$6,Dados!$A63&lt;=Imóveis!$T$6),Imóveis!$U$6,0),IF((IF(AND(Dados!$A63&gt;=Imóveis!$Q$6,Dados!$A63&lt;=Imóveis!$T$6),Imóveis!$S$6-(DATEDIF(Imóveis!$Q$6,Dados!$A63,"m")),0))=0,0,((Imóveis!$N$6/Imóveis!$S$6)+((Imóveis!$N$6-((Imóveis!$S$6-(IF(AND(Dados!$A63&gt;=Imóveis!$Q$6,Dados!$A63&lt;=Imóveis!$T$6),Imóveis!$S$6-(DATEDIF(Imóveis!$Q$6,Dados!$A63,"m")),)))*(Imóveis!$N$6/Imóveis!$S$6)))*Imóveis!$P$6))))*IF(AND(Imóveis!$E$6&gt;0,Dados!$A63&gt;Imóveis!$E$6),0,1)*Imóveis!$I$6</f>
        <v>0</v>
      </c>
      <c r="N63" s="18">
        <f t="shared" ca="1" si="3"/>
        <v>91812.26073668318</v>
      </c>
      <c r="O63" s="18">
        <f>SUMIFS(Receitas!$F:$F,Receitas!$J:$J,"&lt;="&amp;$A63,Receitas!$L:$L,"&gt;="&amp;$A63,Receitas!$C:$C,O$1,Receitas!$M:$M,"Mensal")+SUMIFS(Receitas!$F:$F,Receitas!$J:$J,"&lt;="&amp;$A63,Receitas!$L:$L,"&gt;="&amp;$A63,Receitas!$C:$C,O$1,Receitas!$M:$M,$B63)</f>
        <v>50000</v>
      </c>
      <c r="P63" s="18">
        <f>SUMIFS(Receitas!$F:$F,Receitas!$J:$J,"&lt;="&amp;$A63,Receitas!$L:$L,"&gt;="&amp;$A63,Receitas!$C:$C,P$1,Receitas!$M:$M,"Mensal")+SUMIFS(Receitas!$F:$F,Receitas!$J:$J,"&lt;="&amp;$A63,Receitas!$L:$L,"&gt;="&amp;$A63,Receitas!$C:$C,P$1,Receitas!$M:$M,$B63)</f>
        <v>20000</v>
      </c>
      <c r="Q63" s="18">
        <f ca="1">SUMIFS(Receitas!$F:$F,Receitas!$J:$J,"&lt;="&amp;$A63,Receitas!$L:$L,"&gt;="&amp;$A63,Receitas!$C:$C,Q$1,Receitas!$M:$M,"Mensal")+SUMIFS(Receitas!$F:$F,Receitas!$J:$J,"&lt;="&amp;$A63,Receitas!$L:$L,"&gt;="&amp;$A63,Receitas!$C:$C,Q$1,Receitas!$M:$M,$B63)</f>
        <v>15101.400000000001</v>
      </c>
      <c r="R63" s="18" cm="1">
        <f t="array" ref="R63">(IF(AND(Membros!$F$2="Sim",A63&lt;=MAX(Membros!$E$2:$E$5)),Membros!K$2,IF(AND(A63&gt;=Membros!J$2,A63&lt;=MAX(Membros!$E$2:$E$5)),Membros!K$2,0))+IF(AND(Membros!$F$3="Sim",A63&lt;=MAX(Membros!$E$2:$E$5)),Membros!K$3,IF(AND(A63&gt;=Membros!J$3,A63&lt;=MAX(Membros!$E$2:$E$5)),Membros!K$3,0)))*IF(AND(COUNTIFS(Tabela3[Tipo],"Provedor",Tabela3[Simulação Seguro],"Sim")=2,A63&gt;=MAX(IF(Tabela3[Tipo]="Dependente",Tabela3[Expectativa de Vida (Data)]))),0,1)</f>
        <v>0</v>
      </c>
      <c r="S63" s="18">
        <f t="shared" ca="1" si="4"/>
        <v>85101.4</v>
      </c>
      <c r="U63" s="18">
        <f t="shared" ca="1" si="7"/>
        <v>5078148.3030861048</v>
      </c>
      <c r="V63" s="18">
        <f>SUMIF(Imóveis!E:E,Dados!A:A,Imóveis!Z:Z)-SUMIF(Imóveis!E:E,Dados!A:A,Imóveis!Y:Y)</f>
        <v>0</v>
      </c>
      <c r="W63" s="18">
        <f>-SUMIF(Projetos!N:N,A63,Projetos!F:F)</f>
        <v>0</v>
      </c>
      <c r="X63" s="18">
        <f t="shared" ca="1" si="0"/>
        <v>-6710.8607366831857</v>
      </c>
      <c r="Y63" s="26">
        <f ca="1">(U63*((Indicadores_Economicos!D$2+1)^(1/12)-1))</f>
        <v>16624.53611971889</v>
      </c>
      <c r="Z63" s="18">
        <f t="shared" ca="1" si="5"/>
        <v>5088061.9784691408</v>
      </c>
      <c r="AA63" s="18">
        <f ca="1">Auxiliar_Projetos!E63</f>
        <v>239139.69816763722</v>
      </c>
      <c r="AB63" s="18">
        <f ca="1">Auxiliar_Projetos!K63</f>
        <v>351688.09057024162</v>
      </c>
      <c r="AC63" s="18">
        <f ca="1">IF(Z63-AA63-AB63&gt;Investimentos!$C$14,Investimentos!$C$14,IF(Z63-AA63-AB63&lt;Investimentos!$C$14,Z63-AA63-AB63,0))</f>
        <v>300000</v>
      </c>
      <c r="AD63" s="18">
        <f t="shared" ca="1" si="6"/>
        <v>4197234.1897312626</v>
      </c>
      <c r="AE63" s="18"/>
    </row>
    <row r="64" spans="1:31" x14ac:dyDescent="0.2">
      <c r="A64" s="4">
        <v>47543</v>
      </c>
      <c r="B64" s="5" t="str">
        <f t="shared" si="1"/>
        <v>março</v>
      </c>
      <c r="C64" s="5" t="str">
        <f t="shared" si="9"/>
        <v>2030</v>
      </c>
      <c r="D64" s="5">
        <f>SUMIFS(Despesas!$F:$F,Despesas!$J:$J,"&lt;="&amp;$A64,Despesas!$L:$L,"&gt;="&amp;$A64,Despesas!$C:$C,D$1,Despesas!$M:$M,"Mensal")+SUMIFS(Despesas!$F:$F,Despesas!$J:$J,"&lt;="&amp;$A64,Despesas!$L:$L,"&gt;="&amp;$A64,Despesas!$C:$C,D$1,Despesas!$M:$M,$B64)</f>
        <v>23000</v>
      </c>
      <c r="E64" s="18">
        <f ca="1">SUMIFS(Despesas!$F:$F,Despesas!$J:$J,"&lt;="&amp;$A64,Despesas!$L:$L,"&gt;="&amp;$A64,Despesas!$C:$C,E$1,Despesas!$M:$M,"Mensal")+SUMIFS(Despesas!$F:$F,Despesas!$J:$J,"&lt;="&amp;$A64,Despesas!$L:$L,"&gt;="&amp;$A64,Despesas!$C:$C,E$1,Despesas!$M:$M,$B64)</f>
        <v>22151.4</v>
      </c>
      <c r="F64" s="5">
        <f>SUMIFS(Despesas!$F:$F,Despesas!$J:$J,"&lt;="&amp;$A64,Despesas!$L:$L,"&gt;="&amp;$A64,Despesas!$C:$C,F$1,Despesas!$M:$M,"Mensal")+SUMIFS(Despesas!$F:$F,Despesas!$J:$J,"&lt;="&amp;$A64,Despesas!$L:$L,"&gt;="&amp;$A64,Despesas!$C:$C,F$1,Despesas!$M:$M,$B64)</f>
        <v>13000</v>
      </c>
      <c r="G64" s="5">
        <f>SUMIFS(Despesas!$F:$F,Despesas!$J:$J,"&lt;="&amp;$A64,Despesas!$L:$L,"&gt;="&amp;$A64,Despesas!$C:$C,G$1,Despesas!$M:$M,"Mensal")+SUMIFS(Despesas!$F:$F,Despesas!$J:$J,"&lt;="&amp;$A64,Despesas!$L:$L,"&gt;="&amp;$A64,Despesas!$C:$C,G$1,Despesas!$M:$M,$B64)</f>
        <v>0</v>
      </c>
      <c r="H64" s="18">
        <f ca="1">SUMIFS(Despesas!$F:$F,Despesas!$J:$J,"&lt;="&amp;$A64,Despesas!$L:$L,"&gt;="&amp;$A64,Despesas!$C:$C,H$1,Despesas!$M:$M,"Mensal")+SUMIFS(Despesas!$F:$F,Despesas!$J:$J,"&lt;="&amp;$A64,Despesas!$L:$L,"&gt;="&amp;$A64,Despesas!$C:$C,H$1,Despesas!$M:$M,$B64)</f>
        <v>2686.355</v>
      </c>
      <c r="I64" s="18">
        <f>IF(Imóveis!$F$2="PRICE",IF(AND(Dados!$A64&gt;=Imóveis!$Q$2,Dados!$A64&lt;=Imóveis!$T$2),Imóveis!$U$2,0),IF((IF(AND(Dados!$A64&gt;=Imóveis!$Q$2,Dados!$A64&lt;=Imóveis!$T$2),Imóveis!$S$2-(DATEDIF(Imóveis!$Q$2,Dados!$A64,"m")),0))=0,0,((Imóveis!$N$2/Imóveis!$S$2)+((Imóveis!$N$2-((Imóveis!$S$2-(IF(AND(Dados!$A64&gt;=Imóveis!$Q$2,Dados!$A64&lt;=Imóveis!$T$2),Imóveis!$S$2-(DATEDIF(Imóveis!$Q$2,Dados!$A64,"m")),)))*(Imóveis!$N$2/Imóveis!$S$2)))*Imóveis!$P$2))))*IF(AND(Imóveis!$E$2&gt;0,Dados!$A64&gt;Imóveis!$E$2),0,1)</f>
        <v>15096.266660305009</v>
      </c>
      <c r="J64" s="18">
        <f ca="1">IF(Imóveis!$F$3="PRICE",IF(AND(Dados!$A64&gt;=Imóveis!$Q$3,Dados!$A64&lt;=Imóveis!$T$3),Imóveis!$U$3,0),IF((IF(AND(Dados!$A64&gt;=Imóveis!$Q$3,Dados!$A64&lt;=Imóveis!$T$3),Imóveis!$S$3-(DATEDIF(Imóveis!$Q$3,Dados!$A64,"m")),0))=0,0,((Imóveis!$N$3/Imóveis!$S$3)+((Imóveis!$N$3-((Imóveis!$S$3-(IF(AND(Dados!$A64&gt;=Imóveis!$Q$3,Dados!$A64&lt;=Imóveis!$T$3),Imóveis!$S$3-(DATEDIF(Imóveis!$Q$3,Dados!$A64,"m")),)))*(Imóveis!$N$3/Imóveis!$S$3)))*Imóveis!$P$3))))*IF(AND(Imóveis!$E$3&gt;0,Dados!$A64&gt;Imóveis!$E$3),0,1)</f>
        <v>9314.6986248807771</v>
      </c>
      <c r="K64" s="18">
        <f>IF(Imóveis!$F$4="PRICE",IF(AND(Dados!$A64&gt;=Imóveis!$Q$4,Dados!$A64&lt;=Imóveis!$T$4),Imóveis!$U$4,0),IF((IF(AND(Dados!$A64&gt;=Imóveis!$Q$4,Dados!$A64&lt;=Imóveis!$T$4),Imóveis!$S$4-(DATEDIF(Imóveis!$Q$4,Dados!$A64,"m")),0))=0,0,((Imóveis!$N$4/Imóveis!$S$4)+((Imóveis!$N$4-((Imóveis!$S$4-(IF(AND(Dados!$A64&gt;=Imóveis!$Q$4,Dados!$A64&lt;=Imóveis!$T$4),Imóveis!$S$4-(DATEDIF(Imóveis!$Q$4,Dados!$A64,"m")),)))*(Imóveis!$N$4/Imóveis!$S$4)))*Imóveis!$P$4))))*IF(AND(Imóveis!$E$4&gt;0,Dados!$A64&gt;Imóveis!$E$4),0,1)</f>
        <v>4643.949359272583</v>
      </c>
      <c r="L64" s="18">
        <f>IF(Imóveis!$F$5="PRICE",IF(AND(Dados!$A64&gt;=Imóveis!$Q$5,Dados!$A64&lt;=Imóveis!$T$5),Imóveis!$U$5,0),IF((IF(AND(Dados!$A64&gt;=Imóveis!$Q$5,Dados!$A64&lt;=Imóveis!$T$5),Imóveis!$S$5-(DATEDIF(Imóveis!$Q$5,Dados!$A64,"m")),0))=0,0,((Imóveis!$N$5/Imóveis!$S$5)+((Imóveis!$N$5-((Imóveis!$S$5-(IF(AND(Dados!$A64 &gt;=Imóveis!$Q$5,Dados!$A64&lt;=Imóveis!$T$5),Imóveis!$S$5-(DATEDIF(Imóveis!$Q$5,Dados!$A64,"m")),)))*(Imóveis!$N$5/Imóveis!$S$5)))*Imóveis!$P$5))))*IF(AND(Imóveis!$E$5&gt;0,Dados!$A64&gt;Imóveis!$E$5),0,1)*Imóveis!$I$5</f>
        <v>0</v>
      </c>
      <c r="M64" s="18">
        <f>IF(Imóveis!$F$6="PRICE",IF(AND(Dados!$A64&gt;=Imóveis!$Q$6,Dados!$A64&lt;=Imóveis!$T$6),Imóveis!$U$6,0),IF((IF(AND(Dados!$A64&gt;=Imóveis!$Q$6,Dados!$A64&lt;=Imóveis!$T$6),Imóveis!$S$6-(DATEDIF(Imóveis!$Q$6,Dados!$A64,"m")),0))=0,0,((Imóveis!$N$6/Imóveis!$S$6)+((Imóveis!$N$6-((Imóveis!$S$6-(IF(AND(Dados!$A64&gt;=Imóveis!$Q$6,Dados!$A64&lt;=Imóveis!$T$6),Imóveis!$S$6-(DATEDIF(Imóveis!$Q$6,Dados!$A64,"m")),)))*(Imóveis!$N$6/Imóveis!$S$6)))*Imóveis!$P$6))))*IF(AND(Imóveis!$E$6&gt;0,Dados!$A64&gt;Imóveis!$E$6),0,1)*Imóveis!$I$6</f>
        <v>0</v>
      </c>
      <c r="N64" s="18">
        <f t="shared" ca="1" si="3"/>
        <v>89892.669644458365</v>
      </c>
      <c r="O64" s="18">
        <f>SUMIFS(Receitas!$F:$F,Receitas!$J:$J,"&lt;="&amp;$A64,Receitas!$L:$L,"&gt;="&amp;$A64,Receitas!$C:$C,O$1,Receitas!$M:$M,"Mensal")+SUMIFS(Receitas!$F:$F,Receitas!$J:$J,"&lt;="&amp;$A64,Receitas!$L:$L,"&gt;="&amp;$A64,Receitas!$C:$C,O$1,Receitas!$M:$M,$B64)</f>
        <v>50000</v>
      </c>
      <c r="P64" s="18">
        <f>SUMIFS(Receitas!$F:$F,Receitas!$J:$J,"&lt;="&amp;$A64,Receitas!$L:$L,"&gt;="&amp;$A64,Receitas!$C:$C,P$1,Receitas!$M:$M,"Mensal")+SUMIFS(Receitas!$F:$F,Receitas!$J:$J,"&lt;="&amp;$A64,Receitas!$L:$L,"&gt;="&amp;$A64,Receitas!$C:$C,P$1,Receitas!$M:$M,$B64)</f>
        <v>20000</v>
      </c>
      <c r="Q64" s="18">
        <f ca="1">SUMIFS(Receitas!$F:$F,Receitas!$J:$J,"&lt;="&amp;$A64,Receitas!$L:$L,"&gt;="&amp;$A64,Receitas!$C:$C,Q$1,Receitas!$M:$M,"Mensal")+SUMIFS(Receitas!$F:$F,Receitas!$J:$J,"&lt;="&amp;$A64,Receitas!$L:$L,"&gt;="&amp;$A64,Receitas!$C:$C,Q$1,Receitas!$M:$M,$B64)</f>
        <v>15101.400000000001</v>
      </c>
      <c r="R64" s="18" cm="1">
        <f t="array" ref="R64">(IF(AND(Membros!$F$2="Sim",A64&lt;=MAX(Membros!$E$2:$E$5)),Membros!K$2,IF(AND(A64&gt;=Membros!J$2,A64&lt;=MAX(Membros!$E$2:$E$5)),Membros!K$2,0))+IF(AND(Membros!$F$3="Sim",A64&lt;=MAX(Membros!$E$2:$E$5)),Membros!K$3,IF(AND(A64&gt;=Membros!J$3,A64&lt;=MAX(Membros!$E$2:$E$5)),Membros!K$3,0)))*IF(AND(COUNTIFS(Tabela3[Tipo],"Provedor",Tabela3[Simulação Seguro],"Sim")=2,A64&gt;=MAX(IF(Tabela3[Tipo]="Dependente",Tabela3[Expectativa de Vida (Data)]))),0,1)</f>
        <v>0</v>
      </c>
      <c r="S64" s="18">
        <f t="shared" ca="1" si="4"/>
        <v>85101.4</v>
      </c>
      <c r="U64" s="18">
        <f t="shared" ca="1" si="7"/>
        <v>5088061.9784691408</v>
      </c>
      <c r="V64" s="18">
        <f>SUMIF(Imóveis!E:E,Dados!A:A,Imóveis!Z:Z)-SUMIF(Imóveis!E:E,Dados!A:A,Imóveis!Y:Y)</f>
        <v>0</v>
      </c>
      <c r="W64" s="18">
        <f>-SUMIF(Projetos!N:N,A64,Projetos!F:F)</f>
        <v>0</v>
      </c>
      <c r="X64" s="18">
        <f t="shared" ca="1" si="0"/>
        <v>-4791.2696444583707</v>
      </c>
      <c r="Y64" s="26">
        <f ca="1">(U64*((Indicadores_Economicos!D$2+1)^(1/12)-1))</f>
        <v>16656.990913208145</v>
      </c>
      <c r="Z64" s="18">
        <f t="shared" ca="1" si="5"/>
        <v>5099927.6997378906</v>
      </c>
      <c r="AA64" s="18">
        <f ca="1">Auxiliar_Projetos!E64</f>
        <v>239922.57931103164</v>
      </c>
      <c r="AB64" s="18">
        <f ca="1">Auxiliar_Projetos!K64</f>
        <v>352839.42586326698</v>
      </c>
      <c r="AC64" s="18">
        <f ca="1">IF(Z64-AA64-AB64&gt;Investimentos!$C$14,Investimentos!$C$14,IF(Z64-AA64-AB64&lt;Investimentos!$C$14,Z64-AA64-AB64,0))</f>
        <v>300000</v>
      </c>
      <c r="AD64" s="18">
        <f t="shared" ca="1" si="6"/>
        <v>4207165.6945635919</v>
      </c>
      <c r="AE64" s="18"/>
    </row>
    <row r="65" spans="1:31" x14ac:dyDescent="0.2">
      <c r="A65" s="4">
        <v>47574</v>
      </c>
      <c r="B65" s="5" t="str">
        <f t="shared" si="1"/>
        <v>abril</v>
      </c>
      <c r="C65" s="5" t="str">
        <f t="shared" si="9"/>
        <v>2030</v>
      </c>
      <c r="D65" s="5">
        <f>SUMIFS(Despesas!$F:$F,Despesas!$J:$J,"&lt;="&amp;$A65,Despesas!$L:$L,"&gt;="&amp;$A65,Despesas!$C:$C,D$1,Despesas!$M:$M,"Mensal")+SUMIFS(Despesas!$F:$F,Despesas!$J:$J,"&lt;="&amp;$A65,Despesas!$L:$L,"&gt;="&amp;$A65,Despesas!$C:$C,D$1,Despesas!$M:$M,$B65)</f>
        <v>23000</v>
      </c>
      <c r="E65" s="18">
        <f ca="1">SUMIFS(Despesas!$F:$F,Despesas!$J:$J,"&lt;="&amp;$A65,Despesas!$L:$L,"&gt;="&amp;$A65,Despesas!$C:$C,E$1,Despesas!$M:$M,"Mensal")+SUMIFS(Despesas!$F:$F,Despesas!$J:$J,"&lt;="&amp;$A65,Despesas!$L:$L,"&gt;="&amp;$A65,Despesas!$C:$C,E$1,Despesas!$M:$M,$B65)</f>
        <v>22151.4</v>
      </c>
      <c r="F65" s="5">
        <f>SUMIFS(Despesas!$F:$F,Despesas!$J:$J,"&lt;="&amp;$A65,Despesas!$L:$L,"&gt;="&amp;$A65,Despesas!$C:$C,F$1,Despesas!$M:$M,"Mensal")+SUMIFS(Despesas!$F:$F,Despesas!$J:$J,"&lt;="&amp;$A65,Despesas!$L:$L,"&gt;="&amp;$A65,Despesas!$C:$C,F$1,Despesas!$M:$M,$B65)</f>
        <v>13000</v>
      </c>
      <c r="G65" s="5">
        <f>SUMIFS(Despesas!$F:$F,Despesas!$J:$J,"&lt;="&amp;$A65,Despesas!$L:$L,"&gt;="&amp;$A65,Despesas!$C:$C,G$1,Despesas!$M:$M,"Mensal")+SUMIFS(Despesas!$F:$F,Despesas!$J:$J,"&lt;="&amp;$A65,Despesas!$L:$L,"&gt;="&amp;$A65,Despesas!$C:$C,G$1,Despesas!$M:$M,$B65)</f>
        <v>0</v>
      </c>
      <c r="H65" s="18">
        <f ca="1">SUMIFS(Despesas!$F:$F,Despesas!$J:$J,"&lt;="&amp;$A65,Despesas!$L:$L,"&gt;="&amp;$A65,Despesas!$C:$C,H$1,Despesas!$M:$M,"Mensal")+SUMIFS(Despesas!$F:$F,Despesas!$J:$J,"&lt;="&amp;$A65,Despesas!$L:$L,"&gt;="&amp;$A65,Despesas!$C:$C,H$1,Despesas!$M:$M,$B65)</f>
        <v>2686.355</v>
      </c>
      <c r="I65" s="18">
        <f>IF(Imóveis!$F$2="PRICE",IF(AND(Dados!$A65&gt;=Imóveis!$Q$2,Dados!$A65&lt;=Imóveis!$T$2),Imóveis!$U$2,0),IF((IF(AND(Dados!$A65&gt;=Imóveis!$Q$2,Dados!$A65&lt;=Imóveis!$T$2),Imóveis!$S$2-(DATEDIF(Imóveis!$Q$2,Dados!$A65,"m")),0))=0,0,((Imóveis!$N$2/Imóveis!$S$2)+((Imóveis!$N$2-((Imóveis!$S$2-(IF(AND(Dados!$A65&gt;=Imóveis!$Q$2,Dados!$A65&lt;=Imóveis!$T$2),Imóveis!$S$2-(DATEDIF(Imóveis!$Q$2,Dados!$A65,"m")),)))*(Imóveis!$N$2/Imóveis!$S$2)))*Imóveis!$P$2))))*IF(AND(Imóveis!$E$2&gt;0,Dados!$A65&gt;Imóveis!$E$2),0,1)</f>
        <v>15034.245568080203</v>
      </c>
      <c r="J65" s="18">
        <f ca="1">IF(Imóveis!$F$3="PRICE",IF(AND(Dados!$A65&gt;=Imóveis!$Q$3,Dados!$A65&lt;=Imóveis!$T$3),Imóveis!$U$3,0),IF((IF(AND(Dados!$A65&gt;=Imóveis!$Q$3,Dados!$A65&lt;=Imóveis!$T$3),Imóveis!$S$3-(DATEDIF(Imóveis!$Q$3,Dados!$A65,"m")),0))=0,0,((Imóveis!$N$3/Imóveis!$S$3)+((Imóveis!$N$3-((Imóveis!$S$3-(IF(AND(Dados!$A65&gt;=Imóveis!$Q$3,Dados!$A65&lt;=Imóveis!$T$3),Imóveis!$S$3-(DATEDIF(Imóveis!$Q$3,Dados!$A65,"m")),)))*(Imóveis!$N$3/Imóveis!$S$3)))*Imóveis!$P$3))))*IF(AND(Imóveis!$E$3&gt;0,Dados!$A65&gt;Imóveis!$E$3),0,1)</f>
        <v>9314.6986248807771</v>
      </c>
      <c r="K65" s="18">
        <f>IF(Imóveis!$F$4="PRICE",IF(AND(Dados!$A65&gt;=Imóveis!$Q$4,Dados!$A65&lt;=Imóveis!$T$4),Imóveis!$U$4,0),IF((IF(AND(Dados!$A65&gt;=Imóveis!$Q$4,Dados!$A65&lt;=Imóveis!$T$4),Imóveis!$S$4-(DATEDIF(Imóveis!$Q$4,Dados!$A65,"m")),0))=0,0,((Imóveis!$N$4/Imóveis!$S$4)+((Imóveis!$N$4-((Imóveis!$S$4-(IF(AND(Dados!$A65&gt;=Imóveis!$Q$4,Dados!$A65&lt;=Imóveis!$T$4),Imóveis!$S$4-(DATEDIF(Imóveis!$Q$4,Dados!$A65,"m")),)))*(Imóveis!$N$4/Imóveis!$S$4)))*Imóveis!$P$4))))*IF(AND(Imóveis!$E$4&gt;0,Dados!$A65&gt;Imóveis!$E$4),0,1)</f>
        <v>4643.949359272583</v>
      </c>
      <c r="L65" s="18">
        <f>IF(Imóveis!$F$5="PRICE",IF(AND(Dados!$A65&gt;=Imóveis!$Q$5,Dados!$A65&lt;=Imóveis!$T$5),Imóveis!$U$5,0),IF((IF(AND(Dados!$A65&gt;=Imóveis!$Q$5,Dados!$A65&lt;=Imóveis!$T$5),Imóveis!$S$5-(DATEDIF(Imóveis!$Q$5,Dados!$A65,"m")),0))=0,0,((Imóveis!$N$5/Imóveis!$S$5)+((Imóveis!$N$5-((Imóveis!$S$5-(IF(AND(Dados!$A65 &gt;=Imóveis!$Q$5,Dados!$A65&lt;=Imóveis!$T$5),Imóveis!$S$5-(DATEDIF(Imóveis!$Q$5,Dados!$A65,"m")),)))*(Imóveis!$N$5/Imóveis!$S$5)))*Imóveis!$P$5))))*IF(AND(Imóveis!$E$5&gt;0,Dados!$A65&gt;Imóveis!$E$5),0,1)*Imóveis!$I$5</f>
        <v>0</v>
      </c>
      <c r="M65" s="18">
        <f>IF(Imóveis!$F$6="PRICE",IF(AND(Dados!$A65&gt;=Imóveis!$Q$6,Dados!$A65&lt;=Imóveis!$T$6),Imóveis!$U$6,0),IF((IF(AND(Dados!$A65&gt;=Imóveis!$Q$6,Dados!$A65&lt;=Imóveis!$T$6),Imóveis!$S$6-(DATEDIF(Imóveis!$Q$6,Dados!$A65,"m")),0))=0,0,((Imóveis!$N$6/Imóveis!$S$6)+((Imóveis!$N$6-((Imóveis!$S$6-(IF(AND(Dados!$A65&gt;=Imóveis!$Q$6,Dados!$A65&lt;=Imóveis!$T$6),Imóveis!$S$6-(DATEDIF(Imóveis!$Q$6,Dados!$A65,"m")),)))*(Imóveis!$N$6/Imóveis!$S$6)))*Imóveis!$P$6))))*IF(AND(Imóveis!$E$6&gt;0,Dados!$A65&gt;Imóveis!$E$6),0,1)*Imóveis!$I$6</f>
        <v>0</v>
      </c>
      <c r="N65" s="18">
        <f t="shared" ca="1" si="3"/>
        <v>89830.648552233572</v>
      </c>
      <c r="O65" s="18">
        <f>SUMIFS(Receitas!$F:$F,Receitas!$J:$J,"&lt;="&amp;$A65,Receitas!$L:$L,"&gt;="&amp;$A65,Receitas!$C:$C,O$1,Receitas!$M:$M,"Mensal")+SUMIFS(Receitas!$F:$F,Receitas!$J:$J,"&lt;="&amp;$A65,Receitas!$L:$L,"&gt;="&amp;$A65,Receitas!$C:$C,O$1,Receitas!$M:$M,$B65)</f>
        <v>50000</v>
      </c>
      <c r="P65" s="18">
        <f>SUMIFS(Receitas!$F:$F,Receitas!$J:$J,"&lt;="&amp;$A65,Receitas!$L:$L,"&gt;="&amp;$A65,Receitas!$C:$C,P$1,Receitas!$M:$M,"Mensal")+SUMIFS(Receitas!$F:$F,Receitas!$J:$J,"&lt;="&amp;$A65,Receitas!$L:$L,"&gt;="&amp;$A65,Receitas!$C:$C,P$1,Receitas!$M:$M,$B65)</f>
        <v>85000</v>
      </c>
      <c r="Q65" s="18">
        <f ca="1">SUMIFS(Receitas!$F:$F,Receitas!$J:$J,"&lt;="&amp;$A65,Receitas!$L:$L,"&gt;="&amp;$A65,Receitas!$C:$C,Q$1,Receitas!$M:$M,"Mensal")+SUMIFS(Receitas!$F:$F,Receitas!$J:$J,"&lt;="&amp;$A65,Receitas!$L:$L,"&gt;="&amp;$A65,Receitas!$C:$C,Q$1,Receitas!$M:$M,$B65)</f>
        <v>15101.400000000001</v>
      </c>
      <c r="R65" s="18" cm="1">
        <f t="array" ref="R65">(IF(AND(Membros!$F$2="Sim",A65&lt;=MAX(Membros!$E$2:$E$5)),Membros!K$2,IF(AND(A65&gt;=Membros!J$2,A65&lt;=MAX(Membros!$E$2:$E$5)),Membros!K$2,0))+IF(AND(Membros!$F$3="Sim",A65&lt;=MAX(Membros!$E$2:$E$5)),Membros!K$3,IF(AND(A65&gt;=Membros!J$3,A65&lt;=MAX(Membros!$E$2:$E$5)),Membros!K$3,0)))*IF(AND(COUNTIFS(Tabela3[Tipo],"Provedor",Tabela3[Simulação Seguro],"Sim")=2,A65&gt;=MAX(IF(Tabela3[Tipo]="Dependente",Tabela3[Expectativa de Vida (Data)]))),0,1)</f>
        <v>0</v>
      </c>
      <c r="S65" s="18">
        <f t="shared" ca="1" si="4"/>
        <v>150101.4</v>
      </c>
      <c r="U65" s="18">
        <f t="shared" ca="1" si="7"/>
        <v>5099927.6997378906</v>
      </c>
      <c r="V65" s="18">
        <f>SUMIF(Imóveis!E:E,Dados!A:A,Imóveis!Z:Z)-SUMIF(Imóveis!E:E,Dados!A:A,Imóveis!Y:Y)</f>
        <v>0</v>
      </c>
      <c r="W65" s="18">
        <f>-SUMIF(Projetos!N:N,A65,Projetos!F:F)</f>
        <v>0</v>
      </c>
      <c r="X65" s="18">
        <f t="shared" ca="1" si="0"/>
        <v>60270.751447766423</v>
      </c>
      <c r="Y65" s="26">
        <f ca="1">(U65*((Indicadores_Economicos!D$2+1)^(1/12)-1))</f>
        <v>16695.836196970133</v>
      </c>
      <c r="Z65" s="18">
        <f t="shared" ca="1" si="5"/>
        <v>5176894.2873826269</v>
      </c>
      <c r="AA65" s="18">
        <f ca="1">Auxiliar_Projetos!E65</f>
        <v>240708.02340356994</v>
      </c>
      <c r="AB65" s="18">
        <f ca="1">Auxiliar_Projetos!K65</f>
        <v>353994.5303284438</v>
      </c>
      <c r="AC65" s="18">
        <f ca="1">IF(Z65-AA65-AB65&gt;Investimentos!$C$14,Investimentos!$C$14,IF(Z65-AA65-AB65&lt;Investimentos!$C$14,Z65-AA65-AB65,0))</f>
        <v>300000</v>
      </c>
      <c r="AD65" s="18">
        <f t="shared" ca="1" si="6"/>
        <v>4282191.7336506126</v>
      </c>
      <c r="AE65" s="18"/>
    </row>
    <row r="66" spans="1:31" x14ac:dyDescent="0.2">
      <c r="A66" s="4">
        <v>47604</v>
      </c>
      <c r="B66" s="5" t="str">
        <f t="shared" si="1"/>
        <v>maio</v>
      </c>
      <c r="C66" s="5" t="str">
        <f t="shared" si="9"/>
        <v>2030</v>
      </c>
      <c r="D66" s="5">
        <f>SUMIFS(Despesas!$F:$F,Despesas!$J:$J,"&lt;="&amp;$A66,Despesas!$L:$L,"&gt;="&amp;$A66,Despesas!$C:$C,D$1,Despesas!$M:$M,"Mensal")+SUMIFS(Despesas!$F:$F,Despesas!$J:$J,"&lt;="&amp;$A66,Despesas!$L:$L,"&gt;="&amp;$A66,Despesas!$C:$C,D$1,Despesas!$M:$M,$B66)</f>
        <v>23000</v>
      </c>
      <c r="E66" s="18">
        <f ca="1">SUMIFS(Despesas!$F:$F,Despesas!$J:$J,"&lt;="&amp;$A66,Despesas!$L:$L,"&gt;="&amp;$A66,Despesas!$C:$C,E$1,Despesas!$M:$M,"Mensal")+SUMIFS(Despesas!$F:$F,Despesas!$J:$J,"&lt;="&amp;$A66,Despesas!$L:$L,"&gt;="&amp;$A66,Despesas!$C:$C,E$1,Despesas!$M:$M,$B66)</f>
        <v>22151.4</v>
      </c>
      <c r="F66" s="5">
        <f>SUMIFS(Despesas!$F:$F,Despesas!$J:$J,"&lt;="&amp;$A66,Despesas!$L:$L,"&gt;="&amp;$A66,Despesas!$C:$C,F$1,Despesas!$M:$M,"Mensal")+SUMIFS(Despesas!$F:$F,Despesas!$J:$J,"&lt;="&amp;$A66,Despesas!$L:$L,"&gt;="&amp;$A66,Despesas!$C:$C,F$1,Despesas!$M:$M,$B66)</f>
        <v>13000</v>
      </c>
      <c r="G66" s="5">
        <f>SUMIFS(Despesas!$F:$F,Despesas!$J:$J,"&lt;="&amp;$A66,Despesas!$L:$L,"&gt;="&amp;$A66,Despesas!$C:$C,G$1,Despesas!$M:$M,"Mensal")+SUMIFS(Despesas!$F:$F,Despesas!$J:$J,"&lt;="&amp;$A66,Despesas!$L:$L,"&gt;="&amp;$A66,Despesas!$C:$C,G$1,Despesas!$M:$M,$B66)</f>
        <v>0</v>
      </c>
      <c r="H66" s="18">
        <f ca="1">SUMIFS(Despesas!$F:$F,Despesas!$J:$J,"&lt;="&amp;$A66,Despesas!$L:$L,"&gt;="&amp;$A66,Despesas!$C:$C,H$1,Despesas!$M:$M,"Mensal")+SUMIFS(Despesas!$F:$F,Despesas!$J:$J,"&lt;="&amp;$A66,Despesas!$L:$L,"&gt;="&amp;$A66,Despesas!$C:$C,H$1,Despesas!$M:$M,$B66)</f>
        <v>2686.355</v>
      </c>
      <c r="I66" s="18">
        <f>IF(Imóveis!$F$2="PRICE",IF(AND(Dados!$A66&gt;=Imóveis!$Q$2,Dados!$A66&lt;=Imóveis!$T$2),Imóveis!$U$2,0),IF((IF(AND(Dados!$A66&gt;=Imóveis!$Q$2,Dados!$A66&lt;=Imóveis!$T$2),Imóveis!$S$2-(DATEDIF(Imóveis!$Q$2,Dados!$A66,"m")),0))=0,0,((Imóveis!$N$2/Imóveis!$S$2)+((Imóveis!$N$2-((Imóveis!$S$2-(IF(AND(Dados!$A66&gt;=Imóveis!$Q$2,Dados!$A66&lt;=Imóveis!$T$2),Imóveis!$S$2-(DATEDIF(Imóveis!$Q$2,Dados!$A66,"m")),)))*(Imóveis!$N$2/Imóveis!$S$2)))*Imóveis!$P$2))))*IF(AND(Imóveis!$E$2&gt;0,Dados!$A66&gt;Imóveis!$E$2),0,1)</f>
        <v>14972.224475855397</v>
      </c>
      <c r="J66" s="18">
        <f ca="1">IF(Imóveis!$F$3="PRICE",IF(AND(Dados!$A66&gt;=Imóveis!$Q$3,Dados!$A66&lt;=Imóveis!$T$3),Imóveis!$U$3,0),IF((IF(AND(Dados!$A66&gt;=Imóveis!$Q$3,Dados!$A66&lt;=Imóveis!$T$3),Imóveis!$S$3-(DATEDIF(Imóveis!$Q$3,Dados!$A66,"m")),0))=0,0,((Imóveis!$N$3/Imóveis!$S$3)+((Imóveis!$N$3-((Imóveis!$S$3-(IF(AND(Dados!$A66&gt;=Imóveis!$Q$3,Dados!$A66&lt;=Imóveis!$T$3),Imóveis!$S$3-(DATEDIF(Imóveis!$Q$3,Dados!$A66,"m")),)))*(Imóveis!$N$3/Imóveis!$S$3)))*Imóveis!$P$3))))*IF(AND(Imóveis!$E$3&gt;0,Dados!$A66&gt;Imóveis!$E$3),0,1)</f>
        <v>9314.6986248807771</v>
      </c>
      <c r="K66" s="18">
        <f>IF(Imóveis!$F$4="PRICE",IF(AND(Dados!$A66&gt;=Imóveis!$Q$4,Dados!$A66&lt;=Imóveis!$T$4),Imóveis!$U$4,0),IF((IF(AND(Dados!$A66&gt;=Imóveis!$Q$4,Dados!$A66&lt;=Imóveis!$T$4),Imóveis!$S$4-(DATEDIF(Imóveis!$Q$4,Dados!$A66,"m")),0))=0,0,((Imóveis!$N$4/Imóveis!$S$4)+((Imóveis!$N$4-((Imóveis!$S$4-(IF(AND(Dados!$A66&gt;=Imóveis!$Q$4,Dados!$A66&lt;=Imóveis!$T$4),Imóveis!$S$4-(DATEDIF(Imóveis!$Q$4,Dados!$A66,"m")),)))*(Imóveis!$N$4/Imóveis!$S$4)))*Imóveis!$P$4))))*IF(AND(Imóveis!$E$4&gt;0,Dados!$A66&gt;Imóveis!$E$4),0,1)</f>
        <v>4643.949359272583</v>
      </c>
      <c r="L66" s="18">
        <f>IF(Imóveis!$F$5="PRICE",IF(AND(Dados!$A66&gt;=Imóveis!$Q$5,Dados!$A66&lt;=Imóveis!$T$5),Imóveis!$U$5,0),IF((IF(AND(Dados!$A66&gt;=Imóveis!$Q$5,Dados!$A66&lt;=Imóveis!$T$5),Imóveis!$S$5-(DATEDIF(Imóveis!$Q$5,Dados!$A66,"m")),0))=0,0,((Imóveis!$N$5/Imóveis!$S$5)+((Imóveis!$N$5-((Imóveis!$S$5-(IF(AND(Dados!$A66 &gt;=Imóveis!$Q$5,Dados!$A66&lt;=Imóveis!$T$5),Imóveis!$S$5-(DATEDIF(Imóveis!$Q$5,Dados!$A66,"m")),)))*(Imóveis!$N$5/Imóveis!$S$5)))*Imóveis!$P$5))))*IF(AND(Imóveis!$E$5&gt;0,Dados!$A66&gt;Imóveis!$E$5),0,1)*Imóveis!$I$5</f>
        <v>0</v>
      </c>
      <c r="M66" s="18">
        <f>IF(Imóveis!$F$6="PRICE",IF(AND(Dados!$A66&gt;=Imóveis!$Q$6,Dados!$A66&lt;=Imóveis!$T$6),Imóveis!$U$6,0),IF((IF(AND(Dados!$A66&gt;=Imóveis!$Q$6,Dados!$A66&lt;=Imóveis!$T$6),Imóveis!$S$6-(DATEDIF(Imóveis!$Q$6,Dados!$A66,"m")),0))=0,0,((Imóveis!$N$6/Imóveis!$S$6)+((Imóveis!$N$6-((Imóveis!$S$6-(IF(AND(Dados!$A66&gt;=Imóveis!$Q$6,Dados!$A66&lt;=Imóveis!$T$6),Imóveis!$S$6-(DATEDIF(Imóveis!$Q$6,Dados!$A66,"m")),)))*(Imóveis!$N$6/Imóveis!$S$6)))*Imóveis!$P$6))))*IF(AND(Imóveis!$E$6&gt;0,Dados!$A66&gt;Imóveis!$E$6),0,1)*Imóveis!$I$6</f>
        <v>0</v>
      </c>
      <c r="N66" s="18">
        <f t="shared" ca="1" si="3"/>
        <v>89768.627460008764</v>
      </c>
      <c r="O66" s="18">
        <f>SUMIFS(Receitas!$F:$F,Receitas!$J:$J,"&lt;="&amp;$A66,Receitas!$L:$L,"&gt;="&amp;$A66,Receitas!$C:$C,O$1,Receitas!$M:$M,"Mensal")+SUMIFS(Receitas!$F:$F,Receitas!$J:$J,"&lt;="&amp;$A66,Receitas!$L:$L,"&gt;="&amp;$A66,Receitas!$C:$C,O$1,Receitas!$M:$M,$B66)</f>
        <v>50000</v>
      </c>
      <c r="P66" s="18">
        <f>SUMIFS(Receitas!$F:$F,Receitas!$J:$J,"&lt;="&amp;$A66,Receitas!$L:$L,"&gt;="&amp;$A66,Receitas!$C:$C,P$1,Receitas!$M:$M,"Mensal")+SUMIFS(Receitas!$F:$F,Receitas!$J:$J,"&lt;="&amp;$A66,Receitas!$L:$L,"&gt;="&amp;$A66,Receitas!$C:$C,P$1,Receitas!$M:$M,$B66)</f>
        <v>20000</v>
      </c>
      <c r="Q66" s="18">
        <f ca="1">SUMIFS(Receitas!$F:$F,Receitas!$J:$J,"&lt;="&amp;$A66,Receitas!$L:$L,"&gt;="&amp;$A66,Receitas!$C:$C,Q$1,Receitas!$M:$M,"Mensal")+SUMIFS(Receitas!$F:$F,Receitas!$J:$J,"&lt;="&amp;$A66,Receitas!$L:$L,"&gt;="&amp;$A66,Receitas!$C:$C,Q$1,Receitas!$M:$M,$B66)</f>
        <v>15101.400000000001</v>
      </c>
      <c r="R66" s="18" cm="1">
        <f t="array" ref="R66">(IF(AND(Membros!$F$2="Sim",A66&lt;=MAX(Membros!$E$2:$E$5)),Membros!K$2,IF(AND(A66&gt;=Membros!J$2,A66&lt;=MAX(Membros!$E$2:$E$5)),Membros!K$2,0))+IF(AND(Membros!$F$3="Sim",A66&lt;=MAX(Membros!$E$2:$E$5)),Membros!K$3,IF(AND(A66&gt;=Membros!J$3,A66&lt;=MAX(Membros!$E$2:$E$5)),Membros!K$3,0)))*IF(AND(COUNTIFS(Tabela3[Tipo],"Provedor",Tabela3[Simulação Seguro],"Sim")=2,A66&gt;=MAX(IF(Tabela3[Tipo]="Dependente",Tabela3[Expectativa de Vida (Data)]))),0,1)</f>
        <v>0</v>
      </c>
      <c r="S66" s="18">
        <f t="shared" ca="1" si="4"/>
        <v>85101.4</v>
      </c>
      <c r="U66" s="18">
        <f t="shared" ca="1" si="7"/>
        <v>5176894.2873826269</v>
      </c>
      <c r="V66" s="18">
        <f>SUMIF(Imóveis!E:E,Dados!A:A,Imóveis!Z:Z)-SUMIF(Imóveis!E:E,Dados!A:A,Imóveis!Y:Y)</f>
        <v>0</v>
      </c>
      <c r="W66" s="18">
        <f>-SUMIF(Projetos!N:N,A66,Projetos!F:F)</f>
        <v>0</v>
      </c>
      <c r="X66" s="18">
        <f t="shared" ref="X66:X129" ca="1" si="10">(S66-N66)</f>
        <v>-4667.2274600087694</v>
      </c>
      <c r="Y66" s="26">
        <f ca="1">(U66*((Indicadores_Economicos!D$2+1)^(1/12)-1))</f>
        <v>16947.804776842804</v>
      </c>
      <c r="Z66" s="18">
        <f t="shared" ca="1" si="5"/>
        <v>5189174.8646994606</v>
      </c>
      <c r="AA66" s="18">
        <f ca="1">Auxiliar_Projetos!E66</f>
        <v>241496.03883568067</v>
      </c>
      <c r="AB66" s="18">
        <f ca="1">Auxiliar_Projetos!K66</f>
        <v>355153.41630506085</v>
      </c>
      <c r="AC66" s="18">
        <f ca="1">IF(Z66-AA66-AB66&gt;Investimentos!$C$14,Investimentos!$C$14,IF(Z66-AA66-AB66&lt;Investimentos!$C$14,Z66-AA66-AB66,0))</f>
        <v>300000</v>
      </c>
      <c r="AD66" s="18">
        <f t="shared" ca="1" si="6"/>
        <v>4292525.409558719</v>
      </c>
      <c r="AE66" s="18"/>
    </row>
    <row r="67" spans="1:31" x14ac:dyDescent="0.2">
      <c r="A67" s="4">
        <v>47635</v>
      </c>
      <c r="B67" s="5" t="str">
        <f t="shared" ref="B67:B130" si="11">TEXT(A67,"MMMM")</f>
        <v>junho</v>
      </c>
      <c r="C67" s="5" t="str">
        <f t="shared" si="9"/>
        <v>2030</v>
      </c>
      <c r="D67" s="5">
        <f>SUMIFS(Despesas!$F:$F,Despesas!$J:$J,"&lt;="&amp;$A67,Despesas!$L:$L,"&gt;="&amp;$A67,Despesas!$C:$C,D$1,Despesas!$M:$M,"Mensal")+SUMIFS(Despesas!$F:$F,Despesas!$J:$J,"&lt;="&amp;$A67,Despesas!$L:$L,"&gt;="&amp;$A67,Despesas!$C:$C,D$1,Despesas!$M:$M,$B67)</f>
        <v>23000</v>
      </c>
      <c r="E67" s="18">
        <f ca="1">SUMIFS(Despesas!$F:$F,Despesas!$J:$J,"&lt;="&amp;$A67,Despesas!$L:$L,"&gt;="&amp;$A67,Despesas!$C:$C,E$1,Despesas!$M:$M,"Mensal")+SUMIFS(Despesas!$F:$F,Despesas!$J:$J,"&lt;="&amp;$A67,Despesas!$L:$L,"&gt;="&amp;$A67,Despesas!$C:$C,E$1,Despesas!$M:$M,$B67)</f>
        <v>22151.4</v>
      </c>
      <c r="F67" s="5">
        <f>SUMIFS(Despesas!$F:$F,Despesas!$J:$J,"&lt;="&amp;$A67,Despesas!$L:$L,"&gt;="&amp;$A67,Despesas!$C:$C,F$1,Despesas!$M:$M,"Mensal")+SUMIFS(Despesas!$F:$F,Despesas!$J:$J,"&lt;="&amp;$A67,Despesas!$L:$L,"&gt;="&amp;$A67,Despesas!$C:$C,F$1,Despesas!$M:$M,$B67)</f>
        <v>13000</v>
      </c>
      <c r="G67" s="5">
        <f>SUMIFS(Despesas!$F:$F,Despesas!$J:$J,"&lt;="&amp;$A67,Despesas!$L:$L,"&gt;="&amp;$A67,Despesas!$C:$C,G$1,Despesas!$M:$M,"Mensal")+SUMIFS(Despesas!$F:$F,Despesas!$J:$J,"&lt;="&amp;$A67,Despesas!$L:$L,"&gt;="&amp;$A67,Despesas!$C:$C,G$1,Despesas!$M:$M,$B67)</f>
        <v>0</v>
      </c>
      <c r="H67" s="18">
        <f ca="1">SUMIFS(Despesas!$F:$F,Despesas!$J:$J,"&lt;="&amp;$A67,Despesas!$L:$L,"&gt;="&amp;$A67,Despesas!$C:$C,H$1,Despesas!$M:$M,"Mensal")+SUMIFS(Despesas!$F:$F,Despesas!$J:$J,"&lt;="&amp;$A67,Despesas!$L:$L,"&gt;="&amp;$A67,Despesas!$C:$C,H$1,Despesas!$M:$M,$B67)</f>
        <v>2686.355</v>
      </c>
      <c r="I67" s="18">
        <f>IF(Imóveis!$F$2="PRICE",IF(AND(Dados!$A67&gt;=Imóveis!$Q$2,Dados!$A67&lt;=Imóveis!$T$2),Imóveis!$U$2,0),IF((IF(AND(Dados!$A67&gt;=Imóveis!$Q$2,Dados!$A67&lt;=Imóveis!$T$2),Imóveis!$S$2-(DATEDIF(Imóveis!$Q$2,Dados!$A67,"m")),0))=0,0,((Imóveis!$N$2/Imóveis!$S$2)+((Imóveis!$N$2-((Imóveis!$S$2-(IF(AND(Dados!$A67&gt;=Imóveis!$Q$2,Dados!$A67&lt;=Imóveis!$T$2),Imóveis!$S$2-(DATEDIF(Imóveis!$Q$2,Dados!$A67,"m")),)))*(Imóveis!$N$2/Imóveis!$S$2)))*Imóveis!$P$2))))*IF(AND(Imóveis!$E$2&gt;0,Dados!$A67&gt;Imóveis!$E$2),0,1)</f>
        <v>14910.203383630589</v>
      </c>
      <c r="J67" s="18">
        <f ca="1">IF(Imóveis!$F$3="PRICE",IF(AND(Dados!$A67&gt;=Imóveis!$Q$3,Dados!$A67&lt;=Imóveis!$T$3),Imóveis!$U$3,0),IF((IF(AND(Dados!$A67&gt;=Imóveis!$Q$3,Dados!$A67&lt;=Imóveis!$T$3),Imóveis!$S$3-(DATEDIF(Imóveis!$Q$3,Dados!$A67,"m")),0))=0,0,((Imóveis!$N$3/Imóveis!$S$3)+((Imóveis!$N$3-((Imóveis!$S$3-(IF(AND(Dados!$A67&gt;=Imóveis!$Q$3,Dados!$A67&lt;=Imóveis!$T$3),Imóveis!$S$3-(DATEDIF(Imóveis!$Q$3,Dados!$A67,"m")),)))*(Imóveis!$N$3/Imóveis!$S$3)))*Imóveis!$P$3))))*IF(AND(Imóveis!$E$3&gt;0,Dados!$A67&gt;Imóveis!$E$3),0,1)</f>
        <v>9314.6986248807771</v>
      </c>
      <c r="K67" s="18">
        <f>IF(Imóveis!$F$4="PRICE",IF(AND(Dados!$A67&gt;=Imóveis!$Q$4,Dados!$A67&lt;=Imóveis!$T$4),Imóveis!$U$4,0),IF((IF(AND(Dados!$A67&gt;=Imóveis!$Q$4,Dados!$A67&lt;=Imóveis!$T$4),Imóveis!$S$4-(DATEDIF(Imóveis!$Q$4,Dados!$A67,"m")),0))=0,0,((Imóveis!$N$4/Imóveis!$S$4)+((Imóveis!$N$4-((Imóveis!$S$4-(IF(AND(Dados!$A67&gt;=Imóveis!$Q$4,Dados!$A67&lt;=Imóveis!$T$4),Imóveis!$S$4-(DATEDIF(Imóveis!$Q$4,Dados!$A67,"m")),)))*(Imóveis!$N$4/Imóveis!$S$4)))*Imóveis!$P$4))))*IF(AND(Imóveis!$E$4&gt;0,Dados!$A67&gt;Imóveis!$E$4),0,1)</f>
        <v>4643.949359272583</v>
      </c>
      <c r="L67" s="18">
        <f>IF(Imóveis!$F$5="PRICE",IF(AND(Dados!$A67&gt;=Imóveis!$Q$5,Dados!$A67&lt;=Imóveis!$T$5),Imóveis!$U$5,0),IF((IF(AND(Dados!$A67&gt;=Imóveis!$Q$5,Dados!$A67&lt;=Imóveis!$T$5),Imóveis!$S$5-(DATEDIF(Imóveis!$Q$5,Dados!$A67,"m")),0))=0,0,((Imóveis!$N$5/Imóveis!$S$5)+((Imóveis!$N$5-((Imóveis!$S$5-(IF(AND(Dados!$A67 &gt;=Imóveis!$Q$5,Dados!$A67&lt;=Imóveis!$T$5),Imóveis!$S$5-(DATEDIF(Imóveis!$Q$5,Dados!$A67,"m")),)))*(Imóveis!$N$5/Imóveis!$S$5)))*Imóveis!$P$5))))*IF(AND(Imóveis!$E$5&gt;0,Dados!$A67&gt;Imóveis!$E$5),0,1)*Imóveis!$I$5</f>
        <v>0</v>
      </c>
      <c r="M67" s="18">
        <f>IF(Imóveis!$F$6="PRICE",IF(AND(Dados!$A67&gt;=Imóveis!$Q$6,Dados!$A67&lt;=Imóveis!$T$6),Imóveis!$U$6,0),IF((IF(AND(Dados!$A67&gt;=Imóveis!$Q$6,Dados!$A67&lt;=Imóveis!$T$6),Imóveis!$S$6-(DATEDIF(Imóveis!$Q$6,Dados!$A67,"m")),0))=0,0,((Imóveis!$N$6/Imóveis!$S$6)+((Imóveis!$N$6-((Imóveis!$S$6-(IF(AND(Dados!$A67&gt;=Imóveis!$Q$6,Dados!$A67&lt;=Imóveis!$T$6),Imóveis!$S$6-(DATEDIF(Imóveis!$Q$6,Dados!$A67,"m")),)))*(Imóveis!$N$6/Imóveis!$S$6)))*Imóveis!$P$6))))*IF(AND(Imóveis!$E$6&gt;0,Dados!$A67&gt;Imóveis!$E$6),0,1)*Imóveis!$I$6</f>
        <v>0</v>
      </c>
      <c r="N67" s="18">
        <f t="shared" ref="N67:N130" ca="1" si="12">SUM(D67:M67)</f>
        <v>89706.606367783956</v>
      </c>
      <c r="O67" s="18">
        <f>SUMIFS(Receitas!$F:$F,Receitas!$J:$J,"&lt;="&amp;$A67,Receitas!$L:$L,"&gt;="&amp;$A67,Receitas!$C:$C,O$1,Receitas!$M:$M,"Mensal")+SUMIFS(Receitas!$F:$F,Receitas!$J:$J,"&lt;="&amp;$A67,Receitas!$L:$L,"&gt;="&amp;$A67,Receitas!$C:$C,O$1,Receitas!$M:$M,$B67)</f>
        <v>50000</v>
      </c>
      <c r="P67" s="18">
        <f>SUMIFS(Receitas!$F:$F,Receitas!$J:$J,"&lt;="&amp;$A67,Receitas!$L:$L,"&gt;="&amp;$A67,Receitas!$C:$C,P$1,Receitas!$M:$M,"Mensal")+SUMIFS(Receitas!$F:$F,Receitas!$J:$J,"&lt;="&amp;$A67,Receitas!$L:$L,"&gt;="&amp;$A67,Receitas!$C:$C,P$1,Receitas!$M:$M,$B67)</f>
        <v>20000</v>
      </c>
      <c r="Q67" s="18">
        <f ca="1">SUMIFS(Receitas!$F:$F,Receitas!$J:$J,"&lt;="&amp;$A67,Receitas!$L:$L,"&gt;="&amp;$A67,Receitas!$C:$C,Q$1,Receitas!$M:$M,"Mensal")+SUMIFS(Receitas!$F:$F,Receitas!$J:$J,"&lt;="&amp;$A67,Receitas!$L:$L,"&gt;="&amp;$A67,Receitas!$C:$C,Q$1,Receitas!$M:$M,$B67)</f>
        <v>15101.400000000001</v>
      </c>
      <c r="R67" s="18" cm="1">
        <f t="array" ref="R67">(IF(AND(Membros!$F$2="Sim",A67&lt;=MAX(Membros!$E$2:$E$5)),Membros!K$2,IF(AND(A67&gt;=Membros!J$2,A67&lt;=MAX(Membros!$E$2:$E$5)),Membros!K$2,0))+IF(AND(Membros!$F$3="Sim",A67&lt;=MAX(Membros!$E$2:$E$5)),Membros!K$3,IF(AND(A67&gt;=Membros!J$3,A67&lt;=MAX(Membros!$E$2:$E$5)),Membros!K$3,0)))*IF(AND(COUNTIFS(Tabela3[Tipo],"Provedor",Tabela3[Simulação Seguro],"Sim")=2,A67&gt;=MAX(IF(Tabela3[Tipo]="Dependente",Tabela3[Expectativa de Vida (Data)]))),0,1)</f>
        <v>0</v>
      </c>
      <c r="S67" s="18">
        <f t="shared" ref="S67:S130" ca="1" si="13">O67+P67+Q67+R67</f>
        <v>85101.4</v>
      </c>
      <c r="U67" s="18">
        <f t="shared" ca="1" si="7"/>
        <v>5189174.8646994606</v>
      </c>
      <c r="V67" s="18">
        <f>SUMIF(Imóveis!E:E,Dados!A:A,Imóveis!Z:Z)-SUMIF(Imóveis!E:E,Dados!A:A,Imóveis!Y:Y)</f>
        <v>0</v>
      </c>
      <c r="W67" s="18">
        <f>-SUMIF(Projetos!N:N,A67,Projetos!F:F)</f>
        <v>0</v>
      </c>
      <c r="X67" s="18">
        <f t="shared" ca="1" si="10"/>
        <v>-4605.2063677839615</v>
      </c>
      <c r="Y67" s="26">
        <f ca="1">(U67*((Indicadores_Economicos!D$2+1)^(1/12)-1))</f>
        <v>16988.008191353292</v>
      </c>
      <c r="Z67" s="18">
        <f t="shared" ref="Z67:Z130" ca="1" si="14">U67+V67+W67+X67+Y67</f>
        <v>5201557.66652303</v>
      </c>
      <c r="AA67" s="18">
        <f ca="1">Auxiliar_Projetos!E67</f>
        <v>242286.63402526049</v>
      </c>
      <c r="AB67" s="18">
        <f ca="1">Auxiliar_Projetos!K67</f>
        <v>356316.09617280256</v>
      </c>
      <c r="AC67" s="18">
        <f ca="1">IF(Z67-AA67-AB67&gt;Investimentos!$C$14,Investimentos!$C$14,IF(Z67-AA67-AB67&lt;Investimentos!$C$14,Z67-AA67-AB67,0))</f>
        <v>300000</v>
      </c>
      <c r="AD67" s="18">
        <f t="shared" ref="AD67:AD130" ca="1" si="15">Z67-AA67-AB67-AC67</f>
        <v>4302954.9363249671</v>
      </c>
      <c r="AE67" s="18"/>
    </row>
    <row r="68" spans="1:31" x14ac:dyDescent="0.2">
      <c r="A68" s="4">
        <v>47665</v>
      </c>
      <c r="B68" s="5" t="str">
        <f t="shared" si="11"/>
        <v>julho</v>
      </c>
      <c r="C68" s="5" t="str">
        <f t="shared" si="9"/>
        <v>2030</v>
      </c>
      <c r="D68" s="5">
        <f>SUMIFS(Despesas!$F:$F,Despesas!$J:$J,"&lt;="&amp;$A68,Despesas!$L:$L,"&gt;="&amp;$A68,Despesas!$C:$C,D$1,Despesas!$M:$M,"Mensal")+SUMIFS(Despesas!$F:$F,Despesas!$J:$J,"&lt;="&amp;$A68,Despesas!$L:$L,"&gt;="&amp;$A68,Despesas!$C:$C,D$1,Despesas!$M:$M,$B68)</f>
        <v>23000</v>
      </c>
      <c r="E68" s="18">
        <f ca="1">SUMIFS(Despesas!$F:$F,Despesas!$J:$J,"&lt;="&amp;$A68,Despesas!$L:$L,"&gt;="&amp;$A68,Despesas!$C:$C,E$1,Despesas!$M:$M,"Mensal")+SUMIFS(Despesas!$F:$F,Despesas!$J:$J,"&lt;="&amp;$A68,Despesas!$L:$L,"&gt;="&amp;$A68,Despesas!$C:$C,E$1,Despesas!$M:$M,$B68)</f>
        <v>22151.4</v>
      </c>
      <c r="F68" s="5">
        <f>SUMIFS(Despesas!$F:$F,Despesas!$J:$J,"&lt;="&amp;$A68,Despesas!$L:$L,"&gt;="&amp;$A68,Despesas!$C:$C,F$1,Despesas!$M:$M,"Mensal")+SUMIFS(Despesas!$F:$F,Despesas!$J:$J,"&lt;="&amp;$A68,Despesas!$L:$L,"&gt;="&amp;$A68,Despesas!$C:$C,F$1,Despesas!$M:$M,$B68)</f>
        <v>13000</v>
      </c>
      <c r="G68" s="5">
        <f ca="1">SUMIFS(Despesas!$F:$F,Despesas!$J:$J,"&lt;="&amp;$A68,Despesas!$L:$L,"&gt;="&amp;$A68,Despesas!$C:$C,G$1,Despesas!$M:$M,"Mensal")+SUMIFS(Despesas!$F:$F,Despesas!$J:$J,"&lt;="&amp;$A68,Despesas!$L:$L,"&gt;="&amp;$A68,Despesas!$C:$C,G$1,Despesas!$M:$M,$B68)</f>
        <v>55757</v>
      </c>
      <c r="H68" s="18">
        <f ca="1">SUMIFS(Despesas!$F:$F,Despesas!$J:$J,"&lt;="&amp;$A68,Despesas!$L:$L,"&gt;="&amp;$A68,Despesas!$C:$C,H$1,Despesas!$M:$M,"Mensal")+SUMIFS(Despesas!$F:$F,Despesas!$J:$J,"&lt;="&amp;$A68,Despesas!$L:$L,"&gt;="&amp;$A68,Despesas!$C:$C,H$1,Despesas!$M:$M,$B68)</f>
        <v>2686.355</v>
      </c>
      <c r="I68" s="18">
        <f>IF(Imóveis!$F$2="PRICE",IF(AND(Dados!$A68&gt;=Imóveis!$Q$2,Dados!$A68&lt;=Imóveis!$T$2),Imóveis!$U$2,0),IF((IF(AND(Dados!$A68&gt;=Imóveis!$Q$2,Dados!$A68&lt;=Imóveis!$T$2),Imóveis!$S$2-(DATEDIF(Imóveis!$Q$2,Dados!$A68,"m")),0))=0,0,((Imóveis!$N$2/Imóveis!$S$2)+((Imóveis!$N$2-((Imóveis!$S$2-(IF(AND(Dados!$A68&gt;=Imóveis!$Q$2,Dados!$A68&lt;=Imóveis!$T$2),Imóveis!$S$2-(DATEDIF(Imóveis!$Q$2,Dados!$A68,"m")),)))*(Imóveis!$N$2/Imóveis!$S$2)))*Imóveis!$P$2))))*IF(AND(Imóveis!$E$2&gt;0,Dados!$A68&gt;Imóveis!$E$2),0,1)</f>
        <v>14848.182291405781</v>
      </c>
      <c r="J68" s="18">
        <f ca="1">IF(Imóveis!$F$3="PRICE",IF(AND(Dados!$A68&gt;=Imóveis!$Q$3,Dados!$A68&lt;=Imóveis!$T$3),Imóveis!$U$3,0),IF((IF(AND(Dados!$A68&gt;=Imóveis!$Q$3,Dados!$A68&lt;=Imóveis!$T$3),Imóveis!$S$3-(DATEDIF(Imóveis!$Q$3,Dados!$A68,"m")),0))=0,0,((Imóveis!$N$3/Imóveis!$S$3)+((Imóveis!$N$3-((Imóveis!$S$3-(IF(AND(Dados!$A68&gt;=Imóveis!$Q$3,Dados!$A68&lt;=Imóveis!$T$3),Imóveis!$S$3-(DATEDIF(Imóveis!$Q$3,Dados!$A68,"m")),)))*(Imóveis!$N$3/Imóveis!$S$3)))*Imóveis!$P$3))))*IF(AND(Imóveis!$E$3&gt;0,Dados!$A68&gt;Imóveis!$E$3),0,1)</f>
        <v>9314.6986248807771</v>
      </c>
      <c r="K68" s="18">
        <f>IF(Imóveis!$F$4="PRICE",IF(AND(Dados!$A68&gt;=Imóveis!$Q$4,Dados!$A68&lt;=Imóveis!$T$4),Imóveis!$U$4,0),IF((IF(AND(Dados!$A68&gt;=Imóveis!$Q$4,Dados!$A68&lt;=Imóveis!$T$4),Imóveis!$S$4-(DATEDIF(Imóveis!$Q$4,Dados!$A68,"m")),0))=0,0,((Imóveis!$N$4/Imóveis!$S$4)+((Imóveis!$N$4-((Imóveis!$S$4-(IF(AND(Dados!$A68&gt;=Imóveis!$Q$4,Dados!$A68&lt;=Imóveis!$T$4),Imóveis!$S$4-(DATEDIF(Imóveis!$Q$4,Dados!$A68,"m")),)))*(Imóveis!$N$4/Imóveis!$S$4)))*Imóveis!$P$4))))*IF(AND(Imóveis!$E$4&gt;0,Dados!$A68&gt;Imóveis!$E$4),0,1)</f>
        <v>4643.949359272583</v>
      </c>
      <c r="L68" s="18">
        <f>IF(Imóveis!$F$5="PRICE",IF(AND(Dados!$A68&gt;=Imóveis!$Q$5,Dados!$A68&lt;=Imóveis!$T$5),Imóveis!$U$5,0),IF((IF(AND(Dados!$A68&gt;=Imóveis!$Q$5,Dados!$A68&lt;=Imóveis!$T$5),Imóveis!$S$5-(DATEDIF(Imóveis!$Q$5,Dados!$A68,"m")),0))=0,0,((Imóveis!$N$5/Imóveis!$S$5)+((Imóveis!$N$5-((Imóveis!$S$5-(IF(AND(Dados!$A68 &gt;=Imóveis!$Q$5,Dados!$A68&lt;=Imóveis!$T$5),Imóveis!$S$5-(DATEDIF(Imóveis!$Q$5,Dados!$A68,"m")),)))*(Imóveis!$N$5/Imóveis!$S$5)))*Imóveis!$P$5))))*IF(AND(Imóveis!$E$5&gt;0,Dados!$A68&gt;Imóveis!$E$5),0,1)*Imóveis!$I$5</f>
        <v>0</v>
      </c>
      <c r="M68" s="18">
        <f>IF(Imóveis!$F$6="PRICE",IF(AND(Dados!$A68&gt;=Imóveis!$Q$6,Dados!$A68&lt;=Imóveis!$T$6),Imóveis!$U$6,0),IF((IF(AND(Dados!$A68&gt;=Imóveis!$Q$6,Dados!$A68&lt;=Imóveis!$T$6),Imóveis!$S$6-(DATEDIF(Imóveis!$Q$6,Dados!$A68,"m")),0))=0,0,((Imóveis!$N$6/Imóveis!$S$6)+((Imóveis!$N$6-((Imóveis!$S$6-(IF(AND(Dados!$A68&gt;=Imóveis!$Q$6,Dados!$A68&lt;=Imóveis!$T$6),Imóveis!$S$6-(DATEDIF(Imóveis!$Q$6,Dados!$A68,"m")),)))*(Imóveis!$N$6/Imóveis!$S$6)))*Imóveis!$P$6))))*IF(AND(Imóveis!$E$6&gt;0,Dados!$A68&gt;Imóveis!$E$6),0,1)*Imóveis!$I$6</f>
        <v>0</v>
      </c>
      <c r="N68" s="18">
        <f t="shared" ca="1" si="12"/>
        <v>145401.58527555913</v>
      </c>
      <c r="O68" s="18">
        <f>SUMIFS(Receitas!$F:$F,Receitas!$J:$J,"&lt;="&amp;$A68,Receitas!$L:$L,"&gt;="&amp;$A68,Receitas!$C:$C,O$1,Receitas!$M:$M,"Mensal")+SUMIFS(Receitas!$F:$F,Receitas!$J:$J,"&lt;="&amp;$A68,Receitas!$L:$L,"&gt;="&amp;$A68,Receitas!$C:$C,O$1,Receitas!$M:$M,$B68)</f>
        <v>50000</v>
      </c>
      <c r="P68" s="18">
        <f>SUMIFS(Receitas!$F:$F,Receitas!$J:$J,"&lt;="&amp;$A68,Receitas!$L:$L,"&gt;="&amp;$A68,Receitas!$C:$C,P$1,Receitas!$M:$M,"Mensal")+SUMIFS(Receitas!$F:$F,Receitas!$J:$J,"&lt;="&amp;$A68,Receitas!$L:$L,"&gt;="&amp;$A68,Receitas!$C:$C,P$1,Receitas!$M:$M,$B68)</f>
        <v>20000</v>
      </c>
      <c r="Q68" s="18">
        <f ca="1">SUMIFS(Receitas!$F:$F,Receitas!$J:$J,"&lt;="&amp;$A68,Receitas!$L:$L,"&gt;="&amp;$A68,Receitas!$C:$C,Q$1,Receitas!$M:$M,"Mensal")+SUMIFS(Receitas!$F:$F,Receitas!$J:$J,"&lt;="&amp;$A68,Receitas!$L:$L,"&gt;="&amp;$A68,Receitas!$C:$C,Q$1,Receitas!$M:$M,$B68)</f>
        <v>15101.400000000001</v>
      </c>
      <c r="R68" s="18" cm="1">
        <f t="array" ref="R68">(IF(AND(Membros!$F$2="Sim",A68&lt;=MAX(Membros!$E$2:$E$5)),Membros!K$2,IF(AND(A68&gt;=Membros!J$2,A68&lt;=MAX(Membros!$E$2:$E$5)),Membros!K$2,0))+IF(AND(Membros!$F$3="Sim",A68&lt;=MAX(Membros!$E$2:$E$5)),Membros!K$3,IF(AND(A68&gt;=Membros!J$3,A68&lt;=MAX(Membros!$E$2:$E$5)),Membros!K$3,0)))*IF(AND(COUNTIFS(Tabela3[Tipo],"Provedor",Tabela3[Simulação Seguro],"Sim")=2,A68&gt;=MAX(IF(Tabela3[Tipo]="Dependente",Tabela3[Expectativa de Vida (Data)]))),0,1)</f>
        <v>0</v>
      </c>
      <c r="S68" s="18">
        <f t="shared" ca="1" si="13"/>
        <v>85101.4</v>
      </c>
      <c r="U68" s="18">
        <f t="shared" ref="U68:U131" ca="1" si="16">Z67</f>
        <v>5201557.66652303</v>
      </c>
      <c r="V68" s="18">
        <f>SUMIF(Imóveis!E:E,Dados!A:A,Imóveis!Z:Z)-SUMIF(Imóveis!E:E,Dados!A:A,Imóveis!Y:Y)</f>
        <v>0</v>
      </c>
      <c r="W68" s="18">
        <f>-SUMIF(Projetos!N:N,A68,Projetos!F:F)</f>
        <v>0</v>
      </c>
      <c r="X68" s="18">
        <f t="shared" ca="1" si="10"/>
        <v>-60300.185275559139</v>
      </c>
      <c r="Y68" s="26">
        <f ca="1">(U68*((Indicadores_Economicos!D$2+1)^(1/12)-1))</f>
        <v>17028.546262298198</v>
      </c>
      <c r="Z68" s="18">
        <f t="shared" ca="1" si="14"/>
        <v>5158286.0275097685</v>
      </c>
      <c r="AA68" s="18">
        <f ca="1">Auxiliar_Projetos!E68</f>
        <v>243079.81741776405</v>
      </c>
      <c r="AB68" s="18">
        <f ca="1">Auxiliar_Projetos!K68</f>
        <v>357482.58235188125</v>
      </c>
      <c r="AC68" s="18">
        <f ca="1">IF(Z68-AA68-AB68&gt;Investimentos!$C$14,Investimentos!$C$14,IF(Z68-AA68-AB68&lt;Investimentos!$C$14,Z68-AA68-AB68,0))</f>
        <v>300000</v>
      </c>
      <c r="AD68" s="18">
        <f t="shared" ca="1" si="15"/>
        <v>4257723.6277401233</v>
      </c>
      <c r="AE68" s="18"/>
    </row>
    <row r="69" spans="1:31" x14ac:dyDescent="0.2">
      <c r="A69" s="4">
        <v>47696</v>
      </c>
      <c r="B69" s="5" t="str">
        <f t="shared" si="11"/>
        <v>agosto</v>
      </c>
      <c r="C69" s="5" t="str">
        <f t="shared" si="9"/>
        <v>2030</v>
      </c>
      <c r="D69" s="5">
        <f>SUMIFS(Despesas!$F:$F,Despesas!$J:$J,"&lt;="&amp;$A69,Despesas!$L:$L,"&gt;="&amp;$A69,Despesas!$C:$C,D$1,Despesas!$M:$M,"Mensal")+SUMIFS(Despesas!$F:$F,Despesas!$J:$J,"&lt;="&amp;$A69,Despesas!$L:$L,"&gt;="&amp;$A69,Despesas!$C:$C,D$1,Despesas!$M:$M,$B69)</f>
        <v>23000</v>
      </c>
      <c r="E69" s="18">
        <f ca="1">SUMIFS(Despesas!$F:$F,Despesas!$J:$J,"&lt;="&amp;$A69,Despesas!$L:$L,"&gt;="&amp;$A69,Despesas!$C:$C,E$1,Despesas!$M:$M,"Mensal")+SUMIFS(Despesas!$F:$F,Despesas!$J:$J,"&lt;="&amp;$A69,Despesas!$L:$L,"&gt;="&amp;$A69,Despesas!$C:$C,E$1,Despesas!$M:$M,$B69)</f>
        <v>22151.4</v>
      </c>
      <c r="F69" s="5">
        <f>SUMIFS(Despesas!$F:$F,Despesas!$J:$J,"&lt;="&amp;$A69,Despesas!$L:$L,"&gt;="&amp;$A69,Despesas!$C:$C,F$1,Despesas!$M:$M,"Mensal")+SUMIFS(Despesas!$F:$F,Despesas!$J:$J,"&lt;="&amp;$A69,Despesas!$L:$L,"&gt;="&amp;$A69,Despesas!$C:$C,F$1,Despesas!$M:$M,$B69)</f>
        <v>13000</v>
      </c>
      <c r="G69" s="5">
        <f>SUMIFS(Despesas!$F:$F,Despesas!$J:$J,"&lt;="&amp;$A69,Despesas!$L:$L,"&gt;="&amp;$A69,Despesas!$C:$C,G$1,Despesas!$M:$M,"Mensal")+SUMIFS(Despesas!$F:$F,Despesas!$J:$J,"&lt;="&amp;$A69,Despesas!$L:$L,"&gt;="&amp;$A69,Despesas!$C:$C,G$1,Despesas!$M:$M,$B69)</f>
        <v>0</v>
      </c>
      <c r="H69" s="18">
        <f ca="1">SUMIFS(Despesas!$F:$F,Despesas!$J:$J,"&lt;="&amp;$A69,Despesas!$L:$L,"&gt;="&amp;$A69,Despesas!$C:$C,H$1,Despesas!$M:$M,"Mensal")+SUMIFS(Despesas!$F:$F,Despesas!$J:$J,"&lt;="&amp;$A69,Despesas!$L:$L,"&gt;="&amp;$A69,Despesas!$C:$C,H$1,Despesas!$M:$M,$B69)</f>
        <v>2686.355</v>
      </c>
      <c r="I69" s="18">
        <f>IF(Imóveis!$F$2="PRICE",IF(AND(Dados!$A69&gt;=Imóveis!$Q$2,Dados!$A69&lt;=Imóveis!$T$2),Imóveis!$U$2,0),IF((IF(AND(Dados!$A69&gt;=Imóveis!$Q$2,Dados!$A69&lt;=Imóveis!$T$2),Imóveis!$S$2-(DATEDIF(Imóveis!$Q$2,Dados!$A69,"m")),0))=0,0,((Imóveis!$N$2/Imóveis!$S$2)+((Imóveis!$N$2-((Imóveis!$S$2-(IF(AND(Dados!$A69&gt;=Imóveis!$Q$2,Dados!$A69&lt;=Imóveis!$T$2),Imóveis!$S$2-(DATEDIF(Imóveis!$Q$2,Dados!$A69,"m")),)))*(Imóveis!$N$2/Imóveis!$S$2)))*Imóveis!$P$2))))*IF(AND(Imóveis!$E$2&gt;0,Dados!$A69&gt;Imóveis!$E$2),0,1)</f>
        <v>14786.161199180977</v>
      </c>
      <c r="J69" s="18">
        <f ca="1">IF(Imóveis!$F$3="PRICE",IF(AND(Dados!$A69&gt;=Imóveis!$Q$3,Dados!$A69&lt;=Imóveis!$T$3),Imóveis!$U$3,0),IF((IF(AND(Dados!$A69&gt;=Imóveis!$Q$3,Dados!$A69&lt;=Imóveis!$T$3),Imóveis!$S$3-(DATEDIF(Imóveis!$Q$3,Dados!$A69,"m")),0))=0,0,((Imóveis!$N$3/Imóveis!$S$3)+((Imóveis!$N$3-((Imóveis!$S$3-(IF(AND(Dados!$A69&gt;=Imóveis!$Q$3,Dados!$A69&lt;=Imóveis!$T$3),Imóveis!$S$3-(DATEDIF(Imóveis!$Q$3,Dados!$A69,"m")),)))*(Imóveis!$N$3/Imóveis!$S$3)))*Imóveis!$P$3))))*IF(AND(Imóveis!$E$3&gt;0,Dados!$A69&gt;Imóveis!$E$3),0,1)</f>
        <v>9314.6986248807771</v>
      </c>
      <c r="K69" s="18">
        <f>IF(Imóveis!$F$4="PRICE",IF(AND(Dados!$A69&gt;=Imóveis!$Q$4,Dados!$A69&lt;=Imóveis!$T$4),Imóveis!$U$4,0),IF((IF(AND(Dados!$A69&gt;=Imóveis!$Q$4,Dados!$A69&lt;=Imóveis!$T$4),Imóveis!$S$4-(DATEDIF(Imóveis!$Q$4,Dados!$A69,"m")),0))=0,0,((Imóveis!$N$4/Imóveis!$S$4)+((Imóveis!$N$4-((Imóveis!$S$4-(IF(AND(Dados!$A69&gt;=Imóveis!$Q$4,Dados!$A69&lt;=Imóveis!$T$4),Imóveis!$S$4-(DATEDIF(Imóveis!$Q$4,Dados!$A69,"m")),)))*(Imóveis!$N$4/Imóveis!$S$4)))*Imóveis!$P$4))))*IF(AND(Imóveis!$E$4&gt;0,Dados!$A69&gt;Imóveis!$E$4),0,1)</f>
        <v>4643.949359272583</v>
      </c>
      <c r="L69" s="18">
        <f>IF(Imóveis!$F$5="PRICE",IF(AND(Dados!$A69&gt;=Imóveis!$Q$5,Dados!$A69&lt;=Imóveis!$T$5),Imóveis!$U$5,0),IF((IF(AND(Dados!$A69&gt;=Imóveis!$Q$5,Dados!$A69&lt;=Imóveis!$T$5),Imóveis!$S$5-(DATEDIF(Imóveis!$Q$5,Dados!$A69,"m")),0))=0,0,((Imóveis!$N$5/Imóveis!$S$5)+((Imóveis!$N$5-((Imóveis!$S$5-(IF(AND(Dados!$A69 &gt;=Imóveis!$Q$5,Dados!$A69&lt;=Imóveis!$T$5),Imóveis!$S$5-(DATEDIF(Imóveis!$Q$5,Dados!$A69,"m")),)))*(Imóveis!$N$5/Imóveis!$S$5)))*Imóveis!$P$5))))*IF(AND(Imóveis!$E$5&gt;0,Dados!$A69&gt;Imóveis!$E$5),0,1)*Imóveis!$I$5</f>
        <v>0</v>
      </c>
      <c r="M69" s="18">
        <f>IF(Imóveis!$F$6="PRICE",IF(AND(Dados!$A69&gt;=Imóveis!$Q$6,Dados!$A69&lt;=Imóveis!$T$6),Imóveis!$U$6,0),IF((IF(AND(Dados!$A69&gt;=Imóveis!$Q$6,Dados!$A69&lt;=Imóveis!$T$6),Imóveis!$S$6-(DATEDIF(Imóveis!$Q$6,Dados!$A69,"m")),0))=0,0,((Imóveis!$N$6/Imóveis!$S$6)+((Imóveis!$N$6-((Imóveis!$S$6-(IF(AND(Dados!$A69&gt;=Imóveis!$Q$6,Dados!$A69&lt;=Imóveis!$T$6),Imóveis!$S$6-(DATEDIF(Imóveis!$Q$6,Dados!$A69,"m")),)))*(Imóveis!$N$6/Imóveis!$S$6)))*Imóveis!$P$6))))*IF(AND(Imóveis!$E$6&gt;0,Dados!$A69&gt;Imóveis!$E$6),0,1)*Imóveis!$I$6</f>
        <v>0</v>
      </c>
      <c r="N69" s="18">
        <f t="shared" ca="1" si="12"/>
        <v>89582.56418333434</v>
      </c>
      <c r="O69" s="18">
        <f>SUMIFS(Receitas!$F:$F,Receitas!$J:$J,"&lt;="&amp;$A69,Receitas!$L:$L,"&gt;="&amp;$A69,Receitas!$C:$C,O$1,Receitas!$M:$M,"Mensal")+SUMIFS(Receitas!$F:$F,Receitas!$J:$J,"&lt;="&amp;$A69,Receitas!$L:$L,"&gt;="&amp;$A69,Receitas!$C:$C,O$1,Receitas!$M:$M,$B69)</f>
        <v>50000</v>
      </c>
      <c r="P69" s="18">
        <f>SUMIFS(Receitas!$F:$F,Receitas!$J:$J,"&lt;="&amp;$A69,Receitas!$L:$L,"&gt;="&amp;$A69,Receitas!$C:$C,P$1,Receitas!$M:$M,"Mensal")+SUMIFS(Receitas!$F:$F,Receitas!$J:$J,"&lt;="&amp;$A69,Receitas!$L:$L,"&gt;="&amp;$A69,Receitas!$C:$C,P$1,Receitas!$M:$M,$B69)</f>
        <v>20000</v>
      </c>
      <c r="Q69" s="18">
        <f ca="1">SUMIFS(Receitas!$F:$F,Receitas!$J:$J,"&lt;="&amp;$A69,Receitas!$L:$L,"&gt;="&amp;$A69,Receitas!$C:$C,Q$1,Receitas!$M:$M,"Mensal")+SUMIFS(Receitas!$F:$F,Receitas!$J:$J,"&lt;="&amp;$A69,Receitas!$L:$L,"&gt;="&amp;$A69,Receitas!$C:$C,Q$1,Receitas!$M:$M,$B69)</f>
        <v>15101.400000000001</v>
      </c>
      <c r="R69" s="18" cm="1">
        <f t="array" ref="R69">(IF(AND(Membros!$F$2="Sim",A69&lt;=MAX(Membros!$E$2:$E$5)),Membros!K$2,IF(AND(A69&gt;=Membros!J$2,A69&lt;=MAX(Membros!$E$2:$E$5)),Membros!K$2,0))+IF(AND(Membros!$F$3="Sim",A69&lt;=MAX(Membros!$E$2:$E$5)),Membros!K$3,IF(AND(A69&gt;=Membros!J$3,A69&lt;=MAX(Membros!$E$2:$E$5)),Membros!K$3,0)))*IF(AND(COUNTIFS(Tabela3[Tipo],"Provedor",Tabela3[Simulação Seguro],"Sim")=2,A69&gt;=MAX(IF(Tabela3[Tipo]="Dependente",Tabela3[Expectativa de Vida (Data)]))),0,1)</f>
        <v>0</v>
      </c>
      <c r="S69" s="18">
        <f t="shared" ca="1" si="13"/>
        <v>85101.4</v>
      </c>
      <c r="U69" s="18">
        <f t="shared" ca="1" si="16"/>
        <v>5158286.0275097685</v>
      </c>
      <c r="V69" s="18">
        <f>SUMIF(Imóveis!E:E,Dados!A:A,Imóveis!Z:Z)-SUMIF(Imóveis!E:E,Dados!A:A,Imóveis!Y:Y)</f>
        <v>0</v>
      </c>
      <c r="W69" s="18">
        <f>-SUMIF(Projetos!N:N,A69,Projetos!F:F)</f>
        <v>0</v>
      </c>
      <c r="X69" s="18">
        <f t="shared" ca="1" si="10"/>
        <v>-4481.1641833343456</v>
      </c>
      <c r="Y69" s="26">
        <f ca="1">(U69*((Indicadores_Economicos!D$2+1)^(1/12)-1))</f>
        <v>16886.886176219534</v>
      </c>
      <c r="Z69" s="18">
        <f t="shared" ca="1" si="14"/>
        <v>5170691.7495026533</v>
      </c>
      <c r="AA69" s="18">
        <f ca="1">Auxiliar_Projetos!E69</f>
        <v>243875.59748629422</v>
      </c>
      <c r="AB69" s="18">
        <f ca="1">Auxiliar_Projetos!K69</f>
        <v>358652.88730316982</v>
      </c>
      <c r="AC69" s="18">
        <f ca="1">IF(Z69-AA69-AB69&gt;Investimentos!$C$14,Investimentos!$C$14,IF(Z69-AA69-AB69&lt;Investimentos!$C$14,Z69-AA69-AB69,0))</f>
        <v>300000</v>
      </c>
      <c r="AD69" s="18">
        <f t="shared" ca="1" si="15"/>
        <v>4268163.2647131896</v>
      </c>
      <c r="AE69" s="18"/>
    </row>
    <row r="70" spans="1:31" x14ac:dyDescent="0.2">
      <c r="A70" s="4">
        <v>47727</v>
      </c>
      <c r="B70" s="5" t="str">
        <f t="shared" si="11"/>
        <v>setembro</v>
      </c>
      <c r="C70" s="5" t="str">
        <f t="shared" si="9"/>
        <v>2030</v>
      </c>
      <c r="D70" s="5">
        <f>SUMIFS(Despesas!$F:$F,Despesas!$J:$J,"&lt;="&amp;$A70,Despesas!$L:$L,"&gt;="&amp;$A70,Despesas!$C:$C,D$1,Despesas!$M:$M,"Mensal")+SUMIFS(Despesas!$F:$F,Despesas!$J:$J,"&lt;="&amp;$A70,Despesas!$L:$L,"&gt;="&amp;$A70,Despesas!$C:$C,D$1,Despesas!$M:$M,$B70)</f>
        <v>23000</v>
      </c>
      <c r="E70" s="18">
        <f ca="1">SUMIFS(Despesas!$F:$F,Despesas!$J:$J,"&lt;="&amp;$A70,Despesas!$L:$L,"&gt;="&amp;$A70,Despesas!$C:$C,E$1,Despesas!$M:$M,"Mensal")+SUMIFS(Despesas!$F:$F,Despesas!$J:$J,"&lt;="&amp;$A70,Despesas!$L:$L,"&gt;="&amp;$A70,Despesas!$C:$C,E$1,Despesas!$M:$M,$B70)</f>
        <v>22151.4</v>
      </c>
      <c r="F70" s="5">
        <f>SUMIFS(Despesas!$F:$F,Despesas!$J:$J,"&lt;="&amp;$A70,Despesas!$L:$L,"&gt;="&amp;$A70,Despesas!$C:$C,F$1,Despesas!$M:$M,"Mensal")+SUMIFS(Despesas!$F:$F,Despesas!$J:$J,"&lt;="&amp;$A70,Despesas!$L:$L,"&gt;="&amp;$A70,Despesas!$C:$C,F$1,Despesas!$M:$M,$B70)</f>
        <v>13000</v>
      </c>
      <c r="G70" s="5">
        <f>SUMIFS(Despesas!$F:$F,Despesas!$J:$J,"&lt;="&amp;$A70,Despesas!$L:$L,"&gt;="&amp;$A70,Despesas!$C:$C,G$1,Despesas!$M:$M,"Mensal")+SUMIFS(Despesas!$F:$F,Despesas!$J:$J,"&lt;="&amp;$A70,Despesas!$L:$L,"&gt;="&amp;$A70,Despesas!$C:$C,G$1,Despesas!$M:$M,$B70)</f>
        <v>0</v>
      </c>
      <c r="H70" s="18">
        <f ca="1">SUMIFS(Despesas!$F:$F,Despesas!$J:$J,"&lt;="&amp;$A70,Despesas!$L:$L,"&gt;="&amp;$A70,Despesas!$C:$C,H$1,Despesas!$M:$M,"Mensal")+SUMIFS(Despesas!$F:$F,Despesas!$J:$J,"&lt;="&amp;$A70,Despesas!$L:$L,"&gt;="&amp;$A70,Despesas!$C:$C,H$1,Despesas!$M:$M,$B70)</f>
        <v>2686.355</v>
      </c>
      <c r="I70" s="18">
        <f>IF(Imóveis!$F$2="PRICE",IF(AND(Dados!$A70&gt;=Imóveis!$Q$2,Dados!$A70&lt;=Imóveis!$T$2),Imóveis!$U$2,0),IF((IF(AND(Dados!$A70&gt;=Imóveis!$Q$2,Dados!$A70&lt;=Imóveis!$T$2),Imóveis!$S$2-(DATEDIF(Imóveis!$Q$2,Dados!$A70,"m")),0))=0,0,((Imóveis!$N$2/Imóveis!$S$2)+((Imóveis!$N$2-((Imóveis!$S$2-(IF(AND(Dados!$A70&gt;=Imóveis!$Q$2,Dados!$A70&lt;=Imóveis!$T$2),Imóveis!$S$2-(DATEDIF(Imóveis!$Q$2,Dados!$A70,"m")),)))*(Imóveis!$N$2/Imóveis!$S$2)))*Imóveis!$P$2))))*IF(AND(Imóveis!$E$2&gt;0,Dados!$A70&gt;Imóveis!$E$2),0,1)</f>
        <v>14724.140106956169</v>
      </c>
      <c r="J70" s="18">
        <f ca="1">IF(Imóveis!$F$3="PRICE",IF(AND(Dados!$A70&gt;=Imóveis!$Q$3,Dados!$A70&lt;=Imóveis!$T$3),Imóveis!$U$3,0),IF((IF(AND(Dados!$A70&gt;=Imóveis!$Q$3,Dados!$A70&lt;=Imóveis!$T$3),Imóveis!$S$3-(DATEDIF(Imóveis!$Q$3,Dados!$A70,"m")),0))=0,0,((Imóveis!$N$3/Imóveis!$S$3)+((Imóveis!$N$3-((Imóveis!$S$3-(IF(AND(Dados!$A70&gt;=Imóveis!$Q$3,Dados!$A70&lt;=Imóveis!$T$3),Imóveis!$S$3-(DATEDIF(Imóveis!$Q$3,Dados!$A70,"m")),)))*(Imóveis!$N$3/Imóveis!$S$3)))*Imóveis!$P$3))))*IF(AND(Imóveis!$E$3&gt;0,Dados!$A70&gt;Imóveis!$E$3),0,1)</f>
        <v>9314.6986248807771</v>
      </c>
      <c r="K70" s="18">
        <f>IF(Imóveis!$F$4="PRICE",IF(AND(Dados!$A70&gt;=Imóveis!$Q$4,Dados!$A70&lt;=Imóveis!$T$4),Imóveis!$U$4,0),IF((IF(AND(Dados!$A70&gt;=Imóveis!$Q$4,Dados!$A70&lt;=Imóveis!$T$4),Imóveis!$S$4-(DATEDIF(Imóveis!$Q$4,Dados!$A70,"m")),0))=0,0,((Imóveis!$N$4/Imóveis!$S$4)+((Imóveis!$N$4-((Imóveis!$S$4-(IF(AND(Dados!$A70&gt;=Imóveis!$Q$4,Dados!$A70&lt;=Imóveis!$T$4),Imóveis!$S$4-(DATEDIF(Imóveis!$Q$4,Dados!$A70,"m")),)))*(Imóveis!$N$4/Imóveis!$S$4)))*Imóveis!$P$4))))*IF(AND(Imóveis!$E$4&gt;0,Dados!$A70&gt;Imóveis!$E$4),0,1)</f>
        <v>4643.949359272583</v>
      </c>
      <c r="L70" s="18">
        <f>IF(Imóveis!$F$5="PRICE",IF(AND(Dados!$A70&gt;=Imóveis!$Q$5,Dados!$A70&lt;=Imóveis!$T$5),Imóveis!$U$5,0),IF((IF(AND(Dados!$A70&gt;=Imóveis!$Q$5,Dados!$A70&lt;=Imóveis!$T$5),Imóveis!$S$5-(DATEDIF(Imóveis!$Q$5,Dados!$A70,"m")),0))=0,0,((Imóveis!$N$5/Imóveis!$S$5)+((Imóveis!$N$5-((Imóveis!$S$5-(IF(AND(Dados!$A70 &gt;=Imóveis!$Q$5,Dados!$A70&lt;=Imóveis!$T$5),Imóveis!$S$5-(DATEDIF(Imóveis!$Q$5,Dados!$A70,"m")),)))*(Imóveis!$N$5/Imóveis!$S$5)))*Imóveis!$P$5))))*IF(AND(Imóveis!$E$5&gt;0,Dados!$A70&gt;Imóveis!$E$5),0,1)*Imóveis!$I$5</f>
        <v>0</v>
      </c>
      <c r="M70" s="18">
        <f>IF(Imóveis!$F$6="PRICE",IF(AND(Dados!$A70&gt;=Imóveis!$Q$6,Dados!$A70&lt;=Imóveis!$T$6),Imóveis!$U$6,0),IF((IF(AND(Dados!$A70&gt;=Imóveis!$Q$6,Dados!$A70&lt;=Imóveis!$T$6),Imóveis!$S$6-(DATEDIF(Imóveis!$Q$6,Dados!$A70,"m")),0))=0,0,((Imóveis!$N$6/Imóveis!$S$6)+((Imóveis!$N$6-((Imóveis!$S$6-(IF(AND(Dados!$A70&gt;=Imóveis!$Q$6,Dados!$A70&lt;=Imóveis!$T$6),Imóveis!$S$6-(DATEDIF(Imóveis!$Q$6,Dados!$A70,"m")),)))*(Imóveis!$N$6/Imóveis!$S$6)))*Imóveis!$P$6))))*IF(AND(Imóveis!$E$6&gt;0,Dados!$A70&gt;Imóveis!$E$6),0,1)*Imóveis!$I$6</f>
        <v>0</v>
      </c>
      <c r="N70" s="18">
        <f t="shared" ca="1" si="12"/>
        <v>89520.543091109532</v>
      </c>
      <c r="O70" s="18">
        <f>SUMIFS(Receitas!$F:$F,Receitas!$J:$J,"&lt;="&amp;$A70,Receitas!$L:$L,"&gt;="&amp;$A70,Receitas!$C:$C,O$1,Receitas!$M:$M,"Mensal")+SUMIFS(Receitas!$F:$F,Receitas!$J:$J,"&lt;="&amp;$A70,Receitas!$L:$L,"&gt;="&amp;$A70,Receitas!$C:$C,O$1,Receitas!$M:$M,$B70)</f>
        <v>50000</v>
      </c>
      <c r="P70" s="18">
        <f>SUMIFS(Receitas!$F:$F,Receitas!$J:$J,"&lt;="&amp;$A70,Receitas!$L:$L,"&gt;="&amp;$A70,Receitas!$C:$C,P$1,Receitas!$M:$M,"Mensal")+SUMIFS(Receitas!$F:$F,Receitas!$J:$J,"&lt;="&amp;$A70,Receitas!$L:$L,"&gt;="&amp;$A70,Receitas!$C:$C,P$1,Receitas!$M:$M,$B70)</f>
        <v>20000</v>
      </c>
      <c r="Q70" s="18">
        <f ca="1">SUMIFS(Receitas!$F:$F,Receitas!$J:$J,"&lt;="&amp;$A70,Receitas!$L:$L,"&gt;="&amp;$A70,Receitas!$C:$C,Q$1,Receitas!$M:$M,"Mensal")+SUMIFS(Receitas!$F:$F,Receitas!$J:$J,"&lt;="&amp;$A70,Receitas!$L:$L,"&gt;="&amp;$A70,Receitas!$C:$C,Q$1,Receitas!$M:$M,$B70)</f>
        <v>15101.400000000001</v>
      </c>
      <c r="R70" s="18" cm="1">
        <f t="array" ref="R70">(IF(AND(Membros!$F$2="Sim",A70&lt;=MAX(Membros!$E$2:$E$5)),Membros!K$2,IF(AND(A70&gt;=Membros!J$2,A70&lt;=MAX(Membros!$E$2:$E$5)),Membros!K$2,0))+IF(AND(Membros!$F$3="Sim",A70&lt;=MAX(Membros!$E$2:$E$5)),Membros!K$3,IF(AND(A70&gt;=Membros!J$3,A70&lt;=MAX(Membros!$E$2:$E$5)),Membros!K$3,0)))*IF(AND(COUNTIFS(Tabela3[Tipo],"Provedor",Tabela3[Simulação Seguro],"Sim")=2,A70&gt;=MAX(IF(Tabela3[Tipo]="Dependente",Tabela3[Expectativa de Vida (Data)]))),0,1)</f>
        <v>0</v>
      </c>
      <c r="S70" s="18">
        <f t="shared" ca="1" si="13"/>
        <v>85101.4</v>
      </c>
      <c r="U70" s="18">
        <f t="shared" ca="1" si="16"/>
        <v>5170691.7495026533</v>
      </c>
      <c r="V70" s="18">
        <f>SUMIF(Imóveis!E:E,Dados!A:A,Imóveis!Z:Z)-SUMIF(Imóveis!E:E,Dados!A:A,Imóveis!Y:Y)</f>
        <v>0</v>
      </c>
      <c r="W70" s="18">
        <f>-SUMIF(Projetos!N:N,A70,Projetos!F:F)</f>
        <v>0</v>
      </c>
      <c r="X70" s="18">
        <f t="shared" ca="1" si="10"/>
        <v>-4419.1430911095376</v>
      </c>
      <c r="Y70" s="26">
        <f ca="1">(U70*((Indicadores_Economicos!D$2+1)^(1/12)-1))</f>
        <v>16927.499281834542</v>
      </c>
      <c r="Z70" s="18">
        <f t="shared" ca="1" si="14"/>
        <v>5183200.1056933785</v>
      </c>
      <c r="AA70" s="18">
        <f ca="1">Auxiliar_Projetos!E70</f>
        <v>244673.98273169264</v>
      </c>
      <c r="AB70" s="18">
        <f ca="1">Auxiliar_Projetos!K70</f>
        <v>359827.02352833468</v>
      </c>
      <c r="AC70" s="18">
        <f ca="1">IF(Z70-AA70-AB70&gt;Investimentos!$C$14,Investimentos!$C$14,IF(Z70-AA70-AB70&lt;Investimentos!$C$14,Z70-AA70-AB70,0))</f>
        <v>300000</v>
      </c>
      <c r="AD70" s="18">
        <f t="shared" ca="1" si="15"/>
        <v>4278699.0994333513</v>
      </c>
      <c r="AE70" s="18"/>
    </row>
    <row r="71" spans="1:31" x14ac:dyDescent="0.2">
      <c r="A71" s="4">
        <v>47757</v>
      </c>
      <c r="B71" s="5" t="str">
        <f t="shared" si="11"/>
        <v>outubro</v>
      </c>
      <c r="C71" s="5" t="str">
        <f t="shared" ref="C71:C87" si="17">TEXT(A71,"AAAA")</f>
        <v>2030</v>
      </c>
      <c r="D71" s="5">
        <f>SUMIFS(Despesas!$F:$F,Despesas!$J:$J,"&lt;="&amp;$A71,Despesas!$L:$L,"&gt;="&amp;$A71,Despesas!$C:$C,D$1,Despesas!$M:$M,"Mensal")+SUMIFS(Despesas!$F:$F,Despesas!$J:$J,"&lt;="&amp;$A71,Despesas!$L:$L,"&gt;="&amp;$A71,Despesas!$C:$C,D$1,Despesas!$M:$M,$B71)</f>
        <v>23000</v>
      </c>
      <c r="E71" s="18">
        <f ca="1">SUMIFS(Despesas!$F:$F,Despesas!$J:$J,"&lt;="&amp;$A71,Despesas!$L:$L,"&gt;="&amp;$A71,Despesas!$C:$C,E$1,Despesas!$M:$M,"Mensal")+SUMIFS(Despesas!$F:$F,Despesas!$J:$J,"&lt;="&amp;$A71,Despesas!$L:$L,"&gt;="&amp;$A71,Despesas!$C:$C,E$1,Despesas!$M:$M,$B71)</f>
        <v>22151.4</v>
      </c>
      <c r="F71" s="5">
        <f>SUMIFS(Despesas!$F:$F,Despesas!$J:$J,"&lt;="&amp;$A71,Despesas!$L:$L,"&gt;="&amp;$A71,Despesas!$C:$C,F$1,Despesas!$M:$M,"Mensal")+SUMIFS(Despesas!$F:$F,Despesas!$J:$J,"&lt;="&amp;$A71,Despesas!$L:$L,"&gt;="&amp;$A71,Despesas!$C:$C,F$1,Despesas!$M:$M,$B71)</f>
        <v>13000</v>
      </c>
      <c r="G71" s="5">
        <f>SUMIFS(Despesas!$F:$F,Despesas!$J:$J,"&lt;="&amp;$A71,Despesas!$L:$L,"&gt;="&amp;$A71,Despesas!$C:$C,G$1,Despesas!$M:$M,"Mensal")+SUMIFS(Despesas!$F:$F,Despesas!$J:$J,"&lt;="&amp;$A71,Despesas!$L:$L,"&gt;="&amp;$A71,Despesas!$C:$C,G$1,Despesas!$M:$M,$B71)</f>
        <v>0</v>
      </c>
      <c r="H71" s="18">
        <f ca="1">SUMIFS(Despesas!$F:$F,Despesas!$J:$J,"&lt;="&amp;$A71,Despesas!$L:$L,"&gt;="&amp;$A71,Despesas!$C:$C,H$1,Despesas!$M:$M,"Mensal")+SUMIFS(Despesas!$F:$F,Despesas!$J:$J,"&lt;="&amp;$A71,Despesas!$L:$L,"&gt;="&amp;$A71,Despesas!$C:$C,H$1,Despesas!$M:$M,$B71)</f>
        <v>2686.355</v>
      </c>
      <c r="I71" s="18">
        <f>IF(Imóveis!$F$2="PRICE",IF(AND(Dados!$A71&gt;=Imóveis!$Q$2,Dados!$A71&lt;=Imóveis!$T$2),Imóveis!$U$2,0),IF((IF(AND(Dados!$A71&gt;=Imóveis!$Q$2,Dados!$A71&lt;=Imóveis!$T$2),Imóveis!$S$2-(DATEDIF(Imóveis!$Q$2,Dados!$A71,"m")),0))=0,0,((Imóveis!$N$2/Imóveis!$S$2)+((Imóveis!$N$2-((Imóveis!$S$2-(IF(AND(Dados!$A71&gt;=Imóveis!$Q$2,Dados!$A71&lt;=Imóveis!$T$2),Imóveis!$S$2-(DATEDIF(Imóveis!$Q$2,Dados!$A71,"m")),)))*(Imóveis!$N$2/Imóveis!$S$2)))*Imóveis!$P$2))))*IF(AND(Imóveis!$E$2&gt;0,Dados!$A71&gt;Imóveis!$E$2),0,1)</f>
        <v>14662.119014731361</v>
      </c>
      <c r="J71" s="18">
        <f ca="1">IF(Imóveis!$F$3="PRICE",IF(AND(Dados!$A71&gt;=Imóveis!$Q$3,Dados!$A71&lt;=Imóveis!$T$3),Imóveis!$U$3,0),IF((IF(AND(Dados!$A71&gt;=Imóveis!$Q$3,Dados!$A71&lt;=Imóveis!$T$3),Imóveis!$S$3-(DATEDIF(Imóveis!$Q$3,Dados!$A71,"m")),0))=0,0,((Imóveis!$N$3/Imóveis!$S$3)+((Imóveis!$N$3-((Imóveis!$S$3-(IF(AND(Dados!$A71&gt;=Imóveis!$Q$3,Dados!$A71&lt;=Imóveis!$T$3),Imóveis!$S$3-(DATEDIF(Imóveis!$Q$3,Dados!$A71,"m")),)))*(Imóveis!$N$3/Imóveis!$S$3)))*Imóveis!$P$3))))*IF(AND(Imóveis!$E$3&gt;0,Dados!$A71&gt;Imóveis!$E$3),0,1)</f>
        <v>9314.6986248807771</v>
      </c>
      <c r="K71" s="18">
        <f>IF(Imóveis!$F$4="PRICE",IF(AND(Dados!$A71&gt;=Imóveis!$Q$4,Dados!$A71&lt;=Imóveis!$T$4),Imóveis!$U$4,0),IF((IF(AND(Dados!$A71&gt;=Imóveis!$Q$4,Dados!$A71&lt;=Imóveis!$T$4),Imóveis!$S$4-(DATEDIF(Imóveis!$Q$4,Dados!$A71,"m")),0))=0,0,((Imóveis!$N$4/Imóveis!$S$4)+((Imóveis!$N$4-((Imóveis!$S$4-(IF(AND(Dados!$A71&gt;=Imóveis!$Q$4,Dados!$A71&lt;=Imóveis!$T$4),Imóveis!$S$4-(DATEDIF(Imóveis!$Q$4,Dados!$A71,"m")),)))*(Imóveis!$N$4/Imóveis!$S$4)))*Imóveis!$P$4))))*IF(AND(Imóveis!$E$4&gt;0,Dados!$A71&gt;Imóveis!$E$4),0,1)</f>
        <v>4643.949359272583</v>
      </c>
      <c r="L71" s="18">
        <f>IF(Imóveis!$F$5="PRICE",IF(AND(Dados!$A71&gt;=Imóveis!$Q$5,Dados!$A71&lt;=Imóveis!$T$5),Imóveis!$U$5,0),IF((IF(AND(Dados!$A71&gt;=Imóveis!$Q$5,Dados!$A71&lt;=Imóveis!$T$5),Imóveis!$S$5-(DATEDIF(Imóveis!$Q$5,Dados!$A71,"m")),0))=0,0,((Imóveis!$N$5/Imóveis!$S$5)+((Imóveis!$N$5-((Imóveis!$S$5-(IF(AND(Dados!$A71 &gt;=Imóveis!$Q$5,Dados!$A71&lt;=Imóveis!$T$5),Imóveis!$S$5-(DATEDIF(Imóveis!$Q$5,Dados!$A71,"m")),)))*(Imóveis!$N$5/Imóveis!$S$5)))*Imóveis!$P$5))))*IF(AND(Imóveis!$E$5&gt;0,Dados!$A71&gt;Imóveis!$E$5),0,1)*Imóveis!$I$5</f>
        <v>0</v>
      </c>
      <c r="M71" s="18">
        <f>IF(Imóveis!$F$6="PRICE",IF(AND(Dados!$A71&gt;=Imóveis!$Q$6,Dados!$A71&lt;=Imóveis!$T$6),Imóveis!$U$6,0),IF((IF(AND(Dados!$A71&gt;=Imóveis!$Q$6,Dados!$A71&lt;=Imóveis!$T$6),Imóveis!$S$6-(DATEDIF(Imóveis!$Q$6,Dados!$A71,"m")),0))=0,0,((Imóveis!$N$6/Imóveis!$S$6)+((Imóveis!$N$6-((Imóveis!$S$6-(IF(AND(Dados!$A71&gt;=Imóveis!$Q$6,Dados!$A71&lt;=Imóveis!$T$6),Imóveis!$S$6-(DATEDIF(Imóveis!$Q$6,Dados!$A71,"m")),)))*(Imóveis!$N$6/Imóveis!$S$6)))*Imóveis!$P$6))))*IF(AND(Imóveis!$E$6&gt;0,Dados!$A71&gt;Imóveis!$E$6),0,1)*Imóveis!$I$6</f>
        <v>0</v>
      </c>
      <c r="N71" s="18">
        <f t="shared" ca="1" si="12"/>
        <v>89458.521998884724</v>
      </c>
      <c r="O71" s="18">
        <f>SUMIFS(Receitas!$F:$F,Receitas!$J:$J,"&lt;="&amp;$A71,Receitas!$L:$L,"&gt;="&amp;$A71,Receitas!$C:$C,O$1,Receitas!$M:$M,"Mensal")+SUMIFS(Receitas!$F:$F,Receitas!$J:$J,"&lt;="&amp;$A71,Receitas!$L:$L,"&gt;="&amp;$A71,Receitas!$C:$C,O$1,Receitas!$M:$M,$B71)</f>
        <v>50000</v>
      </c>
      <c r="P71" s="18">
        <f>SUMIFS(Receitas!$F:$F,Receitas!$J:$J,"&lt;="&amp;$A71,Receitas!$L:$L,"&gt;="&amp;$A71,Receitas!$C:$C,P$1,Receitas!$M:$M,"Mensal")+SUMIFS(Receitas!$F:$F,Receitas!$J:$J,"&lt;="&amp;$A71,Receitas!$L:$L,"&gt;="&amp;$A71,Receitas!$C:$C,P$1,Receitas!$M:$M,$B71)</f>
        <v>20000</v>
      </c>
      <c r="Q71" s="18">
        <f ca="1">SUMIFS(Receitas!$F:$F,Receitas!$J:$J,"&lt;="&amp;$A71,Receitas!$L:$L,"&gt;="&amp;$A71,Receitas!$C:$C,Q$1,Receitas!$M:$M,"Mensal")+SUMIFS(Receitas!$F:$F,Receitas!$J:$J,"&lt;="&amp;$A71,Receitas!$L:$L,"&gt;="&amp;$A71,Receitas!$C:$C,Q$1,Receitas!$M:$M,$B71)</f>
        <v>15101.400000000001</v>
      </c>
      <c r="R71" s="18" cm="1">
        <f t="array" ref="R71">(IF(AND(Membros!$F$2="Sim",A71&lt;=MAX(Membros!$E$2:$E$5)),Membros!K$2,IF(AND(A71&gt;=Membros!J$2,A71&lt;=MAX(Membros!$E$2:$E$5)),Membros!K$2,0))+IF(AND(Membros!$F$3="Sim",A71&lt;=MAX(Membros!$E$2:$E$5)),Membros!K$3,IF(AND(A71&gt;=Membros!J$3,A71&lt;=MAX(Membros!$E$2:$E$5)),Membros!K$3,0)))*IF(AND(COUNTIFS(Tabela3[Tipo],"Provedor",Tabela3[Simulação Seguro],"Sim")=2,A71&gt;=MAX(IF(Tabela3[Tipo]="Dependente",Tabela3[Expectativa de Vida (Data)]))),0,1)</f>
        <v>0</v>
      </c>
      <c r="S71" s="18">
        <f t="shared" ca="1" si="13"/>
        <v>85101.4</v>
      </c>
      <c r="U71" s="18">
        <f t="shared" ca="1" si="16"/>
        <v>5183200.1056933785</v>
      </c>
      <c r="V71" s="18">
        <f>SUMIF(Imóveis!E:E,Dados!A:A,Imóveis!Z:Z)-SUMIF(Imóveis!E:E,Dados!A:A,Imóveis!Y:Y)</f>
        <v>0</v>
      </c>
      <c r="W71" s="18">
        <f>-SUMIF(Projetos!N:N,A71,Projetos!F:F)</f>
        <v>0</v>
      </c>
      <c r="X71" s="18">
        <f t="shared" ca="1" si="10"/>
        <v>-4357.1219988847297</v>
      </c>
      <c r="Y71" s="26">
        <f ca="1">(U71*((Indicadores_Economicos!D$2+1)^(1/12)-1))</f>
        <v>16968.448385106032</v>
      </c>
      <c r="Z71" s="18">
        <f t="shared" ca="1" si="14"/>
        <v>5195811.4320796002</v>
      </c>
      <c r="AA71" s="18">
        <f ca="1">Auxiliar_Projetos!E71</f>
        <v>245474.98168263043</v>
      </c>
      <c r="AB71" s="18">
        <f ca="1">Auxiliar_Projetos!K71</f>
        <v>361005.00356996962</v>
      </c>
      <c r="AC71" s="18">
        <f ca="1">IF(Z71-AA71-AB71&gt;Investimentos!$C$14,Investimentos!$C$14,IF(Z71-AA71-AB71&lt;Investimentos!$C$14,Z71-AA71-AB71,0))</f>
        <v>300000</v>
      </c>
      <c r="AD71" s="18">
        <f t="shared" ca="1" si="15"/>
        <v>4289331.446827</v>
      </c>
      <c r="AE71" s="18"/>
    </row>
    <row r="72" spans="1:31" x14ac:dyDescent="0.2">
      <c r="A72" s="4">
        <v>47788</v>
      </c>
      <c r="B72" s="5" t="str">
        <f t="shared" si="11"/>
        <v>novembro</v>
      </c>
      <c r="C72" s="5" t="str">
        <f t="shared" si="17"/>
        <v>2030</v>
      </c>
      <c r="D72" s="5">
        <f>SUMIFS(Despesas!$F:$F,Despesas!$J:$J,"&lt;="&amp;$A72,Despesas!$L:$L,"&gt;="&amp;$A72,Despesas!$C:$C,D$1,Despesas!$M:$M,"Mensal")+SUMIFS(Despesas!$F:$F,Despesas!$J:$J,"&lt;="&amp;$A72,Despesas!$L:$L,"&gt;="&amp;$A72,Despesas!$C:$C,D$1,Despesas!$M:$M,$B72)</f>
        <v>23000</v>
      </c>
      <c r="E72" s="18">
        <f ca="1">SUMIFS(Despesas!$F:$F,Despesas!$J:$J,"&lt;="&amp;$A72,Despesas!$L:$L,"&gt;="&amp;$A72,Despesas!$C:$C,E$1,Despesas!$M:$M,"Mensal")+SUMIFS(Despesas!$F:$F,Despesas!$J:$J,"&lt;="&amp;$A72,Despesas!$L:$L,"&gt;="&amp;$A72,Despesas!$C:$C,E$1,Despesas!$M:$M,$B72)</f>
        <v>22151.4</v>
      </c>
      <c r="F72" s="5">
        <f>SUMIFS(Despesas!$F:$F,Despesas!$J:$J,"&lt;="&amp;$A72,Despesas!$L:$L,"&gt;="&amp;$A72,Despesas!$C:$C,F$1,Despesas!$M:$M,"Mensal")+SUMIFS(Despesas!$F:$F,Despesas!$J:$J,"&lt;="&amp;$A72,Despesas!$L:$L,"&gt;="&amp;$A72,Despesas!$C:$C,F$1,Despesas!$M:$M,$B72)</f>
        <v>13000</v>
      </c>
      <c r="G72" s="5">
        <f>SUMIFS(Despesas!$F:$F,Despesas!$J:$J,"&lt;="&amp;$A72,Despesas!$L:$L,"&gt;="&amp;$A72,Despesas!$C:$C,G$1,Despesas!$M:$M,"Mensal")+SUMIFS(Despesas!$F:$F,Despesas!$J:$J,"&lt;="&amp;$A72,Despesas!$L:$L,"&gt;="&amp;$A72,Despesas!$C:$C,G$1,Despesas!$M:$M,$B72)</f>
        <v>0</v>
      </c>
      <c r="H72" s="18">
        <f ca="1">SUMIFS(Despesas!$F:$F,Despesas!$J:$J,"&lt;="&amp;$A72,Despesas!$L:$L,"&gt;="&amp;$A72,Despesas!$C:$C,H$1,Despesas!$M:$M,"Mensal")+SUMIFS(Despesas!$F:$F,Despesas!$J:$J,"&lt;="&amp;$A72,Despesas!$L:$L,"&gt;="&amp;$A72,Despesas!$C:$C,H$1,Despesas!$M:$M,$B72)</f>
        <v>2686.355</v>
      </c>
      <c r="I72" s="18">
        <f>IF(Imóveis!$F$2="PRICE",IF(AND(Dados!$A72&gt;=Imóveis!$Q$2,Dados!$A72&lt;=Imóveis!$T$2),Imóveis!$U$2,0),IF((IF(AND(Dados!$A72&gt;=Imóveis!$Q$2,Dados!$A72&lt;=Imóveis!$T$2),Imóveis!$S$2-(DATEDIF(Imóveis!$Q$2,Dados!$A72,"m")),0))=0,0,((Imóveis!$N$2/Imóveis!$S$2)+((Imóveis!$N$2-((Imóveis!$S$2-(IF(AND(Dados!$A72&gt;=Imóveis!$Q$2,Dados!$A72&lt;=Imóveis!$T$2),Imóveis!$S$2-(DATEDIF(Imóveis!$Q$2,Dados!$A72,"m")),)))*(Imóveis!$N$2/Imóveis!$S$2)))*Imóveis!$P$2))))*IF(AND(Imóveis!$E$2&gt;0,Dados!$A72&gt;Imóveis!$E$2),0,1)</f>
        <v>14600.097922506553</v>
      </c>
      <c r="J72" s="18">
        <f ca="1">IF(Imóveis!$F$3="PRICE",IF(AND(Dados!$A72&gt;=Imóveis!$Q$3,Dados!$A72&lt;=Imóveis!$T$3),Imóveis!$U$3,0),IF((IF(AND(Dados!$A72&gt;=Imóveis!$Q$3,Dados!$A72&lt;=Imóveis!$T$3),Imóveis!$S$3-(DATEDIF(Imóveis!$Q$3,Dados!$A72,"m")),0))=0,0,((Imóveis!$N$3/Imóveis!$S$3)+((Imóveis!$N$3-((Imóveis!$S$3-(IF(AND(Dados!$A72&gt;=Imóveis!$Q$3,Dados!$A72&lt;=Imóveis!$T$3),Imóveis!$S$3-(DATEDIF(Imóveis!$Q$3,Dados!$A72,"m")),)))*(Imóveis!$N$3/Imóveis!$S$3)))*Imóveis!$P$3))))*IF(AND(Imóveis!$E$3&gt;0,Dados!$A72&gt;Imóveis!$E$3),0,1)</f>
        <v>9314.6986248807771</v>
      </c>
      <c r="K72" s="18">
        <f>IF(Imóveis!$F$4="PRICE",IF(AND(Dados!$A72&gt;=Imóveis!$Q$4,Dados!$A72&lt;=Imóveis!$T$4),Imóveis!$U$4,0),IF((IF(AND(Dados!$A72&gt;=Imóveis!$Q$4,Dados!$A72&lt;=Imóveis!$T$4),Imóveis!$S$4-(DATEDIF(Imóveis!$Q$4,Dados!$A72,"m")),0))=0,0,((Imóveis!$N$4/Imóveis!$S$4)+((Imóveis!$N$4-((Imóveis!$S$4-(IF(AND(Dados!$A72&gt;=Imóveis!$Q$4,Dados!$A72&lt;=Imóveis!$T$4),Imóveis!$S$4-(DATEDIF(Imóveis!$Q$4,Dados!$A72,"m")),)))*(Imóveis!$N$4/Imóveis!$S$4)))*Imóveis!$P$4))))*IF(AND(Imóveis!$E$4&gt;0,Dados!$A72&gt;Imóveis!$E$4),0,1)</f>
        <v>4643.949359272583</v>
      </c>
      <c r="L72" s="18">
        <f>IF(Imóveis!$F$5="PRICE",IF(AND(Dados!$A72&gt;=Imóveis!$Q$5,Dados!$A72&lt;=Imóveis!$T$5),Imóveis!$U$5,0),IF((IF(AND(Dados!$A72&gt;=Imóveis!$Q$5,Dados!$A72&lt;=Imóveis!$T$5),Imóveis!$S$5-(DATEDIF(Imóveis!$Q$5,Dados!$A72,"m")),0))=0,0,((Imóveis!$N$5/Imóveis!$S$5)+((Imóveis!$N$5-((Imóveis!$S$5-(IF(AND(Dados!$A72 &gt;=Imóveis!$Q$5,Dados!$A72&lt;=Imóveis!$T$5),Imóveis!$S$5-(DATEDIF(Imóveis!$Q$5,Dados!$A72,"m")),)))*(Imóveis!$N$5/Imóveis!$S$5)))*Imóveis!$P$5))))*IF(AND(Imóveis!$E$5&gt;0,Dados!$A72&gt;Imóveis!$E$5),0,1)*Imóveis!$I$5</f>
        <v>0</v>
      </c>
      <c r="M72" s="18">
        <f>IF(Imóveis!$F$6="PRICE",IF(AND(Dados!$A72&gt;=Imóveis!$Q$6,Dados!$A72&lt;=Imóveis!$T$6),Imóveis!$U$6,0),IF((IF(AND(Dados!$A72&gt;=Imóveis!$Q$6,Dados!$A72&lt;=Imóveis!$T$6),Imóveis!$S$6-(DATEDIF(Imóveis!$Q$6,Dados!$A72,"m")),0))=0,0,((Imóveis!$N$6/Imóveis!$S$6)+((Imóveis!$N$6-((Imóveis!$S$6-(IF(AND(Dados!$A72&gt;=Imóveis!$Q$6,Dados!$A72&lt;=Imóveis!$T$6),Imóveis!$S$6-(DATEDIF(Imóveis!$Q$6,Dados!$A72,"m")),)))*(Imóveis!$N$6/Imóveis!$S$6)))*Imóveis!$P$6))))*IF(AND(Imóveis!$E$6&gt;0,Dados!$A72&gt;Imóveis!$E$6),0,1)*Imóveis!$I$6</f>
        <v>0</v>
      </c>
      <c r="N72" s="18">
        <f t="shared" ca="1" si="12"/>
        <v>89396.500906659916</v>
      </c>
      <c r="O72" s="18">
        <f>SUMIFS(Receitas!$F:$F,Receitas!$J:$J,"&lt;="&amp;$A72,Receitas!$L:$L,"&gt;="&amp;$A72,Receitas!$C:$C,O$1,Receitas!$M:$M,"Mensal")+SUMIFS(Receitas!$F:$F,Receitas!$J:$J,"&lt;="&amp;$A72,Receitas!$L:$L,"&gt;="&amp;$A72,Receitas!$C:$C,O$1,Receitas!$M:$M,$B72)</f>
        <v>50000</v>
      </c>
      <c r="P72" s="18">
        <f>SUMIFS(Receitas!$F:$F,Receitas!$J:$J,"&lt;="&amp;$A72,Receitas!$L:$L,"&gt;="&amp;$A72,Receitas!$C:$C,P$1,Receitas!$M:$M,"Mensal")+SUMIFS(Receitas!$F:$F,Receitas!$J:$J,"&lt;="&amp;$A72,Receitas!$L:$L,"&gt;="&amp;$A72,Receitas!$C:$C,P$1,Receitas!$M:$M,$B72)</f>
        <v>86666.666666666672</v>
      </c>
      <c r="Q72" s="18">
        <f ca="1">SUMIFS(Receitas!$F:$F,Receitas!$J:$J,"&lt;="&amp;$A72,Receitas!$L:$L,"&gt;="&amp;$A72,Receitas!$C:$C,Q$1,Receitas!$M:$M,"Mensal")+SUMIFS(Receitas!$F:$F,Receitas!$J:$J,"&lt;="&amp;$A72,Receitas!$L:$L,"&gt;="&amp;$A72,Receitas!$C:$C,Q$1,Receitas!$M:$M,$B72)</f>
        <v>15101.400000000001</v>
      </c>
      <c r="R72" s="18" cm="1">
        <f t="array" ref="R72">(IF(AND(Membros!$F$2="Sim",A72&lt;=MAX(Membros!$E$2:$E$5)),Membros!K$2,IF(AND(A72&gt;=Membros!J$2,A72&lt;=MAX(Membros!$E$2:$E$5)),Membros!K$2,0))+IF(AND(Membros!$F$3="Sim",A72&lt;=MAX(Membros!$E$2:$E$5)),Membros!K$3,IF(AND(A72&gt;=Membros!J$3,A72&lt;=MAX(Membros!$E$2:$E$5)),Membros!K$3,0)))*IF(AND(COUNTIFS(Tabela3[Tipo],"Provedor",Tabela3[Simulação Seguro],"Sim")=2,A72&gt;=MAX(IF(Tabela3[Tipo]="Dependente",Tabela3[Expectativa de Vida (Data)]))),0,1)</f>
        <v>0</v>
      </c>
      <c r="S72" s="18">
        <f t="shared" ca="1" si="13"/>
        <v>151768.06666666668</v>
      </c>
      <c r="U72" s="18">
        <f t="shared" ca="1" si="16"/>
        <v>5195811.4320796002</v>
      </c>
      <c r="V72" s="18">
        <f>SUMIF(Imóveis!E:E,Dados!A:A,Imóveis!Z:Z)-SUMIF(Imóveis!E:E,Dados!A:A,Imóveis!Y:Y)</f>
        <v>0</v>
      </c>
      <c r="W72" s="18">
        <f>-SUMIF(Projetos!N:N,A72,Projetos!F:F)</f>
        <v>0</v>
      </c>
      <c r="X72" s="18">
        <f t="shared" ca="1" si="10"/>
        <v>62371.565760006764</v>
      </c>
      <c r="Y72" s="26">
        <f ca="1">(U72*((Indicadores_Economicos!D$2+1)^(1/12)-1))</f>
        <v>17009.734586002902</v>
      </c>
      <c r="Z72" s="18">
        <f t="shared" ca="1" si="14"/>
        <v>5275192.7324256105</v>
      </c>
      <c r="AA72" s="18">
        <f ca="1">Auxiliar_Projetos!E72</f>
        <v>246278.60289569941</v>
      </c>
      <c r="AB72" s="18">
        <f ca="1">Auxiliar_Projetos!K72</f>
        <v>362186.84001172951</v>
      </c>
      <c r="AC72" s="18">
        <f ca="1">IF(Z72-AA72-AB72&gt;Investimentos!$C$14,Investimentos!$C$14,IF(Z72-AA72-AB72&lt;Investimentos!$C$14,Z72-AA72-AB72,0))</f>
        <v>300000</v>
      </c>
      <c r="AD72" s="18">
        <f t="shared" ca="1" si="15"/>
        <v>4366727.2895181812</v>
      </c>
      <c r="AE72" s="18"/>
    </row>
    <row r="73" spans="1:31" x14ac:dyDescent="0.2">
      <c r="A73" s="4">
        <v>47818</v>
      </c>
      <c r="B73" s="5" t="str">
        <f t="shared" si="11"/>
        <v>dezembro</v>
      </c>
      <c r="C73" s="5" t="str">
        <f t="shared" si="17"/>
        <v>2030</v>
      </c>
      <c r="D73" s="5">
        <f>SUMIFS(Despesas!$F:$F,Despesas!$J:$J,"&lt;="&amp;$A73,Despesas!$L:$L,"&gt;="&amp;$A73,Despesas!$C:$C,D$1,Despesas!$M:$M,"Mensal")+SUMIFS(Despesas!$F:$F,Despesas!$J:$J,"&lt;="&amp;$A73,Despesas!$L:$L,"&gt;="&amp;$A73,Despesas!$C:$C,D$1,Despesas!$M:$M,$B73)</f>
        <v>23000</v>
      </c>
      <c r="E73" s="18">
        <f ca="1">SUMIFS(Despesas!$F:$F,Despesas!$J:$J,"&lt;="&amp;$A73,Despesas!$L:$L,"&gt;="&amp;$A73,Despesas!$C:$C,E$1,Despesas!$M:$M,"Mensal")+SUMIFS(Despesas!$F:$F,Despesas!$J:$J,"&lt;="&amp;$A73,Despesas!$L:$L,"&gt;="&amp;$A73,Despesas!$C:$C,E$1,Despesas!$M:$M,$B73)</f>
        <v>22151.4</v>
      </c>
      <c r="F73" s="5">
        <f>SUMIFS(Despesas!$F:$F,Despesas!$J:$J,"&lt;="&amp;$A73,Despesas!$L:$L,"&gt;="&amp;$A73,Despesas!$C:$C,F$1,Despesas!$M:$M,"Mensal")+SUMIFS(Despesas!$F:$F,Despesas!$J:$J,"&lt;="&amp;$A73,Despesas!$L:$L,"&gt;="&amp;$A73,Despesas!$C:$C,F$1,Despesas!$M:$M,$B73)</f>
        <v>13000</v>
      </c>
      <c r="G73" s="5">
        <f ca="1">SUMIFS(Despesas!$F:$F,Despesas!$J:$J,"&lt;="&amp;$A73,Despesas!$L:$L,"&gt;="&amp;$A73,Despesas!$C:$C,G$1,Despesas!$M:$M,"Mensal")+SUMIFS(Despesas!$F:$F,Despesas!$J:$J,"&lt;="&amp;$A73,Despesas!$L:$L,"&gt;="&amp;$A73,Despesas!$C:$C,G$1,Despesas!$M:$M,$B73)</f>
        <v>55757</v>
      </c>
      <c r="H73" s="18">
        <f ca="1">SUMIFS(Despesas!$F:$F,Despesas!$J:$J,"&lt;="&amp;$A73,Despesas!$L:$L,"&gt;="&amp;$A73,Despesas!$C:$C,H$1,Despesas!$M:$M,"Mensal")+SUMIFS(Despesas!$F:$F,Despesas!$J:$J,"&lt;="&amp;$A73,Despesas!$L:$L,"&gt;="&amp;$A73,Despesas!$C:$C,H$1,Despesas!$M:$M,$B73)</f>
        <v>2686.355</v>
      </c>
      <c r="I73" s="18">
        <f>IF(Imóveis!$F$2="PRICE",IF(AND(Dados!$A73&gt;=Imóveis!$Q$2,Dados!$A73&lt;=Imóveis!$T$2),Imóveis!$U$2,0),IF((IF(AND(Dados!$A73&gt;=Imóveis!$Q$2,Dados!$A73&lt;=Imóveis!$T$2),Imóveis!$S$2-(DATEDIF(Imóveis!$Q$2,Dados!$A73,"m")),0))=0,0,((Imóveis!$N$2/Imóveis!$S$2)+((Imóveis!$N$2-((Imóveis!$S$2-(IF(AND(Dados!$A73&gt;=Imóveis!$Q$2,Dados!$A73&lt;=Imóveis!$T$2),Imóveis!$S$2-(DATEDIF(Imóveis!$Q$2,Dados!$A73,"m")),)))*(Imóveis!$N$2/Imóveis!$S$2)))*Imóveis!$P$2))))*IF(AND(Imóveis!$E$2&gt;0,Dados!$A73&gt;Imóveis!$E$2),0,1)</f>
        <v>14538.076830281745</v>
      </c>
      <c r="J73" s="18">
        <f ca="1">IF(Imóveis!$F$3="PRICE",IF(AND(Dados!$A73&gt;=Imóveis!$Q$3,Dados!$A73&lt;=Imóveis!$T$3),Imóveis!$U$3,0),IF((IF(AND(Dados!$A73&gt;=Imóveis!$Q$3,Dados!$A73&lt;=Imóveis!$T$3),Imóveis!$S$3-(DATEDIF(Imóveis!$Q$3,Dados!$A73,"m")),0))=0,0,((Imóveis!$N$3/Imóveis!$S$3)+((Imóveis!$N$3-((Imóveis!$S$3-(IF(AND(Dados!$A73&gt;=Imóveis!$Q$3,Dados!$A73&lt;=Imóveis!$T$3),Imóveis!$S$3-(DATEDIF(Imóveis!$Q$3,Dados!$A73,"m")),)))*(Imóveis!$N$3/Imóveis!$S$3)))*Imóveis!$P$3))))*IF(AND(Imóveis!$E$3&gt;0,Dados!$A73&gt;Imóveis!$E$3),0,1)</f>
        <v>9314.6986248807771</v>
      </c>
      <c r="K73" s="18">
        <f>IF(Imóveis!$F$4="PRICE",IF(AND(Dados!$A73&gt;=Imóveis!$Q$4,Dados!$A73&lt;=Imóveis!$T$4),Imóveis!$U$4,0),IF((IF(AND(Dados!$A73&gt;=Imóveis!$Q$4,Dados!$A73&lt;=Imóveis!$T$4),Imóveis!$S$4-(DATEDIF(Imóveis!$Q$4,Dados!$A73,"m")),0))=0,0,((Imóveis!$N$4/Imóveis!$S$4)+((Imóveis!$N$4-((Imóveis!$S$4-(IF(AND(Dados!$A73&gt;=Imóveis!$Q$4,Dados!$A73&lt;=Imóveis!$T$4),Imóveis!$S$4-(DATEDIF(Imóveis!$Q$4,Dados!$A73,"m")),)))*(Imóveis!$N$4/Imóveis!$S$4)))*Imóveis!$P$4))))*IF(AND(Imóveis!$E$4&gt;0,Dados!$A73&gt;Imóveis!$E$4),0,1)</f>
        <v>4643.949359272583</v>
      </c>
      <c r="L73" s="18">
        <f>IF(Imóveis!$F$5="PRICE",IF(AND(Dados!$A73&gt;=Imóveis!$Q$5,Dados!$A73&lt;=Imóveis!$T$5),Imóveis!$U$5,0),IF((IF(AND(Dados!$A73&gt;=Imóveis!$Q$5,Dados!$A73&lt;=Imóveis!$T$5),Imóveis!$S$5-(DATEDIF(Imóveis!$Q$5,Dados!$A73,"m")),0))=0,0,((Imóveis!$N$5/Imóveis!$S$5)+((Imóveis!$N$5-((Imóveis!$S$5-(IF(AND(Dados!$A73 &gt;=Imóveis!$Q$5,Dados!$A73&lt;=Imóveis!$T$5),Imóveis!$S$5-(DATEDIF(Imóveis!$Q$5,Dados!$A73,"m")),)))*(Imóveis!$N$5/Imóveis!$S$5)))*Imóveis!$P$5))))*IF(AND(Imóveis!$E$5&gt;0,Dados!$A73&gt;Imóveis!$E$5),0,1)*Imóveis!$I$5</f>
        <v>0</v>
      </c>
      <c r="M73" s="18">
        <f>IF(Imóveis!$F$6="PRICE",IF(AND(Dados!$A73&gt;=Imóveis!$Q$6,Dados!$A73&lt;=Imóveis!$T$6),Imóveis!$U$6,0),IF((IF(AND(Dados!$A73&gt;=Imóveis!$Q$6,Dados!$A73&lt;=Imóveis!$T$6),Imóveis!$S$6-(DATEDIF(Imóveis!$Q$6,Dados!$A73,"m")),0))=0,0,((Imóveis!$N$6/Imóveis!$S$6)+((Imóveis!$N$6-((Imóveis!$S$6-(IF(AND(Dados!$A73&gt;=Imóveis!$Q$6,Dados!$A73&lt;=Imóveis!$T$6),Imóveis!$S$6-(DATEDIF(Imóveis!$Q$6,Dados!$A73,"m")),)))*(Imóveis!$N$6/Imóveis!$S$6)))*Imóveis!$P$6))))*IF(AND(Imóveis!$E$6&gt;0,Dados!$A73&gt;Imóveis!$E$6),0,1)*Imóveis!$I$6</f>
        <v>0</v>
      </c>
      <c r="N73" s="18">
        <f t="shared" ca="1" si="12"/>
        <v>145091.47981443509</v>
      </c>
      <c r="O73" s="18">
        <f>SUMIFS(Receitas!$F:$F,Receitas!$J:$J,"&lt;="&amp;$A73,Receitas!$L:$L,"&gt;="&amp;$A73,Receitas!$C:$C,O$1,Receitas!$M:$M,"Mensal")+SUMIFS(Receitas!$F:$F,Receitas!$J:$J,"&lt;="&amp;$A73,Receitas!$L:$L,"&gt;="&amp;$A73,Receitas!$C:$C,O$1,Receitas!$M:$M,$B73)</f>
        <v>50000</v>
      </c>
      <c r="P73" s="18">
        <f>SUMIFS(Receitas!$F:$F,Receitas!$J:$J,"&lt;="&amp;$A73,Receitas!$L:$L,"&gt;="&amp;$A73,Receitas!$C:$C,P$1,Receitas!$M:$M,"Mensal")+SUMIFS(Receitas!$F:$F,Receitas!$J:$J,"&lt;="&amp;$A73,Receitas!$L:$L,"&gt;="&amp;$A73,Receitas!$C:$C,P$1,Receitas!$M:$M,$B73)</f>
        <v>20000</v>
      </c>
      <c r="Q73" s="18">
        <f ca="1">SUMIFS(Receitas!$F:$F,Receitas!$J:$J,"&lt;="&amp;$A73,Receitas!$L:$L,"&gt;="&amp;$A73,Receitas!$C:$C,Q$1,Receitas!$M:$M,"Mensal")+SUMIFS(Receitas!$F:$F,Receitas!$J:$J,"&lt;="&amp;$A73,Receitas!$L:$L,"&gt;="&amp;$A73,Receitas!$C:$C,Q$1,Receitas!$M:$M,$B73)</f>
        <v>15101.400000000001</v>
      </c>
      <c r="R73" s="18" cm="1">
        <f t="array" ref="R73">(IF(AND(Membros!$F$2="Sim",A73&lt;=MAX(Membros!$E$2:$E$5)),Membros!K$2,IF(AND(A73&gt;=Membros!J$2,A73&lt;=MAX(Membros!$E$2:$E$5)),Membros!K$2,0))+IF(AND(Membros!$F$3="Sim",A73&lt;=MAX(Membros!$E$2:$E$5)),Membros!K$3,IF(AND(A73&gt;=Membros!J$3,A73&lt;=MAX(Membros!$E$2:$E$5)),Membros!K$3,0)))*IF(AND(COUNTIFS(Tabela3[Tipo],"Provedor",Tabela3[Simulação Seguro],"Sim")=2,A73&gt;=MAX(IF(Tabela3[Tipo]="Dependente",Tabela3[Expectativa de Vida (Data)]))),0,1)</f>
        <v>0</v>
      </c>
      <c r="S73" s="18">
        <f t="shared" ca="1" si="13"/>
        <v>85101.4</v>
      </c>
      <c r="U73" s="18">
        <f t="shared" ca="1" si="16"/>
        <v>5275192.7324256105</v>
      </c>
      <c r="V73" s="18">
        <f>SUMIF(Imóveis!E:E,Dados!A:A,Imóveis!Z:Z)-SUMIF(Imóveis!E:E,Dados!A:A,Imóveis!Y:Y)</f>
        <v>0</v>
      </c>
      <c r="W73" s="18">
        <f>-SUMIF(Projetos!N:N,A73,Projetos!F:F)</f>
        <v>0</v>
      </c>
      <c r="X73" s="18">
        <f t="shared" ca="1" si="10"/>
        <v>-59990.079814435099</v>
      </c>
      <c r="Y73" s="26">
        <f ca="1">(U73*((Indicadores_Economicos!D$2+1)^(1/12)-1))</f>
        <v>17269.608306908314</v>
      </c>
      <c r="Z73" s="18">
        <f t="shared" ca="1" si="14"/>
        <v>5232472.2609180836</v>
      </c>
      <c r="AA73" s="18">
        <f ca="1">Auxiliar_Projetos!E73</f>
        <v>247084.85495550343</v>
      </c>
      <c r="AB73" s="18">
        <f ca="1">Auxiliar_Projetos!K73</f>
        <v>363372.5454784648</v>
      </c>
      <c r="AC73" s="18">
        <f ca="1">IF(Z73-AA73-AB73&gt;Investimentos!$C$14,Investimentos!$C$14,IF(Z73-AA73-AB73&lt;Investimentos!$C$14,Z73-AA73-AB73,0))</f>
        <v>300000</v>
      </c>
      <c r="AD73" s="18">
        <f t="shared" ca="1" si="15"/>
        <v>4322014.8604841148</v>
      </c>
      <c r="AE73" s="18"/>
    </row>
    <row r="74" spans="1:31" x14ac:dyDescent="0.2">
      <c r="A74" s="4">
        <v>47849</v>
      </c>
      <c r="B74" s="5" t="str">
        <f t="shared" si="11"/>
        <v>janeiro</v>
      </c>
      <c r="C74" s="5" t="str">
        <f t="shared" si="17"/>
        <v>2031</v>
      </c>
      <c r="D74" s="5">
        <f>SUMIFS(Despesas!$F:$F,Despesas!$J:$J,"&lt;="&amp;$A74,Despesas!$L:$L,"&gt;="&amp;$A74,Despesas!$C:$C,D$1,Despesas!$M:$M,"Mensal")+SUMIFS(Despesas!$F:$F,Despesas!$J:$J,"&lt;="&amp;$A74,Despesas!$L:$L,"&gt;="&amp;$A74,Despesas!$C:$C,D$1,Despesas!$M:$M,$B74)</f>
        <v>23000</v>
      </c>
      <c r="E74" s="18">
        <f ca="1">SUMIFS(Despesas!$F:$F,Despesas!$J:$J,"&lt;="&amp;$A74,Despesas!$L:$L,"&gt;="&amp;$A74,Despesas!$C:$C,E$1,Despesas!$M:$M,"Mensal")+SUMIFS(Despesas!$F:$F,Despesas!$J:$J,"&lt;="&amp;$A74,Despesas!$L:$L,"&gt;="&amp;$A74,Despesas!$C:$C,E$1,Despesas!$M:$M,$B74)</f>
        <v>23151.4</v>
      </c>
      <c r="F74" s="5">
        <f>SUMIFS(Despesas!$F:$F,Despesas!$J:$J,"&lt;="&amp;$A74,Despesas!$L:$L,"&gt;="&amp;$A74,Despesas!$C:$C,F$1,Despesas!$M:$M,"Mensal")+SUMIFS(Despesas!$F:$F,Despesas!$J:$J,"&lt;="&amp;$A74,Despesas!$L:$L,"&gt;="&amp;$A74,Despesas!$C:$C,F$1,Despesas!$M:$M,$B74)</f>
        <v>13000</v>
      </c>
      <c r="G74" s="5">
        <f>SUMIFS(Despesas!$F:$F,Despesas!$J:$J,"&lt;="&amp;$A74,Despesas!$L:$L,"&gt;="&amp;$A74,Despesas!$C:$C,G$1,Despesas!$M:$M,"Mensal")+SUMIFS(Despesas!$F:$F,Despesas!$J:$J,"&lt;="&amp;$A74,Despesas!$L:$L,"&gt;="&amp;$A74,Despesas!$C:$C,G$1,Despesas!$M:$M,$B74)</f>
        <v>0</v>
      </c>
      <c r="H74" s="18">
        <f ca="1">SUMIFS(Despesas!$F:$F,Despesas!$J:$J,"&lt;="&amp;$A74,Despesas!$L:$L,"&gt;="&amp;$A74,Despesas!$C:$C,H$1,Despesas!$M:$M,"Mensal")+SUMIFS(Despesas!$F:$F,Despesas!$J:$J,"&lt;="&amp;$A74,Despesas!$L:$L,"&gt;="&amp;$A74,Despesas!$C:$C,H$1,Despesas!$M:$M,$B74)</f>
        <v>2686.355</v>
      </c>
      <c r="I74" s="18">
        <f>IF(Imóveis!$F$2="PRICE",IF(AND(Dados!$A74&gt;=Imóveis!$Q$2,Dados!$A74&lt;=Imóveis!$T$2),Imóveis!$U$2,0),IF((IF(AND(Dados!$A74&gt;=Imóveis!$Q$2,Dados!$A74&lt;=Imóveis!$T$2),Imóveis!$S$2-(DATEDIF(Imóveis!$Q$2,Dados!$A74,"m")),0))=0,0,((Imóveis!$N$2/Imóveis!$S$2)+((Imóveis!$N$2-((Imóveis!$S$2-(IF(AND(Dados!$A74&gt;=Imóveis!$Q$2,Dados!$A74&lt;=Imóveis!$T$2),Imóveis!$S$2-(DATEDIF(Imóveis!$Q$2,Dados!$A74,"m")),)))*(Imóveis!$N$2/Imóveis!$S$2)))*Imóveis!$P$2))))*IF(AND(Imóveis!$E$2&gt;0,Dados!$A74&gt;Imóveis!$E$2),0,1)</f>
        <v>14476.055738056939</v>
      </c>
      <c r="J74" s="18">
        <f ca="1">IF(Imóveis!$F$3="PRICE",IF(AND(Dados!$A74&gt;=Imóveis!$Q$3,Dados!$A74&lt;=Imóveis!$T$3),Imóveis!$U$3,0),IF((IF(AND(Dados!$A74&gt;=Imóveis!$Q$3,Dados!$A74&lt;=Imóveis!$T$3),Imóveis!$S$3-(DATEDIF(Imóveis!$Q$3,Dados!$A74,"m")),0))=0,0,((Imóveis!$N$3/Imóveis!$S$3)+((Imóveis!$N$3-((Imóveis!$S$3-(IF(AND(Dados!$A74&gt;=Imóveis!$Q$3,Dados!$A74&lt;=Imóveis!$T$3),Imóveis!$S$3-(DATEDIF(Imóveis!$Q$3,Dados!$A74,"m")),)))*(Imóveis!$N$3/Imóveis!$S$3)))*Imóveis!$P$3))))*IF(AND(Imóveis!$E$3&gt;0,Dados!$A74&gt;Imóveis!$E$3),0,1)</f>
        <v>9314.6986248807771</v>
      </c>
      <c r="K74" s="18">
        <f>IF(Imóveis!$F$4="PRICE",IF(AND(Dados!$A74&gt;=Imóveis!$Q$4,Dados!$A74&lt;=Imóveis!$T$4),Imóveis!$U$4,0),IF((IF(AND(Dados!$A74&gt;=Imóveis!$Q$4,Dados!$A74&lt;=Imóveis!$T$4),Imóveis!$S$4-(DATEDIF(Imóveis!$Q$4,Dados!$A74,"m")),0))=0,0,((Imóveis!$N$4/Imóveis!$S$4)+((Imóveis!$N$4-((Imóveis!$S$4-(IF(AND(Dados!$A74&gt;=Imóveis!$Q$4,Dados!$A74&lt;=Imóveis!$T$4),Imóveis!$S$4-(DATEDIF(Imóveis!$Q$4,Dados!$A74,"m")),)))*(Imóveis!$N$4/Imóveis!$S$4)))*Imóveis!$P$4))))*IF(AND(Imóveis!$E$4&gt;0,Dados!$A74&gt;Imóveis!$E$4),0,1)</f>
        <v>4643.949359272583</v>
      </c>
      <c r="L74" s="18">
        <f>IF(Imóveis!$F$5="PRICE",IF(AND(Dados!$A74&gt;=Imóveis!$Q$5,Dados!$A74&lt;=Imóveis!$T$5),Imóveis!$U$5,0),IF((IF(AND(Dados!$A74&gt;=Imóveis!$Q$5,Dados!$A74&lt;=Imóveis!$T$5),Imóveis!$S$5-(DATEDIF(Imóveis!$Q$5,Dados!$A74,"m")),0))=0,0,((Imóveis!$N$5/Imóveis!$S$5)+((Imóveis!$N$5-((Imóveis!$S$5-(IF(AND(Dados!$A74 &gt;=Imóveis!$Q$5,Dados!$A74&lt;=Imóveis!$T$5),Imóveis!$S$5-(DATEDIF(Imóveis!$Q$5,Dados!$A74,"m")),)))*(Imóveis!$N$5/Imóveis!$S$5)))*Imóveis!$P$5))))*IF(AND(Imóveis!$E$5&gt;0,Dados!$A74&gt;Imóveis!$E$5),0,1)*Imóveis!$I$5</f>
        <v>0</v>
      </c>
      <c r="M74" s="18">
        <f>IF(Imóveis!$F$6="PRICE",IF(AND(Dados!$A74&gt;=Imóveis!$Q$6,Dados!$A74&lt;=Imóveis!$T$6),Imóveis!$U$6,0),IF((IF(AND(Dados!$A74&gt;=Imóveis!$Q$6,Dados!$A74&lt;=Imóveis!$T$6),Imóveis!$S$6-(DATEDIF(Imóveis!$Q$6,Dados!$A74,"m")),0))=0,0,((Imóveis!$N$6/Imóveis!$S$6)+((Imóveis!$N$6-((Imóveis!$S$6-(IF(AND(Dados!$A74&gt;=Imóveis!$Q$6,Dados!$A74&lt;=Imóveis!$T$6),Imóveis!$S$6-(DATEDIF(Imóveis!$Q$6,Dados!$A74,"m")),)))*(Imóveis!$N$6/Imóveis!$S$6)))*Imóveis!$P$6))))*IF(AND(Imóveis!$E$6&gt;0,Dados!$A74&gt;Imóveis!$E$6),0,1)*Imóveis!$I$6</f>
        <v>0</v>
      </c>
      <c r="N74" s="18">
        <f t="shared" ca="1" si="12"/>
        <v>90272.4587222103</v>
      </c>
      <c r="O74" s="18">
        <f>SUMIFS(Receitas!$F:$F,Receitas!$J:$J,"&lt;="&amp;$A74,Receitas!$L:$L,"&gt;="&amp;$A74,Receitas!$C:$C,O$1,Receitas!$M:$M,"Mensal")+SUMIFS(Receitas!$F:$F,Receitas!$J:$J,"&lt;="&amp;$A74,Receitas!$L:$L,"&gt;="&amp;$A74,Receitas!$C:$C,O$1,Receitas!$M:$M,$B74)</f>
        <v>50000</v>
      </c>
      <c r="P74" s="18">
        <f>SUMIFS(Receitas!$F:$F,Receitas!$J:$J,"&lt;="&amp;$A74,Receitas!$L:$L,"&gt;="&amp;$A74,Receitas!$C:$C,P$1,Receitas!$M:$M,"Mensal")+SUMIFS(Receitas!$F:$F,Receitas!$J:$J,"&lt;="&amp;$A74,Receitas!$L:$L,"&gt;="&amp;$A74,Receitas!$C:$C,P$1,Receitas!$M:$M,$B74)</f>
        <v>20000</v>
      </c>
      <c r="Q74" s="18">
        <f ca="1">SUMIFS(Receitas!$F:$F,Receitas!$J:$J,"&lt;="&amp;$A74,Receitas!$L:$L,"&gt;="&amp;$A74,Receitas!$C:$C,Q$1,Receitas!$M:$M,"Mensal")+SUMIFS(Receitas!$F:$F,Receitas!$J:$J,"&lt;="&amp;$A74,Receitas!$L:$L,"&gt;="&amp;$A74,Receitas!$C:$C,Q$1,Receitas!$M:$M,$B74)</f>
        <v>15101.400000000001</v>
      </c>
      <c r="R74" s="18" cm="1">
        <f t="array" ref="R74">(IF(AND(Membros!$F$2="Sim",A74&lt;=MAX(Membros!$E$2:$E$5)),Membros!K$2,IF(AND(A74&gt;=Membros!J$2,A74&lt;=MAX(Membros!$E$2:$E$5)),Membros!K$2,0))+IF(AND(Membros!$F$3="Sim",A74&lt;=MAX(Membros!$E$2:$E$5)),Membros!K$3,IF(AND(A74&gt;=Membros!J$3,A74&lt;=MAX(Membros!$E$2:$E$5)),Membros!K$3,0)))*IF(AND(COUNTIFS(Tabela3[Tipo],"Provedor",Tabela3[Simulação Seguro],"Sim")=2,A74&gt;=MAX(IF(Tabela3[Tipo]="Dependente",Tabela3[Expectativa de Vida (Data)]))),0,1)</f>
        <v>0</v>
      </c>
      <c r="S74" s="18">
        <f t="shared" ca="1" si="13"/>
        <v>85101.4</v>
      </c>
      <c r="U74" s="18">
        <f t="shared" ca="1" si="16"/>
        <v>5232472.2609180836</v>
      </c>
      <c r="V74" s="18">
        <f>SUMIF(Imóveis!E:E,Dados!A:A,Imóveis!Z:Z)-SUMIF(Imóveis!E:E,Dados!A:A,Imóveis!Y:Y)</f>
        <v>0</v>
      </c>
      <c r="W74" s="18">
        <f>-SUMIF(Projetos!N:N,A74,Projetos!F:F)</f>
        <v>0</v>
      </c>
      <c r="X74" s="18">
        <f t="shared" ca="1" si="10"/>
        <v>-5171.0587222103059</v>
      </c>
      <c r="Y74" s="26">
        <f ca="1">(U74*((Indicadores_Economicos!D$2+1)^(1/12)-1))</f>
        <v>17129.752599819829</v>
      </c>
      <c r="Z74" s="18">
        <f t="shared" ca="1" si="14"/>
        <v>5244430.954795693</v>
      </c>
      <c r="AA74" s="18">
        <f ca="1">Auxiliar_Projetos!E74</f>
        <v>247893.74647475011</v>
      </c>
      <c r="AB74" s="18">
        <f ca="1">Auxiliar_Projetos!K74</f>
        <v>364562.13263635652</v>
      </c>
      <c r="AC74" s="18">
        <f ca="1">IF(Z74-AA74-AB74&gt;Investimentos!$C$14,Investimentos!$C$14,IF(Z74-AA74-AB74&lt;Investimentos!$C$14,Z74-AA74-AB74,0))</f>
        <v>300000</v>
      </c>
      <c r="AD74" s="18">
        <f t="shared" ca="1" si="15"/>
        <v>4331975.0756845865</v>
      </c>
      <c r="AE74" s="18"/>
    </row>
    <row r="75" spans="1:31" x14ac:dyDescent="0.2">
      <c r="A75" s="4">
        <v>47880</v>
      </c>
      <c r="B75" s="5" t="str">
        <f t="shared" si="11"/>
        <v>fevereiro</v>
      </c>
      <c r="C75" s="5" t="str">
        <f t="shared" si="17"/>
        <v>2031</v>
      </c>
      <c r="D75" s="5">
        <f>SUMIFS(Despesas!$F:$F,Despesas!$J:$J,"&lt;="&amp;$A75,Despesas!$L:$L,"&gt;="&amp;$A75,Despesas!$C:$C,D$1,Despesas!$M:$M,"Mensal")+SUMIFS(Despesas!$F:$F,Despesas!$J:$J,"&lt;="&amp;$A75,Despesas!$L:$L,"&gt;="&amp;$A75,Despesas!$C:$C,D$1,Despesas!$M:$M,$B75)</f>
        <v>23000</v>
      </c>
      <c r="E75" s="18">
        <f ca="1">SUMIFS(Despesas!$F:$F,Despesas!$J:$J,"&lt;="&amp;$A75,Despesas!$L:$L,"&gt;="&amp;$A75,Despesas!$C:$C,E$1,Despesas!$M:$M,"Mensal")+SUMIFS(Despesas!$F:$F,Despesas!$J:$J,"&lt;="&amp;$A75,Despesas!$L:$L,"&gt;="&amp;$A75,Despesas!$C:$C,E$1,Despesas!$M:$M,$B75)</f>
        <v>23151.4</v>
      </c>
      <c r="F75" s="5">
        <f>SUMIFS(Despesas!$F:$F,Despesas!$J:$J,"&lt;="&amp;$A75,Despesas!$L:$L,"&gt;="&amp;$A75,Despesas!$C:$C,F$1,Despesas!$M:$M,"Mensal")+SUMIFS(Despesas!$F:$F,Despesas!$J:$J,"&lt;="&amp;$A75,Despesas!$L:$L,"&gt;="&amp;$A75,Despesas!$C:$C,F$1,Despesas!$M:$M,$B75)</f>
        <v>13000</v>
      </c>
      <c r="G75" s="5">
        <f>SUMIFS(Despesas!$F:$F,Despesas!$J:$J,"&lt;="&amp;$A75,Despesas!$L:$L,"&gt;="&amp;$A75,Despesas!$C:$C,G$1,Despesas!$M:$M,"Mensal")+SUMIFS(Despesas!$F:$F,Despesas!$J:$J,"&lt;="&amp;$A75,Despesas!$L:$L,"&gt;="&amp;$A75,Despesas!$C:$C,G$1,Despesas!$M:$M,$B75)</f>
        <v>0</v>
      </c>
      <c r="H75" s="18">
        <f ca="1">SUMIFS(Despesas!$F:$F,Despesas!$J:$J,"&lt;="&amp;$A75,Despesas!$L:$L,"&gt;="&amp;$A75,Despesas!$C:$C,H$1,Despesas!$M:$M,"Mensal")+SUMIFS(Despesas!$F:$F,Despesas!$J:$J,"&lt;="&amp;$A75,Despesas!$L:$L,"&gt;="&amp;$A75,Despesas!$C:$C,H$1,Despesas!$M:$M,$B75)</f>
        <v>4543.9250000000002</v>
      </c>
      <c r="I75" s="18">
        <f>IF(Imóveis!$F$2="PRICE",IF(AND(Dados!$A75&gt;=Imóveis!$Q$2,Dados!$A75&lt;=Imóveis!$T$2),Imóveis!$U$2,0),IF((IF(AND(Dados!$A75&gt;=Imóveis!$Q$2,Dados!$A75&lt;=Imóveis!$T$2),Imóveis!$S$2-(DATEDIF(Imóveis!$Q$2,Dados!$A75,"m")),0))=0,0,((Imóveis!$N$2/Imóveis!$S$2)+((Imóveis!$N$2-((Imóveis!$S$2-(IF(AND(Dados!$A75&gt;=Imóveis!$Q$2,Dados!$A75&lt;=Imóveis!$T$2),Imóveis!$S$2-(DATEDIF(Imóveis!$Q$2,Dados!$A75,"m")),)))*(Imóveis!$N$2/Imóveis!$S$2)))*Imóveis!$P$2))))*IF(AND(Imóveis!$E$2&gt;0,Dados!$A75&gt;Imóveis!$E$2),0,1)</f>
        <v>14414.034645832133</v>
      </c>
      <c r="J75" s="18">
        <f ca="1">IF(Imóveis!$F$3="PRICE",IF(AND(Dados!$A75&gt;=Imóveis!$Q$3,Dados!$A75&lt;=Imóveis!$T$3),Imóveis!$U$3,0),IF((IF(AND(Dados!$A75&gt;=Imóveis!$Q$3,Dados!$A75&lt;=Imóveis!$T$3),Imóveis!$S$3-(DATEDIF(Imóveis!$Q$3,Dados!$A75,"m")),0))=0,0,((Imóveis!$N$3/Imóveis!$S$3)+((Imóveis!$N$3-((Imóveis!$S$3-(IF(AND(Dados!$A75&gt;=Imóveis!$Q$3,Dados!$A75&lt;=Imóveis!$T$3),Imóveis!$S$3-(DATEDIF(Imóveis!$Q$3,Dados!$A75,"m")),)))*(Imóveis!$N$3/Imóveis!$S$3)))*Imóveis!$P$3))))*IF(AND(Imóveis!$E$3&gt;0,Dados!$A75&gt;Imóveis!$E$3),0,1)</f>
        <v>9314.6986248807771</v>
      </c>
      <c r="K75" s="18">
        <f>IF(Imóveis!$F$4="PRICE",IF(AND(Dados!$A75&gt;=Imóveis!$Q$4,Dados!$A75&lt;=Imóveis!$T$4),Imóveis!$U$4,0),IF((IF(AND(Dados!$A75&gt;=Imóveis!$Q$4,Dados!$A75&lt;=Imóveis!$T$4),Imóveis!$S$4-(DATEDIF(Imóveis!$Q$4,Dados!$A75,"m")),0))=0,0,((Imóveis!$N$4/Imóveis!$S$4)+((Imóveis!$N$4-((Imóveis!$S$4-(IF(AND(Dados!$A75&gt;=Imóveis!$Q$4,Dados!$A75&lt;=Imóveis!$T$4),Imóveis!$S$4-(DATEDIF(Imóveis!$Q$4,Dados!$A75,"m")),)))*(Imóveis!$N$4/Imóveis!$S$4)))*Imóveis!$P$4))))*IF(AND(Imóveis!$E$4&gt;0,Dados!$A75&gt;Imóveis!$E$4),0,1)</f>
        <v>4643.949359272583</v>
      </c>
      <c r="L75" s="18">
        <f>IF(Imóveis!$F$5="PRICE",IF(AND(Dados!$A75&gt;=Imóveis!$Q$5,Dados!$A75&lt;=Imóveis!$T$5),Imóveis!$U$5,0),IF((IF(AND(Dados!$A75&gt;=Imóveis!$Q$5,Dados!$A75&lt;=Imóveis!$T$5),Imóveis!$S$5-(DATEDIF(Imóveis!$Q$5,Dados!$A75,"m")),0))=0,0,((Imóveis!$N$5/Imóveis!$S$5)+((Imóveis!$N$5-((Imóveis!$S$5-(IF(AND(Dados!$A75 &gt;=Imóveis!$Q$5,Dados!$A75&lt;=Imóveis!$T$5),Imóveis!$S$5-(DATEDIF(Imóveis!$Q$5,Dados!$A75,"m")),)))*(Imóveis!$N$5/Imóveis!$S$5)))*Imóveis!$P$5))))*IF(AND(Imóveis!$E$5&gt;0,Dados!$A75&gt;Imóveis!$E$5),0,1)*Imóveis!$I$5</f>
        <v>0</v>
      </c>
      <c r="M75" s="18">
        <f>IF(Imóveis!$F$6="PRICE",IF(AND(Dados!$A75&gt;=Imóveis!$Q$6,Dados!$A75&lt;=Imóveis!$T$6),Imóveis!$U$6,0),IF((IF(AND(Dados!$A75&gt;=Imóveis!$Q$6,Dados!$A75&lt;=Imóveis!$T$6),Imóveis!$S$6-(DATEDIF(Imóveis!$Q$6,Dados!$A75,"m")),0))=0,0,((Imóveis!$N$6/Imóveis!$S$6)+((Imóveis!$N$6-((Imóveis!$S$6-(IF(AND(Dados!$A75&gt;=Imóveis!$Q$6,Dados!$A75&lt;=Imóveis!$T$6),Imóveis!$S$6-(DATEDIF(Imóveis!$Q$6,Dados!$A75,"m")),)))*(Imóveis!$N$6/Imóveis!$S$6)))*Imóveis!$P$6))))*IF(AND(Imóveis!$E$6&gt;0,Dados!$A75&gt;Imóveis!$E$6),0,1)*Imóveis!$I$6</f>
        <v>0</v>
      </c>
      <c r="N75" s="18">
        <f t="shared" ca="1" si="12"/>
        <v>92068.007629985499</v>
      </c>
      <c r="O75" s="18">
        <f>SUMIFS(Receitas!$F:$F,Receitas!$J:$J,"&lt;="&amp;$A75,Receitas!$L:$L,"&gt;="&amp;$A75,Receitas!$C:$C,O$1,Receitas!$M:$M,"Mensal")+SUMIFS(Receitas!$F:$F,Receitas!$J:$J,"&lt;="&amp;$A75,Receitas!$L:$L,"&gt;="&amp;$A75,Receitas!$C:$C,O$1,Receitas!$M:$M,$B75)</f>
        <v>50000</v>
      </c>
      <c r="P75" s="18">
        <f>SUMIFS(Receitas!$F:$F,Receitas!$J:$J,"&lt;="&amp;$A75,Receitas!$L:$L,"&gt;="&amp;$A75,Receitas!$C:$C,P$1,Receitas!$M:$M,"Mensal")+SUMIFS(Receitas!$F:$F,Receitas!$J:$J,"&lt;="&amp;$A75,Receitas!$L:$L,"&gt;="&amp;$A75,Receitas!$C:$C,P$1,Receitas!$M:$M,$B75)</f>
        <v>20000</v>
      </c>
      <c r="Q75" s="18">
        <f ca="1">SUMIFS(Receitas!$F:$F,Receitas!$J:$J,"&lt;="&amp;$A75,Receitas!$L:$L,"&gt;="&amp;$A75,Receitas!$C:$C,Q$1,Receitas!$M:$M,"Mensal")+SUMIFS(Receitas!$F:$F,Receitas!$J:$J,"&lt;="&amp;$A75,Receitas!$L:$L,"&gt;="&amp;$A75,Receitas!$C:$C,Q$1,Receitas!$M:$M,$B75)</f>
        <v>15101.400000000001</v>
      </c>
      <c r="R75" s="18" cm="1">
        <f t="array" ref="R75">(IF(AND(Membros!$F$2="Sim",A75&lt;=MAX(Membros!$E$2:$E$5)),Membros!K$2,IF(AND(A75&gt;=Membros!J$2,A75&lt;=MAX(Membros!$E$2:$E$5)),Membros!K$2,0))+IF(AND(Membros!$F$3="Sim",A75&lt;=MAX(Membros!$E$2:$E$5)),Membros!K$3,IF(AND(A75&gt;=Membros!J$3,A75&lt;=MAX(Membros!$E$2:$E$5)),Membros!K$3,0)))*IF(AND(COUNTIFS(Tabela3[Tipo],"Provedor",Tabela3[Simulação Seguro],"Sim")=2,A75&gt;=MAX(IF(Tabela3[Tipo]="Dependente",Tabela3[Expectativa de Vida (Data)]))),0,1)</f>
        <v>0</v>
      </c>
      <c r="S75" s="18">
        <f t="shared" ca="1" si="13"/>
        <v>85101.4</v>
      </c>
      <c r="U75" s="18">
        <f t="shared" ca="1" si="16"/>
        <v>5244430.954795693</v>
      </c>
      <c r="V75" s="18">
        <f>SUMIF(Imóveis!E:E,Dados!A:A,Imóveis!Z:Z)-SUMIF(Imóveis!E:E,Dados!A:A,Imóveis!Y:Y)</f>
        <v>0</v>
      </c>
      <c r="W75" s="18">
        <f>-SUMIF(Projetos!N:N,A75,Projetos!F:F)</f>
        <v>0</v>
      </c>
      <c r="X75" s="18">
        <f t="shared" ca="1" si="10"/>
        <v>-6966.6076299855049</v>
      </c>
      <c r="Y75" s="26">
        <f ca="1">(U75*((Indicadores_Economicos!D$2+1)^(1/12)-1))</f>
        <v>17168.902251710097</v>
      </c>
      <c r="Z75" s="18">
        <f t="shared" ca="1" si="14"/>
        <v>5254633.2494174177</v>
      </c>
      <c r="AA75" s="18">
        <f ca="1">Auxiliar_Projetos!E75</f>
        <v>248705.28609434282</v>
      </c>
      <c r="AB75" s="18">
        <f ca="1">Auxiliar_Projetos!K75</f>
        <v>365755.61419305141</v>
      </c>
      <c r="AC75" s="18">
        <f ca="1">IF(Z75-AA75-AB75&gt;Investimentos!$C$14,Investimentos!$C$14,IF(Z75-AA75-AB75&lt;Investimentos!$C$14,Z75-AA75-AB75,0))</f>
        <v>300000</v>
      </c>
      <c r="AD75" s="18">
        <f t="shared" ca="1" si="15"/>
        <v>4340172.3491300242</v>
      </c>
      <c r="AE75" s="18"/>
    </row>
    <row r="76" spans="1:31" x14ac:dyDescent="0.2">
      <c r="A76" s="4">
        <v>47908</v>
      </c>
      <c r="B76" s="5" t="str">
        <f t="shared" si="11"/>
        <v>março</v>
      </c>
      <c r="C76" s="5" t="str">
        <f t="shared" si="17"/>
        <v>2031</v>
      </c>
      <c r="D76" s="5">
        <f>SUMIFS(Despesas!$F:$F,Despesas!$J:$J,"&lt;="&amp;$A76,Despesas!$L:$L,"&gt;="&amp;$A76,Despesas!$C:$C,D$1,Despesas!$M:$M,"Mensal")+SUMIFS(Despesas!$F:$F,Despesas!$J:$J,"&lt;="&amp;$A76,Despesas!$L:$L,"&gt;="&amp;$A76,Despesas!$C:$C,D$1,Despesas!$M:$M,$B76)</f>
        <v>23000</v>
      </c>
      <c r="E76" s="18">
        <f ca="1">SUMIFS(Despesas!$F:$F,Despesas!$J:$J,"&lt;="&amp;$A76,Despesas!$L:$L,"&gt;="&amp;$A76,Despesas!$C:$C,E$1,Despesas!$M:$M,"Mensal")+SUMIFS(Despesas!$F:$F,Despesas!$J:$J,"&lt;="&amp;$A76,Despesas!$L:$L,"&gt;="&amp;$A76,Despesas!$C:$C,E$1,Despesas!$M:$M,$B76)</f>
        <v>23151.4</v>
      </c>
      <c r="F76" s="5">
        <f>SUMIFS(Despesas!$F:$F,Despesas!$J:$J,"&lt;="&amp;$A76,Despesas!$L:$L,"&gt;="&amp;$A76,Despesas!$C:$C,F$1,Despesas!$M:$M,"Mensal")+SUMIFS(Despesas!$F:$F,Despesas!$J:$J,"&lt;="&amp;$A76,Despesas!$L:$L,"&gt;="&amp;$A76,Despesas!$C:$C,F$1,Despesas!$M:$M,$B76)</f>
        <v>13000</v>
      </c>
      <c r="G76" s="5">
        <f>SUMIFS(Despesas!$F:$F,Despesas!$J:$J,"&lt;="&amp;$A76,Despesas!$L:$L,"&gt;="&amp;$A76,Despesas!$C:$C,G$1,Despesas!$M:$M,"Mensal")+SUMIFS(Despesas!$F:$F,Despesas!$J:$J,"&lt;="&amp;$A76,Despesas!$L:$L,"&gt;="&amp;$A76,Despesas!$C:$C,G$1,Despesas!$M:$M,$B76)</f>
        <v>0</v>
      </c>
      <c r="H76" s="18">
        <f ca="1">SUMIFS(Despesas!$F:$F,Despesas!$J:$J,"&lt;="&amp;$A76,Despesas!$L:$L,"&gt;="&amp;$A76,Despesas!$C:$C,H$1,Despesas!$M:$M,"Mensal")+SUMIFS(Despesas!$F:$F,Despesas!$J:$J,"&lt;="&amp;$A76,Despesas!$L:$L,"&gt;="&amp;$A76,Despesas!$C:$C,H$1,Despesas!$M:$M,$B76)</f>
        <v>2686.355</v>
      </c>
      <c r="I76" s="18">
        <f>IF(Imóveis!$F$2="PRICE",IF(AND(Dados!$A76&gt;=Imóveis!$Q$2,Dados!$A76&lt;=Imóveis!$T$2),Imóveis!$U$2,0),IF((IF(AND(Dados!$A76&gt;=Imóveis!$Q$2,Dados!$A76&lt;=Imóveis!$T$2),Imóveis!$S$2-(DATEDIF(Imóveis!$Q$2,Dados!$A76,"m")),0))=0,0,((Imóveis!$N$2/Imóveis!$S$2)+((Imóveis!$N$2-((Imóveis!$S$2-(IF(AND(Dados!$A76&gt;=Imóveis!$Q$2,Dados!$A76&lt;=Imóveis!$T$2),Imóveis!$S$2-(DATEDIF(Imóveis!$Q$2,Dados!$A76,"m")),)))*(Imóveis!$N$2/Imóveis!$S$2)))*Imóveis!$P$2))))*IF(AND(Imóveis!$E$2&gt;0,Dados!$A76&gt;Imóveis!$E$2),0,1)</f>
        <v>14352.013553607325</v>
      </c>
      <c r="J76" s="18">
        <f ca="1">IF(Imóveis!$F$3="PRICE",IF(AND(Dados!$A76&gt;=Imóveis!$Q$3,Dados!$A76&lt;=Imóveis!$T$3),Imóveis!$U$3,0),IF((IF(AND(Dados!$A76&gt;=Imóveis!$Q$3,Dados!$A76&lt;=Imóveis!$T$3),Imóveis!$S$3-(DATEDIF(Imóveis!$Q$3,Dados!$A76,"m")),0))=0,0,((Imóveis!$N$3/Imóveis!$S$3)+((Imóveis!$N$3-((Imóveis!$S$3-(IF(AND(Dados!$A76&gt;=Imóveis!$Q$3,Dados!$A76&lt;=Imóveis!$T$3),Imóveis!$S$3-(DATEDIF(Imóveis!$Q$3,Dados!$A76,"m")),)))*(Imóveis!$N$3/Imóveis!$S$3)))*Imóveis!$P$3))))*IF(AND(Imóveis!$E$3&gt;0,Dados!$A76&gt;Imóveis!$E$3),0,1)</f>
        <v>9314.6986248807771</v>
      </c>
      <c r="K76" s="18">
        <f>IF(Imóveis!$F$4="PRICE",IF(AND(Dados!$A76&gt;=Imóveis!$Q$4,Dados!$A76&lt;=Imóveis!$T$4),Imóveis!$U$4,0),IF((IF(AND(Dados!$A76&gt;=Imóveis!$Q$4,Dados!$A76&lt;=Imóveis!$T$4),Imóveis!$S$4-(DATEDIF(Imóveis!$Q$4,Dados!$A76,"m")),0))=0,0,((Imóveis!$N$4/Imóveis!$S$4)+((Imóveis!$N$4-((Imóveis!$S$4-(IF(AND(Dados!$A76&gt;=Imóveis!$Q$4,Dados!$A76&lt;=Imóveis!$T$4),Imóveis!$S$4-(DATEDIF(Imóveis!$Q$4,Dados!$A76,"m")),)))*(Imóveis!$N$4/Imóveis!$S$4)))*Imóveis!$P$4))))*IF(AND(Imóveis!$E$4&gt;0,Dados!$A76&gt;Imóveis!$E$4),0,1)</f>
        <v>4643.949359272583</v>
      </c>
      <c r="L76" s="18">
        <f>IF(Imóveis!$F$5="PRICE",IF(AND(Dados!$A76&gt;=Imóveis!$Q$5,Dados!$A76&lt;=Imóveis!$T$5),Imóveis!$U$5,0),IF((IF(AND(Dados!$A76&gt;=Imóveis!$Q$5,Dados!$A76&lt;=Imóveis!$T$5),Imóveis!$S$5-(DATEDIF(Imóveis!$Q$5,Dados!$A76,"m")),0))=0,0,((Imóveis!$N$5/Imóveis!$S$5)+((Imóveis!$N$5-((Imóveis!$S$5-(IF(AND(Dados!$A76 &gt;=Imóveis!$Q$5,Dados!$A76&lt;=Imóveis!$T$5),Imóveis!$S$5-(DATEDIF(Imóveis!$Q$5,Dados!$A76,"m")),)))*(Imóveis!$N$5/Imóveis!$S$5)))*Imóveis!$P$5))))*IF(AND(Imóveis!$E$5&gt;0,Dados!$A76&gt;Imóveis!$E$5),0,1)*Imóveis!$I$5</f>
        <v>0</v>
      </c>
      <c r="M76" s="18">
        <f>IF(Imóveis!$F$6="PRICE",IF(AND(Dados!$A76&gt;=Imóveis!$Q$6,Dados!$A76&lt;=Imóveis!$T$6),Imóveis!$U$6,0),IF((IF(AND(Dados!$A76&gt;=Imóveis!$Q$6,Dados!$A76&lt;=Imóveis!$T$6),Imóveis!$S$6-(DATEDIF(Imóveis!$Q$6,Dados!$A76,"m")),0))=0,0,((Imóveis!$N$6/Imóveis!$S$6)+((Imóveis!$N$6-((Imóveis!$S$6-(IF(AND(Dados!$A76&gt;=Imóveis!$Q$6,Dados!$A76&lt;=Imóveis!$T$6),Imóveis!$S$6-(DATEDIF(Imóveis!$Q$6,Dados!$A76,"m")),)))*(Imóveis!$N$6/Imóveis!$S$6)))*Imóveis!$P$6))))*IF(AND(Imóveis!$E$6&gt;0,Dados!$A76&gt;Imóveis!$E$6),0,1)*Imóveis!$I$6</f>
        <v>0</v>
      </c>
      <c r="N76" s="18">
        <f t="shared" ca="1" si="12"/>
        <v>90148.416537760684</v>
      </c>
      <c r="O76" s="18">
        <f>SUMIFS(Receitas!$F:$F,Receitas!$J:$J,"&lt;="&amp;$A76,Receitas!$L:$L,"&gt;="&amp;$A76,Receitas!$C:$C,O$1,Receitas!$M:$M,"Mensal")+SUMIFS(Receitas!$F:$F,Receitas!$J:$J,"&lt;="&amp;$A76,Receitas!$L:$L,"&gt;="&amp;$A76,Receitas!$C:$C,O$1,Receitas!$M:$M,$B76)</f>
        <v>50000</v>
      </c>
      <c r="P76" s="18">
        <f>SUMIFS(Receitas!$F:$F,Receitas!$J:$J,"&lt;="&amp;$A76,Receitas!$L:$L,"&gt;="&amp;$A76,Receitas!$C:$C,P$1,Receitas!$M:$M,"Mensal")+SUMIFS(Receitas!$F:$F,Receitas!$J:$J,"&lt;="&amp;$A76,Receitas!$L:$L,"&gt;="&amp;$A76,Receitas!$C:$C,P$1,Receitas!$M:$M,$B76)</f>
        <v>20000</v>
      </c>
      <c r="Q76" s="18">
        <f ca="1">SUMIFS(Receitas!$F:$F,Receitas!$J:$J,"&lt;="&amp;$A76,Receitas!$L:$L,"&gt;="&amp;$A76,Receitas!$C:$C,Q$1,Receitas!$M:$M,"Mensal")+SUMIFS(Receitas!$F:$F,Receitas!$J:$J,"&lt;="&amp;$A76,Receitas!$L:$L,"&gt;="&amp;$A76,Receitas!$C:$C,Q$1,Receitas!$M:$M,$B76)</f>
        <v>15101.400000000001</v>
      </c>
      <c r="R76" s="18" cm="1">
        <f t="array" ref="R76">(IF(AND(Membros!$F$2="Sim",A76&lt;=MAX(Membros!$E$2:$E$5)),Membros!K$2,IF(AND(A76&gt;=Membros!J$2,A76&lt;=MAX(Membros!$E$2:$E$5)),Membros!K$2,0))+IF(AND(Membros!$F$3="Sim",A76&lt;=MAX(Membros!$E$2:$E$5)),Membros!K$3,IF(AND(A76&gt;=Membros!J$3,A76&lt;=MAX(Membros!$E$2:$E$5)),Membros!K$3,0)))*IF(AND(COUNTIFS(Tabela3[Tipo],"Provedor",Tabela3[Simulação Seguro],"Sim")=2,A76&gt;=MAX(IF(Tabela3[Tipo]="Dependente",Tabela3[Expectativa de Vida (Data)]))),0,1)</f>
        <v>0</v>
      </c>
      <c r="S76" s="18">
        <f t="shared" ca="1" si="13"/>
        <v>85101.4</v>
      </c>
      <c r="U76" s="18">
        <f t="shared" ca="1" si="16"/>
        <v>5254633.2494174177</v>
      </c>
      <c r="V76" s="18">
        <f>SUMIF(Imóveis!E:E,Dados!A:A,Imóveis!Z:Z)-SUMIF(Imóveis!E:E,Dados!A:A,Imóveis!Y:Y)</f>
        <v>0</v>
      </c>
      <c r="W76" s="18">
        <f>-SUMIF(Projetos!N:N,A76,Projetos!F:F)</f>
        <v>0</v>
      </c>
      <c r="X76" s="18">
        <f t="shared" ca="1" si="10"/>
        <v>-5047.01653776069</v>
      </c>
      <c r="Y76" s="26">
        <f ca="1">(U76*((Indicadores_Economicos!D$2+1)^(1/12)-1))</f>
        <v>17202.301909482951</v>
      </c>
      <c r="Z76" s="18">
        <f t="shared" ca="1" si="14"/>
        <v>5266788.5347891403</v>
      </c>
      <c r="AA76" s="18">
        <f ca="1">Auxiliar_Projetos!E76</f>
        <v>249519.48248347302</v>
      </c>
      <c r="AB76" s="18">
        <f ca="1">Auxiliar_Projetos!K76</f>
        <v>366953.00289779779</v>
      </c>
      <c r="AC76" s="18">
        <f ca="1">IF(Z76-AA76-AB76&gt;Investimentos!$C$14,Investimentos!$C$14,IF(Z76-AA76-AB76&lt;Investimentos!$C$14,Z76-AA76-AB76,0))</f>
        <v>300000</v>
      </c>
      <c r="AD76" s="18">
        <f t="shared" ca="1" si="15"/>
        <v>4350316.0494078696</v>
      </c>
      <c r="AE76" s="18"/>
    </row>
    <row r="77" spans="1:31" x14ac:dyDescent="0.2">
      <c r="A77" s="4">
        <v>47939</v>
      </c>
      <c r="B77" s="5" t="str">
        <f t="shared" si="11"/>
        <v>abril</v>
      </c>
      <c r="C77" s="5" t="str">
        <f t="shared" si="17"/>
        <v>2031</v>
      </c>
      <c r="D77" s="5">
        <f>SUMIFS(Despesas!$F:$F,Despesas!$J:$J,"&lt;="&amp;$A77,Despesas!$L:$L,"&gt;="&amp;$A77,Despesas!$C:$C,D$1,Despesas!$M:$M,"Mensal")+SUMIFS(Despesas!$F:$F,Despesas!$J:$J,"&lt;="&amp;$A77,Despesas!$L:$L,"&gt;="&amp;$A77,Despesas!$C:$C,D$1,Despesas!$M:$M,$B77)</f>
        <v>23000</v>
      </c>
      <c r="E77" s="18">
        <f ca="1">SUMIFS(Despesas!$F:$F,Despesas!$J:$J,"&lt;="&amp;$A77,Despesas!$L:$L,"&gt;="&amp;$A77,Despesas!$C:$C,E$1,Despesas!$M:$M,"Mensal")+SUMIFS(Despesas!$F:$F,Despesas!$J:$J,"&lt;="&amp;$A77,Despesas!$L:$L,"&gt;="&amp;$A77,Despesas!$C:$C,E$1,Despesas!$M:$M,$B77)</f>
        <v>23151.4</v>
      </c>
      <c r="F77" s="5">
        <f>SUMIFS(Despesas!$F:$F,Despesas!$J:$J,"&lt;="&amp;$A77,Despesas!$L:$L,"&gt;="&amp;$A77,Despesas!$C:$C,F$1,Despesas!$M:$M,"Mensal")+SUMIFS(Despesas!$F:$F,Despesas!$J:$J,"&lt;="&amp;$A77,Despesas!$L:$L,"&gt;="&amp;$A77,Despesas!$C:$C,F$1,Despesas!$M:$M,$B77)</f>
        <v>13000</v>
      </c>
      <c r="G77" s="5">
        <f>SUMIFS(Despesas!$F:$F,Despesas!$J:$J,"&lt;="&amp;$A77,Despesas!$L:$L,"&gt;="&amp;$A77,Despesas!$C:$C,G$1,Despesas!$M:$M,"Mensal")+SUMIFS(Despesas!$F:$F,Despesas!$J:$J,"&lt;="&amp;$A77,Despesas!$L:$L,"&gt;="&amp;$A77,Despesas!$C:$C,G$1,Despesas!$M:$M,$B77)</f>
        <v>0</v>
      </c>
      <c r="H77" s="18">
        <f ca="1">SUMIFS(Despesas!$F:$F,Despesas!$J:$J,"&lt;="&amp;$A77,Despesas!$L:$L,"&gt;="&amp;$A77,Despesas!$C:$C,H$1,Despesas!$M:$M,"Mensal")+SUMIFS(Despesas!$F:$F,Despesas!$J:$J,"&lt;="&amp;$A77,Despesas!$L:$L,"&gt;="&amp;$A77,Despesas!$C:$C,H$1,Despesas!$M:$M,$B77)</f>
        <v>2686.355</v>
      </c>
      <c r="I77" s="18">
        <f>IF(Imóveis!$F$2="PRICE",IF(AND(Dados!$A77&gt;=Imóveis!$Q$2,Dados!$A77&lt;=Imóveis!$T$2),Imóveis!$U$2,0),IF((IF(AND(Dados!$A77&gt;=Imóveis!$Q$2,Dados!$A77&lt;=Imóveis!$T$2),Imóveis!$S$2-(DATEDIF(Imóveis!$Q$2,Dados!$A77,"m")),0))=0,0,((Imóveis!$N$2/Imóveis!$S$2)+((Imóveis!$N$2-((Imóveis!$S$2-(IF(AND(Dados!$A77&gt;=Imóveis!$Q$2,Dados!$A77&lt;=Imóveis!$T$2),Imóveis!$S$2-(DATEDIF(Imóveis!$Q$2,Dados!$A77,"m")),)))*(Imóveis!$N$2/Imóveis!$S$2)))*Imóveis!$P$2))))*IF(AND(Imóveis!$E$2&gt;0,Dados!$A77&gt;Imóveis!$E$2),0,1)</f>
        <v>14289.992461382519</v>
      </c>
      <c r="J77" s="18">
        <f ca="1">IF(Imóveis!$F$3="PRICE",IF(AND(Dados!$A77&gt;=Imóveis!$Q$3,Dados!$A77&lt;=Imóveis!$T$3),Imóveis!$U$3,0),IF((IF(AND(Dados!$A77&gt;=Imóveis!$Q$3,Dados!$A77&lt;=Imóveis!$T$3),Imóveis!$S$3-(DATEDIF(Imóveis!$Q$3,Dados!$A77,"m")),0))=0,0,((Imóveis!$N$3/Imóveis!$S$3)+((Imóveis!$N$3-((Imóveis!$S$3-(IF(AND(Dados!$A77&gt;=Imóveis!$Q$3,Dados!$A77&lt;=Imóveis!$T$3),Imóveis!$S$3-(DATEDIF(Imóveis!$Q$3,Dados!$A77,"m")),)))*(Imóveis!$N$3/Imóveis!$S$3)))*Imóveis!$P$3))))*IF(AND(Imóveis!$E$3&gt;0,Dados!$A77&gt;Imóveis!$E$3),0,1)</f>
        <v>9314.6986248807771</v>
      </c>
      <c r="K77" s="18">
        <f>IF(Imóveis!$F$4="PRICE",IF(AND(Dados!$A77&gt;=Imóveis!$Q$4,Dados!$A77&lt;=Imóveis!$T$4),Imóveis!$U$4,0),IF((IF(AND(Dados!$A77&gt;=Imóveis!$Q$4,Dados!$A77&lt;=Imóveis!$T$4),Imóveis!$S$4-(DATEDIF(Imóveis!$Q$4,Dados!$A77,"m")),0))=0,0,((Imóveis!$N$4/Imóveis!$S$4)+((Imóveis!$N$4-((Imóveis!$S$4-(IF(AND(Dados!$A77&gt;=Imóveis!$Q$4,Dados!$A77&lt;=Imóveis!$T$4),Imóveis!$S$4-(DATEDIF(Imóveis!$Q$4,Dados!$A77,"m")),)))*(Imóveis!$N$4/Imóveis!$S$4)))*Imóveis!$P$4))))*IF(AND(Imóveis!$E$4&gt;0,Dados!$A77&gt;Imóveis!$E$4),0,1)</f>
        <v>4643.949359272583</v>
      </c>
      <c r="L77" s="18">
        <f>IF(Imóveis!$F$5="PRICE",IF(AND(Dados!$A77&gt;=Imóveis!$Q$5,Dados!$A77&lt;=Imóveis!$T$5),Imóveis!$U$5,0),IF((IF(AND(Dados!$A77&gt;=Imóveis!$Q$5,Dados!$A77&lt;=Imóveis!$T$5),Imóveis!$S$5-(DATEDIF(Imóveis!$Q$5,Dados!$A77,"m")),0))=0,0,((Imóveis!$N$5/Imóveis!$S$5)+((Imóveis!$N$5-((Imóveis!$S$5-(IF(AND(Dados!$A77 &gt;=Imóveis!$Q$5,Dados!$A77&lt;=Imóveis!$T$5),Imóveis!$S$5-(DATEDIF(Imóveis!$Q$5,Dados!$A77,"m")),)))*(Imóveis!$N$5/Imóveis!$S$5)))*Imóveis!$P$5))))*IF(AND(Imóveis!$E$5&gt;0,Dados!$A77&gt;Imóveis!$E$5),0,1)*Imóveis!$I$5</f>
        <v>0</v>
      </c>
      <c r="M77" s="18">
        <f>IF(Imóveis!$F$6="PRICE",IF(AND(Dados!$A77&gt;=Imóveis!$Q$6,Dados!$A77&lt;=Imóveis!$T$6),Imóveis!$U$6,0),IF((IF(AND(Dados!$A77&gt;=Imóveis!$Q$6,Dados!$A77&lt;=Imóveis!$T$6),Imóveis!$S$6-(DATEDIF(Imóveis!$Q$6,Dados!$A77,"m")),0))=0,0,((Imóveis!$N$6/Imóveis!$S$6)+((Imóveis!$N$6-((Imóveis!$S$6-(IF(AND(Dados!$A77&gt;=Imóveis!$Q$6,Dados!$A77&lt;=Imóveis!$T$6),Imóveis!$S$6-(DATEDIF(Imóveis!$Q$6,Dados!$A77,"m")),)))*(Imóveis!$N$6/Imóveis!$S$6)))*Imóveis!$P$6))))*IF(AND(Imóveis!$E$6&gt;0,Dados!$A77&gt;Imóveis!$E$6),0,1)*Imóveis!$I$6</f>
        <v>0</v>
      </c>
      <c r="N77" s="18">
        <f t="shared" ca="1" si="12"/>
        <v>90086.395445535876</v>
      </c>
      <c r="O77" s="18">
        <f>SUMIFS(Receitas!$F:$F,Receitas!$J:$J,"&lt;="&amp;$A77,Receitas!$L:$L,"&gt;="&amp;$A77,Receitas!$C:$C,O$1,Receitas!$M:$M,"Mensal")+SUMIFS(Receitas!$F:$F,Receitas!$J:$J,"&lt;="&amp;$A77,Receitas!$L:$L,"&gt;="&amp;$A77,Receitas!$C:$C,O$1,Receitas!$M:$M,$B77)</f>
        <v>50000</v>
      </c>
      <c r="P77" s="18">
        <f>SUMIFS(Receitas!$F:$F,Receitas!$J:$J,"&lt;="&amp;$A77,Receitas!$L:$L,"&gt;="&amp;$A77,Receitas!$C:$C,P$1,Receitas!$M:$M,"Mensal")+SUMIFS(Receitas!$F:$F,Receitas!$J:$J,"&lt;="&amp;$A77,Receitas!$L:$L,"&gt;="&amp;$A77,Receitas!$C:$C,P$1,Receitas!$M:$M,$B77)</f>
        <v>85000</v>
      </c>
      <c r="Q77" s="18">
        <f ca="1">SUMIFS(Receitas!$F:$F,Receitas!$J:$J,"&lt;="&amp;$A77,Receitas!$L:$L,"&gt;="&amp;$A77,Receitas!$C:$C,Q$1,Receitas!$M:$M,"Mensal")+SUMIFS(Receitas!$F:$F,Receitas!$J:$J,"&lt;="&amp;$A77,Receitas!$L:$L,"&gt;="&amp;$A77,Receitas!$C:$C,Q$1,Receitas!$M:$M,$B77)</f>
        <v>15101.400000000001</v>
      </c>
      <c r="R77" s="18" cm="1">
        <f t="array" ref="R77">(IF(AND(Membros!$F$2="Sim",A77&lt;=MAX(Membros!$E$2:$E$5)),Membros!K$2,IF(AND(A77&gt;=Membros!J$2,A77&lt;=MAX(Membros!$E$2:$E$5)),Membros!K$2,0))+IF(AND(Membros!$F$3="Sim",A77&lt;=MAX(Membros!$E$2:$E$5)),Membros!K$3,IF(AND(A77&gt;=Membros!J$3,A77&lt;=MAX(Membros!$E$2:$E$5)),Membros!K$3,0)))*IF(AND(COUNTIFS(Tabela3[Tipo],"Provedor",Tabela3[Simulação Seguro],"Sim")=2,A77&gt;=MAX(IF(Tabela3[Tipo]="Dependente",Tabela3[Expectativa de Vida (Data)]))),0,1)</f>
        <v>0</v>
      </c>
      <c r="S77" s="18">
        <f t="shared" ca="1" si="13"/>
        <v>150101.4</v>
      </c>
      <c r="U77" s="18">
        <f t="shared" ca="1" si="16"/>
        <v>5266788.5347891403</v>
      </c>
      <c r="V77" s="18">
        <f>SUMIF(Imóveis!E:E,Dados!A:A,Imóveis!Z:Z)-SUMIF(Imóveis!E:E,Dados!A:A,Imóveis!Y:Y)</f>
        <v>0</v>
      </c>
      <c r="W77" s="18">
        <f>-SUMIF(Projetos!N:N,A77,Projetos!F:F)</f>
        <v>0</v>
      </c>
      <c r="X77" s="18">
        <f t="shared" ca="1" si="10"/>
        <v>60015.004554464118</v>
      </c>
      <c r="Y77" s="26">
        <f ca="1">(U77*((Indicadores_Economicos!D$2+1)^(1/12)-1))</f>
        <v>17242.095150768338</v>
      </c>
      <c r="Z77" s="18">
        <f t="shared" ca="1" si="14"/>
        <v>5344045.6344943736</v>
      </c>
      <c r="AA77" s="18">
        <f ca="1">Auxiliar_Projetos!E77</f>
        <v>250336.34433971284</v>
      </c>
      <c r="AB77" s="18">
        <f ca="1">Auxiliar_Projetos!K77</f>
        <v>368154.31154158164</v>
      </c>
      <c r="AC77" s="18">
        <f ca="1">IF(Z77-AA77-AB77&gt;Investimentos!$C$14,Investimentos!$C$14,IF(Z77-AA77-AB77&lt;Investimentos!$C$14,Z77-AA77-AB77,0))</f>
        <v>300000</v>
      </c>
      <c r="AD77" s="18">
        <f t="shared" ca="1" si="15"/>
        <v>4425554.9786130795</v>
      </c>
      <c r="AE77" s="18"/>
    </row>
    <row r="78" spans="1:31" x14ac:dyDescent="0.2">
      <c r="A78" s="4">
        <v>47969</v>
      </c>
      <c r="B78" s="5" t="str">
        <f t="shared" si="11"/>
        <v>maio</v>
      </c>
      <c r="C78" s="5" t="str">
        <f t="shared" si="17"/>
        <v>2031</v>
      </c>
      <c r="D78" s="5">
        <f>SUMIFS(Despesas!$F:$F,Despesas!$J:$J,"&lt;="&amp;$A78,Despesas!$L:$L,"&gt;="&amp;$A78,Despesas!$C:$C,D$1,Despesas!$M:$M,"Mensal")+SUMIFS(Despesas!$F:$F,Despesas!$J:$J,"&lt;="&amp;$A78,Despesas!$L:$L,"&gt;="&amp;$A78,Despesas!$C:$C,D$1,Despesas!$M:$M,$B78)</f>
        <v>23000</v>
      </c>
      <c r="E78" s="18">
        <f ca="1">SUMIFS(Despesas!$F:$F,Despesas!$J:$J,"&lt;="&amp;$A78,Despesas!$L:$L,"&gt;="&amp;$A78,Despesas!$C:$C,E$1,Despesas!$M:$M,"Mensal")+SUMIFS(Despesas!$F:$F,Despesas!$J:$J,"&lt;="&amp;$A78,Despesas!$L:$L,"&gt;="&amp;$A78,Despesas!$C:$C,E$1,Despesas!$M:$M,$B78)</f>
        <v>23151.4</v>
      </c>
      <c r="F78" s="5">
        <f>SUMIFS(Despesas!$F:$F,Despesas!$J:$J,"&lt;="&amp;$A78,Despesas!$L:$L,"&gt;="&amp;$A78,Despesas!$C:$C,F$1,Despesas!$M:$M,"Mensal")+SUMIFS(Despesas!$F:$F,Despesas!$J:$J,"&lt;="&amp;$A78,Despesas!$L:$L,"&gt;="&amp;$A78,Despesas!$C:$C,F$1,Despesas!$M:$M,$B78)</f>
        <v>13000</v>
      </c>
      <c r="G78" s="5">
        <f>SUMIFS(Despesas!$F:$F,Despesas!$J:$J,"&lt;="&amp;$A78,Despesas!$L:$L,"&gt;="&amp;$A78,Despesas!$C:$C,G$1,Despesas!$M:$M,"Mensal")+SUMIFS(Despesas!$F:$F,Despesas!$J:$J,"&lt;="&amp;$A78,Despesas!$L:$L,"&gt;="&amp;$A78,Despesas!$C:$C,G$1,Despesas!$M:$M,$B78)</f>
        <v>0</v>
      </c>
      <c r="H78" s="18">
        <f ca="1">SUMIFS(Despesas!$F:$F,Despesas!$J:$J,"&lt;="&amp;$A78,Despesas!$L:$L,"&gt;="&amp;$A78,Despesas!$C:$C,H$1,Despesas!$M:$M,"Mensal")+SUMIFS(Despesas!$F:$F,Despesas!$J:$J,"&lt;="&amp;$A78,Despesas!$L:$L,"&gt;="&amp;$A78,Despesas!$C:$C,H$1,Despesas!$M:$M,$B78)</f>
        <v>2686.355</v>
      </c>
      <c r="I78" s="18">
        <f>IF(Imóveis!$F$2="PRICE",IF(AND(Dados!$A78&gt;=Imóveis!$Q$2,Dados!$A78&lt;=Imóveis!$T$2),Imóveis!$U$2,0),IF((IF(AND(Dados!$A78&gt;=Imóveis!$Q$2,Dados!$A78&lt;=Imóveis!$T$2),Imóveis!$S$2-(DATEDIF(Imóveis!$Q$2,Dados!$A78,"m")),0))=0,0,((Imóveis!$N$2/Imóveis!$S$2)+((Imóveis!$N$2-((Imóveis!$S$2-(IF(AND(Dados!$A78&gt;=Imóveis!$Q$2,Dados!$A78&lt;=Imóveis!$T$2),Imóveis!$S$2-(DATEDIF(Imóveis!$Q$2,Dados!$A78,"m")),)))*(Imóveis!$N$2/Imóveis!$S$2)))*Imóveis!$P$2))))*IF(AND(Imóveis!$E$2&gt;0,Dados!$A78&gt;Imóveis!$E$2),0,1)</f>
        <v>14227.971369157711</v>
      </c>
      <c r="J78" s="18">
        <f ca="1">IF(Imóveis!$F$3="PRICE",IF(AND(Dados!$A78&gt;=Imóveis!$Q$3,Dados!$A78&lt;=Imóveis!$T$3),Imóveis!$U$3,0),IF((IF(AND(Dados!$A78&gt;=Imóveis!$Q$3,Dados!$A78&lt;=Imóveis!$T$3),Imóveis!$S$3-(DATEDIF(Imóveis!$Q$3,Dados!$A78,"m")),0))=0,0,((Imóveis!$N$3/Imóveis!$S$3)+((Imóveis!$N$3-((Imóveis!$S$3-(IF(AND(Dados!$A78&gt;=Imóveis!$Q$3,Dados!$A78&lt;=Imóveis!$T$3),Imóveis!$S$3-(DATEDIF(Imóveis!$Q$3,Dados!$A78,"m")),)))*(Imóveis!$N$3/Imóveis!$S$3)))*Imóveis!$P$3))))*IF(AND(Imóveis!$E$3&gt;0,Dados!$A78&gt;Imóveis!$E$3),0,1)</f>
        <v>9314.6986248807771</v>
      </c>
      <c r="K78" s="18">
        <f>IF(Imóveis!$F$4="PRICE",IF(AND(Dados!$A78&gt;=Imóveis!$Q$4,Dados!$A78&lt;=Imóveis!$T$4),Imóveis!$U$4,0),IF((IF(AND(Dados!$A78&gt;=Imóveis!$Q$4,Dados!$A78&lt;=Imóveis!$T$4),Imóveis!$S$4-(DATEDIF(Imóveis!$Q$4,Dados!$A78,"m")),0))=0,0,((Imóveis!$N$4/Imóveis!$S$4)+((Imóveis!$N$4-((Imóveis!$S$4-(IF(AND(Dados!$A78&gt;=Imóveis!$Q$4,Dados!$A78&lt;=Imóveis!$T$4),Imóveis!$S$4-(DATEDIF(Imóveis!$Q$4,Dados!$A78,"m")),)))*(Imóveis!$N$4/Imóveis!$S$4)))*Imóveis!$P$4))))*IF(AND(Imóveis!$E$4&gt;0,Dados!$A78&gt;Imóveis!$E$4),0,1)</f>
        <v>4643.949359272583</v>
      </c>
      <c r="L78" s="18">
        <f>IF(Imóveis!$F$5="PRICE",IF(AND(Dados!$A78&gt;=Imóveis!$Q$5,Dados!$A78&lt;=Imóveis!$T$5),Imóveis!$U$5,0),IF((IF(AND(Dados!$A78&gt;=Imóveis!$Q$5,Dados!$A78&lt;=Imóveis!$T$5),Imóveis!$S$5-(DATEDIF(Imóveis!$Q$5,Dados!$A78,"m")),0))=0,0,((Imóveis!$N$5/Imóveis!$S$5)+((Imóveis!$N$5-((Imóveis!$S$5-(IF(AND(Dados!$A78 &gt;=Imóveis!$Q$5,Dados!$A78&lt;=Imóveis!$T$5),Imóveis!$S$5-(DATEDIF(Imóveis!$Q$5,Dados!$A78,"m")),)))*(Imóveis!$N$5/Imóveis!$S$5)))*Imóveis!$P$5))))*IF(AND(Imóveis!$E$5&gt;0,Dados!$A78&gt;Imóveis!$E$5),0,1)*Imóveis!$I$5</f>
        <v>0</v>
      </c>
      <c r="M78" s="18">
        <f>IF(Imóveis!$F$6="PRICE",IF(AND(Dados!$A78&gt;=Imóveis!$Q$6,Dados!$A78&lt;=Imóveis!$T$6),Imóveis!$U$6,0),IF((IF(AND(Dados!$A78&gt;=Imóveis!$Q$6,Dados!$A78&lt;=Imóveis!$T$6),Imóveis!$S$6-(DATEDIF(Imóveis!$Q$6,Dados!$A78,"m")),0))=0,0,((Imóveis!$N$6/Imóveis!$S$6)+((Imóveis!$N$6-((Imóveis!$S$6-(IF(AND(Dados!$A78&gt;=Imóveis!$Q$6,Dados!$A78&lt;=Imóveis!$T$6),Imóveis!$S$6-(DATEDIF(Imóveis!$Q$6,Dados!$A78,"m")),)))*(Imóveis!$N$6/Imóveis!$S$6)))*Imóveis!$P$6))))*IF(AND(Imóveis!$E$6&gt;0,Dados!$A78&gt;Imóveis!$E$6),0,1)*Imóveis!$I$6</f>
        <v>0</v>
      </c>
      <c r="N78" s="18">
        <f t="shared" ca="1" si="12"/>
        <v>90024.374353311068</v>
      </c>
      <c r="O78" s="18">
        <f>SUMIFS(Receitas!$F:$F,Receitas!$J:$J,"&lt;="&amp;$A78,Receitas!$L:$L,"&gt;="&amp;$A78,Receitas!$C:$C,O$1,Receitas!$M:$M,"Mensal")+SUMIFS(Receitas!$F:$F,Receitas!$J:$J,"&lt;="&amp;$A78,Receitas!$L:$L,"&gt;="&amp;$A78,Receitas!$C:$C,O$1,Receitas!$M:$M,$B78)</f>
        <v>50000</v>
      </c>
      <c r="P78" s="18">
        <f>SUMIFS(Receitas!$F:$F,Receitas!$J:$J,"&lt;="&amp;$A78,Receitas!$L:$L,"&gt;="&amp;$A78,Receitas!$C:$C,P$1,Receitas!$M:$M,"Mensal")+SUMIFS(Receitas!$F:$F,Receitas!$J:$J,"&lt;="&amp;$A78,Receitas!$L:$L,"&gt;="&amp;$A78,Receitas!$C:$C,P$1,Receitas!$M:$M,$B78)</f>
        <v>20000</v>
      </c>
      <c r="Q78" s="18">
        <f ca="1">SUMIFS(Receitas!$F:$F,Receitas!$J:$J,"&lt;="&amp;$A78,Receitas!$L:$L,"&gt;="&amp;$A78,Receitas!$C:$C,Q$1,Receitas!$M:$M,"Mensal")+SUMIFS(Receitas!$F:$F,Receitas!$J:$J,"&lt;="&amp;$A78,Receitas!$L:$L,"&gt;="&amp;$A78,Receitas!$C:$C,Q$1,Receitas!$M:$M,$B78)</f>
        <v>15101.400000000001</v>
      </c>
      <c r="R78" s="18" cm="1">
        <f t="array" ref="R78">(IF(AND(Membros!$F$2="Sim",A78&lt;=MAX(Membros!$E$2:$E$5)),Membros!K$2,IF(AND(A78&gt;=Membros!J$2,A78&lt;=MAX(Membros!$E$2:$E$5)),Membros!K$2,0))+IF(AND(Membros!$F$3="Sim",A78&lt;=MAX(Membros!$E$2:$E$5)),Membros!K$3,IF(AND(A78&gt;=Membros!J$3,A78&lt;=MAX(Membros!$E$2:$E$5)),Membros!K$3,0)))*IF(AND(COUNTIFS(Tabela3[Tipo],"Provedor",Tabela3[Simulação Seguro],"Sim")=2,A78&gt;=MAX(IF(Tabela3[Tipo]="Dependente",Tabela3[Expectativa de Vida (Data)]))),0,1)</f>
        <v>0</v>
      </c>
      <c r="S78" s="18">
        <f t="shared" ca="1" si="13"/>
        <v>85101.4</v>
      </c>
      <c r="U78" s="18">
        <f t="shared" ca="1" si="16"/>
        <v>5344045.6344943736</v>
      </c>
      <c r="V78" s="18">
        <f>SUMIF(Imóveis!E:E,Dados!A:A,Imóveis!Z:Z)-SUMIF(Imóveis!E:E,Dados!A:A,Imóveis!Y:Y)</f>
        <v>0</v>
      </c>
      <c r="W78" s="18">
        <f>-SUMIF(Projetos!N:N,A78,Projetos!F:F)</f>
        <v>0</v>
      </c>
      <c r="X78" s="18">
        <f t="shared" ca="1" si="10"/>
        <v>-4922.9743533110741</v>
      </c>
      <c r="Y78" s="26">
        <f ca="1">(U78*((Indicadores_Economicos!D$2+1)^(1/12)-1))</f>
        <v>17495.01479153067</v>
      </c>
      <c r="Z78" s="18">
        <f t="shared" ca="1" si="14"/>
        <v>5356617.6749325935</v>
      </c>
      <c r="AA78" s="18">
        <f ca="1">Auxiliar_Projetos!E78</f>
        <v>251155.880389108</v>
      </c>
      <c r="AB78" s="18">
        <f ca="1">Auxiliar_Projetos!K78</f>
        <v>369359.55295726337</v>
      </c>
      <c r="AC78" s="18">
        <f ca="1">IF(Z78-AA78-AB78&gt;Investimentos!$C$14,Investimentos!$C$14,IF(Z78-AA78-AB78&lt;Investimentos!$C$14,Z78-AA78-AB78,0))</f>
        <v>300000</v>
      </c>
      <c r="AD78" s="18">
        <f t="shared" ca="1" si="15"/>
        <v>4436102.2415862214</v>
      </c>
      <c r="AE78" s="18"/>
    </row>
    <row r="79" spans="1:31" x14ac:dyDescent="0.2">
      <c r="A79" s="4">
        <v>48000</v>
      </c>
      <c r="B79" s="5" t="str">
        <f t="shared" si="11"/>
        <v>junho</v>
      </c>
      <c r="C79" s="5" t="str">
        <f t="shared" si="17"/>
        <v>2031</v>
      </c>
      <c r="D79" s="5">
        <f>SUMIFS(Despesas!$F:$F,Despesas!$J:$J,"&lt;="&amp;$A79,Despesas!$L:$L,"&gt;="&amp;$A79,Despesas!$C:$C,D$1,Despesas!$M:$M,"Mensal")+SUMIFS(Despesas!$F:$F,Despesas!$J:$J,"&lt;="&amp;$A79,Despesas!$L:$L,"&gt;="&amp;$A79,Despesas!$C:$C,D$1,Despesas!$M:$M,$B79)</f>
        <v>23000</v>
      </c>
      <c r="E79" s="18">
        <f ca="1">SUMIFS(Despesas!$F:$F,Despesas!$J:$J,"&lt;="&amp;$A79,Despesas!$L:$L,"&gt;="&amp;$A79,Despesas!$C:$C,E$1,Despesas!$M:$M,"Mensal")+SUMIFS(Despesas!$F:$F,Despesas!$J:$J,"&lt;="&amp;$A79,Despesas!$L:$L,"&gt;="&amp;$A79,Despesas!$C:$C,E$1,Despesas!$M:$M,$B79)</f>
        <v>23151.4</v>
      </c>
      <c r="F79" s="5">
        <f>SUMIFS(Despesas!$F:$F,Despesas!$J:$J,"&lt;="&amp;$A79,Despesas!$L:$L,"&gt;="&amp;$A79,Despesas!$C:$C,F$1,Despesas!$M:$M,"Mensal")+SUMIFS(Despesas!$F:$F,Despesas!$J:$J,"&lt;="&amp;$A79,Despesas!$L:$L,"&gt;="&amp;$A79,Despesas!$C:$C,F$1,Despesas!$M:$M,$B79)</f>
        <v>13000</v>
      </c>
      <c r="G79" s="5">
        <f>SUMIFS(Despesas!$F:$F,Despesas!$J:$J,"&lt;="&amp;$A79,Despesas!$L:$L,"&gt;="&amp;$A79,Despesas!$C:$C,G$1,Despesas!$M:$M,"Mensal")+SUMIFS(Despesas!$F:$F,Despesas!$J:$J,"&lt;="&amp;$A79,Despesas!$L:$L,"&gt;="&amp;$A79,Despesas!$C:$C,G$1,Despesas!$M:$M,$B79)</f>
        <v>0</v>
      </c>
      <c r="H79" s="18">
        <f ca="1">SUMIFS(Despesas!$F:$F,Despesas!$J:$J,"&lt;="&amp;$A79,Despesas!$L:$L,"&gt;="&amp;$A79,Despesas!$C:$C,H$1,Despesas!$M:$M,"Mensal")+SUMIFS(Despesas!$F:$F,Despesas!$J:$J,"&lt;="&amp;$A79,Despesas!$L:$L,"&gt;="&amp;$A79,Despesas!$C:$C,H$1,Despesas!$M:$M,$B79)</f>
        <v>2686.355</v>
      </c>
      <c r="I79" s="18">
        <f>IF(Imóveis!$F$2="PRICE",IF(AND(Dados!$A79&gt;=Imóveis!$Q$2,Dados!$A79&lt;=Imóveis!$T$2),Imóveis!$U$2,0),IF((IF(AND(Dados!$A79&gt;=Imóveis!$Q$2,Dados!$A79&lt;=Imóveis!$T$2),Imóveis!$S$2-(DATEDIF(Imóveis!$Q$2,Dados!$A79,"m")),0))=0,0,((Imóveis!$N$2/Imóveis!$S$2)+((Imóveis!$N$2-((Imóveis!$S$2-(IF(AND(Dados!$A79&gt;=Imóveis!$Q$2,Dados!$A79&lt;=Imóveis!$T$2),Imóveis!$S$2-(DATEDIF(Imóveis!$Q$2,Dados!$A79,"m")),)))*(Imóveis!$N$2/Imóveis!$S$2)))*Imóveis!$P$2))))*IF(AND(Imóveis!$E$2&gt;0,Dados!$A79&gt;Imóveis!$E$2),0,1)</f>
        <v>14165.950276932905</v>
      </c>
      <c r="J79" s="18">
        <f ca="1">IF(Imóveis!$F$3="PRICE",IF(AND(Dados!$A79&gt;=Imóveis!$Q$3,Dados!$A79&lt;=Imóveis!$T$3),Imóveis!$U$3,0),IF((IF(AND(Dados!$A79&gt;=Imóveis!$Q$3,Dados!$A79&lt;=Imóveis!$T$3),Imóveis!$S$3-(DATEDIF(Imóveis!$Q$3,Dados!$A79,"m")),0))=0,0,((Imóveis!$N$3/Imóveis!$S$3)+((Imóveis!$N$3-((Imóveis!$S$3-(IF(AND(Dados!$A79&gt;=Imóveis!$Q$3,Dados!$A79&lt;=Imóveis!$T$3),Imóveis!$S$3-(DATEDIF(Imóveis!$Q$3,Dados!$A79,"m")),)))*(Imóveis!$N$3/Imóveis!$S$3)))*Imóveis!$P$3))))*IF(AND(Imóveis!$E$3&gt;0,Dados!$A79&gt;Imóveis!$E$3),0,1)</f>
        <v>9314.6986248807771</v>
      </c>
      <c r="K79" s="18">
        <f>IF(Imóveis!$F$4="PRICE",IF(AND(Dados!$A79&gt;=Imóveis!$Q$4,Dados!$A79&lt;=Imóveis!$T$4),Imóveis!$U$4,0),IF((IF(AND(Dados!$A79&gt;=Imóveis!$Q$4,Dados!$A79&lt;=Imóveis!$T$4),Imóveis!$S$4-(DATEDIF(Imóveis!$Q$4,Dados!$A79,"m")),0))=0,0,((Imóveis!$N$4/Imóveis!$S$4)+((Imóveis!$N$4-((Imóveis!$S$4-(IF(AND(Dados!$A79&gt;=Imóveis!$Q$4,Dados!$A79&lt;=Imóveis!$T$4),Imóveis!$S$4-(DATEDIF(Imóveis!$Q$4,Dados!$A79,"m")),)))*(Imóveis!$N$4/Imóveis!$S$4)))*Imóveis!$P$4))))*IF(AND(Imóveis!$E$4&gt;0,Dados!$A79&gt;Imóveis!$E$4),0,1)</f>
        <v>4643.949359272583</v>
      </c>
      <c r="L79" s="18">
        <f>IF(Imóveis!$F$5="PRICE",IF(AND(Dados!$A79&gt;=Imóveis!$Q$5,Dados!$A79&lt;=Imóveis!$T$5),Imóveis!$U$5,0),IF((IF(AND(Dados!$A79&gt;=Imóveis!$Q$5,Dados!$A79&lt;=Imóveis!$T$5),Imóveis!$S$5-(DATEDIF(Imóveis!$Q$5,Dados!$A79,"m")),0))=0,0,((Imóveis!$N$5/Imóveis!$S$5)+((Imóveis!$N$5-((Imóveis!$S$5-(IF(AND(Dados!$A79 &gt;=Imóveis!$Q$5,Dados!$A79&lt;=Imóveis!$T$5),Imóveis!$S$5-(DATEDIF(Imóveis!$Q$5,Dados!$A79,"m")),)))*(Imóveis!$N$5/Imóveis!$S$5)))*Imóveis!$P$5))))*IF(AND(Imóveis!$E$5&gt;0,Dados!$A79&gt;Imóveis!$E$5),0,1)*Imóveis!$I$5</f>
        <v>0</v>
      </c>
      <c r="M79" s="18">
        <f>IF(Imóveis!$F$6="PRICE",IF(AND(Dados!$A79&gt;=Imóveis!$Q$6,Dados!$A79&lt;=Imóveis!$T$6),Imóveis!$U$6,0),IF((IF(AND(Dados!$A79&gt;=Imóveis!$Q$6,Dados!$A79&lt;=Imóveis!$T$6),Imóveis!$S$6-(DATEDIF(Imóveis!$Q$6,Dados!$A79,"m")),0))=0,0,((Imóveis!$N$6/Imóveis!$S$6)+((Imóveis!$N$6-((Imóveis!$S$6-(IF(AND(Dados!$A79&gt;=Imóveis!$Q$6,Dados!$A79&lt;=Imóveis!$T$6),Imóveis!$S$6-(DATEDIF(Imóveis!$Q$6,Dados!$A79,"m")),)))*(Imóveis!$N$6/Imóveis!$S$6)))*Imóveis!$P$6))))*IF(AND(Imóveis!$E$6&gt;0,Dados!$A79&gt;Imóveis!$E$6),0,1)*Imóveis!$I$6</f>
        <v>0</v>
      </c>
      <c r="N79" s="18">
        <f t="shared" ca="1" si="12"/>
        <v>89962.353261086275</v>
      </c>
      <c r="O79" s="18">
        <f>SUMIFS(Receitas!$F:$F,Receitas!$J:$J,"&lt;="&amp;$A79,Receitas!$L:$L,"&gt;="&amp;$A79,Receitas!$C:$C,O$1,Receitas!$M:$M,"Mensal")+SUMIFS(Receitas!$F:$F,Receitas!$J:$J,"&lt;="&amp;$A79,Receitas!$L:$L,"&gt;="&amp;$A79,Receitas!$C:$C,O$1,Receitas!$M:$M,$B79)</f>
        <v>50000</v>
      </c>
      <c r="P79" s="18">
        <f>SUMIFS(Receitas!$F:$F,Receitas!$J:$J,"&lt;="&amp;$A79,Receitas!$L:$L,"&gt;="&amp;$A79,Receitas!$C:$C,P$1,Receitas!$M:$M,"Mensal")+SUMIFS(Receitas!$F:$F,Receitas!$J:$J,"&lt;="&amp;$A79,Receitas!$L:$L,"&gt;="&amp;$A79,Receitas!$C:$C,P$1,Receitas!$M:$M,$B79)</f>
        <v>20000</v>
      </c>
      <c r="Q79" s="18">
        <f ca="1">SUMIFS(Receitas!$F:$F,Receitas!$J:$J,"&lt;="&amp;$A79,Receitas!$L:$L,"&gt;="&amp;$A79,Receitas!$C:$C,Q$1,Receitas!$M:$M,"Mensal")+SUMIFS(Receitas!$F:$F,Receitas!$J:$J,"&lt;="&amp;$A79,Receitas!$L:$L,"&gt;="&amp;$A79,Receitas!$C:$C,Q$1,Receitas!$M:$M,$B79)</f>
        <v>15101.400000000001</v>
      </c>
      <c r="R79" s="18" cm="1">
        <f t="array" ref="R79">(IF(AND(Membros!$F$2="Sim",A79&lt;=MAX(Membros!$E$2:$E$5)),Membros!K$2,IF(AND(A79&gt;=Membros!J$2,A79&lt;=MAX(Membros!$E$2:$E$5)),Membros!K$2,0))+IF(AND(Membros!$F$3="Sim",A79&lt;=MAX(Membros!$E$2:$E$5)),Membros!K$3,IF(AND(A79&gt;=Membros!J$3,A79&lt;=MAX(Membros!$E$2:$E$5)),Membros!K$3,0)))*IF(AND(COUNTIFS(Tabela3[Tipo],"Provedor",Tabela3[Simulação Seguro],"Sim")=2,A79&gt;=MAX(IF(Tabela3[Tipo]="Dependente",Tabela3[Expectativa de Vida (Data)]))),0,1)</f>
        <v>0</v>
      </c>
      <c r="S79" s="18">
        <f t="shared" ca="1" si="13"/>
        <v>85101.4</v>
      </c>
      <c r="U79" s="18">
        <f t="shared" ca="1" si="16"/>
        <v>5356617.6749325935</v>
      </c>
      <c r="V79" s="18">
        <f>SUMIF(Imóveis!E:E,Dados!A:A,Imóveis!Z:Z)-SUMIF(Imóveis!E:E,Dados!A:A,Imóveis!Y:Y)</f>
        <v>0</v>
      </c>
      <c r="W79" s="18">
        <f>-SUMIF(Projetos!N:N,A79,Projetos!F:F)</f>
        <v>0</v>
      </c>
      <c r="X79" s="18">
        <f t="shared" ca="1" si="10"/>
        <v>-4860.9532610862807</v>
      </c>
      <c r="Y79" s="26">
        <f ca="1">(U79*((Indicadores_Economicos!D$2+1)^(1/12)-1))</f>
        <v>17536.172380456683</v>
      </c>
      <c r="Z79" s="18">
        <f t="shared" ca="1" si="14"/>
        <v>5369292.8940519635</v>
      </c>
      <c r="AA79" s="18">
        <f ca="1">Auxiliar_Projetos!E79</f>
        <v>251978.09938627103</v>
      </c>
      <c r="AB79" s="18">
        <f ca="1">Auxiliar_Projetos!K79</f>
        <v>370568.74001971475</v>
      </c>
      <c r="AC79" s="18">
        <f ca="1">IF(Z79-AA79-AB79&gt;Investimentos!$C$14,Investimentos!$C$14,IF(Z79-AA79-AB79&lt;Investimentos!$C$14,Z79-AA79-AB79,0))</f>
        <v>300000</v>
      </c>
      <c r="AD79" s="18">
        <f t="shared" ca="1" si="15"/>
        <v>4446746.0546459779</v>
      </c>
      <c r="AE79" s="18"/>
    </row>
    <row r="80" spans="1:31" x14ac:dyDescent="0.2">
      <c r="A80" s="4">
        <v>48030</v>
      </c>
      <c r="B80" s="5" t="str">
        <f t="shared" si="11"/>
        <v>julho</v>
      </c>
      <c r="C80" s="5" t="str">
        <f t="shared" si="17"/>
        <v>2031</v>
      </c>
      <c r="D80" s="5">
        <f>SUMIFS(Despesas!$F:$F,Despesas!$J:$J,"&lt;="&amp;$A80,Despesas!$L:$L,"&gt;="&amp;$A80,Despesas!$C:$C,D$1,Despesas!$M:$M,"Mensal")+SUMIFS(Despesas!$F:$F,Despesas!$J:$J,"&lt;="&amp;$A80,Despesas!$L:$L,"&gt;="&amp;$A80,Despesas!$C:$C,D$1,Despesas!$M:$M,$B80)</f>
        <v>23000</v>
      </c>
      <c r="E80" s="18">
        <f ca="1">SUMIFS(Despesas!$F:$F,Despesas!$J:$J,"&lt;="&amp;$A80,Despesas!$L:$L,"&gt;="&amp;$A80,Despesas!$C:$C,E$1,Despesas!$M:$M,"Mensal")+SUMIFS(Despesas!$F:$F,Despesas!$J:$J,"&lt;="&amp;$A80,Despesas!$L:$L,"&gt;="&amp;$A80,Despesas!$C:$C,E$1,Despesas!$M:$M,$B80)</f>
        <v>23151.4</v>
      </c>
      <c r="F80" s="5">
        <f>SUMIFS(Despesas!$F:$F,Despesas!$J:$J,"&lt;="&amp;$A80,Despesas!$L:$L,"&gt;="&amp;$A80,Despesas!$C:$C,F$1,Despesas!$M:$M,"Mensal")+SUMIFS(Despesas!$F:$F,Despesas!$J:$J,"&lt;="&amp;$A80,Despesas!$L:$L,"&gt;="&amp;$A80,Despesas!$C:$C,F$1,Despesas!$M:$M,$B80)</f>
        <v>13000</v>
      </c>
      <c r="G80" s="5">
        <f ca="1">SUMIFS(Despesas!$F:$F,Despesas!$J:$J,"&lt;="&amp;$A80,Despesas!$L:$L,"&gt;="&amp;$A80,Despesas!$C:$C,G$1,Despesas!$M:$M,"Mensal")+SUMIFS(Despesas!$F:$F,Despesas!$J:$J,"&lt;="&amp;$A80,Despesas!$L:$L,"&gt;="&amp;$A80,Despesas!$C:$C,G$1,Despesas!$M:$M,$B80)</f>
        <v>55757</v>
      </c>
      <c r="H80" s="18">
        <f ca="1">SUMIFS(Despesas!$F:$F,Despesas!$J:$J,"&lt;="&amp;$A80,Despesas!$L:$L,"&gt;="&amp;$A80,Despesas!$C:$C,H$1,Despesas!$M:$M,"Mensal")+SUMIFS(Despesas!$F:$F,Despesas!$J:$J,"&lt;="&amp;$A80,Despesas!$L:$L,"&gt;="&amp;$A80,Despesas!$C:$C,H$1,Despesas!$M:$M,$B80)</f>
        <v>2686.355</v>
      </c>
      <c r="I80" s="18">
        <f>IF(Imóveis!$F$2="PRICE",IF(AND(Dados!$A80&gt;=Imóveis!$Q$2,Dados!$A80&lt;=Imóveis!$T$2),Imóveis!$U$2,0),IF((IF(AND(Dados!$A80&gt;=Imóveis!$Q$2,Dados!$A80&lt;=Imóveis!$T$2),Imóveis!$S$2-(DATEDIF(Imóveis!$Q$2,Dados!$A80,"m")),0))=0,0,((Imóveis!$N$2/Imóveis!$S$2)+((Imóveis!$N$2-((Imóveis!$S$2-(IF(AND(Dados!$A80&gt;=Imóveis!$Q$2,Dados!$A80&lt;=Imóveis!$T$2),Imóveis!$S$2-(DATEDIF(Imóveis!$Q$2,Dados!$A80,"m")),)))*(Imóveis!$N$2/Imóveis!$S$2)))*Imóveis!$P$2))))*IF(AND(Imóveis!$E$2&gt;0,Dados!$A80&gt;Imóveis!$E$2),0,1)</f>
        <v>14103.929184708097</v>
      </c>
      <c r="J80" s="18">
        <f ca="1">IF(Imóveis!$F$3="PRICE",IF(AND(Dados!$A80&gt;=Imóveis!$Q$3,Dados!$A80&lt;=Imóveis!$T$3),Imóveis!$U$3,0),IF((IF(AND(Dados!$A80&gt;=Imóveis!$Q$3,Dados!$A80&lt;=Imóveis!$T$3),Imóveis!$S$3-(DATEDIF(Imóveis!$Q$3,Dados!$A80,"m")),0))=0,0,((Imóveis!$N$3/Imóveis!$S$3)+((Imóveis!$N$3-((Imóveis!$S$3-(IF(AND(Dados!$A80&gt;=Imóveis!$Q$3,Dados!$A80&lt;=Imóveis!$T$3),Imóveis!$S$3-(DATEDIF(Imóveis!$Q$3,Dados!$A80,"m")),)))*(Imóveis!$N$3/Imóveis!$S$3)))*Imóveis!$P$3))))*IF(AND(Imóveis!$E$3&gt;0,Dados!$A80&gt;Imóveis!$E$3),0,1)</f>
        <v>9314.6986248807771</v>
      </c>
      <c r="K80" s="18">
        <f>IF(Imóveis!$F$4="PRICE",IF(AND(Dados!$A80&gt;=Imóveis!$Q$4,Dados!$A80&lt;=Imóveis!$T$4),Imóveis!$U$4,0),IF((IF(AND(Dados!$A80&gt;=Imóveis!$Q$4,Dados!$A80&lt;=Imóveis!$T$4),Imóveis!$S$4-(DATEDIF(Imóveis!$Q$4,Dados!$A80,"m")),0))=0,0,((Imóveis!$N$4/Imóveis!$S$4)+((Imóveis!$N$4-((Imóveis!$S$4-(IF(AND(Dados!$A80&gt;=Imóveis!$Q$4,Dados!$A80&lt;=Imóveis!$T$4),Imóveis!$S$4-(DATEDIF(Imóveis!$Q$4,Dados!$A80,"m")),)))*(Imóveis!$N$4/Imóveis!$S$4)))*Imóveis!$P$4))))*IF(AND(Imóveis!$E$4&gt;0,Dados!$A80&gt;Imóveis!$E$4),0,1)</f>
        <v>4643.949359272583</v>
      </c>
      <c r="L80" s="18">
        <f>IF(Imóveis!$F$5="PRICE",IF(AND(Dados!$A80&gt;=Imóveis!$Q$5,Dados!$A80&lt;=Imóveis!$T$5),Imóveis!$U$5,0),IF((IF(AND(Dados!$A80&gt;=Imóveis!$Q$5,Dados!$A80&lt;=Imóveis!$T$5),Imóveis!$S$5-(DATEDIF(Imóveis!$Q$5,Dados!$A80,"m")),0))=0,0,((Imóveis!$N$5/Imóveis!$S$5)+((Imóveis!$N$5-((Imóveis!$S$5-(IF(AND(Dados!$A80 &gt;=Imóveis!$Q$5,Dados!$A80&lt;=Imóveis!$T$5),Imóveis!$S$5-(DATEDIF(Imóveis!$Q$5,Dados!$A80,"m")),)))*(Imóveis!$N$5/Imóveis!$S$5)))*Imóveis!$P$5))))*IF(AND(Imóveis!$E$5&gt;0,Dados!$A80&gt;Imóveis!$E$5),0,1)*Imóveis!$I$5</f>
        <v>0</v>
      </c>
      <c r="M80" s="18">
        <f>IF(Imóveis!$F$6="PRICE",IF(AND(Dados!$A80&gt;=Imóveis!$Q$6,Dados!$A80&lt;=Imóveis!$T$6),Imóveis!$U$6,0),IF((IF(AND(Dados!$A80&gt;=Imóveis!$Q$6,Dados!$A80&lt;=Imóveis!$T$6),Imóveis!$S$6-(DATEDIF(Imóveis!$Q$6,Dados!$A80,"m")),0))=0,0,((Imóveis!$N$6/Imóveis!$S$6)+((Imóveis!$N$6-((Imóveis!$S$6-(IF(AND(Dados!$A80&gt;=Imóveis!$Q$6,Dados!$A80&lt;=Imóveis!$T$6),Imóveis!$S$6-(DATEDIF(Imóveis!$Q$6,Dados!$A80,"m")),)))*(Imóveis!$N$6/Imóveis!$S$6)))*Imóveis!$P$6))))*IF(AND(Imóveis!$E$6&gt;0,Dados!$A80&gt;Imóveis!$E$6),0,1)*Imóveis!$I$6</f>
        <v>0</v>
      </c>
      <c r="N80" s="18">
        <f t="shared" ca="1" si="12"/>
        <v>145657.33216886144</v>
      </c>
      <c r="O80" s="18">
        <f>SUMIFS(Receitas!$F:$F,Receitas!$J:$J,"&lt;="&amp;$A80,Receitas!$L:$L,"&gt;="&amp;$A80,Receitas!$C:$C,O$1,Receitas!$M:$M,"Mensal")+SUMIFS(Receitas!$F:$F,Receitas!$J:$J,"&lt;="&amp;$A80,Receitas!$L:$L,"&gt;="&amp;$A80,Receitas!$C:$C,O$1,Receitas!$M:$M,$B80)</f>
        <v>50000</v>
      </c>
      <c r="P80" s="18">
        <f>SUMIFS(Receitas!$F:$F,Receitas!$J:$J,"&lt;="&amp;$A80,Receitas!$L:$L,"&gt;="&amp;$A80,Receitas!$C:$C,P$1,Receitas!$M:$M,"Mensal")+SUMIFS(Receitas!$F:$F,Receitas!$J:$J,"&lt;="&amp;$A80,Receitas!$L:$L,"&gt;="&amp;$A80,Receitas!$C:$C,P$1,Receitas!$M:$M,$B80)</f>
        <v>20000</v>
      </c>
      <c r="Q80" s="18">
        <f ca="1">SUMIFS(Receitas!$F:$F,Receitas!$J:$J,"&lt;="&amp;$A80,Receitas!$L:$L,"&gt;="&amp;$A80,Receitas!$C:$C,Q$1,Receitas!$M:$M,"Mensal")+SUMIFS(Receitas!$F:$F,Receitas!$J:$J,"&lt;="&amp;$A80,Receitas!$L:$L,"&gt;="&amp;$A80,Receitas!$C:$C,Q$1,Receitas!$M:$M,$B80)</f>
        <v>15101.400000000001</v>
      </c>
      <c r="R80" s="18" cm="1">
        <f t="array" ref="R80">(IF(AND(Membros!$F$2="Sim",A80&lt;=MAX(Membros!$E$2:$E$5)),Membros!K$2,IF(AND(A80&gt;=Membros!J$2,A80&lt;=MAX(Membros!$E$2:$E$5)),Membros!K$2,0))+IF(AND(Membros!$F$3="Sim",A80&lt;=MAX(Membros!$E$2:$E$5)),Membros!K$3,IF(AND(A80&gt;=Membros!J$3,A80&lt;=MAX(Membros!$E$2:$E$5)),Membros!K$3,0)))*IF(AND(COUNTIFS(Tabela3[Tipo],"Provedor",Tabela3[Simulação Seguro],"Sim")=2,A80&gt;=MAX(IF(Tabela3[Tipo]="Dependente",Tabela3[Expectativa de Vida (Data)]))),0,1)</f>
        <v>0</v>
      </c>
      <c r="S80" s="18">
        <f t="shared" ca="1" si="13"/>
        <v>85101.4</v>
      </c>
      <c r="U80" s="18">
        <f t="shared" ca="1" si="16"/>
        <v>5369292.8940519635</v>
      </c>
      <c r="V80" s="18">
        <f>SUMIF(Imóveis!E:E,Dados!A:A,Imóveis!Z:Z)-SUMIF(Imóveis!E:E,Dados!A:A,Imóveis!Y:Y)</f>
        <v>0</v>
      </c>
      <c r="W80" s="18">
        <f>-SUMIF(Projetos!N:N,A80,Projetos!F:F)</f>
        <v>0</v>
      </c>
      <c r="X80" s="18">
        <f t="shared" ca="1" si="10"/>
        <v>-60555.932168861444</v>
      </c>
      <c r="Y80" s="26">
        <f ca="1">(U80*((Indicadores_Economicos!D$2+1)^(1/12)-1))</f>
        <v>17577.667749535853</v>
      </c>
      <c r="Z80" s="18">
        <f t="shared" ca="1" si="14"/>
        <v>5326314.6296326378</v>
      </c>
      <c r="AA80" s="18">
        <f ca="1">Auxiliar_Projetos!E80</f>
        <v>252803.01011447475</v>
      </c>
      <c r="AB80" s="18">
        <f ca="1">Auxiliar_Projetos!K80</f>
        <v>371781.88564595662</v>
      </c>
      <c r="AC80" s="18">
        <f ca="1">IF(Z80-AA80-AB80&gt;Investimentos!$C$14,Investimentos!$C$14,IF(Z80-AA80-AB80&lt;Investimentos!$C$14,Z80-AA80-AB80,0))</f>
        <v>300000</v>
      </c>
      <c r="AD80" s="18">
        <f t="shared" ca="1" si="15"/>
        <v>4401729.733872206</v>
      </c>
      <c r="AE80" s="18"/>
    </row>
    <row r="81" spans="1:31" x14ac:dyDescent="0.2">
      <c r="A81" s="4">
        <v>48061</v>
      </c>
      <c r="B81" s="5" t="str">
        <f t="shared" si="11"/>
        <v>agosto</v>
      </c>
      <c r="C81" s="5" t="str">
        <f t="shared" si="17"/>
        <v>2031</v>
      </c>
      <c r="D81" s="5">
        <f>SUMIFS(Despesas!$F:$F,Despesas!$J:$J,"&lt;="&amp;$A81,Despesas!$L:$L,"&gt;="&amp;$A81,Despesas!$C:$C,D$1,Despesas!$M:$M,"Mensal")+SUMIFS(Despesas!$F:$F,Despesas!$J:$J,"&lt;="&amp;$A81,Despesas!$L:$L,"&gt;="&amp;$A81,Despesas!$C:$C,D$1,Despesas!$M:$M,$B81)</f>
        <v>23000</v>
      </c>
      <c r="E81" s="18">
        <f ca="1">SUMIFS(Despesas!$F:$F,Despesas!$J:$J,"&lt;="&amp;$A81,Despesas!$L:$L,"&gt;="&amp;$A81,Despesas!$C:$C,E$1,Despesas!$M:$M,"Mensal")+SUMIFS(Despesas!$F:$F,Despesas!$J:$J,"&lt;="&amp;$A81,Despesas!$L:$L,"&gt;="&amp;$A81,Despesas!$C:$C,E$1,Despesas!$M:$M,$B81)</f>
        <v>23151.4</v>
      </c>
      <c r="F81" s="5">
        <f>SUMIFS(Despesas!$F:$F,Despesas!$J:$J,"&lt;="&amp;$A81,Despesas!$L:$L,"&gt;="&amp;$A81,Despesas!$C:$C,F$1,Despesas!$M:$M,"Mensal")+SUMIFS(Despesas!$F:$F,Despesas!$J:$J,"&lt;="&amp;$A81,Despesas!$L:$L,"&gt;="&amp;$A81,Despesas!$C:$C,F$1,Despesas!$M:$M,$B81)</f>
        <v>13000</v>
      </c>
      <c r="G81" s="5">
        <f>SUMIFS(Despesas!$F:$F,Despesas!$J:$J,"&lt;="&amp;$A81,Despesas!$L:$L,"&gt;="&amp;$A81,Despesas!$C:$C,G$1,Despesas!$M:$M,"Mensal")+SUMIFS(Despesas!$F:$F,Despesas!$J:$J,"&lt;="&amp;$A81,Despesas!$L:$L,"&gt;="&amp;$A81,Despesas!$C:$C,G$1,Despesas!$M:$M,$B81)</f>
        <v>0</v>
      </c>
      <c r="H81" s="18">
        <f ca="1">SUMIFS(Despesas!$F:$F,Despesas!$J:$J,"&lt;="&amp;$A81,Despesas!$L:$L,"&gt;="&amp;$A81,Despesas!$C:$C,H$1,Despesas!$M:$M,"Mensal")+SUMIFS(Despesas!$F:$F,Despesas!$J:$J,"&lt;="&amp;$A81,Despesas!$L:$L,"&gt;="&amp;$A81,Despesas!$C:$C,H$1,Despesas!$M:$M,$B81)</f>
        <v>2686.355</v>
      </c>
      <c r="I81" s="18">
        <f>IF(Imóveis!$F$2="PRICE",IF(AND(Dados!$A81&gt;=Imóveis!$Q$2,Dados!$A81&lt;=Imóveis!$T$2),Imóveis!$U$2,0),IF((IF(AND(Dados!$A81&gt;=Imóveis!$Q$2,Dados!$A81&lt;=Imóveis!$T$2),Imóveis!$S$2-(DATEDIF(Imóveis!$Q$2,Dados!$A81,"m")),0))=0,0,((Imóveis!$N$2/Imóveis!$S$2)+((Imóveis!$N$2-((Imóveis!$S$2-(IF(AND(Dados!$A81&gt;=Imóveis!$Q$2,Dados!$A81&lt;=Imóveis!$T$2),Imóveis!$S$2-(DATEDIF(Imóveis!$Q$2,Dados!$A81,"m")),)))*(Imóveis!$N$2/Imóveis!$S$2)))*Imóveis!$P$2))))*IF(AND(Imóveis!$E$2&gt;0,Dados!$A81&gt;Imóveis!$E$2),0,1)</f>
        <v>14041.908092483291</v>
      </c>
      <c r="J81" s="18">
        <f ca="1">IF(Imóveis!$F$3="PRICE",IF(AND(Dados!$A81&gt;=Imóveis!$Q$3,Dados!$A81&lt;=Imóveis!$T$3),Imóveis!$U$3,0),IF((IF(AND(Dados!$A81&gt;=Imóveis!$Q$3,Dados!$A81&lt;=Imóveis!$T$3),Imóveis!$S$3-(DATEDIF(Imóveis!$Q$3,Dados!$A81,"m")),0))=0,0,((Imóveis!$N$3/Imóveis!$S$3)+((Imóveis!$N$3-((Imóveis!$S$3-(IF(AND(Dados!$A81&gt;=Imóveis!$Q$3,Dados!$A81&lt;=Imóveis!$T$3),Imóveis!$S$3-(DATEDIF(Imóveis!$Q$3,Dados!$A81,"m")),)))*(Imóveis!$N$3/Imóveis!$S$3)))*Imóveis!$P$3))))*IF(AND(Imóveis!$E$3&gt;0,Dados!$A81&gt;Imóveis!$E$3),0,1)</f>
        <v>9314.6986248807771</v>
      </c>
      <c r="K81" s="18">
        <f>IF(Imóveis!$F$4="PRICE",IF(AND(Dados!$A81&gt;=Imóveis!$Q$4,Dados!$A81&lt;=Imóveis!$T$4),Imóveis!$U$4,0),IF((IF(AND(Dados!$A81&gt;=Imóveis!$Q$4,Dados!$A81&lt;=Imóveis!$T$4),Imóveis!$S$4-(DATEDIF(Imóveis!$Q$4,Dados!$A81,"m")),0))=0,0,((Imóveis!$N$4/Imóveis!$S$4)+((Imóveis!$N$4-((Imóveis!$S$4-(IF(AND(Dados!$A81&gt;=Imóveis!$Q$4,Dados!$A81&lt;=Imóveis!$T$4),Imóveis!$S$4-(DATEDIF(Imóveis!$Q$4,Dados!$A81,"m")),)))*(Imóveis!$N$4/Imóveis!$S$4)))*Imóveis!$P$4))))*IF(AND(Imóveis!$E$4&gt;0,Dados!$A81&gt;Imóveis!$E$4),0,1)</f>
        <v>4643.949359272583</v>
      </c>
      <c r="L81" s="18">
        <f>IF(Imóveis!$F$5="PRICE",IF(AND(Dados!$A81&gt;=Imóveis!$Q$5,Dados!$A81&lt;=Imóveis!$T$5),Imóveis!$U$5,0),IF((IF(AND(Dados!$A81&gt;=Imóveis!$Q$5,Dados!$A81&lt;=Imóveis!$T$5),Imóveis!$S$5-(DATEDIF(Imóveis!$Q$5,Dados!$A81,"m")),0))=0,0,((Imóveis!$N$5/Imóveis!$S$5)+((Imóveis!$N$5-((Imóveis!$S$5-(IF(AND(Dados!$A81 &gt;=Imóveis!$Q$5,Dados!$A81&lt;=Imóveis!$T$5),Imóveis!$S$5-(DATEDIF(Imóveis!$Q$5,Dados!$A81,"m")),)))*(Imóveis!$N$5/Imóveis!$S$5)))*Imóveis!$P$5))))*IF(AND(Imóveis!$E$5&gt;0,Dados!$A81&gt;Imóveis!$E$5),0,1)*Imóveis!$I$5</f>
        <v>0</v>
      </c>
      <c r="M81" s="18">
        <f>IF(Imóveis!$F$6="PRICE",IF(AND(Dados!$A81&gt;=Imóveis!$Q$6,Dados!$A81&lt;=Imóveis!$T$6),Imóveis!$U$6,0),IF((IF(AND(Dados!$A81&gt;=Imóveis!$Q$6,Dados!$A81&lt;=Imóveis!$T$6),Imóveis!$S$6-(DATEDIF(Imóveis!$Q$6,Dados!$A81,"m")),0))=0,0,((Imóveis!$N$6/Imóveis!$S$6)+((Imóveis!$N$6-((Imóveis!$S$6-(IF(AND(Dados!$A81&gt;=Imóveis!$Q$6,Dados!$A81&lt;=Imóveis!$T$6),Imóveis!$S$6-(DATEDIF(Imóveis!$Q$6,Dados!$A81,"m")),)))*(Imóveis!$N$6/Imóveis!$S$6)))*Imóveis!$P$6))))*IF(AND(Imóveis!$E$6&gt;0,Dados!$A81&gt;Imóveis!$E$6),0,1)*Imóveis!$I$6</f>
        <v>0</v>
      </c>
      <c r="N81" s="18">
        <f t="shared" ca="1" si="12"/>
        <v>89838.311076636659</v>
      </c>
      <c r="O81" s="18">
        <f>SUMIFS(Receitas!$F:$F,Receitas!$J:$J,"&lt;="&amp;$A81,Receitas!$L:$L,"&gt;="&amp;$A81,Receitas!$C:$C,O$1,Receitas!$M:$M,"Mensal")+SUMIFS(Receitas!$F:$F,Receitas!$J:$J,"&lt;="&amp;$A81,Receitas!$L:$L,"&gt;="&amp;$A81,Receitas!$C:$C,O$1,Receitas!$M:$M,$B81)</f>
        <v>50000</v>
      </c>
      <c r="P81" s="18">
        <f>SUMIFS(Receitas!$F:$F,Receitas!$J:$J,"&lt;="&amp;$A81,Receitas!$L:$L,"&gt;="&amp;$A81,Receitas!$C:$C,P$1,Receitas!$M:$M,"Mensal")+SUMIFS(Receitas!$F:$F,Receitas!$J:$J,"&lt;="&amp;$A81,Receitas!$L:$L,"&gt;="&amp;$A81,Receitas!$C:$C,P$1,Receitas!$M:$M,$B81)</f>
        <v>20000</v>
      </c>
      <c r="Q81" s="18">
        <f ca="1">SUMIFS(Receitas!$F:$F,Receitas!$J:$J,"&lt;="&amp;$A81,Receitas!$L:$L,"&gt;="&amp;$A81,Receitas!$C:$C,Q$1,Receitas!$M:$M,"Mensal")+SUMIFS(Receitas!$F:$F,Receitas!$J:$J,"&lt;="&amp;$A81,Receitas!$L:$L,"&gt;="&amp;$A81,Receitas!$C:$C,Q$1,Receitas!$M:$M,$B81)</f>
        <v>15101.400000000001</v>
      </c>
      <c r="R81" s="18" cm="1">
        <f t="array" ref="R81">(IF(AND(Membros!$F$2="Sim",A81&lt;=MAX(Membros!$E$2:$E$5)),Membros!K$2,IF(AND(A81&gt;=Membros!J$2,A81&lt;=MAX(Membros!$E$2:$E$5)),Membros!K$2,0))+IF(AND(Membros!$F$3="Sim",A81&lt;=MAX(Membros!$E$2:$E$5)),Membros!K$3,IF(AND(A81&gt;=Membros!J$3,A81&lt;=MAX(Membros!$E$2:$E$5)),Membros!K$3,0)))*IF(AND(COUNTIFS(Tabela3[Tipo],"Provedor",Tabela3[Simulação Seguro],"Sim")=2,A81&gt;=MAX(IF(Tabela3[Tipo]="Dependente",Tabela3[Expectativa de Vida (Data)]))),0,1)</f>
        <v>0</v>
      </c>
      <c r="S81" s="18">
        <f t="shared" ca="1" si="13"/>
        <v>85101.4</v>
      </c>
      <c r="U81" s="18">
        <f t="shared" ca="1" si="16"/>
        <v>5326314.6296326378</v>
      </c>
      <c r="V81" s="18">
        <f>SUMIF(Imóveis!E:E,Dados!A:A,Imóveis!Z:Z)-SUMIF(Imóveis!E:E,Dados!A:A,Imóveis!Y:Y)</f>
        <v>0</v>
      </c>
      <c r="W81" s="18">
        <f>-SUMIF(Projetos!N:N,A81,Projetos!F:F)</f>
        <v>0</v>
      </c>
      <c r="X81" s="18">
        <f t="shared" ca="1" si="10"/>
        <v>-4736.9110766366648</v>
      </c>
      <c r="Y81" s="26">
        <f ca="1">(U81*((Indicadores_Economicos!D$2+1)^(1/12)-1))</f>
        <v>17436.968095536442</v>
      </c>
      <c r="Z81" s="18">
        <f t="shared" ca="1" si="14"/>
        <v>5339014.6866515372</v>
      </c>
      <c r="AA81" s="18">
        <f ca="1">Auxiliar_Projetos!E81</f>
        <v>253630.62138574614</v>
      </c>
      <c r="AB81" s="18">
        <f ca="1">Auxiliar_Projetos!K81</f>
        <v>372999.00279529672</v>
      </c>
      <c r="AC81" s="18">
        <f ca="1">IF(Z81-AA81-AB81&gt;Investimentos!$C$14,Investimentos!$C$14,IF(Z81-AA81-AB81&lt;Investimentos!$C$14,Z81-AA81-AB81,0))</f>
        <v>300000</v>
      </c>
      <c r="AD81" s="18">
        <f t="shared" ca="1" si="15"/>
        <v>4412385.0624704948</v>
      </c>
      <c r="AE81" s="18"/>
    </row>
    <row r="82" spans="1:31" x14ac:dyDescent="0.2">
      <c r="A82" s="4">
        <v>48092</v>
      </c>
      <c r="B82" s="5" t="str">
        <f t="shared" si="11"/>
        <v>setembro</v>
      </c>
      <c r="C82" s="5" t="str">
        <f t="shared" si="17"/>
        <v>2031</v>
      </c>
      <c r="D82" s="5">
        <f>SUMIFS(Despesas!$F:$F,Despesas!$J:$J,"&lt;="&amp;$A82,Despesas!$L:$L,"&gt;="&amp;$A82,Despesas!$C:$C,D$1,Despesas!$M:$M,"Mensal")+SUMIFS(Despesas!$F:$F,Despesas!$J:$J,"&lt;="&amp;$A82,Despesas!$L:$L,"&gt;="&amp;$A82,Despesas!$C:$C,D$1,Despesas!$M:$M,$B82)</f>
        <v>23000</v>
      </c>
      <c r="E82" s="18">
        <f ca="1">SUMIFS(Despesas!$F:$F,Despesas!$J:$J,"&lt;="&amp;$A82,Despesas!$L:$L,"&gt;="&amp;$A82,Despesas!$C:$C,E$1,Despesas!$M:$M,"Mensal")+SUMIFS(Despesas!$F:$F,Despesas!$J:$J,"&lt;="&amp;$A82,Despesas!$L:$L,"&gt;="&amp;$A82,Despesas!$C:$C,E$1,Despesas!$M:$M,$B82)</f>
        <v>23151.4</v>
      </c>
      <c r="F82" s="5">
        <f>SUMIFS(Despesas!$F:$F,Despesas!$J:$J,"&lt;="&amp;$A82,Despesas!$L:$L,"&gt;="&amp;$A82,Despesas!$C:$C,F$1,Despesas!$M:$M,"Mensal")+SUMIFS(Despesas!$F:$F,Despesas!$J:$J,"&lt;="&amp;$A82,Despesas!$L:$L,"&gt;="&amp;$A82,Despesas!$C:$C,F$1,Despesas!$M:$M,$B82)</f>
        <v>13000</v>
      </c>
      <c r="G82" s="5">
        <f>SUMIFS(Despesas!$F:$F,Despesas!$J:$J,"&lt;="&amp;$A82,Despesas!$L:$L,"&gt;="&amp;$A82,Despesas!$C:$C,G$1,Despesas!$M:$M,"Mensal")+SUMIFS(Despesas!$F:$F,Despesas!$J:$J,"&lt;="&amp;$A82,Despesas!$L:$L,"&gt;="&amp;$A82,Despesas!$C:$C,G$1,Despesas!$M:$M,$B82)</f>
        <v>0</v>
      </c>
      <c r="H82" s="18">
        <f ca="1">SUMIFS(Despesas!$F:$F,Despesas!$J:$J,"&lt;="&amp;$A82,Despesas!$L:$L,"&gt;="&amp;$A82,Despesas!$C:$C,H$1,Despesas!$M:$M,"Mensal")+SUMIFS(Despesas!$F:$F,Despesas!$J:$J,"&lt;="&amp;$A82,Despesas!$L:$L,"&gt;="&amp;$A82,Despesas!$C:$C,H$1,Despesas!$M:$M,$B82)</f>
        <v>2686.355</v>
      </c>
      <c r="I82" s="18">
        <f>IF(Imóveis!$F$2="PRICE",IF(AND(Dados!$A82&gt;=Imóveis!$Q$2,Dados!$A82&lt;=Imóveis!$T$2),Imóveis!$U$2,0),IF((IF(AND(Dados!$A82&gt;=Imóveis!$Q$2,Dados!$A82&lt;=Imóveis!$T$2),Imóveis!$S$2-(DATEDIF(Imóveis!$Q$2,Dados!$A82,"m")),0))=0,0,((Imóveis!$N$2/Imóveis!$S$2)+((Imóveis!$N$2-((Imóveis!$S$2-(IF(AND(Dados!$A82&gt;=Imóveis!$Q$2,Dados!$A82&lt;=Imóveis!$T$2),Imóveis!$S$2-(DATEDIF(Imóveis!$Q$2,Dados!$A82,"m")),)))*(Imóveis!$N$2/Imóveis!$S$2)))*Imóveis!$P$2))))*IF(AND(Imóveis!$E$2&gt;0,Dados!$A82&gt;Imóveis!$E$2),0,1)</f>
        <v>13979.887000258483</v>
      </c>
      <c r="J82" s="18">
        <f ca="1">IF(Imóveis!$F$3="PRICE",IF(AND(Dados!$A82&gt;=Imóveis!$Q$3,Dados!$A82&lt;=Imóveis!$T$3),Imóveis!$U$3,0),IF((IF(AND(Dados!$A82&gt;=Imóveis!$Q$3,Dados!$A82&lt;=Imóveis!$T$3),Imóveis!$S$3-(DATEDIF(Imóveis!$Q$3,Dados!$A82,"m")),0))=0,0,((Imóveis!$N$3/Imóveis!$S$3)+((Imóveis!$N$3-((Imóveis!$S$3-(IF(AND(Dados!$A82&gt;=Imóveis!$Q$3,Dados!$A82&lt;=Imóveis!$T$3),Imóveis!$S$3-(DATEDIF(Imóveis!$Q$3,Dados!$A82,"m")),)))*(Imóveis!$N$3/Imóveis!$S$3)))*Imóveis!$P$3))))*IF(AND(Imóveis!$E$3&gt;0,Dados!$A82&gt;Imóveis!$E$3),0,1)</f>
        <v>9314.6986248807771</v>
      </c>
      <c r="K82" s="18">
        <f>IF(Imóveis!$F$4="PRICE",IF(AND(Dados!$A82&gt;=Imóveis!$Q$4,Dados!$A82&lt;=Imóveis!$T$4),Imóveis!$U$4,0),IF((IF(AND(Dados!$A82&gt;=Imóveis!$Q$4,Dados!$A82&lt;=Imóveis!$T$4),Imóveis!$S$4-(DATEDIF(Imóveis!$Q$4,Dados!$A82,"m")),0))=0,0,((Imóveis!$N$4/Imóveis!$S$4)+((Imóveis!$N$4-((Imóveis!$S$4-(IF(AND(Dados!$A82&gt;=Imóveis!$Q$4,Dados!$A82&lt;=Imóveis!$T$4),Imóveis!$S$4-(DATEDIF(Imóveis!$Q$4,Dados!$A82,"m")),)))*(Imóveis!$N$4/Imóveis!$S$4)))*Imóveis!$P$4))))*IF(AND(Imóveis!$E$4&gt;0,Dados!$A82&gt;Imóveis!$E$4),0,1)</f>
        <v>4643.949359272583</v>
      </c>
      <c r="L82" s="18">
        <f>IF(Imóveis!$F$5="PRICE",IF(AND(Dados!$A82&gt;=Imóveis!$Q$5,Dados!$A82&lt;=Imóveis!$T$5),Imóveis!$U$5,0),IF((IF(AND(Dados!$A82&gt;=Imóveis!$Q$5,Dados!$A82&lt;=Imóveis!$T$5),Imóveis!$S$5-(DATEDIF(Imóveis!$Q$5,Dados!$A82,"m")),0))=0,0,((Imóveis!$N$5/Imóveis!$S$5)+((Imóveis!$N$5-((Imóveis!$S$5-(IF(AND(Dados!$A82 &gt;=Imóveis!$Q$5,Dados!$A82&lt;=Imóveis!$T$5),Imóveis!$S$5-(DATEDIF(Imóveis!$Q$5,Dados!$A82,"m")),)))*(Imóveis!$N$5/Imóveis!$S$5)))*Imóveis!$P$5))))*IF(AND(Imóveis!$E$5&gt;0,Dados!$A82&gt;Imóveis!$E$5),0,1)*Imóveis!$I$5</f>
        <v>0</v>
      </c>
      <c r="M82" s="18">
        <f>IF(Imóveis!$F$6="PRICE",IF(AND(Dados!$A82&gt;=Imóveis!$Q$6,Dados!$A82&lt;=Imóveis!$T$6),Imóveis!$U$6,0),IF((IF(AND(Dados!$A82&gt;=Imóveis!$Q$6,Dados!$A82&lt;=Imóveis!$T$6),Imóveis!$S$6-(DATEDIF(Imóveis!$Q$6,Dados!$A82,"m")),0))=0,0,((Imóveis!$N$6/Imóveis!$S$6)+((Imóveis!$N$6-((Imóveis!$S$6-(IF(AND(Dados!$A82&gt;=Imóveis!$Q$6,Dados!$A82&lt;=Imóveis!$T$6),Imóveis!$S$6-(DATEDIF(Imóveis!$Q$6,Dados!$A82,"m")),)))*(Imóveis!$N$6/Imóveis!$S$6)))*Imóveis!$P$6))))*IF(AND(Imóveis!$E$6&gt;0,Dados!$A82&gt;Imóveis!$E$6),0,1)*Imóveis!$I$6</f>
        <v>0</v>
      </c>
      <c r="N82" s="18">
        <f t="shared" ca="1" si="12"/>
        <v>89776.289984411851</v>
      </c>
      <c r="O82" s="18">
        <f>SUMIFS(Receitas!$F:$F,Receitas!$J:$J,"&lt;="&amp;$A82,Receitas!$L:$L,"&gt;="&amp;$A82,Receitas!$C:$C,O$1,Receitas!$M:$M,"Mensal")+SUMIFS(Receitas!$F:$F,Receitas!$J:$J,"&lt;="&amp;$A82,Receitas!$L:$L,"&gt;="&amp;$A82,Receitas!$C:$C,O$1,Receitas!$M:$M,$B82)</f>
        <v>50000</v>
      </c>
      <c r="P82" s="18">
        <f>SUMIFS(Receitas!$F:$F,Receitas!$J:$J,"&lt;="&amp;$A82,Receitas!$L:$L,"&gt;="&amp;$A82,Receitas!$C:$C,P$1,Receitas!$M:$M,"Mensal")+SUMIFS(Receitas!$F:$F,Receitas!$J:$J,"&lt;="&amp;$A82,Receitas!$L:$L,"&gt;="&amp;$A82,Receitas!$C:$C,P$1,Receitas!$M:$M,$B82)</f>
        <v>20000</v>
      </c>
      <c r="Q82" s="18">
        <f ca="1">SUMIFS(Receitas!$F:$F,Receitas!$J:$J,"&lt;="&amp;$A82,Receitas!$L:$L,"&gt;="&amp;$A82,Receitas!$C:$C,Q$1,Receitas!$M:$M,"Mensal")+SUMIFS(Receitas!$F:$F,Receitas!$J:$J,"&lt;="&amp;$A82,Receitas!$L:$L,"&gt;="&amp;$A82,Receitas!$C:$C,Q$1,Receitas!$M:$M,$B82)</f>
        <v>15101.400000000001</v>
      </c>
      <c r="R82" s="18" cm="1">
        <f t="array" ref="R82">(IF(AND(Membros!$F$2="Sim",A82&lt;=MAX(Membros!$E$2:$E$5)),Membros!K$2,IF(AND(A82&gt;=Membros!J$2,A82&lt;=MAX(Membros!$E$2:$E$5)),Membros!K$2,0))+IF(AND(Membros!$F$3="Sim",A82&lt;=MAX(Membros!$E$2:$E$5)),Membros!K$3,IF(AND(A82&gt;=Membros!J$3,A82&lt;=MAX(Membros!$E$2:$E$5)),Membros!K$3,0)))*IF(AND(COUNTIFS(Tabela3[Tipo],"Provedor",Tabela3[Simulação Seguro],"Sim")=2,A82&gt;=MAX(IF(Tabela3[Tipo]="Dependente",Tabela3[Expectativa de Vida (Data)]))),0,1)</f>
        <v>0</v>
      </c>
      <c r="S82" s="18">
        <f t="shared" ca="1" si="13"/>
        <v>85101.4</v>
      </c>
      <c r="U82" s="18">
        <f t="shared" ca="1" si="16"/>
        <v>5339014.6866515372</v>
      </c>
      <c r="V82" s="18">
        <f>SUMIF(Imóveis!E:E,Dados!A:A,Imóveis!Z:Z)-SUMIF(Imóveis!E:E,Dados!A:A,Imóveis!Y:Y)</f>
        <v>0</v>
      </c>
      <c r="W82" s="18">
        <f>-SUMIF(Projetos!N:N,A82,Projetos!F:F)</f>
        <v>0</v>
      </c>
      <c r="X82" s="18">
        <f t="shared" ca="1" si="10"/>
        <v>-4674.8899844118569</v>
      </c>
      <c r="Y82" s="26">
        <f ca="1">(U82*((Indicadores_Economicos!D$2+1)^(1/12)-1))</f>
        <v>17478.544777435411</v>
      </c>
      <c r="Z82" s="18">
        <f t="shared" ca="1" si="14"/>
        <v>5351818.3414445603</v>
      </c>
      <c r="AA82" s="18">
        <f ca="1">Auxiliar_Projetos!E82</f>
        <v>254460.94204096048</v>
      </c>
      <c r="AB82" s="18">
        <f ca="1">Auxiliar_Projetos!K82</f>
        <v>374220.10446946824</v>
      </c>
      <c r="AC82" s="18">
        <f ca="1">IF(Z82-AA82-AB82&gt;Investimentos!$C$14,Investimentos!$C$14,IF(Z82-AA82-AB82&lt;Investimentos!$C$14,Z82-AA82-AB82,0))</f>
        <v>300000</v>
      </c>
      <c r="AD82" s="18">
        <f t="shared" ca="1" si="15"/>
        <v>4423137.2949341321</v>
      </c>
      <c r="AE82" s="18"/>
    </row>
    <row r="83" spans="1:31" x14ac:dyDescent="0.2">
      <c r="A83" s="4">
        <v>48122</v>
      </c>
      <c r="B83" s="5" t="str">
        <f t="shared" si="11"/>
        <v>outubro</v>
      </c>
      <c r="C83" s="5" t="str">
        <f t="shared" si="17"/>
        <v>2031</v>
      </c>
      <c r="D83" s="5">
        <f>SUMIFS(Despesas!$F:$F,Despesas!$J:$J,"&lt;="&amp;$A83,Despesas!$L:$L,"&gt;="&amp;$A83,Despesas!$C:$C,D$1,Despesas!$M:$M,"Mensal")+SUMIFS(Despesas!$F:$F,Despesas!$J:$J,"&lt;="&amp;$A83,Despesas!$L:$L,"&gt;="&amp;$A83,Despesas!$C:$C,D$1,Despesas!$M:$M,$B83)</f>
        <v>23000</v>
      </c>
      <c r="E83" s="18">
        <f ca="1">SUMIFS(Despesas!$F:$F,Despesas!$J:$J,"&lt;="&amp;$A83,Despesas!$L:$L,"&gt;="&amp;$A83,Despesas!$C:$C,E$1,Despesas!$M:$M,"Mensal")+SUMIFS(Despesas!$F:$F,Despesas!$J:$J,"&lt;="&amp;$A83,Despesas!$L:$L,"&gt;="&amp;$A83,Despesas!$C:$C,E$1,Despesas!$M:$M,$B83)</f>
        <v>23151.4</v>
      </c>
      <c r="F83" s="5">
        <f>SUMIFS(Despesas!$F:$F,Despesas!$J:$J,"&lt;="&amp;$A83,Despesas!$L:$L,"&gt;="&amp;$A83,Despesas!$C:$C,F$1,Despesas!$M:$M,"Mensal")+SUMIFS(Despesas!$F:$F,Despesas!$J:$J,"&lt;="&amp;$A83,Despesas!$L:$L,"&gt;="&amp;$A83,Despesas!$C:$C,F$1,Despesas!$M:$M,$B83)</f>
        <v>13000</v>
      </c>
      <c r="G83" s="5">
        <f>SUMIFS(Despesas!$F:$F,Despesas!$J:$J,"&lt;="&amp;$A83,Despesas!$L:$L,"&gt;="&amp;$A83,Despesas!$C:$C,G$1,Despesas!$M:$M,"Mensal")+SUMIFS(Despesas!$F:$F,Despesas!$J:$J,"&lt;="&amp;$A83,Despesas!$L:$L,"&gt;="&amp;$A83,Despesas!$C:$C,G$1,Despesas!$M:$M,$B83)</f>
        <v>0</v>
      </c>
      <c r="H83" s="18">
        <f ca="1">SUMIFS(Despesas!$F:$F,Despesas!$J:$J,"&lt;="&amp;$A83,Despesas!$L:$L,"&gt;="&amp;$A83,Despesas!$C:$C,H$1,Despesas!$M:$M,"Mensal")+SUMIFS(Despesas!$F:$F,Despesas!$J:$J,"&lt;="&amp;$A83,Despesas!$L:$L,"&gt;="&amp;$A83,Despesas!$C:$C,H$1,Despesas!$M:$M,$B83)</f>
        <v>2686.355</v>
      </c>
      <c r="I83" s="18">
        <f>IF(Imóveis!$F$2="PRICE",IF(AND(Dados!$A83&gt;=Imóveis!$Q$2,Dados!$A83&lt;=Imóveis!$T$2),Imóveis!$U$2,0),IF((IF(AND(Dados!$A83&gt;=Imóveis!$Q$2,Dados!$A83&lt;=Imóveis!$T$2),Imóveis!$S$2-(DATEDIF(Imóveis!$Q$2,Dados!$A83,"m")),0))=0,0,((Imóveis!$N$2/Imóveis!$S$2)+((Imóveis!$N$2-((Imóveis!$S$2-(IF(AND(Dados!$A83&gt;=Imóveis!$Q$2,Dados!$A83&lt;=Imóveis!$T$2),Imóveis!$S$2-(DATEDIF(Imóveis!$Q$2,Dados!$A83,"m")),)))*(Imóveis!$N$2/Imóveis!$S$2)))*Imóveis!$P$2))))*IF(AND(Imóveis!$E$2&gt;0,Dados!$A83&gt;Imóveis!$E$2),0,1)</f>
        <v>13917.865908033677</v>
      </c>
      <c r="J83" s="18">
        <f ca="1">IF(Imóveis!$F$3="PRICE",IF(AND(Dados!$A83&gt;=Imóveis!$Q$3,Dados!$A83&lt;=Imóveis!$T$3),Imóveis!$U$3,0),IF((IF(AND(Dados!$A83&gt;=Imóveis!$Q$3,Dados!$A83&lt;=Imóveis!$T$3),Imóveis!$S$3-(DATEDIF(Imóveis!$Q$3,Dados!$A83,"m")),0))=0,0,((Imóveis!$N$3/Imóveis!$S$3)+((Imóveis!$N$3-((Imóveis!$S$3-(IF(AND(Dados!$A83&gt;=Imóveis!$Q$3,Dados!$A83&lt;=Imóveis!$T$3),Imóveis!$S$3-(DATEDIF(Imóveis!$Q$3,Dados!$A83,"m")),)))*(Imóveis!$N$3/Imóveis!$S$3)))*Imóveis!$P$3))))*IF(AND(Imóveis!$E$3&gt;0,Dados!$A83&gt;Imóveis!$E$3),0,1)</f>
        <v>9314.6986248807771</v>
      </c>
      <c r="K83" s="18">
        <f>IF(Imóveis!$F$4="PRICE",IF(AND(Dados!$A83&gt;=Imóveis!$Q$4,Dados!$A83&lt;=Imóveis!$T$4),Imóveis!$U$4,0),IF((IF(AND(Dados!$A83&gt;=Imóveis!$Q$4,Dados!$A83&lt;=Imóveis!$T$4),Imóveis!$S$4-(DATEDIF(Imóveis!$Q$4,Dados!$A83,"m")),0))=0,0,((Imóveis!$N$4/Imóveis!$S$4)+((Imóveis!$N$4-((Imóveis!$S$4-(IF(AND(Dados!$A83&gt;=Imóveis!$Q$4,Dados!$A83&lt;=Imóveis!$T$4),Imóveis!$S$4-(DATEDIF(Imóveis!$Q$4,Dados!$A83,"m")),)))*(Imóveis!$N$4/Imóveis!$S$4)))*Imóveis!$P$4))))*IF(AND(Imóveis!$E$4&gt;0,Dados!$A83&gt;Imóveis!$E$4),0,1)</f>
        <v>4643.949359272583</v>
      </c>
      <c r="L83" s="18">
        <f>IF(Imóveis!$F$5="PRICE",IF(AND(Dados!$A83&gt;=Imóveis!$Q$5,Dados!$A83&lt;=Imóveis!$T$5),Imóveis!$U$5,0),IF((IF(AND(Dados!$A83&gt;=Imóveis!$Q$5,Dados!$A83&lt;=Imóveis!$T$5),Imóveis!$S$5-(DATEDIF(Imóveis!$Q$5,Dados!$A83,"m")),0))=0,0,((Imóveis!$N$5/Imóveis!$S$5)+((Imóveis!$N$5-((Imóveis!$S$5-(IF(AND(Dados!$A83 &gt;=Imóveis!$Q$5,Dados!$A83&lt;=Imóveis!$T$5),Imóveis!$S$5-(DATEDIF(Imóveis!$Q$5,Dados!$A83,"m")),)))*(Imóveis!$N$5/Imóveis!$S$5)))*Imóveis!$P$5))))*IF(AND(Imóveis!$E$5&gt;0,Dados!$A83&gt;Imóveis!$E$5),0,1)*Imóveis!$I$5</f>
        <v>0</v>
      </c>
      <c r="M83" s="18">
        <f>IF(Imóveis!$F$6="PRICE",IF(AND(Dados!$A83&gt;=Imóveis!$Q$6,Dados!$A83&lt;=Imóveis!$T$6),Imóveis!$U$6,0),IF((IF(AND(Dados!$A83&gt;=Imóveis!$Q$6,Dados!$A83&lt;=Imóveis!$T$6),Imóveis!$S$6-(DATEDIF(Imóveis!$Q$6,Dados!$A83,"m")),0))=0,0,((Imóveis!$N$6/Imóveis!$S$6)+((Imóveis!$N$6-((Imóveis!$S$6-(IF(AND(Dados!$A83&gt;=Imóveis!$Q$6,Dados!$A83&lt;=Imóveis!$T$6),Imóveis!$S$6-(DATEDIF(Imóveis!$Q$6,Dados!$A83,"m")),)))*(Imóveis!$N$6/Imóveis!$S$6)))*Imóveis!$P$6))))*IF(AND(Imóveis!$E$6&gt;0,Dados!$A83&gt;Imóveis!$E$6),0,1)*Imóveis!$I$6</f>
        <v>0</v>
      </c>
      <c r="N83" s="18">
        <f t="shared" ca="1" si="12"/>
        <v>89714.268892187043</v>
      </c>
      <c r="O83" s="18">
        <f>SUMIFS(Receitas!$F:$F,Receitas!$J:$J,"&lt;="&amp;$A83,Receitas!$L:$L,"&gt;="&amp;$A83,Receitas!$C:$C,O$1,Receitas!$M:$M,"Mensal")+SUMIFS(Receitas!$F:$F,Receitas!$J:$J,"&lt;="&amp;$A83,Receitas!$L:$L,"&gt;="&amp;$A83,Receitas!$C:$C,O$1,Receitas!$M:$M,$B83)</f>
        <v>50000</v>
      </c>
      <c r="P83" s="18">
        <f>SUMIFS(Receitas!$F:$F,Receitas!$J:$J,"&lt;="&amp;$A83,Receitas!$L:$L,"&gt;="&amp;$A83,Receitas!$C:$C,P$1,Receitas!$M:$M,"Mensal")+SUMIFS(Receitas!$F:$F,Receitas!$J:$J,"&lt;="&amp;$A83,Receitas!$L:$L,"&gt;="&amp;$A83,Receitas!$C:$C,P$1,Receitas!$M:$M,$B83)</f>
        <v>20000</v>
      </c>
      <c r="Q83" s="18">
        <f ca="1">SUMIFS(Receitas!$F:$F,Receitas!$J:$J,"&lt;="&amp;$A83,Receitas!$L:$L,"&gt;="&amp;$A83,Receitas!$C:$C,Q$1,Receitas!$M:$M,"Mensal")+SUMIFS(Receitas!$F:$F,Receitas!$J:$J,"&lt;="&amp;$A83,Receitas!$L:$L,"&gt;="&amp;$A83,Receitas!$C:$C,Q$1,Receitas!$M:$M,$B83)</f>
        <v>15101.400000000001</v>
      </c>
      <c r="R83" s="18" cm="1">
        <f t="array" ref="R83">(IF(AND(Membros!$F$2="Sim",A83&lt;=MAX(Membros!$E$2:$E$5)),Membros!K$2,IF(AND(A83&gt;=Membros!J$2,A83&lt;=MAX(Membros!$E$2:$E$5)),Membros!K$2,0))+IF(AND(Membros!$F$3="Sim",A83&lt;=MAX(Membros!$E$2:$E$5)),Membros!K$3,IF(AND(A83&gt;=Membros!J$3,A83&lt;=MAX(Membros!$E$2:$E$5)),Membros!K$3,0)))*IF(AND(COUNTIFS(Tabela3[Tipo],"Provedor",Tabela3[Simulação Seguro],"Sim")=2,A83&gt;=MAX(IF(Tabela3[Tipo]="Dependente",Tabela3[Expectativa de Vida (Data)]))),0,1)</f>
        <v>0</v>
      </c>
      <c r="S83" s="18">
        <f t="shared" ca="1" si="13"/>
        <v>85101.4</v>
      </c>
      <c r="U83" s="18">
        <f t="shared" ca="1" si="16"/>
        <v>5351818.3414445603</v>
      </c>
      <c r="V83" s="18">
        <f>SUMIF(Imóveis!E:E,Dados!A:A,Imóveis!Z:Z)-SUMIF(Imóveis!E:E,Dados!A:A,Imóveis!Y:Y)</f>
        <v>0</v>
      </c>
      <c r="W83" s="18">
        <f>-SUMIF(Projetos!N:N,A83,Projetos!F:F)</f>
        <v>0</v>
      </c>
      <c r="X83" s="18">
        <f t="shared" ca="1" si="10"/>
        <v>-4612.8688921870489</v>
      </c>
      <c r="Y83" s="26">
        <f ca="1">(U83*((Indicadores_Economicos!D$2+1)^(1/12)-1))</f>
        <v>17520.46061148887</v>
      </c>
      <c r="Z83" s="18">
        <f t="shared" ca="1" si="14"/>
        <v>5364725.9331638617</v>
      </c>
      <c r="AA83" s="18">
        <f ca="1">Auxiliar_Projetos!E83</f>
        <v>255293.98094993579</v>
      </c>
      <c r="AB83" s="18">
        <f ca="1">Auxiliar_Projetos!K83</f>
        <v>375445.20371276856</v>
      </c>
      <c r="AC83" s="18">
        <f ca="1">IF(Z83-AA83-AB83&gt;Investimentos!$C$14,Investimentos!$C$14,IF(Z83-AA83-AB83&lt;Investimentos!$C$14,Z83-AA83-AB83,0))</f>
        <v>300000</v>
      </c>
      <c r="AD83" s="18">
        <f t="shared" ca="1" si="15"/>
        <v>4433986.7485011574</v>
      </c>
      <c r="AE83" s="18"/>
    </row>
    <row r="84" spans="1:31" x14ac:dyDescent="0.2">
      <c r="A84" s="4">
        <v>48153</v>
      </c>
      <c r="B84" s="5" t="str">
        <f t="shared" si="11"/>
        <v>novembro</v>
      </c>
      <c r="C84" s="5" t="str">
        <f t="shared" si="17"/>
        <v>2031</v>
      </c>
      <c r="D84" s="5">
        <f>SUMIFS(Despesas!$F:$F,Despesas!$J:$J,"&lt;="&amp;$A84,Despesas!$L:$L,"&gt;="&amp;$A84,Despesas!$C:$C,D$1,Despesas!$M:$M,"Mensal")+SUMIFS(Despesas!$F:$F,Despesas!$J:$J,"&lt;="&amp;$A84,Despesas!$L:$L,"&gt;="&amp;$A84,Despesas!$C:$C,D$1,Despesas!$M:$M,$B84)</f>
        <v>23000</v>
      </c>
      <c r="E84" s="18">
        <f ca="1">SUMIFS(Despesas!$F:$F,Despesas!$J:$J,"&lt;="&amp;$A84,Despesas!$L:$L,"&gt;="&amp;$A84,Despesas!$C:$C,E$1,Despesas!$M:$M,"Mensal")+SUMIFS(Despesas!$F:$F,Despesas!$J:$J,"&lt;="&amp;$A84,Despesas!$L:$L,"&gt;="&amp;$A84,Despesas!$C:$C,E$1,Despesas!$M:$M,$B84)</f>
        <v>23151.4</v>
      </c>
      <c r="F84" s="5">
        <f>SUMIFS(Despesas!$F:$F,Despesas!$J:$J,"&lt;="&amp;$A84,Despesas!$L:$L,"&gt;="&amp;$A84,Despesas!$C:$C,F$1,Despesas!$M:$M,"Mensal")+SUMIFS(Despesas!$F:$F,Despesas!$J:$J,"&lt;="&amp;$A84,Despesas!$L:$L,"&gt;="&amp;$A84,Despesas!$C:$C,F$1,Despesas!$M:$M,$B84)</f>
        <v>13000</v>
      </c>
      <c r="G84" s="5">
        <f>SUMIFS(Despesas!$F:$F,Despesas!$J:$J,"&lt;="&amp;$A84,Despesas!$L:$L,"&gt;="&amp;$A84,Despesas!$C:$C,G$1,Despesas!$M:$M,"Mensal")+SUMIFS(Despesas!$F:$F,Despesas!$J:$J,"&lt;="&amp;$A84,Despesas!$L:$L,"&gt;="&amp;$A84,Despesas!$C:$C,G$1,Despesas!$M:$M,$B84)</f>
        <v>0</v>
      </c>
      <c r="H84" s="18">
        <f ca="1">SUMIFS(Despesas!$F:$F,Despesas!$J:$J,"&lt;="&amp;$A84,Despesas!$L:$L,"&gt;="&amp;$A84,Despesas!$C:$C,H$1,Despesas!$M:$M,"Mensal")+SUMIFS(Despesas!$F:$F,Despesas!$J:$J,"&lt;="&amp;$A84,Despesas!$L:$L,"&gt;="&amp;$A84,Despesas!$C:$C,H$1,Despesas!$M:$M,$B84)</f>
        <v>2686.355</v>
      </c>
      <c r="I84" s="18">
        <f>IF(Imóveis!$F$2="PRICE",IF(AND(Dados!$A84&gt;=Imóveis!$Q$2,Dados!$A84&lt;=Imóveis!$T$2),Imóveis!$U$2,0),IF((IF(AND(Dados!$A84&gt;=Imóveis!$Q$2,Dados!$A84&lt;=Imóveis!$T$2),Imóveis!$S$2-(DATEDIF(Imóveis!$Q$2,Dados!$A84,"m")),0))=0,0,((Imóveis!$N$2/Imóveis!$S$2)+((Imóveis!$N$2-((Imóveis!$S$2-(IF(AND(Dados!$A84&gt;=Imóveis!$Q$2,Dados!$A84&lt;=Imóveis!$T$2),Imóveis!$S$2-(DATEDIF(Imóveis!$Q$2,Dados!$A84,"m")),)))*(Imóveis!$N$2/Imóveis!$S$2)))*Imóveis!$P$2))))*IF(AND(Imóveis!$E$2&gt;0,Dados!$A84&gt;Imóveis!$E$2),0,1)</f>
        <v>13855.844815808869</v>
      </c>
      <c r="J84" s="18">
        <f ca="1">IF(Imóveis!$F$3="PRICE",IF(AND(Dados!$A84&gt;=Imóveis!$Q$3,Dados!$A84&lt;=Imóveis!$T$3),Imóveis!$U$3,0),IF((IF(AND(Dados!$A84&gt;=Imóveis!$Q$3,Dados!$A84&lt;=Imóveis!$T$3),Imóveis!$S$3-(DATEDIF(Imóveis!$Q$3,Dados!$A84,"m")),0))=0,0,((Imóveis!$N$3/Imóveis!$S$3)+((Imóveis!$N$3-((Imóveis!$S$3-(IF(AND(Dados!$A84&gt;=Imóveis!$Q$3,Dados!$A84&lt;=Imóveis!$T$3),Imóveis!$S$3-(DATEDIF(Imóveis!$Q$3,Dados!$A84,"m")),)))*(Imóveis!$N$3/Imóveis!$S$3)))*Imóveis!$P$3))))*IF(AND(Imóveis!$E$3&gt;0,Dados!$A84&gt;Imóveis!$E$3),0,1)</f>
        <v>9314.6986248807771</v>
      </c>
      <c r="K84" s="18">
        <f>IF(Imóveis!$F$4="PRICE",IF(AND(Dados!$A84&gt;=Imóveis!$Q$4,Dados!$A84&lt;=Imóveis!$T$4),Imóveis!$U$4,0),IF((IF(AND(Dados!$A84&gt;=Imóveis!$Q$4,Dados!$A84&lt;=Imóveis!$T$4),Imóveis!$S$4-(DATEDIF(Imóveis!$Q$4,Dados!$A84,"m")),0))=0,0,((Imóveis!$N$4/Imóveis!$S$4)+((Imóveis!$N$4-((Imóveis!$S$4-(IF(AND(Dados!$A84&gt;=Imóveis!$Q$4,Dados!$A84&lt;=Imóveis!$T$4),Imóveis!$S$4-(DATEDIF(Imóveis!$Q$4,Dados!$A84,"m")),)))*(Imóveis!$N$4/Imóveis!$S$4)))*Imóveis!$P$4))))*IF(AND(Imóveis!$E$4&gt;0,Dados!$A84&gt;Imóveis!$E$4),0,1)</f>
        <v>4643.949359272583</v>
      </c>
      <c r="L84" s="18">
        <f>IF(Imóveis!$F$5="PRICE",IF(AND(Dados!$A84&gt;=Imóveis!$Q$5,Dados!$A84&lt;=Imóveis!$T$5),Imóveis!$U$5,0),IF((IF(AND(Dados!$A84&gt;=Imóveis!$Q$5,Dados!$A84&lt;=Imóveis!$T$5),Imóveis!$S$5-(DATEDIF(Imóveis!$Q$5,Dados!$A84,"m")),0))=0,0,((Imóveis!$N$5/Imóveis!$S$5)+((Imóveis!$N$5-((Imóveis!$S$5-(IF(AND(Dados!$A84 &gt;=Imóveis!$Q$5,Dados!$A84&lt;=Imóveis!$T$5),Imóveis!$S$5-(DATEDIF(Imóveis!$Q$5,Dados!$A84,"m")),)))*(Imóveis!$N$5/Imóveis!$S$5)))*Imóveis!$P$5))))*IF(AND(Imóveis!$E$5&gt;0,Dados!$A84&gt;Imóveis!$E$5),0,1)*Imóveis!$I$5</f>
        <v>0</v>
      </c>
      <c r="M84" s="18">
        <f>IF(Imóveis!$F$6="PRICE",IF(AND(Dados!$A84&gt;=Imóveis!$Q$6,Dados!$A84&lt;=Imóveis!$T$6),Imóveis!$U$6,0),IF((IF(AND(Dados!$A84&gt;=Imóveis!$Q$6,Dados!$A84&lt;=Imóveis!$T$6),Imóveis!$S$6-(DATEDIF(Imóveis!$Q$6,Dados!$A84,"m")),0))=0,0,((Imóveis!$N$6/Imóveis!$S$6)+((Imóveis!$N$6-((Imóveis!$S$6-(IF(AND(Dados!$A84&gt;=Imóveis!$Q$6,Dados!$A84&lt;=Imóveis!$T$6),Imóveis!$S$6-(DATEDIF(Imóveis!$Q$6,Dados!$A84,"m")),)))*(Imóveis!$N$6/Imóveis!$S$6)))*Imóveis!$P$6))))*IF(AND(Imóveis!$E$6&gt;0,Dados!$A84&gt;Imóveis!$E$6),0,1)*Imóveis!$I$6</f>
        <v>0</v>
      </c>
      <c r="N84" s="18">
        <f t="shared" ca="1" si="12"/>
        <v>89652.247799962235</v>
      </c>
      <c r="O84" s="18">
        <f>SUMIFS(Receitas!$F:$F,Receitas!$J:$J,"&lt;="&amp;$A84,Receitas!$L:$L,"&gt;="&amp;$A84,Receitas!$C:$C,O$1,Receitas!$M:$M,"Mensal")+SUMIFS(Receitas!$F:$F,Receitas!$J:$J,"&lt;="&amp;$A84,Receitas!$L:$L,"&gt;="&amp;$A84,Receitas!$C:$C,O$1,Receitas!$M:$M,$B84)</f>
        <v>50000</v>
      </c>
      <c r="P84" s="18">
        <f>SUMIFS(Receitas!$F:$F,Receitas!$J:$J,"&lt;="&amp;$A84,Receitas!$L:$L,"&gt;="&amp;$A84,Receitas!$C:$C,P$1,Receitas!$M:$M,"Mensal")+SUMIFS(Receitas!$F:$F,Receitas!$J:$J,"&lt;="&amp;$A84,Receitas!$L:$L,"&gt;="&amp;$A84,Receitas!$C:$C,P$1,Receitas!$M:$M,$B84)</f>
        <v>86666.666666666672</v>
      </c>
      <c r="Q84" s="18">
        <f ca="1">SUMIFS(Receitas!$F:$F,Receitas!$J:$J,"&lt;="&amp;$A84,Receitas!$L:$L,"&gt;="&amp;$A84,Receitas!$C:$C,Q$1,Receitas!$M:$M,"Mensal")+SUMIFS(Receitas!$F:$F,Receitas!$J:$J,"&lt;="&amp;$A84,Receitas!$L:$L,"&gt;="&amp;$A84,Receitas!$C:$C,Q$1,Receitas!$M:$M,$B84)</f>
        <v>15101.400000000001</v>
      </c>
      <c r="R84" s="18" cm="1">
        <f t="array" ref="R84">(IF(AND(Membros!$F$2="Sim",A84&lt;=MAX(Membros!$E$2:$E$5)),Membros!K$2,IF(AND(A84&gt;=Membros!J$2,A84&lt;=MAX(Membros!$E$2:$E$5)),Membros!K$2,0))+IF(AND(Membros!$F$3="Sim",A84&lt;=MAX(Membros!$E$2:$E$5)),Membros!K$3,IF(AND(A84&gt;=Membros!J$3,A84&lt;=MAX(Membros!$E$2:$E$5)),Membros!K$3,0)))*IF(AND(COUNTIFS(Tabela3[Tipo],"Provedor",Tabela3[Simulação Seguro],"Sim")=2,A84&gt;=MAX(IF(Tabela3[Tipo]="Dependente",Tabela3[Expectativa de Vida (Data)]))),0,1)</f>
        <v>0</v>
      </c>
      <c r="S84" s="18">
        <f t="shared" ca="1" si="13"/>
        <v>151768.06666666668</v>
      </c>
      <c r="U84" s="18">
        <f t="shared" ca="1" si="16"/>
        <v>5364725.9331638617</v>
      </c>
      <c r="V84" s="18">
        <f>SUMIF(Imóveis!E:E,Dados!A:A,Imóveis!Z:Z)-SUMIF(Imóveis!E:E,Dados!A:A,Imóveis!Y:Y)</f>
        <v>0</v>
      </c>
      <c r="W84" s="18">
        <f>-SUMIF(Projetos!N:N,A84,Projetos!F:F)</f>
        <v>0</v>
      </c>
      <c r="X84" s="18">
        <f t="shared" ca="1" si="10"/>
        <v>62115.818866704445</v>
      </c>
      <c r="Y84" s="26">
        <f ca="1">(U84*((Indicadores_Economicos!D$2+1)^(1/12)-1))</f>
        <v>17562.716707992728</v>
      </c>
      <c r="Z84" s="18">
        <f t="shared" ca="1" si="14"/>
        <v>5444404.4687385587</v>
      </c>
      <c r="AA84" s="18">
        <f ca="1">Auxiliar_Projetos!E84</f>
        <v>256129.74701152754</v>
      </c>
      <c r="AB84" s="18">
        <f ca="1">Auxiliar_Projetos!K84</f>
        <v>376674.31361219881</v>
      </c>
      <c r="AC84" s="18">
        <f ca="1">IF(Z84-AA84-AB84&gt;Investimentos!$C$14,Investimentos!$C$14,IF(Z84-AA84-AB84&lt;Investimentos!$C$14,Z84-AA84-AB84,0))</f>
        <v>300000</v>
      </c>
      <c r="AD84" s="18">
        <f t="shared" ca="1" si="15"/>
        <v>4511600.4081148328</v>
      </c>
      <c r="AE84" s="18"/>
    </row>
    <row r="85" spans="1:31" x14ac:dyDescent="0.2">
      <c r="A85" s="4">
        <v>48183</v>
      </c>
      <c r="B85" s="5" t="str">
        <f t="shared" si="11"/>
        <v>dezembro</v>
      </c>
      <c r="C85" s="5" t="str">
        <f t="shared" si="17"/>
        <v>2031</v>
      </c>
      <c r="D85" s="5">
        <f>SUMIFS(Despesas!$F:$F,Despesas!$J:$J,"&lt;="&amp;$A85,Despesas!$L:$L,"&gt;="&amp;$A85,Despesas!$C:$C,D$1,Despesas!$M:$M,"Mensal")+SUMIFS(Despesas!$F:$F,Despesas!$J:$J,"&lt;="&amp;$A85,Despesas!$L:$L,"&gt;="&amp;$A85,Despesas!$C:$C,D$1,Despesas!$M:$M,$B85)</f>
        <v>23000</v>
      </c>
      <c r="E85" s="18">
        <f ca="1">SUMIFS(Despesas!$F:$F,Despesas!$J:$J,"&lt;="&amp;$A85,Despesas!$L:$L,"&gt;="&amp;$A85,Despesas!$C:$C,E$1,Despesas!$M:$M,"Mensal")+SUMIFS(Despesas!$F:$F,Despesas!$J:$J,"&lt;="&amp;$A85,Despesas!$L:$L,"&gt;="&amp;$A85,Despesas!$C:$C,E$1,Despesas!$M:$M,$B85)</f>
        <v>23151.4</v>
      </c>
      <c r="F85" s="5">
        <f>SUMIFS(Despesas!$F:$F,Despesas!$J:$J,"&lt;="&amp;$A85,Despesas!$L:$L,"&gt;="&amp;$A85,Despesas!$C:$C,F$1,Despesas!$M:$M,"Mensal")+SUMIFS(Despesas!$F:$F,Despesas!$J:$J,"&lt;="&amp;$A85,Despesas!$L:$L,"&gt;="&amp;$A85,Despesas!$C:$C,F$1,Despesas!$M:$M,$B85)</f>
        <v>13000</v>
      </c>
      <c r="G85" s="5">
        <f ca="1">SUMIFS(Despesas!$F:$F,Despesas!$J:$J,"&lt;="&amp;$A85,Despesas!$L:$L,"&gt;="&amp;$A85,Despesas!$C:$C,G$1,Despesas!$M:$M,"Mensal")+SUMIFS(Despesas!$F:$F,Despesas!$J:$J,"&lt;="&amp;$A85,Despesas!$L:$L,"&gt;="&amp;$A85,Despesas!$C:$C,G$1,Despesas!$M:$M,$B85)</f>
        <v>55757</v>
      </c>
      <c r="H85" s="18">
        <f ca="1">SUMIFS(Despesas!$F:$F,Despesas!$J:$J,"&lt;="&amp;$A85,Despesas!$L:$L,"&gt;="&amp;$A85,Despesas!$C:$C,H$1,Despesas!$M:$M,"Mensal")+SUMIFS(Despesas!$F:$F,Despesas!$J:$J,"&lt;="&amp;$A85,Despesas!$L:$L,"&gt;="&amp;$A85,Despesas!$C:$C,H$1,Despesas!$M:$M,$B85)</f>
        <v>2686.355</v>
      </c>
      <c r="I85" s="18">
        <f>IF(Imóveis!$F$2="PRICE",IF(AND(Dados!$A85&gt;=Imóveis!$Q$2,Dados!$A85&lt;=Imóveis!$T$2),Imóveis!$U$2,0),IF((IF(AND(Dados!$A85&gt;=Imóveis!$Q$2,Dados!$A85&lt;=Imóveis!$T$2),Imóveis!$S$2-(DATEDIF(Imóveis!$Q$2,Dados!$A85,"m")),0))=0,0,((Imóveis!$N$2/Imóveis!$S$2)+((Imóveis!$N$2-((Imóveis!$S$2-(IF(AND(Dados!$A85&gt;=Imóveis!$Q$2,Dados!$A85&lt;=Imóveis!$T$2),Imóveis!$S$2-(DATEDIF(Imóveis!$Q$2,Dados!$A85,"m")),)))*(Imóveis!$N$2/Imóveis!$S$2)))*Imóveis!$P$2))))*IF(AND(Imóveis!$E$2&gt;0,Dados!$A85&gt;Imóveis!$E$2),0,1)</f>
        <v>13793.823723584062</v>
      </c>
      <c r="J85" s="18">
        <f ca="1">IF(Imóveis!$F$3="PRICE",IF(AND(Dados!$A85&gt;=Imóveis!$Q$3,Dados!$A85&lt;=Imóveis!$T$3),Imóveis!$U$3,0),IF((IF(AND(Dados!$A85&gt;=Imóveis!$Q$3,Dados!$A85&lt;=Imóveis!$T$3),Imóveis!$S$3-(DATEDIF(Imóveis!$Q$3,Dados!$A85,"m")),0))=0,0,((Imóveis!$N$3/Imóveis!$S$3)+((Imóveis!$N$3-((Imóveis!$S$3-(IF(AND(Dados!$A85&gt;=Imóveis!$Q$3,Dados!$A85&lt;=Imóveis!$T$3),Imóveis!$S$3-(DATEDIF(Imóveis!$Q$3,Dados!$A85,"m")),)))*(Imóveis!$N$3/Imóveis!$S$3)))*Imóveis!$P$3))))*IF(AND(Imóveis!$E$3&gt;0,Dados!$A85&gt;Imóveis!$E$3),0,1)</f>
        <v>9314.6986248807771</v>
      </c>
      <c r="K85" s="18">
        <f>IF(Imóveis!$F$4="PRICE",IF(AND(Dados!$A85&gt;=Imóveis!$Q$4,Dados!$A85&lt;=Imóveis!$T$4),Imóveis!$U$4,0),IF((IF(AND(Dados!$A85&gt;=Imóveis!$Q$4,Dados!$A85&lt;=Imóveis!$T$4),Imóveis!$S$4-(DATEDIF(Imóveis!$Q$4,Dados!$A85,"m")),0))=0,0,((Imóveis!$N$4/Imóveis!$S$4)+((Imóveis!$N$4-((Imóveis!$S$4-(IF(AND(Dados!$A85&gt;=Imóveis!$Q$4,Dados!$A85&lt;=Imóveis!$T$4),Imóveis!$S$4-(DATEDIF(Imóveis!$Q$4,Dados!$A85,"m")),)))*(Imóveis!$N$4/Imóveis!$S$4)))*Imóveis!$P$4))))*IF(AND(Imóveis!$E$4&gt;0,Dados!$A85&gt;Imóveis!$E$4),0,1)</f>
        <v>4643.949359272583</v>
      </c>
      <c r="L85" s="18">
        <f>IF(Imóveis!$F$5="PRICE",IF(AND(Dados!$A85&gt;=Imóveis!$Q$5,Dados!$A85&lt;=Imóveis!$T$5),Imóveis!$U$5,0),IF((IF(AND(Dados!$A85&gt;=Imóveis!$Q$5,Dados!$A85&lt;=Imóveis!$T$5),Imóveis!$S$5-(DATEDIF(Imóveis!$Q$5,Dados!$A85,"m")),0))=0,0,((Imóveis!$N$5/Imóveis!$S$5)+((Imóveis!$N$5-((Imóveis!$S$5-(IF(AND(Dados!$A85 &gt;=Imóveis!$Q$5,Dados!$A85&lt;=Imóveis!$T$5),Imóveis!$S$5-(DATEDIF(Imóveis!$Q$5,Dados!$A85,"m")),)))*(Imóveis!$N$5/Imóveis!$S$5)))*Imóveis!$P$5))))*IF(AND(Imóveis!$E$5&gt;0,Dados!$A85&gt;Imóveis!$E$5),0,1)*Imóveis!$I$5</f>
        <v>0</v>
      </c>
      <c r="M85" s="18">
        <f>IF(Imóveis!$F$6="PRICE",IF(AND(Dados!$A85&gt;=Imóveis!$Q$6,Dados!$A85&lt;=Imóveis!$T$6),Imóveis!$U$6,0),IF((IF(AND(Dados!$A85&gt;=Imóveis!$Q$6,Dados!$A85&lt;=Imóveis!$T$6),Imóveis!$S$6-(DATEDIF(Imóveis!$Q$6,Dados!$A85,"m")),0))=0,0,((Imóveis!$N$6/Imóveis!$S$6)+((Imóveis!$N$6-((Imóveis!$S$6-(IF(AND(Dados!$A85&gt;=Imóveis!$Q$6,Dados!$A85&lt;=Imóveis!$T$6),Imóveis!$S$6-(DATEDIF(Imóveis!$Q$6,Dados!$A85,"m")),)))*(Imóveis!$N$6/Imóveis!$S$6)))*Imóveis!$P$6))))*IF(AND(Imóveis!$E$6&gt;0,Dados!$A85&gt;Imóveis!$E$6),0,1)*Imóveis!$I$6</f>
        <v>0</v>
      </c>
      <c r="N85" s="18">
        <f t="shared" ca="1" si="12"/>
        <v>145347.2267077374</v>
      </c>
      <c r="O85" s="18">
        <f>SUMIFS(Receitas!$F:$F,Receitas!$J:$J,"&lt;="&amp;$A85,Receitas!$L:$L,"&gt;="&amp;$A85,Receitas!$C:$C,O$1,Receitas!$M:$M,"Mensal")+SUMIFS(Receitas!$F:$F,Receitas!$J:$J,"&lt;="&amp;$A85,Receitas!$L:$L,"&gt;="&amp;$A85,Receitas!$C:$C,O$1,Receitas!$M:$M,$B85)</f>
        <v>50000</v>
      </c>
      <c r="P85" s="18">
        <f>SUMIFS(Receitas!$F:$F,Receitas!$J:$J,"&lt;="&amp;$A85,Receitas!$L:$L,"&gt;="&amp;$A85,Receitas!$C:$C,P$1,Receitas!$M:$M,"Mensal")+SUMIFS(Receitas!$F:$F,Receitas!$J:$J,"&lt;="&amp;$A85,Receitas!$L:$L,"&gt;="&amp;$A85,Receitas!$C:$C,P$1,Receitas!$M:$M,$B85)</f>
        <v>20000</v>
      </c>
      <c r="Q85" s="18">
        <f ca="1">SUMIFS(Receitas!$F:$F,Receitas!$J:$J,"&lt;="&amp;$A85,Receitas!$L:$L,"&gt;="&amp;$A85,Receitas!$C:$C,Q$1,Receitas!$M:$M,"Mensal")+SUMIFS(Receitas!$F:$F,Receitas!$J:$J,"&lt;="&amp;$A85,Receitas!$L:$L,"&gt;="&amp;$A85,Receitas!$C:$C,Q$1,Receitas!$M:$M,$B85)</f>
        <v>15101.400000000001</v>
      </c>
      <c r="R85" s="18" cm="1">
        <f t="array" ref="R85">(IF(AND(Membros!$F$2="Sim",A85&lt;=MAX(Membros!$E$2:$E$5)),Membros!K$2,IF(AND(A85&gt;=Membros!J$2,A85&lt;=MAX(Membros!$E$2:$E$5)),Membros!K$2,0))+IF(AND(Membros!$F$3="Sim",A85&lt;=MAX(Membros!$E$2:$E$5)),Membros!K$3,IF(AND(A85&gt;=Membros!J$3,A85&lt;=MAX(Membros!$E$2:$E$5)),Membros!K$3,0)))*IF(AND(COUNTIFS(Tabela3[Tipo],"Provedor",Tabela3[Simulação Seguro],"Sim")=2,A85&gt;=MAX(IF(Tabela3[Tipo]="Dependente",Tabela3[Expectativa de Vida (Data)]))),0,1)</f>
        <v>0</v>
      </c>
      <c r="S85" s="18">
        <f t="shared" ca="1" si="13"/>
        <v>85101.4</v>
      </c>
      <c r="U85" s="18">
        <f t="shared" ca="1" si="16"/>
        <v>5444404.4687385587</v>
      </c>
      <c r="V85" s="18">
        <f>SUMIF(Imóveis!E:E,Dados!A:A,Imóveis!Z:Z)-SUMIF(Imóveis!E:E,Dados!A:A,Imóveis!Y:Y)</f>
        <v>0</v>
      </c>
      <c r="W85" s="18">
        <f>-SUMIF(Projetos!N:N,A85,Projetos!F:F)</f>
        <v>0</v>
      </c>
      <c r="X85" s="18">
        <f t="shared" ca="1" si="10"/>
        <v>-60245.826707737404</v>
      </c>
      <c r="Y85" s="26">
        <f ca="1">(U85*((Indicadores_Economicos!D$2+1)^(1/12)-1))</f>
        <v>17823.563499690965</v>
      </c>
      <c r="Z85" s="18">
        <f t="shared" ca="1" si="14"/>
        <v>5401982.2055305121</v>
      </c>
      <c r="AA85" s="18">
        <f ca="1">Auxiliar_Projetos!E85</f>
        <v>256968.24915372371</v>
      </c>
      <c r="AB85" s="18">
        <f ca="1">Auxiliar_Projetos!K85</f>
        <v>377907.44729760353</v>
      </c>
      <c r="AC85" s="18">
        <f ca="1">IF(Z85-AA85-AB85&gt;Investimentos!$C$14,Investimentos!$C$14,IF(Z85-AA85-AB85&lt;Investimentos!$C$14,Z85-AA85-AB85,0))</f>
        <v>300000</v>
      </c>
      <c r="AD85" s="18">
        <f t="shared" ca="1" si="15"/>
        <v>4467106.5090791844</v>
      </c>
      <c r="AE85" s="18"/>
    </row>
    <row r="86" spans="1:31" x14ac:dyDescent="0.2">
      <c r="A86" s="4">
        <v>48214</v>
      </c>
      <c r="B86" s="5" t="str">
        <f t="shared" si="11"/>
        <v>janeiro</v>
      </c>
      <c r="C86" s="5" t="str">
        <f t="shared" si="17"/>
        <v>2032</v>
      </c>
      <c r="D86" s="5">
        <f>SUMIFS(Despesas!$F:$F,Despesas!$J:$J,"&lt;="&amp;$A86,Despesas!$L:$L,"&gt;="&amp;$A86,Despesas!$C:$C,D$1,Despesas!$M:$M,"Mensal")+SUMIFS(Despesas!$F:$F,Despesas!$J:$J,"&lt;="&amp;$A86,Despesas!$L:$L,"&gt;="&amp;$A86,Despesas!$C:$C,D$1,Despesas!$M:$M,$B86)</f>
        <v>23000</v>
      </c>
      <c r="E86" s="18">
        <f>SUMIFS(Despesas!$F:$F,Despesas!$J:$J,"&lt;="&amp;$A86,Despesas!$L:$L,"&gt;="&amp;$A86,Despesas!$C:$C,E$1,Despesas!$M:$M,"Mensal")+SUMIFS(Despesas!$F:$F,Despesas!$J:$J,"&lt;="&amp;$A86,Despesas!$L:$L,"&gt;="&amp;$A86,Despesas!$C:$C,E$1,Despesas!$M:$M,$B86)</f>
        <v>18000</v>
      </c>
      <c r="F86" s="5">
        <f>SUMIFS(Despesas!$F:$F,Despesas!$J:$J,"&lt;="&amp;$A86,Despesas!$L:$L,"&gt;="&amp;$A86,Despesas!$C:$C,F$1,Despesas!$M:$M,"Mensal")+SUMIFS(Despesas!$F:$F,Despesas!$J:$J,"&lt;="&amp;$A86,Despesas!$L:$L,"&gt;="&amp;$A86,Despesas!$C:$C,F$1,Despesas!$M:$M,$B86)</f>
        <v>13000</v>
      </c>
      <c r="G86" s="5">
        <f>SUMIFS(Despesas!$F:$F,Despesas!$J:$J,"&lt;="&amp;$A86,Despesas!$L:$L,"&gt;="&amp;$A86,Despesas!$C:$C,G$1,Despesas!$M:$M,"Mensal")+SUMIFS(Despesas!$F:$F,Despesas!$J:$J,"&lt;="&amp;$A86,Despesas!$L:$L,"&gt;="&amp;$A86,Despesas!$C:$C,G$1,Despesas!$M:$M,$B86)</f>
        <v>0</v>
      </c>
      <c r="H86" s="18">
        <f ca="1">SUMIFS(Despesas!$F:$F,Despesas!$J:$J,"&lt;="&amp;$A86,Despesas!$L:$L,"&gt;="&amp;$A86,Despesas!$C:$C,H$1,Despesas!$M:$M,"Mensal")+SUMIFS(Despesas!$F:$F,Despesas!$J:$J,"&lt;="&amp;$A86,Despesas!$L:$L,"&gt;="&amp;$A86,Despesas!$C:$C,H$1,Despesas!$M:$M,$B86)</f>
        <v>2686.355</v>
      </c>
      <c r="I86" s="18">
        <f>IF(Imóveis!$F$2="PRICE",IF(AND(Dados!$A86&gt;=Imóveis!$Q$2,Dados!$A86&lt;=Imóveis!$T$2),Imóveis!$U$2,0),IF((IF(AND(Dados!$A86&gt;=Imóveis!$Q$2,Dados!$A86&lt;=Imóveis!$T$2),Imóveis!$S$2-(DATEDIF(Imóveis!$Q$2,Dados!$A86,"m")),0))=0,0,((Imóveis!$N$2/Imóveis!$S$2)+((Imóveis!$N$2-((Imóveis!$S$2-(IF(AND(Dados!$A86&gt;=Imóveis!$Q$2,Dados!$A86&lt;=Imóveis!$T$2),Imóveis!$S$2-(DATEDIF(Imóveis!$Q$2,Dados!$A86,"m")),)))*(Imóveis!$N$2/Imóveis!$S$2)))*Imóveis!$P$2))))*IF(AND(Imóveis!$E$2&gt;0,Dados!$A86&gt;Imóveis!$E$2),0,1)</f>
        <v>13731.802631359256</v>
      </c>
      <c r="J86" s="18">
        <f ca="1">IF(Imóveis!$F$3="PRICE",IF(AND(Dados!$A86&gt;=Imóveis!$Q$3,Dados!$A86&lt;=Imóveis!$T$3),Imóveis!$U$3,0),IF((IF(AND(Dados!$A86&gt;=Imóveis!$Q$3,Dados!$A86&lt;=Imóveis!$T$3),Imóveis!$S$3-(DATEDIF(Imóveis!$Q$3,Dados!$A86,"m")),0))=0,0,((Imóveis!$N$3/Imóveis!$S$3)+((Imóveis!$N$3-((Imóveis!$S$3-(IF(AND(Dados!$A86&gt;=Imóveis!$Q$3,Dados!$A86&lt;=Imóveis!$T$3),Imóveis!$S$3-(DATEDIF(Imóveis!$Q$3,Dados!$A86,"m")),)))*(Imóveis!$N$3/Imóveis!$S$3)))*Imóveis!$P$3))))*IF(AND(Imóveis!$E$3&gt;0,Dados!$A86&gt;Imóveis!$E$3),0,1)</f>
        <v>9314.6986248807771</v>
      </c>
      <c r="K86" s="18">
        <f>IF(Imóveis!$F$4="PRICE",IF(AND(Dados!$A86&gt;=Imóveis!$Q$4,Dados!$A86&lt;=Imóveis!$T$4),Imóveis!$U$4,0),IF((IF(AND(Dados!$A86&gt;=Imóveis!$Q$4,Dados!$A86&lt;=Imóveis!$T$4),Imóveis!$S$4-(DATEDIF(Imóveis!$Q$4,Dados!$A86,"m")),0))=0,0,((Imóveis!$N$4/Imóveis!$S$4)+((Imóveis!$N$4-((Imóveis!$S$4-(IF(AND(Dados!$A86&gt;=Imóveis!$Q$4,Dados!$A86&lt;=Imóveis!$T$4),Imóveis!$S$4-(DATEDIF(Imóveis!$Q$4,Dados!$A86,"m")),)))*(Imóveis!$N$4/Imóveis!$S$4)))*Imóveis!$P$4))))*IF(AND(Imóveis!$E$4&gt;0,Dados!$A86&gt;Imóveis!$E$4),0,1)</f>
        <v>4643.949359272583</v>
      </c>
      <c r="L86" s="18">
        <f>IF(Imóveis!$F$5="PRICE",IF(AND(Dados!$A86&gt;=Imóveis!$Q$5,Dados!$A86&lt;=Imóveis!$T$5),Imóveis!$U$5,0),IF((IF(AND(Dados!$A86&gt;=Imóveis!$Q$5,Dados!$A86&lt;=Imóveis!$T$5),Imóveis!$S$5-(DATEDIF(Imóveis!$Q$5,Dados!$A86,"m")),0))=0,0,((Imóveis!$N$5/Imóveis!$S$5)+((Imóveis!$N$5-((Imóveis!$S$5-(IF(AND(Dados!$A86 &gt;=Imóveis!$Q$5,Dados!$A86&lt;=Imóveis!$T$5),Imóveis!$S$5-(DATEDIF(Imóveis!$Q$5,Dados!$A86,"m")),)))*(Imóveis!$N$5/Imóveis!$S$5)))*Imóveis!$P$5))))*IF(AND(Imóveis!$E$5&gt;0,Dados!$A86&gt;Imóveis!$E$5),0,1)*Imóveis!$I$5</f>
        <v>0</v>
      </c>
      <c r="M86" s="18">
        <f>IF(Imóveis!$F$6="PRICE",IF(AND(Dados!$A86&gt;=Imóveis!$Q$6,Dados!$A86&lt;=Imóveis!$T$6),Imóveis!$U$6,0),IF((IF(AND(Dados!$A86&gt;=Imóveis!$Q$6,Dados!$A86&lt;=Imóveis!$T$6),Imóveis!$S$6-(DATEDIF(Imóveis!$Q$6,Dados!$A86,"m")),0))=0,0,((Imóveis!$N$6/Imóveis!$S$6)+((Imóveis!$N$6-((Imóveis!$S$6-(IF(AND(Dados!$A86&gt;=Imóveis!$Q$6,Dados!$A86&lt;=Imóveis!$T$6),Imóveis!$S$6-(DATEDIF(Imóveis!$Q$6,Dados!$A86,"m")),)))*(Imóveis!$N$6/Imóveis!$S$6)))*Imóveis!$P$6))))*IF(AND(Imóveis!$E$6&gt;0,Dados!$A86&gt;Imóveis!$E$6),0,1)*Imóveis!$I$6</f>
        <v>0</v>
      </c>
      <c r="N86" s="18">
        <f t="shared" ca="1" si="12"/>
        <v>84376.805615512625</v>
      </c>
      <c r="O86" s="18">
        <f>SUMIFS(Receitas!$F:$F,Receitas!$J:$J,"&lt;="&amp;$A86,Receitas!$L:$L,"&gt;="&amp;$A86,Receitas!$C:$C,O$1,Receitas!$M:$M,"Mensal")+SUMIFS(Receitas!$F:$F,Receitas!$J:$J,"&lt;="&amp;$A86,Receitas!$L:$L,"&gt;="&amp;$A86,Receitas!$C:$C,O$1,Receitas!$M:$M,$B86)</f>
        <v>50000</v>
      </c>
      <c r="P86" s="18">
        <f>SUMIFS(Receitas!$F:$F,Receitas!$J:$J,"&lt;="&amp;$A86,Receitas!$L:$L,"&gt;="&amp;$A86,Receitas!$C:$C,P$1,Receitas!$M:$M,"Mensal")+SUMIFS(Receitas!$F:$F,Receitas!$J:$J,"&lt;="&amp;$A86,Receitas!$L:$L,"&gt;="&amp;$A86,Receitas!$C:$C,P$1,Receitas!$M:$M,$B86)</f>
        <v>20000</v>
      </c>
      <c r="Q86" s="18">
        <f ca="1">SUMIFS(Receitas!$F:$F,Receitas!$J:$J,"&lt;="&amp;$A86,Receitas!$L:$L,"&gt;="&amp;$A86,Receitas!$C:$C,Q$1,Receitas!$M:$M,"Mensal")+SUMIFS(Receitas!$F:$F,Receitas!$J:$J,"&lt;="&amp;$A86,Receitas!$L:$L,"&gt;="&amp;$A86,Receitas!$C:$C,Q$1,Receitas!$M:$M,$B86)</f>
        <v>15101.400000000001</v>
      </c>
      <c r="R86" s="18" cm="1">
        <f t="array" ref="R86">(IF(AND(Membros!$F$2="Sim",A86&lt;=MAX(Membros!$E$2:$E$5)),Membros!K$2,IF(AND(A86&gt;=Membros!J$2,A86&lt;=MAX(Membros!$E$2:$E$5)),Membros!K$2,0))+IF(AND(Membros!$F$3="Sim",A86&lt;=MAX(Membros!$E$2:$E$5)),Membros!K$3,IF(AND(A86&gt;=Membros!J$3,A86&lt;=MAX(Membros!$E$2:$E$5)),Membros!K$3,0)))*IF(AND(COUNTIFS(Tabela3[Tipo],"Provedor",Tabela3[Simulação Seguro],"Sim")=2,A86&gt;=MAX(IF(Tabela3[Tipo]="Dependente",Tabela3[Expectativa de Vida (Data)]))),0,1)</f>
        <v>0</v>
      </c>
      <c r="S86" s="18">
        <f t="shared" ca="1" si="13"/>
        <v>85101.4</v>
      </c>
      <c r="U86" s="18">
        <f t="shared" ca="1" si="16"/>
        <v>5401982.2055305121</v>
      </c>
      <c r="V86" s="18">
        <f>SUMIF(Imóveis!E:E,Dados!A:A,Imóveis!Z:Z)-SUMIF(Imóveis!E:E,Dados!A:A,Imóveis!Y:Y)</f>
        <v>0</v>
      </c>
      <c r="W86" s="18">
        <f>-SUMIF(Projetos!N:N,A86,Projetos!F:F)</f>
        <v>-100000</v>
      </c>
      <c r="X86" s="18">
        <f t="shared" ca="1" si="10"/>
        <v>724.5943844873691</v>
      </c>
      <c r="Y86" s="26">
        <f ca="1">(U86*((Indicadores_Economicos!D$2+1)^(1/12)-1))</f>
        <v>17684.684048975869</v>
      </c>
      <c r="Z86" s="18">
        <f t="shared" ca="1" si="14"/>
        <v>5320391.4839639757</v>
      </c>
      <c r="AA86" s="18">
        <f ca="1">Auxiliar_Projetos!E86</f>
        <v>157482.12235552038</v>
      </c>
      <c r="AB86" s="18">
        <f ca="1">Auxiliar_Projetos!K86</f>
        <v>379144.61794181092</v>
      </c>
      <c r="AC86" s="18">
        <f ca="1">IF(Z86-AA86-AB86&gt;Investimentos!$C$14,Investimentos!$C$14,IF(Z86-AA86-AB86&lt;Investimentos!$C$14,Z86-AA86-AB86,0))</f>
        <v>300000</v>
      </c>
      <c r="AD86" s="18">
        <f t="shared" ca="1" si="15"/>
        <v>4483764.7436666442</v>
      </c>
      <c r="AE86" s="18"/>
    </row>
    <row r="87" spans="1:31" x14ac:dyDescent="0.2">
      <c r="A87" s="4">
        <v>48245</v>
      </c>
      <c r="B87" s="5" t="str">
        <f t="shared" si="11"/>
        <v>fevereiro</v>
      </c>
      <c r="C87" s="5" t="str">
        <f t="shared" si="17"/>
        <v>2032</v>
      </c>
      <c r="D87" s="5">
        <f>SUMIFS(Despesas!$F:$F,Despesas!$J:$J,"&lt;="&amp;$A87,Despesas!$L:$L,"&gt;="&amp;$A87,Despesas!$C:$C,D$1,Despesas!$M:$M,"Mensal")+SUMIFS(Despesas!$F:$F,Despesas!$J:$J,"&lt;="&amp;$A87,Despesas!$L:$L,"&gt;="&amp;$A87,Despesas!$C:$C,D$1,Despesas!$M:$M,$B87)</f>
        <v>23000</v>
      </c>
      <c r="E87" s="18">
        <f>SUMIFS(Despesas!$F:$F,Despesas!$J:$J,"&lt;="&amp;$A87,Despesas!$L:$L,"&gt;="&amp;$A87,Despesas!$C:$C,E$1,Despesas!$M:$M,"Mensal")+SUMIFS(Despesas!$F:$F,Despesas!$J:$J,"&lt;="&amp;$A87,Despesas!$L:$L,"&gt;="&amp;$A87,Despesas!$C:$C,E$1,Despesas!$M:$M,$B87)</f>
        <v>18000</v>
      </c>
      <c r="F87" s="5">
        <f>SUMIFS(Despesas!$F:$F,Despesas!$J:$J,"&lt;="&amp;$A87,Despesas!$L:$L,"&gt;="&amp;$A87,Despesas!$C:$C,F$1,Despesas!$M:$M,"Mensal")+SUMIFS(Despesas!$F:$F,Despesas!$J:$J,"&lt;="&amp;$A87,Despesas!$L:$L,"&gt;="&amp;$A87,Despesas!$C:$C,F$1,Despesas!$M:$M,$B87)</f>
        <v>13000</v>
      </c>
      <c r="G87" s="5">
        <f>SUMIFS(Despesas!$F:$F,Despesas!$J:$J,"&lt;="&amp;$A87,Despesas!$L:$L,"&gt;="&amp;$A87,Despesas!$C:$C,G$1,Despesas!$M:$M,"Mensal")+SUMIFS(Despesas!$F:$F,Despesas!$J:$J,"&lt;="&amp;$A87,Despesas!$L:$L,"&gt;="&amp;$A87,Despesas!$C:$C,G$1,Despesas!$M:$M,$B87)</f>
        <v>0</v>
      </c>
      <c r="H87" s="18">
        <f ca="1">SUMIFS(Despesas!$F:$F,Despesas!$J:$J,"&lt;="&amp;$A87,Despesas!$L:$L,"&gt;="&amp;$A87,Despesas!$C:$C,H$1,Despesas!$M:$M,"Mensal")+SUMIFS(Despesas!$F:$F,Despesas!$J:$J,"&lt;="&amp;$A87,Despesas!$L:$L,"&gt;="&amp;$A87,Despesas!$C:$C,H$1,Despesas!$M:$M,$B87)</f>
        <v>4543.9250000000002</v>
      </c>
      <c r="I87" s="18">
        <f>IF(Imóveis!$F$2="PRICE",IF(AND(Dados!$A87&gt;=Imóveis!$Q$2,Dados!$A87&lt;=Imóveis!$T$2),Imóveis!$U$2,0),IF((IF(AND(Dados!$A87&gt;=Imóveis!$Q$2,Dados!$A87&lt;=Imóveis!$T$2),Imóveis!$S$2-(DATEDIF(Imóveis!$Q$2,Dados!$A87,"m")),0))=0,0,((Imóveis!$N$2/Imóveis!$S$2)+((Imóveis!$N$2-((Imóveis!$S$2-(IF(AND(Dados!$A87&gt;=Imóveis!$Q$2,Dados!$A87&lt;=Imóveis!$T$2),Imóveis!$S$2-(DATEDIF(Imóveis!$Q$2,Dados!$A87,"m")),)))*(Imóveis!$N$2/Imóveis!$S$2)))*Imóveis!$P$2))))*IF(AND(Imóveis!$E$2&gt;0,Dados!$A87&gt;Imóveis!$E$2),0,1)</f>
        <v>13669.781539134448</v>
      </c>
      <c r="J87" s="18">
        <f ca="1">IF(Imóveis!$F$3="PRICE",IF(AND(Dados!$A87&gt;=Imóveis!$Q$3,Dados!$A87&lt;=Imóveis!$T$3),Imóveis!$U$3,0),IF((IF(AND(Dados!$A87&gt;=Imóveis!$Q$3,Dados!$A87&lt;=Imóveis!$T$3),Imóveis!$S$3-(DATEDIF(Imóveis!$Q$3,Dados!$A87,"m")),0))=0,0,((Imóveis!$N$3/Imóveis!$S$3)+((Imóveis!$N$3-((Imóveis!$S$3-(IF(AND(Dados!$A87&gt;=Imóveis!$Q$3,Dados!$A87&lt;=Imóveis!$T$3),Imóveis!$S$3-(DATEDIF(Imóveis!$Q$3,Dados!$A87,"m")),)))*(Imóveis!$N$3/Imóveis!$S$3)))*Imóveis!$P$3))))*IF(AND(Imóveis!$E$3&gt;0,Dados!$A87&gt;Imóveis!$E$3),0,1)</f>
        <v>9314.6986248807771</v>
      </c>
      <c r="K87" s="18">
        <f>IF(Imóveis!$F$4="PRICE",IF(AND(Dados!$A87&gt;=Imóveis!$Q$4,Dados!$A87&lt;=Imóveis!$T$4),Imóveis!$U$4,0),IF((IF(AND(Dados!$A87&gt;=Imóveis!$Q$4,Dados!$A87&lt;=Imóveis!$T$4),Imóveis!$S$4-(DATEDIF(Imóveis!$Q$4,Dados!$A87,"m")),0))=0,0,((Imóveis!$N$4/Imóveis!$S$4)+((Imóveis!$N$4-((Imóveis!$S$4-(IF(AND(Dados!$A87&gt;=Imóveis!$Q$4,Dados!$A87&lt;=Imóveis!$T$4),Imóveis!$S$4-(DATEDIF(Imóveis!$Q$4,Dados!$A87,"m")),)))*(Imóveis!$N$4/Imóveis!$S$4)))*Imóveis!$P$4))))*IF(AND(Imóveis!$E$4&gt;0,Dados!$A87&gt;Imóveis!$E$4),0,1)</f>
        <v>4643.949359272583</v>
      </c>
      <c r="L87" s="18">
        <f>IF(Imóveis!$F$5="PRICE",IF(AND(Dados!$A87&gt;=Imóveis!$Q$5,Dados!$A87&lt;=Imóveis!$T$5),Imóveis!$U$5,0),IF((IF(AND(Dados!$A87&gt;=Imóveis!$Q$5,Dados!$A87&lt;=Imóveis!$T$5),Imóveis!$S$5-(DATEDIF(Imóveis!$Q$5,Dados!$A87,"m")),0))=0,0,((Imóveis!$N$5/Imóveis!$S$5)+((Imóveis!$N$5-((Imóveis!$S$5-(IF(AND(Dados!$A87 &gt;=Imóveis!$Q$5,Dados!$A87&lt;=Imóveis!$T$5),Imóveis!$S$5-(DATEDIF(Imóveis!$Q$5,Dados!$A87,"m")),)))*(Imóveis!$N$5/Imóveis!$S$5)))*Imóveis!$P$5))))*IF(AND(Imóveis!$E$5&gt;0,Dados!$A87&gt;Imóveis!$E$5),0,1)*Imóveis!$I$5</f>
        <v>0</v>
      </c>
      <c r="M87" s="18">
        <f>IF(Imóveis!$F$6="PRICE",IF(AND(Dados!$A87&gt;=Imóveis!$Q$6,Dados!$A87&lt;=Imóveis!$T$6),Imóveis!$U$6,0),IF((IF(AND(Dados!$A87&gt;=Imóveis!$Q$6,Dados!$A87&lt;=Imóveis!$T$6),Imóveis!$S$6-(DATEDIF(Imóveis!$Q$6,Dados!$A87,"m")),0))=0,0,((Imóveis!$N$6/Imóveis!$S$6)+((Imóveis!$N$6-((Imóveis!$S$6-(IF(AND(Dados!$A87&gt;=Imóveis!$Q$6,Dados!$A87&lt;=Imóveis!$T$6),Imóveis!$S$6-(DATEDIF(Imóveis!$Q$6,Dados!$A87,"m")),)))*(Imóveis!$N$6/Imóveis!$S$6)))*Imóveis!$P$6))))*IF(AND(Imóveis!$E$6&gt;0,Dados!$A87&gt;Imóveis!$E$6),0,1)*Imóveis!$I$6</f>
        <v>0</v>
      </c>
      <c r="N87" s="18">
        <f t="shared" ca="1" si="12"/>
        <v>86172.35452328781</v>
      </c>
      <c r="O87" s="18">
        <f>SUMIFS(Receitas!$F:$F,Receitas!$J:$J,"&lt;="&amp;$A87,Receitas!$L:$L,"&gt;="&amp;$A87,Receitas!$C:$C,O$1,Receitas!$M:$M,"Mensal")+SUMIFS(Receitas!$F:$F,Receitas!$J:$J,"&lt;="&amp;$A87,Receitas!$L:$L,"&gt;="&amp;$A87,Receitas!$C:$C,O$1,Receitas!$M:$M,$B87)</f>
        <v>50000</v>
      </c>
      <c r="P87" s="18">
        <f>SUMIFS(Receitas!$F:$F,Receitas!$J:$J,"&lt;="&amp;$A87,Receitas!$L:$L,"&gt;="&amp;$A87,Receitas!$C:$C,P$1,Receitas!$M:$M,"Mensal")+SUMIFS(Receitas!$F:$F,Receitas!$J:$J,"&lt;="&amp;$A87,Receitas!$L:$L,"&gt;="&amp;$A87,Receitas!$C:$C,P$1,Receitas!$M:$M,$B87)</f>
        <v>20000</v>
      </c>
      <c r="Q87" s="18">
        <f ca="1">SUMIFS(Receitas!$F:$F,Receitas!$J:$J,"&lt;="&amp;$A87,Receitas!$L:$L,"&gt;="&amp;$A87,Receitas!$C:$C,Q$1,Receitas!$M:$M,"Mensal")+SUMIFS(Receitas!$F:$F,Receitas!$J:$J,"&lt;="&amp;$A87,Receitas!$L:$L,"&gt;="&amp;$A87,Receitas!$C:$C,Q$1,Receitas!$M:$M,$B87)</f>
        <v>15101.400000000001</v>
      </c>
      <c r="R87" s="18" cm="1">
        <f t="array" ref="R87">(IF(AND(Membros!$F$2="Sim",A87&lt;=MAX(Membros!$E$2:$E$5)),Membros!K$2,IF(AND(A87&gt;=Membros!J$2,A87&lt;=MAX(Membros!$E$2:$E$5)),Membros!K$2,0))+IF(AND(Membros!$F$3="Sim",A87&lt;=MAX(Membros!$E$2:$E$5)),Membros!K$3,IF(AND(A87&gt;=Membros!J$3,A87&lt;=MAX(Membros!$E$2:$E$5)),Membros!K$3,0)))*IF(AND(COUNTIFS(Tabela3[Tipo],"Provedor",Tabela3[Simulação Seguro],"Sim")=2,A87&gt;=MAX(IF(Tabela3[Tipo]="Dependente",Tabela3[Expectativa de Vida (Data)]))),0,1)</f>
        <v>0</v>
      </c>
      <c r="S87" s="18">
        <f t="shared" ca="1" si="13"/>
        <v>85101.4</v>
      </c>
      <c r="U87" s="18">
        <f t="shared" ca="1" si="16"/>
        <v>5320391.4839639757</v>
      </c>
      <c r="V87" s="18">
        <f>SUMIF(Imóveis!E:E,Dados!A:A,Imóveis!Z:Z)-SUMIF(Imóveis!E:E,Dados!A:A,Imóveis!Y:Y)</f>
        <v>0</v>
      </c>
      <c r="W87" s="18">
        <f>-SUMIF(Projetos!N:N,A87,Projetos!F:F)</f>
        <v>0</v>
      </c>
      <c r="X87" s="18">
        <f t="shared" ca="1" si="10"/>
        <v>-1070.9545232878154</v>
      </c>
      <c r="Y87" s="26">
        <f ca="1">(U87*((Indicadores_Economicos!D$2+1)^(1/12)-1))</f>
        <v>17417.577257925186</v>
      </c>
      <c r="Z87" s="18">
        <f t="shared" ca="1" si="14"/>
        <v>5336738.1066986136</v>
      </c>
      <c r="AA87" s="18">
        <f ca="1">Auxiliar_Projetos!E87</f>
        <v>157997.67784446076</v>
      </c>
      <c r="AB87" s="18">
        <f ca="1">Auxiliar_Projetos!K87</f>
        <v>380385.83876077365</v>
      </c>
      <c r="AC87" s="18">
        <f ca="1">IF(Z87-AA87-AB87&gt;Investimentos!$C$14,Investimentos!$C$14,IF(Z87-AA87-AB87&lt;Investimentos!$C$14,Z87-AA87-AB87,0))</f>
        <v>300000</v>
      </c>
      <c r="AD87" s="18">
        <f t="shared" ca="1" si="15"/>
        <v>4498354.5900933789</v>
      </c>
      <c r="AE87" s="18"/>
    </row>
    <row r="88" spans="1:31" x14ac:dyDescent="0.2">
      <c r="A88" s="4">
        <v>48274</v>
      </c>
      <c r="B88" s="5" t="str">
        <f t="shared" si="11"/>
        <v>março</v>
      </c>
      <c r="C88" s="5" t="str">
        <f t="shared" ref="C88:C151" si="18">TEXT(A88,"AAAA")</f>
        <v>2032</v>
      </c>
      <c r="D88" s="5">
        <f>SUMIFS(Despesas!$F:$F,Despesas!$J:$J,"&lt;="&amp;$A88,Despesas!$L:$L,"&gt;="&amp;$A88,Despesas!$C:$C,D$1,Despesas!$M:$M,"Mensal")+SUMIFS(Despesas!$F:$F,Despesas!$J:$J,"&lt;="&amp;$A88,Despesas!$L:$L,"&gt;="&amp;$A88,Despesas!$C:$C,D$1,Despesas!$M:$M,$B88)</f>
        <v>23000</v>
      </c>
      <c r="E88" s="18">
        <f>SUMIFS(Despesas!$F:$F,Despesas!$J:$J,"&lt;="&amp;$A88,Despesas!$L:$L,"&gt;="&amp;$A88,Despesas!$C:$C,E$1,Despesas!$M:$M,"Mensal")+SUMIFS(Despesas!$F:$F,Despesas!$J:$J,"&lt;="&amp;$A88,Despesas!$L:$L,"&gt;="&amp;$A88,Despesas!$C:$C,E$1,Despesas!$M:$M,$B88)</f>
        <v>18000</v>
      </c>
      <c r="F88" s="5">
        <f>SUMIFS(Despesas!$F:$F,Despesas!$J:$J,"&lt;="&amp;$A88,Despesas!$L:$L,"&gt;="&amp;$A88,Despesas!$C:$C,F$1,Despesas!$M:$M,"Mensal")+SUMIFS(Despesas!$F:$F,Despesas!$J:$J,"&lt;="&amp;$A88,Despesas!$L:$L,"&gt;="&amp;$A88,Despesas!$C:$C,F$1,Despesas!$M:$M,$B88)</f>
        <v>13000</v>
      </c>
      <c r="G88" s="5">
        <f>SUMIFS(Despesas!$F:$F,Despesas!$J:$J,"&lt;="&amp;$A88,Despesas!$L:$L,"&gt;="&amp;$A88,Despesas!$C:$C,G$1,Despesas!$M:$M,"Mensal")+SUMIFS(Despesas!$F:$F,Despesas!$J:$J,"&lt;="&amp;$A88,Despesas!$L:$L,"&gt;="&amp;$A88,Despesas!$C:$C,G$1,Despesas!$M:$M,$B88)</f>
        <v>0</v>
      </c>
      <c r="H88" s="18">
        <f ca="1">SUMIFS(Despesas!$F:$F,Despesas!$J:$J,"&lt;="&amp;$A88,Despesas!$L:$L,"&gt;="&amp;$A88,Despesas!$C:$C,H$1,Despesas!$M:$M,"Mensal")+SUMIFS(Despesas!$F:$F,Despesas!$J:$J,"&lt;="&amp;$A88,Despesas!$L:$L,"&gt;="&amp;$A88,Despesas!$C:$C,H$1,Despesas!$M:$M,$B88)</f>
        <v>2686.355</v>
      </c>
      <c r="I88" s="18">
        <f>IF(Imóveis!$F$2="PRICE",IF(AND(Dados!$A88&gt;=Imóveis!$Q$2,Dados!$A88&lt;=Imóveis!$T$2),Imóveis!$U$2,0),IF((IF(AND(Dados!$A88&gt;=Imóveis!$Q$2,Dados!$A88&lt;=Imóveis!$T$2),Imóveis!$S$2-(DATEDIF(Imóveis!$Q$2,Dados!$A88,"m")),0))=0,0,((Imóveis!$N$2/Imóveis!$S$2)+((Imóveis!$N$2-((Imóveis!$S$2-(IF(AND(Dados!$A88&gt;=Imóveis!$Q$2,Dados!$A88&lt;=Imóveis!$T$2),Imóveis!$S$2-(DATEDIF(Imóveis!$Q$2,Dados!$A88,"m")),)))*(Imóveis!$N$2/Imóveis!$S$2)))*Imóveis!$P$2))))*IF(AND(Imóveis!$E$2&gt;0,Dados!$A88&gt;Imóveis!$E$2),0,1)</f>
        <v>13607.76044690964</v>
      </c>
      <c r="J88" s="18">
        <f ca="1">IF(Imóveis!$F$3="PRICE",IF(AND(Dados!$A88&gt;=Imóveis!$Q$3,Dados!$A88&lt;=Imóveis!$T$3),Imóveis!$U$3,0),IF((IF(AND(Dados!$A88&gt;=Imóveis!$Q$3,Dados!$A88&lt;=Imóveis!$T$3),Imóveis!$S$3-(DATEDIF(Imóveis!$Q$3,Dados!$A88,"m")),0))=0,0,((Imóveis!$N$3/Imóveis!$S$3)+((Imóveis!$N$3-((Imóveis!$S$3-(IF(AND(Dados!$A88&gt;=Imóveis!$Q$3,Dados!$A88&lt;=Imóveis!$T$3),Imóveis!$S$3-(DATEDIF(Imóveis!$Q$3,Dados!$A88,"m")),)))*(Imóveis!$N$3/Imóveis!$S$3)))*Imóveis!$P$3))))*IF(AND(Imóveis!$E$3&gt;0,Dados!$A88&gt;Imóveis!$E$3),0,1)</f>
        <v>9314.6986248807771</v>
      </c>
      <c r="K88" s="18">
        <f>IF(Imóveis!$F$4="PRICE",IF(AND(Dados!$A88&gt;=Imóveis!$Q$4,Dados!$A88&lt;=Imóveis!$T$4),Imóveis!$U$4,0),IF((IF(AND(Dados!$A88&gt;=Imóveis!$Q$4,Dados!$A88&lt;=Imóveis!$T$4),Imóveis!$S$4-(DATEDIF(Imóveis!$Q$4,Dados!$A88,"m")),0))=0,0,((Imóveis!$N$4/Imóveis!$S$4)+((Imóveis!$N$4-((Imóveis!$S$4-(IF(AND(Dados!$A88&gt;=Imóveis!$Q$4,Dados!$A88&lt;=Imóveis!$T$4),Imóveis!$S$4-(DATEDIF(Imóveis!$Q$4,Dados!$A88,"m")),)))*(Imóveis!$N$4/Imóveis!$S$4)))*Imóveis!$P$4))))*IF(AND(Imóveis!$E$4&gt;0,Dados!$A88&gt;Imóveis!$E$4),0,1)</f>
        <v>4643.949359272583</v>
      </c>
      <c r="L88" s="18">
        <f>IF(Imóveis!$F$5="PRICE",IF(AND(Dados!$A88&gt;=Imóveis!$Q$5,Dados!$A88&lt;=Imóveis!$T$5),Imóveis!$U$5,0),IF((IF(AND(Dados!$A88&gt;=Imóveis!$Q$5,Dados!$A88&lt;=Imóveis!$T$5),Imóveis!$S$5-(DATEDIF(Imóveis!$Q$5,Dados!$A88,"m")),0))=0,0,((Imóveis!$N$5/Imóveis!$S$5)+((Imóveis!$N$5-((Imóveis!$S$5-(IF(AND(Dados!$A88 &gt;=Imóveis!$Q$5,Dados!$A88&lt;=Imóveis!$T$5),Imóveis!$S$5-(DATEDIF(Imóveis!$Q$5,Dados!$A88,"m")),)))*(Imóveis!$N$5/Imóveis!$S$5)))*Imóveis!$P$5))))*IF(AND(Imóveis!$E$5&gt;0,Dados!$A88&gt;Imóveis!$E$5),0,1)*Imóveis!$I$5</f>
        <v>0</v>
      </c>
      <c r="M88" s="18">
        <f>IF(Imóveis!$F$6="PRICE",IF(AND(Dados!$A88&gt;=Imóveis!$Q$6,Dados!$A88&lt;=Imóveis!$T$6),Imóveis!$U$6,0),IF((IF(AND(Dados!$A88&gt;=Imóveis!$Q$6,Dados!$A88&lt;=Imóveis!$T$6),Imóveis!$S$6-(DATEDIF(Imóveis!$Q$6,Dados!$A88,"m")),0))=0,0,((Imóveis!$N$6/Imóveis!$S$6)+((Imóveis!$N$6-((Imóveis!$S$6-(IF(AND(Dados!$A88&gt;=Imóveis!$Q$6,Dados!$A88&lt;=Imóveis!$T$6),Imóveis!$S$6-(DATEDIF(Imóveis!$Q$6,Dados!$A88,"m")),)))*(Imóveis!$N$6/Imóveis!$S$6)))*Imóveis!$P$6))))*IF(AND(Imóveis!$E$6&gt;0,Dados!$A88&gt;Imóveis!$E$6),0,1)*Imóveis!$I$6</f>
        <v>0</v>
      </c>
      <c r="N88" s="18">
        <f t="shared" ca="1" si="12"/>
        <v>84252.763431063009</v>
      </c>
      <c r="O88" s="18">
        <f>SUMIFS(Receitas!$F:$F,Receitas!$J:$J,"&lt;="&amp;$A88,Receitas!$L:$L,"&gt;="&amp;$A88,Receitas!$C:$C,O$1,Receitas!$M:$M,"Mensal")+SUMIFS(Receitas!$F:$F,Receitas!$J:$J,"&lt;="&amp;$A88,Receitas!$L:$L,"&gt;="&amp;$A88,Receitas!$C:$C,O$1,Receitas!$M:$M,$B88)</f>
        <v>50000</v>
      </c>
      <c r="P88" s="18">
        <f>SUMIFS(Receitas!$F:$F,Receitas!$J:$J,"&lt;="&amp;$A88,Receitas!$L:$L,"&gt;="&amp;$A88,Receitas!$C:$C,P$1,Receitas!$M:$M,"Mensal")+SUMIFS(Receitas!$F:$F,Receitas!$J:$J,"&lt;="&amp;$A88,Receitas!$L:$L,"&gt;="&amp;$A88,Receitas!$C:$C,P$1,Receitas!$M:$M,$B88)</f>
        <v>20000</v>
      </c>
      <c r="Q88" s="18">
        <f ca="1">SUMIFS(Receitas!$F:$F,Receitas!$J:$J,"&lt;="&amp;$A88,Receitas!$L:$L,"&gt;="&amp;$A88,Receitas!$C:$C,Q$1,Receitas!$M:$M,"Mensal")+SUMIFS(Receitas!$F:$F,Receitas!$J:$J,"&lt;="&amp;$A88,Receitas!$L:$L,"&gt;="&amp;$A88,Receitas!$C:$C,Q$1,Receitas!$M:$M,$B88)</f>
        <v>15101.400000000001</v>
      </c>
      <c r="R88" s="18" cm="1">
        <f t="array" ref="R88">(IF(AND(Membros!$F$2="Sim",A88&lt;=MAX(Membros!$E$2:$E$5)),Membros!K$2,IF(AND(A88&gt;=Membros!J$2,A88&lt;=MAX(Membros!$E$2:$E$5)),Membros!K$2,0))+IF(AND(Membros!$F$3="Sim",A88&lt;=MAX(Membros!$E$2:$E$5)),Membros!K$3,IF(AND(A88&gt;=Membros!J$3,A88&lt;=MAX(Membros!$E$2:$E$5)),Membros!K$3,0)))*IF(AND(COUNTIFS(Tabela3[Tipo],"Provedor",Tabela3[Simulação Seguro],"Sim")=2,A88&gt;=MAX(IF(Tabela3[Tipo]="Dependente",Tabela3[Expectativa de Vida (Data)]))),0,1)</f>
        <v>0</v>
      </c>
      <c r="S88" s="18">
        <f t="shared" ca="1" si="13"/>
        <v>85101.4</v>
      </c>
      <c r="U88" s="18">
        <f t="shared" ca="1" si="16"/>
        <v>5336738.1066986136</v>
      </c>
      <c r="V88" s="18">
        <f>SUMIF(Imóveis!E:E,Dados!A:A,Imóveis!Z:Z)-SUMIF(Imóveis!E:E,Dados!A:A,Imóveis!Y:Y)</f>
        <v>0</v>
      </c>
      <c r="W88" s="18">
        <f>-SUMIF(Projetos!N:N,A88,Projetos!F:F)</f>
        <v>0</v>
      </c>
      <c r="X88" s="18">
        <f t="shared" ca="1" si="10"/>
        <v>848.63656893698499</v>
      </c>
      <c r="Y88" s="26">
        <f ca="1">(U88*((Indicadores_Economicos!D$2+1)^(1/12)-1))</f>
        <v>17471.091847076168</v>
      </c>
      <c r="Z88" s="18">
        <f t="shared" ca="1" si="14"/>
        <v>5355057.8351146271</v>
      </c>
      <c r="AA88" s="18">
        <f ca="1">Auxiliar_Projetos!E88</f>
        <v>158514.92112791521</v>
      </c>
      <c r="AB88" s="18">
        <f ca="1">Auxiliar_Projetos!K88</f>
        <v>381631.1230137099</v>
      </c>
      <c r="AC88" s="18">
        <f ca="1">IF(Z88-AA88-AB88&gt;Investimentos!$C$14,Investimentos!$C$14,IF(Z88-AA88-AB88&lt;Investimentos!$C$14,Z88-AA88-AB88,0))</f>
        <v>300000</v>
      </c>
      <c r="AD88" s="18">
        <f t="shared" ca="1" si="15"/>
        <v>4514911.7909730021</v>
      </c>
      <c r="AE88" s="18"/>
    </row>
    <row r="89" spans="1:31" x14ac:dyDescent="0.2">
      <c r="A89" s="4">
        <v>48305</v>
      </c>
      <c r="B89" s="5" t="str">
        <f t="shared" si="11"/>
        <v>abril</v>
      </c>
      <c r="C89" s="5" t="str">
        <f t="shared" si="18"/>
        <v>2032</v>
      </c>
      <c r="D89" s="5">
        <f>SUMIFS(Despesas!$F:$F,Despesas!$J:$J,"&lt;="&amp;$A89,Despesas!$L:$L,"&gt;="&amp;$A89,Despesas!$C:$C,D$1,Despesas!$M:$M,"Mensal")+SUMIFS(Despesas!$F:$F,Despesas!$J:$J,"&lt;="&amp;$A89,Despesas!$L:$L,"&gt;="&amp;$A89,Despesas!$C:$C,D$1,Despesas!$M:$M,$B89)</f>
        <v>23000</v>
      </c>
      <c r="E89" s="18">
        <f>SUMIFS(Despesas!$F:$F,Despesas!$J:$J,"&lt;="&amp;$A89,Despesas!$L:$L,"&gt;="&amp;$A89,Despesas!$C:$C,E$1,Despesas!$M:$M,"Mensal")+SUMIFS(Despesas!$F:$F,Despesas!$J:$J,"&lt;="&amp;$A89,Despesas!$L:$L,"&gt;="&amp;$A89,Despesas!$C:$C,E$1,Despesas!$M:$M,$B89)</f>
        <v>18000</v>
      </c>
      <c r="F89" s="5">
        <f>SUMIFS(Despesas!$F:$F,Despesas!$J:$J,"&lt;="&amp;$A89,Despesas!$L:$L,"&gt;="&amp;$A89,Despesas!$C:$C,F$1,Despesas!$M:$M,"Mensal")+SUMIFS(Despesas!$F:$F,Despesas!$J:$J,"&lt;="&amp;$A89,Despesas!$L:$L,"&gt;="&amp;$A89,Despesas!$C:$C,F$1,Despesas!$M:$M,$B89)</f>
        <v>13000</v>
      </c>
      <c r="G89" s="5">
        <f>SUMIFS(Despesas!$F:$F,Despesas!$J:$J,"&lt;="&amp;$A89,Despesas!$L:$L,"&gt;="&amp;$A89,Despesas!$C:$C,G$1,Despesas!$M:$M,"Mensal")+SUMIFS(Despesas!$F:$F,Despesas!$J:$J,"&lt;="&amp;$A89,Despesas!$L:$L,"&gt;="&amp;$A89,Despesas!$C:$C,G$1,Despesas!$M:$M,$B89)</f>
        <v>0</v>
      </c>
      <c r="H89" s="18">
        <f ca="1">SUMIFS(Despesas!$F:$F,Despesas!$J:$J,"&lt;="&amp;$A89,Despesas!$L:$L,"&gt;="&amp;$A89,Despesas!$C:$C,H$1,Despesas!$M:$M,"Mensal")+SUMIFS(Despesas!$F:$F,Despesas!$J:$J,"&lt;="&amp;$A89,Despesas!$L:$L,"&gt;="&amp;$A89,Despesas!$C:$C,H$1,Despesas!$M:$M,$B89)</f>
        <v>2686.355</v>
      </c>
      <c r="I89" s="18">
        <f>IF(Imóveis!$F$2="PRICE",IF(AND(Dados!$A89&gt;=Imóveis!$Q$2,Dados!$A89&lt;=Imóveis!$T$2),Imóveis!$U$2,0),IF((IF(AND(Dados!$A89&gt;=Imóveis!$Q$2,Dados!$A89&lt;=Imóveis!$T$2),Imóveis!$S$2-(DATEDIF(Imóveis!$Q$2,Dados!$A89,"m")),0))=0,0,((Imóveis!$N$2/Imóveis!$S$2)+((Imóveis!$N$2-((Imóveis!$S$2-(IF(AND(Dados!$A89&gt;=Imóveis!$Q$2,Dados!$A89&lt;=Imóveis!$T$2),Imóveis!$S$2-(DATEDIF(Imóveis!$Q$2,Dados!$A89,"m")),)))*(Imóveis!$N$2/Imóveis!$S$2)))*Imóveis!$P$2))))*IF(AND(Imóveis!$E$2&gt;0,Dados!$A89&gt;Imóveis!$E$2),0,1)</f>
        <v>13545.739354684833</v>
      </c>
      <c r="J89" s="18">
        <f ca="1">IF(Imóveis!$F$3="PRICE",IF(AND(Dados!$A89&gt;=Imóveis!$Q$3,Dados!$A89&lt;=Imóveis!$T$3),Imóveis!$U$3,0),IF((IF(AND(Dados!$A89&gt;=Imóveis!$Q$3,Dados!$A89&lt;=Imóveis!$T$3),Imóveis!$S$3-(DATEDIF(Imóveis!$Q$3,Dados!$A89,"m")),0))=0,0,((Imóveis!$N$3/Imóveis!$S$3)+((Imóveis!$N$3-((Imóveis!$S$3-(IF(AND(Dados!$A89&gt;=Imóveis!$Q$3,Dados!$A89&lt;=Imóveis!$T$3),Imóveis!$S$3-(DATEDIF(Imóveis!$Q$3,Dados!$A89,"m")),)))*(Imóveis!$N$3/Imóveis!$S$3)))*Imóveis!$P$3))))*IF(AND(Imóveis!$E$3&gt;0,Dados!$A89&gt;Imóveis!$E$3),0,1)</f>
        <v>9314.6986248807771</v>
      </c>
      <c r="K89" s="18">
        <f>IF(Imóveis!$F$4="PRICE",IF(AND(Dados!$A89&gt;=Imóveis!$Q$4,Dados!$A89&lt;=Imóveis!$T$4),Imóveis!$U$4,0),IF((IF(AND(Dados!$A89&gt;=Imóveis!$Q$4,Dados!$A89&lt;=Imóveis!$T$4),Imóveis!$S$4-(DATEDIF(Imóveis!$Q$4,Dados!$A89,"m")),0))=0,0,((Imóveis!$N$4/Imóveis!$S$4)+((Imóveis!$N$4-((Imóveis!$S$4-(IF(AND(Dados!$A89&gt;=Imóveis!$Q$4,Dados!$A89&lt;=Imóveis!$T$4),Imóveis!$S$4-(DATEDIF(Imóveis!$Q$4,Dados!$A89,"m")),)))*(Imóveis!$N$4/Imóveis!$S$4)))*Imóveis!$P$4))))*IF(AND(Imóveis!$E$4&gt;0,Dados!$A89&gt;Imóveis!$E$4),0,1)</f>
        <v>4643.949359272583</v>
      </c>
      <c r="L89" s="18">
        <f>IF(Imóveis!$F$5="PRICE",IF(AND(Dados!$A89&gt;=Imóveis!$Q$5,Dados!$A89&lt;=Imóveis!$T$5),Imóveis!$U$5,0),IF((IF(AND(Dados!$A89&gt;=Imóveis!$Q$5,Dados!$A89&lt;=Imóveis!$T$5),Imóveis!$S$5-(DATEDIF(Imóveis!$Q$5,Dados!$A89,"m")),0))=0,0,((Imóveis!$N$5/Imóveis!$S$5)+((Imóveis!$N$5-((Imóveis!$S$5-(IF(AND(Dados!$A89 &gt;=Imóveis!$Q$5,Dados!$A89&lt;=Imóveis!$T$5),Imóveis!$S$5-(DATEDIF(Imóveis!$Q$5,Dados!$A89,"m")),)))*(Imóveis!$N$5/Imóveis!$S$5)))*Imóveis!$P$5))))*IF(AND(Imóveis!$E$5&gt;0,Dados!$A89&gt;Imóveis!$E$5),0,1)*Imóveis!$I$5</f>
        <v>0</v>
      </c>
      <c r="M89" s="18">
        <f>IF(Imóveis!$F$6="PRICE",IF(AND(Dados!$A89&gt;=Imóveis!$Q$6,Dados!$A89&lt;=Imóveis!$T$6),Imóveis!$U$6,0),IF((IF(AND(Dados!$A89&gt;=Imóveis!$Q$6,Dados!$A89&lt;=Imóveis!$T$6),Imóveis!$S$6-(DATEDIF(Imóveis!$Q$6,Dados!$A89,"m")),0))=0,0,((Imóveis!$N$6/Imóveis!$S$6)+((Imóveis!$N$6-((Imóveis!$S$6-(IF(AND(Dados!$A89&gt;=Imóveis!$Q$6,Dados!$A89&lt;=Imóveis!$T$6),Imóveis!$S$6-(DATEDIF(Imóveis!$Q$6,Dados!$A89,"m")),)))*(Imóveis!$N$6/Imóveis!$S$6)))*Imóveis!$P$6))))*IF(AND(Imóveis!$E$6&gt;0,Dados!$A89&gt;Imóveis!$E$6),0,1)*Imóveis!$I$6</f>
        <v>0</v>
      </c>
      <c r="N89" s="18">
        <f t="shared" ca="1" si="12"/>
        <v>84190.742338838201</v>
      </c>
      <c r="O89" s="18">
        <f>SUMIFS(Receitas!$F:$F,Receitas!$J:$J,"&lt;="&amp;$A89,Receitas!$L:$L,"&gt;="&amp;$A89,Receitas!$C:$C,O$1,Receitas!$M:$M,"Mensal")+SUMIFS(Receitas!$F:$F,Receitas!$J:$J,"&lt;="&amp;$A89,Receitas!$L:$L,"&gt;="&amp;$A89,Receitas!$C:$C,O$1,Receitas!$M:$M,$B89)</f>
        <v>50000</v>
      </c>
      <c r="P89" s="18">
        <f>SUMIFS(Receitas!$F:$F,Receitas!$J:$J,"&lt;="&amp;$A89,Receitas!$L:$L,"&gt;="&amp;$A89,Receitas!$C:$C,P$1,Receitas!$M:$M,"Mensal")+SUMIFS(Receitas!$F:$F,Receitas!$J:$J,"&lt;="&amp;$A89,Receitas!$L:$L,"&gt;="&amp;$A89,Receitas!$C:$C,P$1,Receitas!$M:$M,$B89)</f>
        <v>85000</v>
      </c>
      <c r="Q89" s="18">
        <f ca="1">SUMIFS(Receitas!$F:$F,Receitas!$J:$J,"&lt;="&amp;$A89,Receitas!$L:$L,"&gt;="&amp;$A89,Receitas!$C:$C,Q$1,Receitas!$M:$M,"Mensal")+SUMIFS(Receitas!$F:$F,Receitas!$J:$J,"&lt;="&amp;$A89,Receitas!$L:$L,"&gt;="&amp;$A89,Receitas!$C:$C,Q$1,Receitas!$M:$M,$B89)</f>
        <v>15101.400000000001</v>
      </c>
      <c r="R89" s="18" cm="1">
        <f t="array" ref="R89">(IF(AND(Membros!$F$2="Sim",A89&lt;=MAX(Membros!$E$2:$E$5)),Membros!K$2,IF(AND(A89&gt;=Membros!J$2,A89&lt;=MAX(Membros!$E$2:$E$5)),Membros!K$2,0))+IF(AND(Membros!$F$3="Sim",A89&lt;=MAX(Membros!$E$2:$E$5)),Membros!K$3,IF(AND(A89&gt;=Membros!J$3,A89&lt;=MAX(Membros!$E$2:$E$5)),Membros!K$3,0)))*IF(AND(COUNTIFS(Tabela3[Tipo],"Provedor",Tabela3[Simulação Seguro],"Sim")=2,A89&gt;=MAX(IF(Tabela3[Tipo]="Dependente",Tabela3[Expectativa de Vida (Data)]))),0,1)</f>
        <v>0</v>
      </c>
      <c r="S89" s="18">
        <f t="shared" ca="1" si="13"/>
        <v>150101.4</v>
      </c>
      <c r="U89" s="18">
        <f t="shared" ca="1" si="16"/>
        <v>5355057.8351146271</v>
      </c>
      <c r="V89" s="18">
        <f>SUMIF(Imóveis!E:E,Dados!A:A,Imóveis!Z:Z)-SUMIF(Imóveis!E:E,Dados!A:A,Imóveis!Y:Y)</f>
        <v>0</v>
      </c>
      <c r="W89" s="18">
        <f>-SUMIF(Projetos!N:N,A89,Projetos!F:F)</f>
        <v>0</v>
      </c>
      <c r="X89" s="18">
        <f t="shared" ca="1" si="10"/>
        <v>65910.657661161793</v>
      </c>
      <c r="Y89" s="26">
        <f ca="1">(U89*((Indicadores_Economicos!D$2+1)^(1/12)-1))</f>
        <v>17531.06587079075</v>
      </c>
      <c r="Z89" s="18">
        <f t="shared" ca="1" si="14"/>
        <v>5438499.5586465793</v>
      </c>
      <c r="AA89" s="18">
        <f ca="1">Auxiliar_Projetos!E89</f>
        <v>159033.85773128379</v>
      </c>
      <c r="AB89" s="18">
        <f ca="1">Auxiliar_Projetos!K89</f>
        <v>382880.48400324513</v>
      </c>
      <c r="AC89" s="18">
        <f ca="1">IF(Z89-AA89-AB89&gt;Investimentos!$C$14,Investimentos!$C$14,IF(Z89-AA89-AB89&lt;Investimentos!$C$14,Z89-AA89-AB89,0))</f>
        <v>300000</v>
      </c>
      <c r="AD89" s="18">
        <f t="shared" ca="1" si="15"/>
        <v>4596585.2169120507</v>
      </c>
      <c r="AE89" s="18"/>
    </row>
    <row r="90" spans="1:31" x14ac:dyDescent="0.2">
      <c r="A90" s="4">
        <v>48335</v>
      </c>
      <c r="B90" s="5" t="str">
        <f t="shared" si="11"/>
        <v>maio</v>
      </c>
      <c r="C90" s="5" t="str">
        <f t="shared" si="18"/>
        <v>2032</v>
      </c>
      <c r="D90" s="5">
        <f>SUMIFS(Despesas!$F:$F,Despesas!$J:$J,"&lt;="&amp;$A90,Despesas!$L:$L,"&gt;="&amp;$A90,Despesas!$C:$C,D$1,Despesas!$M:$M,"Mensal")+SUMIFS(Despesas!$F:$F,Despesas!$J:$J,"&lt;="&amp;$A90,Despesas!$L:$L,"&gt;="&amp;$A90,Despesas!$C:$C,D$1,Despesas!$M:$M,$B90)</f>
        <v>23000</v>
      </c>
      <c r="E90" s="18">
        <f>SUMIFS(Despesas!$F:$F,Despesas!$J:$J,"&lt;="&amp;$A90,Despesas!$L:$L,"&gt;="&amp;$A90,Despesas!$C:$C,E$1,Despesas!$M:$M,"Mensal")+SUMIFS(Despesas!$F:$F,Despesas!$J:$J,"&lt;="&amp;$A90,Despesas!$L:$L,"&gt;="&amp;$A90,Despesas!$C:$C,E$1,Despesas!$M:$M,$B90)</f>
        <v>18000</v>
      </c>
      <c r="F90" s="5">
        <f>SUMIFS(Despesas!$F:$F,Despesas!$J:$J,"&lt;="&amp;$A90,Despesas!$L:$L,"&gt;="&amp;$A90,Despesas!$C:$C,F$1,Despesas!$M:$M,"Mensal")+SUMIFS(Despesas!$F:$F,Despesas!$J:$J,"&lt;="&amp;$A90,Despesas!$L:$L,"&gt;="&amp;$A90,Despesas!$C:$C,F$1,Despesas!$M:$M,$B90)</f>
        <v>13000</v>
      </c>
      <c r="G90" s="5">
        <f>SUMIFS(Despesas!$F:$F,Despesas!$J:$J,"&lt;="&amp;$A90,Despesas!$L:$L,"&gt;="&amp;$A90,Despesas!$C:$C,G$1,Despesas!$M:$M,"Mensal")+SUMIFS(Despesas!$F:$F,Despesas!$J:$J,"&lt;="&amp;$A90,Despesas!$L:$L,"&gt;="&amp;$A90,Despesas!$C:$C,G$1,Despesas!$M:$M,$B90)</f>
        <v>0</v>
      </c>
      <c r="H90" s="18">
        <f ca="1">SUMIFS(Despesas!$F:$F,Despesas!$J:$J,"&lt;="&amp;$A90,Despesas!$L:$L,"&gt;="&amp;$A90,Despesas!$C:$C,H$1,Despesas!$M:$M,"Mensal")+SUMIFS(Despesas!$F:$F,Despesas!$J:$J,"&lt;="&amp;$A90,Despesas!$L:$L,"&gt;="&amp;$A90,Despesas!$C:$C,H$1,Despesas!$M:$M,$B90)</f>
        <v>2686.355</v>
      </c>
      <c r="I90" s="18">
        <f>IF(Imóveis!$F$2="PRICE",IF(AND(Dados!$A90&gt;=Imóveis!$Q$2,Dados!$A90&lt;=Imóveis!$T$2),Imóveis!$U$2,0),IF((IF(AND(Dados!$A90&gt;=Imóveis!$Q$2,Dados!$A90&lt;=Imóveis!$T$2),Imóveis!$S$2-(DATEDIF(Imóveis!$Q$2,Dados!$A90,"m")),0))=0,0,((Imóveis!$N$2/Imóveis!$S$2)+((Imóveis!$N$2-((Imóveis!$S$2-(IF(AND(Dados!$A90&gt;=Imóveis!$Q$2,Dados!$A90&lt;=Imóveis!$T$2),Imóveis!$S$2-(DATEDIF(Imóveis!$Q$2,Dados!$A90,"m")),)))*(Imóveis!$N$2/Imóveis!$S$2)))*Imóveis!$P$2))))*IF(AND(Imóveis!$E$2&gt;0,Dados!$A90&gt;Imóveis!$E$2),0,1)</f>
        <v>13483.718262460028</v>
      </c>
      <c r="J90" s="18">
        <f ca="1">IF(Imóveis!$F$3="PRICE",IF(AND(Dados!$A90&gt;=Imóveis!$Q$3,Dados!$A90&lt;=Imóveis!$T$3),Imóveis!$U$3,0),IF((IF(AND(Dados!$A90&gt;=Imóveis!$Q$3,Dados!$A90&lt;=Imóveis!$T$3),Imóveis!$S$3-(DATEDIF(Imóveis!$Q$3,Dados!$A90,"m")),0))=0,0,((Imóveis!$N$3/Imóveis!$S$3)+((Imóveis!$N$3-((Imóveis!$S$3-(IF(AND(Dados!$A90&gt;=Imóveis!$Q$3,Dados!$A90&lt;=Imóveis!$T$3),Imóveis!$S$3-(DATEDIF(Imóveis!$Q$3,Dados!$A90,"m")),)))*(Imóveis!$N$3/Imóveis!$S$3)))*Imóveis!$P$3))))*IF(AND(Imóveis!$E$3&gt;0,Dados!$A90&gt;Imóveis!$E$3),0,1)</f>
        <v>9314.6986248807771</v>
      </c>
      <c r="K90" s="18">
        <f>IF(Imóveis!$F$4="PRICE",IF(AND(Dados!$A90&gt;=Imóveis!$Q$4,Dados!$A90&lt;=Imóveis!$T$4),Imóveis!$U$4,0),IF((IF(AND(Dados!$A90&gt;=Imóveis!$Q$4,Dados!$A90&lt;=Imóveis!$T$4),Imóveis!$S$4-(DATEDIF(Imóveis!$Q$4,Dados!$A90,"m")),0))=0,0,((Imóveis!$N$4/Imóveis!$S$4)+((Imóveis!$N$4-((Imóveis!$S$4-(IF(AND(Dados!$A90&gt;=Imóveis!$Q$4,Dados!$A90&lt;=Imóveis!$T$4),Imóveis!$S$4-(DATEDIF(Imóveis!$Q$4,Dados!$A90,"m")),)))*(Imóveis!$N$4/Imóveis!$S$4)))*Imóveis!$P$4))))*IF(AND(Imóveis!$E$4&gt;0,Dados!$A90&gt;Imóveis!$E$4),0,1)</f>
        <v>4643.949359272583</v>
      </c>
      <c r="L90" s="18">
        <f>IF(Imóveis!$F$5="PRICE",IF(AND(Dados!$A90&gt;=Imóveis!$Q$5,Dados!$A90&lt;=Imóveis!$T$5),Imóveis!$U$5,0),IF((IF(AND(Dados!$A90&gt;=Imóveis!$Q$5,Dados!$A90&lt;=Imóveis!$T$5),Imóveis!$S$5-(DATEDIF(Imóveis!$Q$5,Dados!$A90,"m")),0))=0,0,((Imóveis!$N$5/Imóveis!$S$5)+((Imóveis!$N$5-((Imóveis!$S$5-(IF(AND(Dados!$A90 &gt;=Imóveis!$Q$5,Dados!$A90&lt;=Imóveis!$T$5),Imóveis!$S$5-(DATEDIF(Imóveis!$Q$5,Dados!$A90,"m")),)))*(Imóveis!$N$5/Imóveis!$S$5)))*Imóveis!$P$5))))*IF(AND(Imóveis!$E$5&gt;0,Dados!$A90&gt;Imóveis!$E$5),0,1)*Imóveis!$I$5</f>
        <v>0</v>
      </c>
      <c r="M90" s="18">
        <f>IF(Imóveis!$F$6="PRICE",IF(AND(Dados!$A90&gt;=Imóveis!$Q$6,Dados!$A90&lt;=Imóveis!$T$6),Imóveis!$U$6,0),IF((IF(AND(Dados!$A90&gt;=Imóveis!$Q$6,Dados!$A90&lt;=Imóveis!$T$6),Imóveis!$S$6-(DATEDIF(Imóveis!$Q$6,Dados!$A90,"m")),0))=0,0,((Imóveis!$N$6/Imóveis!$S$6)+((Imóveis!$N$6-((Imóveis!$S$6-(IF(AND(Dados!$A90&gt;=Imóveis!$Q$6,Dados!$A90&lt;=Imóveis!$T$6),Imóveis!$S$6-(DATEDIF(Imóveis!$Q$6,Dados!$A90,"m")),)))*(Imóveis!$N$6/Imóveis!$S$6)))*Imóveis!$P$6))))*IF(AND(Imóveis!$E$6&gt;0,Dados!$A90&gt;Imóveis!$E$6),0,1)*Imóveis!$I$6</f>
        <v>0</v>
      </c>
      <c r="N90" s="18">
        <f t="shared" ca="1" si="12"/>
        <v>84128.721246613393</v>
      </c>
      <c r="O90" s="18">
        <f>SUMIFS(Receitas!$F:$F,Receitas!$J:$J,"&lt;="&amp;$A90,Receitas!$L:$L,"&gt;="&amp;$A90,Receitas!$C:$C,O$1,Receitas!$M:$M,"Mensal")+SUMIFS(Receitas!$F:$F,Receitas!$J:$J,"&lt;="&amp;$A90,Receitas!$L:$L,"&gt;="&amp;$A90,Receitas!$C:$C,O$1,Receitas!$M:$M,$B90)</f>
        <v>50000</v>
      </c>
      <c r="P90" s="18">
        <f>SUMIFS(Receitas!$F:$F,Receitas!$J:$J,"&lt;="&amp;$A90,Receitas!$L:$L,"&gt;="&amp;$A90,Receitas!$C:$C,P$1,Receitas!$M:$M,"Mensal")+SUMIFS(Receitas!$F:$F,Receitas!$J:$J,"&lt;="&amp;$A90,Receitas!$L:$L,"&gt;="&amp;$A90,Receitas!$C:$C,P$1,Receitas!$M:$M,$B90)</f>
        <v>20000</v>
      </c>
      <c r="Q90" s="18">
        <f ca="1">SUMIFS(Receitas!$F:$F,Receitas!$J:$J,"&lt;="&amp;$A90,Receitas!$L:$L,"&gt;="&amp;$A90,Receitas!$C:$C,Q$1,Receitas!$M:$M,"Mensal")+SUMIFS(Receitas!$F:$F,Receitas!$J:$J,"&lt;="&amp;$A90,Receitas!$L:$L,"&gt;="&amp;$A90,Receitas!$C:$C,Q$1,Receitas!$M:$M,$B90)</f>
        <v>15101.400000000001</v>
      </c>
      <c r="R90" s="18" cm="1">
        <f t="array" ref="R90">(IF(AND(Membros!$F$2="Sim",A90&lt;=MAX(Membros!$E$2:$E$5)),Membros!K$2,IF(AND(A90&gt;=Membros!J$2,A90&lt;=MAX(Membros!$E$2:$E$5)),Membros!K$2,0))+IF(AND(Membros!$F$3="Sim",A90&lt;=MAX(Membros!$E$2:$E$5)),Membros!K$3,IF(AND(A90&gt;=Membros!J$3,A90&lt;=MAX(Membros!$E$2:$E$5)),Membros!K$3,0)))*IF(AND(COUNTIFS(Tabela3[Tipo],"Provedor",Tabela3[Simulação Seguro],"Sim")=2,A90&gt;=MAX(IF(Tabela3[Tipo]="Dependente",Tabela3[Expectativa de Vida (Data)]))),0,1)</f>
        <v>0</v>
      </c>
      <c r="S90" s="18">
        <f t="shared" ca="1" si="13"/>
        <v>85101.4</v>
      </c>
      <c r="U90" s="18">
        <f t="shared" ca="1" si="16"/>
        <v>5438499.5586465793</v>
      </c>
      <c r="V90" s="18">
        <f>SUMIF(Imóveis!E:E,Dados!A:A,Imóveis!Z:Z)-SUMIF(Imóveis!E:E,Dados!A:A,Imóveis!Y:Y)</f>
        <v>0</v>
      </c>
      <c r="W90" s="18">
        <f>-SUMIF(Projetos!N:N,A90,Projetos!F:F)</f>
        <v>0</v>
      </c>
      <c r="X90" s="18">
        <f t="shared" ca="1" si="10"/>
        <v>972.67875338660087</v>
      </c>
      <c r="Y90" s="26">
        <f ca="1">(U90*((Indicadores_Economicos!D$2+1)^(1/12)-1))</f>
        <v>17804.232360612546</v>
      </c>
      <c r="Z90" s="18">
        <f t="shared" ca="1" si="14"/>
        <v>5457276.4697605781</v>
      </c>
      <c r="AA90" s="18">
        <f ca="1">Auxiliar_Projetos!E90</f>
        <v>159554.49319805525</v>
      </c>
      <c r="AB90" s="18">
        <f ca="1">Auxiliar_Projetos!K90</f>
        <v>384133.93507555412</v>
      </c>
      <c r="AC90" s="18">
        <f ca="1">IF(Z90-AA90-AB90&gt;Investimentos!$C$14,Investimentos!$C$14,IF(Z90-AA90-AB90&lt;Investimentos!$C$14,Z90-AA90-AB90,0))</f>
        <v>300000</v>
      </c>
      <c r="AD90" s="18">
        <f t="shared" ca="1" si="15"/>
        <v>4613588.0414869692</v>
      </c>
      <c r="AE90" s="18"/>
    </row>
    <row r="91" spans="1:31" x14ac:dyDescent="0.2">
      <c r="A91" s="4">
        <v>48366</v>
      </c>
      <c r="B91" s="5" t="str">
        <f t="shared" si="11"/>
        <v>junho</v>
      </c>
      <c r="C91" s="5" t="str">
        <f t="shared" si="18"/>
        <v>2032</v>
      </c>
      <c r="D91" s="5">
        <f>SUMIFS(Despesas!$F:$F,Despesas!$J:$J,"&lt;="&amp;$A91,Despesas!$L:$L,"&gt;="&amp;$A91,Despesas!$C:$C,D$1,Despesas!$M:$M,"Mensal")+SUMIFS(Despesas!$F:$F,Despesas!$J:$J,"&lt;="&amp;$A91,Despesas!$L:$L,"&gt;="&amp;$A91,Despesas!$C:$C,D$1,Despesas!$M:$M,$B91)</f>
        <v>23000</v>
      </c>
      <c r="E91" s="18">
        <f>SUMIFS(Despesas!$F:$F,Despesas!$J:$J,"&lt;="&amp;$A91,Despesas!$L:$L,"&gt;="&amp;$A91,Despesas!$C:$C,E$1,Despesas!$M:$M,"Mensal")+SUMIFS(Despesas!$F:$F,Despesas!$J:$J,"&lt;="&amp;$A91,Despesas!$L:$L,"&gt;="&amp;$A91,Despesas!$C:$C,E$1,Despesas!$M:$M,$B91)</f>
        <v>18000</v>
      </c>
      <c r="F91" s="5">
        <f>SUMIFS(Despesas!$F:$F,Despesas!$J:$J,"&lt;="&amp;$A91,Despesas!$L:$L,"&gt;="&amp;$A91,Despesas!$C:$C,F$1,Despesas!$M:$M,"Mensal")+SUMIFS(Despesas!$F:$F,Despesas!$J:$J,"&lt;="&amp;$A91,Despesas!$L:$L,"&gt;="&amp;$A91,Despesas!$C:$C,F$1,Despesas!$M:$M,$B91)</f>
        <v>13000</v>
      </c>
      <c r="G91" s="5">
        <f>SUMIFS(Despesas!$F:$F,Despesas!$J:$J,"&lt;="&amp;$A91,Despesas!$L:$L,"&gt;="&amp;$A91,Despesas!$C:$C,G$1,Despesas!$M:$M,"Mensal")+SUMIFS(Despesas!$F:$F,Despesas!$J:$J,"&lt;="&amp;$A91,Despesas!$L:$L,"&gt;="&amp;$A91,Despesas!$C:$C,G$1,Despesas!$M:$M,$B91)</f>
        <v>0</v>
      </c>
      <c r="H91" s="18">
        <f ca="1">SUMIFS(Despesas!$F:$F,Despesas!$J:$J,"&lt;="&amp;$A91,Despesas!$L:$L,"&gt;="&amp;$A91,Despesas!$C:$C,H$1,Despesas!$M:$M,"Mensal")+SUMIFS(Despesas!$F:$F,Despesas!$J:$J,"&lt;="&amp;$A91,Despesas!$L:$L,"&gt;="&amp;$A91,Despesas!$C:$C,H$1,Despesas!$M:$M,$B91)</f>
        <v>2686.355</v>
      </c>
      <c r="I91" s="18">
        <f>IF(Imóveis!$F$2="PRICE",IF(AND(Dados!$A91&gt;=Imóveis!$Q$2,Dados!$A91&lt;=Imóveis!$T$2),Imóveis!$U$2,0),IF((IF(AND(Dados!$A91&gt;=Imóveis!$Q$2,Dados!$A91&lt;=Imóveis!$T$2),Imóveis!$S$2-(DATEDIF(Imóveis!$Q$2,Dados!$A91,"m")),0))=0,0,((Imóveis!$N$2/Imóveis!$S$2)+((Imóveis!$N$2-((Imóveis!$S$2-(IF(AND(Dados!$A91&gt;=Imóveis!$Q$2,Dados!$A91&lt;=Imóveis!$T$2),Imóveis!$S$2-(DATEDIF(Imóveis!$Q$2,Dados!$A91,"m")),)))*(Imóveis!$N$2/Imóveis!$S$2)))*Imóveis!$P$2))))*IF(AND(Imóveis!$E$2&gt;0,Dados!$A91&gt;Imóveis!$E$2),0,1)</f>
        <v>13421.69717023522</v>
      </c>
      <c r="J91" s="18">
        <f ca="1">IF(Imóveis!$F$3="PRICE",IF(AND(Dados!$A91&gt;=Imóveis!$Q$3,Dados!$A91&lt;=Imóveis!$T$3),Imóveis!$U$3,0),IF((IF(AND(Dados!$A91&gt;=Imóveis!$Q$3,Dados!$A91&lt;=Imóveis!$T$3),Imóveis!$S$3-(DATEDIF(Imóveis!$Q$3,Dados!$A91,"m")),0))=0,0,((Imóveis!$N$3/Imóveis!$S$3)+((Imóveis!$N$3-((Imóveis!$S$3-(IF(AND(Dados!$A91&gt;=Imóveis!$Q$3,Dados!$A91&lt;=Imóveis!$T$3),Imóveis!$S$3-(DATEDIF(Imóveis!$Q$3,Dados!$A91,"m")),)))*(Imóveis!$N$3/Imóveis!$S$3)))*Imóveis!$P$3))))*IF(AND(Imóveis!$E$3&gt;0,Dados!$A91&gt;Imóveis!$E$3),0,1)</f>
        <v>9314.6986248807771</v>
      </c>
      <c r="K91" s="18">
        <f>IF(Imóveis!$F$4="PRICE",IF(AND(Dados!$A91&gt;=Imóveis!$Q$4,Dados!$A91&lt;=Imóveis!$T$4),Imóveis!$U$4,0),IF((IF(AND(Dados!$A91&gt;=Imóveis!$Q$4,Dados!$A91&lt;=Imóveis!$T$4),Imóveis!$S$4-(DATEDIF(Imóveis!$Q$4,Dados!$A91,"m")),0))=0,0,((Imóveis!$N$4/Imóveis!$S$4)+((Imóveis!$N$4-((Imóveis!$S$4-(IF(AND(Dados!$A91&gt;=Imóveis!$Q$4,Dados!$A91&lt;=Imóveis!$T$4),Imóveis!$S$4-(DATEDIF(Imóveis!$Q$4,Dados!$A91,"m")),)))*(Imóveis!$N$4/Imóveis!$S$4)))*Imóveis!$P$4))))*IF(AND(Imóveis!$E$4&gt;0,Dados!$A91&gt;Imóveis!$E$4),0,1)</f>
        <v>4643.949359272583</v>
      </c>
      <c r="L91" s="18">
        <f>IF(Imóveis!$F$5="PRICE",IF(AND(Dados!$A91&gt;=Imóveis!$Q$5,Dados!$A91&lt;=Imóveis!$T$5),Imóveis!$U$5,0),IF((IF(AND(Dados!$A91&gt;=Imóveis!$Q$5,Dados!$A91&lt;=Imóveis!$T$5),Imóveis!$S$5-(DATEDIF(Imóveis!$Q$5,Dados!$A91,"m")),0))=0,0,((Imóveis!$N$5/Imóveis!$S$5)+((Imóveis!$N$5-((Imóveis!$S$5-(IF(AND(Dados!$A91 &gt;=Imóveis!$Q$5,Dados!$A91&lt;=Imóveis!$T$5),Imóveis!$S$5-(DATEDIF(Imóveis!$Q$5,Dados!$A91,"m")),)))*(Imóveis!$N$5/Imóveis!$S$5)))*Imóveis!$P$5))))*IF(AND(Imóveis!$E$5&gt;0,Dados!$A91&gt;Imóveis!$E$5),0,1)*Imóveis!$I$5</f>
        <v>0</v>
      </c>
      <c r="M91" s="18">
        <f>IF(Imóveis!$F$6="PRICE",IF(AND(Dados!$A91&gt;=Imóveis!$Q$6,Dados!$A91&lt;=Imóveis!$T$6),Imóveis!$U$6,0),IF((IF(AND(Dados!$A91&gt;=Imóveis!$Q$6,Dados!$A91&lt;=Imóveis!$T$6),Imóveis!$S$6-(DATEDIF(Imóveis!$Q$6,Dados!$A91,"m")),0))=0,0,((Imóveis!$N$6/Imóveis!$S$6)+((Imóveis!$N$6-((Imóveis!$S$6-(IF(AND(Dados!$A91&gt;=Imóveis!$Q$6,Dados!$A91&lt;=Imóveis!$T$6),Imóveis!$S$6-(DATEDIF(Imóveis!$Q$6,Dados!$A91,"m")),)))*(Imóveis!$N$6/Imóveis!$S$6)))*Imóveis!$P$6))))*IF(AND(Imóveis!$E$6&gt;0,Dados!$A91&gt;Imóveis!$E$6),0,1)*Imóveis!$I$6</f>
        <v>0</v>
      </c>
      <c r="N91" s="18">
        <f t="shared" ca="1" si="12"/>
        <v>84066.700154388585</v>
      </c>
      <c r="O91" s="18">
        <f>SUMIFS(Receitas!$F:$F,Receitas!$J:$J,"&lt;="&amp;$A91,Receitas!$L:$L,"&gt;="&amp;$A91,Receitas!$C:$C,O$1,Receitas!$M:$M,"Mensal")+SUMIFS(Receitas!$F:$F,Receitas!$J:$J,"&lt;="&amp;$A91,Receitas!$L:$L,"&gt;="&amp;$A91,Receitas!$C:$C,O$1,Receitas!$M:$M,$B91)</f>
        <v>50000</v>
      </c>
      <c r="P91" s="18">
        <f>SUMIFS(Receitas!$F:$F,Receitas!$J:$J,"&lt;="&amp;$A91,Receitas!$L:$L,"&gt;="&amp;$A91,Receitas!$C:$C,P$1,Receitas!$M:$M,"Mensal")+SUMIFS(Receitas!$F:$F,Receitas!$J:$J,"&lt;="&amp;$A91,Receitas!$L:$L,"&gt;="&amp;$A91,Receitas!$C:$C,P$1,Receitas!$M:$M,$B91)</f>
        <v>20000</v>
      </c>
      <c r="Q91" s="18">
        <f ca="1">SUMIFS(Receitas!$F:$F,Receitas!$J:$J,"&lt;="&amp;$A91,Receitas!$L:$L,"&gt;="&amp;$A91,Receitas!$C:$C,Q$1,Receitas!$M:$M,"Mensal")+SUMIFS(Receitas!$F:$F,Receitas!$J:$J,"&lt;="&amp;$A91,Receitas!$L:$L,"&gt;="&amp;$A91,Receitas!$C:$C,Q$1,Receitas!$M:$M,$B91)</f>
        <v>15101.400000000001</v>
      </c>
      <c r="R91" s="18" cm="1">
        <f t="array" ref="R91">(IF(AND(Membros!$F$2="Sim",A91&lt;=MAX(Membros!$E$2:$E$5)),Membros!K$2,IF(AND(A91&gt;=Membros!J$2,A91&lt;=MAX(Membros!$E$2:$E$5)),Membros!K$2,0))+IF(AND(Membros!$F$3="Sim",A91&lt;=MAX(Membros!$E$2:$E$5)),Membros!K$3,IF(AND(A91&gt;=Membros!J$3,A91&lt;=MAX(Membros!$E$2:$E$5)),Membros!K$3,0)))*IF(AND(COUNTIFS(Tabela3[Tipo],"Provedor",Tabela3[Simulação Seguro],"Sim")=2,A91&gt;=MAX(IF(Tabela3[Tipo]="Dependente",Tabela3[Expectativa de Vida (Data)]))),0,1)</f>
        <v>0</v>
      </c>
      <c r="S91" s="18">
        <f t="shared" ca="1" si="13"/>
        <v>85101.4</v>
      </c>
      <c r="U91" s="18">
        <f t="shared" ca="1" si="16"/>
        <v>5457276.4697605781</v>
      </c>
      <c r="V91" s="18">
        <f>SUMIF(Imóveis!E:E,Dados!A:A,Imóveis!Z:Z)-SUMIF(Imóveis!E:E,Dados!A:A,Imóveis!Y:Y)</f>
        <v>0</v>
      </c>
      <c r="W91" s="18">
        <f>-SUMIF(Projetos!N:N,A91,Projetos!F:F)</f>
        <v>0</v>
      </c>
      <c r="X91" s="18">
        <f t="shared" ca="1" si="10"/>
        <v>1034.6998456114088</v>
      </c>
      <c r="Y91" s="26">
        <f ca="1">(U91*((Indicadores_Economicos!D$2+1)^(1/12)-1))</f>
        <v>17865.703081513257</v>
      </c>
      <c r="Z91" s="18">
        <f t="shared" ca="1" si="14"/>
        <v>5476176.8726877021</v>
      </c>
      <c r="AA91" s="18">
        <f ca="1">Auxiliar_Projetos!E91</f>
        <v>160076.8330898663</v>
      </c>
      <c r="AB91" s="18">
        <f ca="1">Auxiliar_Projetos!K91</f>
        <v>385391.48962050356</v>
      </c>
      <c r="AC91" s="18">
        <f ca="1">IF(Z91-AA91-AB91&gt;Investimentos!$C$14,Investimentos!$C$14,IF(Z91-AA91-AB91&lt;Investimentos!$C$14,Z91-AA91-AB91,0))</f>
        <v>300000</v>
      </c>
      <c r="AD91" s="18">
        <f t="shared" ca="1" si="15"/>
        <v>4630708.5499773314</v>
      </c>
      <c r="AE91" s="18"/>
    </row>
    <row r="92" spans="1:31" x14ac:dyDescent="0.2">
      <c r="A92" s="4">
        <v>48396</v>
      </c>
      <c r="B92" s="5" t="str">
        <f t="shared" si="11"/>
        <v>julho</v>
      </c>
      <c r="C92" s="5" t="str">
        <f t="shared" si="18"/>
        <v>2032</v>
      </c>
      <c r="D92" s="5">
        <f>SUMIFS(Despesas!$F:$F,Despesas!$J:$J,"&lt;="&amp;$A92,Despesas!$L:$L,"&gt;="&amp;$A92,Despesas!$C:$C,D$1,Despesas!$M:$M,"Mensal")+SUMIFS(Despesas!$F:$F,Despesas!$J:$J,"&lt;="&amp;$A92,Despesas!$L:$L,"&gt;="&amp;$A92,Despesas!$C:$C,D$1,Despesas!$M:$M,$B92)</f>
        <v>23000</v>
      </c>
      <c r="E92" s="18">
        <f>SUMIFS(Despesas!$F:$F,Despesas!$J:$J,"&lt;="&amp;$A92,Despesas!$L:$L,"&gt;="&amp;$A92,Despesas!$C:$C,E$1,Despesas!$M:$M,"Mensal")+SUMIFS(Despesas!$F:$F,Despesas!$J:$J,"&lt;="&amp;$A92,Despesas!$L:$L,"&gt;="&amp;$A92,Despesas!$C:$C,E$1,Despesas!$M:$M,$B92)</f>
        <v>18000</v>
      </c>
      <c r="F92" s="5">
        <f>SUMIFS(Despesas!$F:$F,Despesas!$J:$J,"&lt;="&amp;$A92,Despesas!$L:$L,"&gt;="&amp;$A92,Despesas!$C:$C,F$1,Despesas!$M:$M,"Mensal")+SUMIFS(Despesas!$F:$F,Despesas!$J:$J,"&lt;="&amp;$A92,Despesas!$L:$L,"&gt;="&amp;$A92,Despesas!$C:$C,F$1,Despesas!$M:$M,$B92)</f>
        <v>13000</v>
      </c>
      <c r="G92" s="5">
        <f ca="1">SUMIFS(Despesas!$F:$F,Despesas!$J:$J,"&lt;="&amp;$A92,Despesas!$L:$L,"&gt;="&amp;$A92,Despesas!$C:$C,G$1,Despesas!$M:$M,"Mensal")+SUMIFS(Despesas!$F:$F,Despesas!$J:$J,"&lt;="&amp;$A92,Despesas!$L:$L,"&gt;="&amp;$A92,Despesas!$C:$C,G$1,Despesas!$M:$M,$B92)</f>
        <v>55757</v>
      </c>
      <c r="H92" s="18">
        <f ca="1">SUMIFS(Despesas!$F:$F,Despesas!$J:$J,"&lt;="&amp;$A92,Despesas!$L:$L,"&gt;="&amp;$A92,Despesas!$C:$C,H$1,Despesas!$M:$M,"Mensal")+SUMIFS(Despesas!$F:$F,Despesas!$J:$J,"&lt;="&amp;$A92,Despesas!$L:$L,"&gt;="&amp;$A92,Despesas!$C:$C,H$1,Despesas!$M:$M,$B92)</f>
        <v>2686.355</v>
      </c>
      <c r="I92" s="18">
        <f>IF(Imóveis!$F$2="PRICE",IF(AND(Dados!$A92&gt;=Imóveis!$Q$2,Dados!$A92&lt;=Imóveis!$T$2),Imóveis!$U$2,0),IF((IF(AND(Dados!$A92&gt;=Imóveis!$Q$2,Dados!$A92&lt;=Imóveis!$T$2),Imóveis!$S$2-(DATEDIF(Imóveis!$Q$2,Dados!$A92,"m")),0))=0,0,((Imóveis!$N$2/Imóveis!$S$2)+((Imóveis!$N$2-((Imóveis!$S$2-(IF(AND(Dados!$A92&gt;=Imóveis!$Q$2,Dados!$A92&lt;=Imóveis!$T$2),Imóveis!$S$2-(DATEDIF(Imóveis!$Q$2,Dados!$A92,"m")),)))*(Imóveis!$N$2/Imóveis!$S$2)))*Imóveis!$P$2))))*IF(AND(Imóveis!$E$2&gt;0,Dados!$A92&gt;Imóveis!$E$2),0,1)</f>
        <v>13359.676078010412</v>
      </c>
      <c r="J92" s="18">
        <f ca="1">IF(Imóveis!$F$3="PRICE",IF(AND(Dados!$A92&gt;=Imóveis!$Q$3,Dados!$A92&lt;=Imóveis!$T$3),Imóveis!$U$3,0),IF((IF(AND(Dados!$A92&gt;=Imóveis!$Q$3,Dados!$A92&lt;=Imóveis!$T$3),Imóveis!$S$3-(DATEDIF(Imóveis!$Q$3,Dados!$A92,"m")),0))=0,0,((Imóveis!$N$3/Imóveis!$S$3)+((Imóveis!$N$3-((Imóveis!$S$3-(IF(AND(Dados!$A92&gt;=Imóveis!$Q$3,Dados!$A92&lt;=Imóveis!$T$3),Imóveis!$S$3-(DATEDIF(Imóveis!$Q$3,Dados!$A92,"m")),)))*(Imóveis!$N$3/Imóveis!$S$3)))*Imóveis!$P$3))))*IF(AND(Imóveis!$E$3&gt;0,Dados!$A92&gt;Imóveis!$E$3),0,1)</f>
        <v>9314.6986248807771</v>
      </c>
      <c r="K92" s="18">
        <f>IF(Imóveis!$F$4="PRICE",IF(AND(Dados!$A92&gt;=Imóveis!$Q$4,Dados!$A92&lt;=Imóveis!$T$4),Imóveis!$U$4,0),IF((IF(AND(Dados!$A92&gt;=Imóveis!$Q$4,Dados!$A92&lt;=Imóveis!$T$4),Imóveis!$S$4-(DATEDIF(Imóveis!$Q$4,Dados!$A92,"m")),0))=0,0,((Imóveis!$N$4/Imóveis!$S$4)+((Imóveis!$N$4-((Imóveis!$S$4-(IF(AND(Dados!$A92&gt;=Imóveis!$Q$4,Dados!$A92&lt;=Imóveis!$T$4),Imóveis!$S$4-(DATEDIF(Imóveis!$Q$4,Dados!$A92,"m")),)))*(Imóveis!$N$4/Imóveis!$S$4)))*Imóveis!$P$4))))*IF(AND(Imóveis!$E$4&gt;0,Dados!$A92&gt;Imóveis!$E$4),0,1)</f>
        <v>4643.949359272583</v>
      </c>
      <c r="L92" s="18">
        <f>IF(Imóveis!$F$5="PRICE",IF(AND(Dados!$A92&gt;=Imóveis!$Q$5,Dados!$A92&lt;=Imóveis!$T$5),Imóveis!$U$5,0),IF((IF(AND(Dados!$A92&gt;=Imóveis!$Q$5,Dados!$A92&lt;=Imóveis!$T$5),Imóveis!$S$5-(DATEDIF(Imóveis!$Q$5,Dados!$A92,"m")),0))=0,0,((Imóveis!$N$5/Imóveis!$S$5)+((Imóveis!$N$5-((Imóveis!$S$5-(IF(AND(Dados!$A92 &gt;=Imóveis!$Q$5,Dados!$A92&lt;=Imóveis!$T$5),Imóveis!$S$5-(DATEDIF(Imóveis!$Q$5,Dados!$A92,"m")),)))*(Imóveis!$N$5/Imóveis!$S$5)))*Imóveis!$P$5))))*IF(AND(Imóveis!$E$5&gt;0,Dados!$A92&gt;Imóveis!$E$5),0,1)*Imóveis!$I$5</f>
        <v>0</v>
      </c>
      <c r="M92" s="18">
        <f>IF(Imóveis!$F$6="PRICE",IF(AND(Dados!$A92&gt;=Imóveis!$Q$6,Dados!$A92&lt;=Imóveis!$T$6),Imóveis!$U$6,0),IF((IF(AND(Dados!$A92&gt;=Imóveis!$Q$6,Dados!$A92&lt;=Imóveis!$T$6),Imóveis!$S$6-(DATEDIF(Imóveis!$Q$6,Dados!$A92,"m")),0))=0,0,((Imóveis!$N$6/Imóveis!$S$6)+((Imóveis!$N$6-((Imóveis!$S$6-(IF(AND(Dados!$A92&gt;=Imóveis!$Q$6,Dados!$A92&lt;=Imóveis!$T$6),Imóveis!$S$6-(DATEDIF(Imóveis!$Q$6,Dados!$A92,"m")),)))*(Imóveis!$N$6/Imóveis!$S$6)))*Imóveis!$P$6))))*IF(AND(Imóveis!$E$6&gt;0,Dados!$A92&gt;Imóveis!$E$6),0,1)*Imóveis!$I$6</f>
        <v>0</v>
      </c>
      <c r="N92" s="18">
        <f t="shared" ca="1" si="12"/>
        <v>139761.67906216375</v>
      </c>
      <c r="O92" s="18">
        <f>SUMIFS(Receitas!$F:$F,Receitas!$J:$J,"&lt;="&amp;$A92,Receitas!$L:$L,"&gt;="&amp;$A92,Receitas!$C:$C,O$1,Receitas!$M:$M,"Mensal")+SUMIFS(Receitas!$F:$F,Receitas!$J:$J,"&lt;="&amp;$A92,Receitas!$L:$L,"&gt;="&amp;$A92,Receitas!$C:$C,O$1,Receitas!$M:$M,$B92)</f>
        <v>50000</v>
      </c>
      <c r="P92" s="18">
        <f>SUMIFS(Receitas!$F:$F,Receitas!$J:$J,"&lt;="&amp;$A92,Receitas!$L:$L,"&gt;="&amp;$A92,Receitas!$C:$C,P$1,Receitas!$M:$M,"Mensal")+SUMIFS(Receitas!$F:$F,Receitas!$J:$J,"&lt;="&amp;$A92,Receitas!$L:$L,"&gt;="&amp;$A92,Receitas!$C:$C,P$1,Receitas!$M:$M,$B92)</f>
        <v>20000</v>
      </c>
      <c r="Q92" s="18">
        <f ca="1">SUMIFS(Receitas!$F:$F,Receitas!$J:$J,"&lt;="&amp;$A92,Receitas!$L:$L,"&gt;="&amp;$A92,Receitas!$C:$C,Q$1,Receitas!$M:$M,"Mensal")+SUMIFS(Receitas!$F:$F,Receitas!$J:$J,"&lt;="&amp;$A92,Receitas!$L:$L,"&gt;="&amp;$A92,Receitas!$C:$C,Q$1,Receitas!$M:$M,$B92)</f>
        <v>15101.400000000001</v>
      </c>
      <c r="R92" s="18" cm="1">
        <f t="array" ref="R92">(IF(AND(Membros!$F$2="Sim",A92&lt;=MAX(Membros!$E$2:$E$5)),Membros!K$2,IF(AND(A92&gt;=Membros!J$2,A92&lt;=MAX(Membros!$E$2:$E$5)),Membros!K$2,0))+IF(AND(Membros!$F$3="Sim",A92&lt;=MAX(Membros!$E$2:$E$5)),Membros!K$3,IF(AND(A92&gt;=Membros!J$3,A92&lt;=MAX(Membros!$E$2:$E$5)),Membros!K$3,0)))*IF(AND(COUNTIFS(Tabela3[Tipo],"Provedor",Tabela3[Simulação Seguro],"Sim")=2,A92&gt;=MAX(IF(Tabela3[Tipo]="Dependente",Tabela3[Expectativa de Vida (Data)]))),0,1)</f>
        <v>0</v>
      </c>
      <c r="S92" s="18">
        <f t="shared" ca="1" si="13"/>
        <v>85101.4</v>
      </c>
      <c r="U92" s="18">
        <f t="shared" ca="1" si="16"/>
        <v>5476176.8726877021</v>
      </c>
      <c r="V92" s="18">
        <f>SUMIF(Imóveis!E:E,Dados!A:A,Imóveis!Z:Z)-SUMIF(Imóveis!E:E,Dados!A:A,Imóveis!Y:Y)</f>
        <v>0</v>
      </c>
      <c r="W92" s="18">
        <f>-SUMIF(Projetos!N:N,A92,Projetos!F:F)</f>
        <v>0</v>
      </c>
      <c r="X92" s="18">
        <f t="shared" ca="1" si="10"/>
        <v>-54660.279062163754</v>
      </c>
      <c r="Y92" s="26">
        <f ca="1">(U92*((Indicadores_Economicos!D$2+1)^(1/12)-1))</f>
        <v>17927.578082475371</v>
      </c>
      <c r="Z92" s="18">
        <f t="shared" ca="1" si="14"/>
        <v>5439444.1717080139</v>
      </c>
      <c r="AA92" s="18">
        <f ca="1">Auxiliar_Projetos!E92</f>
        <v>160600.88298656102</v>
      </c>
      <c r="AB92" s="18">
        <f ca="1">Auxiliar_Projetos!K92</f>
        <v>386653.1610717951</v>
      </c>
      <c r="AC92" s="18">
        <f ca="1">IF(Z92-AA92-AB92&gt;Investimentos!$C$14,Investimentos!$C$14,IF(Z92-AA92-AB92&lt;Investimentos!$C$14,Z92-AA92-AB92,0))</f>
        <v>300000</v>
      </c>
      <c r="AD92" s="18">
        <f t="shared" ca="1" si="15"/>
        <v>4592190.1276496574</v>
      </c>
      <c r="AE92" s="18"/>
    </row>
    <row r="93" spans="1:31" x14ac:dyDescent="0.2">
      <c r="A93" s="4">
        <v>48427</v>
      </c>
      <c r="B93" s="5" t="str">
        <f t="shared" si="11"/>
        <v>agosto</v>
      </c>
      <c r="C93" s="5" t="str">
        <f t="shared" si="18"/>
        <v>2032</v>
      </c>
      <c r="D93" s="5">
        <f>SUMIFS(Despesas!$F:$F,Despesas!$J:$J,"&lt;="&amp;$A93,Despesas!$L:$L,"&gt;="&amp;$A93,Despesas!$C:$C,D$1,Despesas!$M:$M,"Mensal")+SUMIFS(Despesas!$F:$F,Despesas!$J:$J,"&lt;="&amp;$A93,Despesas!$L:$L,"&gt;="&amp;$A93,Despesas!$C:$C,D$1,Despesas!$M:$M,$B93)</f>
        <v>23000</v>
      </c>
      <c r="E93" s="18">
        <f>SUMIFS(Despesas!$F:$F,Despesas!$J:$J,"&lt;="&amp;$A93,Despesas!$L:$L,"&gt;="&amp;$A93,Despesas!$C:$C,E$1,Despesas!$M:$M,"Mensal")+SUMIFS(Despesas!$F:$F,Despesas!$J:$J,"&lt;="&amp;$A93,Despesas!$L:$L,"&gt;="&amp;$A93,Despesas!$C:$C,E$1,Despesas!$M:$M,$B93)</f>
        <v>18000</v>
      </c>
      <c r="F93" s="5">
        <f>SUMIFS(Despesas!$F:$F,Despesas!$J:$J,"&lt;="&amp;$A93,Despesas!$L:$L,"&gt;="&amp;$A93,Despesas!$C:$C,F$1,Despesas!$M:$M,"Mensal")+SUMIFS(Despesas!$F:$F,Despesas!$J:$J,"&lt;="&amp;$A93,Despesas!$L:$L,"&gt;="&amp;$A93,Despesas!$C:$C,F$1,Despesas!$M:$M,$B93)</f>
        <v>13000</v>
      </c>
      <c r="G93" s="5">
        <f>SUMIFS(Despesas!$F:$F,Despesas!$J:$J,"&lt;="&amp;$A93,Despesas!$L:$L,"&gt;="&amp;$A93,Despesas!$C:$C,G$1,Despesas!$M:$M,"Mensal")+SUMIFS(Despesas!$F:$F,Despesas!$J:$J,"&lt;="&amp;$A93,Despesas!$L:$L,"&gt;="&amp;$A93,Despesas!$C:$C,G$1,Despesas!$M:$M,$B93)</f>
        <v>0</v>
      </c>
      <c r="H93" s="18">
        <f ca="1">SUMIFS(Despesas!$F:$F,Despesas!$J:$J,"&lt;="&amp;$A93,Despesas!$L:$L,"&gt;="&amp;$A93,Despesas!$C:$C,H$1,Despesas!$M:$M,"Mensal")+SUMIFS(Despesas!$F:$F,Despesas!$J:$J,"&lt;="&amp;$A93,Despesas!$L:$L,"&gt;="&amp;$A93,Despesas!$C:$C,H$1,Despesas!$M:$M,$B93)</f>
        <v>2686.355</v>
      </c>
      <c r="I93" s="18">
        <f>IF(Imóveis!$F$2="PRICE",IF(AND(Dados!$A93&gt;=Imóveis!$Q$2,Dados!$A93&lt;=Imóveis!$T$2),Imóveis!$U$2,0),IF((IF(AND(Dados!$A93&gt;=Imóveis!$Q$2,Dados!$A93&lt;=Imóveis!$T$2),Imóveis!$S$2-(DATEDIF(Imóveis!$Q$2,Dados!$A93,"m")),0))=0,0,((Imóveis!$N$2/Imóveis!$S$2)+((Imóveis!$N$2-((Imóveis!$S$2-(IF(AND(Dados!$A93&gt;=Imóveis!$Q$2,Dados!$A93&lt;=Imóveis!$T$2),Imóveis!$S$2-(DATEDIF(Imóveis!$Q$2,Dados!$A93,"m")),)))*(Imóveis!$N$2/Imóveis!$S$2)))*Imóveis!$P$2))))*IF(AND(Imóveis!$E$2&gt;0,Dados!$A93&gt;Imóveis!$E$2),0,1)</f>
        <v>13297.654985785604</v>
      </c>
      <c r="J93" s="18">
        <f ca="1">IF(Imóveis!$F$3="PRICE",IF(AND(Dados!$A93&gt;=Imóveis!$Q$3,Dados!$A93&lt;=Imóveis!$T$3),Imóveis!$U$3,0),IF((IF(AND(Dados!$A93&gt;=Imóveis!$Q$3,Dados!$A93&lt;=Imóveis!$T$3),Imóveis!$S$3-(DATEDIF(Imóveis!$Q$3,Dados!$A93,"m")),0))=0,0,((Imóveis!$N$3/Imóveis!$S$3)+((Imóveis!$N$3-((Imóveis!$S$3-(IF(AND(Dados!$A93&gt;=Imóveis!$Q$3,Dados!$A93&lt;=Imóveis!$T$3),Imóveis!$S$3-(DATEDIF(Imóveis!$Q$3,Dados!$A93,"m")),)))*(Imóveis!$N$3/Imóveis!$S$3)))*Imóveis!$P$3))))*IF(AND(Imóveis!$E$3&gt;0,Dados!$A93&gt;Imóveis!$E$3),0,1)</f>
        <v>9314.6986248807771</v>
      </c>
      <c r="K93" s="18">
        <f>IF(Imóveis!$F$4="PRICE",IF(AND(Dados!$A93&gt;=Imóveis!$Q$4,Dados!$A93&lt;=Imóveis!$T$4),Imóveis!$U$4,0),IF((IF(AND(Dados!$A93&gt;=Imóveis!$Q$4,Dados!$A93&lt;=Imóveis!$T$4),Imóveis!$S$4-(DATEDIF(Imóveis!$Q$4,Dados!$A93,"m")),0))=0,0,((Imóveis!$N$4/Imóveis!$S$4)+((Imóveis!$N$4-((Imóveis!$S$4-(IF(AND(Dados!$A93&gt;=Imóveis!$Q$4,Dados!$A93&lt;=Imóveis!$T$4),Imóveis!$S$4-(DATEDIF(Imóveis!$Q$4,Dados!$A93,"m")),)))*(Imóveis!$N$4/Imóveis!$S$4)))*Imóveis!$P$4))))*IF(AND(Imóveis!$E$4&gt;0,Dados!$A93&gt;Imóveis!$E$4),0,1)</f>
        <v>4643.949359272583</v>
      </c>
      <c r="L93" s="18">
        <f>IF(Imóveis!$F$5="PRICE",IF(AND(Dados!$A93&gt;=Imóveis!$Q$5,Dados!$A93&lt;=Imóveis!$T$5),Imóveis!$U$5,0),IF((IF(AND(Dados!$A93&gt;=Imóveis!$Q$5,Dados!$A93&lt;=Imóveis!$T$5),Imóveis!$S$5-(DATEDIF(Imóveis!$Q$5,Dados!$A93,"m")),0))=0,0,((Imóveis!$N$5/Imóveis!$S$5)+((Imóveis!$N$5-((Imóveis!$S$5-(IF(AND(Dados!$A93 &gt;=Imóveis!$Q$5,Dados!$A93&lt;=Imóveis!$T$5),Imóveis!$S$5-(DATEDIF(Imóveis!$Q$5,Dados!$A93,"m")),)))*(Imóveis!$N$5/Imóveis!$S$5)))*Imóveis!$P$5))))*IF(AND(Imóveis!$E$5&gt;0,Dados!$A93&gt;Imóveis!$E$5),0,1)*Imóveis!$I$5</f>
        <v>0</v>
      </c>
      <c r="M93" s="18">
        <f>IF(Imóveis!$F$6="PRICE",IF(AND(Dados!$A93&gt;=Imóveis!$Q$6,Dados!$A93&lt;=Imóveis!$T$6),Imóveis!$U$6,0),IF((IF(AND(Dados!$A93&gt;=Imóveis!$Q$6,Dados!$A93&lt;=Imóveis!$T$6),Imóveis!$S$6-(DATEDIF(Imóveis!$Q$6,Dados!$A93,"m")),0))=0,0,((Imóveis!$N$6/Imóveis!$S$6)+((Imóveis!$N$6-((Imóveis!$S$6-(IF(AND(Dados!$A93&gt;=Imóveis!$Q$6,Dados!$A93&lt;=Imóveis!$T$6),Imóveis!$S$6-(DATEDIF(Imóveis!$Q$6,Dados!$A93,"m")),)))*(Imóveis!$N$6/Imóveis!$S$6)))*Imóveis!$P$6))))*IF(AND(Imóveis!$E$6&gt;0,Dados!$A93&gt;Imóveis!$E$6),0,1)*Imóveis!$I$6</f>
        <v>0</v>
      </c>
      <c r="N93" s="18">
        <f t="shared" ca="1" si="12"/>
        <v>83942.657969938969</v>
      </c>
      <c r="O93" s="18">
        <f>SUMIFS(Receitas!$F:$F,Receitas!$J:$J,"&lt;="&amp;$A93,Receitas!$L:$L,"&gt;="&amp;$A93,Receitas!$C:$C,O$1,Receitas!$M:$M,"Mensal")+SUMIFS(Receitas!$F:$F,Receitas!$J:$J,"&lt;="&amp;$A93,Receitas!$L:$L,"&gt;="&amp;$A93,Receitas!$C:$C,O$1,Receitas!$M:$M,$B93)</f>
        <v>50000</v>
      </c>
      <c r="P93" s="18">
        <f>SUMIFS(Receitas!$F:$F,Receitas!$J:$J,"&lt;="&amp;$A93,Receitas!$L:$L,"&gt;="&amp;$A93,Receitas!$C:$C,P$1,Receitas!$M:$M,"Mensal")+SUMIFS(Receitas!$F:$F,Receitas!$J:$J,"&lt;="&amp;$A93,Receitas!$L:$L,"&gt;="&amp;$A93,Receitas!$C:$C,P$1,Receitas!$M:$M,$B93)</f>
        <v>20000</v>
      </c>
      <c r="Q93" s="18">
        <f ca="1">SUMIFS(Receitas!$F:$F,Receitas!$J:$J,"&lt;="&amp;$A93,Receitas!$L:$L,"&gt;="&amp;$A93,Receitas!$C:$C,Q$1,Receitas!$M:$M,"Mensal")+SUMIFS(Receitas!$F:$F,Receitas!$J:$J,"&lt;="&amp;$A93,Receitas!$L:$L,"&gt;="&amp;$A93,Receitas!$C:$C,Q$1,Receitas!$M:$M,$B93)</f>
        <v>15101.400000000001</v>
      </c>
      <c r="R93" s="18" cm="1">
        <f t="array" ref="R93">(IF(AND(Membros!$F$2="Sim",A93&lt;=MAX(Membros!$E$2:$E$5)),Membros!K$2,IF(AND(A93&gt;=Membros!J$2,A93&lt;=MAX(Membros!$E$2:$E$5)),Membros!K$2,0))+IF(AND(Membros!$F$3="Sim",A93&lt;=MAX(Membros!$E$2:$E$5)),Membros!K$3,IF(AND(A93&gt;=Membros!J$3,A93&lt;=MAX(Membros!$E$2:$E$5)),Membros!K$3,0)))*IF(AND(COUNTIFS(Tabela3[Tipo],"Provedor",Tabela3[Simulação Seguro],"Sim")=2,A93&gt;=MAX(IF(Tabela3[Tipo]="Dependente",Tabela3[Expectativa de Vida (Data)]))),0,1)</f>
        <v>0</v>
      </c>
      <c r="S93" s="18">
        <f t="shared" ca="1" si="13"/>
        <v>85101.4</v>
      </c>
      <c r="U93" s="18">
        <f t="shared" ca="1" si="16"/>
        <v>5439444.1717080139</v>
      </c>
      <c r="V93" s="18">
        <f>SUMIF(Imóveis!E:E,Dados!A:A,Imóveis!Z:Z)-SUMIF(Imóveis!E:E,Dados!A:A,Imóveis!Y:Y)</f>
        <v>0</v>
      </c>
      <c r="W93" s="18">
        <f>-SUMIF(Projetos!N:N,A93,Projetos!F:F)</f>
        <v>0</v>
      </c>
      <c r="X93" s="18">
        <f t="shared" ca="1" si="10"/>
        <v>1158.7420300610247</v>
      </c>
      <c r="Y93" s="26">
        <f ca="1">(U93*((Indicadores_Economicos!D$2+1)^(1/12)-1))</f>
        <v>17807.324777970549</v>
      </c>
      <c r="Z93" s="18">
        <f t="shared" ca="1" si="14"/>
        <v>5458410.2385160448</v>
      </c>
      <c r="AA93" s="18">
        <f ca="1">Auxiliar_Projetos!E93</f>
        <v>161126.6484862504</v>
      </c>
      <c r="AB93" s="18">
        <f ca="1">Auxiliar_Projetos!K93</f>
        <v>387918.96290710877</v>
      </c>
      <c r="AC93" s="18">
        <f ca="1">IF(Z93-AA93-AB93&gt;Investimentos!$C$14,Investimentos!$C$14,IF(Z93-AA93-AB93&lt;Investimentos!$C$14,Z93-AA93-AB93,0))</f>
        <v>300000</v>
      </c>
      <c r="AD93" s="18">
        <f t="shared" ca="1" si="15"/>
        <v>4609364.6271226862</v>
      </c>
      <c r="AE93" s="18"/>
    </row>
    <row r="94" spans="1:31" x14ac:dyDescent="0.2">
      <c r="A94" s="4">
        <v>48458</v>
      </c>
      <c r="B94" s="5" t="str">
        <f t="shared" si="11"/>
        <v>setembro</v>
      </c>
      <c r="C94" s="5" t="str">
        <f t="shared" si="18"/>
        <v>2032</v>
      </c>
      <c r="D94" s="5">
        <f>SUMIFS(Despesas!$F:$F,Despesas!$J:$J,"&lt;="&amp;$A94,Despesas!$L:$L,"&gt;="&amp;$A94,Despesas!$C:$C,D$1,Despesas!$M:$M,"Mensal")+SUMIFS(Despesas!$F:$F,Despesas!$J:$J,"&lt;="&amp;$A94,Despesas!$L:$L,"&gt;="&amp;$A94,Despesas!$C:$C,D$1,Despesas!$M:$M,$B94)</f>
        <v>23000</v>
      </c>
      <c r="E94" s="18">
        <f>SUMIFS(Despesas!$F:$F,Despesas!$J:$J,"&lt;="&amp;$A94,Despesas!$L:$L,"&gt;="&amp;$A94,Despesas!$C:$C,E$1,Despesas!$M:$M,"Mensal")+SUMIFS(Despesas!$F:$F,Despesas!$J:$J,"&lt;="&amp;$A94,Despesas!$L:$L,"&gt;="&amp;$A94,Despesas!$C:$C,E$1,Despesas!$M:$M,$B94)</f>
        <v>18000</v>
      </c>
      <c r="F94" s="5">
        <f>SUMIFS(Despesas!$F:$F,Despesas!$J:$J,"&lt;="&amp;$A94,Despesas!$L:$L,"&gt;="&amp;$A94,Despesas!$C:$C,F$1,Despesas!$M:$M,"Mensal")+SUMIFS(Despesas!$F:$F,Despesas!$J:$J,"&lt;="&amp;$A94,Despesas!$L:$L,"&gt;="&amp;$A94,Despesas!$C:$C,F$1,Despesas!$M:$M,$B94)</f>
        <v>13000</v>
      </c>
      <c r="G94" s="5">
        <f>SUMIFS(Despesas!$F:$F,Despesas!$J:$J,"&lt;="&amp;$A94,Despesas!$L:$L,"&gt;="&amp;$A94,Despesas!$C:$C,G$1,Despesas!$M:$M,"Mensal")+SUMIFS(Despesas!$F:$F,Despesas!$J:$J,"&lt;="&amp;$A94,Despesas!$L:$L,"&gt;="&amp;$A94,Despesas!$C:$C,G$1,Despesas!$M:$M,$B94)</f>
        <v>0</v>
      </c>
      <c r="H94" s="18">
        <f ca="1">SUMIFS(Despesas!$F:$F,Despesas!$J:$J,"&lt;="&amp;$A94,Despesas!$L:$L,"&gt;="&amp;$A94,Despesas!$C:$C,H$1,Despesas!$M:$M,"Mensal")+SUMIFS(Despesas!$F:$F,Despesas!$J:$J,"&lt;="&amp;$A94,Despesas!$L:$L,"&gt;="&amp;$A94,Despesas!$C:$C,H$1,Despesas!$M:$M,$B94)</f>
        <v>2686.355</v>
      </c>
      <c r="I94" s="18">
        <f>IF(Imóveis!$F$2="PRICE",IF(AND(Dados!$A94&gt;=Imóveis!$Q$2,Dados!$A94&lt;=Imóveis!$T$2),Imóveis!$U$2,0),IF((IF(AND(Dados!$A94&gt;=Imóveis!$Q$2,Dados!$A94&lt;=Imóveis!$T$2),Imóveis!$S$2-(DATEDIF(Imóveis!$Q$2,Dados!$A94,"m")),0))=0,0,((Imóveis!$N$2/Imóveis!$S$2)+((Imóveis!$N$2-((Imóveis!$S$2-(IF(AND(Dados!$A94&gt;=Imóveis!$Q$2,Dados!$A94&lt;=Imóveis!$T$2),Imóveis!$S$2-(DATEDIF(Imóveis!$Q$2,Dados!$A94,"m")),)))*(Imóveis!$N$2/Imóveis!$S$2)))*Imóveis!$P$2))))*IF(AND(Imóveis!$E$2&gt;0,Dados!$A94&gt;Imóveis!$E$2),0,1)</f>
        <v>13235.633893560798</v>
      </c>
      <c r="J94" s="18">
        <f ca="1">IF(Imóveis!$F$3="PRICE",IF(AND(Dados!$A94&gt;=Imóveis!$Q$3,Dados!$A94&lt;=Imóveis!$T$3),Imóveis!$U$3,0),IF((IF(AND(Dados!$A94&gt;=Imóveis!$Q$3,Dados!$A94&lt;=Imóveis!$T$3),Imóveis!$S$3-(DATEDIF(Imóveis!$Q$3,Dados!$A94,"m")),0))=0,0,((Imóveis!$N$3/Imóveis!$S$3)+((Imóveis!$N$3-((Imóveis!$S$3-(IF(AND(Dados!$A94&gt;=Imóveis!$Q$3,Dados!$A94&lt;=Imóveis!$T$3),Imóveis!$S$3-(DATEDIF(Imóveis!$Q$3,Dados!$A94,"m")),)))*(Imóveis!$N$3/Imóveis!$S$3)))*Imóveis!$P$3))))*IF(AND(Imóveis!$E$3&gt;0,Dados!$A94&gt;Imóveis!$E$3),0,1)</f>
        <v>9314.6986248807771</v>
      </c>
      <c r="K94" s="18">
        <f>IF(Imóveis!$F$4="PRICE",IF(AND(Dados!$A94&gt;=Imóveis!$Q$4,Dados!$A94&lt;=Imóveis!$T$4),Imóveis!$U$4,0),IF((IF(AND(Dados!$A94&gt;=Imóveis!$Q$4,Dados!$A94&lt;=Imóveis!$T$4),Imóveis!$S$4-(DATEDIF(Imóveis!$Q$4,Dados!$A94,"m")),0))=0,0,((Imóveis!$N$4/Imóveis!$S$4)+((Imóveis!$N$4-((Imóveis!$S$4-(IF(AND(Dados!$A94&gt;=Imóveis!$Q$4,Dados!$A94&lt;=Imóveis!$T$4),Imóveis!$S$4-(DATEDIF(Imóveis!$Q$4,Dados!$A94,"m")),)))*(Imóveis!$N$4/Imóveis!$S$4)))*Imóveis!$P$4))))*IF(AND(Imóveis!$E$4&gt;0,Dados!$A94&gt;Imóveis!$E$4),0,1)</f>
        <v>4643.949359272583</v>
      </c>
      <c r="L94" s="18">
        <f>IF(Imóveis!$F$5="PRICE",IF(AND(Dados!$A94&gt;=Imóveis!$Q$5,Dados!$A94&lt;=Imóveis!$T$5),Imóveis!$U$5,0),IF((IF(AND(Dados!$A94&gt;=Imóveis!$Q$5,Dados!$A94&lt;=Imóveis!$T$5),Imóveis!$S$5-(DATEDIF(Imóveis!$Q$5,Dados!$A94,"m")),0))=0,0,((Imóveis!$N$5/Imóveis!$S$5)+((Imóveis!$N$5-((Imóveis!$S$5-(IF(AND(Dados!$A94 &gt;=Imóveis!$Q$5,Dados!$A94&lt;=Imóveis!$T$5),Imóveis!$S$5-(DATEDIF(Imóveis!$Q$5,Dados!$A94,"m")),)))*(Imóveis!$N$5/Imóveis!$S$5)))*Imóveis!$P$5))))*IF(AND(Imóveis!$E$5&gt;0,Dados!$A94&gt;Imóveis!$E$5),0,1)*Imóveis!$I$5</f>
        <v>0</v>
      </c>
      <c r="M94" s="18">
        <f>IF(Imóveis!$F$6="PRICE",IF(AND(Dados!$A94&gt;=Imóveis!$Q$6,Dados!$A94&lt;=Imóveis!$T$6),Imóveis!$U$6,0),IF((IF(AND(Dados!$A94&gt;=Imóveis!$Q$6,Dados!$A94&lt;=Imóveis!$T$6),Imóveis!$S$6-(DATEDIF(Imóveis!$Q$6,Dados!$A94,"m")),0))=0,0,((Imóveis!$N$6/Imóveis!$S$6)+((Imóveis!$N$6-((Imóveis!$S$6-(IF(AND(Dados!$A94&gt;=Imóveis!$Q$6,Dados!$A94&lt;=Imóveis!$T$6),Imóveis!$S$6-(DATEDIF(Imóveis!$Q$6,Dados!$A94,"m")),)))*(Imóveis!$N$6/Imóveis!$S$6)))*Imóveis!$P$6))))*IF(AND(Imóveis!$E$6&gt;0,Dados!$A94&gt;Imóveis!$E$6),0,1)*Imóveis!$I$6</f>
        <v>0</v>
      </c>
      <c r="N94" s="18">
        <f t="shared" ca="1" si="12"/>
        <v>83880.636877714162</v>
      </c>
      <c r="O94" s="18">
        <f>SUMIFS(Receitas!$F:$F,Receitas!$J:$J,"&lt;="&amp;$A94,Receitas!$L:$L,"&gt;="&amp;$A94,Receitas!$C:$C,O$1,Receitas!$M:$M,"Mensal")+SUMIFS(Receitas!$F:$F,Receitas!$J:$J,"&lt;="&amp;$A94,Receitas!$L:$L,"&gt;="&amp;$A94,Receitas!$C:$C,O$1,Receitas!$M:$M,$B94)</f>
        <v>50000</v>
      </c>
      <c r="P94" s="18">
        <f>SUMIFS(Receitas!$F:$F,Receitas!$J:$J,"&lt;="&amp;$A94,Receitas!$L:$L,"&gt;="&amp;$A94,Receitas!$C:$C,P$1,Receitas!$M:$M,"Mensal")+SUMIFS(Receitas!$F:$F,Receitas!$J:$J,"&lt;="&amp;$A94,Receitas!$L:$L,"&gt;="&amp;$A94,Receitas!$C:$C,P$1,Receitas!$M:$M,$B94)</f>
        <v>20000</v>
      </c>
      <c r="Q94" s="18">
        <f ca="1">SUMIFS(Receitas!$F:$F,Receitas!$J:$J,"&lt;="&amp;$A94,Receitas!$L:$L,"&gt;="&amp;$A94,Receitas!$C:$C,Q$1,Receitas!$M:$M,"Mensal")+SUMIFS(Receitas!$F:$F,Receitas!$J:$J,"&lt;="&amp;$A94,Receitas!$L:$L,"&gt;="&amp;$A94,Receitas!$C:$C,Q$1,Receitas!$M:$M,$B94)</f>
        <v>15101.400000000001</v>
      </c>
      <c r="R94" s="18" cm="1">
        <f t="array" ref="R94">(IF(AND(Membros!$F$2="Sim",A94&lt;=MAX(Membros!$E$2:$E$5)),Membros!K$2,IF(AND(A94&gt;=Membros!J$2,A94&lt;=MAX(Membros!$E$2:$E$5)),Membros!K$2,0))+IF(AND(Membros!$F$3="Sim",A94&lt;=MAX(Membros!$E$2:$E$5)),Membros!K$3,IF(AND(A94&gt;=Membros!J$3,A94&lt;=MAX(Membros!$E$2:$E$5)),Membros!K$3,0)))*IF(AND(COUNTIFS(Tabela3[Tipo],"Provedor",Tabela3[Simulação Seguro],"Sim")=2,A94&gt;=MAX(IF(Tabela3[Tipo]="Dependente",Tabela3[Expectativa de Vida (Data)]))),0,1)</f>
        <v>0</v>
      </c>
      <c r="S94" s="18">
        <f t="shared" ca="1" si="13"/>
        <v>85101.4</v>
      </c>
      <c r="U94" s="18">
        <f t="shared" ca="1" si="16"/>
        <v>5458410.2385160448</v>
      </c>
      <c r="V94" s="18">
        <f>SUMIF(Imóveis!E:E,Dados!A:A,Imóveis!Z:Z)-SUMIF(Imóveis!E:E,Dados!A:A,Imóveis!Y:Y)</f>
        <v>0</v>
      </c>
      <c r="W94" s="18">
        <f>-SUMIF(Projetos!N:N,A94,Projetos!F:F)</f>
        <v>0</v>
      </c>
      <c r="X94" s="18">
        <f t="shared" ca="1" si="10"/>
        <v>1220.7631222858327</v>
      </c>
      <c r="Y94" s="26">
        <f ca="1">(U94*((Indicadores_Economicos!D$2+1)^(1/12)-1))</f>
        <v>17869.414745391841</v>
      </c>
      <c r="Z94" s="18">
        <f t="shared" ca="1" si="14"/>
        <v>5477500.4163837228</v>
      </c>
      <c r="AA94" s="18">
        <f ca="1">Auxiliar_Projetos!E94</f>
        <v>161654.13520537221</v>
      </c>
      <c r="AB94" s="18">
        <f ca="1">Auxiliar_Projetos!K94</f>
        <v>389188.90864824713</v>
      </c>
      <c r="AC94" s="18">
        <f ca="1">IF(Z94-AA94-AB94&gt;Investimentos!$C$14,Investimentos!$C$14,IF(Z94-AA94-AB94&lt;Investimentos!$C$14,Z94-AA94-AB94,0))</f>
        <v>300000</v>
      </c>
      <c r="AD94" s="18">
        <f t="shared" ca="1" si="15"/>
        <v>4626657.3725301037</v>
      </c>
      <c r="AE94" s="18"/>
    </row>
    <row r="95" spans="1:31" x14ac:dyDescent="0.2">
      <c r="A95" s="4">
        <v>48488</v>
      </c>
      <c r="B95" s="5" t="str">
        <f t="shared" si="11"/>
        <v>outubro</v>
      </c>
      <c r="C95" s="5" t="str">
        <f t="shared" si="18"/>
        <v>2032</v>
      </c>
      <c r="D95" s="5">
        <f>SUMIFS(Despesas!$F:$F,Despesas!$J:$J,"&lt;="&amp;$A95,Despesas!$L:$L,"&gt;="&amp;$A95,Despesas!$C:$C,D$1,Despesas!$M:$M,"Mensal")+SUMIFS(Despesas!$F:$F,Despesas!$J:$J,"&lt;="&amp;$A95,Despesas!$L:$L,"&gt;="&amp;$A95,Despesas!$C:$C,D$1,Despesas!$M:$M,$B95)</f>
        <v>23000</v>
      </c>
      <c r="E95" s="18">
        <f>SUMIFS(Despesas!$F:$F,Despesas!$J:$J,"&lt;="&amp;$A95,Despesas!$L:$L,"&gt;="&amp;$A95,Despesas!$C:$C,E$1,Despesas!$M:$M,"Mensal")+SUMIFS(Despesas!$F:$F,Despesas!$J:$J,"&lt;="&amp;$A95,Despesas!$L:$L,"&gt;="&amp;$A95,Despesas!$C:$C,E$1,Despesas!$M:$M,$B95)</f>
        <v>18000</v>
      </c>
      <c r="F95" s="5">
        <f>SUMIFS(Despesas!$F:$F,Despesas!$J:$J,"&lt;="&amp;$A95,Despesas!$L:$L,"&gt;="&amp;$A95,Despesas!$C:$C,F$1,Despesas!$M:$M,"Mensal")+SUMIFS(Despesas!$F:$F,Despesas!$J:$J,"&lt;="&amp;$A95,Despesas!$L:$L,"&gt;="&amp;$A95,Despesas!$C:$C,F$1,Despesas!$M:$M,$B95)</f>
        <v>13000</v>
      </c>
      <c r="G95" s="5">
        <f>SUMIFS(Despesas!$F:$F,Despesas!$J:$J,"&lt;="&amp;$A95,Despesas!$L:$L,"&gt;="&amp;$A95,Despesas!$C:$C,G$1,Despesas!$M:$M,"Mensal")+SUMIFS(Despesas!$F:$F,Despesas!$J:$J,"&lt;="&amp;$A95,Despesas!$L:$L,"&gt;="&amp;$A95,Despesas!$C:$C,G$1,Despesas!$M:$M,$B95)</f>
        <v>0</v>
      </c>
      <c r="H95" s="18">
        <f ca="1">SUMIFS(Despesas!$F:$F,Despesas!$J:$J,"&lt;="&amp;$A95,Despesas!$L:$L,"&gt;="&amp;$A95,Despesas!$C:$C,H$1,Despesas!$M:$M,"Mensal")+SUMIFS(Despesas!$F:$F,Despesas!$J:$J,"&lt;="&amp;$A95,Despesas!$L:$L,"&gt;="&amp;$A95,Despesas!$C:$C,H$1,Despesas!$M:$M,$B95)</f>
        <v>2686.355</v>
      </c>
      <c r="I95" s="18">
        <f>IF(Imóveis!$F$2="PRICE",IF(AND(Dados!$A95&gt;=Imóveis!$Q$2,Dados!$A95&lt;=Imóveis!$T$2),Imóveis!$U$2,0),IF((IF(AND(Dados!$A95&gt;=Imóveis!$Q$2,Dados!$A95&lt;=Imóveis!$T$2),Imóveis!$S$2-(DATEDIF(Imóveis!$Q$2,Dados!$A95,"m")),0))=0,0,((Imóveis!$N$2/Imóveis!$S$2)+((Imóveis!$N$2-((Imóveis!$S$2-(IF(AND(Dados!$A95&gt;=Imóveis!$Q$2,Dados!$A95&lt;=Imóveis!$T$2),Imóveis!$S$2-(DATEDIF(Imóveis!$Q$2,Dados!$A95,"m")),)))*(Imóveis!$N$2/Imóveis!$S$2)))*Imóveis!$P$2))))*IF(AND(Imóveis!$E$2&gt;0,Dados!$A95&gt;Imóveis!$E$2),0,1)</f>
        <v>13173.612801335992</v>
      </c>
      <c r="J95" s="18">
        <f ca="1">IF(Imóveis!$F$3="PRICE",IF(AND(Dados!$A95&gt;=Imóveis!$Q$3,Dados!$A95&lt;=Imóveis!$T$3),Imóveis!$U$3,0),IF((IF(AND(Dados!$A95&gt;=Imóveis!$Q$3,Dados!$A95&lt;=Imóveis!$T$3),Imóveis!$S$3-(DATEDIF(Imóveis!$Q$3,Dados!$A95,"m")),0))=0,0,((Imóveis!$N$3/Imóveis!$S$3)+((Imóveis!$N$3-((Imóveis!$S$3-(IF(AND(Dados!$A95&gt;=Imóveis!$Q$3,Dados!$A95&lt;=Imóveis!$T$3),Imóveis!$S$3-(DATEDIF(Imóveis!$Q$3,Dados!$A95,"m")),)))*(Imóveis!$N$3/Imóveis!$S$3)))*Imóveis!$P$3))))*IF(AND(Imóveis!$E$3&gt;0,Dados!$A95&gt;Imóveis!$E$3),0,1)</f>
        <v>9314.6986248807771</v>
      </c>
      <c r="K95" s="18">
        <f>IF(Imóveis!$F$4="PRICE",IF(AND(Dados!$A95&gt;=Imóveis!$Q$4,Dados!$A95&lt;=Imóveis!$T$4),Imóveis!$U$4,0),IF((IF(AND(Dados!$A95&gt;=Imóveis!$Q$4,Dados!$A95&lt;=Imóveis!$T$4),Imóveis!$S$4-(DATEDIF(Imóveis!$Q$4,Dados!$A95,"m")),0))=0,0,((Imóveis!$N$4/Imóveis!$S$4)+((Imóveis!$N$4-((Imóveis!$S$4-(IF(AND(Dados!$A95&gt;=Imóveis!$Q$4,Dados!$A95&lt;=Imóveis!$T$4),Imóveis!$S$4-(DATEDIF(Imóveis!$Q$4,Dados!$A95,"m")),)))*(Imóveis!$N$4/Imóveis!$S$4)))*Imóveis!$P$4))))*IF(AND(Imóveis!$E$4&gt;0,Dados!$A95&gt;Imóveis!$E$4),0,1)</f>
        <v>4643.949359272583</v>
      </c>
      <c r="L95" s="18">
        <f>IF(Imóveis!$F$5="PRICE",IF(AND(Dados!$A95&gt;=Imóveis!$Q$5,Dados!$A95&lt;=Imóveis!$T$5),Imóveis!$U$5,0),IF((IF(AND(Dados!$A95&gt;=Imóveis!$Q$5,Dados!$A95&lt;=Imóveis!$T$5),Imóveis!$S$5-(DATEDIF(Imóveis!$Q$5,Dados!$A95,"m")),0))=0,0,((Imóveis!$N$5/Imóveis!$S$5)+((Imóveis!$N$5-((Imóveis!$S$5-(IF(AND(Dados!$A95 &gt;=Imóveis!$Q$5,Dados!$A95&lt;=Imóveis!$T$5),Imóveis!$S$5-(DATEDIF(Imóveis!$Q$5,Dados!$A95,"m")),)))*(Imóveis!$N$5/Imóveis!$S$5)))*Imóveis!$P$5))))*IF(AND(Imóveis!$E$5&gt;0,Dados!$A95&gt;Imóveis!$E$5),0,1)*Imóveis!$I$5</f>
        <v>0</v>
      </c>
      <c r="M95" s="18">
        <f>IF(Imóveis!$F$6="PRICE",IF(AND(Dados!$A95&gt;=Imóveis!$Q$6,Dados!$A95&lt;=Imóveis!$T$6),Imóveis!$U$6,0),IF((IF(AND(Dados!$A95&gt;=Imóveis!$Q$6,Dados!$A95&lt;=Imóveis!$T$6),Imóveis!$S$6-(DATEDIF(Imóveis!$Q$6,Dados!$A95,"m")),0))=0,0,((Imóveis!$N$6/Imóveis!$S$6)+((Imóveis!$N$6-((Imóveis!$S$6-(IF(AND(Dados!$A95&gt;=Imóveis!$Q$6,Dados!$A95&lt;=Imóveis!$T$6),Imóveis!$S$6-(DATEDIF(Imóveis!$Q$6,Dados!$A95,"m")),)))*(Imóveis!$N$6/Imóveis!$S$6)))*Imóveis!$P$6))))*IF(AND(Imóveis!$E$6&gt;0,Dados!$A95&gt;Imóveis!$E$6),0,1)*Imóveis!$I$6</f>
        <v>0</v>
      </c>
      <c r="N95" s="18">
        <f t="shared" ca="1" si="12"/>
        <v>83818.615785489354</v>
      </c>
      <c r="O95" s="18">
        <f>SUMIFS(Receitas!$F:$F,Receitas!$J:$J,"&lt;="&amp;$A95,Receitas!$L:$L,"&gt;="&amp;$A95,Receitas!$C:$C,O$1,Receitas!$M:$M,"Mensal")+SUMIFS(Receitas!$F:$F,Receitas!$J:$J,"&lt;="&amp;$A95,Receitas!$L:$L,"&gt;="&amp;$A95,Receitas!$C:$C,O$1,Receitas!$M:$M,$B95)</f>
        <v>50000</v>
      </c>
      <c r="P95" s="18">
        <f>SUMIFS(Receitas!$F:$F,Receitas!$J:$J,"&lt;="&amp;$A95,Receitas!$L:$L,"&gt;="&amp;$A95,Receitas!$C:$C,P$1,Receitas!$M:$M,"Mensal")+SUMIFS(Receitas!$F:$F,Receitas!$J:$J,"&lt;="&amp;$A95,Receitas!$L:$L,"&gt;="&amp;$A95,Receitas!$C:$C,P$1,Receitas!$M:$M,$B95)</f>
        <v>20000</v>
      </c>
      <c r="Q95" s="18">
        <f ca="1">SUMIFS(Receitas!$F:$F,Receitas!$J:$J,"&lt;="&amp;$A95,Receitas!$L:$L,"&gt;="&amp;$A95,Receitas!$C:$C,Q$1,Receitas!$M:$M,"Mensal")+SUMIFS(Receitas!$F:$F,Receitas!$J:$J,"&lt;="&amp;$A95,Receitas!$L:$L,"&gt;="&amp;$A95,Receitas!$C:$C,Q$1,Receitas!$M:$M,$B95)</f>
        <v>15101.400000000001</v>
      </c>
      <c r="R95" s="18" cm="1">
        <f t="array" ref="R95">(IF(AND(Membros!$F$2="Sim",A95&lt;=MAX(Membros!$E$2:$E$5)),Membros!K$2,IF(AND(A95&gt;=Membros!J$2,A95&lt;=MAX(Membros!$E$2:$E$5)),Membros!K$2,0))+IF(AND(Membros!$F$3="Sim",A95&lt;=MAX(Membros!$E$2:$E$5)),Membros!K$3,IF(AND(A95&gt;=Membros!J$3,A95&lt;=MAX(Membros!$E$2:$E$5)),Membros!K$3,0)))*IF(AND(COUNTIFS(Tabela3[Tipo],"Provedor",Tabela3[Simulação Seguro],"Sim")=2,A95&gt;=MAX(IF(Tabela3[Tipo]="Dependente",Tabela3[Expectativa de Vida (Data)]))),0,1)</f>
        <v>0</v>
      </c>
      <c r="S95" s="18">
        <f t="shared" ca="1" si="13"/>
        <v>85101.4</v>
      </c>
      <c r="U95" s="18">
        <f t="shared" ca="1" si="16"/>
        <v>5477500.4163837228</v>
      </c>
      <c r="V95" s="18">
        <f>SUMIF(Imóveis!E:E,Dados!A:A,Imóveis!Z:Z)-SUMIF(Imóveis!E:E,Dados!A:A,Imóveis!Y:Y)</f>
        <v>0</v>
      </c>
      <c r="W95" s="18">
        <f>-SUMIF(Projetos!N:N,A95,Projetos!F:F)</f>
        <v>0</v>
      </c>
      <c r="X95" s="18">
        <f t="shared" ca="1" si="10"/>
        <v>1282.7842145106406</v>
      </c>
      <c r="Y95" s="26">
        <f ca="1">(U95*((Indicadores_Economicos!D$2+1)^(1/12)-1))</f>
        <v>17931.91102012651</v>
      </c>
      <c r="Z95" s="18">
        <f t="shared" ca="1" si="14"/>
        <v>5496715.1116183596</v>
      </c>
      <c r="AA95" s="18">
        <f ca="1">Auxiliar_Projetos!E95</f>
        <v>162183.34877875101</v>
      </c>
      <c r="AB95" s="18">
        <f ca="1">Auxiliar_Projetos!K95</f>
        <v>390463.01186127949</v>
      </c>
      <c r="AC95" s="18">
        <f ca="1">IF(Z95-AA95-AB95&gt;Investimentos!$C$14,Investimentos!$C$14,IF(Z95-AA95-AB95&lt;Investimentos!$C$14,Z95-AA95-AB95,0))</f>
        <v>300000</v>
      </c>
      <c r="AD95" s="18">
        <f t="shared" ca="1" si="15"/>
        <v>4644068.7509783292</v>
      </c>
      <c r="AE95" s="18"/>
    </row>
    <row r="96" spans="1:31" x14ac:dyDescent="0.2">
      <c r="A96" s="4">
        <v>48519</v>
      </c>
      <c r="B96" s="5" t="str">
        <f t="shared" si="11"/>
        <v>novembro</v>
      </c>
      <c r="C96" s="5" t="str">
        <f t="shared" si="18"/>
        <v>2032</v>
      </c>
      <c r="D96" s="5">
        <f>SUMIFS(Despesas!$F:$F,Despesas!$J:$J,"&lt;="&amp;$A96,Despesas!$L:$L,"&gt;="&amp;$A96,Despesas!$C:$C,D$1,Despesas!$M:$M,"Mensal")+SUMIFS(Despesas!$F:$F,Despesas!$J:$J,"&lt;="&amp;$A96,Despesas!$L:$L,"&gt;="&amp;$A96,Despesas!$C:$C,D$1,Despesas!$M:$M,$B96)</f>
        <v>23000</v>
      </c>
      <c r="E96" s="18">
        <f>SUMIFS(Despesas!$F:$F,Despesas!$J:$J,"&lt;="&amp;$A96,Despesas!$L:$L,"&gt;="&amp;$A96,Despesas!$C:$C,E$1,Despesas!$M:$M,"Mensal")+SUMIFS(Despesas!$F:$F,Despesas!$J:$J,"&lt;="&amp;$A96,Despesas!$L:$L,"&gt;="&amp;$A96,Despesas!$C:$C,E$1,Despesas!$M:$M,$B96)</f>
        <v>18000</v>
      </c>
      <c r="F96" s="5">
        <f>SUMIFS(Despesas!$F:$F,Despesas!$J:$J,"&lt;="&amp;$A96,Despesas!$L:$L,"&gt;="&amp;$A96,Despesas!$C:$C,F$1,Despesas!$M:$M,"Mensal")+SUMIFS(Despesas!$F:$F,Despesas!$J:$J,"&lt;="&amp;$A96,Despesas!$L:$L,"&gt;="&amp;$A96,Despesas!$C:$C,F$1,Despesas!$M:$M,$B96)</f>
        <v>13000</v>
      </c>
      <c r="G96" s="5">
        <f>SUMIFS(Despesas!$F:$F,Despesas!$J:$J,"&lt;="&amp;$A96,Despesas!$L:$L,"&gt;="&amp;$A96,Despesas!$C:$C,G$1,Despesas!$M:$M,"Mensal")+SUMIFS(Despesas!$F:$F,Despesas!$J:$J,"&lt;="&amp;$A96,Despesas!$L:$L,"&gt;="&amp;$A96,Despesas!$C:$C,G$1,Despesas!$M:$M,$B96)</f>
        <v>0</v>
      </c>
      <c r="H96" s="18">
        <f ca="1">SUMIFS(Despesas!$F:$F,Despesas!$J:$J,"&lt;="&amp;$A96,Despesas!$L:$L,"&gt;="&amp;$A96,Despesas!$C:$C,H$1,Despesas!$M:$M,"Mensal")+SUMIFS(Despesas!$F:$F,Despesas!$J:$J,"&lt;="&amp;$A96,Despesas!$L:$L,"&gt;="&amp;$A96,Despesas!$C:$C,H$1,Despesas!$M:$M,$B96)</f>
        <v>2686.355</v>
      </c>
      <c r="I96" s="18">
        <f>IF(Imóveis!$F$2="PRICE",IF(AND(Dados!$A96&gt;=Imóveis!$Q$2,Dados!$A96&lt;=Imóveis!$T$2),Imóveis!$U$2,0),IF((IF(AND(Dados!$A96&gt;=Imóveis!$Q$2,Dados!$A96&lt;=Imóveis!$T$2),Imóveis!$S$2-(DATEDIF(Imóveis!$Q$2,Dados!$A96,"m")),0))=0,0,((Imóveis!$N$2/Imóveis!$S$2)+((Imóveis!$N$2-((Imóveis!$S$2-(IF(AND(Dados!$A96&gt;=Imóveis!$Q$2,Dados!$A96&lt;=Imóveis!$T$2),Imóveis!$S$2-(DATEDIF(Imóveis!$Q$2,Dados!$A96,"m")),)))*(Imóveis!$N$2/Imóveis!$S$2)))*Imóveis!$P$2))))*IF(AND(Imóveis!$E$2&gt;0,Dados!$A96&gt;Imóveis!$E$2),0,1)</f>
        <v>13111.591709111184</v>
      </c>
      <c r="J96" s="18">
        <f ca="1">IF(Imóveis!$F$3="PRICE",IF(AND(Dados!$A96&gt;=Imóveis!$Q$3,Dados!$A96&lt;=Imóveis!$T$3),Imóveis!$U$3,0),IF((IF(AND(Dados!$A96&gt;=Imóveis!$Q$3,Dados!$A96&lt;=Imóveis!$T$3),Imóveis!$S$3-(DATEDIF(Imóveis!$Q$3,Dados!$A96,"m")),0))=0,0,((Imóveis!$N$3/Imóveis!$S$3)+((Imóveis!$N$3-((Imóveis!$S$3-(IF(AND(Dados!$A96&gt;=Imóveis!$Q$3,Dados!$A96&lt;=Imóveis!$T$3),Imóveis!$S$3-(DATEDIF(Imóveis!$Q$3,Dados!$A96,"m")),)))*(Imóveis!$N$3/Imóveis!$S$3)))*Imóveis!$P$3))))*IF(AND(Imóveis!$E$3&gt;0,Dados!$A96&gt;Imóveis!$E$3),0,1)</f>
        <v>9314.6986248807771</v>
      </c>
      <c r="K96" s="18">
        <f>IF(Imóveis!$F$4="PRICE",IF(AND(Dados!$A96&gt;=Imóveis!$Q$4,Dados!$A96&lt;=Imóveis!$T$4),Imóveis!$U$4,0),IF((IF(AND(Dados!$A96&gt;=Imóveis!$Q$4,Dados!$A96&lt;=Imóveis!$T$4),Imóveis!$S$4-(DATEDIF(Imóveis!$Q$4,Dados!$A96,"m")),0))=0,0,((Imóveis!$N$4/Imóveis!$S$4)+((Imóveis!$N$4-((Imóveis!$S$4-(IF(AND(Dados!$A96&gt;=Imóveis!$Q$4,Dados!$A96&lt;=Imóveis!$T$4),Imóveis!$S$4-(DATEDIF(Imóveis!$Q$4,Dados!$A96,"m")),)))*(Imóveis!$N$4/Imóveis!$S$4)))*Imóveis!$P$4))))*IF(AND(Imóveis!$E$4&gt;0,Dados!$A96&gt;Imóveis!$E$4),0,1)</f>
        <v>4643.949359272583</v>
      </c>
      <c r="L96" s="18">
        <f>IF(Imóveis!$F$5="PRICE",IF(AND(Dados!$A96&gt;=Imóveis!$Q$5,Dados!$A96&lt;=Imóveis!$T$5),Imóveis!$U$5,0),IF((IF(AND(Dados!$A96&gt;=Imóveis!$Q$5,Dados!$A96&lt;=Imóveis!$T$5),Imóveis!$S$5-(DATEDIF(Imóveis!$Q$5,Dados!$A96,"m")),0))=0,0,((Imóveis!$N$5/Imóveis!$S$5)+((Imóveis!$N$5-((Imóveis!$S$5-(IF(AND(Dados!$A96 &gt;=Imóveis!$Q$5,Dados!$A96&lt;=Imóveis!$T$5),Imóveis!$S$5-(DATEDIF(Imóveis!$Q$5,Dados!$A96,"m")),)))*(Imóveis!$N$5/Imóveis!$S$5)))*Imóveis!$P$5))))*IF(AND(Imóveis!$E$5&gt;0,Dados!$A96&gt;Imóveis!$E$5),0,1)*Imóveis!$I$5</f>
        <v>0</v>
      </c>
      <c r="M96" s="18">
        <f>IF(Imóveis!$F$6="PRICE",IF(AND(Dados!$A96&gt;=Imóveis!$Q$6,Dados!$A96&lt;=Imóveis!$T$6),Imóveis!$U$6,0),IF((IF(AND(Dados!$A96&gt;=Imóveis!$Q$6,Dados!$A96&lt;=Imóveis!$T$6),Imóveis!$S$6-(DATEDIF(Imóveis!$Q$6,Dados!$A96,"m")),0))=0,0,((Imóveis!$N$6/Imóveis!$S$6)+((Imóveis!$N$6-((Imóveis!$S$6-(IF(AND(Dados!$A96&gt;=Imóveis!$Q$6,Dados!$A96&lt;=Imóveis!$T$6),Imóveis!$S$6-(DATEDIF(Imóveis!$Q$6,Dados!$A96,"m")),)))*(Imóveis!$N$6/Imóveis!$S$6)))*Imóveis!$P$6))))*IF(AND(Imóveis!$E$6&gt;0,Dados!$A96&gt;Imóveis!$E$6),0,1)*Imóveis!$I$6</f>
        <v>0</v>
      </c>
      <c r="N96" s="18">
        <f t="shared" ca="1" si="12"/>
        <v>83756.594693264546</v>
      </c>
      <c r="O96" s="18">
        <f>SUMIFS(Receitas!$F:$F,Receitas!$J:$J,"&lt;="&amp;$A96,Receitas!$L:$L,"&gt;="&amp;$A96,Receitas!$C:$C,O$1,Receitas!$M:$M,"Mensal")+SUMIFS(Receitas!$F:$F,Receitas!$J:$J,"&lt;="&amp;$A96,Receitas!$L:$L,"&gt;="&amp;$A96,Receitas!$C:$C,O$1,Receitas!$M:$M,$B96)</f>
        <v>50000</v>
      </c>
      <c r="P96" s="18">
        <f>SUMIFS(Receitas!$F:$F,Receitas!$J:$J,"&lt;="&amp;$A96,Receitas!$L:$L,"&gt;="&amp;$A96,Receitas!$C:$C,P$1,Receitas!$M:$M,"Mensal")+SUMIFS(Receitas!$F:$F,Receitas!$J:$J,"&lt;="&amp;$A96,Receitas!$L:$L,"&gt;="&amp;$A96,Receitas!$C:$C,P$1,Receitas!$M:$M,$B96)</f>
        <v>86666.666666666672</v>
      </c>
      <c r="Q96" s="18">
        <f ca="1">SUMIFS(Receitas!$F:$F,Receitas!$J:$J,"&lt;="&amp;$A96,Receitas!$L:$L,"&gt;="&amp;$A96,Receitas!$C:$C,Q$1,Receitas!$M:$M,"Mensal")+SUMIFS(Receitas!$F:$F,Receitas!$J:$J,"&lt;="&amp;$A96,Receitas!$L:$L,"&gt;="&amp;$A96,Receitas!$C:$C,Q$1,Receitas!$M:$M,$B96)</f>
        <v>15101.400000000001</v>
      </c>
      <c r="R96" s="18" cm="1">
        <f t="array" ref="R96">(IF(AND(Membros!$F$2="Sim",A96&lt;=MAX(Membros!$E$2:$E$5)),Membros!K$2,IF(AND(A96&gt;=Membros!J$2,A96&lt;=MAX(Membros!$E$2:$E$5)),Membros!K$2,0))+IF(AND(Membros!$F$3="Sim",A96&lt;=MAX(Membros!$E$2:$E$5)),Membros!K$3,IF(AND(A96&gt;=Membros!J$3,A96&lt;=MAX(Membros!$E$2:$E$5)),Membros!K$3,0)))*IF(AND(COUNTIFS(Tabela3[Tipo],"Provedor",Tabela3[Simulação Seguro],"Sim")=2,A96&gt;=MAX(IF(Tabela3[Tipo]="Dependente",Tabela3[Expectativa de Vida (Data)]))),0,1)</f>
        <v>0</v>
      </c>
      <c r="S96" s="18">
        <f t="shared" ca="1" si="13"/>
        <v>151768.06666666668</v>
      </c>
      <c r="U96" s="18">
        <f t="shared" ca="1" si="16"/>
        <v>5496715.1116183596</v>
      </c>
      <c r="V96" s="18">
        <f>SUMIF(Imóveis!E:E,Dados!A:A,Imóveis!Z:Z)-SUMIF(Imóveis!E:E,Dados!A:A,Imóveis!Y:Y)</f>
        <v>0</v>
      </c>
      <c r="W96" s="18">
        <f>-SUMIF(Projetos!N:N,A96,Projetos!F:F)</f>
        <v>0</v>
      </c>
      <c r="X96" s="18">
        <f t="shared" ca="1" si="10"/>
        <v>68011.471973402135</v>
      </c>
      <c r="Y96" s="26">
        <f ca="1">(U96*((Indicadores_Economicos!D$2+1)^(1/12)-1))</f>
        <v>17994.814932318972</v>
      </c>
      <c r="Z96" s="18">
        <f t="shared" ca="1" si="14"/>
        <v>5582721.3985240813</v>
      </c>
      <c r="AA96" s="18">
        <f ca="1">Auxiliar_Projetos!E96</f>
        <v>162714.29485965826</v>
      </c>
      <c r="AB96" s="18">
        <f ca="1">Auxiliar_Projetos!K96</f>
        <v>391741.28615668695</v>
      </c>
      <c r="AC96" s="18">
        <f ca="1">IF(Z96-AA96-AB96&gt;Investimentos!$C$14,Investimentos!$C$14,IF(Z96-AA96-AB96&lt;Investimentos!$C$14,Z96-AA96-AB96,0))</f>
        <v>300000</v>
      </c>
      <c r="AD96" s="18">
        <f t="shared" ca="1" si="15"/>
        <v>4728265.8175077364</v>
      </c>
      <c r="AE96" s="18"/>
    </row>
    <row r="97" spans="1:31" x14ac:dyDescent="0.2">
      <c r="A97" s="4">
        <v>48549</v>
      </c>
      <c r="B97" s="5" t="str">
        <f t="shared" si="11"/>
        <v>dezembro</v>
      </c>
      <c r="C97" s="5" t="str">
        <f t="shared" si="18"/>
        <v>2032</v>
      </c>
      <c r="D97" s="5">
        <f>SUMIFS(Despesas!$F:$F,Despesas!$J:$J,"&lt;="&amp;$A97,Despesas!$L:$L,"&gt;="&amp;$A97,Despesas!$C:$C,D$1,Despesas!$M:$M,"Mensal")+SUMIFS(Despesas!$F:$F,Despesas!$J:$J,"&lt;="&amp;$A97,Despesas!$L:$L,"&gt;="&amp;$A97,Despesas!$C:$C,D$1,Despesas!$M:$M,$B97)</f>
        <v>23000</v>
      </c>
      <c r="E97" s="18">
        <f>SUMIFS(Despesas!$F:$F,Despesas!$J:$J,"&lt;="&amp;$A97,Despesas!$L:$L,"&gt;="&amp;$A97,Despesas!$C:$C,E$1,Despesas!$M:$M,"Mensal")+SUMIFS(Despesas!$F:$F,Despesas!$J:$J,"&lt;="&amp;$A97,Despesas!$L:$L,"&gt;="&amp;$A97,Despesas!$C:$C,E$1,Despesas!$M:$M,$B97)</f>
        <v>18000</v>
      </c>
      <c r="F97" s="5">
        <f>SUMIFS(Despesas!$F:$F,Despesas!$J:$J,"&lt;="&amp;$A97,Despesas!$L:$L,"&gt;="&amp;$A97,Despesas!$C:$C,F$1,Despesas!$M:$M,"Mensal")+SUMIFS(Despesas!$F:$F,Despesas!$J:$J,"&lt;="&amp;$A97,Despesas!$L:$L,"&gt;="&amp;$A97,Despesas!$C:$C,F$1,Despesas!$M:$M,$B97)</f>
        <v>13000</v>
      </c>
      <c r="G97" s="5">
        <f ca="1">SUMIFS(Despesas!$F:$F,Despesas!$J:$J,"&lt;="&amp;$A97,Despesas!$L:$L,"&gt;="&amp;$A97,Despesas!$C:$C,G$1,Despesas!$M:$M,"Mensal")+SUMIFS(Despesas!$F:$F,Despesas!$J:$J,"&lt;="&amp;$A97,Despesas!$L:$L,"&gt;="&amp;$A97,Despesas!$C:$C,G$1,Despesas!$M:$M,$B97)</f>
        <v>55757</v>
      </c>
      <c r="H97" s="18">
        <f ca="1">SUMIFS(Despesas!$F:$F,Despesas!$J:$J,"&lt;="&amp;$A97,Despesas!$L:$L,"&gt;="&amp;$A97,Despesas!$C:$C,H$1,Despesas!$M:$M,"Mensal")+SUMIFS(Despesas!$F:$F,Despesas!$J:$J,"&lt;="&amp;$A97,Despesas!$L:$L,"&gt;="&amp;$A97,Despesas!$C:$C,H$1,Despesas!$M:$M,$B97)</f>
        <v>2686.355</v>
      </c>
      <c r="I97" s="18">
        <f>IF(Imóveis!$F$2="PRICE",IF(AND(Dados!$A97&gt;=Imóveis!$Q$2,Dados!$A97&lt;=Imóveis!$T$2),Imóveis!$U$2,0),IF((IF(AND(Dados!$A97&gt;=Imóveis!$Q$2,Dados!$A97&lt;=Imóveis!$T$2),Imóveis!$S$2-(DATEDIF(Imóveis!$Q$2,Dados!$A97,"m")),0))=0,0,((Imóveis!$N$2/Imóveis!$S$2)+((Imóveis!$N$2-((Imóveis!$S$2-(IF(AND(Dados!$A97&gt;=Imóveis!$Q$2,Dados!$A97&lt;=Imóveis!$T$2),Imóveis!$S$2-(DATEDIF(Imóveis!$Q$2,Dados!$A97,"m")),)))*(Imóveis!$N$2/Imóveis!$S$2)))*Imóveis!$P$2))))*IF(AND(Imóveis!$E$2&gt;0,Dados!$A97&gt;Imóveis!$E$2),0,1)</f>
        <v>13049.570616886376</v>
      </c>
      <c r="J97" s="18">
        <f ca="1">IF(Imóveis!$F$3="PRICE",IF(AND(Dados!$A97&gt;=Imóveis!$Q$3,Dados!$A97&lt;=Imóveis!$T$3),Imóveis!$U$3,0),IF((IF(AND(Dados!$A97&gt;=Imóveis!$Q$3,Dados!$A97&lt;=Imóveis!$T$3),Imóveis!$S$3-(DATEDIF(Imóveis!$Q$3,Dados!$A97,"m")),0))=0,0,((Imóveis!$N$3/Imóveis!$S$3)+((Imóveis!$N$3-((Imóveis!$S$3-(IF(AND(Dados!$A97&gt;=Imóveis!$Q$3,Dados!$A97&lt;=Imóveis!$T$3),Imóveis!$S$3-(DATEDIF(Imóveis!$Q$3,Dados!$A97,"m")),)))*(Imóveis!$N$3/Imóveis!$S$3)))*Imóveis!$P$3))))*IF(AND(Imóveis!$E$3&gt;0,Dados!$A97&gt;Imóveis!$E$3),0,1)</f>
        <v>9314.6986248807771</v>
      </c>
      <c r="K97" s="18">
        <f>IF(Imóveis!$F$4="PRICE",IF(AND(Dados!$A97&gt;=Imóveis!$Q$4,Dados!$A97&lt;=Imóveis!$T$4),Imóveis!$U$4,0),IF((IF(AND(Dados!$A97&gt;=Imóveis!$Q$4,Dados!$A97&lt;=Imóveis!$T$4),Imóveis!$S$4-(DATEDIF(Imóveis!$Q$4,Dados!$A97,"m")),0))=0,0,((Imóveis!$N$4/Imóveis!$S$4)+((Imóveis!$N$4-((Imóveis!$S$4-(IF(AND(Dados!$A97&gt;=Imóveis!$Q$4,Dados!$A97&lt;=Imóveis!$T$4),Imóveis!$S$4-(DATEDIF(Imóveis!$Q$4,Dados!$A97,"m")),)))*(Imóveis!$N$4/Imóveis!$S$4)))*Imóveis!$P$4))))*IF(AND(Imóveis!$E$4&gt;0,Dados!$A97&gt;Imóveis!$E$4),0,1)</f>
        <v>4643.949359272583</v>
      </c>
      <c r="L97" s="18">
        <f>IF(Imóveis!$F$5="PRICE",IF(AND(Dados!$A97&gt;=Imóveis!$Q$5,Dados!$A97&lt;=Imóveis!$T$5),Imóveis!$U$5,0),IF((IF(AND(Dados!$A97&gt;=Imóveis!$Q$5,Dados!$A97&lt;=Imóveis!$T$5),Imóveis!$S$5-(DATEDIF(Imóveis!$Q$5,Dados!$A97,"m")),0))=0,0,((Imóveis!$N$5/Imóveis!$S$5)+((Imóveis!$N$5-((Imóveis!$S$5-(IF(AND(Dados!$A97 &gt;=Imóveis!$Q$5,Dados!$A97&lt;=Imóveis!$T$5),Imóveis!$S$5-(DATEDIF(Imóveis!$Q$5,Dados!$A97,"m")),)))*(Imóveis!$N$5/Imóveis!$S$5)))*Imóveis!$P$5))))*IF(AND(Imóveis!$E$5&gt;0,Dados!$A97&gt;Imóveis!$E$5),0,1)*Imóveis!$I$5</f>
        <v>0</v>
      </c>
      <c r="M97" s="18">
        <f>IF(Imóveis!$F$6="PRICE",IF(AND(Dados!$A97&gt;=Imóveis!$Q$6,Dados!$A97&lt;=Imóveis!$T$6),Imóveis!$U$6,0),IF((IF(AND(Dados!$A97&gt;=Imóveis!$Q$6,Dados!$A97&lt;=Imóveis!$T$6),Imóveis!$S$6-(DATEDIF(Imóveis!$Q$6,Dados!$A97,"m")),0))=0,0,((Imóveis!$N$6/Imóveis!$S$6)+((Imóveis!$N$6-((Imóveis!$S$6-(IF(AND(Dados!$A97&gt;=Imóveis!$Q$6,Dados!$A97&lt;=Imóveis!$T$6),Imóveis!$S$6-(DATEDIF(Imóveis!$Q$6,Dados!$A97,"m")),)))*(Imóveis!$N$6/Imóveis!$S$6)))*Imóveis!$P$6))))*IF(AND(Imóveis!$E$6&gt;0,Dados!$A97&gt;Imóveis!$E$6),0,1)*Imóveis!$I$6</f>
        <v>0</v>
      </c>
      <c r="N97" s="18">
        <f t="shared" ca="1" si="12"/>
        <v>139451.57360103974</v>
      </c>
      <c r="O97" s="18">
        <f>SUMIFS(Receitas!$F:$F,Receitas!$J:$J,"&lt;="&amp;$A97,Receitas!$L:$L,"&gt;="&amp;$A97,Receitas!$C:$C,O$1,Receitas!$M:$M,"Mensal")+SUMIFS(Receitas!$F:$F,Receitas!$J:$J,"&lt;="&amp;$A97,Receitas!$L:$L,"&gt;="&amp;$A97,Receitas!$C:$C,O$1,Receitas!$M:$M,$B97)</f>
        <v>50000</v>
      </c>
      <c r="P97" s="18">
        <f>SUMIFS(Receitas!$F:$F,Receitas!$J:$J,"&lt;="&amp;$A97,Receitas!$L:$L,"&gt;="&amp;$A97,Receitas!$C:$C,P$1,Receitas!$M:$M,"Mensal")+SUMIFS(Receitas!$F:$F,Receitas!$J:$J,"&lt;="&amp;$A97,Receitas!$L:$L,"&gt;="&amp;$A97,Receitas!$C:$C,P$1,Receitas!$M:$M,$B97)</f>
        <v>20000</v>
      </c>
      <c r="Q97" s="18">
        <f ca="1">SUMIFS(Receitas!$F:$F,Receitas!$J:$J,"&lt;="&amp;$A97,Receitas!$L:$L,"&gt;="&amp;$A97,Receitas!$C:$C,Q$1,Receitas!$M:$M,"Mensal")+SUMIFS(Receitas!$F:$F,Receitas!$J:$J,"&lt;="&amp;$A97,Receitas!$L:$L,"&gt;="&amp;$A97,Receitas!$C:$C,Q$1,Receitas!$M:$M,$B97)</f>
        <v>15101.400000000001</v>
      </c>
      <c r="R97" s="18" cm="1">
        <f t="array" ref="R97">(IF(AND(Membros!$F$2="Sim",A97&lt;=MAX(Membros!$E$2:$E$5)),Membros!K$2,IF(AND(A97&gt;=Membros!J$2,A97&lt;=MAX(Membros!$E$2:$E$5)),Membros!K$2,0))+IF(AND(Membros!$F$3="Sim",A97&lt;=MAX(Membros!$E$2:$E$5)),Membros!K$3,IF(AND(A97&gt;=Membros!J$3,A97&lt;=MAX(Membros!$E$2:$E$5)),Membros!K$3,0)))*IF(AND(COUNTIFS(Tabela3[Tipo],"Provedor",Tabela3[Simulação Seguro],"Sim")=2,A97&gt;=MAX(IF(Tabela3[Tipo]="Dependente",Tabela3[Expectativa de Vida (Data)]))),0,1)</f>
        <v>0</v>
      </c>
      <c r="S97" s="18">
        <f t="shared" ca="1" si="13"/>
        <v>85101.4</v>
      </c>
      <c r="U97" s="18">
        <f t="shared" ca="1" si="16"/>
        <v>5582721.3985240813</v>
      </c>
      <c r="V97" s="18">
        <f>SUMIF(Imóveis!E:E,Dados!A:A,Imóveis!Z:Z)-SUMIF(Imóveis!E:E,Dados!A:A,Imóveis!Y:Y)</f>
        <v>0</v>
      </c>
      <c r="W97" s="18">
        <f>-SUMIF(Projetos!N:N,A97,Projetos!F:F)</f>
        <v>0</v>
      </c>
      <c r="X97" s="18">
        <f t="shared" ca="1" si="10"/>
        <v>-54350.173601039744</v>
      </c>
      <c r="Y97" s="26">
        <f ca="1">(U97*((Indicadores_Economicos!D$2+1)^(1/12)-1))</f>
        <v>18276.377135281444</v>
      </c>
      <c r="Z97" s="18">
        <f t="shared" ca="1" si="14"/>
        <v>5546647.6020583231</v>
      </c>
      <c r="AA97" s="18">
        <f ca="1">Auxiliar_Projetos!E97</f>
        <v>163246.97911987276</v>
      </c>
      <c r="AB97" s="18">
        <f ca="1">Auxiliar_Projetos!K97</f>
        <v>393023.74518950784</v>
      </c>
      <c r="AC97" s="18">
        <f ca="1">IF(Z97-AA97-AB97&gt;Investimentos!$C$14,Investimentos!$C$14,IF(Z97-AA97-AB97&lt;Investimentos!$C$14,Z97-AA97-AB97,0))</f>
        <v>300000</v>
      </c>
      <c r="AD97" s="18">
        <f t="shared" ca="1" si="15"/>
        <v>4690376.8777489429</v>
      </c>
      <c r="AE97" s="18"/>
    </row>
    <row r="98" spans="1:31" x14ac:dyDescent="0.2">
      <c r="A98" s="4">
        <v>48580</v>
      </c>
      <c r="B98" s="5" t="str">
        <f t="shared" si="11"/>
        <v>janeiro</v>
      </c>
      <c r="C98" s="5" t="str">
        <f t="shared" si="18"/>
        <v>2033</v>
      </c>
      <c r="D98" s="5">
        <f>SUMIFS(Despesas!$F:$F,Despesas!$J:$J,"&lt;="&amp;$A98,Despesas!$L:$L,"&gt;="&amp;$A98,Despesas!$C:$C,D$1,Despesas!$M:$M,"Mensal")+SUMIFS(Despesas!$F:$F,Despesas!$J:$J,"&lt;="&amp;$A98,Despesas!$L:$L,"&gt;="&amp;$A98,Despesas!$C:$C,D$1,Despesas!$M:$M,$B98)</f>
        <v>23000</v>
      </c>
      <c r="E98" s="18">
        <f>SUMIFS(Despesas!$F:$F,Despesas!$J:$J,"&lt;="&amp;$A98,Despesas!$L:$L,"&gt;="&amp;$A98,Despesas!$C:$C,E$1,Despesas!$M:$M,"Mensal")+SUMIFS(Despesas!$F:$F,Despesas!$J:$J,"&lt;="&amp;$A98,Despesas!$L:$L,"&gt;="&amp;$A98,Despesas!$C:$C,E$1,Despesas!$M:$M,$B98)</f>
        <v>18000</v>
      </c>
      <c r="F98" s="5">
        <f>SUMIFS(Despesas!$F:$F,Despesas!$J:$J,"&lt;="&amp;$A98,Despesas!$L:$L,"&gt;="&amp;$A98,Despesas!$C:$C,F$1,Despesas!$M:$M,"Mensal")+SUMIFS(Despesas!$F:$F,Despesas!$J:$J,"&lt;="&amp;$A98,Despesas!$L:$L,"&gt;="&amp;$A98,Despesas!$C:$C,F$1,Despesas!$M:$M,$B98)</f>
        <v>13000</v>
      </c>
      <c r="G98" s="5">
        <f>SUMIFS(Despesas!$F:$F,Despesas!$J:$J,"&lt;="&amp;$A98,Despesas!$L:$L,"&gt;="&amp;$A98,Despesas!$C:$C,G$1,Despesas!$M:$M,"Mensal")+SUMIFS(Despesas!$F:$F,Despesas!$J:$J,"&lt;="&amp;$A98,Despesas!$L:$L,"&gt;="&amp;$A98,Despesas!$C:$C,G$1,Despesas!$M:$M,$B98)</f>
        <v>0</v>
      </c>
      <c r="H98" s="18">
        <f ca="1">SUMIFS(Despesas!$F:$F,Despesas!$J:$J,"&lt;="&amp;$A98,Despesas!$L:$L,"&gt;="&amp;$A98,Despesas!$C:$C,H$1,Despesas!$M:$M,"Mensal")+SUMIFS(Despesas!$F:$F,Despesas!$J:$J,"&lt;="&amp;$A98,Despesas!$L:$L,"&gt;="&amp;$A98,Despesas!$C:$C,H$1,Despesas!$M:$M,$B98)</f>
        <v>2686.355</v>
      </c>
      <c r="I98" s="18">
        <f>IF(Imóveis!$F$2="PRICE",IF(AND(Dados!$A98&gt;=Imóveis!$Q$2,Dados!$A98&lt;=Imóveis!$T$2),Imóveis!$U$2,0),IF((IF(AND(Dados!$A98&gt;=Imóveis!$Q$2,Dados!$A98&lt;=Imóveis!$T$2),Imóveis!$S$2-(DATEDIF(Imóveis!$Q$2,Dados!$A98,"m")),0))=0,0,((Imóveis!$N$2/Imóveis!$S$2)+((Imóveis!$N$2-((Imóveis!$S$2-(IF(AND(Dados!$A98&gt;=Imóveis!$Q$2,Dados!$A98&lt;=Imóveis!$T$2),Imóveis!$S$2-(DATEDIF(Imóveis!$Q$2,Dados!$A98,"m")),)))*(Imóveis!$N$2/Imóveis!$S$2)))*Imóveis!$P$2))))*IF(AND(Imóveis!$E$2&gt;0,Dados!$A98&gt;Imóveis!$E$2),0,1)</f>
        <v>12987.54952466157</v>
      </c>
      <c r="J98" s="18">
        <f ca="1">IF(Imóveis!$F$3="PRICE",IF(AND(Dados!$A98&gt;=Imóveis!$Q$3,Dados!$A98&lt;=Imóveis!$T$3),Imóveis!$U$3,0),IF((IF(AND(Dados!$A98&gt;=Imóveis!$Q$3,Dados!$A98&lt;=Imóveis!$T$3),Imóveis!$S$3-(DATEDIF(Imóveis!$Q$3,Dados!$A98,"m")),0))=0,0,((Imóveis!$N$3/Imóveis!$S$3)+((Imóveis!$N$3-((Imóveis!$S$3-(IF(AND(Dados!$A98&gt;=Imóveis!$Q$3,Dados!$A98&lt;=Imóveis!$T$3),Imóveis!$S$3-(DATEDIF(Imóveis!$Q$3,Dados!$A98,"m")),)))*(Imóveis!$N$3/Imóveis!$S$3)))*Imóveis!$P$3))))*IF(AND(Imóveis!$E$3&gt;0,Dados!$A98&gt;Imóveis!$E$3),0,1)</f>
        <v>9314.6986248807771</v>
      </c>
      <c r="K98" s="18">
        <f>IF(Imóveis!$F$4="PRICE",IF(AND(Dados!$A98&gt;=Imóveis!$Q$4,Dados!$A98&lt;=Imóveis!$T$4),Imóveis!$U$4,0),IF((IF(AND(Dados!$A98&gt;=Imóveis!$Q$4,Dados!$A98&lt;=Imóveis!$T$4),Imóveis!$S$4-(DATEDIF(Imóveis!$Q$4,Dados!$A98,"m")),0))=0,0,((Imóveis!$N$4/Imóveis!$S$4)+((Imóveis!$N$4-((Imóveis!$S$4-(IF(AND(Dados!$A98&gt;=Imóveis!$Q$4,Dados!$A98&lt;=Imóveis!$T$4),Imóveis!$S$4-(DATEDIF(Imóveis!$Q$4,Dados!$A98,"m")),)))*(Imóveis!$N$4/Imóveis!$S$4)))*Imóveis!$P$4))))*IF(AND(Imóveis!$E$4&gt;0,Dados!$A98&gt;Imóveis!$E$4),0,1)</f>
        <v>4643.949359272583</v>
      </c>
      <c r="L98" s="18">
        <f>IF(Imóveis!$F$5="PRICE",IF(AND(Dados!$A98&gt;=Imóveis!$Q$5,Dados!$A98&lt;=Imóveis!$T$5),Imóveis!$U$5,0),IF((IF(AND(Dados!$A98&gt;=Imóveis!$Q$5,Dados!$A98&lt;=Imóveis!$T$5),Imóveis!$S$5-(DATEDIF(Imóveis!$Q$5,Dados!$A98,"m")),0))=0,0,((Imóveis!$N$5/Imóveis!$S$5)+((Imóveis!$N$5-((Imóveis!$S$5-(IF(AND(Dados!$A98 &gt;=Imóveis!$Q$5,Dados!$A98&lt;=Imóveis!$T$5),Imóveis!$S$5-(DATEDIF(Imóveis!$Q$5,Dados!$A98,"m")),)))*(Imóveis!$N$5/Imóveis!$S$5)))*Imóveis!$P$5))))*IF(AND(Imóveis!$E$5&gt;0,Dados!$A98&gt;Imóveis!$E$5),0,1)*Imóveis!$I$5</f>
        <v>0</v>
      </c>
      <c r="M98" s="18">
        <f>IF(Imóveis!$F$6="PRICE",IF(AND(Dados!$A98&gt;=Imóveis!$Q$6,Dados!$A98&lt;=Imóveis!$T$6),Imóveis!$U$6,0),IF((IF(AND(Dados!$A98&gt;=Imóveis!$Q$6,Dados!$A98&lt;=Imóveis!$T$6),Imóveis!$S$6-(DATEDIF(Imóveis!$Q$6,Dados!$A98,"m")),0))=0,0,((Imóveis!$N$6/Imóveis!$S$6)+((Imóveis!$N$6-((Imóveis!$S$6-(IF(AND(Dados!$A98&gt;=Imóveis!$Q$6,Dados!$A98&lt;=Imóveis!$T$6),Imóveis!$S$6-(DATEDIF(Imóveis!$Q$6,Dados!$A98,"m")),)))*(Imóveis!$N$6/Imóveis!$S$6)))*Imóveis!$P$6))))*IF(AND(Imóveis!$E$6&gt;0,Dados!$A98&gt;Imóveis!$E$6),0,1)*Imóveis!$I$6</f>
        <v>0</v>
      </c>
      <c r="N98" s="18">
        <f t="shared" ca="1" si="12"/>
        <v>83632.55250881493</v>
      </c>
      <c r="O98" s="18">
        <f>SUMIFS(Receitas!$F:$F,Receitas!$J:$J,"&lt;="&amp;$A98,Receitas!$L:$L,"&gt;="&amp;$A98,Receitas!$C:$C,O$1,Receitas!$M:$M,"Mensal")+SUMIFS(Receitas!$F:$F,Receitas!$J:$J,"&lt;="&amp;$A98,Receitas!$L:$L,"&gt;="&amp;$A98,Receitas!$C:$C,O$1,Receitas!$M:$M,$B98)</f>
        <v>50000</v>
      </c>
      <c r="P98" s="18">
        <f>SUMIFS(Receitas!$F:$F,Receitas!$J:$J,"&lt;="&amp;$A98,Receitas!$L:$L,"&gt;="&amp;$A98,Receitas!$C:$C,P$1,Receitas!$M:$M,"Mensal")+SUMIFS(Receitas!$F:$F,Receitas!$J:$J,"&lt;="&amp;$A98,Receitas!$L:$L,"&gt;="&amp;$A98,Receitas!$C:$C,P$1,Receitas!$M:$M,$B98)</f>
        <v>20000</v>
      </c>
      <c r="Q98" s="18">
        <f ca="1">SUMIFS(Receitas!$F:$F,Receitas!$J:$J,"&lt;="&amp;$A98,Receitas!$L:$L,"&gt;="&amp;$A98,Receitas!$C:$C,Q$1,Receitas!$M:$M,"Mensal")+SUMIFS(Receitas!$F:$F,Receitas!$J:$J,"&lt;="&amp;$A98,Receitas!$L:$L,"&gt;="&amp;$A98,Receitas!$C:$C,Q$1,Receitas!$M:$M,$B98)</f>
        <v>15101.400000000001</v>
      </c>
      <c r="R98" s="18" cm="1">
        <f t="array" ref="R98">(IF(AND(Membros!$F$2="Sim",A98&lt;=MAX(Membros!$E$2:$E$5)),Membros!K$2,IF(AND(A98&gt;=Membros!J$2,A98&lt;=MAX(Membros!$E$2:$E$5)),Membros!K$2,0))+IF(AND(Membros!$F$3="Sim",A98&lt;=MAX(Membros!$E$2:$E$5)),Membros!K$3,IF(AND(A98&gt;=Membros!J$3,A98&lt;=MAX(Membros!$E$2:$E$5)),Membros!K$3,0)))*IF(AND(COUNTIFS(Tabela3[Tipo],"Provedor",Tabela3[Simulação Seguro],"Sim")=2,A98&gt;=MAX(IF(Tabela3[Tipo]="Dependente",Tabela3[Expectativa de Vida (Data)]))),0,1)</f>
        <v>0</v>
      </c>
      <c r="S98" s="18">
        <f t="shared" ca="1" si="13"/>
        <v>85101.4</v>
      </c>
      <c r="U98" s="18">
        <f t="shared" ca="1" si="16"/>
        <v>5546647.6020583231</v>
      </c>
      <c r="V98" s="18">
        <f>SUMIF(Imóveis!E:E,Dados!A:A,Imóveis!Z:Z)-SUMIF(Imóveis!E:E,Dados!A:A,Imóveis!Y:Y)</f>
        <v>0</v>
      </c>
      <c r="W98" s="18">
        <f>-SUMIF(Projetos!N:N,A98,Projetos!F:F)</f>
        <v>0</v>
      </c>
      <c r="X98" s="18">
        <f t="shared" ca="1" si="10"/>
        <v>1468.8474911850644</v>
      </c>
      <c r="Y98" s="26">
        <f ca="1">(U98*((Indicadores_Economicos!D$2+1)^(1/12)-1))</f>
        <v>18158.280912696548</v>
      </c>
      <c r="Z98" s="18">
        <f t="shared" ca="1" si="14"/>
        <v>5566274.7304622047</v>
      </c>
      <c r="AA98" s="18">
        <f ca="1">Auxiliar_Projetos!E98</f>
        <v>163781.40724974129</v>
      </c>
      <c r="AB98" s="18">
        <f ca="1">Auxiliar_Projetos!K98</f>
        <v>394310.40265948354</v>
      </c>
      <c r="AC98" s="18">
        <f ca="1">IF(Z98-AA98-AB98&gt;Investimentos!$C$14,Investimentos!$C$14,IF(Z98-AA98-AB98&lt;Investimentos!$C$14,Z98-AA98-AB98,0))</f>
        <v>300000</v>
      </c>
      <c r="AD98" s="18">
        <f t="shared" ca="1" si="15"/>
        <v>4708182.9205529802</v>
      </c>
      <c r="AE98" s="18"/>
    </row>
    <row r="99" spans="1:31" x14ac:dyDescent="0.2">
      <c r="A99" s="4">
        <v>48611</v>
      </c>
      <c r="B99" s="5" t="str">
        <f t="shared" si="11"/>
        <v>fevereiro</v>
      </c>
      <c r="C99" s="5" t="str">
        <f t="shared" si="18"/>
        <v>2033</v>
      </c>
      <c r="D99" s="5">
        <f>SUMIFS(Despesas!$F:$F,Despesas!$J:$J,"&lt;="&amp;$A99,Despesas!$L:$L,"&gt;="&amp;$A99,Despesas!$C:$C,D$1,Despesas!$M:$M,"Mensal")+SUMIFS(Despesas!$F:$F,Despesas!$J:$J,"&lt;="&amp;$A99,Despesas!$L:$L,"&gt;="&amp;$A99,Despesas!$C:$C,D$1,Despesas!$M:$M,$B99)</f>
        <v>23000</v>
      </c>
      <c r="E99" s="18">
        <f>SUMIFS(Despesas!$F:$F,Despesas!$J:$J,"&lt;="&amp;$A99,Despesas!$L:$L,"&gt;="&amp;$A99,Despesas!$C:$C,E$1,Despesas!$M:$M,"Mensal")+SUMIFS(Despesas!$F:$F,Despesas!$J:$J,"&lt;="&amp;$A99,Despesas!$L:$L,"&gt;="&amp;$A99,Despesas!$C:$C,E$1,Despesas!$M:$M,$B99)</f>
        <v>18000</v>
      </c>
      <c r="F99" s="5">
        <f>SUMIFS(Despesas!$F:$F,Despesas!$J:$J,"&lt;="&amp;$A99,Despesas!$L:$L,"&gt;="&amp;$A99,Despesas!$C:$C,F$1,Despesas!$M:$M,"Mensal")+SUMIFS(Despesas!$F:$F,Despesas!$J:$J,"&lt;="&amp;$A99,Despesas!$L:$L,"&gt;="&amp;$A99,Despesas!$C:$C,F$1,Despesas!$M:$M,$B99)</f>
        <v>13000</v>
      </c>
      <c r="G99" s="5">
        <f>SUMIFS(Despesas!$F:$F,Despesas!$J:$J,"&lt;="&amp;$A99,Despesas!$L:$L,"&gt;="&amp;$A99,Despesas!$C:$C,G$1,Despesas!$M:$M,"Mensal")+SUMIFS(Despesas!$F:$F,Despesas!$J:$J,"&lt;="&amp;$A99,Despesas!$L:$L,"&gt;="&amp;$A99,Despesas!$C:$C,G$1,Despesas!$M:$M,$B99)</f>
        <v>0</v>
      </c>
      <c r="H99" s="18">
        <f ca="1">SUMIFS(Despesas!$F:$F,Despesas!$J:$J,"&lt;="&amp;$A99,Despesas!$L:$L,"&gt;="&amp;$A99,Despesas!$C:$C,H$1,Despesas!$M:$M,"Mensal")+SUMIFS(Despesas!$F:$F,Despesas!$J:$J,"&lt;="&amp;$A99,Despesas!$L:$L,"&gt;="&amp;$A99,Despesas!$C:$C,H$1,Despesas!$M:$M,$B99)</f>
        <v>4543.9250000000002</v>
      </c>
      <c r="I99" s="18">
        <f>IF(Imóveis!$F$2="PRICE",IF(AND(Dados!$A99&gt;=Imóveis!$Q$2,Dados!$A99&lt;=Imóveis!$T$2),Imóveis!$U$2,0),IF((IF(AND(Dados!$A99&gt;=Imóveis!$Q$2,Dados!$A99&lt;=Imóveis!$T$2),Imóveis!$S$2-(DATEDIF(Imóveis!$Q$2,Dados!$A99,"m")),0))=0,0,((Imóveis!$N$2/Imóveis!$S$2)+((Imóveis!$N$2-((Imóveis!$S$2-(IF(AND(Dados!$A99&gt;=Imóveis!$Q$2,Dados!$A99&lt;=Imóveis!$T$2),Imóveis!$S$2-(DATEDIF(Imóveis!$Q$2,Dados!$A99,"m")),)))*(Imóveis!$N$2/Imóveis!$S$2)))*Imóveis!$P$2))))*IF(AND(Imóveis!$E$2&gt;0,Dados!$A99&gt;Imóveis!$E$2),0,1)</f>
        <v>12925.528432436764</v>
      </c>
      <c r="J99" s="18">
        <f ca="1">IF(Imóveis!$F$3="PRICE",IF(AND(Dados!$A99&gt;=Imóveis!$Q$3,Dados!$A99&lt;=Imóveis!$T$3),Imóveis!$U$3,0),IF((IF(AND(Dados!$A99&gt;=Imóveis!$Q$3,Dados!$A99&lt;=Imóveis!$T$3),Imóveis!$S$3-(DATEDIF(Imóveis!$Q$3,Dados!$A99,"m")),0))=0,0,((Imóveis!$N$3/Imóveis!$S$3)+((Imóveis!$N$3-((Imóveis!$S$3-(IF(AND(Dados!$A99&gt;=Imóveis!$Q$3,Dados!$A99&lt;=Imóveis!$T$3),Imóveis!$S$3-(DATEDIF(Imóveis!$Q$3,Dados!$A99,"m")),)))*(Imóveis!$N$3/Imóveis!$S$3)))*Imóveis!$P$3))))*IF(AND(Imóveis!$E$3&gt;0,Dados!$A99&gt;Imóveis!$E$3),0,1)</f>
        <v>9314.6986248807771</v>
      </c>
      <c r="K99" s="18">
        <f>IF(Imóveis!$F$4="PRICE",IF(AND(Dados!$A99&gt;=Imóveis!$Q$4,Dados!$A99&lt;=Imóveis!$T$4),Imóveis!$U$4,0),IF((IF(AND(Dados!$A99&gt;=Imóveis!$Q$4,Dados!$A99&lt;=Imóveis!$T$4),Imóveis!$S$4-(DATEDIF(Imóveis!$Q$4,Dados!$A99,"m")),0))=0,0,((Imóveis!$N$4/Imóveis!$S$4)+((Imóveis!$N$4-((Imóveis!$S$4-(IF(AND(Dados!$A99&gt;=Imóveis!$Q$4,Dados!$A99&lt;=Imóveis!$T$4),Imóveis!$S$4-(DATEDIF(Imóveis!$Q$4,Dados!$A99,"m")),)))*(Imóveis!$N$4/Imóveis!$S$4)))*Imóveis!$P$4))))*IF(AND(Imóveis!$E$4&gt;0,Dados!$A99&gt;Imóveis!$E$4),0,1)</f>
        <v>4643.949359272583</v>
      </c>
      <c r="L99" s="18">
        <f>IF(Imóveis!$F$5="PRICE",IF(AND(Dados!$A99&gt;=Imóveis!$Q$5,Dados!$A99&lt;=Imóveis!$T$5),Imóveis!$U$5,0),IF((IF(AND(Dados!$A99&gt;=Imóveis!$Q$5,Dados!$A99&lt;=Imóveis!$T$5),Imóveis!$S$5-(DATEDIF(Imóveis!$Q$5,Dados!$A99,"m")),0))=0,0,((Imóveis!$N$5/Imóveis!$S$5)+((Imóveis!$N$5-((Imóveis!$S$5-(IF(AND(Dados!$A99 &gt;=Imóveis!$Q$5,Dados!$A99&lt;=Imóveis!$T$5),Imóveis!$S$5-(DATEDIF(Imóveis!$Q$5,Dados!$A99,"m")),)))*(Imóveis!$N$5/Imóveis!$S$5)))*Imóveis!$P$5))))*IF(AND(Imóveis!$E$5&gt;0,Dados!$A99&gt;Imóveis!$E$5),0,1)*Imóveis!$I$5</f>
        <v>0</v>
      </c>
      <c r="M99" s="18">
        <f>IF(Imóveis!$F$6="PRICE",IF(AND(Dados!$A99&gt;=Imóveis!$Q$6,Dados!$A99&lt;=Imóveis!$T$6),Imóveis!$U$6,0),IF((IF(AND(Dados!$A99&gt;=Imóveis!$Q$6,Dados!$A99&lt;=Imóveis!$T$6),Imóveis!$S$6-(DATEDIF(Imóveis!$Q$6,Dados!$A99,"m")),0))=0,0,((Imóveis!$N$6/Imóveis!$S$6)+((Imóveis!$N$6-((Imóveis!$S$6-(IF(AND(Dados!$A99&gt;=Imóveis!$Q$6,Dados!$A99&lt;=Imóveis!$T$6),Imóveis!$S$6-(DATEDIF(Imóveis!$Q$6,Dados!$A99,"m")),)))*(Imóveis!$N$6/Imóveis!$S$6)))*Imóveis!$P$6))))*IF(AND(Imóveis!$E$6&gt;0,Dados!$A99&gt;Imóveis!$E$6),0,1)*Imóveis!$I$6</f>
        <v>0</v>
      </c>
      <c r="N99" s="18">
        <f t="shared" ca="1" si="12"/>
        <v>85428.101416590129</v>
      </c>
      <c r="O99" s="18">
        <f>SUMIFS(Receitas!$F:$F,Receitas!$J:$J,"&lt;="&amp;$A99,Receitas!$L:$L,"&gt;="&amp;$A99,Receitas!$C:$C,O$1,Receitas!$M:$M,"Mensal")+SUMIFS(Receitas!$F:$F,Receitas!$J:$J,"&lt;="&amp;$A99,Receitas!$L:$L,"&gt;="&amp;$A99,Receitas!$C:$C,O$1,Receitas!$M:$M,$B99)</f>
        <v>50000</v>
      </c>
      <c r="P99" s="18">
        <f>SUMIFS(Receitas!$F:$F,Receitas!$J:$J,"&lt;="&amp;$A99,Receitas!$L:$L,"&gt;="&amp;$A99,Receitas!$C:$C,P$1,Receitas!$M:$M,"Mensal")+SUMIFS(Receitas!$F:$F,Receitas!$J:$J,"&lt;="&amp;$A99,Receitas!$L:$L,"&gt;="&amp;$A99,Receitas!$C:$C,P$1,Receitas!$M:$M,$B99)</f>
        <v>20000</v>
      </c>
      <c r="Q99" s="18">
        <f ca="1">SUMIFS(Receitas!$F:$F,Receitas!$J:$J,"&lt;="&amp;$A99,Receitas!$L:$L,"&gt;="&amp;$A99,Receitas!$C:$C,Q$1,Receitas!$M:$M,"Mensal")+SUMIFS(Receitas!$F:$F,Receitas!$J:$J,"&lt;="&amp;$A99,Receitas!$L:$L,"&gt;="&amp;$A99,Receitas!$C:$C,Q$1,Receitas!$M:$M,$B99)</f>
        <v>15101.400000000001</v>
      </c>
      <c r="R99" s="18" cm="1">
        <f t="array" ref="R99">(IF(AND(Membros!$F$2="Sim",A99&lt;=MAX(Membros!$E$2:$E$5)),Membros!K$2,IF(AND(A99&gt;=Membros!J$2,A99&lt;=MAX(Membros!$E$2:$E$5)),Membros!K$2,0))+IF(AND(Membros!$F$3="Sim",A99&lt;=MAX(Membros!$E$2:$E$5)),Membros!K$3,IF(AND(A99&gt;=Membros!J$3,A99&lt;=MAX(Membros!$E$2:$E$5)),Membros!K$3,0)))*IF(AND(COUNTIFS(Tabela3[Tipo],"Provedor",Tabela3[Simulação Seguro],"Sim")=2,A99&gt;=MAX(IF(Tabela3[Tipo]="Dependente",Tabela3[Expectativa de Vida (Data)]))),0,1)</f>
        <v>0</v>
      </c>
      <c r="S99" s="18">
        <f t="shared" ca="1" si="13"/>
        <v>85101.4</v>
      </c>
      <c r="U99" s="18">
        <f t="shared" ca="1" si="16"/>
        <v>5566274.7304622047</v>
      </c>
      <c r="V99" s="18">
        <f>SUMIF(Imóveis!E:E,Dados!A:A,Imóveis!Z:Z)-SUMIF(Imóveis!E:E,Dados!A:A,Imóveis!Y:Y)</f>
        <v>0</v>
      </c>
      <c r="W99" s="18">
        <f>-SUMIF(Projetos!N:N,A99,Projetos!F:F)</f>
        <v>0</v>
      </c>
      <c r="X99" s="18">
        <f t="shared" ca="1" si="10"/>
        <v>-326.70141659013461</v>
      </c>
      <c r="Y99" s="26">
        <f ca="1">(U99*((Indicadores_Economicos!D$2+1)^(1/12)-1))</f>
        <v>18222.535023762659</v>
      </c>
      <c r="Z99" s="18">
        <f t="shared" ca="1" si="14"/>
        <v>5584170.5640693773</v>
      </c>
      <c r="AA99" s="18">
        <f ca="1">Auxiliar_Projetos!E99</f>
        <v>164317.58495823928</v>
      </c>
      <c r="AB99" s="18">
        <f ca="1">Auxiliar_Projetos!K99</f>
        <v>395601.27231120475</v>
      </c>
      <c r="AC99" s="18">
        <f ca="1">IF(Z99-AA99-AB99&gt;Investimentos!$C$14,Investimentos!$C$14,IF(Z99-AA99-AB99&lt;Investimentos!$C$14,Z99-AA99-AB99,0))</f>
        <v>300000</v>
      </c>
      <c r="AD99" s="18">
        <f t="shared" ca="1" si="15"/>
        <v>4724251.7067999328</v>
      </c>
      <c r="AE99" s="18"/>
    </row>
    <row r="100" spans="1:31" x14ac:dyDescent="0.2">
      <c r="A100" s="4">
        <v>48639</v>
      </c>
      <c r="B100" s="5" t="str">
        <f t="shared" si="11"/>
        <v>março</v>
      </c>
      <c r="C100" s="5" t="str">
        <f t="shared" si="18"/>
        <v>2033</v>
      </c>
      <c r="D100" s="5">
        <f>SUMIFS(Despesas!$F:$F,Despesas!$J:$J,"&lt;="&amp;$A100,Despesas!$L:$L,"&gt;="&amp;$A100,Despesas!$C:$C,D$1,Despesas!$M:$M,"Mensal")+SUMIFS(Despesas!$F:$F,Despesas!$J:$J,"&lt;="&amp;$A100,Despesas!$L:$L,"&gt;="&amp;$A100,Despesas!$C:$C,D$1,Despesas!$M:$M,$B100)</f>
        <v>23000</v>
      </c>
      <c r="E100" s="18">
        <f>SUMIFS(Despesas!$F:$F,Despesas!$J:$J,"&lt;="&amp;$A100,Despesas!$L:$L,"&gt;="&amp;$A100,Despesas!$C:$C,E$1,Despesas!$M:$M,"Mensal")+SUMIFS(Despesas!$F:$F,Despesas!$J:$J,"&lt;="&amp;$A100,Despesas!$L:$L,"&gt;="&amp;$A100,Despesas!$C:$C,E$1,Despesas!$M:$M,$B100)</f>
        <v>18000</v>
      </c>
      <c r="F100" s="5">
        <f>SUMIFS(Despesas!$F:$F,Despesas!$J:$J,"&lt;="&amp;$A100,Despesas!$L:$L,"&gt;="&amp;$A100,Despesas!$C:$C,F$1,Despesas!$M:$M,"Mensal")+SUMIFS(Despesas!$F:$F,Despesas!$J:$J,"&lt;="&amp;$A100,Despesas!$L:$L,"&gt;="&amp;$A100,Despesas!$C:$C,F$1,Despesas!$M:$M,$B100)</f>
        <v>13000</v>
      </c>
      <c r="G100" s="5">
        <f>SUMIFS(Despesas!$F:$F,Despesas!$J:$J,"&lt;="&amp;$A100,Despesas!$L:$L,"&gt;="&amp;$A100,Despesas!$C:$C,G$1,Despesas!$M:$M,"Mensal")+SUMIFS(Despesas!$F:$F,Despesas!$J:$J,"&lt;="&amp;$A100,Despesas!$L:$L,"&gt;="&amp;$A100,Despesas!$C:$C,G$1,Despesas!$M:$M,$B100)</f>
        <v>0</v>
      </c>
      <c r="H100" s="18">
        <f ca="1">SUMIFS(Despesas!$F:$F,Despesas!$J:$J,"&lt;="&amp;$A100,Despesas!$L:$L,"&gt;="&amp;$A100,Despesas!$C:$C,H$1,Despesas!$M:$M,"Mensal")+SUMIFS(Despesas!$F:$F,Despesas!$J:$J,"&lt;="&amp;$A100,Despesas!$L:$L,"&gt;="&amp;$A100,Despesas!$C:$C,H$1,Despesas!$M:$M,$B100)</f>
        <v>2686.355</v>
      </c>
      <c r="I100" s="18">
        <f>IF(Imóveis!$F$2="PRICE",IF(AND(Dados!$A100&gt;=Imóveis!$Q$2,Dados!$A100&lt;=Imóveis!$T$2),Imóveis!$U$2,0),IF((IF(AND(Dados!$A100&gt;=Imóveis!$Q$2,Dados!$A100&lt;=Imóveis!$T$2),Imóveis!$S$2-(DATEDIF(Imóveis!$Q$2,Dados!$A100,"m")),0))=0,0,((Imóveis!$N$2/Imóveis!$S$2)+((Imóveis!$N$2-((Imóveis!$S$2-(IF(AND(Dados!$A100&gt;=Imóveis!$Q$2,Dados!$A100&lt;=Imóveis!$T$2),Imóveis!$S$2-(DATEDIF(Imóveis!$Q$2,Dados!$A100,"m")),)))*(Imóveis!$N$2/Imóveis!$S$2)))*Imóveis!$P$2))))*IF(AND(Imóveis!$E$2&gt;0,Dados!$A100&gt;Imóveis!$E$2),0,1)</f>
        <v>12863.507340211956</v>
      </c>
      <c r="J100" s="18">
        <f ca="1">IF(Imóveis!$F$3="PRICE",IF(AND(Dados!$A100&gt;=Imóveis!$Q$3,Dados!$A100&lt;=Imóveis!$T$3),Imóveis!$U$3,0),IF((IF(AND(Dados!$A100&gt;=Imóveis!$Q$3,Dados!$A100&lt;=Imóveis!$T$3),Imóveis!$S$3-(DATEDIF(Imóveis!$Q$3,Dados!$A100,"m")),0))=0,0,((Imóveis!$N$3/Imóveis!$S$3)+((Imóveis!$N$3-((Imóveis!$S$3-(IF(AND(Dados!$A100&gt;=Imóveis!$Q$3,Dados!$A100&lt;=Imóveis!$T$3),Imóveis!$S$3-(DATEDIF(Imóveis!$Q$3,Dados!$A100,"m")),)))*(Imóveis!$N$3/Imóveis!$S$3)))*Imóveis!$P$3))))*IF(AND(Imóveis!$E$3&gt;0,Dados!$A100&gt;Imóveis!$E$3),0,1)</f>
        <v>9314.6986248807771</v>
      </c>
      <c r="K100" s="18">
        <f>IF(Imóveis!$F$4="PRICE",IF(AND(Dados!$A100&gt;=Imóveis!$Q$4,Dados!$A100&lt;=Imóveis!$T$4),Imóveis!$U$4,0),IF((IF(AND(Dados!$A100&gt;=Imóveis!$Q$4,Dados!$A100&lt;=Imóveis!$T$4),Imóveis!$S$4-(DATEDIF(Imóveis!$Q$4,Dados!$A100,"m")),0))=0,0,((Imóveis!$N$4/Imóveis!$S$4)+((Imóveis!$N$4-((Imóveis!$S$4-(IF(AND(Dados!$A100&gt;=Imóveis!$Q$4,Dados!$A100&lt;=Imóveis!$T$4),Imóveis!$S$4-(DATEDIF(Imóveis!$Q$4,Dados!$A100,"m")),)))*(Imóveis!$N$4/Imóveis!$S$4)))*Imóveis!$P$4))))*IF(AND(Imóveis!$E$4&gt;0,Dados!$A100&gt;Imóveis!$E$4),0,1)</f>
        <v>4643.949359272583</v>
      </c>
      <c r="L100" s="18">
        <f>IF(Imóveis!$F$5="PRICE",IF(AND(Dados!$A100&gt;=Imóveis!$Q$5,Dados!$A100&lt;=Imóveis!$T$5),Imóveis!$U$5,0),IF((IF(AND(Dados!$A100&gt;=Imóveis!$Q$5,Dados!$A100&lt;=Imóveis!$T$5),Imóveis!$S$5-(DATEDIF(Imóveis!$Q$5,Dados!$A100,"m")),0))=0,0,((Imóveis!$N$5/Imóveis!$S$5)+((Imóveis!$N$5-((Imóveis!$S$5-(IF(AND(Dados!$A100 &gt;=Imóveis!$Q$5,Dados!$A100&lt;=Imóveis!$T$5),Imóveis!$S$5-(DATEDIF(Imóveis!$Q$5,Dados!$A100,"m")),)))*(Imóveis!$N$5/Imóveis!$S$5)))*Imóveis!$P$5))))*IF(AND(Imóveis!$E$5&gt;0,Dados!$A100&gt;Imóveis!$E$5),0,1)*Imóveis!$I$5</f>
        <v>0</v>
      </c>
      <c r="M100" s="18">
        <f>IF(Imóveis!$F$6="PRICE",IF(AND(Dados!$A100&gt;=Imóveis!$Q$6,Dados!$A100&lt;=Imóveis!$T$6),Imóveis!$U$6,0),IF((IF(AND(Dados!$A100&gt;=Imóveis!$Q$6,Dados!$A100&lt;=Imóveis!$T$6),Imóveis!$S$6-(DATEDIF(Imóveis!$Q$6,Dados!$A100,"m")),0))=0,0,((Imóveis!$N$6/Imóveis!$S$6)+((Imóveis!$N$6-((Imóveis!$S$6-(IF(AND(Dados!$A100&gt;=Imóveis!$Q$6,Dados!$A100&lt;=Imóveis!$T$6),Imóveis!$S$6-(DATEDIF(Imóveis!$Q$6,Dados!$A100,"m")),)))*(Imóveis!$N$6/Imóveis!$S$6)))*Imóveis!$P$6))))*IF(AND(Imóveis!$E$6&gt;0,Dados!$A100&gt;Imóveis!$E$6),0,1)*Imóveis!$I$6</f>
        <v>0</v>
      </c>
      <c r="N100" s="18">
        <f t="shared" ca="1" si="12"/>
        <v>83508.510324365314</v>
      </c>
      <c r="O100" s="18">
        <f>SUMIFS(Receitas!$F:$F,Receitas!$J:$J,"&lt;="&amp;$A100,Receitas!$L:$L,"&gt;="&amp;$A100,Receitas!$C:$C,O$1,Receitas!$M:$M,"Mensal")+SUMIFS(Receitas!$F:$F,Receitas!$J:$J,"&lt;="&amp;$A100,Receitas!$L:$L,"&gt;="&amp;$A100,Receitas!$C:$C,O$1,Receitas!$M:$M,$B100)</f>
        <v>50000</v>
      </c>
      <c r="P100" s="18">
        <f>SUMIFS(Receitas!$F:$F,Receitas!$J:$J,"&lt;="&amp;$A100,Receitas!$L:$L,"&gt;="&amp;$A100,Receitas!$C:$C,P$1,Receitas!$M:$M,"Mensal")+SUMIFS(Receitas!$F:$F,Receitas!$J:$J,"&lt;="&amp;$A100,Receitas!$L:$L,"&gt;="&amp;$A100,Receitas!$C:$C,P$1,Receitas!$M:$M,$B100)</f>
        <v>20000</v>
      </c>
      <c r="Q100" s="18">
        <f ca="1">SUMIFS(Receitas!$F:$F,Receitas!$J:$J,"&lt;="&amp;$A100,Receitas!$L:$L,"&gt;="&amp;$A100,Receitas!$C:$C,Q$1,Receitas!$M:$M,"Mensal")+SUMIFS(Receitas!$F:$F,Receitas!$J:$J,"&lt;="&amp;$A100,Receitas!$L:$L,"&gt;="&amp;$A100,Receitas!$C:$C,Q$1,Receitas!$M:$M,$B100)</f>
        <v>15101.400000000001</v>
      </c>
      <c r="R100" s="18" cm="1">
        <f t="array" ref="R100">(IF(AND(Membros!$F$2="Sim",A100&lt;=MAX(Membros!$E$2:$E$5)),Membros!K$2,IF(AND(A100&gt;=Membros!J$2,A100&lt;=MAX(Membros!$E$2:$E$5)),Membros!K$2,0))+IF(AND(Membros!$F$3="Sim",A100&lt;=MAX(Membros!$E$2:$E$5)),Membros!K$3,IF(AND(A100&gt;=Membros!J$3,A100&lt;=MAX(Membros!$E$2:$E$5)),Membros!K$3,0)))*IF(AND(COUNTIFS(Tabela3[Tipo],"Provedor",Tabela3[Simulação Seguro],"Sim")=2,A100&gt;=MAX(IF(Tabela3[Tipo]="Dependente",Tabela3[Expectativa de Vida (Data)]))),0,1)</f>
        <v>0</v>
      </c>
      <c r="S100" s="18">
        <f t="shared" ca="1" si="13"/>
        <v>85101.4</v>
      </c>
      <c r="U100" s="18">
        <f t="shared" ca="1" si="16"/>
        <v>5584170.5640693773</v>
      </c>
      <c r="V100" s="18">
        <f>SUMIF(Imóveis!E:E,Dados!A:A,Imóveis!Z:Z)-SUMIF(Imóveis!E:E,Dados!A:A,Imóveis!Y:Y)</f>
        <v>0</v>
      </c>
      <c r="W100" s="18">
        <f>-SUMIF(Projetos!N:N,A100,Projetos!F:F)</f>
        <v>0</v>
      </c>
      <c r="X100" s="18">
        <f t="shared" ca="1" si="10"/>
        <v>1592.8896756346803</v>
      </c>
      <c r="Y100" s="26">
        <f ca="1">(U100*((Indicadores_Economicos!D$2+1)^(1/12)-1))</f>
        <v>18281.121326178072</v>
      </c>
      <c r="Z100" s="18">
        <f t="shared" ca="1" si="14"/>
        <v>5604044.5750711905</v>
      </c>
      <c r="AA100" s="18">
        <f ca="1">Auxiliar_Projetos!E100</f>
        <v>164855.51797303194</v>
      </c>
      <c r="AB100" s="18">
        <f ca="1">Auxiliar_Projetos!K100</f>
        <v>396896.36793425842</v>
      </c>
      <c r="AC100" s="18">
        <f ca="1">IF(Z100-AA100-AB100&gt;Investimentos!$C$14,Investimentos!$C$14,IF(Z100-AA100-AB100&lt;Investimentos!$C$14,Z100-AA100-AB100,0))</f>
        <v>300000</v>
      </c>
      <c r="AD100" s="18">
        <f t="shared" ca="1" si="15"/>
        <v>4742292.6891639</v>
      </c>
      <c r="AE100" s="18"/>
    </row>
    <row r="101" spans="1:31" x14ac:dyDescent="0.2">
      <c r="A101" s="4">
        <v>48670</v>
      </c>
      <c r="B101" s="5" t="str">
        <f t="shared" si="11"/>
        <v>abril</v>
      </c>
      <c r="C101" s="5" t="str">
        <f t="shared" si="18"/>
        <v>2033</v>
      </c>
      <c r="D101" s="5">
        <f>SUMIFS(Despesas!$F:$F,Despesas!$J:$J,"&lt;="&amp;$A101,Despesas!$L:$L,"&gt;="&amp;$A101,Despesas!$C:$C,D$1,Despesas!$M:$M,"Mensal")+SUMIFS(Despesas!$F:$F,Despesas!$J:$J,"&lt;="&amp;$A101,Despesas!$L:$L,"&gt;="&amp;$A101,Despesas!$C:$C,D$1,Despesas!$M:$M,$B101)</f>
        <v>23000</v>
      </c>
      <c r="E101" s="18">
        <f>SUMIFS(Despesas!$F:$F,Despesas!$J:$J,"&lt;="&amp;$A101,Despesas!$L:$L,"&gt;="&amp;$A101,Despesas!$C:$C,E$1,Despesas!$M:$M,"Mensal")+SUMIFS(Despesas!$F:$F,Despesas!$J:$J,"&lt;="&amp;$A101,Despesas!$L:$L,"&gt;="&amp;$A101,Despesas!$C:$C,E$1,Despesas!$M:$M,$B101)</f>
        <v>18000</v>
      </c>
      <c r="F101" s="5">
        <f>SUMIFS(Despesas!$F:$F,Despesas!$J:$J,"&lt;="&amp;$A101,Despesas!$L:$L,"&gt;="&amp;$A101,Despesas!$C:$C,F$1,Despesas!$M:$M,"Mensal")+SUMIFS(Despesas!$F:$F,Despesas!$J:$J,"&lt;="&amp;$A101,Despesas!$L:$L,"&gt;="&amp;$A101,Despesas!$C:$C,F$1,Despesas!$M:$M,$B101)</f>
        <v>13000</v>
      </c>
      <c r="G101" s="5">
        <f>SUMIFS(Despesas!$F:$F,Despesas!$J:$J,"&lt;="&amp;$A101,Despesas!$L:$L,"&gt;="&amp;$A101,Despesas!$C:$C,G$1,Despesas!$M:$M,"Mensal")+SUMIFS(Despesas!$F:$F,Despesas!$J:$J,"&lt;="&amp;$A101,Despesas!$L:$L,"&gt;="&amp;$A101,Despesas!$C:$C,G$1,Despesas!$M:$M,$B101)</f>
        <v>0</v>
      </c>
      <c r="H101" s="18">
        <f ca="1">SUMIFS(Despesas!$F:$F,Despesas!$J:$J,"&lt;="&amp;$A101,Despesas!$L:$L,"&gt;="&amp;$A101,Despesas!$C:$C,H$1,Despesas!$M:$M,"Mensal")+SUMIFS(Despesas!$F:$F,Despesas!$J:$J,"&lt;="&amp;$A101,Despesas!$L:$L,"&gt;="&amp;$A101,Despesas!$C:$C,H$1,Despesas!$M:$M,$B101)</f>
        <v>2686.355</v>
      </c>
      <c r="I101" s="18">
        <f>IF(Imóveis!$F$2="PRICE",IF(AND(Dados!$A101&gt;=Imóveis!$Q$2,Dados!$A101&lt;=Imóveis!$T$2),Imóveis!$U$2,0),IF((IF(AND(Dados!$A101&gt;=Imóveis!$Q$2,Dados!$A101&lt;=Imóveis!$T$2),Imóveis!$S$2-(DATEDIF(Imóveis!$Q$2,Dados!$A101,"m")),0))=0,0,((Imóveis!$N$2/Imóveis!$S$2)+((Imóveis!$N$2-((Imóveis!$S$2-(IF(AND(Dados!$A101&gt;=Imóveis!$Q$2,Dados!$A101&lt;=Imóveis!$T$2),Imóveis!$S$2-(DATEDIF(Imóveis!$Q$2,Dados!$A101,"m")),)))*(Imóveis!$N$2/Imóveis!$S$2)))*Imóveis!$P$2))))*IF(AND(Imóveis!$E$2&gt;0,Dados!$A101&gt;Imóveis!$E$2),0,1)</f>
        <v>12801.486247987148</v>
      </c>
      <c r="J101" s="18">
        <f ca="1">IF(Imóveis!$F$3="PRICE",IF(AND(Dados!$A101&gt;=Imóveis!$Q$3,Dados!$A101&lt;=Imóveis!$T$3),Imóveis!$U$3,0),IF((IF(AND(Dados!$A101&gt;=Imóveis!$Q$3,Dados!$A101&lt;=Imóveis!$T$3),Imóveis!$S$3-(DATEDIF(Imóveis!$Q$3,Dados!$A101,"m")),0))=0,0,((Imóveis!$N$3/Imóveis!$S$3)+((Imóveis!$N$3-((Imóveis!$S$3-(IF(AND(Dados!$A101&gt;=Imóveis!$Q$3,Dados!$A101&lt;=Imóveis!$T$3),Imóveis!$S$3-(DATEDIF(Imóveis!$Q$3,Dados!$A101,"m")),)))*(Imóveis!$N$3/Imóveis!$S$3)))*Imóveis!$P$3))))*IF(AND(Imóveis!$E$3&gt;0,Dados!$A101&gt;Imóveis!$E$3),0,1)</f>
        <v>9314.6986248807771</v>
      </c>
      <c r="K101" s="18">
        <f>IF(Imóveis!$F$4="PRICE",IF(AND(Dados!$A101&gt;=Imóveis!$Q$4,Dados!$A101&lt;=Imóveis!$T$4),Imóveis!$U$4,0),IF((IF(AND(Dados!$A101&gt;=Imóveis!$Q$4,Dados!$A101&lt;=Imóveis!$T$4),Imóveis!$S$4-(DATEDIF(Imóveis!$Q$4,Dados!$A101,"m")),0))=0,0,((Imóveis!$N$4/Imóveis!$S$4)+((Imóveis!$N$4-((Imóveis!$S$4-(IF(AND(Dados!$A101&gt;=Imóveis!$Q$4,Dados!$A101&lt;=Imóveis!$T$4),Imóveis!$S$4-(DATEDIF(Imóveis!$Q$4,Dados!$A101,"m")),)))*(Imóveis!$N$4/Imóveis!$S$4)))*Imóveis!$P$4))))*IF(AND(Imóveis!$E$4&gt;0,Dados!$A101&gt;Imóveis!$E$4),0,1)</f>
        <v>4643.949359272583</v>
      </c>
      <c r="L101" s="18">
        <f>IF(Imóveis!$F$5="PRICE",IF(AND(Dados!$A101&gt;=Imóveis!$Q$5,Dados!$A101&lt;=Imóveis!$T$5),Imóveis!$U$5,0),IF((IF(AND(Dados!$A101&gt;=Imóveis!$Q$5,Dados!$A101&lt;=Imóveis!$T$5),Imóveis!$S$5-(DATEDIF(Imóveis!$Q$5,Dados!$A101,"m")),0))=0,0,((Imóveis!$N$5/Imóveis!$S$5)+((Imóveis!$N$5-((Imóveis!$S$5-(IF(AND(Dados!$A101 &gt;=Imóveis!$Q$5,Dados!$A101&lt;=Imóveis!$T$5),Imóveis!$S$5-(DATEDIF(Imóveis!$Q$5,Dados!$A101,"m")),)))*(Imóveis!$N$5/Imóveis!$S$5)))*Imóveis!$P$5))))*IF(AND(Imóveis!$E$5&gt;0,Dados!$A101&gt;Imóveis!$E$5),0,1)*Imóveis!$I$5</f>
        <v>0</v>
      </c>
      <c r="M101" s="18">
        <f>IF(Imóveis!$F$6="PRICE",IF(AND(Dados!$A101&gt;=Imóveis!$Q$6,Dados!$A101&lt;=Imóveis!$T$6),Imóveis!$U$6,0),IF((IF(AND(Dados!$A101&gt;=Imóveis!$Q$6,Dados!$A101&lt;=Imóveis!$T$6),Imóveis!$S$6-(DATEDIF(Imóveis!$Q$6,Dados!$A101,"m")),0))=0,0,((Imóveis!$N$6/Imóveis!$S$6)+((Imóveis!$N$6-((Imóveis!$S$6-(IF(AND(Dados!$A101&gt;=Imóveis!$Q$6,Dados!$A101&lt;=Imóveis!$T$6),Imóveis!$S$6-(DATEDIF(Imóveis!$Q$6,Dados!$A101,"m")),)))*(Imóveis!$N$6/Imóveis!$S$6)))*Imóveis!$P$6))))*IF(AND(Imóveis!$E$6&gt;0,Dados!$A101&gt;Imóveis!$E$6),0,1)*Imóveis!$I$6</f>
        <v>0</v>
      </c>
      <c r="N101" s="18">
        <f t="shared" ca="1" si="12"/>
        <v>83446.489232140506</v>
      </c>
      <c r="O101" s="18">
        <f>SUMIFS(Receitas!$F:$F,Receitas!$J:$J,"&lt;="&amp;$A101,Receitas!$L:$L,"&gt;="&amp;$A101,Receitas!$C:$C,O$1,Receitas!$M:$M,"Mensal")+SUMIFS(Receitas!$F:$F,Receitas!$J:$J,"&lt;="&amp;$A101,Receitas!$L:$L,"&gt;="&amp;$A101,Receitas!$C:$C,O$1,Receitas!$M:$M,$B101)</f>
        <v>50000</v>
      </c>
      <c r="P101" s="18">
        <f>SUMIFS(Receitas!$F:$F,Receitas!$J:$J,"&lt;="&amp;$A101,Receitas!$L:$L,"&gt;="&amp;$A101,Receitas!$C:$C,P$1,Receitas!$M:$M,"Mensal")+SUMIFS(Receitas!$F:$F,Receitas!$J:$J,"&lt;="&amp;$A101,Receitas!$L:$L,"&gt;="&amp;$A101,Receitas!$C:$C,P$1,Receitas!$M:$M,$B101)</f>
        <v>85000</v>
      </c>
      <c r="Q101" s="18">
        <f ca="1">SUMIFS(Receitas!$F:$F,Receitas!$J:$J,"&lt;="&amp;$A101,Receitas!$L:$L,"&gt;="&amp;$A101,Receitas!$C:$C,Q$1,Receitas!$M:$M,"Mensal")+SUMIFS(Receitas!$F:$F,Receitas!$J:$J,"&lt;="&amp;$A101,Receitas!$L:$L,"&gt;="&amp;$A101,Receitas!$C:$C,Q$1,Receitas!$M:$M,$B101)</f>
        <v>15101.400000000001</v>
      </c>
      <c r="R101" s="18" cm="1">
        <f t="array" ref="R101">(IF(AND(Membros!$F$2="Sim",A101&lt;=MAX(Membros!$E$2:$E$5)),Membros!K$2,IF(AND(A101&gt;=Membros!J$2,A101&lt;=MAX(Membros!$E$2:$E$5)),Membros!K$2,0))+IF(AND(Membros!$F$3="Sim",A101&lt;=MAX(Membros!$E$2:$E$5)),Membros!K$3,IF(AND(A101&gt;=Membros!J$3,A101&lt;=MAX(Membros!$E$2:$E$5)),Membros!K$3,0)))*IF(AND(COUNTIFS(Tabela3[Tipo],"Provedor",Tabela3[Simulação Seguro],"Sim")=2,A101&gt;=MAX(IF(Tabela3[Tipo]="Dependente",Tabela3[Expectativa de Vida (Data)]))),0,1)</f>
        <v>0</v>
      </c>
      <c r="S101" s="18">
        <f t="shared" ca="1" si="13"/>
        <v>150101.4</v>
      </c>
      <c r="U101" s="18">
        <f t="shared" ca="1" si="16"/>
        <v>5604044.5750711905</v>
      </c>
      <c r="V101" s="18">
        <f>SUMIF(Imóveis!E:E,Dados!A:A,Imóveis!Z:Z)-SUMIF(Imóveis!E:E,Dados!A:A,Imóveis!Y:Y)</f>
        <v>0</v>
      </c>
      <c r="W101" s="18">
        <f>-SUMIF(Projetos!N:N,A101,Projetos!F:F)</f>
        <v>0</v>
      </c>
      <c r="X101" s="18">
        <f t="shared" ca="1" si="10"/>
        <v>66654.910767859488</v>
      </c>
      <c r="Y101" s="26">
        <f ca="1">(U101*((Indicadores_Economicos!D$2+1)^(1/12)-1))</f>
        <v>18346.183666626566</v>
      </c>
      <c r="Z101" s="18">
        <f t="shared" ca="1" si="14"/>
        <v>5689045.6695056772</v>
      </c>
      <c r="AA101" s="18">
        <f ca="1">Auxiliar_Projetos!E101</f>
        <v>165395.21204053526</v>
      </c>
      <c r="AB101" s="18">
        <f ca="1">Auxiliar_Projetos!K101</f>
        <v>398195.70336337504</v>
      </c>
      <c r="AC101" s="18">
        <f ca="1">IF(Z101-AA101-AB101&gt;Investimentos!$C$14,Investimentos!$C$14,IF(Z101-AA101-AB101&lt;Investimentos!$C$14,Z101-AA101-AB101,0))</f>
        <v>300000</v>
      </c>
      <c r="AD101" s="18">
        <f t="shared" ca="1" si="15"/>
        <v>4825454.7541017672</v>
      </c>
      <c r="AE101" s="18"/>
    </row>
    <row r="102" spans="1:31" x14ac:dyDescent="0.2">
      <c r="A102" s="4">
        <v>48700</v>
      </c>
      <c r="B102" s="5" t="str">
        <f t="shared" si="11"/>
        <v>maio</v>
      </c>
      <c r="C102" s="5" t="str">
        <f t="shared" si="18"/>
        <v>2033</v>
      </c>
      <c r="D102" s="5">
        <f>SUMIFS(Despesas!$F:$F,Despesas!$J:$J,"&lt;="&amp;$A102,Despesas!$L:$L,"&gt;="&amp;$A102,Despesas!$C:$C,D$1,Despesas!$M:$M,"Mensal")+SUMIFS(Despesas!$F:$F,Despesas!$J:$J,"&lt;="&amp;$A102,Despesas!$L:$L,"&gt;="&amp;$A102,Despesas!$C:$C,D$1,Despesas!$M:$M,$B102)</f>
        <v>23000</v>
      </c>
      <c r="E102" s="18">
        <f>SUMIFS(Despesas!$F:$F,Despesas!$J:$J,"&lt;="&amp;$A102,Despesas!$L:$L,"&gt;="&amp;$A102,Despesas!$C:$C,E$1,Despesas!$M:$M,"Mensal")+SUMIFS(Despesas!$F:$F,Despesas!$J:$J,"&lt;="&amp;$A102,Despesas!$L:$L,"&gt;="&amp;$A102,Despesas!$C:$C,E$1,Despesas!$M:$M,$B102)</f>
        <v>18000</v>
      </c>
      <c r="F102" s="5">
        <f>SUMIFS(Despesas!$F:$F,Despesas!$J:$J,"&lt;="&amp;$A102,Despesas!$L:$L,"&gt;="&amp;$A102,Despesas!$C:$C,F$1,Despesas!$M:$M,"Mensal")+SUMIFS(Despesas!$F:$F,Despesas!$J:$J,"&lt;="&amp;$A102,Despesas!$L:$L,"&gt;="&amp;$A102,Despesas!$C:$C,F$1,Despesas!$M:$M,$B102)</f>
        <v>13000</v>
      </c>
      <c r="G102" s="5">
        <f>SUMIFS(Despesas!$F:$F,Despesas!$J:$J,"&lt;="&amp;$A102,Despesas!$L:$L,"&gt;="&amp;$A102,Despesas!$C:$C,G$1,Despesas!$M:$M,"Mensal")+SUMIFS(Despesas!$F:$F,Despesas!$J:$J,"&lt;="&amp;$A102,Despesas!$L:$L,"&gt;="&amp;$A102,Despesas!$C:$C,G$1,Despesas!$M:$M,$B102)</f>
        <v>0</v>
      </c>
      <c r="H102" s="18">
        <f ca="1">SUMIFS(Despesas!$F:$F,Despesas!$J:$J,"&lt;="&amp;$A102,Despesas!$L:$L,"&gt;="&amp;$A102,Despesas!$C:$C,H$1,Despesas!$M:$M,"Mensal")+SUMIFS(Despesas!$F:$F,Despesas!$J:$J,"&lt;="&amp;$A102,Despesas!$L:$L,"&gt;="&amp;$A102,Despesas!$C:$C,H$1,Despesas!$M:$M,$B102)</f>
        <v>2686.355</v>
      </c>
      <c r="I102" s="18">
        <f>IF(Imóveis!$F$2="PRICE",IF(AND(Dados!$A102&gt;=Imóveis!$Q$2,Dados!$A102&lt;=Imóveis!$T$2),Imóveis!$U$2,0),IF((IF(AND(Dados!$A102&gt;=Imóveis!$Q$2,Dados!$A102&lt;=Imóveis!$T$2),Imóveis!$S$2-(DATEDIF(Imóveis!$Q$2,Dados!$A102,"m")),0))=0,0,((Imóveis!$N$2/Imóveis!$S$2)+((Imóveis!$N$2-((Imóveis!$S$2-(IF(AND(Dados!$A102&gt;=Imóveis!$Q$2,Dados!$A102&lt;=Imóveis!$T$2),Imóveis!$S$2-(DATEDIF(Imóveis!$Q$2,Dados!$A102,"m")),)))*(Imóveis!$N$2/Imóveis!$S$2)))*Imóveis!$P$2))))*IF(AND(Imóveis!$E$2&gt;0,Dados!$A102&gt;Imóveis!$E$2),0,1)</f>
        <v>12739.465155762342</v>
      </c>
      <c r="J102" s="18">
        <f ca="1">IF(Imóveis!$F$3="PRICE",IF(AND(Dados!$A102&gt;=Imóveis!$Q$3,Dados!$A102&lt;=Imóveis!$T$3),Imóveis!$U$3,0),IF((IF(AND(Dados!$A102&gt;=Imóveis!$Q$3,Dados!$A102&lt;=Imóveis!$T$3),Imóveis!$S$3-(DATEDIF(Imóveis!$Q$3,Dados!$A102,"m")),0))=0,0,((Imóveis!$N$3/Imóveis!$S$3)+((Imóveis!$N$3-((Imóveis!$S$3-(IF(AND(Dados!$A102&gt;=Imóveis!$Q$3,Dados!$A102&lt;=Imóveis!$T$3),Imóveis!$S$3-(DATEDIF(Imóveis!$Q$3,Dados!$A102,"m")),)))*(Imóveis!$N$3/Imóveis!$S$3)))*Imóveis!$P$3))))*IF(AND(Imóveis!$E$3&gt;0,Dados!$A102&gt;Imóveis!$E$3),0,1)</f>
        <v>9314.6986248807771</v>
      </c>
      <c r="K102" s="18">
        <f>IF(Imóveis!$F$4="PRICE",IF(AND(Dados!$A102&gt;=Imóveis!$Q$4,Dados!$A102&lt;=Imóveis!$T$4),Imóveis!$U$4,0),IF((IF(AND(Dados!$A102&gt;=Imóveis!$Q$4,Dados!$A102&lt;=Imóveis!$T$4),Imóveis!$S$4-(DATEDIF(Imóveis!$Q$4,Dados!$A102,"m")),0))=0,0,((Imóveis!$N$4/Imóveis!$S$4)+((Imóveis!$N$4-((Imóveis!$S$4-(IF(AND(Dados!$A102&gt;=Imóveis!$Q$4,Dados!$A102&lt;=Imóveis!$T$4),Imóveis!$S$4-(DATEDIF(Imóveis!$Q$4,Dados!$A102,"m")),)))*(Imóveis!$N$4/Imóveis!$S$4)))*Imóveis!$P$4))))*IF(AND(Imóveis!$E$4&gt;0,Dados!$A102&gt;Imóveis!$E$4),0,1)</f>
        <v>4643.949359272583</v>
      </c>
      <c r="L102" s="18">
        <f>IF(Imóveis!$F$5="PRICE",IF(AND(Dados!$A102&gt;=Imóveis!$Q$5,Dados!$A102&lt;=Imóveis!$T$5),Imóveis!$U$5,0),IF((IF(AND(Dados!$A102&gt;=Imóveis!$Q$5,Dados!$A102&lt;=Imóveis!$T$5),Imóveis!$S$5-(DATEDIF(Imóveis!$Q$5,Dados!$A102,"m")),0))=0,0,((Imóveis!$N$5/Imóveis!$S$5)+((Imóveis!$N$5-((Imóveis!$S$5-(IF(AND(Dados!$A102 &gt;=Imóveis!$Q$5,Dados!$A102&lt;=Imóveis!$T$5),Imóveis!$S$5-(DATEDIF(Imóveis!$Q$5,Dados!$A102,"m")),)))*(Imóveis!$N$5/Imóveis!$S$5)))*Imóveis!$P$5))))*IF(AND(Imóveis!$E$5&gt;0,Dados!$A102&gt;Imóveis!$E$5),0,1)*Imóveis!$I$5</f>
        <v>0</v>
      </c>
      <c r="M102" s="18">
        <f>IF(Imóveis!$F$6="PRICE",IF(AND(Dados!$A102&gt;=Imóveis!$Q$6,Dados!$A102&lt;=Imóveis!$T$6),Imóveis!$U$6,0),IF((IF(AND(Dados!$A102&gt;=Imóveis!$Q$6,Dados!$A102&lt;=Imóveis!$T$6),Imóveis!$S$6-(DATEDIF(Imóveis!$Q$6,Dados!$A102,"m")),0))=0,0,((Imóveis!$N$6/Imóveis!$S$6)+((Imóveis!$N$6-((Imóveis!$S$6-(IF(AND(Dados!$A102&gt;=Imóveis!$Q$6,Dados!$A102&lt;=Imóveis!$T$6),Imóveis!$S$6-(DATEDIF(Imóveis!$Q$6,Dados!$A102,"m")),)))*(Imóveis!$N$6/Imóveis!$S$6)))*Imóveis!$P$6))))*IF(AND(Imóveis!$E$6&gt;0,Dados!$A102&gt;Imóveis!$E$6),0,1)*Imóveis!$I$6</f>
        <v>0</v>
      </c>
      <c r="N102" s="18">
        <f t="shared" ca="1" si="12"/>
        <v>83384.468139915698</v>
      </c>
      <c r="O102" s="18">
        <f>SUMIFS(Receitas!$F:$F,Receitas!$J:$J,"&lt;="&amp;$A102,Receitas!$L:$L,"&gt;="&amp;$A102,Receitas!$C:$C,O$1,Receitas!$M:$M,"Mensal")+SUMIFS(Receitas!$F:$F,Receitas!$J:$J,"&lt;="&amp;$A102,Receitas!$L:$L,"&gt;="&amp;$A102,Receitas!$C:$C,O$1,Receitas!$M:$M,$B102)</f>
        <v>50000</v>
      </c>
      <c r="P102" s="18">
        <f>SUMIFS(Receitas!$F:$F,Receitas!$J:$J,"&lt;="&amp;$A102,Receitas!$L:$L,"&gt;="&amp;$A102,Receitas!$C:$C,P$1,Receitas!$M:$M,"Mensal")+SUMIFS(Receitas!$F:$F,Receitas!$J:$J,"&lt;="&amp;$A102,Receitas!$L:$L,"&gt;="&amp;$A102,Receitas!$C:$C,P$1,Receitas!$M:$M,$B102)</f>
        <v>20000</v>
      </c>
      <c r="Q102" s="18">
        <f ca="1">SUMIFS(Receitas!$F:$F,Receitas!$J:$J,"&lt;="&amp;$A102,Receitas!$L:$L,"&gt;="&amp;$A102,Receitas!$C:$C,Q$1,Receitas!$M:$M,"Mensal")+SUMIFS(Receitas!$F:$F,Receitas!$J:$J,"&lt;="&amp;$A102,Receitas!$L:$L,"&gt;="&amp;$A102,Receitas!$C:$C,Q$1,Receitas!$M:$M,$B102)</f>
        <v>15101.400000000001</v>
      </c>
      <c r="R102" s="18" cm="1">
        <f t="array" ref="R102">(IF(AND(Membros!$F$2="Sim",A102&lt;=MAX(Membros!$E$2:$E$5)),Membros!K$2,IF(AND(A102&gt;=Membros!J$2,A102&lt;=MAX(Membros!$E$2:$E$5)),Membros!K$2,0))+IF(AND(Membros!$F$3="Sim",A102&lt;=MAX(Membros!$E$2:$E$5)),Membros!K$3,IF(AND(A102&gt;=Membros!J$3,A102&lt;=MAX(Membros!$E$2:$E$5)),Membros!K$3,0)))*IF(AND(COUNTIFS(Tabela3[Tipo],"Provedor",Tabela3[Simulação Seguro],"Sim")=2,A102&gt;=MAX(IF(Tabela3[Tipo]="Dependente",Tabela3[Expectativa de Vida (Data)]))),0,1)</f>
        <v>0</v>
      </c>
      <c r="S102" s="18">
        <f t="shared" ca="1" si="13"/>
        <v>85101.4</v>
      </c>
      <c r="U102" s="18">
        <f t="shared" ca="1" si="16"/>
        <v>5689045.6695056772</v>
      </c>
      <c r="V102" s="18">
        <f>SUMIF(Imóveis!E:E,Dados!A:A,Imóveis!Z:Z)-SUMIF(Imóveis!E:E,Dados!A:A,Imóveis!Y:Y)</f>
        <v>0</v>
      </c>
      <c r="W102" s="18">
        <f>-SUMIF(Projetos!N:N,A102,Projetos!F:F)</f>
        <v>0</v>
      </c>
      <c r="X102" s="18">
        <f t="shared" ca="1" si="10"/>
        <v>1716.9318600842962</v>
      </c>
      <c r="Y102" s="26">
        <f ca="1">(U102*((Indicadores_Economicos!D$2+1)^(1/12)-1))</f>
        <v>18624.455131007195</v>
      </c>
      <c r="Z102" s="18">
        <f t="shared" ca="1" si="14"/>
        <v>5709387.0564967692</v>
      </c>
      <c r="AA102" s="18">
        <f ca="1">Auxiliar_Projetos!E102</f>
        <v>165936.67292597759</v>
      </c>
      <c r="AB102" s="18">
        <f ca="1">Auxiliar_Projetos!K102</f>
        <v>399499.29247857642</v>
      </c>
      <c r="AC102" s="18">
        <f ca="1">IF(Z102-AA102-AB102&gt;Investimentos!$C$14,Investimentos!$C$14,IF(Z102-AA102-AB102&lt;Investimentos!$C$14,Z102-AA102-AB102,0))</f>
        <v>300000</v>
      </c>
      <c r="AD102" s="18">
        <f t="shared" ca="1" si="15"/>
        <v>4843951.0910922149</v>
      </c>
      <c r="AE102" s="18"/>
    </row>
    <row r="103" spans="1:31" x14ac:dyDescent="0.2">
      <c r="A103" s="4">
        <v>48731</v>
      </c>
      <c r="B103" s="5" t="str">
        <f t="shared" si="11"/>
        <v>junho</v>
      </c>
      <c r="C103" s="5" t="str">
        <f t="shared" si="18"/>
        <v>2033</v>
      </c>
      <c r="D103" s="5">
        <f>SUMIFS(Despesas!$F:$F,Despesas!$J:$J,"&lt;="&amp;$A103,Despesas!$L:$L,"&gt;="&amp;$A103,Despesas!$C:$C,D$1,Despesas!$M:$M,"Mensal")+SUMIFS(Despesas!$F:$F,Despesas!$J:$J,"&lt;="&amp;$A103,Despesas!$L:$L,"&gt;="&amp;$A103,Despesas!$C:$C,D$1,Despesas!$M:$M,$B103)</f>
        <v>23000</v>
      </c>
      <c r="E103" s="18">
        <f>SUMIFS(Despesas!$F:$F,Despesas!$J:$J,"&lt;="&amp;$A103,Despesas!$L:$L,"&gt;="&amp;$A103,Despesas!$C:$C,E$1,Despesas!$M:$M,"Mensal")+SUMIFS(Despesas!$F:$F,Despesas!$J:$J,"&lt;="&amp;$A103,Despesas!$L:$L,"&gt;="&amp;$A103,Despesas!$C:$C,E$1,Despesas!$M:$M,$B103)</f>
        <v>18000</v>
      </c>
      <c r="F103" s="5">
        <f>SUMIFS(Despesas!$F:$F,Despesas!$J:$J,"&lt;="&amp;$A103,Despesas!$L:$L,"&gt;="&amp;$A103,Despesas!$C:$C,F$1,Despesas!$M:$M,"Mensal")+SUMIFS(Despesas!$F:$F,Despesas!$J:$J,"&lt;="&amp;$A103,Despesas!$L:$L,"&gt;="&amp;$A103,Despesas!$C:$C,F$1,Despesas!$M:$M,$B103)</f>
        <v>13000</v>
      </c>
      <c r="G103" s="5">
        <f>SUMIFS(Despesas!$F:$F,Despesas!$J:$J,"&lt;="&amp;$A103,Despesas!$L:$L,"&gt;="&amp;$A103,Despesas!$C:$C,G$1,Despesas!$M:$M,"Mensal")+SUMIFS(Despesas!$F:$F,Despesas!$J:$J,"&lt;="&amp;$A103,Despesas!$L:$L,"&gt;="&amp;$A103,Despesas!$C:$C,G$1,Despesas!$M:$M,$B103)</f>
        <v>0</v>
      </c>
      <c r="H103" s="18">
        <f ca="1">SUMIFS(Despesas!$F:$F,Despesas!$J:$J,"&lt;="&amp;$A103,Despesas!$L:$L,"&gt;="&amp;$A103,Despesas!$C:$C,H$1,Despesas!$M:$M,"Mensal")+SUMIFS(Despesas!$F:$F,Despesas!$J:$J,"&lt;="&amp;$A103,Despesas!$L:$L,"&gt;="&amp;$A103,Despesas!$C:$C,H$1,Despesas!$M:$M,$B103)</f>
        <v>2686.355</v>
      </c>
      <c r="I103" s="18">
        <f>IF(Imóveis!$F$2="PRICE",IF(AND(Dados!$A103&gt;=Imóveis!$Q$2,Dados!$A103&lt;=Imóveis!$T$2),Imóveis!$U$2,0),IF((IF(AND(Dados!$A103&gt;=Imóveis!$Q$2,Dados!$A103&lt;=Imóveis!$T$2),Imóveis!$S$2-(DATEDIF(Imóveis!$Q$2,Dados!$A103,"m")),0))=0,0,((Imóveis!$N$2/Imóveis!$S$2)+((Imóveis!$N$2-((Imóveis!$S$2-(IF(AND(Dados!$A103&gt;=Imóveis!$Q$2,Dados!$A103&lt;=Imóveis!$T$2),Imóveis!$S$2-(DATEDIF(Imóveis!$Q$2,Dados!$A103,"m")),)))*(Imóveis!$N$2/Imóveis!$S$2)))*Imóveis!$P$2))))*IF(AND(Imóveis!$E$2&gt;0,Dados!$A103&gt;Imóveis!$E$2),0,1)</f>
        <v>12677.444063537536</v>
      </c>
      <c r="J103" s="18">
        <f ca="1">IF(Imóveis!$F$3="PRICE",IF(AND(Dados!$A103&gt;=Imóveis!$Q$3,Dados!$A103&lt;=Imóveis!$T$3),Imóveis!$U$3,0),IF((IF(AND(Dados!$A103&gt;=Imóveis!$Q$3,Dados!$A103&lt;=Imóveis!$T$3),Imóveis!$S$3-(DATEDIF(Imóveis!$Q$3,Dados!$A103,"m")),0))=0,0,((Imóveis!$N$3/Imóveis!$S$3)+((Imóveis!$N$3-((Imóveis!$S$3-(IF(AND(Dados!$A103&gt;=Imóveis!$Q$3,Dados!$A103&lt;=Imóveis!$T$3),Imóveis!$S$3-(DATEDIF(Imóveis!$Q$3,Dados!$A103,"m")),)))*(Imóveis!$N$3/Imóveis!$S$3)))*Imóveis!$P$3))))*IF(AND(Imóveis!$E$3&gt;0,Dados!$A103&gt;Imóveis!$E$3),0,1)</f>
        <v>9314.6986248807771</v>
      </c>
      <c r="K103" s="18">
        <f>IF(Imóveis!$F$4="PRICE",IF(AND(Dados!$A103&gt;=Imóveis!$Q$4,Dados!$A103&lt;=Imóveis!$T$4),Imóveis!$U$4,0),IF((IF(AND(Dados!$A103&gt;=Imóveis!$Q$4,Dados!$A103&lt;=Imóveis!$T$4),Imóveis!$S$4-(DATEDIF(Imóveis!$Q$4,Dados!$A103,"m")),0))=0,0,((Imóveis!$N$4/Imóveis!$S$4)+((Imóveis!$N$4-((Imóveis!$S$4-(IF(AND(Dados!$A103&gt;=Imóveis!$Q$4,Dados!$A103&lt;=Imóveis!$T$4),Imóveis!$S$4-(DATEDIF(Imóveis!$Q$4,Dados!$A103,"m")),)))*(Imóveis!$N$4/Imóveis!$S$4)))*Imóveis!$P$4))))*IF(AND(Imóveis!$E$4&gt;0,Dados!$A103&gt;Imóveis!$E$4),0,1)</f>
        <v>4643.949359272583</v>
      </c>
      <c r="L103" s="18">
        <f>IF(Imóveis!$F$5="PRICE",IF(AND(Dados!$A103&gt;=Imóveis!$Q$5,Dados!$A103&lt;=Imóveis!$T$5),Imóveis!$U$5,0),IF((IF(AND(Dados!$A103&gt;=Imóveis!$Q$5,Dados!$A103&lt;=Imóveis!$T$5),Imóveis!$S$5-(DATEDIF(Imóveis!$Q$5,Dados!$A103,"m")),0))=0,0,((Imóveis!$N$5/Imóveis!$S$5)+((Imóveis!$N$5-((Imóveis!$S$5-(IF(AND(Dados!$A103 &gt;=Imóveis!$Q$5,Dados!$A103&lt;=Imóveis!$T$5),Imóveis!$S$5-(DATEDIF(Imóveis!$Q$5,Dados!$A103,"m")),)))*(Imóveis!$N$5/Imóveis!$S$5)))*Imóveis!$P$5))))*IF(AND(Imóveis!$E$5&gt;0,Dados!$A103&gt;Imóveis!$E$5),0,1)*Imóveis!$I$5</f>
        <v>0</v>
      </c>
      <c r="M103" s="18">
        <f>IF(Imóveis!$F$6="PRICE",IF(AND(Dados!$A103&gt;=Imóveis!$Q$6,Dados!$A103&lt;=Imóveis!$T$6),Imóveis!$U$6,0),IF((IF(AND(Dados!$A103&gt;=Imóveis!$Q$6,Dados!$A103&lt;=Imóveis!$T$6),Imóveis!$S$6-(DATEDIF(Imóveis!$Q$6,Dados!$A103,"m")),0))=0,0,((Imóveis!$N$6/Imóveis!$S$6)+((Imóveis!$N$6-((Imóveis!$S$6-(IF(AND(Dados!$A103&gt;=Imóveis!$Q$6,Dados!$A103&lt;=Imóveis!$T$6),Imóveis!$S$6-(DATEDIF(Imóveis!$Q$6,Dados!$A103,"m")),)))*(Imóveis!$N$6/Imóveis!$S$6)))*Imóveis!$P$6))))*IF(AND(Imóveis!$E$6&gt;0,Dados!$A103&gt;Imóveis!$E$6),0,1)*Imóveis!$I$6</f>
        <v>0</v>
      </c>
      <c r="N103" s="18">
        <f t="shared" ca="1" si="12"/>
        <v>83322.44704769089</v>
      </c>
      <c r="O103" s="18">
        <f>SUMIFS(Receitas!$F:$F,Receitas!$J:$J,"&lt;="&amp;$A103,Receitas!$L:$L,"&gt;="&amp;$A103,Receitas!$C:$C,O$1,Receitas!$M:$M,"Mensal")+SUMIFS(Receitas!$F:$F,Receitas!$J:$J,"&lt;="&amp;$A103,Receitas!$L:$L,"&gt;="&amp;$A103,Receitas!$C:$C,O$1,Receitas!$M:$M,$B103)</f>
        <v>50000</v>
      </c>
      <c r="P103" s="18">
        <f>SUMIFS(Receitas!$F:$F,Receitas!$J:$J,"&lt;="&amp;$A103,Receitas!$L:$L,"&gt;="&amp;$A103,Receitas!$C:$C,P$1,Receitas!$M:$M,"Mensal")+SUMIFS(Receitas!$F:$F,Receitas!$J:$J,"&lt;="&amp;$A103,Receitas!$L:$L,"&gt;="&amp;$A103,Receitas!$C:$C,P$1,Receitas!$M:$M,$B103)</f>
        <v>20000</v>
      </c>
      <c r="Q103" s="18">
        <f ca="1">SUMIFS(Receitas!$F:$F,Receitas!$J:$J,"&lt;="&amp;$A103,Receitas!$L:$L,"&gt;="&amp;$A103,Receitas!$C:$C,Q$1,Receitas!$M:$M,"Mensal")+SUMIFS(Receitas!$F:$F,Receitas!$J:$J,"&lt;="&amp;$A103,Receitas!$L:$L,"&gt;="&amp;$A103,Receitas!$C:$C,Q$1,Receitas!$M:$M,$B103)</f>
        <v>15101.400000000001</v>
      </c>
      <c r="R103" s="18" cm="1">
        <f t="array" ref="R103">(IF(AND(Membros!$F$2="Sim",A103&lt;=MAX(Membros!$E$2:$E$5)),Membros!K$2,IF(AND(A103&gt;=Membros!J$2,A103&lt;=MAX(Membros!$E$2:$E$5)),Membros!K$2,0))+IF(AND(Membros!$F$3="Sim",A103&lt;=MAX(Membros!$E$2:$E$5)),Membros!K$3,IF(AND(A103&gt;=Membros!J$3,A103&lt;=MAX(Membros!$E$2:$E$5)),Membros!K$3,0)))*IF(AND(COUNTIFS(Tabela3[Tipo],"Provedor",Tabela3[Simulação Seguro],"Sim")=2,A103&gt;=MAX(IF(Tabela3[Tipo]="Dependente",Tabela3[Expectativa de Vida (Data)]))),0,1)</f>
        <v>0</v>
      </c>
      <c r="S103" s="18">
        <f t="shared" ca="1" si="13"/>
        <v>85101.4</v>
      </c>
      <c r="U103" s="18">
        <f t="shared" ca="1" si="16"/>
        <v>5709387.0564967692</v>
      </c>
      <c r="V103" s="18">
        <f>SUMIF(Imóveis!E:E,Dados!A:A,Imóveis!Z:Z)-SUMIF(Imóveis!E:E,Dados!A:A,Imóveis!Y:Y)</f>
        <v>0</v>
      </c>
      <c r="W103" s="18">
        <f>-SUMIF(Projetos!N:N,A103,Projetos!F:F)</f>
        <v>0</v>
      </c>
      <c r="X103" s="18">
        <f t="shared" ca="1" si="10"/>
        <v>1778.9529523091041</v>
      </c>
      <c r="Y103" s="26">
        <f ca="1">(U103*((Indicadores_Economicos!D$2+1)^(1/12)-1))</f>
        <v>18691.047538825034</v>
      </c>
      <c r="Z103" s="18">
        <f t="shared" ca="1" si="14"/>
        <v>5729857.056987904</v>
      </c>
      <c r="AA103" s="18">
        <f ca="1">Auxiliar_Projetos!E103</f>
        <v>166479.90641346108</v>
      </c>
      <c r="AB103" s="18">
        <f ca="1">Auxiliar_Projetos!K103</f>
        <v>400807.14920532383</v>
      </c>
      <c r="AC103" s="18">
        <f ca="1">IF(Z103-AA103-AB103&gt;Investimentos!$C$14,Investimentos!$C$14,IF(Z103-AA103-AB103&lt;Investimentos!$C$14,Z103-AA103-AB103,0))</f>
        <v>300000</v>
      </c>
      <c r="AD103" s="18">
        <f t="shared" ca="1" si="15"/>
        <v>4862570.0013691187</v>
      </c>
      <c r="AE103" s="18"/>
    </row>
    <row r="104" spans="1:31" x14ac:dyDescent="0.2">
      <c r="A104" s="4">
        <v>48761</v>
      </c>
      <c r="B104" s="5" t="str">
        <f t="shared" si="11"/>
        <v>julho</v>
      </c>
      <c r="C104" s="5" t="str">
        <f t="shared" si="18"/>
        <v>2033</v>
      </c>
      <c r="D104" s="5">
        <f>SUMIFS(Despesas!$F:$F,Despesas!$J:$J,"&lt;="&amp;$A104,Despesas!$L:$L,"&gt;="&amp;$A104,Despesas!$C:$C,D$1,Despesas!$M:$M,"Mensal")+SUMIFS(Despesas!$F:$F,Despesas!$J:$J,"&lt;="&amp;$A104,Despesas!$L:$L,"&gt;="&amp;$A104,Despesas!$C:$C,D$1,Despesas!$M:$M,$B104)</f>
        <v>23000</v>
      </c>
      <c r="E104" s="18">
        <f>SUMIFS(Despesas!$F:$F,Despesas!$J:$J,"&lt;="&amp;$A104,Despesas!$L:$L,"&gt;="&amp;$A104,Despesas!$C:$C,E$1,Despesas!$M:$M,"Mensal")+SUMIFS(Despesas!$F:$F,Despesas!$J:$J,"&lt;="&amp;$A104,Despesas!$L:$L,"&gt;="&amp;$A104,Despesas!$C:$C,E$1,Despesas!$M:$M,$B104)</f>
        <v>18000</v>
      </c>
      <c r="F104" s="5">
        <f>SUMIFS(Despesas!$F:$F,Despesas!$J:$J,"&lt;="&amp;$A104,Despesas!$L:$L,"&gt;="&amp;$A104,Despesas!$C:$C,F$1,Despesas!$M:$M,"Mensal")+SUMIFS(Despesas!$F:$F,Despesas!$J:$J,"&lt;="&amp;$A104,Despesas!$L:$L,"&gt;="&amp;$A104,Despesas!$C:$C,F$1,Despesas!$M:$M,$B104)</f>
        <v>13000</v>
      </c>
      <c r="G104" s="5">
        <f ca="1">SUMIFS(Despesas!$F:$F,Despesas!$J:$J,"&lt;="&amp;$A104,Despesas!$L:$L,"&gt;="&amp;$A104,Despesas!$C:$C,G$1,Despesas!$M:$M,"Mensal")+SUMIFS(Despesas!$F:$F,Despesas!$J:$J,"&lt;="&amp;$A104,Despesas!$L:$L,"&gt;="&amp;$A104,Despesas!$C:$C,G$1,Despesas!$M:$M,$B104)</f>
        <v>55757</v>
      </c>
      <c r="H104" s="18">
        <f ca="1">SUMIFS(Despesas!$F:$F,Despesas!$J:$J,"&lt;="&amp;$A104,Despesas!$L:$L,"&gt;="&amp;$A104,Despesas!$C:$C,H$1,Despesas!$M:$M,"Mensal")+SUMIFS(Despesas!$F:$F,Despesas!$J:$J,"&lt;="&amp;$A104,Despesas!$L:$L,"&gt;="&amp;$A104,Despesas!$C:$C,H$1,Despesas!$M:$M,$B104)</f>
        <v>2686.355</v>
      </c>
      <c r="I104" s="18">
        <f>IF(Imóveis!$F$2="PRICE",IF(AND(Dados!$A104&gt;=Imóveis!$Q$2,Dados!$A104&lt;=Imóveis!$T$2),Imóveis!$U$2,0),IF((IF(AND(Dados!$A104&gt;=Imóveis!$Q$2,Dados!$A104&lt;=Imóveis!$T$2),Imóveis!$S$2-(DATEDIF(Imóveis!$Q$2,Dados!$A104,"m")),0))=0,0,((Imóveis!$N$2/Imóveis!$S$2)+((Imóveis!$N$2-((Imóveis!$S$2-(IF(AND(Dados!$A104&gt;=Imóveis!$Q$2,Dados!$A104&lt;=Imóveis!$T$2),Imóveis!$S$2-(DATEDIF(Imóveis!$Q$2,Dados!$A104,"m")),)))*(Imóveis!$N$2/Imóveis!$S$2)))*Imóveis!$P$2))))*IF(AND(Imóveis!$E$2&gt;0,Dados!$A104&gt;Imóveis!$E$2),0,1)</f>
        <v>12615.422971312728</v>
      </c>
      <c r="J104" s="18">
        <f ca="1">IF(Imóveis!$F$3="PRICE",IF(AND(Dados!$A104&gt;=Imóveis!$Q$3,Dados!$A104&lt;=Imóveis!$T$3),Imóveis!$U$3,0),IF((IF(AND(Dados!$A104&gt;=Imóveis!$Q$3,Dados!$A104&lt;=Imóveis!$T$3),Imóveis!$S$3-(DATEDIF(Imóveis!$Q$3,Dados!$A104,"m")),0))=0,0,((Imóveis!$N$3/Imóveis!$S$3)+((Imóveis!$N$3-((Imóveis!$S$3-(IF(AND(Dados!$A104&gt;=Imóveis!$Q$3,Dados!$A104&lt;=Imóveis!$T$3),Imóveis!$S$3-(DATEDIF(Imóveis!$Q$3,Dados!$A104,"m")),)))*(Imóveis!$N$3/Imóveis!$S$3)))*Imóveis!$P$3))))*IF(AND(Imóveis!$E$3&gt;0,Dados!$A104&gt;Imóveis!$E$3),0,1)</f>
        <v>9314.6986248807771</v>
      </c>
      <c r="K104" s="18">
        <f>IF(Imóveis!$F$4="PRICE",IF(AND(Dados!$A104&gt;=Imóveis!$Q$4,Dados!$A104&lt;=Imóveis!$T$4),Imóveis!$U$4,0),IF((IF(AND(Dados!$A104&gt;=Imóveis!$Q$4,Dados!$A104&lt;=Imóveis!$T$4),Imóveis!$S$4-(DATEDIF(Imóveis!$Q$4,Dados!$A104,"m")),0))=0,0,((Imóveis!$N$4/Imóveis!$S$4)+((Imóveis!$N$4-((Imóveis!$S$4-(IF(AND(Dados!$A104&gt;=Imóveis!$Q$4,Dados!$A104&lt;=Imóveis!$T$4),Imóveis!$S$4-(DATEDIF(Imóveis!$Q$4,Dados!$A104,"m")),)))*(Imóveis!$N$4/Imóveis!$S$4)))*Imóveis!$P$4))))*IF(AND(Imóveis!$E$4&gt;0,Dados!$A104&gt;Imóveis!$E$4),0,1)</f>
        <v>4643.949359272583</v>
      </c>
      <c r="L104" s="18">
        <f>IF(Imóveis!$F$5="PRICE",IF(AND(Dados!$A104&gt;=Imóveis!$Q$5,Dados!$A104&lt;=Imóveis!$T$5),Imóveis!$U$5,0),IF((IF(AND(Dados!$A104&gt;=Imóveis!$Q$5,Dados!$A104&lt;=Imóveis!$T$5),Imóveis!$S$5-(DATEDIF(Imóveis!$Q$5,Dados!$A104,"m")),0))=0,0,((Imóveis!$N$5/Imóveis!$S$5)+((Imóveis!$N$5-((Imóveis!$S$5-(IF(AND(Dados!$A104 &gt;=Imóveis!$Q$5,Dados!$A104&lt;=Imóveis!$T$5),Imóveis!$S$5-(DATEDIF(Imóveis!$Q$5,Dados!$A104,"m")),)))*(Imóveis!$N$5/Imóveis!$S$5)))*Imóveis!$P$5))))*IF(AND(Imóveis!$E$5&gt;0,Dados!$A104&gt;Imóveis!$E$5),0,1)*Imóveis!$I$5</f>
        <v>0</v>
      </c>
      <c r="M104" s="18">
        <f>IF(Imóveis!$F$6="PRICE",IF(AND(Dados!$A104&gt;=Imóveis!$Q$6,Dados!$A104&lt;=Imóveis!$T$6),Imóveis!$U$6,0),IF((IF(AND(Dados!$A104&gt;=Imóveis!$Q$6,Dados!$A104&lt;=Imóveis!$T$6),Imóveis!$S$6-(DATEDIF(Imóveis!$Q$6,Dados!$A104,"m")),0))=0,0,((Imóveis!$N$6/Imóveis!$S$6)+((Imóveis!$N$6-((Imóveis!$S$6-(IF(AND(Dados!$A104&gt;=Imóveis!$Q$6,Dados!$A104&lt;=Imóveis!$T$6),Imóveis!$S$6-(DATEDIF(Imóveis!$Q$6,Dados!$A104,"m")),)))*(Imóveis!$N$6/Imóveis!$S$6)))*Imóveis!$P$6))))*IF(AND(Imóveis!$E$6&gt;0,Dados!$A104&gt;Imóveis!$E$6),0,1)*Imóveis!$I$6</f>
        <v>0</v>
      </c>
      <c r="N104" s="18">
        <f t="shared" ca="1" si="12"/>
        <v>139017.42595546608</v>
      </c>
      <c r="O104" s="18">
        <f>SUMIFS(Receitas!$F:$F,Receitas!$J:$J,"&lt;="&amp;$A104,Receitas!$L:$L,"&gt;="&amp;$A104,Receitas!$C:$C,O$1,Receitas!$M:$M,"Mensal")+SUMIFS(Receitas!$F:$F,Receitas!$J:$J,"&lt;="&amp;$A104,Receitas!$L:$L,"&gt;="&amp;$A104,Receitas!$C:$C,O$1,Receitas!$M:$M,$B104)</f>
        <v>50000</v>
      </c>
      <c r="P104" s="18">
        <f>SUMIFS(Receitas!$F:$F,Receitas!$J:$J,"&lt;="&amp;$A104,Receitas!$L:$L,"&gt;="&amp;$A104,Receitas!$C:$C,P$1,Receitas!$M:$M,"Mensal")+SUMIFS(Receitas!$F:$F,Receitas!$J:$J,"&lt;="&amp;$A104,Receitas!$L:$L,"&gt;="&amp;$A104,Receitas!$C:$C,P$1,Receitas!$M:$M,$B104)</f>
        <v>20000</v>
      </c>
      <c r="Q104" s="18">
        <f ca="1">SUMIFS(Receitas!$F:$F,Receitas!$J:$J,"&lt;="&amp;$A104,Receitas!$L:$L,"&gt;="&amp;$A104,Receitas!$C:$C,Q$1,Receitas!$M:$M,"Mensal")+SUMIFS(Receitas!$F:$F,Receitas!$J:$J,"&lt;="&amp;$A104,Receitas!$L:$L,"&gt;="&amp;$A104,Receitas!$C:$C,Q$1,Receitas!$M:$M,$B104)</f>
        <v>15101.400000000001</v>
      </c>
      <c r="R104" s="18" cm="1">
        <f t="array" ref="R104">(IF(AND(Membros!$F$2="Sim",A104&lt;=MAX(Membros!$E$2:$E$5)),Membros!K$2,IF(AND(A104&gt;=Membros!J$2,A104&lt;=MAX(Membros!$E$2:$E$5)),Membros!K$2,0))+IF(AND(Membros!$F$3="Sim",A104&lt;=MAX(Membros!$E$2:$E$5)),Membros!K$3,IF(AND(A104&gt;=Membros!J$3,A104&lt;=MAX(Membros!$E$2:$E$5)),Membros!K$3,0)))*IF(AND(COUNTIFS(Tabela3[Tipo],"Provedor",Tabela3[Simulação Seguro],"Sim")=2,A104&gt;=MAX(IF(Tabela3[Tipo]="Dependente",Tabela3[Expectativa de Vida (Data)]))),0,1)</f>
        <v>0</v>
      </c>
      <c r="S104" s="18">
        <f t="shared" ca="1" si="13"/>
        <v>85101.4</v>
      </c>
      <c r="U104" s="18">
        <f t="shared" ca="1" si="16"/>
        <v>5729857.056987904</v>
      </c>
      <c r="V104" s="18">
        <f>SUMIF(Imóveis!E:E,Dados!A:A,Imóveis!Z:Z)-SUMIF(Imóveis!E:E,Dados!A:A,Imóveis!Y:Y)</f>
        <v>0</v>
      </c>
      <c r="W104" s="18">
        <f>-SUMIF(Projetos!N:N,A104,Projetos!F:F)</f>
        <v>0</v>
      </c>
      <c r="X104" s="18">
        <f t="shared" ca="1" si="10"/>
        <v>-53916.025955466088</v>
      </c>
      <c r="Y104" s="26">
        <f ca="1">(U104*((Indicadores_Economicos!D$2+1)^(1/12)-1))</f>
        <v>18758.060993774496</v>
      </c>
      <c r="Z104" s="18">
        <f t="shared" ca="1" si="14"/>
        <v>5694699.0920262123</v>
      </c>
      <c r="AA104" s="18">
        <f ca="1">Auxiliar_Projetos!E104</f>
        <v>167024.91830602358</v>
      </c>
      <c r="AB104" s="18">
        <f ca="1">Auxiliar_Projetos!K104</f>
        <v>402119.28751466703</v>
      </c>
      <c r="AC104" s="18">
        <f ca="1">IF(Z104-AA104-AB104&gt;Investimentos!$C$14,Investimentos!$C$14,IF(Z104-AA104-AB104&lt;Investimentos!$C$14,Z104-AA104-AB104,0))</f>
        <v>300000</v>
      </c>
      <c r="AD104" s="18">
        <f t="shared" ca="1" si="15"/>
        <v>4825554.8862055214</v>
      </c>
      <c r="AE104" s="18"/>
    </row>
    <row r="105" spans="1:31" x14ac:dyDescent="0.2">
      <c r="A105" s="4">
        <v>48792</v>
      </c>
      <c r="B105" s="5" t="str">
        <f t="shared" si="11"/>
        <v>agosto</v>
      </c>
      <c r="C105" s="5" t="str">
        <f t="shared" si="18"/>
        <v>2033</v>
      </c>
      <c r="D105" s="5">
        <f>SUMIFS(Despesas!$F:$F,Despesas!$J:$J,"&lt;="&amp;$A105,Despesas!$L:$L,"&gt;="&amp;$A105,Despesas!$C:$C,D$1,Despesas!$M:$M,"Mensal")+SUMIFS(Despesas!$F:$F,Despesas!$J:$J,"&lt;="&amp;$A105,Despesas!$L:$L,"&gt;="&amp;$A105,Despesas!$C:$C,D$1,Despesas!$M:$M,$B105)</f>
        <v>23000</v>
      </c>
      <c r="E105" s="18">
        <f>SUMIFS(Despesas!$F:$F,Despesas!$J:$J,"&lt;="&amp;$A105,Despesas!$L:$L,"&gt;="&amp;$A105,Despesas!$C:$C,E$1,Despesas!$M:$M,"Mensal")+SUMIFS(Despesas!$F:$F,Despesas!$J:$J,"&lt;="&amp;$A105,Despesas!$L:$L,"&gt;="&amp;$A105,Despesas!$C:$C,E$1,Despesas!$M:$M,$B105)</f>
        <v>18000</v>
      </c>
      <c r="F105" s="5">
        <f>SUMIFS(Despesas!$F:$F,Despesas!$J:$J,"&lt;="&amp;$A105,Despesas!$L:$L,"&gt;="&amp;$A105,Despesas!$C:$C,F$1,Despesas!$M:$M,"Mensal")+SUMIFS(Despesas!$F:$F,Despesas!$J:$J,"&lt;="&amp;$A105,Despesas!$L:$L,"&gt;="&amp;$A105,Despesas!$C:$C,F$1,Despesas!$M:$M,$B105)</f>
        <v>13000</v>
      </c>
      <c r="G105" s="5">
        <f>SUMIFS(Despesas!$F:$F,Despesas!$J:$J,"&lt;="&amp;$A105,Despesas!$L:$L,"&gt;="&amp;$A105,Despesas!$C:$C,G$1,Despesas!$M:$M,"Mensal")+SUMIFS(Despesas!$F:$F,Despesas!$J:$J,"&lt;="&amp;$A105,Despesas!$L:$L,"&gt;="&amp;$A105,Despesas!$C:$C,G$1,Despesas!$M:$M,$B105)</f>
        <v>0</v>
      </c>
      <c r="H105" s="18">
        <f ca="1">SUMIFS(Despesas!$F:$F,Despesas!$J:$J,"&lt;="&amp;$A105,Despesas!$L:$L,"&gt;="&amp;$A105,Despesas!$C:$C,H$1,Despesas!$M:$M,"Mensal")+SUMIFS(Despesas!$F:$F,Despesas!$J:$J,"&lt;="&amp;$A105,Despesas!$L:$L,"&gt;="&amp;$A105,Despesas!$C:$C,H$1,Despesas!$M:$M,$B105)</f>
        <v>2686.355</v>
      </c>
      <c r="I105" s="18">
        <f>IF(Imóveis!$F$2="PRICE",IF(AND(Dados!$A105&gt;=Imóveis!$Q$2,Dados!$A105&lt;=Imóveis!$T$2),Imóveis!$U$2,0),IF((IF(AND(Dados!$A105&gt;=Imóveis!$Q$2,Dados!$A105&lt;=Imóveis!$T$2),Imóveis!$S$2-(DATEDIF(Imóveis!$Q$2,Dados!$A105,"m")),0))=0,0,((Imóveis!$N$2/Imóveis!$S$2)+((Imóveis!$N$2-((Imóveis!$S$2-(IF(AND(Dados!$A105&gt;=Imóveis!$Q$2,Dados!$A105&lt;=Imóveis!$T$2),Imóveis!$S$2-(DATEDIF(Imóveis!$Q$2,Dados!$A105,"m")),)))*(Imóveis!$N$2/Imóveis!$S$2)))*Imóveis!$P$2))))*IF(AND(Imóveis!$E$2&gt;0,Dados!$A105&gt;Imóveis!$E$2),0,1)</f>
        <v>12553.40187908792</v>
      </c>
      <c r="J105" s="18">
        <f ca="1">IF(Imóveis!$F$3="PRICE",IF(AND(Dados!$A105&gt;=Imóveis!$Q$3,Dados!$A105&lt;=Imóveis!$T$3),Imóveis!$U$3,0),IF((IF(AND(Dados!$A105&gt;=Imóveis!$Q$3,Dados!$A105&lt;=Imóveis!$T$3),Imóveis!$S$3-(DATEDIF(Imóveis!$Q$3,Dados!$A105,"m")),0))=0,0,((Imóveis!$N$3/Imóveis!$S$3)+((Imóveis!$N$3-((Imóveis!$S$3-(IF(AND(Dados!$A105&gt;=Imóveis!$Q$3,Dados!$A105&lt;=Imóveis!$T$3),Imóveis!$S$3-(DATEDIF(Imóveis!$Q$3,Dados!$A105,"m")),)))*(Imóveis!$N$3/Imóveis!$S$3)))*Imóveis!$P$3))))*IF(AND(Imóveis!$E$3&gt;0,Dados!$A105&gt;Imóveis!$E$3),0,1)</f>
        <v>9314.6986248807771</v>
      </c>
      <c r="K105" s="18">
        <f>IF(Imóveis!$F$4="PRICE",IF(AND(Dados!$A105&gt;=Imóveis!$Q$4,Dados!$A105&lt;=Imóveis!$T$4),Imóveis!$U$4,0),IF((IF(AND(Dados!$A105&gt;=Imóveis!$Q$4,Dados!$A105&lt;=Imóveis!$T$4),Imóveis!$S$4-(DATEDIF(Imóveis!$Q$4,Dados!$A105,"m")),0))=0,0,((Imóveis!$N$4/Imóveis!$S$4)+((Imóveis!$N$4-((Imóveis!$S$4-(IF(AND(Dados!$A105&gt;=Imóveis!$Q$4,Dados!$A105&lt;=Imóveis!$T$4),Imóveis!$S$4-(DATEDIF(Imóveis!$Q$4,Dados!$A105,"m")),)))*(Imóveis!$N$4/Imóveis!$S$4)))*Imóveis!$P$4))))*IF(AND(Imóveis!$E$4&gt;0,Dados!$A105&gt;Imóveis!$E$4),0,1)</f>
        <v>4643.949359272583</v>
      </c>
      <c r="L105" s="18">
        <f>IF(Imóveis!$F$5="PRICE",IF(AND(Dados!$A105&gt;=Imóveis!$Q$5,Dados!$A105&lt;=Imóveis!$T$5),Imóveis!$U$5,0),IF((IF(AND(Dados!$A105&gt;=Imóveis!$Q$5,Dados!$A105&lt;=Imóveis!$T$5),Imóveis!$S$5-(DATEDIF(Imóveis!$Q$5,Dados!$A105,"m")),0))=0,0,((Imóveis!$N$5/Imóveis!$S$5)+((Imóveis!$N$5-((Imóveis!$S$5-(IF(AND(Dados!$A105 &gt;=Imóveis!$Q$5,Dados!$A105&lt;=Imóveis!$T$5),Imóveis!$S$5-(DATEDIF(Imóveis!$Q$5,Dados!$A105,"m")),)))*(Imóveis!$N$5/Imóveis!$S$5)))*Imóveis!$P$5))))*IF(AND(Imóveis!$E$5&gt;0,Dados!$A105&gt;Imóveis!$E$5),0,1)*Imóveis!$I$5</f>
        <v>0</v>
      </c>
      <c r="M105" s="18">
        <f>IF(Imóveis!$F$6="PRICE",IF(AND(Dados!$A105&gt;=Imóveis!$Q$6,Dados!$A105&lt;=Imóveis!$T$6),Imóveis!$U$6,0),IF((IF(AND(Dados!$A105&gt;=Imóveis!$Q$6,Dados!$A105&lt;=Imóveis!$T$6),Imóveis!$S$6-(DATEDIF(Imóveis!$Q$6,Dados!$A105,"m")),0))=0,0,((Imóveis!$N$6/Imóveis!$S$6)+((Imóveis!$N$6-((Imóveis!$S$6-(IF(AND(Dados!$A105&gt;=Imóveis!$Q$6,Dados!$A105&lt;=Imóveis!$T$6),Imóveis!$S$6-(DATEDIF(Imóveis!$Q$6,Dados!$A105,"m")),)))*(Imóveis!$N$6/Imóveis!$S$6)))*Imóveis!$P$6))))*IF(AND(Imóveis!$E$6&gt;0,Dados!$A105&gt;Imóveis!$E$6),0,1)*Imóveis!$I$6</f>
        <v>0</v>
      </c>
      <c r="N105" s="18">
        <f t="shared" ca="1" si="12"/>
        <v>83198.404863241274</v>
      </c>
      <c r="O105" s="18">
        <f>SUMIFS(Receitas!$F:$F,Receitas!$J:$J,"&lt;="&amp;$A105,Receitas!$L:$L,"&gt;="&amp;$A105,Receitas!$C:$C,O$1,Receitas!$M:$M,"Mensal")+SUMIFS(Receitas!$F:$F,Receitas!$J:$J,"&lt;="&amp;$A105,Receitas!$L:$L,"&gt;="&amp;$A105,Receitas!$C:$C,O$1,Receitas!$M:$M,$B105)</f>
        <v>50000</v>
      </c>
      <c r="P105" s="18">
        <f>SUMIFS(Receitas!$F:$F,Receitas!$J:$J,"&lt;="&amp;$A105,Receitas!$L:$L,"&gt;="&amp;$A105,Receitas!$C:$C,P$1,Receitas!$M:$M,"Mensal")+SUMIFS(Receitas!$F:$F,Receitas!$J:$J,"&lt;="&amp;$A105,Receitas!$L:$L,"&gt;="&amp;$A105,Receitas!$C:$C,P$1,Receitas!$M:$M,$B105)</f>
        <v>20000</v>
      </c>
      <c r="Q105" s="18">
        <f ca="1">SUMIFS(Receitas!$F:$F,Receitas!$J:$J,"&lt;="&amp;$A105,Receitas!$L:$L,"&gt;="&amp;$A105,Receitas!$C:$C,Q$1,Receitas!$M:$M,"Mensal")+SUMIFS(Receitas!$F:$F,Receitas!$J:$J,"&lt;="&amp;$A105,Receitas!$L:$L,"&gt;="&amp;$A105,Receitas!$C:$C,Q$1,Receitas!$M:$M,$B105)</f>
        <v>15101.400000000001</v>
      </c>
      <c r="R105" s="18" cm="1">
        <f t="array" ref="R105">(IF(AND(Membros!$F$2="Sim",A105&lt;=MAX(Membros!$E$2:$E$5)),Membros!K$2,IF(AND(A105&gt;=Membros!J$2,A105&lt;=MAX(Membros!$E$2:$E$5)),Membros!K$2,0))+IF(AND(Membros!$F$3="Sim",A105&lt;=MAX(Membros!$E$2:$E$5)),Membros!K$3,IF(AND(A105&gt;=Membros!J$3,A105&lt;=MAX(Membros!$E$2:$E$5)),Membros!K$3,0)))*IF(AND(COUNTIFS(Tabela3[Tipo],"Provedor",Tabela3[Simulação Seguro],"Sim")=2,A105&gt;=MAX(IF(Tabela3[Tipo]="Dependente",Tabela3[Expectativa de Vida (Data)]))),0,1)</f>
        <v>0</v>
      </c>
      <c r="S105" s="18">
        <f t="shared" ca="1" si="13"/>
        <v>85101.4</v>
      </c>
      <c r="U105" s="18">
        <f t="shared" ca="1" si="16"/>
        <v>5694699.0920262123</v>
      </c>
      <c r="V105" s="18">
        <f>SUMIF(Imóveis!E:E,Dados!A:A,Imóveis!Z:Z)-SUMIF(Imóveis!E:E,Dados!A:A,Imóveis!Y:Y)</f>
        <v>0</v>
      </c>
      <c r="W105" s="18">
        <f>-SUMIF(Projetos!N:N,A105,Projetos!F:F)</f>
        <v>0</v>
      </c>
      <c r="X105" s="18">
        <f t="shared" ca="1" si="10"/>
        <v>1902.99513675872</v>
      </c>
      <c r="Y105" s="26">
        <f ca="1">(U105*((Indicadores_Economicos!D$2+1)^(1/12)-1))</f>
        <v>18642.962965218248</v>
      </c>
      <c r="Z105" s="18">
        <f t="shared" ca="1" si="14"/>
        <v>5715245.0501281889</v>
      </c>
      <c r="AA105" s="18">
        <f ca="1">Auxiliar_Projetos!E105</f>
        <v>167571.71442570054</v>
      </c>
      <c r="AB105" s="18">
        <f ca="1">Auxiliar_Projetos!K105</f>
        <v>403435.72142339329</v>
      </c>
      <c r="AC105" s="18">
        <f ca="1">IF(Z105-AA105-AB105&gt;Investimentos!$C$14,Investimentos!$C$14,IF(Z105-AA105-AB105&lt;Investimentos!$C$14,Z105-AA105-AB105,0))</f>
        <v>300000</v>
      </c>
      <c r="AD105" s="18">
        <f t="shared" ca="1" si="15"/>
        <v>4844237.6142790951</v>
      </c>
      <c r="AE105" s="18"/>
    </row>
    <row r="106" spans="1:31" x14ac:dyDescent="0.2">
      <c r="A106" s="4">
        <v>48823</v>
      </c>
      <c r="B106" s="5" t="str">
        <f t="shared" si="11"/>
        <v>setembro</v>
      </c>
      <c r="C106" s="5" t="str">
        <f t="shared" si="18"/>
        <v>2033</v>
      </c>
      <c r="D106" s="5">
        <f>SUMIFS(Despesas!$F:$F,Despesas!$J:$J,"&lt;="&amp;$A106,Despesas!$L:$L,"&gt;="&amp;$A106,Despesas!$C:$C,D$1,Despesas!$M:$M,"Mensal")+SUMIFS(Despesas!$F:$F,Despesas!$J:$J,"&lt;="&amp;$A106,Despesas!$L:$L,"&gt;="&amp;$A106,Despesas!$C:$C,D$1,Despesas!$M:$M,$B106)</f>
        <v>23000</v>
      </c>
      <c r="E106" s="18">
        <f>SUMIFS(Despesas!$F:$F,Despesas!$J:$J,"&lt;="&amp;$A106,Despesas!$L:$L,"&gt;="&amp;$A106,Despesas!$C:$C,E$1,Despesas!$M:$M,"Mensal")+SUMIFS(Despesas!$F:$F,Despesas!$J:$J,"&lt;="&amp;$A106,Despesas!$L:$L,"&gt;="&amp;$A106,Despesas!$C:$C,E$1,Despesas!$M:$M,$B106)</f>
        <v>18000</v>
      </c>
      <c r="F106" s="5">
        <f>SUMIFS(Despesas!$F:$F,Despesas!$J:$J,"&lt;="&amp;$A106,Despesas!$L:$L,"&gt;="&amp;$A106,Despesas!$C:$C,F$1,Despesas!$M:$M,"Mensal")+SUMIFS(Despesas!$F:$F,Despesas!$J:$J,"&lt;="&amp;$A106,Despesas!$L:$L,"&gt;="&amp;$A106,Despesas!$C:$C,F$1,Despesas!$M:$M,$B106)</f>
        <v>13000</v>
      </c>
      <c r="G106" s="5">
        <f>SUMIFS(Despesas!$F:$F,Despesas!$J:$J,"&lt;="&amp;$A106,Despesas!$L:$L,"&gt;="&amp;$A106,Despesas!$C:$C,G$1,Despesas!$M:$M,"Mensal")+SUMIFS(Despesas!$F:$F,Despesas!$J:$J,"&lt;="&amp;$A106,Despesas!$L:$L,"&gt;="&amp;$A106,Despesas!$C:$C,G$1,Despesas!$M:$M,$B106)</f>
        <v>0</v>
      </c>
      <c r="H106" s="18">
        <f ca="1">SUMIFS(Despesas!$F:$F,Despesas!$J:$J,"&lt;="&amp;$A106,Despesas!$L:$L,"&gt;="&amp;$A106,Despesas!$C:$C,H$1,Despesas!$M:$M,"Mensal")+SUMIFS(Despesas!$F:$F,Despesas!$J:$J,"&lt;="&amp;$A106,Despesas!$L:$L,"&gt;="&amp;$A106,Despesas!$C:$C,H$1,Despesas!$M:$M,$B106)</f>
        <v>2686.355</v>
      </c>
      <c r="I106" s="18">
        <f>IF(Imóveis!$F$2="PRICE",IF(AND(Dados!$A106&gt;=Imóveis!$Q$2,Dados!$A106&lt;=Imóveis!$T$2),Imóveis!$U$2,0),IF((IF(AND(Dados!$A106&gt;=Imóveis!$Q$2,Dados!$A106&lt;=Imóveis!$T$2),Imóveis!$S$2-(DATEDIF(Imóveis!$Q$2,Dados!$A106,"m")),0))=0,0,((Imóveis!$N$2/Imóveis!$S$2)+((Imóveis!$N$2-((Imóveis!$S$2-(IF(AND(Dados!$A106&gt;=Imóveis!$Q$2,Dados!$A106&lt;=Imóveis!$T$2),Imóveis!$S$2-(DATEDIF(Imóveis!$Q$2,Dados!$A106,"m")),)))*(Imóveis!$N$2/Imóveis!$S$2)))*Imóveis!$P$2))))*IF(AND(Imóveis!$E$2&gt;0,Dados!$A106&gt;Imóveis!$E$2),0,1)</f>
        <v>12491.380786863114</v>
      </c>
      <c r="J106" s="18">
        <f ca="1">IF(Imóveis!$F$3="PRICE",IF(AND(Dados!$A106&gt;=Imóveis!$Q$3,Dados!$A106&lt;=Imóveis!$T$3),Imóveis!$U$3,0),IF((IF(AND(Dados!$A106&gt;=Imóveis!$Q$3,Dados!$A106&lt;=Imóveis!$T$3),Imóveis!$S$3-(DATEDIF(Imóveis!$Q$3,Dados!$A106,"m")),0))=0,0,((Imóveis!$N$3/Imóveis!$S$3)+((Imóveis!$N$3-((Imóveis!$S$3-(IF(AND(Dados!$A106&gt;=Imóveis!$Q$3,Dados!$A106&lt;=Imóveis!$T$3),Imóveis!$S$3-(DATEDIF(Imóveis!$Q$3,Dados!$A106,"m")),)))*(Imóveis!$N$3/Imóveis!$S$3)))*Imóveis!$P$3))))*IF(AND(Imóveis!$E$3&gt;0,Dados!$A106&gt;Imóveis!$E$3),0,1)</f>
        <v>9314.6986248807771</v>
      </c>
      <c r="K106" s="18">
        <f>IF(Imóveis!$F$4="PRICE",IF(AND(Dados!$A106&gt;=Imóveis!$Q$4,Dados!$A106&lt;=Imóveis!$T$4),Imóveis!$U$4,0),IF((IF(AND(Dados!$A106&gt;=Imóveis!$Q$4,Dados!$A106&lt;=Imóveis!$T$4),Imóveis!$S$4-(DATEDIF(Imóveis!$Q$4,Dados!$A106,"m")),0))=0,0,((Imóveis!$N$4/Imóveis!$S$4)+((Imóveis!$N$4-((Imóveis!$S$4-(IF(AND(Dados!$A106&gt;=Imóveis!$Q$4,Dados!$A106&lt;=Imóveis!$T$4),Imóveis!$S$4-(DATEDIF(Imóveis!$Q$4,Dados!$A106,"m")),)))*(Imóveis!$N$4/Imóveis!$S$4)))*Imóveis!$P$4))))*IF(AND(Imóveis!$E$4&gt;0,Dados!$A106&gt;Imóveis!$E$4),0,1)</f>
        <v>4643.949359272583</v>
      </c>
      <c r="L106" s="18">
        <f>IF(Imóveis!$F$5="PRICE",IF(AND(Dados!$A106&gt;=Imóveis!$Q$5,Dados!$A106&lt;=Imóveis!$T$5),Imóveis!$U$5,0),IF((IF(AND(Dados!$A106&gt;=Imóveis!$Q$5,Dados!$A106&lt;=Imóveis!$T$5),Imóveis!$S$5-(DATEDIF(Imóveis!$Q$5,Dados!$A106,"m")),0))=0,0,((Imóveis!$N$5/Imóveis!$S$5)+((Imóveis!$N$5-((Imóveis!$S$5-(IF(AND(Dados!$A106 &gt;=Imóveis!$Q$5,Dados!$A106&lt;=Imóveis!$T$5),Imóveis!$S$5-(DATEDIF(Imóveis!$Q$5,Dados!$A106,"m")),)))*(Imóveis!$N$5/Imóveis!$S$5)))*Imóveis!$P$5))))*IF(AND(Imóveis!$E$5&gt;0,Dados!$A106&gt;Imóveis!$E$5),0,1)*Imóveis!$I$5</f>
        <v>0</v>
      </c>
      <c r="M106" s="18">
        <f>IF(Imóveis!$F$6="PRICE",IF(AND(Dados!$A106&gt;=Imóveis!$Q$6,Dados!$A106&lt;=Imóveis!$T$6),Imóveis!$U$6,0),IF((IF(AND(Dados!$A106&gt;=Imóveis!$Q$6,Dados!$A106&lt;=Imóveis!$T$6),Imóveis!$S$6-(DATEDIF(Imóveis!$Q$6,Dados!$A106,"m")),0))=0,0,((Imóveis!$N$6/Imóveis!$S$6)+((Imóveis!$N$6-((Imóveis!$S$6-(IF(AND(Dados!$A106&gt;=Imóveis!$Q$6,Dados!$A106&lt;=Imóveis!$T$6),Imóveis!$S$6-(DATEDIF(Imóveis!$Q$6,Dados!$A106,"m")),)))*(Imóveis!$N$6/Imóveis!$S$6)))*Imóveis!$P$6))))*IF(AND(Imóveis!$E$6&gt;0,Dados!$A106&gt;Imóveis!$E$6),0,1)*Imóveis!$I$6</f>
        <v>0</v>
      </c>
      <c r="N106" s="18">
        <f t="shared" ca="1" si="12"/>
        <v>83136.383771016481</v>
      </c>
      <c r="O106" s="18">
        <f>SUMIFS(Receitas!$F:$F,Receitas!$J:$J,"&lt;="&amp;$A106,Receitas!$L:$L,"&gt;="&amp;$A106,Receitas!$C:$C,O$1,Receitas!$M:$M,"Mensal")+SUMIFS(Receitas!$F:$F,Receitas!$J:$J,"&lt;="&amp;$A106,Receitas!$L:$L,"&gt;="&amp;$A106,Receitas!$C:$C,O$1,Receitas!$M:$M,$B106)</f>
        <v>50000</v>
      </c>
      <c r="P106" s="18">
        <f>SUMIFS(Receitas!$F:$F,Receitas!$J:$J,"&lt;="&amp;$A106,Receitas!$L:$L,"&gt;="&amp;$A106,Receitas!$C:$C,P$1,Receitas!$M:$M,"Mensal")+SUMIFS(Receitas!$F:$F,Receitas!$J:$J,"&lt;="&amp;$A106,Receitas!$L:$L,"&gt;="&amp;$A106,Receitas!$C:$C,P$1,Receitas!$M:$M,$B106)</f>
        <v>20000</v>
      </c>
      <c r="Q106" s="18">
        <f ca="1">SUMIFS(Receitas!$F:$F,Receitas!$J:$J,"&lt;="&amp;$A106,Receitas!$L:$L,"&gt;="&amp;$A106,Receitas!$C:$C,Q$1,Receitas!$M:$M,"Mensal")+SUMIFS(Receitas!$F:$F,Receitas!$J:$J,"&lt;="&amp;$A106,Receitas!$L:$L,"&gt;="&amp;$A106,Receitas!$C:$C,Q$1,Receitas!$M:$M,$B106)</f>
        <v>15101.400000000001</v>
      </c>
      <c r="R106" s="18" cm="1">
        <f t="array" ref="R106">(IF(AND(Membros!$F$2="Sim",A106&lt;=MAX(Membros!$E$2:$E$5)),Membros!K$2,IF(AND(A106&gt;=Membros!J$2,A106&lt;=MAX(Membros!$E$2:$E$5)),Membros!K$2,0))+IF(AND(Membros!$F$3="Sim",A106&lt;=MAX(Membros!$E$2:$E$5)),Membros!K$3,IF(AND(A106&gt;=Membros!J$3,A106&lt;=MAX(Membros!$E$2:$E$5)),Membros!K$3,0)))*IF(AND(COUNTIFS(Tabela3[Tipo],"Provedor",Tabela3[Simulação Seguro],"Sim")=2,A106&gt;=MAX(IF(Tabela3[Tipo]="Dependente",Tabela3[Expectativa de Vida (Data)]))),0,1)</f>
        <v>0</v>
      </c>
      <c r="S106" s="18">
        <f t="shared" ca="1" si="13"/>
        <v>85101.4</v>
      </c>
      <c r="U106" s="18">
        <f t="shared" ca="1" si="16"/>
        <v>5715245.0501281889</v>
      </c>
      <c r="V106" s="18">
        <f>SUMIF(Imóveis!E:E,Dados!A:A,Imóveis!Z:Z)-SUMIF(Imóveis!E:E,Dados!A:A,Imóveis!Y:Y)</f>
        <v>0</v>
      </c>
      <c r="W106" s="18">
        <f>-SUMIF(Projetos!N:N,A106,Projetos!F:F)</f>
        <v>0</v>
      </c>
      <c r="X106" s="18">
        <f t="shared" ca="1" si="10"/>
        <v>1965.0162289835134</v>
      </c>
      <c r="Y106" s="26">
        <f ca="1">(U106*((Indicadores_Economicos!D$2+1)^(1/12)-1))</f>
        <v>18710.225085620081</v>
      </c>
      <c r="Z106" s="18">
        <f t="shared" ca="1" si="14"/>
        <v>5735920.2914427919</v>
      </c>
      <c r="AA106" s="18">
        <f ca="1">Auxiliar_Projetos!E106</f>
        <v>168120.30061358723</v>
      </c>
      <c r="AB106" s="18">
        <f ca="1">Auxiliar_Projetos!K106</f>
        <v>404756.46499417716</v>
      </c>
      <c r="AC106" s="18">
        <f ca="1">IF(Z106-AA106-AB106&gt;Investimentos!$C$14,Investimentos!$C$14,IF(Z106-AA106-AB106&lt;Investimentos!$C$14,Z106-AA106-AB106,0))</f>
        <v>300000</v>
      </c>
      <c r="AD106" s="18">
        <f t="shared" ca="1" si="15"/>
        <v>4863043.5258350279</v>
      </c>
      <c r="AE106" s="18"/>
    </row>
    <row r="107" spans="1:31" x14ac:dyDescent="0.2">
      <c r="A107" s="4">
        <v>48853</v>
      </c>
      <c r="B107" s="5" t="str">
        <f t="shared" si="11"/>
        <v>outubro</v>
      </c>
      <c r="C107" s="5" t="str">
        <f t="shared" si="18"/>
        <v>2033</v>
      </c>
      <c r="D107" s="5">
        <f>SUMIFS(Despesas!$F:$F,Despesas!$J:$J,"&lt;="&amp;$A107,Despesas!$L:$L,"&gt;="&amp;$A107,Despesas!$C:$C,D$1,Despesas!$M:$M,"Mensal")+SUMIFS(Despesas!$F:$F,Despesas!$J:$J,"&lt;="&amp;$A107,Despesas!$L:$L,"&gt;="&amp;$A107,Despesas!$C:$C,D$1,Despesas!$M:$M,$B107)</f>
        <v>23000</v>
      </c>
      <c r="E107" s="18">
        <f>SUMIFS(Despesas!$F:$F,Despesas!$J:$J,"&lt;="&amp;$A107,Despesas!$L:$L,"&gt;="&amp;$A107,Despesas!$C:$C,E$1,Despesas!$M:$M,"Mensal")+SUMIFS(Despesas!$F:$F,Despesas!$J:$J,"&lt;="&amp;$A107,Despesas!$L:$L,"&gt;="&amp;$A107,Despesas!$C:$C,E$1,Despesas!$M:$M,$B107)</f>
        <v>18000</v>
      </c>
      <c r="F107" s="5">
        <f>SUMIFS(Despesas!$F:$F,Despesas!$J:$J,"&lt;="&amp;$A107,Despesas!$L:$L,"&gt;="&amp;$A107,Despesas!$C:$C,F$1,Despesas!$M:$M,"Mensal")+SUMIFS(Despesas!$F:$F,Despesas!$J:$J,"&lt;="&amp;$A107,Despesas!$L:$L,"&gt;="&amp;$A107,Despesas!$C:$C,F$1,Despesas!$M:$M,$B107)</f>
        <v>13000</v>
      </c>
      <c r="G107" s="5">
        <f>SUMIFS(Despesas!$F:$F,Despesas!$J:$J,"&lt;="&amp;$A107,Despesas!$L:$L,"&gt;="&amp;$A107,Despesas!$C:$C,G$1,Despesas!$M:$M,"Mensal")+SUMIFS(Despesas!$F:$F,Despesas!$J:$J,"&lt;="&amp;$A107,Despesas!$L:$L,"&gt;="&amp;$A107,Despesas!$C:$C,G$1,Despesas!$M:$M,$B107)</f>
        <v>0</v>
      </c>
      <c r="H107" s="18">
        <f ca="1">SUMIFS(Despesas!$F:$F,Despesas!$J:$J,"&lt;="&amp;$A107,Despesas!$L:$L,"&gt;="&amp;$A107,Despesas!$C:$C,H$1,Despesas!$M:$M,"Mensal")+SUMIFS(Despesas!$F:$F,Despesas!$J:$J,"&lt;="&amp;$A107,Despesas!$L:$L,"&gt;="&amp;$A107,Despesas!$C:$C,H$1,Despesas!$M:$M,$B107)</f>
        <v>2686.355</v>
      </c>
      <c r="I107" s="18">
        <f>IF(Imóveis!$F$2="PRICE",IF(AND(Dados!$A107&gt;=Imóveis!$Q$2,Dados!$A107&lt;=Imóveis!$T$2),Imóveis!$U$2,0),IF((IF(AND(Dados!$A107&gt;=Imóveis!$Q$2,Dados!$A107&lt;=Imóveis!$T$2),Imóveis!$S$2-(DATEDIF(Imóveis!$Q$2,Dados!$A107,"m")),0))=0,0,((Imóveis!$N$2/Imóveis!$S$2)+((Imóveis!$N$2-((Imóveis!$S$2-(IF(AND(Dados!$A107&gt;=Imóveis!$Q$2,Dados!$A107&lt;=Imóveis!$T$2),Imóveis!$S$2-(DATEDIF(Imóveis!$Q$2,Dados!$A107,"m")),)))*(Imóveis!$N$2/Imóveis!$S$2)))*Imóveis!$P$2))))*IF(AND(Imóveis!$E$2&gt;0,Dados!$A107&gt;Imóveis!$E$2),0,1)</f>
        <v>12429.359694638308</v>
      </c>
      <c r="J107" s="18">
        <f ca="1">IF(Imóveis!$F$3="PRICE",IF(AND(Dados!$A107&gt;=Imóveis!$Q$3,Dados!$A107&lt;=Imóveis!$T$3),Imóveis!$U$3,0),IF((IF(AND(Dados!$A107&gt;=Imóveis!$Q$3,Dados!$A107&lt;=Imóveis!$T$3),Imóveis!$S$3-(DATEDIF(Imóveis!$Q$3,Dados!$A107,"m")),0))=0,0,((Imóveis!$N$3/Imóveis!$S$3)+((Imóveis!$N$3-((Imóveis!$S$3-(IF(AND(Dados!$A107&gt;=Imóveis!$Q$3,Dados!$A107&lt;=Imóveis!$T$3),Imóveis!$S$3-(DATEDIF(Imóveis!$Q$3,Dados!$A107,"m")),)))*(Imóveis!$N$3/Imóveis!$S$3)))*Imóveis!$P$3))))*IF(AND(Imóveis!$E$3&gt;0,Dados!$A107&gt;Imóveis!$E$3),0,1)</f>
        <v>9314.6986248807771</v>
      </c>
      <c r="K107" s="18">
        <f>IF(Imóveis!$F$4="PRICE",IF(AND(Dados!$A107&gt;=Imóveis!$Q$4,Dados!$A107&lt;=Imóveis!$T$4),Imóveis!$U$4,0),IF((IF(AND(Dados!$A107&gt;=Imóveis!$Q$4,Dados!$A107&lt;=Imóveis!$T$4),Imóveis!$S$4-(DATEDIF(Imóveis!$Q$4,Dados!$A107,"m")),0))=0,0,((Imóveis!$N$4/Imóveis!$S$4)+((Imóveis!$N$4-((Imóveis!$S$4-(IF(AND(Dados!$A107&gt;=Imóveis!$Q$4,Dados!$A107&lt;=Imóveis!$T$4),Imóveis!$S$4-(DATEDIF(Imóveis!$Q$4,Dados!$A107,"m")),)))*(Imóveis!$N$4/Imóveis!$S$4)))*Imóveis!$P$4))))*IF(AND(Imóveis!$E$4&gt;0,Dados!$A107&gt;Imóveis!$E$4),0,1)</f>
        <v>4643.949359272583</v>
      </c>
      <c r="L107" s="18">
        <f>IF(Imóveis!$F$5="PRICE",IF(AND(Dados!$A107&gt;=Imóveis!$Q$5,Dados!$A107&lt;=Imóveis!$T$5),Imóveis!$U$5,0),IF((IF(AND(Dados!$A107&gt;=Imóveis!$Q$5,Dados!$A107&lt;=Imóveis!$T$5),Imóveis!$S$5-(DATEDIF(Imóveis!$Q$5,Dados!$A107,"m")),0))=0,0,((Imóveis!$N$5/Imóveis!$S$5)+((Imóveis!$N$5-((Imóveis!$S$5-(IF(AND(Dados!$A107 &gt;=Imóveis!$Q$5,Dados!$A107&lt;=Imóveis!$T$5),Imóveis!$S$5-(DATEDIF(Imóveis!$Q$5,Dados!$A107,"m")),)))*(Imóveis!$N$5/Imóveis!$S$5)))*Imóveis!$P$5))))*IF(AND(Imóveis!$E$5&gt;0,Dados!$A107&gt;Imóveis!$E$5),0,1)*Imóveis!$I$5</f>
        <v>0</v>
      </c>
      <c r="M107" s="18">
        <f>IF(Imóveis!$F$6="PRICE",IF(AND(Dados!$A107&gt;=Imóveis!$Q$6,Dados!$A107&lt;=Imóveis!$T$6),Imóveis!$U$6,0),IF((IF(AND(Dados!$A107&gt;=Imóveis!$Q$6,Dados!$A107&lt;=Imóveis!$T$6),Imóveis!$S$6-(DATEDIF(Imóveis!$Q$6,Dados!$A107,"m")),0))=0,0,((Imóveis!$N$6/Imóveis!$S$6)+((Imóveis!$N$6-((Imóveis!$S$6-(IF(AND(Dados!$A107&gt;=Imóveis!$Q$6,Dados!$A107&lt;=Imóveis!$T$6),Imóveis!$S$6-(DATEDIF(Imóveis!$Q$6,Dados!$A107,"m")),)))*(Imóveis!$N$6/Imóveis!$S$6)))*Imóveis!$P$6))))*IF(AND(Imóveis!$E$6&gt;0,Dados!$A107&gt;Imóveis!$E$6),0,1)*Imóveis!$I$6</f>
        <v>0</v>
      </c>
      <c r="N107" s="18">
        <f t="shared" ca="1" si="12"/>
        <v>83074.362678791673</v>
      </c>
      <c r="O107" s="18">
        <f>SUMIFS(Receitas!$F:$F,Receitas!$J:$J,"&lt;="&amp;$A107,Receitas!$L:$L,"&gt;="&amp;$A107,Receitas!$C:$C,O$1,Receitas!$M:$M,"Mensal")+SUMIFS(Receitas!$F:$F,Receitas!$J:$J,"&lt;="&amp;$A107,Receitas!$L:$L,"&gt;="&amp;$A107,Receitas!$C:$C,O$1,Receitas!$M:$M,$B107)</f>
        <v>50000</v>
      </c>
      <c r="P107" s="18">
        <f>SUMIFS(Receitas!$F:$F,Receitas!$J:$J,"&lt;="&amp;$A107,Receitas!$L:$L,"&gt;="&amp;$A107,Receitas!$C:$C,P$1,Receitas!$M:$M,"Mensal")+SUMIFS(Receitas!$F:$F,Receitas!$J:$J,"&lt;="&amp;$A107,Receitas!$L:$L,"&gt;="&amp;$A107,Receitas!$C:$C,P$1,Receitas!$M:$M,$B107)</f>
        <v>20000</v>
      </c>
      <c r="Q107" s="18">
        <f ca="1">SUMIFS(Receitas!$F:$F,Receitas!$J:$J,"&lt;="&amp;$A107,Receitas!$L:$L,"&gt;="&amp;$A107,Receitas!$C:$C,Q$1,Receitas!$M:$M,"Mensal")+SUMIFS(Receitas!$F:$F,Receitas!$J:$J,"&lt;="&amp;$A107,Receitas!$L:$L,"&gt;="&amp;$A107,Receitas!$C:$C,Q$1,Receitas!$M:$M,$B107)</f>
        <v>15101.400000000001</v>
      </c>
      <c r="R107" s="18" cm="1">
        <f t="array" ref="R107">(IF(AND(Membros!$F$2="Sim",A107&lt;=MAX(Membros!$E$2:$E$5)),Membros!K$2,IF(AND(A107&gt;=Membros!J$2,A107&lt;=MAX(Membros!$E$2:$E$5)),Membros!K$2,0))+IF(AND(Membros!$F$3="Sim",A107&lt;=MAX(Membros!$E$2:$E$5)),Membros!K$3,IF(AND(A107&gt;=Membros!J$3,A107&lt;=MAX(Membros!$E$2:$E$5)),Membros!K$3,0)))*IF(AND(COUNTIFS(Tabela3[Tipo],"Provedor",Tabela3[Simulação Seguro],"Sim")=2,A107&gt;=MAX(IF(Tabela3[Tipo]="Dependente",Tabela3[Expectativa de Vida (Data)]))),0,1)</f>
        <v>0</v>
      </c>
      <c r="S107" s="18">
        <f t="shared" ca="1" si="13"/>
        <v>85101.4</v>
      </c>
      <c r="U107" s="18">
        <f t="shared" ca="1" si="16"/>
        <v>5735920.2914427919</v>
      </c>
      <c r="V107" s="18">
        <f>SUMIF(Imóveis!E:E,Dados!A:A,Imóveis!Z:Z)-SUMIF(Imóveis!E:E,Dados!A:A,Imóveis!Y:Y)</f>
        <v>0</v>
      </c>
      <c r="W107" s="18">
        <f>-SUMIF(Projetos!N:N,A107,Projetos!F:F)</f>
        <v>0</v>
      </c>
      <c r="X107" s="18">
        <f t="shared" ca="1" si="10"/>
        <v>2027.0373212083214</v>
      </c>
      <c r="Y107" s="26">
        <f ca="1">(U107*((Indicadores_Economicos!D$2+1)^(1/12)-1))</f>
        <v>18777.910445618261</v>
      </c>
      <c r="Z107" s="18">
        <f t="shared" ca="1" si="14"/>
        <v>5756725.2392096184</v>
      </c>
      <c r="AA107" s="18">
        <f ca="1">Auxiliar_Projetos!E107</f>
        <v>168670.68272990116</v>
      </c>
      <c r="AB107" s="18">
        <f ca="1">Auxiliar_Projetos!K107</f>
        <v>406081.53233573079</v>
      </c>
      <c r="AC107" s="18">
        <f ca="1">IF(Z107-AA107-AB107&gt;Investimentos!$C$14,Investimentos!$C$14,IF(Z107-AA107-AB107&lt;Investimentos!$C$14,Z107-AA107-AB107,0))</f>
        <v>300000</v>
      </c>
      <c r="AD107" s="18">
        <f t="shared" ca="1" si="15"/>
        <v>4881973.0241439864</v>
      </c>
      <c r="AE107" s="18"/>
    </row>
    <row r="108" spans="1:31" x14ac:dyDescent="0.2">
      <c r="A108" s="4">
        <v>48884</v>
      </c>
      <c r="B108" s="5" t="str">
        <f t="shared" si="11"/>
        <v>novembro</v>
      </c>
      <c r="C108" s="5" t="str">
        <f t="shared" si="18"/>
        <v>2033</v>
      </c>
      <c r="D108" s="5">
        <f>SUMIFS(Despesas!$F:$F,Despesas!$J:$J,"&lt;="&amp;$A108,Despesas!$L:$L,"&gt;="&amp;$A108,Despesas!$C:$C,D$1,Despesas!$M:$M,"Mensal")+SUMIFS(Despesas!$F:$F,Despesas!$J:$J,"&lt;="&amp;$A108,Despesas!$L:$L,"&gt;="&amp;$A108,Despesas!$C:$C,D$1,Despesas!$M:$M,$B108)</f>
        <v>23000</v>
      </c>
      <c r="E108" s="18">
        <f>SUMIFS(Despesas!$F:$F,Despesas!$J:$J,"&lt;="&amp;$A108,Despesas!$L:$L,"&gt;="&amp;$A108,Despesas!$C:$C,E$1,Despesas!$M:$M,"Mensal")+SUMIFS(Despesas!$F:$F,Despesas!$J:$J,"&lt;="&amp;$A108,Despesas!$L:$L,"&gt;="&amp;$A108,Despesas!$C:$C,E$1,Despesas!$M:$M,$B108)</f>
        <v>18000</v>
      </c>
      <c r="F108" s="5">
        <f>SUMIFS(Despesas!$F:$F,Despesas!$J:$J,"&lt;="&amp;$A108,Despesas!$L:$L,"&gt;="&amp;$A108,Despesas!$C:$C,F$1,Despesas!$M:$M,"Mensal")+SUMIFS(Despesas!$F:$F,Despesas!$J:$J,"&lt;="&amp;$A108,Despesas!$L:$L,"&gt;="&amp;$A108,Despesas!$C:$C,F$1,Despesas!$M:$M,$B108)</f>
        <v>13000</v>
      </c>
      <c r="G108" s="5">
        <f>SUMIFS(Despesas!$F:$F,Despesas!$J:$J,"&lt;="&amp;$A108,Despesas!$L:$L,"&gt;="&amp;$A108,Despesas!$C:$C,G$1,Despesas!$M:$M,"Mensal")+SUMIFS(Despesas!$F:$F,Despesas!$J:$J,"&lt;="&amp;$A108,Despesas!$L:$L,"&gt;="&amp;$A108,Despesas!$C:$C,G$1,Despesas!$M:$M,$B108)</f>
        <v>0</v>
      </c>
      <c r="H108" s="18">
        <f ca="1">SUMIFS(Despesas!$F:$F,Despesas!$J:$J,"&lt;="&amp;$A108,Despesas!$L:$L,"&gt;="&amp;$A108,Despesas!$C:$C,H$1,Despesas!$M:$M,"Mensal")+SUMIFS(Despesas!$F:$F,Despesas!$J:$J,"&lt;="&amp;$A108,Despesas!$L:$L,"&gt;="&amp;$A108,Despesas!$C:$C,H$1,Despesas!$M:$M,$B108)</f>
        <v>2686.355</v>
      </c>
      <c r="I108" s="18">
        <f>IF(Imóveis!$F$2="PRICE",IF(AND(Dados!$A108&gt;=Imóveis!$Q$2,Dados!$A108&lt;=Imóveis!$T$2),Imóveis!$U$2,0),IF((IF(AND(Dados!$A108&gt;=Imóveis!$Q$2,Dados!$A108&lt;=Imóveis!$T$2),Imóveis!$S$2-(DATEDIF(Imóveis!$Q$2,Dados!$A108,"m")),0))=0,0,((Imóveis!$N$2/Imóveis!$S$2)+((Imóveis!$N$2-((Imóveis!$S$2-(IF(AND(Dados!$A108&gt;=Imóveis!$Q$2,Dados!$A108&lt;=Imóveis!$T$2),Imóveis!$S$2-(DATEDIF(Imóveis!$Q$2,Dados!$A108,"m")),)))*(Imóveis!$N$2/Imóveis!$S$2)))*Imóveis!$P$2))))*IF(AND(Imóveis!$E$2&gt;0,Dados!$A108&gt;Imóveis!$E$2),0,1)</f>
        <v>12367.3386024135</v>
      </c>
      <c r="J108" s="18">
        <f ca="1">IF(Imóveis!$F$3="PRICE",IF(AND(Dados!$A108&gt;=Imóveis!$Q$3,Dados!$A108&lt;=Imóveis!$T$3),Imóveis!$U$3,0),IF((IF(AND(Dados!$A108&gt;=Imóveis!$Q$3,Dados!$A108&lt;=Imóveis!$T$3),Imóveis!$S$3-(DATEDIF(Imóveis!$Q$3,Dados!$A108,"m")),0))=0,0,((Imóveis!$N$3/Imóveis!$S$3)+((Imóveis!$N$3-((Imóveis!$S$3-(IF(AND(Dados!$A108&gt;=Imóveis!$Q$3,Dados!$A108&lt;=Imóveis!$T$3),Imóveis!$S$3-(DATEDIF(Imóveis!$Q$3,Dados!$A108,"m")),)))*(Imóveis!$N$3/Imóveis!$S$3)))*Imóveis!$P$3))))*IF(AND(Imóveis!$E$3&gt;0,Dados!$A108&gt;Imóveis!$E$3),0,1)</f>
        <v>9314.6986248807771</v>
      </c>
      <c r="K108" s="18">
        <f>IF(Imóveis!$F$4="PRICE",IF(AND(Dados!$A108&gt;=Imóveis!$Q$4,Dados!$A108&lt;=Imóveis!$T$4),Imóveis!$U$4,0),IF((IF(AND(Dados!$A108&gt;=Imóveis!$Q$4,Dados!$A108&lt;=Imóveis!$T$4),Imóveis!$S$4-(DATEDIF(Imóveis!$Q$4,Dados!$A108,"m")),0))=0,0,((Imóveis!$N$4/Imóveis!$S$4)+((Imóveis!$N$4-((Imóveis!$S$4-(IF(AND(Dados!$A108&gt;=Imóveis!$Q$4,Dados!$A108&lt;=Imóveis!$T$4),Imóveis!$S$4-(DATEDIF(Imóveis!$Q$4,Dados!$A108,"m")),)))*(Imóveis!$N$4/Imóveis!$S$4)))*Imóveis!$P$4))))*IF(AND(Imóveis!$E$4&gt;0,Dados!$A108&gt;Imóveis!$E$4),0,1)</f>
        <v>4643.949359272583</v>
      </c>
      <c r="L108" s="18">
        <f>IF(Imóveis!$F$5="PRICE",IF(AND(Dados!$A108&gt;=Imóveis!$Q$5,Dados!$A108&lt;=Imóveis!$T$5),Imóveis!$U$5,0),IF((IF(AND(Dados!$A108&gt;=Imóveis!$Q$5,Dados!$A108&lt;=Imóveis!$T$5),Imóveis!$S$5-(DATEDIF(Imóveis!$Q$5,Dados!$A108,"m")),0))=0,0,((Imóveis!$N$5/Imóveis!$S$5)+((Imóveis!$N$5-((Imóveis!$S$5-(IF(AND(Dados!$A108 &gt;=Imóveis!$Q$5,Dados!$A108&lt;=Imóveis!$T$5),Imóveis!$S$5-(DATEDIF(Imóveis!$Q$5,Dados!$A108,"m")),)))*(Imóveis!$N$5/Imóveis!$S$5)))*Imóveis!$P$5))))*IF(AND(Imóveis!$E$5&gt;0,Dados!$A108&gt;Imóveis!$E$5),0,1)*Imóveis!$I$5</f>
        <v>0</v>
      </c>
      <c r="M108" s="18">
        <f>IF(Imóveis!$F$6="PRICE",IF(AND(Dados!$A108&gt;=Imóveis!$Q$6,Dados!$A108&lt;=Imóveis!$T$6),Imóveis!$U$6,0),IF((IF(AND(Dados!$A108&gt;=Imóveis!$Q$6,Dados!$A108&lt;=Imóveis!$T$6),Imóveis!$S$6-(DATEDIF(Imóveis!$Q$6,Dados!$A108,"m")),0))=0,0,((Imóveis!$N$6/Imóveis!$S$6)+((Imóveis!$N$6-((Imóveis!$S$6-(IF(AND(Dados!$A108&gt;=Imóveis!$Q$6,Dados!$A108&lt;=Imóveis!$T$6),Imóveis!$S$6-(DATEDIF(Imóveis!$Q$6,Dados!$A108,"m")),)))*(Imóveis!$N$6/Imóveis!$S$6)))*Imóveis!$P$6))))*IF(AND(Imóveis!$E$6&gt;0,Dados!$A108&gt;Imóveis!$E$6),0,1)*Imóveis!$I$6</f>
        <v>0</v>
      </c>
      <c r="N108" s="18">
        <f t="shared" ca="1" si="12"/>
        <v>83012.341586566865</v>
      </c>
      <c r="O108" s="18">
        <f>SUMIFS(Receitas!$F:$F,Receitas!$J:$J,"&lt;="&amp;$A108,Receitas!$L:$L,"&gt;="&amp;$A108,Receitas!$C:$C,O$1,Receitas!$M:$M,"Mensal")+SUMIFS(Receitas!$F:$F,Receitas!$J:$J,"&lt;="&amp;$A108,Receitas!$L:$L,"&gt;="&amp;$A108,Receitas!$C:$C,O$1,Receitas!$M:$M,$B108)</f>
        <v>50000</v>
      </c>
      <c r="P108" s="18">
        <f>SUMIFS(Receitas!$F:$F,Receitas!$J:$J,"&lt;="&amp;$A108,Receitas!$L:$L,"&gt;="&amp;$A108,Receitas!$C:$C,P$1,Receitas!$M:$M,"Mensal")+SUMIFS(Receitas!$F:$F,Receitas!$J:$J,"&lt;="&amp;$A108,Receitas!$L:$L,"&gt;="&amp;$A108,Receitas!$C:$C,P$1,Receitas!$M:$M,$B108)</f>
        <v>86666.666666666672</v>
      </c>
      <c r="Q108" s="18">
        <f ca="1">SUMIFS(Receitas!$F:$F,Receitas!$J:$J,"&lt;="&amp;$A108,Receitas!$L:$L,"&gt;="&amp;$A108,Receitas!$C:$C,Q$1,Receitas!$M:$M,"Mensal")+SUMIFS(Receitas!$F:$F,Receitas!$J:$J,"&lt;="&amp;$A108,Receitas!$L:$L,"&gt;="&amp;$A108,Receitas!$C:$C,Q$1,Receitas!$M:$M,$B108)</f>
        <v>15101.400000000001</v>
      </c>
      <c r="R108" s="18" cm="1">
        <f t="array" ref="R108">(IF(AND(Membros!$F$2="Sim",A108&lt;=MAX(Membros!$E$2:$E$5)),Membros!K$2,IF(AND(A108&gt;=Membros!J$2,A108&lt;=MAX(Membros!$E$2:$E$5)),Membros!K$2,0))+IF(AND(Membros!$F$3="Sim",A108&lt;=MAX(Membros!$E$2:$E$5)),Membros!K$3,IF(AND(A108&gt;=Membros!J$3,A108&lt;=MAX(Membros!$E$2:$E$5)),Membros!K$3,0)))*IF(AND(COUNTIFS(Tabela3[Tipo],"Provedor",Tabela3[Simulação Seguro],"Sim")=2,A108&gt;=MAX(IF(Tabela3[Tipo]="Dependente",Tabela3[Expectativa de Vida (Data)]))),0,1)</f>
        <v>0</v>
      </c>
      <c r="S108" s="18">
        <f t="shared" ca="1" si="13"/>
        <v>151768.06666666668</v>
      </c>
      <c r="U108" s="18">
        <f t="shared" ca="1" si="16"/>
        <v>5756725.2392096184</v>
      </c>
      <c r="V108" s="18">
        <f>SUMIF(Imóveis!E:E,Dados!A:A,Imóveis!Z:Z)-SUMIF(Imóveis!E:E,Dados!A:A,Imóveis!Y:Y)</f>
        <v>0</v>
      </c>
      <c r="W108" s="18">
        <f>-SUMIF(Projetos!N:N,A108,Projetos!F:F)</f>
        <v>0</v>
      </c>
      <c r="X108" s="18">
        <f t="shared" ca="1" si="10"/>
        <v>68755.725080099815</v>
      </c>
      <c r="Y108" s="26">
        <f ca="1">(U108*((Indicadores_Economicos!D$2+1)^(1/12)-1))</f>
        <v>18846.020430789089</v>
      </c>
      <c r="Z108" s="18">
        <f t="shared" ca="1" si="14"/>
        <v>5844326.9847205076</v>
      </c>
      <c r="AA108" s="18">
        <f ca="1">Auxiliar_Projetos!E108</f>
        <v>169222.86665404469</v>
      </c>
      <c r="AB108" s="18">
        <f ca="1">Auxiliar_Projetos!K108</f>
        <v>407410.93760295457</v>
      </c>
      <c r="AC108" s="18">
        <f ca="1">IF(Z108-AA108-AB108&gt;Investimentos!$C$14,Investimentos!$C$14,IF(Z108-AA108-AB108&lt;Investimentos!$C$14,Z108-AA108-AB108,0))</f>
        <v>300000</v>
      </c>
      <c r="AD108" s="18">
        <f t="shared" ca="1" si="15"/>
        <v>4967693.1804635078</v>
      </c>
      <c r="AE108" s="18"/>
    </row>
    <row r="109" spans="1:31" x14ac:dyDescent="0.2">
      <c r="A109" s="4">
        <v>48914</v>
      </c>
      <c r="B109" s="5" t="str">
        <f t="shared" si="11"/>
        <v>dezembro</v>
      </c>
      <c r="C109" s="5" t="str">
        <f t="shared" si="18"/>
        <v>2033</v>
      </c>
      <c r="D109" s="5">
        <f>SUMIFS(Despesas!$F:$F,Despesas!$J:$J,"&lt;="&amp;$A109,Despesas!$L:$L,"&gt;="&amp;$A109,Despesas!$C:$C,D$1,Despesas!$M:$M,"Mensal")+SUMIFS(Despesas!$F:$F,Despesas!$J:$J,"&lt;="&amp;$A109,Despesas!$L:$L,"&gt;="&amp;$A109,Despesas!$C:$C,D$1,Despesas!$M:$M,$B109)</f>
        <v>23000</v>
      </c>
      <c r="E109" s="18">
        <f>SUMIFS(Despesas!$F:$F,Despesas!$J:$J,"&lt;="&amp;$A109,Despesas!$L:$L,"&gt;="&amp;$A109,Despesas!$C:$C,E$1,Despesas!$M:$M,"Mensal")+SUMIFS(Despesas!$F:$F,Despesas!$J:$J,"&lt;="&amp;$A109,Despesas!$L:$L,"&gt;="&amp;$A109,Despesas!$C:$C,E$1,Despesas!$M:$M,$B109)</f>
        <v>18000</v>
      </c>
      <c r="F109" s="5">
        <f>SUMIFS(Despesas!$F:$F,Despesas!$J:$J,"&lt;="&amp;$A109,Despesas!$L:$L,"&gt;="&amp;$A109,Despesas!$C:$C,F$1,Despesas!$M:$M,"Mensal")+SUMIFS(Despesas!$F:$F,Despesas!$J:$J,"&lt;="&amp;$A109,Despesas!$L:$L,"&gt;="&amp;$A109,Despesas!$C:$C,F$1,Despesas!$M:$M,$B109)</f>
        <v>13000</v>
      </c>
      <c r="G109" s="5">
        <f ca="1">SUMIFS(Despesas!$F:$F,Despesas!$J:$J,"&lt;="&amp;$A109,Despesas!$L:$L,"&gt;="&amp;$A109,Despesas!$C:$C,G$1,Despesas!$M:$M,"Mensal")+SUMIFS(Despesas!$F:$F,Despesas!$J:$J,"&lt;="&amp;$A109,Despesas!$L:$L,"&gt;="&amp;$A109,Despesas!$C:$C,G$1,Despesas!$M:$M,$B109)</f>
        <v>55757</v>
      </c>
      <c r="H109" s="18">
        <f ca="1">SUMIFS(Despesas!$F:$F,Despesas!$J:$J,"&lt;="&amp;$A109,Despesas!$L:$L,"&gt;="&amp;$A109,Despesas!$C:$C,H$1,Despesas!$M:$M,"Mensal")+SUMIFS(Despesas!$F:$F,Despesas!$J:$J,"&lt;="&amp;$A109,Despesas!$L:$L,"&gt;="&amp;$A109,Despesas!$C:$C,H$1,Despesas!$M:$M,$B109)</f>
        <v>2686.355</v>
      </c>
      <c r="I109" s="18">
        <f>IF(Imóveis!$F$2="PRICE",IF(AND(Dados!$A109&gt;=Imóveis!$Q$2,Dados!$A109&lt;=Imóveis!$T$2),Imóveis!$U$2,0),IF((IF(AND(Dados!$A109&gt;=Imóveis!$Q$2,Dados!$A109&lt;=Imóveis!$T$2),Imóveis!$S$2-(DATEDIF(Imóveis!$Q$2,Dados!$A109,"m")),0))=0,0,((Imóveis!$N$2/Imóveis!$S$2)+((Imóveis!$N$2-((Imóveis!$S$2-(IF(AND(Dados!$A109&gt;=Imóveis!$Q$2,Dados!$A109&lt;=Imóveis!$T$2),Imóveis!$S$2-(DATEDIF(Imóveis!$Q$2,Dados!$A109,"m")),)))*(Imóveis!$N$2/Imóveis!$S$2)))*Imóveis!$P$2))))*IF(AND(Imóveis!$E$2&gt;0,Dados!$A109&gt;Imóveis!$E$2),0,1)</f>
        <v>12305.317510188692</v>
      </c>
      <c r="J109" s="18">
        <f ca="1">IF(Imóveis!$F$3="PRICE",IF(AND(Dados!$A109&gt;=Imóveis!$Q$3,Dados!$A109&lt;=Imóveis!$T$3),Imóveis!$U$3,0),IF((IF(AND(Dados!$A109&gt;=Imóveis!$Q$3,Dados!$A109&lt;=Imóveis!$T$3),Imóveis!$S$3-(DATEDIF(Imóveis!$Q$3,Dados!$A109,"m")),0))=0,0,((Imóveis!$N$3/Imóveis!$S$3)+((Imóveis!$N$3-((Imóveis!$S$3-(IF(AND(Dados!$A109&gt;=Imóveis!$Q$3,Dados!$A109&lt;=Imóveis!$T$3),Imóveis!$S$3-(DATEDIF(Imóveis!$Q$3,Dados!$A109,"m")),)))*(Imóveis!$N$3/Imóveis!$S$3)))*Imóveis!$P$3))))*IF(AND(Imóveis!$E$3&gt;0,Dados!$A109&gt;Imóveis!$E$3),0,1)</f>
        <v>9314.6986248807771</v>
      </c>
      <c r="K109" s="18">
        <f>IF(Imóveis!$F$4="PRICE",IF(AND(Dados!$A109&gt;=Imóveis!$Q$4,Dados!$A109&lt;=Imóveis!$T$4),Imóveis!$U$4,0),IF((IF(AND(Dados!$A109&gt;=Imóveis!$Q$4,Dados!$A109&lt;=Imóveis!$T$4),Imóveis!$S$4-(DATEDIF(Imóveis!$Q$4,Dados!$A109,"m")),0))=0,0,((Imóveis!$N$4/Imóveis!$S$4)+((Imóveis!$N$4-((Imóveis!$S$4-(IF(AND(Dados!$A109&gt;=Imóveis!$Q$4,Dados!$A109&lt;=Imóveis!$T$4),Imóveis!$S$4-(DATEDIF(Imóveis!$Q$4,Dados!$A109,"m")),)))*(Imóveis!$N$4/Imóveis!$S$4)))*Imóveis!$P$4))))*IF(AND(Imóveis!$E$4&gt;0,Dados!$A109&gt;Imóveis!$E$4),0,1)</f>
        <v>4643.949359272583</v>
      </c>
      <c r="L109" s="18">
        <f>IF(Imóveis!$F$5="PRICE",IF(AND(Dados!$A109&gt;=Imóveis!$Q$5,Dados!$A109&lt;=Imóveis!$T$5),Imóveis!$U$5,0),IF((IF(AND(Dados!$A109&gt;=Imóveis!$Q$5,Dados!$A109&lt;=Imóveis!$T$5),Imóveis!$S$5-(DATEDIF(Imóveis!$Q$5,Dados!$A109,"m")),0))=0,0,((Imóveis!$N$5/Imóveis!$S$5)+((Imóveis!$N$5-((Imóveis!$S$5-(IF(AND(Dados!$A109 &gt;=Imóveis!$Q$5,Dados!$A109&lt;=Imóveis!$T$5),Imóveis!$S$5-(DATEDIF(Imóveis!$Q$5,Dados!$A109,"m")),)))*(Imóveis!$N$5/Imóveis!$S$5)))*Imóveis!$P$5))))*IF(AND(Imóveis!$E$5&gt;0,Dados!$A109&gt;Imóveis!$E$5),0,1)*Imóveis!$I$5</f>
        <v>0</v>
      </c>
      <c r="M109" s="18">
        <f>IF(Imóveis!$F$6="PRICE",IF(AND(Dados!$A109&gt;=Imóveis!$Q$6,Dados!$A109&lt;=Imóveis!$T$6),Imóveis!$U$6,0),IF((IF(AND(Dados!$A109&gt;=Imóveis!$Q$6,Dados!$A109&lt;=Imóveis!$T$6),Imóveis!$S$6-(DATEDIF(Imóveis!$Q$6,Dados!$A109,"m")),0))=0,0,((Imóveis!$N$6/Imóveis!$S$6)+((Imóveis!$N$6-((Imóveis!$S$6-(IF(AND(Dados!$A109&gt;=Imóveis!$Q$6,Dados!$A109&lt;=Imóveis!$T$6),Imóveis!$S$6-(DATEDIF(Imóveis!$Q$6,Dados!$A109,"m")),)))*(Imóveis!$N$6/Imóveis!$S$6)))*Imóveis!$P$6))))*IF(AND(Imóveis!$E$6&gt;0,Dados!$A109&gt;Imóveis!$E$6),0,1)*Imóveis!$I$6</f>
        <v>0</v>
      </c>
      <c r="N109" s="18">
        <f t="shared" ca="1" si="12"/>
        <v>138707.32049434204</v>
      </c>
      <c r="O109" s="18">
        <f>SUMIFS(Receitas!$F:$F,Receitas!$J:$J,"&lt;="&amp;$A109,Receitas!$L:$L,"&gt;="&amp;$A109,Receitas!$C:$C,O$1,Receitas!$M:$M,"Mensal")+SUMIFS(Receitas!$F:$F,Receitas!$J:$J,"&lt;="&amp;$A109,Receitas!$L:$L,"&gt;="&amp;$A109,Receitas!$C:$C,O$1,Receitas!$M:$M,$B109)</f>
        <v>50000</v>
      </c>
      <c r="P109" s="18">
        <f>SUMIFS(Receitas!$F:$F,Receitas!$J:$J,"&lt;="&amp;$A109,Receitas!$L:$L,"&gt;="&amp;$A109,Receitas!$C:$C,P$1,Receitas!$M:$M,"Mensal")+SUMIFS(Receitas!$F:$F,Receitas!$J:$J,"&lt;="&amp;$A109,Receitas!$L:$L,"&gt;="&amp;$A109,Receitas!$C:$C,P$1,Receitas!$M:$M,$B109)</f>
        <v>20000</v>
      </c>
      <c r="Q109" s="18">
        <f ca="1">SUMIFS(Receitas!$F:$F,Receitas!$J:$J,"&lt;="&amp;$A109,Receitas!$L:$L,"&gt;="&amp;$A109,Receitas!$C:$C,Q$1,Receitas!$M:$M,"Mensal")+SUMIFS(Receitas!$F:$F,Receitas!$J:$J,"&lt;="&amp;$A109,Receitas!$L:$L,"&gt;="&amp;$A109,Receitas!$C:$C,Q$1,Receitas!$M:$M,$B109)</f>
        <v>15101.400000000001</v>
      </c>
      <c r="R109" s="18" cm="1">
        <f t="array" ref="R109">(IF(AND(Membros!$F$2="Sim",A109&lt;=MAX(Membros!$E$2:$E$5)),Membros!K$2,IF(AND(A109&gt;=Membros!J$2,A109&lt;=MAX(Membros!$E$2:$E$5)),Membros!K$2,0))+IF(AND(Membros!$F$3="Sim",A109&lt;=MAX(Membros!$E$2:$E$5)),Membros!K$3,IF(AND(A109&gt;=Membros!J$3,A109&lt;=MAX(Membros!$E$2:$E$5)),Membros!K$3,0)))*IF(AND(COUNTIFS(Tabela3[Tipo],"Provedor",Tabela3[Simulação Seguro],"Sim")=2,A109&gt;=MAX(IF(Tabela3[Tipo]="Dependente",Tabela3[Expectativa de Vida (Data)]))),0,1)</f>
        <v>0</v>
      </c>
      <c r="S109" s="18">
        <f t="shared" ca="1" si="13"/>
        <v>85101.4</v>
      </c>
      <c r="U109" s="18">
        <f t="shared" ca="1" si="16"/>
        <v>5844326.9847205076</v>
      </c>
      <c r="V109" s="18">
        <f>SUMIF(Imóveis!E:E,Dados!A:A,Imóveis!Z:Z)-SUMIF(Imóveis!E:E,Dados!A:A,Imóveis!Y:Y)</f>
        <v>0</v>
      </c>
      <c r="W109" s="18">
        <f>-SUMIF(Projetos!N:N,A109,Projetos!F:F)</f>
        <v>0</v>
      </c>
      <c r="X109" s="18">
        <f t="shared" ca="1" si="10"/>
        <v>-53605.920494342048</v>
      </c>
      <c r="Y109" s="26">
        <f ca="1">(U109*((Indicadores_Economicos!D$2+1)^(1/12)-1))</f>
        <v>19132.805750058153</v>
      </c>
      <c r="Z109" s="18">
        <f t="shared" ca="1" si="14"/>
        <v>5809853.8699762234</v>
      </c>
      <c r="AA109" s="18">
        <f ca="1">Auxiliar_Projetos!E109</f>
        <v>169776.85828466777</v>
      </c>
      <c r="AB109" s="18">
        <f ca="1">Auxiliar_Projetos!K109</f>
        <v>408744.69499708834</v>
      </c>
      <c r="AC109" s="18">
        <f ca="1">IF(Z109-AA109-AB109&gt;Investimentos!$C$14,Investimentos!$C$14,IF(Z109-AA109-AB109&lt;Investimentos!$C$14,Z109-AA109-AB109,0))</f>
        <v>300000</v>
      </c>
      <c r="AD109" s="18">
        <f t="shared" ca="1" si="15"/>
        <v>4931332.3166944673</v>
      </c>
      <c r="AE109" s="18"/>
    </row>
    <row r="110" spans="1:31" x14ac:dyDescent="0.2">
      <c r="A110" s="4">
        <v>48945</v>
      </c>
      <c r="B110" s="5" t="str">
        <f t="shared" si="11"/>
        <v>janeiro</v>
      </c>
      <c r="C110" s="5" t="str">
        <f t="shared" si="18"/>
        <v>2034</v>
      </c>
      <c r="D110" s="5">
        <f>SUMIFS(Despesas!$F:$F,Despesas!$J:$J,"&lt;="&amp;$A110,Despesas!$L:$L,"&gt;="&amp;$A110,Despesas!$C:$C,D$1,Despesas!$M:$M,"Mensal")+SUMIFS(Despesas!$F:$F,Despesas!$J:$J,"&lt;="&amp;$A110,Despesas!$L:$L,"&gt;="&amp;$A110,Despesas!$C:$C,D$1,Despesas!$M:$M,$B110)</f>
        <v>23000</v>
      </c>
      <c r="E110" s="18">
        <f>SUMIFS(Despesas!$F:$F,Despesas!$J:$J,"&lt;="&amp;$A110,Despesas!$L:$L,"&gt;="&amp;$A110,Despesas!$C:$C,E$1,Despesas!$M:$M,"Mensal")+SUMIFS(Despesas!$F:$F,Despesas!$J:$J,"&lt;="&amp;$A110,Despesas!$L:$L,"&gt;="&amp;$A110,Despesas!$C:$C,E$1,Despesas!$M:$M,$B110)</f>
        <v>18000</v>
      </c>
      <c r="F110" s="5">
        <f>SUMIFS(Despesas!$F:$F,Despesas!$J:$J,"&lt;="&amp;$A110,Despesas!$L:$L,"&gt;="&amp;$A110,Despesas!$C:$C,F$1,Despesas!$M:$M,"Mensal")+SUMIFS(Despesas!$F:$F,Despesas!$J:$J,"&lt;="&amp;$A110,Despesas!$L:$L,"&gt;="&amp;$A110,Despesas!$C:$C,F$1,Despesas!$M:$M,$B110)</f>
        <v>13000</v>
      </c>
      <c r="G110" s="5">
        <f>SUMIFS(Despesas!$F:$F,Despesas!$J:$J,"&lt;="&amp;$A110,Despesas!$L:$L,"&gt;="&amp;$A110,Despesas!$C:$C,G$1,Despesas!$M:$M,"Mensal")+SUMIFS(Despesas!$F:$F,Despesas!$J:$J,"&lt;="&amp;$A110,Despesas!$L:$L,"&gt;="&amp;$A110,Despesas!$C:$C,G$1,Despesas!$M:$M,$B110)</f>
        <v>0</v>
      </c>
      <c r="H110" s="18">
        <f ca="1">SUMIFS(Despesas!$F:$F,Despesas!$J:$J,"&lt;="&amp;$A110,Despesas!$L:$L,"&gt;="&amp;$A110,Despesas!$C:$C,H$1,Despesas!$M:$M,"Mensal")+SUMIFS(Despesas!$F:$F,Despesas!$J:$J,"&lt;="&amp;$A110,Despesas!$L:$L,"&gt;="&amp;$A110,Despesas!$C:$C,H$1,Despesas!$M:$M,$B110)</f>
        <v>2686.355</v>
      </c>
      <c r="I110" s="18">
        <f>IF(Imóveis!$F$2="PRICE",IF(AND(Dados!$A110&gt;=Imóveis!$Q$2,Dados!$A110&lt;=Imóveis!$T$2),Imóveis!$U$2,0),IF((IF(AND(Dados!$A110&gt;=Imóveis!$Q$2,Dados!$A110&lt;=Imóveis!$T$2),Imóveis!$S$2-(DATEDIF(Imóveis!$Q$2,Dados!$A110,"m")),0))=0,0,((Imóveis!$N$2/Imóveis!$S$2)+((Imóveis!$N$2-((Imóveis!$S$2-(IF(AND(Dados!$A110&gt;=Imóveis!$Q$2,Dados!$A110&lt;=Imóveis!$T$2),Imóveis!$S$2-(DATEDIF(Imóveis!$Q$2,Dados!$A110,"m")),)))*(Imóveis!$N$2/Imóveis!$S$2)))*Imóveis!$P$2))))*IF(AND(Imóveis!$E$2&gt;0,Dados!$A110&gt;Imóveis!$E$2),0,1)</f>
        <v>12243.296417963886</v>
      </c>
      <c r="J110" s="18">
        <f ca="1">IF(Imóveis!$F$3="PRICE",IF(AND(Dados!$A110&gt;=Imóveis!$Q$3,Dados!$A110&lt;=Imóveis!$T$3),Imóveis!$U$3,0),IF((IF(AND(Dados!$A110&gt;=Imóveis!$Q$3,Dados!$A110&lt;=Imóveis!$T$3),Imóveis!$S$3-(DATEDIF(Imóveis!$Q$3,Dados!$A110,"m")),0))=0,0,((Imóveis!$N$3/Imóveis!$S$3)+((Imóveis!$N$3-((Imóveis!$S$3-(IF(AND(Dados!$A110&gt;=Imóveis!$Q$3,Dados!$A110&lt;=Imóveis!$T$3),Imóveis!$S$3-(DATEDIF(Imóveis!$Q$3,Dados!$A110,"m")),)))*(Imóveis!$N$3/Imóveis!$S$3)))*Imóveis!$P$3))))*IF(AND(Imóveis!$E$3&gt;0,Dados!$A110&gt;Imóveis!$E$3),0,1)</f>
        <v>9314.6986248807771</v>
      </c>
      <c r="K110" s="18">
        <f>IF(Imóveis!$F$4="PRICE",IF(AND(Dados!$A110&gt;=Imóveis!$Q$4,Dados!$A110&lt;=Imóveis!$T$4),Imóveis!$U$4,0),IF((IF(AND(Dados!$A110&gt;=Imóveis!$Q$4,Dados!$A110&lt;=Imóveis!$T$4),Imóveis!$S$4-(DATEDIF(Imóveis!$Q$4,Dados!$A110,"m")),0))=0,0,((Imóveis!$N$4/Imóveis!$S$4)+((Imóveis!$N$4-((Imóveis!$S$4-(IF(AND(Dados!$A110&gt;=Imóveis!$Q$4,Dados!$A110&lt;=Imóveis!$T$4),Imóveis!$S$4-(DATEDIF(Imóveis!$Q$4,Dados!$A110,"m")),)))*(Imóveis!$N$4/Imóveis!$S$4)))*Imóveis!$P$4))))*IF(AND(Imóveis!$E$4&gt;0,Dados!$A110&gt;Imóveis!$E$4),0,1)</f>
        <v>4643.949359272583</v>
      </c>
      <c r="L110" s="18">
        <f>IF(Imóveis!$F$5="PRICE",IF(AND(Dados!$A110&gt;=Imóveis!$Q$5,Dados!$A110&lt;=Imóveis!$T$5),Imóveis!$U$5,0),IF((IF(AND(Dados!$A110&gt;=Imóveis!$Q$5,Dados!$A110&lt;=Imóveis!$T$5),Imóveis!$S$5-(DATEDIF(Imóveis!$Q$5,Dados!$A110,"m")),0))=0,0,((Imóveis!$N$5/Imóveis!$S$5)+((Imóveis!$N$5-((Imóveis!$S$5-(IF(AND(Dados!$A110 &gt;=Imóveis!$Q$5,Dados!$A110&lt;=Imóveis!$T$5),Imóveis!$S$5-(DATEDIF(Imóveis!$Q$5,Dados!$A110,"m")),)))*(Imóveis!$N$5/Imóveis!$S$5)))*Imóveis!$P$5))))*IF(AND(Imóveis!$E$5&gt;0,Dados!$A110&gt;Imóveis!$E$5),0,1)*Imóveis!$I$5</f>
        <v>0</v>
      </c>
      <c r="M110" s="18">
        <f>IF(Imóveis!$F$6="PRICE",IF(AND(Dados!$A110&gt;=Imóveis!$Q$6,Dados!$A110&lt;=Imóveis!$T$6),Imóveis!$U$6,0),IF((IF(AND(Dados!$A110&gt;=Imóveis!$Q$6,Dados!$A110&lt;=Imóveis!$T$6),Imóveis!$S$6-(DATEDIF(Imóveis!$Q$6,Dados!$A110,"m")),0))=0,0,((Imóveis!$N$6/Imóveis!$S$6)+((Imóveis!$N$6-((Imóveis!$S$6-(IF(AND(Dados!$A110&gt;=Imóveis!$Q$6,Dados!$A110&lt;=Imóveis!$T$6),Imóveis!$S$6-(DATEDIF(Imóveis!$Q$6,Dados!$A110,"m")),)))*(Imóveis!$N$6/Imóveis!$S$6)))*Imóveis!$P$6))))*IF(AND(Imóveis!$E$6&gt;0,Dados!$A110&gt;Imóveis!$E$6),0,1)*Imóveis!$I$6</f>
        <v>0</v>
      </c>
      <c r="N110" s="18">
        <f t="shared" ca="1" si="12"/>
        <v>82888.299402117249</v>
      </c>
      <c r="O110" s="18">
        <f>SUMIFS(Receitas!$F:$F,Receitas!$J:$J,"&lt;="&amp;$A110,Receitas!$L:$L,"&gt;="&amp;$A110,Receitas!$C:$C,O$1,Receitas!$M:$M,"Mensal")+SUMIFS(Receitas!$F:$F,Receitas!$J:$J,"&lt;="&amp;$A110,Receitas!$L:$L,"&gt;="&amp;$A110,Receitas!$C:$C,O$1,Receitas!$M:$M,$B110)</f>
        <v>50000</v>
      </c>
      <c r="P110" s="18">
        <f>SUMIFS(Receitas!$F:$F,Receitas!$J:$J,"&lt;="&amp;$A110,Receitas!$L:$L,"&gt;="&amp;$A110,Receitas!$C:$C,P$1,Receitas!$M:$M,"Mensal")+SUMIFS(Receitas!$F:$F,Receitas!$J:$J,"&lt;="&amp;$A110,Receitas!$L:$L,"&gt;="&amp;$A110,Receitas!$C:$C,P$1,Receitas!$M:$M,$B110)</f>
        <v>20000</v>
      </c>
      <c r="Q110" s="18">
        <f ca="1">SUMIFS(Receitas!$F:$F,Receitas!$J:$J,"&lt;="&amp;$A110,Receitas!$L:$L,"&gt;="&amp;$A110,Receitas!$C:$C,Q$1,Receitas!$M:$M,"Mensal")+SUMIFS(Receitas!$F:$F,Receitas!$J:$J,"&lt;="&amp;$A110,Receitas!$L:$L,"&gt;="&amp;$A110,Receitas!$C:$C,Q$1,Receitas!$M:$M,$B110)</f>
        <v>15101.400000000001</v>
      </c>
      <c r="R110" s="18" cm="1">
        <f t="array" ref="R110">(IF(AND(Membros!$F$2="Sim",A110&lt;=MAX(Membros!$E$2:$E$5)),Membros!K$2,IF(AND(A110&gt;=Membros!J$2,A110&lt;=MAX(Membros!$E$2:$E$5)),Membros!K$2,0))+IF(AND(Membros!$F$3="Sim",A110&lt;=MAX(Membros!$E$2:$E$5)),Membros!K$3,IF(AND(A110&gt;=Membros!J$3,A110&lt;=MAX(Membros!$E$2:$E$5)),Membros!K$3,0)))*IF(AND(COUNTIFS(Tabela3[Tipo],"Provedor",Tabela3[Simulação Seguro],"Sim")=2,A110&gt;=MAX(IF(Tabela3[Tipo]="Dependente",Tabela3[Expectativa de Vida (Data)]))),0,1)</f>
        <v>0</v>
      </c>
      <c r="S110" s="18">
        <f t="shared" ca="1" si="13"/>
        <v>85101.4</v>
      </c>
      <c r="U110" s="18">
        <f t="shared" ca="1" si="16"/>
        <v>5809853.8699762234</v>
      </c>
      <c r="V110" s="18">
        <f>SUMIF(Imóveis!E:E,Dados!A:A,Imóveis!Z:Z)-SUMIF(Imóveis!E:E,Dados!A:A,Imóveis!Y:Y)</f>
        <v>0</v>
      </c>
      <c r="W110" s="18">
        <f>-SUMIF(Projetos!N:N,A110,Projetos!F:F)</f>
        <v>0</v>
      </c>
      <c r="X110" s="18">
        <f t="shared" ca="1" si="10"/>
        <v>2213.1005978827452</v>
      </c>
      <c r="Y110" s="26">
        <f ca="1">(U110*((Indicadores_Economicos!D$2+1)^(1/12)-1))</f>
        <v>19019.949742903482</v>
      </c>
      <c r="Z110" s="18">
        <f t="shared" ca="1" si="14"/>
        <v>5831086.92031701</v>
      </c>
      <c r="AA110" s="18">
        <f ca="1">Auxiliar_Projetos!E110</f>
        <v>170332.66353973103</v>
      </c>
      <c r="AB110" s="18">
        <f ca="1">Auxiliar_Projetos!K110</f>
        <v>410082.81876586308</v>
      </c>
      <c r="AC110" s="18">
        <f ca="1">IF(Z110-AA110-AB110&gt;Investimentos!$C$14,Investimentos!$C$14,IF(Z110-AA110-AB110&lt;Investimentos!$C$14,Z110-AA110-AB110,0))</f>
        <v>300000</v>
      </c>
      <c r="AD110" s="18">
        <f t="shared" ca="1" si="15"/>
        <v>4950671.4380114162</v>
      </c>
      <c r="AE110" s="18"/>
    </row>
    <row r="111" spans="1:31" x14ac:dyDescent="0.2">
      <c r="A111" s="4">
        <v>48976</v>
      </c>
      <c r="B111" s="5" t="str">
        <f t="shared" si="11"/>
        <v>fevereiro</v>
      </c>
      <c r="C111" s="5" t="str">
        <f t="shared" si="18"/>
        <v>2034</v>
      </c>
      <c r="D111" s="5">
        <f>SUMIFS(Despesas!$F:$F,Despesas!$J:$J,"&lt;="&amp;$A111,Despesas!$L:$L,"&gt;="&amp;$A111,Despesas!$C:$C,D$1,Despesas!$M:$M,"Mensal")+SUMIFS(Despesas!$F:$F,Despesas!$J:$J,"&lt;="&amp;$A111,Despesas!$L:$L,"&gt;="&amp;$A111,Despesas!$C:$C,D$1,Despesas!$M:$M,$B111)</f>
        <v>23000</v>
      </c>
      <c r="E111" s="18">
        <f>SUMIFS(Despesas!$F:$F,Despesas!$J:$J,"&lt;="&amp;$A111,Despesas!$L:$L,"&gt;="&amp;$A111,Despesas!$C:$C,E$1,Despesas!$M:$M,"Mensal")+SUMIFS(Despesas!$F:$F,Despesas!$J:$J,"&lt;="&amp;$A111,Despesas!$L:$L,"&gt;="&amp;$A111,Despesas!$C:$C,E$1,Despesas!$M:$M,$B111)</f>
        <v>18000</v>
      </c>
      <c r="F111" s="5">
        <f>SUMIFS(Despesas!$F:$F,Despesas!$J:$J,"&lt;="&amp;$A111,Despesas!$L:$L,"&gt;="&amp;$A111,Despesas!$C:$C,F$1,Despesas!$M:$M,"Mensal")+SUMIFS(Despesas!$F:$F,Despesas!$J:$J,"&lt;="&amp;$A111,Despesas!$L:$L,"&gt;="&amp;$A111,Despesas!$C:$C,F$1,Despesas!$M:$M,$B111)</f>
        <v>13000</v>
      </c>
      <c r="G111" s="5">
        <f>SUMIFS(Despesas!$F:$F,Despesas!$J:$J,"&lt;="&amp;$A111,Despesas!$L:$L,"&gt;="&amp;$A111,Despesas!$C:$C,G$1,Despesas!$M:$M,"Mensal")+SUMIFS(Despesas!$F:$F,Despesas!$J:$J,"&lt;="&amp;$A111,Despesas!$L:$L,"&gt;="&amp;$A111,Despesas!$C:$C,G$1,Despesas!$M:$M,$B111)</f>
        <v>0</v>
      </c>
      <c r="H111" s="18">
        <f ca="1">SUMIFS(Despesas!$F:$F,Despesas!$J:$J,"&lt;="&amp;$A111,Despesas!$L:$L,"&gt;="&amp;$A111,Despesas!$C:$C,H$1,Despesas!$M:$M,"Mensal")+SUMIFS(Despesas!$F:$F,Despesas!$J:$J,"&lt;="&amp;$A111,Despesas!$L:$L,"&gt;="&amp;$A111,Despesas!$C:$C,H$1,Despesas!$M:$M,$B111)</f>
        <v>4543.9250000000002</v>
      </c>
      <c r="I111" s="18">
        <f>IF(Imóveis!$F$2="PRICE",IF(AND(Dados!$A111&gt;=Imóveis!$Q$2,Dados!$A111&lt;=Imóveis!$T$2),Imóveis!$U$2,0),IF((IF(AND(Dados!$A111&gt;=Imóveis!$Q$2,Dados!$A111&lt;=Imóveis!$T$2),Imóveis!$S$2-(DATEDIF(Imóveis!$Q$2,Dados!$A111,"m")),0))=0,0,((Imóveis!$N$2/Imóveis!$S$2)+((Imóveis!$N$2-((Imóveis!$S$2-(IF(AND(Dados!$A111&gt;=Imóveis!$Q$2,Dados!$A111&lt;=Imóveis!$T$2),Imóveis!$S$2-(DATEDIF(Imóveis!$Q$2,Dados!$A111,"m")),)))*(Imóveis!$N$2/Imóveis!$S$2)))*Imóveis!$P$2))))*IF(AND(Imóveis!$E$2&gt;0,Dados!$A111&gt;Imóveis!$E$2),0,1)</f>
        <v>12181.27532573908</v>
      </c>
      <c r="J111" s="18">
        <f ca="1">IF(Imóveis!$F$3="PRICE",IF(AND(Dados!$A111&gt;=Imóveis!$Q$3,Dados!$A111&lt;=Imóveis!$T$3),Imóveis!$U$3,0),IF((IF(AND(Dados!$A111&gt;=Imóveis!$Q$3,Dados!$A111&lt;=Imóveis!$T$3),Imóveis!$S$3-(DATEDIF(Imóveis!$Q$3,Dados!$A111,"m")),0))=0,0,((Imóveis!$N$3/Imóveis!$S$3)+((Imóveis!$N$3-((Imóveis!$S$3-(IF(AND(Dados!$A111&gt;=Imóveis!$Q$3,Dados!$A111&lt;=Imóveis!$T$3),Imóveis!$S$3-(DATEDIF(Imóveis!$Q$3,Dados!$A111,"m")),)))*(Imóveis!$N$3/Imóveis!$S$3)))*Imóveis!$P$3))))*IF(AND(Imóveis!$E$3&gt;0,Dados!$A111&gt;Imóveis!$E$3),0,1)</f>
        <v>9314.6986248807771</v>
      </c>
      <c r="K111" s="18">
        <f>IF(Imóveis!$F$4="PRICE",IF(AND(Dados!$A111&gt;=Imóveis!$Q$4,Dados!$A111&lt;=Imóveis!$T$4),Imóveis!$U$4,0),IF((IF(AND(Dados!$A111&gt;=Imóveis!$Q$4,Dados!$A111&lt;=Imóveis!$T$4),Imóveis!$S$4-(DATEDIF(Imóveis!$Q$4,Dados!$A111,"m")),0))=0,0,((Imóveis!$N$4/Imóveis!$S$4)+((Imóveis!$N$4-((Imóveis!$S$4-(IF(AND(Dados!$A111&gt;=Imóveis!$Q$4,Dados!$A111&lt;=Imóveis!$T$4),Imóveis!$S$4-(DATEDIF(Imóveis!$Q$4,Dados!$A111,"m")),)))*(Imóveis!$N$4/Imóveis!$S$4)))*Imóveis!$P$4))))*IF(AND(Imóveis!$E$4&gt;0,Dados!$A111&gt;Imóveis!$E$4),0,1)</f>
        <v>4643.949359272583</v>
      </c>
      <c r="L111" s="18">
        <f>IF(Imóveis!$F$5="PRICE",IF(AND(Dados!$A111&gt;=Imóveis!$Q$5,Dados!$A111&lt;=Imóveis!$T$5),Imóveis!$U$5,0),IF((IF(AND(Dados!$A111&gt;=Imóveis!$Q$5,Dados!$A111&lt;=Imóveis!$T$5),Imóveis!$S$5-(DATEDIF(Imóveis!$Q$5,Dados!$A111,"m")),0))=0,0,((Imóveis!$N$5/Imóveis!$S$5)+((Imóveis!$N$5-((Imóveis!$S$5-(IF(AND(Dados!$A111 &gt;=Imóveis!$Q$5,Dados!$A111&lt;=Imóveis!$T$5),Imóveis!$S$5-(DATEDIF(Imóveis!$Q$5,Dados!$A111,"m")),)))*(Imóveis!$N$5/Imóveis!$S$5)))*Imóveis!$P$5))))*IF(AND(Imóveis!$E$5&gt;0,Dados!$A111&gt;Imóveis!$E$5),0,1)*Imóveis!$I$5</f>
        <v>0</v>
      </c>
      <c r="M111" s="18">
        <f>IF(Imóveis!$F$6="PRICE",IF(AND(Dados!$A111&gt;=Imóveis!$Q$6,Dados!$A111&lt;=Imóveis!$T$6),Imóveis!$U$6,0),IF((IF(AND(Dados!$A111&gt;=Imóveis!$Q$6,Dados!$A111&lt;=Imóveis!$T$6),Imóveis!$S$6-(DATEDIF(Imóveis!$Q$6,Dados!$A111,"m")),0))=0,0,((Imóveis!$N$6/Imóveis!$S$6)+((Imóveis!$N$6-((Imóveis!$S$6-(IF(AND(Dados!$A111&gt;=Imóveis!$Q$6,Dados!$A111&lt;=Imóveis!$T$6),Imóveis!$S$6-(DATEDIF(Imóveis!$Q$6,Dados!$A111,"m")),)))*(Imóveis!$N$6/Imóveis!$S$6)))*Imóveis!$P$6))))*IF(AND(Imóveis!$E$6&gt;0,Dados!$A111&gt;Imóveis!$E$6),0,1)*Imóveis!$I$6</f>
        <v>0</v>
      </c>
      <c r="N111" s="18">
        <f t="shared" ca="1" si="12"/>
        <v>84683.848309892433</v>
      </c>
      <c r="O111" s="18">
        <f>SUMIFS(Receitas!$F:$F,Receitas!$J:$J,"&lt;="&amp;$A111,Receitas!$L:$L,"&gt;="&amp;$A111,Receitas!$C:$C,O$1,Receitas!$M:$M,"Mensal")+SUMIFS(Receitas!$F:$F,Receitas!$J:$J,"&lt;="&amp;$A111,Receitas!$L:$L,"&gt;="&amp;$A111,Receitas!$C:$C,O$1,Receitas!$M:$M,$B111)</f>
        <v>50000</v>
      </c>
      <c r="P111" s="18">
        <f>SUMIFS(Receitas!$F:$F,Receitas!$J:$J,"&lt;="&amp;$A111,Receitas!$L:$L,"&gt;="&amp;$A111,Receitas!$C:$C,P$1,Receitas!$M:$M,"Mensal")+SUMIFS(Receitas!$F:$F,Receitas!$J:$J,"&lt;="&amp;$A111,Receitas!$L:$L,"&gt;="&amp;$A111,Receitas!$C:$C,P$1,Receitas!$M:$M,$B111)</f>
        <v>20000</v>
      </c>
      <c r="Q111" s="18">
        <f ca="1">SUMIFS(Receitas!$F:$F,Receitas!$J:$J,"&lt;="&amp;$A111,Receitas!$L:$L,"&gt;="&amp;$A111,Receitas!$C:$C,Q$1,Receitas!$M:$M,"Mensal")+SUMIFS(Receitas!$F:$F,Receitas!$J:$J,"&lt;="&amp;$A111,Receitas!$L:$L,"&gt;="&amp;$A111,Receitas!$C:$C,Q$1,Receitas!$M:$M,$B111)</f>
        <v>15101.400000000001</v>
      </c>
      <c r="R111" s="18" cm="1">
        <f t="array" ref="R111">(IF(AND(Membros!$F$2="Sim",A111&lt;=MAX(Membros!$E$2:$E$5)),Membros!K$2,IF(AND(A111&gt;=Membros!J$2,A111&lt;=MAX(Membros!$E$2:$E$5)),Membros!K$2,0))+IF(AND(Membros!$F$3="Sim",A111&lt;=MAX(Membros!$E$2:$E$5)),Membros!K$3,IF(AND(A111&gt;=Membros!J$3,A111&lt;=MAX(Membros!$E$2:$E$5)),Membros!K$3,0)))*IF(AND(COUNTIFS(Tabela3[Tipo],"Provedor",Tabela3[Simulação Seguro],"Sim")=2,A111&gt;=MAX(IF(Tabela3[Tipo]="Dependente",Tabela3[Expectativa de Vida (Data)]))),0,1)</f>
        <v>0</v>
      </c>
      <c r="S111" s="18">
        <f t="shared" ca="1" si="13"/>
        <v>85101.4</v>
      </c>
      <c r="U111" s="18">
        <f t="shared" ca="1" si="16"/>
        <v>5831086.92031701</v>
      </c>
      <c r="V111" s="18">
        <f>SUMIF(Imóveis!E:E,Dados!A:A,Imóveis!Z:Z)-SUMIF(Imóveis!E:E,Dados!A:A,Imóveis!Y:Y)</f>
        <v>0</v>
      </c>
      <c r="W111" s="18">
        <f>-SUMIF(Projetos!N:N,A111,Projetos!F:F)</f>
        <v>0</v>
      </c>
      <c r="X111" s="18">
        <f t="shared" ca="1" si="10"/>
        <v>417.55169010756072</v>
      </c>
      <c r="Y111" s="26">
        <f ca="1">(U111*((Indicadores_Economicos!D$2+1)^(1/12)-1))</f>
        <v>19089.461224501549</v>
      </c>
      <c r="Z111" s="18">
        <f t="shared" ca="1" si="14"/>
        <v>5850593.9332316192</v>
      </c>
      <c r="AA111" s="18">
        <f ca="1">Auxiliar_Projetos!E111</f>
        <v>170890.28835656896</v>
      </c>
      <c r="AB111" s="18">
        <f ca="1">Auxiliar_Projetos!K111</f>
        <v>411425.32320365316</v>
      </c>
      <c r="AC111" s="18">
        <f ca="1">IF(Z111-AA111-AB111&gt;Investimentos!$C$14,Investimentos!$C$14,IF(Z111-AA111-AB111&lt;Investimentos!$C$14,Z111-AA111-AB111,0))</f>
        <v>300000</v>
      </c>
      <c r="AD111" s="18">
        <f t="shared" ca="1" si="15"/>
        <v>4968278.3216713974</v>
      </c>
      <c r="AE111" s="18"/>
    </row>
    <row r="112" spans="1:31" x14ac:dyDescent="0.2">
      <c r="A112" s="4">
        <v>49004</v>
      </c>
      <c r="B112" s="5" t="str">
        <f t="shared" si="11"/>
        <v>março</v>
      </c>
      <c r="C112" s="5" t="str">
        <f t="shared" si="18"/>
        <v>2034</v>
      </c>
      <c r="D112" s="5">
        <f>SUMIFS(Despesas!$F:$F,Despesas!$J:$J,"&lt;="&amp;$A112,Despesas!$L:$L,"&gt;="&amp;$A112,Despesas!$C:$C,D$1,Despesas!$M:$M,"Mensal")+SUMIFS(Despesas!$F:$F,Despesas!$J:$J,"&lt;="&amp;$A112,Despesas!$L:$L,"&gt;="&amp;$A112,Despesas!$C:$C,D$1,Despesas!$M:$M,$B112)</f>
        <v>23000</v>
      </c>
      <c r="E112" s="18">
        <f>SUMIFS(Despesas!$F:$F,Despesas!$J:$J,"&lt;="&amp;$A112,Despesas!$L:$L,"&gt;="&amp;$A112,Despesas!$C:$C,E$1,Despesas!$M:$M,"Mensal")+SUMIFS(Despesas!$F:$F,Despesas!$J:$J,"&lt;="&amp;$A112,Despesas!$L:$L,"&gt;="&amp;$A112,Despesas!$C:$C,E$1,Despesas!$M:$M,$B112)</f>
        <v>18000</v>
      </c>
      <c r="F112" s="5">
        <f>SUMIFS(Despesas!$F:$F,Despesas!$J:$J,"&lt;="&amp;$A112,Despesas!$L:$L,"&gt;="&amp;$A112,Despesas!$C:$C,F$1,Despesas!$M:$M,"Mensal")+SUMIFS(Despesas!$F:$F,Despesas!$J:$J,"&lt;="&amp;$A112,Despesas!$L:$L,"&gt;="&amp;$A112,Despesas!$C:$C,F$1,Despesas!$M:$M,$B112)</f>
        <v>13000</v>
      </c>
      <c r="G112" s="5">
        <f>SUMIFS(Despesas!$F:$F,Despesas!$J:$J,"&lt;="&amp;$A112,Despesas!$L:$L,"&gt;="&amp;$A112,Despesas!$C:$C,G$1,Despesas!$M:$M,"Mensal")+SUMIFS(Despesas!$F:$F,Despesas!$J:$J,"&lt;="&amp;$A112,Despesas!$L:$L,"&gt;="&amp;$A112,Despesas!$C:$C,G$1,Despesas!$M:$M,$B112)</f>
        <v>0</v>
      </c>
      <c r="H112" s="18">
        <f ca="1">SUMIFS(Despesas!$F:$F,Despesas!$J:$J,"&lt;="&amp;$A112,Despesas!$L:$L,"&gt;="&amp;$A112,Despesas!$C:$C,H$1,Despesas!$M:$M,"Mensal")+SUMIFS(Despesas!$F:$F,Despesas!$J:$J,"&lt;="&amp;$A112,Despesas!$L:$L,"&gt;="&amp;$A112,Despesas!$C:$C,H$1,Despesas!$M:$M,$B112)</f>
        <v>2686.355</v>
      </c>
      <c r="I112" s="18">
        <f>IF(Imóveis!$F$2="PRICE",IF(AND(Dados!$A112&gt;=Imóveis!$Q$2,Dados!$A112&lt;=Imóveis!$T$2),Imóveis!$U$2,0),IF((IF(AND(Dados!$A112&gt;=Imóveis!$Q$2,Dados!$A112&lt;=Imóveis!$T$2),Imóveis!$S$2-(DATEDIF(Imóveis!$Q$2,Dados!$A112,"m")),0))=0,0,((Imóveis!$N$2/Imóveis!$S$2)+((Imóveis!$N$2-((Imóveis!$S$2-(IF(AND(Dados!$A112&gt;=Imóveis!$Q$2,Dados!$A112&lt;=Imóveis!$T$2),Imóveis!$S$2-(DATEDIF(Imóveis!$Q$2,Dados!$A112,"m")),)))*(Imóveis!$N$2/Imóveis!$S$2)))*Imóveis!$P$2))))*IF(AND(Imóveis!$E$2&gt;0,Dados!$A112&gt;Imóveis!$E$2),0,1)</f>
        <v>12119.254233514272</v>
      </c>
      <c r="J112" s="18">
        <f ca="1">IF(Imóveis!$F$3="PRICE",IF(AND(Dados!$A112&gt;=Imóveis!$Q$3,Dados!$A112&lt;=Imóveis!$T$3),Imóveis!$U$3,0),IF((IF(AND(Dados!$A112&gt;=Imóveis!$Q$3,Dados!$A112&lt;=Imóveis!$T$3),Imóveis!$S$3-(DATEDIF(Imóveis!$Q$3,Dados!$A112,"m")),0))=0,0,((Imóveis!$N$3/Imóveis!$S$3)+((Imóveis!$N$3-((Imóveis!$S$3-(IF(AND(Dados!$A112&gt;=Imóveis!$Q$3,Dados!$A112&lt;=Imóveis!$T$3),Imóveis!$S$3-(DATEDIF(Imóveis!$Q$3,Dados!$A112,"m")),)))*(Imóveis!$N$3/Imóveis!$S$3)))*Imóveis!$P$3))))*IF(AND(Imóveis!$E$3&gt;0,Dados!$A112&gt;Imóveis!$E$3),0,1)</f>
        <v>9314.6986248807771</v>
      </c>
      <c r="K112" s="18">
        <f>IF(Imóveis!$F$4="PRICE",IF(AND(Dados!$A112&gt;=Imóveis!$Q$4,Dados!$A112&lt;=Imóveis!$T$4),Imóveis!$U$4,0),IF((IF(AND(Dados!$A112&gt;=Imóveis!$Q$4,Dados!$A112&lt;=Imóveis!$T$4),Imóveis!$S$4-(DATEDIF(Imóveis!$Q$4,Dados!$A112,"m")),0))=0,0,((Imóveis!$N$4/Imóveis!$S$4)+((Imóveis!$N$4-((Imóveis!$S$4-(IF(AND(Dados!$A112&gt;=Imóveis!$Q$4,Dados!$A112&lt;=Imóveis!$T$4),Imóveis!$S$4-(DATEDIF(Imóveis!$Q$4,Dados!$A112,"m")),)))*(Imóveis!$N$4/Imóveis!$S$4)))*Imóveis!$P$4))))*IF(AND(Imóveis!$E$4&gt;0,Dados!$A112&gt;Imóveis!$E$4),0,1)</f>
        <v>4643.949359272583</v>
      </c>
      <c r="L112" s="18">
        <f>IF(Imóveis!$F$5="PRICE",IF(AND(Dados!$A112&gt;=Imóveis!$Q$5,Dados!$A112&lt;=Imóveis!$T$5),Imóveis!$U$5,0),IF((IF(AND(Dados!$A112&gt;=Imóveis!$Q$5,Dados!$A112&lt;=Imóveis!$T$5),Imóveis!$S$5-(DATEDIF(Imóveis!$Q$5,Dados!$A112,"m")),0))=0,0,((Imóveis!$N$5/Imóveis!$S$5)+((Imóveis!$N$5-((Imóveis!$S$5-(IF(AND(Dados!$A112 &gt;=Imóveis!$Q$5,Dados!$A112&lt;=Imóveis!$T$5),Imóveis!$S$5-(DATEDIF(Imóveis!$Q$5,Dados!$A112,"m")),)))*(Imóveis!$N$5/Imóveis!$S$5)))*Imóveis!$P$5))))*IF(AND(Imóveis!$E$5&gt;0,Dados!$A112&gt;Imóveis!$E$5),0,1)*Imóveis!$I$5</f>
        <v>0</v>
      </c>
      <c r="M112" s="18">
        <f>IF(Imóveis!$F$6="PRICE",IF(AND(Dados!$A112&gt;=Imóveis!$Q$6,Dados!$A112&lt;=Imóveis!$T$6),Imóveis!$U$6,0),IF((IF(AND(Dados!$A112&gt;=Imóveis!$Q$6,Dados!$A112&lt;=Imóveis!$T$6),Imóveis!$S$6-(DATEDIF(Imóveis!$Q$6,Dados!$A112,"m")),0))=0,0,((Imóveis!$N$6/Imóveis!$S$6)+((Imóveis!$N$6-((Imóveis!$S$6-(IF(AND(Dados!$A112&gt;=Imóveis!$Q$6,Dados!$A112&lt;=Imóveis!$T$6),Imóveis!$S$6-(DATEDIF(Imóveis!$Q$6,Dados!$A112,"m")),)))*(Imóveis!$N$6/Imóveis!$S$6)))*Imóveis!$P$6))))*IF(AND(Imóveis!$E$6&gt;0,Dados!$A112&gt;Imóveis!$E$6),0,1)*Imóveis!$I$6</f>
        <v>0</v>
      </c>
      <c r="N112" s="18">
        <f t="shared" ca="1" si="12"/>
        <v>82764.257217667633</v>
      </c>
      <c r="O112" s="18">
        <f>SUMIFS(Receitas!$F:$F,Receitas!$J:$J,"&lt;="&amp;$A112,Receitas!$L:$L,"&gt;="&amp;$A112,Receitas!$C:$C,O$1,Receitas!$M:$M,"Mensal")+SUMIFS(Receitas!$F:$F,Receitas!$J:$J,"&lt;="&amp;$A112,Receitas!$L:$L,"&gt;="&amp;$A112,Receitas!$C:$C,O$1,Receitas!$M:$M,$B112)</f>
        <v>50000</v>
      </c>
      <c r="P112" s="18">
        <f>SUMIFS(Receitas!$F:$F,Receitas!$J:$J,"&lt;="&amp;$A112,Receitas!$L:$L,"&gt;="&amp;$A112,Receitas!$C:$C,P$1,Receitas!$M:$M,"Mensal")+SUMIFS(Receitas!$F:$F,Receitas!$J:$J,"&lt;="&amp;$A112,Receitas!$L:$L,"&gt;="&amp;$A112,Receitas!$C:$C,P$1,Receitas!$M:$M,$B112)</f>
        <v>20000</v>
      </c>
      <c r="Q112" s="18">
        <f ca="1">SUMIFS(Receitas!$F:$F,Receitas!$J:$J,"&lt;="&amp;$A112,Receitas!$L:$L,"&gt;="&amp;$A112,Receitas!$C:$C,Q$1,Receitas!$M:$M,"Mensal")+SUMIFS(Receitas!$F:$F,Receitas!$J:$J,"&lt;="&amp;$A112,Receitas!$L:$L,"&gt;="&amp;$A112,Receitas!$C:$C,Q$1,Receitas!$M:$M,$B112)</f>
        <v>15101.400000000001</v>
      </c>
      <c r="R112" s="18" cm="1">
        <f t="array" ref="R112">(IF(AND(Membros!$F$2="Sim",A112&lt;=MAX(Membros!$E$2:$E$5)),Membros!K$2,IF(AND(A112&gt;=Membros!J$2,A112&lt;=MAX(Membros!$E$2:$E$5)),Membros!K$2,0))+IF(AND(Membros!$F$3="Sim",A112&lt;=MAX(Membros!$E$2:$E$5)),Membros!K$3,IF(AND(A112&gt;=Membros!J$3,A112&lt;=MAX(Membros!$E$2:$E$5)),Membros!K$3,0)))*IF(AND(COUNTIFS(Tabela3[Tipo],"Provedor",Tabela3[Simulação Seguro],"Sim")=2,A112&gt;=MAX(IF(Tabela3[Tipo]="Dependente",Tabela3[Expectativa de Vida (Data)]))),0,1)</f>
        <v>0</v>
      </c>
      <c r="S112" s="18">
        <f t="shared" ca="1" si="13"/>
        <v>85101.4</v>
      </c>
      <c r="U112" s="18">
        <f t="shared" ca="1" si="16"/>
        <v>5850593.9332316192</v>
      </c>
      <c r="V112" s="18">
        <f>SUMIF(Imóveis!E:E,Dados!A:A,Imóveis!Z:Z)-SUMIF(Imóveis!E:E,Dados!A:A,Imóveis!Y:Y)</f>
        <v>0</v>
      </c>
      <c r="W112" s="18">
        <f>-SUMIF(Projetos!N:N,A112,Projetos!F:F)</f>
        <v>0</v>
      </c>
      <c r="X112" s="18">
        <f t="shared" ca="1" si="10"/>
        <v>2337.1427823323611</v>
      </c>
      <c r="Y112" s="26">
        <f ca="1">(U112*((Indicadores_Economicos!D$2+1)^(1/12)-1))</f>
        <v>19153.322108711971</v>
      </c>
      <c r="Z112" s="18">
        <f t="shared" ca="1" si="14"/>
        <v>5872084.3981226636</v>
      </c>
      <c r="AA112" s="18">
        <f ca="1">Auxiliar_Projetos!E112</f>
        <v>171449.7386919533</v>
      </c>
      <c r="AB112" s="18">
        <f ca="1">Auxiliar_Projetos!K112</f>
        <v>412772.22265162901</v>
      </c>
      <c r="AC112" s="18">
        <f ca="1">IF(Z112-AA112-AB112&gt;Investimentos!$C$14,Investimentos!$C$14,IF(Z112-AA112-AB112&lt;Investimentos!$C$14,Z112-AA112-AB112,0))</f>
        <v>300000</v>
      </c>
      <c r="AD112" s="18">
        <f t="shared" ca="1" si="15"/>
        <v>4987862.4367790818</v>
      </c>
      <c r="AE112" s="18"/>
    </row>
    <row r="113" spans="1:31" x14ac:dyDescent="0.2">
      <c r="A113" s="4">
        <v>49035</v>
      </c>
      <c r="B113" s="5" t="str">
        <f t="shared" si="11"/>
        <v>abril</v>
      </c>
      <c r="C113" s="5" t="str">
        <f t="shared" si="18"/>
        <v>2034</v>
      </c>
      <c r="D113" s="5">
        <f>SUMIFS(Despesas!$F:$F,Despesas!$J:$J,"&lt;="&amp;$A113,Despesas!$L:$L,"&gt;="&amp;$A113,Despesas!$C:$C,D$1,Despesas!$M:$M,"Mensal")+SUMIFS(Despesas!$F:$F,Despesas!$J:$J,"&lt;="&amp;$A113,Despesas!$L:$L,"&gt;="&amp;$A113,Despesas!$C:$C,D$1,Despesas!$M:$M,$B113)</f>
        <v>23000</v>
      </c>
      <c r="E113" s="18">
        <f>SUMIFS(Despesas!$F:$F,Despesas!$J:$J,"&lt;="&amp;$A113,Despesas!$L:$L,"&gt;="&amp;$A113,Despesas!$C:$C,E$1,Despesas!$M:$M,"Mensal")+SUMIFS(Despesas!$F:$F,Despesas!$J:$J,"&lt;="&amp;$A113,Despesas!$L:$L,"&gt;="&amp;$A113,Despesas!$C:$C,E$1,Despesas!$M:$M,$B113)</f>
        <v>18000</v>
      </c>
      <c r="F113" s="5">
        <f>SUMIFS(Despesas!$F:$F,Despesas!$J:$J,"&lt;="&amp;$A113,Despesas!$L:$L,"&gt;="&amp;$A113,Despesas!$C:$C,F$1,Despesas!$M:$M,"Mensal")+SUMIFS(Despesas!$F:$F,Despesas!$J:$J,"&lt;="&amp;$A113,Despesas!$L:$L,"&gt;="&amp;$A113,Despesas!$C:$C,F$1,Despesas!$M:$M,$B113)</f>
        <v>13000</v>
      </c>
      <c r="G113" s="5">
        <f>SUMIFS(Despesas!$F:$F,Despesas!$J:$J,"&lt;="&amp;$A113,Despesas!$L:$L,"&gt;="&amp;$A113,Despesas!$C:$C,G$1,Despesas!$M:$M,"Mensal")+SUMIFS(Despesas!$F:$F,Despesas!$J:$J,"&lt;="&amp;$A113,Despesas!$L:$L,"&gt;="&amp;$A113,Despesas!$C:$C,G$1,Despesas!$M:$M,$B113)</f>
        <v>0</v>
      </c>
      <c r="H113" s="18">
        <f ca="1">SUMIFS(Despesas!$F:$F,Despesas!$J:$J,"&lt;="&amp;$A113,Despesas!$L:$L,"&gt;="&amp;$A113,Despesas!$C:$C,H$1,Despesas!$M:$M,"Mensal")+SUMIFS(Despesas!$F:$F,Despesas!$J:$J,"&lt;="&amp;$A113,Despesas!$L:$L,"&gt;="&amp;$A113,Despesas!$C:$C,H$1,Despesas!$M:$M,$B113)</f>
        <v>2686.355</v>
      </c>
      <c r="I113" s="18">
        <f>IF(Imóveis!$F$2="PRICE",IF(AND(Dados!$A113&gt;=Imóveis!$Q$2,Dados!$A113&lt;=Imóveis!$T$2),Imóveis!$U$2,0),IF((IF(AND(Dados!$A113&gt;=Imóveis!$Q$2,Dados!$A113&lt;=Imóveis!$T$2),Imóveis!$S$2-(DATEDIF(Imóveis!$Q$2,Dados!$A113,"m")),0))=0,0,((Imóveis!$N$2/Imóveis!$S$2)+((Imóveis!$N$2-((Imóveis!$S$2-(IF(AND(Dados!$A113&gt;=Imóveis!$Q$2,Dados!$A113&lt;=Imóveis!$T$2),Imóveis!$S$2-(DATEDIF(Imóveis!$Q$2,Dados!$A113,"m")),)))*(Imóveis!$N$2/Imóveis!$S$2)))*Imóveis!$P$2))))*IF(AND(Imóveis!$E$2&gt;0,Dados!$A113&gt;Imóveis!$E$2),0,1)</f>
        <v>12057.233141289464</v>
      </c>
      <c r="J113" s="18">
        <f ca="1">IF(Imóveis!$F$3="PRICE",IF(AND(Dados!$A113&gt;=Imóveis!$Q$3,Dados!$A113&lt;=Imóveis!$T$3),Imóveis!$U$3,0),IF((IF(AND(Dados!$A113&gt;=Imóveis!$Q$3,Dados!$A113&lt;=Imóveis!$T$3),Imóveis!$S$3-(DATEDIF(Imóveis!$Q$3,Dados!$A113,"m")),0))=0,0,((Imóveis!$N$3/Imóveis!$S$3)+((Imóveis!$N$3-((Imóveis!$S$3-(IF(AND(Dados!$A113&gt;=Imóveis!$Q$3,Dados!$A113&lt;=Imóveis!$T$3),Imóveis!$S$3-(DATEDIF(Imóveis!$Q$3,Dados!$A113,"m")),)))*(Imóveis!$N$3/Imóveis!$S$3)))*Imóveis!$P$3))))*IF(AND(Imóveis!$E$3&gt;0,Dados!$A113&gt;Imóveis!$E$3),0,1)</f>
        <v>9314.6986248807771</v>
      </c>
      <c r="K113" s="18">
        <f>IF(Imóveis!$F$4="PRICE",IF(AND(Dados!$A113&gt;=Imóveis!$Q$4,Dados!$A113&lt;=Imóveis!$T$4),Imóveis!$U$4,0),IF((IF(AND(Dados!$A113&gt;=Imóveis!$Q$4,Dados!$A113&lt;=Imóveis!$T$4),Imóveis!$S$4-(DATEDIF(Imóveis!$Q$4,Dados!$A113,"m")),0))=0,0,((Imóveis!$N$4/Imóveis!$S$4)+((Imóveis!$N$4-((Imóveis!$S$4-(IF(AND(Dados!$A113&gt;=Imóveis!$Q$4,Dados!$A113&lt;=Imóveis!$T$4),Imóveis!$S$4-(DATEDIF(Imóveis!$Q$4,Dados!$A113,"m")),)))*(Imóveis!$N$4/Imóveis!$S$4)))*Imóveis!$P$4))))*IF(AND(Imóveis!$E$4&gt;0,Dados!$A113&gt;Imóveis!$E$4),0,1)</f>
        <v>4643.949359272583</v>
      </c>
      <c r="L113" s="18">
        <f>IF(Imóveis!$F$5="PRICE",IF(AND(Dados!$A113&gt;=Imóveis!$Q$5,Dados!$A113&lt;=Imóveis!$T$5),Imóveis!$U$5,0),IF((IF(AND(Dados!$A113&gt;=Imóveis!$Q$5,Dados!$A113&lt;=Imóveis!$T$5),Imóveis!$S$5-(DATEDIF(Imóveis!$Q$5,Dados!$A113,"m")),0))=0,0,((Imóveis!$N$5/Imóveis!$S$5)+((Imóveis!$N$5-((Imóveis!$S$5-(IF(AND(Dados!$A113 &gt;=Imóveis!$Q$5,Dados!$A113&lt;=Imóveis!$T$5),Imóveis!$S$5-(DATEDIF(Imóveis!$Q$5,Dados!$A113,"m")),)))*(Imóveis!$N$5/Imóveis!$S$5)))*Imóveis!$P$5))))*IF(AND(Imóveis!$E$5&gt;0,Dados!$A113&gt;Imóveis!$E$5),0,1)*Imóveis!$I$5</f>
        <v>0</v>
      </c>
      <c r="M113" s="18">
        <f>IF(Imóveis!$F$6="PRICE",IF(AND(Dados!$A113&gt;=Imóveis!$Q$6,Dados!$A113&lt;=Imóveis!$T$6),Imóveis!$U$6,0),IF((IF(AND(Dados!$A113&gt;=Imóveis!$Q$6,Dados!$A113&lt;=Imóveis!$T$6),Imóveis!$S$6-(DATEDIF(Imóveis!$Q$6,Dados!$A113,"m")),0))=0,0,((Imóveis!$N$6/Imóveis!$S$6)+((Imóveis!$N$6-((Imóveis!$S$6-(IF(AND(Dados!$A113&gt;=Imóveis!$Q$6,Dados!$A113&lt;=Imóveis!$T$6),Imóveis!$S$6-(DATEDIF(Imóveis!$Q$6,Dados!$A113,"m")),)))*(Imóveis!$N$6/Imóveis!$S$6)))*Imóveis!$P$6))))*IF(AND(Imóveis!$E$6&gt;0,Dados!$A113&gt;Imóveis!$E$6),0,1)*Imóveis!$I$6</f>
        <v>0</v>
      </c>
      <c r="N113" s="18">
        <f t="shared" ca="1" si="12"/>
        <v>82702.236125442825</v>
      </c>
      <c r="O113" s="18">
        <f>SUMIFS(Receitas!$F:$F,Receitas!$J:$J,"&lt;="&amp;$A113,Receitas!$L:$L,"&gt;="&amp;$A113,Receitas!$C:$C,O$1,Receitas!$M:$M,"Mensal")+SUMIFS(Receitas!$F:$F,Receitas!$J:$J,"&lt;="&amp;$A113,Receitas!$L:$L,"&gt;="&amp;$A113,Receitas!$C:$C,O$1,Receitas!$M:$M,$B113)</f>
        <v>50000</v>
      </c>
      <c r="P113" s="18">
        <f>SUMIFS(Receitas!$F:$F,Receitas!$J:$J,"&lt;="&amp;$A113,Receitas!$L:$L,"&gt;="&amp;$A113,Receitas!$C:$C,P$1,Receitas!$M:$M,"Mensal")+SUMIFS(Receitas!$F:$F,Receitas!$J:$J,"&lt;="&amp;$A113,Receitas!$L:$L,"&gt;="&amp;$A113,Receitas!$C:$C,P$1,Receitas!$M:$M,$B113)</f>
        <v>85000</v>
      </c>
      <c r="Q113" s="18">
        <f ca="1">SUMIFS(Receitas!$F:$F,Receitas!$J:$J,"&lt;="&amp;$A113,Receitas!$L:$L,"&gt;="&amp;$A113,Receitas!$C:$C,Q$1,Receitas!$M:$M,"Mensal")+SUMIFS(Receitas!$F:$F,Receitas!$J:$J,"&lt;="&amp;$A113,Receitas!$L:$L,"&gt;="&amp;$A113,Receitas!$C:$C,Q$1,Receitas!$M:$M,$B113)</f>
        <v>15101.400000000001</v>
      </c>
      <c r="R113" s="18" cm="1">
        <f t="array" ref="R113">(IF(AND(Membros!$F$2="Sim",A113&lt;=MAX(Membros!$E$2:$E$5)),Membros!K$2,IF(AND(A113&gt;=Membros!J$2,A113&lt;=MAX(Membros!$E$2:$E$5)),Membros!K$2,0))+IF(AND(Membros!$F$3="Sim",A113&lt;=MAX(Membros!$E$2:$E$5)),Membros!K$3,IF(AND(A113&gt;=Membros!J$3,A113&lt;=MAX(Membros!$E$2:$E$5)),Membros!K$3,0)))*IF(AND(COUNTIFS(Tabela3[Tipo],"Provedor",Tabela3[Simulação Seguro],"Sim")=2,A113&gt;=MAX(IF(Tabela3[Tipo]="Dependente",Tabela3[Expectativa de Vida (Data)]))),0,1)</f>
        <v>0</v>
      </c>
      <c r="S113" s="18">
        <f t="shared" ca="1" si="13"/>
        <v>150101.4</v>
      </c>
      <c r="U113" s="18">
        <f t="shared" ca="1" si="16"/>
        <v>5872084.3981226636</v>
      </c>
      <c r="V113" s="18">
        <f>SUMIF(Imóveis!E:E,Dados!A:A,Imóveis!Z:Z)-SUMIF(Imóveis!E:E,Dados!A:A,Imóveis!Y:Y)</f>
        <v>0</v>
      </c>
      <c r="W113" s="18">
        <f>-SUMIF(Projetos!N:N,A113,Projetos!F:F)</f>
        <v>0</v>
      </c>
      <c r="X113" s="18">
        <f t="shared" ca="1" si="10"/>
        <v>67399.163874557169</v>
      </c>
      <c r="Y113" s="26">
        <f ca="1">(U113*((Indicadores_Economicos!D$2+1)^(1/12)-1))</f>
        <v>19223.676298563732</v>
      </c>
      <c r="Z113" s="18">
        <f t="shared" ca="1" si="14"/>
        <v>5958707.2382957842</v>
      </c>
      <c r="AA113" s="18">
        <f ca="1">Auxiliar_Projetos!E113</f>
        <v>172011.02052215676</v>
      </c>
      <c r="AB113" s="18">
        <f ca="1">Auxiliar_Projetos!K113</f>
        <v>414123.53149791033</v>
      </c>
      <c r="AC113" s="18">
        <f ca="1">IF(Z113-AA113-AB113&gt;Investimentos!$C$14,Investimentos!$C$14,IF(Z113-AA113-AB113&lt;Investimentos!$C$14,Z113-AA113-AB113,0))</f>
        <v>300000</v>
      </c>
      <c r="AD113" s="18">
        <f t="shared" ca="1" si="15"/>
        <v>5072572.6862757169</v>
      </c>
      <c r="AE113" s="18"/>
    </row>
    <row r="114" spans="1:31" x14ac:dyDescent="0.2">
      <c r="A114" s="4">
        <v>49065</v>
      </c>
      <c r="B114" s="5" t="str">
        <f t="shared" si="11"/>
        <v>maio</v>
      </c>
      <c r="C114" s="5" t="str">
        <f t="shared" si="18"/>
        <v>2034</v>
      </c>
      <c r="D114" s="5">
        <f>SUMIFS(Despesas!$F:$F,Despesas!$J:$J,"&lt;="&amp;$A114,Despesas!$L:$L,"&gt;="&amp;$A114,Despesas!$C:$C,D$1,Despesas!$M:$M,"Mensal")+SUMIFS(Despesas!$F:$F,Despesas!$J:$J,"&lt;="&amp;$A114,Despesas!$L:$L,"&gt;="&amp;$A114,Despesas!$C:$C,D$1,Despesas!$M:$M,$B114)</f>
        <v>23000</v>
      </c>
      <c r="E114" s="18">
        <f>SUMIFS(Despesas!$F:$F,Despesas!$J:$J,"&lt;="&amp;$A114,Despesas!$L:$L,"&gt;="&amp;$A114,Despesas!$C:$C,E$1,Despesas!$M:$M,"Mensal")+SUMIFS(Despesas!$F:$F,Despesas!$J:$J,"&lt;="&amp;$A114,Despesas!$L:$L,"&gt;="&amp;$A114,Despesas!$C:$C,E$1,Despesas!$M:$M,$B114)</f>
        <v>18000</v>
      </c>
      <c r="F114" s="5">
        <f>SUMIFS(Despesas!$F:$F,Despesas!$J:$J,"&lt;="&amp;$A114,Despesas!$L:$L,"&gt;="&amp;$A114,Despesas!$C:$C,F$1,Despesas!$M:$M,"Mensal")+SUMIFS(Despesas!$F:$F,Despesas!$J:$J,"&lt;="&amp;$A114,Despesas!$L:$L,"&gt;="&amp;$A114,Despesas!$C:$C,F$1,Despesas!$M:$M,$B114)</f>
        <v>13000</v>
      </c>
      <c r="G114" s="5">
        <f>SUMIFS(Despesas!$F:$F,Despesas!$J:$J,"&lt;="&amp;$A114,Despesas!$L:$L,"&gt;="&amp;$A114,Despesas!$C:$C,G$1,Despesas!$M:$M,"Mensal")+SUMIFS(Despesas!$F:$F,Despesas!$J:$J,"&lt;="&amp;$A114,Despesas!$L:$L,"&gt;="&amp;$A114,Despesas!$C:$C,G$1,Despesas!$M:$M,$B114)</f>
        <v>0</v>
      </c>
      <c r="H114" s="18">
        <f ca="1">SUMIFS(Despesas!$F:$F,Despesas!$J:$J,"&lt;="&amp;$A114,Despesas!$L:$L,"&gt;="&amp;$A114,Despesas!$C:$C,H$1,Despesas!$M:$M,"Mensal")+SUMIFS(Despesas!$F:$F,Despesas!$J:$J,"&lt;="&amp;$A114,Despesas!$L:$L,"&gt;="&amp;$A114,Despesas!$C:$C,H$1,Despesas!$M:$M,$B114)</f>
        <v>2686.355</v>
      </c>
      <c r="I114" s="18">
        <f>IF(Imóveis!$F$2="PRICE",IF(AND(Dados!$A114&gt;=Imóveis!$Q$2,Dados!$A114&lt;=Imóveis!$T$2),Imóveis!$U$2,0),IF((IF(AND(Dados!$A114&gt;=Imóveis!$Q$2,Dados!$A114&lt;=Imóveis!$T$2),Imóveis!$S$2-(DATEDIF(Imóveis!$Q$2,Dados!$A114,"m")),0))=0,0,((Imóveis!$N$2/Imóveis!$S$2)+((Imóveis!$N$2-((Imóveis!$S$2-(IF(AND(Dados!$A114&gt;=Imóveis!$Q$2,Dados!$A114&lt;=Imóveis!$T$2),Imóveis!$S$2-(DATEDIF(Imóveis!$Q$2,Dados!$A114,"m")),)))*(Imóveis!$N$2/Imóveis!$S$2)))*Imóveis!$P$2))))*IF(AND(Imóveis!$E$2&gt;0,Dados!$A114&gt;Imóveis!$E$2),0,1)</f>
        <v>11995.212049064658</v>
      </c>
      <c r="J114" s="18">
        <f ca="1">IF(Imóveis!$F$3="PRICE",IF(AND(Dados!$A114&gt;=Imóveis!$Q$3,Dados!$A114&lt;=Imóveis!$T$3),Imóveis!$U$3,0),IF((IF(AND(Dados!$A114&gt;=Imóveis!$Q$3,Dados!$A114&lt;=Imóveis!$T$3),Imóveis!$S$3-(DATEDIF(Imóveis!$Q$3,Dados!$A114,"m")),0))=0,0,((Imóveis!$N$3/Imóveis!$S$3)+((Imóveis!$N$3-((Imóveis!$S$3-(IF(AND(Dados!$A114&gt;=Imóveis!$Q$3,Dados!$A114&lt;=Imóveis!$T$3),Imóveis!$S$3-(DATEDIF(Imóveis!$Q$3,Dados!$A114,"m")),)))*(Imóveis!$N$3/Imóveis!$S$3)))*Imóveis!$P$3))))*IF(AND(Imóveis!$E$3&gt;0,Dados!$A114&gt;Imóveis!$E$3),0,1)</f>
        <v>9314.6986248807771</v>
      </c>
      <c r="K114" s="18">
        <f>IF(Imóveis!$F$4="PRICE",IF(AND(Dados!$A114&gt;=Imóveis!$Q$4,Dados!$A114&lt;=Imóveis!$T$4),Imóveis!$U$4,0),IF((IF(AND(Dados!$A114&gt;=Imóveis!$Q$4,Dados!$A114&lt;=Imóveis!$T$4),Imóveis!$S$4-(DATEDIF(Imóveis!$Q$4,Dados!$A114,"m")),0))=0,0,((Imóveis!$N$4/Imóveis!$S$4)+((Imóveis!$N$4-((Imóveis!$S$4-(IF(AND(Dados!$A114&gt;=Imóveis!$Q$4,Dados!$A114&lt;=Imóveis!$T$4),Imóveis!$S$4-(DATEDIF(Imóveis!$Q$4,Dados!$A114,"m")),)))*(Imóveis!$N$4/Imóveis!$S$4)))*Imóveis!$P$4))))*IF(AND(Imóveis!$E$4&gt;0,Dados!$A114&gt;Imóveis!$E$4),0,1)</f>
        <v>4643.949359272583</v>
      </c>
      <c r="L114" s="18">
        <f>IF(Imóveis!$F$5="PRICE",IF(AND(Dados!$A114&gt;=Imóveis!$Q$5,Dados!$A114&lt;=Imóveis!$T$5),Imóveis!$U$5,0),IF((IF(AND(Dados!$A114&gt;=Imóveis!$Q$5,Dados!$A114&lt;=Imóveis!$T$5),Imóveis!$S$5-(DATEDIF(Imóveis!$Q$5,Dados!$A114,"m")),0))=0,0,((Imóveis!$N$5/Imóveis!$S$5)+((Imóveis!$N$5-((Imóveis!$S$5-(IF(AND(Dados!$A114 &gt;=Imóveis!$Q$5,Dados!$A114&lt;=Imóveis!$T$5),Imóveis!$S$5-(DATEDIF(Imóveis!$Q$5,Dados!$A114,"m")),)))*(Imóveis!$N$5/Imóveis!$S$5)))*Imóveis!$P$5))))*IF(AND(Imóveis!$E$5&gt;0,Dados!$A114&gt;Imóveis!$E$5),0,1)*Imóveis!$I$5</f>
        <v>0</v>
      </c>
      <c r="M114" s="18">
        <f>IF(Imóveis!$F$6="PRICE",IF(AND(Dados!$A114&gt;=Imóveis!$Q$6,Dados!$A114&lt;=Imóveis!$T$6),Imóveis!$U$6,0),IF((IF(AND(Dados!$A114&gt;=Imóveis!$Q$6,Dados!$A114&lt;=Imóveis!$T$6),Imóveis!$S$6-(DATEDIF(Imóveis!$Q$6,Dados!$A114,"m")),0))=0,0,((Imóveis!$N$6/Imóveis!$S$6)+((Imóveis!$N$6-((Imóveis!$S$6-(IF(AND(Dados!$A114&gt;=Imóveis!$Q$6,Dados!$A114&lt;=Imóveis!$T$6),Imóveis!$S$6-(DATEDIF(Imóveis!$Q$6,Dados!$A114,"m")),)))*(Imóveis!$N$6/Imóveis!$S$6)))*Imóveis!$P$6))))*IF(AND(Imóveis!$E$6&gt;0,Dados!$A114&gt;Imóveis!$E$6),0,1)*Imóveis!$I$6</f>
        <v>0</v>
      </c>
      <c r="N114" s="18">
        <f t="shared" ca="1" si="12"/>
        <v>82640.215033218017</v>
      </c>
      <c r="O114" s="18">
        <f>SUMIFS(Receitas!$F:$F,Receitas!$J:$J,"&lt;="&amp;$A114,Receitas!$L:$L,"&gt;="&amp;$A114,Receitas!$C:$C,O$1,Receitas!$M:$M,"Mensal")+SUMIFS(Receitas!$F:$F,Receitas!$J:$J,"&lt;="&amp;$A114,Receitas!$L:$L,"&gt;="&amp;$A114,Receitas!$C:$C,O$1,Receitas!$M:$M,$B114)</f>
        <v>50000</v>
      </c>
      <c r="P114" s="18">
        <f>SUMIFS(Receitas!$F:$F,Receitas!$J:$J,"&lt;="&amp;$A114,Receitas!$L:$L,"&gt;="&amp;$A114,Receitas!$C:$C,P$1,Receitas!$M:$M,"Mensal")+SUMIFS(Receitas!$F:$F,Receitas!$J:$J,"&lt;="&amp;$A114,Receitas!$L:$L,"&gt;="&amp;$A114,Receitas!$C:$C,P$1,Receitas!$M:$M,$B114)</f>
        <v>20000</v>
      </c>
      <c r="Q114" s="18">
        <f ca="1">SUMIFS(Receitas!$F:$F,Receitas!$J:$J,"&lt;="&amp;$A114,Receitas!$L:$L,"&gt;="&amp;$A114,Receitas!$C:$C,Q$1,Receitas!$M:$M,"Mensal")+SUMIFS(Receitas!$F:$F,Receitas!$J:$J,"&lt;="&amp;$A114,Receitas!$L:$L,"&gt;="&amp;$A114,Receitas!$C:$C,Q$1,Receitas!$M:$M,$B114)</f>
        <v>15101.400000000001</v>
      </c>
      <c r="R114" s="18" cm="1">
        <f t="array" ref="R114">(IF(AND(Membros!$F$2="Sim",A114&lt;=MAX(Membros!$E$2:$E$5)),Membros!K$2,IF(AND(A114&gt;=Membros!J$2,A114&lt;=MAX(Membros!$E$2:$E$5)),Membros!K$2,0))+IF(AND(Membros!$F$3="Sim",A114&lt;=MAX(Membros!$E$2:$E$5)),Membros!K$3,IF(AND(A114&gt;=Membros!J$3,A114&lt;=MAX(Membros!$E$2:$E$5)),Membros!K$3,0)))*IF(AND(COUNTIFS(Tabela3[Tipo],"Provedor",Tabela3[Simulação Seguro],"Sim")=2,A114&gt;=MAX(IF(Tabela3[Tipo]="Dependente",Tabela3[Expectativa de Vida (Data)]))),0,1)</f>
        <v>0</v>
      </c>
      <c r="S114" s="18">
        <f t="shared" ca="1" si="13"/>
        <v>85101.4</v>
      </c>
      <c r="U114" s="18">
        <f t="shared" ca="1" si="16"/>
        <v>5958707.2382957842</v>
      </c>
      <c r="V114" s="18">
        <f>SUMIF(Imóveis!E:E,Dados!A:A,Imóveis!Z:Z)-SUMIF(Imóveis!E:E,Dados!A:A,Imóveis!Y:Y)</f>
        <v>0</v>
      </c>
      <c r="W114" s="18">
        <f>-SUMIF(Projetos!N:N,A114,Projetos!F:F)</f>
        <v>0</v>
      </c>
      <c r="X114" s="18">
        <f t="shared" ca="1" si="10"/>
        <v>2461.184966781977</v>
      </c>
      <c r="Y114" s="26">
        <f ca="1">(U114*((Indicadores_Economicos!D$2+1)^(1/12)-1))</f>
        <v>19507.256936485537</v>
      </c>
      <c r="Z114" s="18">
        <f t="shared" ca="1" si="14"/>
        <v>5980675.6801990522</v>
      </c>
      <c r="AA114" s="18">
        <f ca="1">Auxiliar_Projetos!E114</f>
        <v>172574.13984301678</v>
      </c>
      <c r="AB114" s="18">
        <f ca="1">Auxiliar_Projetos!K114</f>
        <v>415479.26417771971</v>
      </c>
      <c r="AC114" s="18">
        <f ca="1">IF(Z114-AA114-AB114&gt;Investimentos!$C$14,Investimentos!$C$14,IF(Z114-AA114-AB114&lt;Investimentos!$C$14,Z114-AA114-AB114,0))</f>
        <v>300000</v>
      </c>
      <c r="AD114" s="18">
        <f t="shared" ca="1" si="15"/>
        <v>5092622.2761783153</v>
      </c>
      <c r="AE114" s="18"/>
    </row>
    <row r="115" spans="1:31" x14ac:dyDescent="0.2">
      <c r="A115" s="4">
        <v>49096</v>
      </c>
      <c r="B115" s="5" t="str">
        <f t="shared" si="11"/>
        <v>junho</v>
      </c>
      <c r="C115" s="5" t="str">
        <f t="shared" si="18"/>
        <v>2034</v>
      </c>
      <c r="D115" s="5">
        <f>SUMIFS(Despesas!$F:$F,Despesas!$J:$J,"&lt;="&amp;$A115,Despesas!$L:$L,"&gt;="&amp;$A115,Despesas!$C:$C,D$1,Despesas!$M:$M,"Mensal")+SUMIFS(Despesas!$F:$F,Despesas!$J:$J,"&lt;="&amp;$A115,Despesas!$L:$L,"&gt;="&amp;$A115,Despesas!$C:$C,D$1,Despesas!$M:$M,$B115)</f>
        <v>23000</v>
      </c>
      <c r="E115" s="18">
        <f>SUMIFS(Despesas!$F:$F,Despesas!$J:$J,"&lt;="&amp;$A115,Despesas!$L:$L,"&gt;="&amp;$A115,Despesas!$C:$C,E$1,Despesas!$M:$M,"Mensal")+SUMIFS(Despesas!$F:$F,Despesas!$J:$J,"&lt;="&amp;$A115,Despesas!$L:$L,"&gt;="&amp;$A115,Despesas!$C:$C,E$1,Despesas!$M:$M,$B115)</f>
        <v>18000</v>
      </c>
      <c r="F115" s="5">
        <f>SUMIFS(Despesas!$F:$F,Despesas!$J:$J,"&lt;="&amp;$A115,Despesas!$L:$L,"&gt;="&amp;$A115,Despesas!$C:$C,F$1,Despesas!$M:$M,"Mensal")+SUMIFS(Despesas!$F:$F,Despesas!$J:$J,"&lt;="&amp;$A115,Despesas!$L:$L,"&gt;="&amp;$A115,Despesas!$C:$C,F$1,Despesas!$M:$M,$B115)</f>
        <v>13000</v>
      </c>
      <c r="G115" s="5">
        <f>SUMIFS(Despesas!$F:$F,Despesas!$J:$J,"&lt;="&amp;$A115,Despesas!$L:$L,"&gt;="&amp;$A115,Despesas!$C:$C,G$1,Despesas!$M:$M,"Mensal")+SUMIFS(Despesas!$F:$F,Despesas!$J:$J,"&lt;="&amp;$A115,Despesas!$L:$L,"&gt;="&amp;$A115,Despesas!$C:$C,G$1,Despesas!$M:$M,$B115)</f>
        <v>0</v>
      </c>
      <c r="H115" s="18">
        <f ca="1">SUMIFS(Despesas!$F:$F,Despesas!$J:$J,"&lt;="&amp;$A115,Despesas!$L:$L,"&gt;="&amp;$A115,Despesas!$C:$C,H$1,Despesas!$M:$M,"Mensal")+SUMIFS(Despesas!$F:$F,Despesas!$J:$J,"&lt;="&amp;$A115,Despesas!$L:$L,"&gt;="&amp;$A115,Despesas!$C:$C,H$1,Despesas!$M:$M,$B115)</f>
        <v>2686.355</v>
      </c>
      <c r="I115" s="18">
        <f>IF(Imóveis!$F$2="PRICE",IF(AND(Dados!$A115&gt;=Imóveis!$Q$2,Dados!$A115&lt;=Imóveis!$T$2),Imóveis!$U$2,0),IF((IF(AND(Dados!$A115&gt;=Imóveis!$Q$2,Dados!$A115&lt;=Imóveis!$T$2),Imóveis!$S$2-(DATEDIF(Imóveis!$Q$2,Dados!$A115,"m")),0))=0,0,((Imóveis!$N$2/Imóveis!$S$2)+((Imóveis!$N$2-((Imóveis!$S$2-(IF(AND(Dados!$A115&gt;=Imóveis!$Q$2,Dados!$A115&lt;=Imóveis!$T$2),Imóveis!$S$2-(DATEDIF(Imóveis!$Q$2,Dados!$A115,"m")),)))*(Imóveis!$N$2/Imóveis!$S$2)))*Imóveis!$P$2))))*IF(AND(Imóveis!$E$2&gt;0,Dados!$A115&gt;Imóveis!$E$2),0,1)</f>
        <v>11933.190956839851</v>
      </c>
      <c r="J115" s="18">
        <f ca="1">IF(Imóveis!$F$3="PRICE",IF(AND(Dados!$A115&gt;=Imóveis!$Q$3,Dados!$A115&lt;=Imóveis!$T$3),Imóveis!$U$3,0),IF((IF(AND(Dados!$A115&gt;=Imóveis!$Q$3,Dados!$A115&lt;=Imóveis!$T$3),Imóveis!$S$3-(DATEDIF(Imóveis!$Q$3,Dados!$A115,"m")),0))=0,0,((Imóveis!$N$3/Imóveis!$S$3)+((Imóveis!$N$3-((Imóveis!$S$3-(IF(AND(Dados!$A115&gt;=Imóveis!$Q$3,Dados!$A115&lt;=Imóveis!$T$3),Imóveis!$S$3-(DATEDIF(Imóveis!$Q$3,Dados!$A115,"m")),)))*(Imóveis!$N$3/Imóveis!$S$3)))*Imóveis!$P$3))))*IF(AND(Imóveis!$E$3&gt;0,Dados!$A115&gt;Imóveis!$E$3),0,1)</f>
        <v>9314.6986248807771</v>
      </c>
      <c r="K115" s="18">
        <f>IF(Imóveis!$F$4="PRICE",IF(AND(Dados!$A115&gt;=Imóveis!$Q$4,Dados!$A115&lt;=Imóveis!$T$4),Imóveis!$U$4,0),IF((IF(AND(Dados!$A115&gt;=Imóveis!$Q$4,Dados!$A115&lt;=Imóveis!$T$4),Imóveis!$S$4-(DATEDIF(Imóveis!$Q$4,Dados!$A115,"m")),0))=0,0,((Imóveis!$N$4/Imóveis!$S$4)+((Imóveis!$N$4-((Imóveis!$S$4-(IF(AND(Dados!$A115&gt;=Imóveis!$Q$4,Dados!$A115&lt;=Imóveis!$T$4),Imóveis!$S$4-(DATEDIF(Imóveis!$Q$4,Dados!$A115,"m")),)))*(Imóveis!$N$4/Imóveis!$S$4)))*Imóveis!$P$4))))*IF(AND(Imóveis!$E$4&gt;0,Dados!$A115&gt;Imóveis!$E$4),0,1)</f>
        <v>4643.949359272583</v>
      </c>
      <c r="L115" s="18">
        <f>IF(Imóveis!$F$5="PRICE",IF(AND(Dados!$A115&gt;=Imóveis!$Q$5,Dados!$A115&lt;=Imóveis!$T$5),Imóveis!$U$5,0),IF((IF(AND(Dados!$A115&gt;=Imóveis!$Q$5,Dados!$A115&lt;=Imóveis!$T$5),Imóveis!$S$5-(DATEDIF(Imóveis!$Q$5,Dados!$A115,"m")),0))=0,0,((Imóveis!$N$5/Imóveis!$S$5)+((Imóveis!$N$5-((Imóveis!$S$5-(IF(AND(Dados!$A115 &gt;=Imóveis!$Q$5,Dados!$A115&lt;=Imóveis!$T$5),Imóveis!$S$5-(DATEDIF(Imóveis!$Q$5,Dados!$A115,"m")),)))*(Imóveis!$N$5/Imóveis!$S$5)))*Imóveis!$P$5))))*IF(AND(Imóveis!$E$5&gt;0,Dados!$A115&gt;Imóveis!$E$5),0,1)*Imóveis!$I$5</f>
        <v>0</v>
      </c>
      <c r="M115" s="18">
        <f>IF(Imóveis!$F$6="PRICE",IF(AND(Dados!$A115&gt;=Imóveis!$Q$6,Dados!$A115&lt;=Imóveis!$T$6),Imóveis!$U$6,0),IF((IF(AND(Dados!$A115&gt;=Imóveis!$Q$6,Dados!$A115&lt;=Imóveis!$T$6),Imóveis!$S$6-(DATEDIF(Imóveis!$Q$6,Dados!$A115,"m")),0))=0,0,((Imóveis!$N$6/Imóveis!$S$6)+((Imóveis!$N$6-((Imóveis!$S$6-(IF(AND(Dados!$A115&gt;=Imóveis!$Q$6,Dados!$A115&lt;=Imóveis!$T$6),Imóveis!$S$6-(DATEDIF(Imóveis!$Q$6,Dados!$A115,"m")),)))*(Imóveis!$N$6/Imóveis!$S$6)))*Imóveis!$P$6))))*IF(AND(Imóveis!$E$6&gt;0,Dados!$A115&gt;Imóveis!$E$6),0,1)*Imóveis!$I$6</f>
        <v>0</v>
      </c>
      <c r="N115" s="18">
        <f t="shared" ca="1" si="12"/>
        <v>82578.193940993209</v>
      </c>
      <c r="O115" s="18">
        <f>SUMIFS(Receitas!$F:$F,Receitas!$J:$J,"&lt;="&amp;$A115,Receitas!$L:$L,"&gt;="&amp;$A115,Receitas!$C:$C,O$1,Receitas!$M:$M,"Mensal")+SUMIFS(Receitas!$F:$F,Receitas!$J:$J,"&lt;="&amp;$A115,Receitas!$L:$L,"&gt;="&amp;$A115,Receitas!$C:$C,O$1,Receitas!$M:$M,$B115)</f>
        <v>50000</v>
      </c>
      <c r="P115" s="18">
        <f>SUMIFS(Receitas!$F:$F,Receitas!$J:$J,"&lt;="&amp;$A115,Receitas!$L:$L,"&gt;="&amp;$A115,Receitas!$C:$C,P$1,Receitas!$M:$M,"Mensal")+SUMIFS(Receitas!$F:$F,Receitas!$J:$J,"&lt;="&amp;$A115,Receitas!$L:$L,"&gt;="&amp;$A115,Receitas!$C:$C,P$1,Receitas!$M:$M,$B115)</f>
        <v>20000</v>
      </c>
      <c r="Q115" s="18">
        <f ca="1">SUMIFS(Receitas!$F:$F,Receitas!$J:$J,"&lt;="&amp;$A115,Receitas!$L:$L,"&gt;="&amp;$A115,Receitas!$C:$C,Q$1,Receitas!$M:$M,"Mensal")+SUMIFS(Receitas!$F:$F,Receitas!$J:$J,"&lt;="&amp;$A115,Receitas!$L:$L,"&gt;="&amp;$A115,Receitas!$C:$C,Q$1,Receitas!$M:$M,$B115)</f>
        <v>15101.400000000001</v>
      </c>
      <c r="R115" s="18" cm="1">
        <f t="array" ref="R115">(IF(AND(Membros!$F$2="Sim",A115&lt;=MAX(Membros!$E$2:$E$5)),Membros!K$2,IF(AND(A115&gt;=Membros!J$2,A115&lt;=MAX(Membros!$E$2:$E$5)),Membros!K$2,0))+IF(AND(Membros!$F$3="Sim",A115&lt;=MAX(Membros!$E$2:$E$5)),Membros!K$3,IF(AND(A115&gt;=Membros!J$3,A115&lt;=MAX(Membros!$E$2:$E$5)),Membros!K$3,0)))*IF(AND(COUNTIFS(Tabela3[Tipo],"Provedor",Tabela3[Simulação Seguro],"Sim")=2,A115&gt;=MAX(IF(Tabela3[Tipo]="Dependente",Tabela3[Expectativa de Vida (Data)]))),0,1)</f>
        <v>0</v>
      </c>
      <c r="S115" s="18">
        <f t="shared" ca="1" si="13"/>
        <v>85101.4</v>
      </c>
      <c r="U115" s="18">
        <f t="shared" ca="1" si="16"/>
        <v>5980675.6801990522</v>
      </c>
      <c r="V115" s="18">
        <f>SUMIF(Imóveis!E:E,Dados!A:A,Imóveis!Z:Z)-SUMIF(Imóveis!E:E,Dados!A:A,Imóveis!Y:Y)</f>
        <v>0</v>
      </c>
      <c r="W115" s="18">
        <f>-SUMIF(Projetos!N:N,A115,Projetos!F:F)</f>
        <v>0</v>
      </c>
      <c r="X115" s="18">
        <f t="shared" ca="1" si="10"/>
        <v>2523.2060590067849</v>
      </c>
      <c r="Y115" s="26">
        <f ca="1">(U115*((Indicadores_Economicos!D$2+1)^(1/12)-1))</f>
        <v>19579.175898697191</v>
      </c>
      <c r="Z115" s="18">
        <f t="shared" ca="1" si="14"/>
        <v>6002778.0621567564</v>
      </c>
      <c r="AA115" s="18">
        <f ca="1">Auxiliar_Projetos!E115</f>
        <v>173139.10266999961</v>
      </c>
      <c r="AB115" s="18">
        <f ca="1">Auxiliar_Projetos!K115</f>
        <v>416839.43517353706</v>
      </c>
      <c r="AC115" s="18">
        <f ca="1">IF(Z115-AA115-AB115&gt;Investimentos!$C$14,Investimentos!$C$14,IF(Z115-AA115-AB115&lt;Investimentos!$C$14,Z115-AA115-AB115,0))</f>
        <v>300000</v>
      </c>
      <c r="AD115" s="18">
        <f t="shared" ca="1" si="15"/>
        <v>5112799.5243132198</v>
      </c>
      <c r="AE115" s="18"/>
    </row>
    <row r="116" spans="1:31" x14ac:dyDescent="0.2">
      <c r="A116" s="4">
        <v>49126</v>
      </c>
      <c r="B116" s="5" t="str">
        <f t="shared" si="11"/>
        <v>julho</v>
      </c>
      <c r="C116" s="5" t="str">
        <f t="shared" si="18"/>
        <v>2034</v>
      </c>
      <c r="D116" s="5">
        <f>SUMIFS(Despesas!$F:$F,Despesas!$J:$J,"&lt;="&amp;$A116,Despesas!$L:$L,"&gt;="&amp;$A116,Despesas!$C:$C,D$1,Despesas!$M:$M,"Mensal")+SUMIFS(Despesas!$F:$F,Despesas!$J:$J,"&lt;="&amp;$A116,Despesas!$L:$L,"&gt;="&amp;$A116,Despesas!$C:$C,D$1,Despesas!$M:$M,$B116)</f>
        <v>23000</v>
      </c>
      <c r="E116" s="18">
        <f>SUMIFS(Despesas!$F:$F,Despesas!$J:$J,"&lt;="&amp;$A116,Despesas!$L:$L,"&gt;="&amp;$A116,Despesas!$C:$C,E$1,Despesas!$M:$M,"Mensal")+SUMIFS(Despesas!$F:$F,Despesas!$J:$J,"&lt;="&amp;$A116,Despesas!$L:$L,"&gt;="&amp;$A116,Despesas!$C:$C,E$1,Despesas!$M:$M,$B116)</f>
        <v>18000</v>
      </c>
      <c r="F116" s="5">
        <f>SUMIFS(Despesas!$F:$F,Despesas!$J:$J,"&lt;="&amp;$A116,Despesas!$L:$L,"&gt;="&amp;$A116,Despesas!$C:$C,F$1,Despesas!$M:$M,"Mensal")+SUMIFS(Despesas!$F:$F,Despesas!$J:$J,"&lt;="&amp;$A116,Despesas!$L:$L,"&gt;="&amp;$A116,Despesas!$C:$C,F$1,Despesas!$M:$M,$B116)</f>
        <v>13000</v>
      </c>
      <c r="G116" s="5">
        <f ca="1">SUMIFS(Despesas!$F:$F,Despesas!$J:$J,"&lt;="&amp;$A116,Despesas!$L:$L,"&gt;="&amp;$A116,Despesas!$C:$C,G$1,Despesas!$M:$M,"Mensal")+SUMIFS(Despesas!$F:$F,Despesas!$J:$J,"&lt;="&amp;$A116,Despesas!$L:$L,"&gt;="&amp;$A116,Despesas!$C:$C,G$1,Despesas!$M:$M,$B116)</f>
        <v>55757</v>
      </c>
      <c r="H116" s="18">
        <f ca="1">SUMIFS(Despesas!$F:$F,Despesas!$J:$J,"&lt;="&amp;$A116,Despesas!$L:$L,"&gt;="&amp;$A116,Despesas!$C:$C,H$1,Despesas!$M:$M,"Mensal")+SUMIFS(Despesas!$F:$F,Despesas!$J:$J,"&lt;="&amp;$A116,Despesas!$L:$L,"&gt;="&amp;$A116,Despesas!$C:$C,H$1,Despesas!$M:$M,$B116)</f>
        <v>2686.355</v>
      </c>
      <c r="I116" s="18">
        <f>IF(Imóveis!$F$2="PRICE",IF(AND(Dados!$A116&gt;=Imóveis!$Q$2,Dados!$A116&lt;=Imóveis!$T$2),Imóveis!$U$2,0),IF((IF(AND(Dados!$A116&gt;=Imóveis!$Q$2,Dados!$A116&lt;=Imóveis!$T$2),Imóveis!$S$2-(DATEDIF(Imóveis!$Q$2,Dados!$A116,"m")),0))=0,0,((Imóveis!$N$2/Imóveis!$S$2)+((Imóveis!$N$2-((Imóveis!$S$2-(IF(AND(Dados!$A116&gt;=Imóveis!$Q$2,Dados!$A116&lt;=Imóveis!$T$2),Imóveis!$S$2-(DATEDIF(Imóveis!$Q$2,Dados!$A116,"m")),)))*(Imóveis!$N$2/Imóveis!$S$2)))*Imóveis!$P$2))))*IF(AND(Imóveis!$E$2&gt;0,Dados!$A116&gt;Imóveis!$E$2),0,1)</f>
        <v>11871.169864615043</v>
      </c>
      <c r="J116" s="18">
        <f ca="1">IF(Imóveis!$F$3="PRICE",IF(AND(Dados!$A116&gt;=Imóveis!$Q$3,Dados!$A116&lt;=Imóveis!$T$3),Imóveis!$U$3,0),IF((IF(AND(Dados!$A116&gt;=Imóveis!$Q$3,Dados!$A116&lt;=Imóveis!$T$3),Imóveis!$S$3-(DATEDIF(Imóveis!$Q$3,Dados!$A116,"m")),0))=0,0,((Imóveis!$N$3/Imóveis!$S$3)+((Imóveis!$N$3-((Imóveis!$S$3-(IF(AND(Dados!$A116&gt;=Imóveis!$Q$3,Dados!$A116&lt;=Imóveis!$T$3),Imóveis!$S$3-(DATEDIF(Imóveis!$Q$3,Dados!$A116,"m")),)))*(Imóveis!$N$3/Imóveis!$S$3)))*Imóveis!$P$3))))*IF(AND(Imóveis!$E$3&gt;0,Dados!$A116&gt;Imóveis!$E$3),0,1)</f>
        <v>9314.6986248807771</v>
      </c>
      <c r="K116" s="18">
        <f>IF(Imóveis!$F$4="PRICE",IF(AND(Dados!$A116&gt;=Imóveis!$Q$4,Dados!$A116&lt;=Imóveis!$T$4),Imóveis!$U$4,0),IF((IF(AND(Dados!$A116&gt;=Imóveis!$Q$4,Dados!$A116&lt;=Imóveis!$T$4),Imóveis!$S$4-(DATEDIF(Imóveis!$Q$4,Dados!$A116,"m")),0))=0,0,((Imóveis!$N$4/Imóveis!$S$4)+((Imóveis!$N$4-((Imóveis!$S$4-(IF(AND(Dados!$A116&gt;=Imóveis!$Q$4,Dados!$A116&lt;=Imóveis!$T$4),Imóveis!$S$4-(DATEDIF(Imóveis!$Q$4,Dados!$A116,"m")),)))*(Imóveis!$N$4/Imóveis!$S$4)))*Imóveis!$P$4))))*IF(AND(Imóveis!$E$4&gt;0,Dados!$A116&gt;Imóveis!$E$4),0,1)</f>
        <v>4643.949359272583</v>
      </c>
      <c r="L116" s="18">
        <f>IF(Imóveis!$F$5="PRICE",IF(AND(Dados!$A116&gt;=Imóveis!$Q$5,Dados!$A116&lt;=Imóveis!$T$5),Imóveis!$U$5,0),IF((IF(AND(Dados!$A116&gt;=Imóveis!$Q$5,Dados!$A116&lt;=Imóveis!$T$5),Imóveis!$S$5-(DATEDIF(Imóveis!$Q$5,Dados!$A116,"m")),0))=0,0,((Imóveis!$N$5/Imóveis!$S$5)+((Imóveis!$N$5-((Imóveis!$S$5-(IF(AND(Dados!$A116 &gt;=Imóveis!$Q$5,Dados!$A116&lt;=Imóveis!$T$5),Imóveis!$S$5-(DATEDIF(Imóveis!$Q$5,Dados!$A116,"m")),)))*(Imóveis!$N$5/Imóveis!$S$5)))*Imóveis!$P$5))))*IF(AND(Imóveis!$E$5&gt;0,Dados!$A116&gt;Imóveis!$E$5),0,1)*Imóveis!$I$5</f>
        <v>0</v>
      </c>
      <c r="M116" s="18">
        <f>IF(Imóveis!$F$6="PRICE",IF(AND(Dados!$A116&gt;=Imóveis!$Q$6,Dados!$A116&lt;=Imóveis!$T$6),Imóveis!$U$6,0),IF((IF(AND(Dados!$A116&gt;=Imóveis!$Q$6,Dados!$A116&lt;=Imóveis!$T$6),Imóveis!$S$6-(DATEDIF(Imóveis!$Q$6,Dados!$A116,"m")),0))=0,0,((Imóveis!$N$6/Imóveis!$S$6)+((Imóveis!$N$6-((Imóveis!$S$6-(IF(AND(Dados!$A116&gt;=Imóveis!$Q$6,Dados!$A116&lt;=Imóveis!$T$6),Imóveis!$S$6-(DATEDIF(Imóveis!$Q$6,Dados!$A116,"m")),)))*(Imóveis!$N$6/Imóveis!$S$6)))*Imóveis!$P$6))))*IF(AND(Imóveis!$E$6&gt;0,Dados!$A116&gt;Imóveis!$E$6),0,1)*Imóveis!$I$6</f>
        <v>0</v>
      </c>
      <c r="N116" s="18">
        <f t="shared" ca="1" si="12"/>
        <v>138273.17284876839</v>
      </c>
      <c r="O116" s="18">
        <f>SUMIFS(Receitas!$F:$F,Receitas!$J:$J,"&lt;="&amp;$A116,Receitas!$L:$L,"&gt;="&amp;$A116,Receitas!$C:$C,O$1,Receitas!$M:$M,"Mensal")+SUMIFS(Receitas!$F:$F,Receitas!$J:$J,"&lt;="&amp;$A116,Receitas!$L:$L,"&gt;="&amp;$A116,Receitas!$C:$C,O$1,Receitas!$M:$M,$B116)</f>
        <v>50000</v>
      </c>
      <c r="P116" s="18">
        <f>SUMIFS(Receitas!$F:$F,Receitas!$J:$J,"&lt;="&amp;$A116,Receitas!$L:$L,"&gt;="&amp;$A116,Receitas!$C:$C,P$1,Receitas!$M:$M,"Mensal")+SUMIFS(Receitas!$F:$F,Receitas!$J:$J,"&lt;="&amp;$A116,Receitas!$L:$L,"&gt;="&amp;$A116,Receitas!$C:$C,P$1,Receitas!$M:$M,$B116)</f>
        <v>20000</v>
      </c>
      <c r="Q116" s="18">
        <f ca="1">SUMIFS(Receitas!$F:$F,Receitas!$J:$J,"&lt;="&amp;$A116,Receitas!$L:$L,"&gt;="&amp;$A116,Receitas!$C:$C,Q$1,Receitas!$M:$M,"Mensal")+SUMIFS(Receitas!$F:$F,Receitas!$J:$J,"&lt;="&amp;$A116,Receitas!$L:$L,"&gt;="&amp;$A116,Receitas!$C:$C,Q$1,Receitas!$M:$M,$B116)</f>
        <v>15101.400000000001</v>
      </c>
      <c r="R116" s="18" cm="1">
        <f t="array" ref="R116">(IF(AND(Membros!$F$2="Sim",A116&lt;=MAX(Membros!$E$2:$E$5)),Membros!K$2,IF(AND(A116&gt;=Membros!J$2,A116&lt;=MAX(Membros!$E$2:$E$5)),Membros!K$2,0))+IF(AND(Membros!$F$3="Sim",A116&lt;=MAX(Membros!$E$2:$E$5)),Membros!K$3,IF(AND(A116&gt;=Membros!J$3,A116&lt;=MAX(Membros!$E$2:$E$5)),Membros!K$3,0)))*IF(AND(COUNTIFS(Tabela3[Tipo],"Provedor",Tabela3[Simulação Seguro],"Sim")=2,A116&gt;=MAX(IF(Tabela3[Tipo]="Dependente",Tabela3[Expectativa de Vida (Data)]))),0,1)</f>
        <v>0</v>
      </c>
      <c r="S116" s="18">
        <f t="shared" ca="1" si="13"/>
        <v>85101.4</v>
      </c>
      <c r="U116" s="18">
        <f t="shared" ca="1" si="16"/>
        <v>6002778.0621567564</v>
      </c>
      <c r="V116" s="18">
        <f>SUMIF(Imóveis!E:E,Dados!A:A,Imóveis!Z:Z)-SUMIF(Imóveis!E:E,Dados!A:A,Imóveis!Y:Y)</f>
        <v>0</v>
      </c>
      <c r="W116" s="18">
        <f>-SUMIF(Projetos!N:N,A116,Projetos!F:F)</f>
        <v>0</v>
      </c>
      <c r="X116" s="18">
        <f t="shared" ca="1" si="10"/>
        <v>-53171.772848768393</v>
      </c>
      <c r="Y116" s="26">
        <f ca="1">(U116*((Indicadores_Economicos!D$2+1)^(1/12)-1))</f>
        <v>19651.533345793483</v>
      </c>
      <c r="Z116" s="18">
        <f t="shared" ca="1" si="14"/>
        <v>5969257.8226537816</v>
      </c>
      <c r="AA116" s="18">
        <f ca="1">Auxiliar_Projetos!E116</f>
        <v>173705.91503826462</v>
      </c>
      <c r="AB116" s="18">
        <f ca="1">Auxiliar_Projetos!K116</f>
        <v>418204.05901525397</v>
      </c>
      <c r="AC116" s="18">
        <f ca="1">IF(Z116-AA116-AB116&gt;Investimentos!$C$14,Investimentos!$C$14,IF(Z116-AA116-AB116&lt;Investimentos!$C$14,Z116-AA116-AB116,0))</f>
        <v>300000</v>
      </c>
      <c r="AD116" s="18">
        <f t="shared" ca="1" si="15"/>
        <v>5077347.8486002637</v>
      </c>
      <c r="AE116" s="18"/>
    </row>
    <row r="117" spans="1:31" x14ac:dyDescent="0.2">
      <c r="A117" s="4">
        <v>49157</v>
      </c>
      <c r="B117" s="5" t="str">
        <f t="shared" si="11"/>
        <v>agosto</v>
      </c>
      <c r="C117" s="5" t="str">
        <f t="shared" si="18"/>
        <v>2034</v>
      </c>
      <c r="D117" s="5">
        <f>SUMIFS(Despesas!$F:$F,Despesas!$J:$J,"&lt;="&amp;$A117,Despesas!$L:$L,"&gt;="&amp;$A117,Despesas!$C:$C,D$1,Despesas!$M:$M,"Mensal")+SUMIFS(Despesas!$F:$F,Despesas!$J:$J,"&lt;="&amp;$A117,Despesas!$L:$L,"&gt;="&amp;$A117,Despesas!$C:$C,D$1,Despesas!$M:$M,$B117)</f>
        <v>23000</v>
      </c>
      <c r="E117" s="18">
        <f>SUMIFS(Despesas!$F:$F,Despesas!$J:$J,"&lt;="&amp;$A117,Despesas!$L:$L,"&gt;="&amp;$A117,Despesas!$C:$C,E$1,Despesas!$M:$M,"Mensal")+SUMIFS(Despesas!$F:$F,Despesas!$J:$J,"&lt;="&amp;$A117,Despesas!$L:$L,"&gt;="&amp;$A117,Despesas!$C:$C,E$1,Despesas!$M:$M,$B117)</f>
        <v>18000</v>
      </c>
      <c r="F117" s="5">
        <f>SUMIFS(Despesas!$F:$F,Despesas!$J:$J,"&lt;="&amp;$A117,Despesas!$L:$L,"&gt;="&amp;$A117,Despesas!$C:$C,F$1,Despesas!$M:$M,"Mensal")+SUMIFS(Despesas!$F:$F,Despesas!$J:$J,"&lt;="&amp;$A117,Despesas!$L:$L,"&gt;="&amp;$A117,Despesas!$C:$C,F$1,Despesas!$M:$M,$B117)</f>
        <v>13000</v>
      </c>
      <c r="G117" s="5">
        <f>SUMIFS(Despesas!$F:$F,Despesas!$J:$J,"&lt;="&amp;$A117,Despesas!$L:$L,"&gt;="&amp;$A117,Despesas!$C:$C,G$1,Despesas!$M:$M,"Mensal")+SUMIFS(Despesas!$F:$F,Despesas!$J:$J,"&lt;="&amp;$A117,Despesas!$L:$L,"&gt;="&amp;$A117,Despesas!$C:$C,G$1,Despesas!$M:$M,$B117)</f>
        <v>0</v>
      </c>
      <c r="H117" s="18">
        <f ca="1">SUMIFS(Despesas!$F:$F,Despesas!$J:$J,"&lt;="&amp;$A117,Despesas!$L:$L,"&gt;="&amp;$A117,Despesas!$C:$C,H$1,Despesas!$M:$M,"Mensal")+SUMIFS(Despesas!$F:$F,Despesas!$J:$J,"&lt;="&amp;$A117,Despesas!$L:$L,"&gt;="&amp;$A117,Despesas!$C:$C,H$1,Despesas!$M:$M,$B117)</f>
        <v>2686.355</v>
      </c>
      <c r="I117" s="18">
        <f>IF(Imóveis!$F$2="PRICE",IF(AND(Dados!$A117&gt;=Imóveis!$Q$2,Dados!$A117&lt;=Imóveis!$T$2),Imóveis!$U$2,0),IF((IF(AND(Dados!$A117&gt;=Imóveis!$Q$2,Dados!$A117&lt;=Imóveis!$T$2),Imóveis!$S$2-(DATEDIF(Imóveis!$Q$2,Dados!$A117,"m")),0))=0,0,((Imóveis!$N$2/Imóveis!$S$2)+((Imóveis!$N$2-((Imóveis!$S$2-(IF(AND(Dados!$A117&gt;=Imóveis!$Q$2,Dados!$A117&lt;=Imóveis!$T$2),Imóveis!$S$2-(DATEDIF(Imóveis!$Q$2,Dados!$A117,"m")),)))*(Imóveis!$N$2/Imóveis!$S$2)))*Imóveis!$P$2))))*IF(AND(Imóveis!$E$2&gt;0,Dados!$A117&gt;Imóveis!$E$2),0,1)</f>
        <v>11809.148772390236</v>
      </c>
      <c r="J117" s="18">
        <f ca="1">IF(Imóveis!$F$3="PRICE",IF(AND(Dados!$A117&gt;=Imóveis!$Q$3,Dados!$A117&lt;=Imóveis!$T$3),Imóveis!$U$3,0),IF((IF(AND(Dados!$A117&gt;=Imóveis!$Q$3,Dados!$A117&lt;=Imóveis!$T$3),Imóveis!$S$3-(DATEDIF(Imóveis!$Q$3,Dados!$A117,"m")),0))=0,0,((Imóveis!$N$3/Imóveis!$S$3)+((Imóveis!$N$3-((Imóveis!$S$3-(IF(AND(Dados!$A117&gt;=Imóveis!$Q$3,Dados!$A117&lt;=Imóveis!$T$3),Imóveis!$S$3-(DATEDIF(Imóveis!$Q$3,Dados!$A117,"m")),)))*(Imóveis!$N$3/Imóveis!$S$3)))*Imóveis!$P$3))))*IF(AND(Imóveis!$E$3&gt;0,Dados!$A117&gt;Imóveis!$E$3),0,1)</f>
        <v>9314.6986248807771</v>
      </c>
      <c r="K117" s="18">
        <f>IF(Imóveis!$F$4="PRICE",IF(AND(Dados!$A117&gt;=Imóveis!$Q$4,Dados!$A117&lt;=Imóveis!$T$4),Imóveis!$U$4,0),IF((IF(AND(Dados!$A117&gt;=Imóveis!$Q$4,Dados!$A117&lt;=Imóveis!$T$4),Imóveis!$S$4-(DATEDIF(Imóveis!$Q$4,Dados!$A117,"m")),0))=0,0,((Imóveis!$N$4/Imóveis!$S$4)+((Imóveis!$N$4-((Imóveis!$S$4-(IF(AND(Dados!$A117&gt;=Imóveis!$Q$4,Dados!$A117&lt;=Imóveis!$T$4),Imóveis!$S$4-(DATEDIF(Imóveis!$Q$4,Dados!$A117,"m")),)))*(Imóveis!$N$4/Imóveis!$S$4)))*Imóveis!$P$4))))*IF(AND(Imóveis!$E$4&gt;0,Dados!$A117&gt;Imóveis!$E$4),0,1)</f>
        <v>4643.949359272583</v>
      </c>
      <c r="L117" s="18">
        <f>IF(Imóveis!$F$5="PRICE",IF(AND(Dados!$A117&gt;=Imóveis!$Q$5,Dados!$A117&lt;=Imóveis!$T$5),Imóveis!$U$5,0),IF((IF(AND(Dados!$A117&gt;=Imóveis!$Q$5,Dados!$A117&lt;=Imóveis!$T$5),Imóveis!$S$5-(DATEDIF(Imóveis!$Q$5,Dados!$A117,"m")),0))=0,0,((Imóveis!$N$5/Imóveis!$S$5)+((Imóveis!$N$5-((Imóveis!$S$5-(IF(AND(Dados!$A117 &gt;=Imóveis!$Q$5,Dados!$A117&lt;=Imóveis!$T$5),Imóveis!$S$5-(DATEDIF(Imóveis!$Q$5,Dados!$A117,"m")),)))*(Imóveis!$N$5/Imóveis!$S$5)))*Imóveis!$P$5))))*IF(AND(Imóveis!$E$5&gt;0,Dados!$A117&gt;Imóveis!$E$5),0,1)*Imóveis!$I$5</f>
        <v>0</v>
      </c>
      <c r="M117" s="18">
        <f>IF(Imóveis!$F$6="PRICE",IF(AND(Dados!$A117&gt;=Imóveis!$Q$6,Dados!$A117&lt;=Imóveis!$T$6),Imóveis!$U$6,0),IF((IF(AND(Dados!$A117&gt;=Imóveis!$Q$6,Dados!$A117&lt;=Imóveis!$T$6),Imóveis!$S$6-(DATEDIF(Imóveis!$Q$6,Dados!$A117,"m")),0))=0,0,((Imóveis!$N$6/Imóveis!$S$6)+((Imóveis!$N$6-((Imóveis!$S$6-(IF(AND(Dados!$A117&gt;=Imóveis!$Q$6,Dados!$A117&lt;=Imóveis!$T$6),Imóveis!$S$6-(DATEDIF(Imóveis!$Q$6,Dados!$A117,"m")),)))*(Imóveis!$N$6/Imóveis!$S$6)))*Imóveis!$P$6))))*IF(AND(Imóveis!$E$6&gt;0,Dados!$A117&gt;Imóveis!$E$6),0,1)*Imóveis!$I$6</f>
        <v>0</v>
      </c>
      <c r="N117" s="18">
        <f t="shared" ca="1" si="12"/>
        <v>82454.151756543593</v>
      </c>
      <c r="O117" s="18">
        <f>SUMIFS(Receitas!$F:$F,Receitas!$J:$J,"&lt;="&amp;$A117,Receitas!$L:$L,"&gt;="&amp;$A117,Receitas!$C:$C,O$1,Receitas!$M:$M,"Mensal")+SUMIFS(Receitas!$F:$F,Receitas!$J:$J,"&lt;="&amp;$A117,Receitas!$L:$L,"&gt;="&amp;$A117,Receitas!$C:$C,O$1,Receitas!$M:$M,$B117)</f>
        <v>50000</v>
      </c>
      <c r="P117" s="18">
        <f>SUMIFS(Receitas!$F:$F,Receitas!$J:$J,"&lt;="&amp;$A117,Receitas!$L:$L,"&gt;="&amp;$A117,Receitas!$C:$C,P$1,Receitas!$M:$M,"Mensal")+SUMIFS(Receitas!$F:$F,Receitas!$J:$J,"&lt;="&amp;$A117,Receitas!$L:$L,"&gt;="&amp;$A117,Receitas!$C:$C,P$1,Receitas!$M:$M,$B117)</f>
        <v>20000</v>
      </c>
      <c r="Q117" s="18">
        <f ca="1">SUMIFS(Receitas!$F:$F,Receitas!$J:$J,"&lt;="&amp;$A117,Receitas!$L:$L,"&gt;="&amp;$A117,Receitas!$C:$C,Q$1,Receitas!$M:$M,"Mensal")+SUMIFS(Receitas!$F:$F,Receitas!$J:$J,"&lt;="&amp;$A117,Receitas!$L:$L,"&gt;="&amp;$A117,Receitas!$C:$C,Q$1,Receitas!$M:$M,$B117)</f>
        <v>15101.400000000001</v>
      </c>
      <c r="R117" s="18" cm="1">
        <f t="array" ref="R117">(IF(AND(Membros!$F$2="Sim",A117&lt;=MAX(Membros!$E$2:$E$5)),Membros!K$2,IF(AND(A117&gt;=Membros!J$2,A117&lt;=MAX(Membros!$E$2:$E$5)),Membros!K$2,0))+IF(AND(Membros!$F$3="Sim",A117&lt;=MAX(Membros!$E$2:$E$5)),Membros!K$3,IF(AND(A117&gt;=Membros!J$3,A117&lt;=MAX(Membros!$E$2:$E$5)),Membros!K$3,0)))*IF(AND(COUNTIFS(Tabela3[Tipo],"Provedor",Tabela3[Simulação Seguro],"Sim")=2,A117&gt;=MAX(IF(Tabela3[Tipo]="Dependente",Tabela3[Expectativa de Vida (Data)]))),0,1)</f>
        <v>0</v>
      </c>
      <c r="S117" s="18">
        <f t="shared" ca="1" si="13"/>
        <v>85101.4</v>
      </c>
      <c r="U117" s="18">
        <f t="shared" ca="1" si="16"/>
        <v>5969257.8226537816</v>
      </c>
      <c r="V117" s="18">
        <f>SUMIF(Imóveis!E:E,Dados!A:A,Imóveis!Z:Z)-SUMIF(Imóveis!E:E,Dados!A:A,Imóveis!Y:Y)</f>
        <v>0</v>
      </c>
      <c r="W117" s="18">
        <f>-SUMIF(Projetos!N:N,A117,Projetos!F:F)</f>
        <v>0</v>
      </c>
      <c r="X117" s="18">
        <f t="shared" ca="1" si="10"/>
        <v>2647.2482434564008</v>
      </c>
      <c r="Y117" s="26">
        <f ca="1">(U117*((Indicadores_Economicos!D$2+1)^(1/12)-1))</f>
        <v>19541.796804223759</v>
      </c>
      <c r="Z117" s="18">
        <f t="shared" ca="1" si="14"/>
        <v>5991446.8677014625</v>
      </c>
      <c r="AA117" s="18">
        <f ca="1">Auxiliar_Projetos!E117</f>
        <v>174274.58300272864</v>
      </c>
      <c r="AB117" s="18">
        <f ca="1">Auxiliar_Projetos!K117</f>
        <v>419573.15028032928</v>
      </c>
      <c r="AC117" s="18">
        <f ca="1">IF(Z117-AA117-AB117&gt;Investimentos!$C$14,Investimentos!$C$14,IF(Z117-AA117-AB117&lt;Investimentos!$C$14,Z117-AA117-AB117,0))</f>
        <v>300000</v>
      </c>
      <c r="AD117" s="18">
        <f t="shared" ca="1" si="15"/>
        <v>5097599.1344184047</v>
      </c>
      <c r="AE117" s="18"/>
    </row>
    <row r="118" spans="1:31" x14ac:dyDescent="0.2">
      <c r="A118" s="4">
        <v>49188</v>
      </c>
      <c r="B118" s="5" t="str">
        <f t="shared" si="11"/>
        <v>setembro</v>
      </c>
      <c r="C118" s="5" t="str">
        <f t="shared" si="18"/>
        <v>2034</v>
      </c>
      <c r="D118" s="5">
        <f>SUMIFS(Despesas!$F:$F,Despesas!$J:$J,"&lt;="&amp;$A118,Despesas!$L:$L,"&gt;="&amp;$A118,Despesas!$C:$C,D$1,Despesas!$M:$M,"Mensal")+SUMIFS(Despesas!$F:$F,Despesas!$J:$J,"&lt;="&amp;$A118,Despesas!$L:$L,"&gt;="&amp;$A118,Despesas!$C:$C,D$1,Despesas!$M:$M,$B118)</f>
        <v>23000</v>
      </c>
      <c r="E118" s="18">
        <f>SUMIFS(Despesas!$F:$F,Despesas!$J:$J,"&lt;="&amp;$A118,Despesas!$L:$L,"&gt;="&amp;$A118,Despesas!$C:$C,E$1,Despesas!$M:$M,"Mensal")+SUMIFS(Despesas!$F:$F,Despesas!$J:$J,"&lt;="&amp;$A118,Despesas!$L:$L,"&gt;="&amp;$A118,Despesas!$C:$C,E$1,Despesas!$M:$M,$B118)</f>
        <v>18000</v>
      </c>
      <c r="F118" s="5">
        <f>SUMIFS(Despesas!$F:$F,Despesas!$J:$J,"&lt;="&amp;$A118,Despesas!$L:$L,"&gt;="&amp;$A118,Despesas!$C:$C,F$1,Despesas!$M:$M,"Mensal")+SUMIFS(Despesas!$F:$F,Despesas!$J:$J,"&lt;="&amp;$A118,Despesas!$L:$L,"&gt;="&amp;$A118,Despesas!$C:$C,F$1,Despesas!$M:$M,$B118)</f>
        <v>13000</v>
      </c>
      <c r="G118" s="5">
        <f>SUMIFS(Despesas!$F:$F,Despesas!$J:$J,"&lt;="&amp;$A118,Despesas!$L:$L,"&gt;="&amp;$A118,Despesas!$C:$C,G$1,Despesas!$M:$M,"Mensal")+SUMIFS(Despesas!$F:$F,Despesas!$J:$J,"&lt;="&amp;$A118,Despesas!$L:$L,"&gt;="&amp;$A118,Despesas!$C:$C,G$1,Despesas!$M:$M,$B118)</f>
        <v>0</v>
      </c>
      <c r="H118" s="18">
        <f ca="1">SUMIFS(Despesas!$F:$F,Despesas!$J:$J,"&lt;="&amp;$A118,Despesas!$L:$L,"&gt;="&amp;$A118,Despesas!$C:$C,H$1,Despesas!$M:$M,"Mensal")+SUMIFS(Despesas!$F:$F,Despesas!$J:$J,"&lt;="&amp;$A118,Despesas!$L:$L,"&gt;="&amp;$A118,Despesas!$C:$C,H$1,Despesas!$M:$M,$B118)</f>
        <v>2686.355</v>
      </c>
      <c r="I118" s="18">
        <f>IF(Imóveis!$F$2="PRICE",IF(AND(Dados!$A118&gt;=Imóveis!$Q$2,Dados!$A118&lt;=Imóveis!$T$2),Imóveis!$U$2,0),IF((IF(AND(Dados!$A118&gt;=Imóveis!$Q$2,Dados!$A118&lt;=Imóveis!$T$2),Imóveis!$S$2-(DATEDIF(Imóveis!$Q$2,Dados!$A118,"m")),0))=0,0,((Imóveis!$N$2/Imóveis!$S$2)+((Imóveis!$N$2-((Imóveis!$S$2-(IF(AND(Dados!$A118&gt;=Imóveis!$Q$2,Dados!$A118&lt;=Imóveis!$T$2),Imóveis!$S$2-(DATEDIF(Imóveis!$Q$2,Dados!$A118,"m")),)))*(Imóveis!$N$2/Imóveis!$S$2)))*Imóveis!$P$2))))*IF(AND(Imóveis!$E$2&gt;0,Dados!$A118&gt;Imóveis!$E$2),0,1)</f>
        <v>11747.127680165429</v>
      </c>
      <c r="J118" s="18">
        <f ca="1">IF(Imóveis!$F$3="PRICE",IF(AND(Dados!$A118&gt;=Imóveis!$Q$3,Dados!$A118&lt;=Imóveis!$T$3),Imóveis!$U$3,0),IF((IF(AND(Dados!$A118&gt;=Imóveis!$Q$3,Dados!$A118&lt;=Imóveis!$T$3),Imóveis!$S$3-(DATEDIF(Imóveis!$Q$3,Dados!$A118,"m")),0))=0,0,((Imóveis!$N$3/Imóveis!$S$3)+((Imóveis!$N$3-((Imóveis!$S$3-(IF(AND(Dados!$A118&gt;=Imóveis!$Q$3,Dados!$A118&lt;=Imóveis!$T$3),Imóveis!$S$3-(DATEDIF(Imóveis!$Q$3,Dados!$A118,"m")),)))*(Imóveis!$N$3/Imóveis!$S$3)))*Imóveis!$P$3))))*IF(AND(Imóveis!$E$3&gt;0,Dados!$A118&gt;Imóveis!$E$3),0,1)</f>
        <v>9314.6986248807771</v>
      </c>
      <c r="K118" s="18">
        <f>IF(Imóveis!$F$4="PRICE",IF(AND(Dados!$A118&gt;=Imóveis!$Q$4,Dados!$A118&lt;=Imóveis!$T$4),Imóveis!$U$4,0),IF((IF(AND(Dados!$A118&gt;=Imóveis!$Q$4,Dados!$A118&lt;=Imóveis!$T$4),Imóveis!$S$4-(DATEDIF(Imóveis!$Q$4,Dados!$A118,"m")),0))=0,0,((Imóveis!$N$4/Imóveis!$S$4)+((Imóveis!$N$4-((Imóveis!$S$4-(IF(AND(Dados!$A118&gt;=Imóveis!$Q$4,Dados!$A118&lt;=Imóveis!$T$4),Imóveis!$S$4-(DATEDIF(Imóveis!$Q$4,Dados!$A118,"m")),)))*(Imóveis!$N$4/Imóveis!$S$4)))*Imóveis!$P$4))))*IF(AND(Imóveis!$E$4&gt;0,Dados!$A118&gt;Imóveis!$E$4),0,1)</f>
        <v>4643.949359272583</v>
      </c>
      <c r="L118" s="18">
        <f>IF(Imóveis!$F$5="PRICE",IF(AND(Dados!$A118&gt;=Imóveis!$Q$5,Dados!$A118&lt;=Imóveis!$T$5),Imóveis!$U$5,0),IF((IF(AND(Dados!$A118&gt;=Imóveis!$Q$5,Dados!$A118&lt;=Imóveis!$T$5),Imóveis!$S$5-(DATEDIF(Imóveis!$Q$5,Dados!$A118,"m")),0))=0,0,((Imóveis!$N$5/Imóveis!$S$5)+((Imóveis!$N$5-((Imóveis!$S$5-(IF(AND(Dados!$A118 &gt;=Imóveis!$Q$5,Dados!$A118&lt;=Imóveis!$T$5),Imóveis!$S$5-(DATEDIF(Imóveis!$Q$5,Dados!$A118,"m")),)))*(Imóveis!$N$5/Imóveis!$S$5)))*Imóveis!$P$5))))*IF(AND(Imóveis!$E$5&gt;0,Dados!$A118&gt;Imóveis!$E$5),0,1)*Imóveis!$I$5</f>
        <v>0</v>
      </c>
      <c r="M118" s="18">
        <f>IF(Imóveis!$F$6="PRICE",IF(AND(Dados!$A118&gt;=Imóveis!$Q$6,Dados!$A118&lt;=Imóveis!$T$6),Imóveis!$U$6,0),IF((IF(AND(Dados!$A118&gt;=Imóveis!$Q$6,Dados!$A118&lt;=Imóveis!$T$6),Imóveis!$S$6-(DATEDIF(Imóveis!$Q$6,Dados!$A118,"m")),0))=0,0,((Imóveis!$N$6/Imóveis!$S$6)+((Imóveis!$N$6-((Imóveis!$S$6-(IF(AND(Dados!$A118&gt;=Imóveis!$Q$6,Dados!$A118&lt;=Imóveis!$T$6),Imóveis!$S$6-(DATEDIF(Imóveis!$Q$6,Dados!$A118,"m")),)))*(Imóveis!$N$6/Imóveis!$S$6)))*Imóveis!$P$6))))*IF(AND(Imóveis!$E$6&gt;0,Dados!$A118&gt;Imóveis!$E$6),0,1)*Imóveis!$I$6</f>
        <v>0</v>
      </c>
      <c r="N118" s="18">
        <f t="shared" ca="1" si="12"/>
        <v>82392.130664318785</v>
      </c>
      <c r="O118" s="18">
        <f>SUMIFS(Receitas!$F:$F,Receitas!$J:$J,"&lt;="&amp;$A118,Receitas!$L:$L,"&gt;="&amp;$A118,Receitas!$C:$C,O$1,Receitas!$M:$M,"Mensal")+SUMIFS(Receitas!$F:$F,Receitas!$J:$J,"&lt;="&amp;$A118,Receitas!$L:$L,"&gt;="&amp;$A118,Receitas!$C:$C,O$1,Receitas!$M:$M,$B118)</f>
        <v>50000</v>
      </c>
      <c r="P118" s="18">
        <f>SUMIFS(Receitas!$F:$F,Receitas!$J:$J,"&lt;="&amp;$A118,Receitas!$L:$L,"&gt;="&amp;$A118,Receitas!$C:$C,P$1,Receitas!$M:$M,"Mensal")+SUMIFS(Receitas!$F:$F,Receitas!$J:$J,"&lt;="&amp;$A118,Receitas!$L:$L,"&gt;="&amp;$A118,Receitas!$C:$C,P$1,Receitas!$M:$M,$B118)</f>
        <v>20000</v>
      </c>
      <c r="Q118" s="18">
        <f ca="1">SUMIFS(Receitas!$F:$F,Receitas!$J:$J,"&lt;="&amp;$A118,Receitas!$L:$L,"&gt;="&amp;$A118,Receitas!$C:$C,Q$1,Receitas!$M:$M,"Mensal")+SUMIFS(Receitas!$F:$F,Receitas!$J:$J,"&lt;="&amp;$A118,Receitas!$L:$L,"&gt;="&amp;$A118,Receitas!$C:$C,Q$1,Receitas!$M:$M,$B118)</f>
        <v>15101.400000000001</v>
      </c>
      <c r="R118" s="18" cm="1">
        <f t="array" ref="R118">(IF(AND(Membros!$F$2="Sim",A118&lt;=MAX(Membros!$E$2:$E$5)),Membros!K$2,IF(AND(A118&gt;=Membros!J$2,A118&lt;=MAX(Membros!$E$2:$E$5)),Membros!K$2,0))+IF(AND(Membros!$F$3="Sim",A118&lt;=MAX(Membros!$E$2:$E$5)),Membros!K$3,IF(AND(A118&gt;=Membros!J$3,A118&lt;=MAX(Membros!$E$2:$E$5)),Membros!K$3,0)))*IF(AND(COUNTIFS(Tabela3[Tipo],"Provedor",Tabela3[Simulação Seguro],"Sim")=2,A118&gt;=MAX(IF(Tabela3[Tipo]="Dependente",Tabela3[Expectativa de Vida (Data)]))),0,1)</f>
        <v>0</v>
      </c>
      <c r="S118" s="18">
        <f t="shared" ca="1" si="13"/>
        <v>85101.4</v>
      </c>
      <c r="U118" s="18">
        <f t="shared" ca="1" si="16"/>
        <v>5991446.8677014625</v>
      </c>
      <c r="V118" s="18">
        <f>SUMIF(Imóveis!E:E,Dados!A:A,Imóveis!Z:Z)-SUMIF(Imóveis!E:E,Dados!A:A,Imóveis!Y:Y)</f>
        <v>0</v>
      </c>
      <c r="W118" s="18">
        <f>-SUMIF(Projetos!N:N,A118,Projetos!F:F)</f>
        <v>0</v>
      </c>
      <c r="X118" s="18">
        <f t="shared" ca="1" si="10"/>
        <v>2709.2693356812088</v>
      </c>
      <c r="Y118" s="26">
        <f ca="1">(U118*((Indicadores_Economicos!D$2+1)^(1/12)-1))</f>
        <v>19614.437963725355</v>
      </c>
      <c r="Z118" s="18">
        <f t="shared" ca="1" si="14"/>
        <v>6013770.5750008691</v>
      </c>
      <c r="AA118" s="18">
        <f ca="1">Auxiliar_Projetos!E118</f>
        <v>174845.11263813081</v>
      </c>
      <c r="AB118" s="18">
        <f ca="1">Auxiliar_Projetos!K118</f>
        <v>420946.72359394451</v>
      </c>
      <c r="AC118" s="18">
        <f ca="1">IF(Z118-AA118-AB118&gt;Investimentos!$C$14,Investimentos!$C$14,IF(Z118-AA118-AB118&lt;Investimentos!$C$14,Z118-AA118-AB118,0))</f>
        <v>300000</v>
      </c>
      <c r="AD118" s="18">
        <f t="shared" ca="1" si="15"/>
        <v>5117978.7387687936</v>
      </c>
      <c r="AE118" s="18"/>
    </row>
    <row r="119" spans="1:31" x14ac:dyDescent="0.2">
      <c r="A119" s="4">
        <v>49218</v>
      </c>
      <c r="B119" s="5" t="str">
        <f t="shared" si="11"/>
        <v>outubro</v>
      </c>
      <c r="C119" s="5" t="str">
        <f t="shared" si="18"/>
        <v>2034</v>
      </c>
      <c r="D119" s="5">
        <f>SUMIFS(Despesas!$F:$F,Despesas!$J:$J,"&lt;="&amp;$A119,Despesas!$L:$L,"&gt;="&amp;$A119,Despesas!$C:$C,D$1,Despesas!$M:$M,"Mensal")+SUMIFS(Despesas!$F:$F,Despesas!$J:$J,"&lt;="&amp;$A119,Despesas!$L:$L,"&gt;="&amp;$A119,Despesas!$C:$C,D$1,Despesas!$M:$M,$B119)</f>
        <v>23000</v>
      </c>
      <c r="E119" s="18">
        <f>SUMIFS(Despesas!$F:$F,Despesas!$J:$J,"&lt;="&amp;$A119,Despesas!$L:$L,"&gt;="&amp;$A119,Despesas!$C:$C,E$1,Despesas!$M:$M,"Mensal")+SUMIFS(Despesas!$F:$F,Despesas!$J:$J,"&lt;="&amp;$A119,Despesas!$L:$L,"&gt;="&amp;$A119,Despesas!$C:$C,E$1,Despesas!$M:$M,$B119)</f>
        <v>18000</v>
      </c>
      <c r="F119" s="5">
        <f>SUMIFS(Despesas!$F:$F,Despesas!$J:$J,"&lt;="&amp;$A119,Despesas!$L:$L,"&gt;="&amp;$A119,Despesas!$C:$C,F$1,Despesas!$M:$M,"Mensal")+SUMIFS(Despesas!$F:$F,Despesas!$J:$J,"&lt;="&amp;$A119,Despesas!$L:$L,"&gt;="&amp;$A119,Despesas!$C:$C,F$1,Despesas!$M:$M,$B119)</f>
        <v>13000</v>
      </c>
      <c r="G119" s="5">
        <f>SUMIFS(Despesas!$F:$F,Despesas!$J:$J,"&lt;="&amp;$A119,Despesas!$L:$L,"&gt;="&amp;$A119,Despesas!$C:$C,G$1,Despesas!$M:$M,"Mensal")+SUMIFS(Despesas!$F:$F,Despesas!$J:$J,"&lt;="&amp;$A119,Despesas!$L:$L,"&gt;="&amp;$A119,Despesas!$C:$C,G$1,Despesas!$M:$M,$B119)</f>
        <v>0</v>
      </c>
      <c r="H119" s="18">
        <f ca="1">SUMIFS(Despesas!$F:$F,Despesas!$J:$J,"&lt;="&amp;$A119,Despesas!$L:$L,"&gt;="&amp;$A119,Despesas!$C:$C,H$1,Despesas!$M:$M,"Mensal")+SUMIFS(Despesas!$F:$F,Despesas!$J:$J,"&lt;="&amp;$A119,Despesas!$L:$L,"&gt;="&amp;$A119,Despesas!$C:$C,H$1,Despesas!$M:$M,$B119)</f>
        <v>2686.355</v>
      </c>
      <c r="I119" s="18">
        <f>IF(Imóveis!$F$2="PRICE",IF(AND(Dados!$A119&gt;=Imóveis!$Q$2,Dados!$A119&lt;=Imóveis!$T$2),Imóveis!$U$2,0),IF((IF(AND(Dados!$A119&gt;=Imóveis!$Q$2,Dados!$A119&lt;=Imóveis!$T$2),Imóveis!$S$2-(DATEDIF(Imóveis!$Q$2,Dados!$A119,"m")),0))=0,0,((Imóveis!$N$2/Imóveis!$S$2)+((Imóveis!$N$2-((Imóveis!$S$2-(IF(AND(Dados!$A119&gt;=Imóveis!$Q$2,Dados!$A119&lt;=Imóveis!$T$2),Imóveis!$S$2-(DATEDIF(Imóveis!$Q$2,Dados!$A119,"m")),)))*(Imóveis!$N$2/Imóveis!$S$2)))*Imóveis!$P$2))))*IF(AND(Imóveis!$E$2&gt;0,Dados!$A119&gt;Imóveis!$E$2),0,1)</f>
        <v>11685.106587940621</v>
      </c>
      <c r="J119" s="18">
        <f ca="1">IF(Imóveis!$F$3="PRICE",IF(AND(Dados!$A119&gt;=Imóveis!$Q$3,Dados!$A119&lt;=Imóveis!$T$3),Imóveis!$U$3,0),IF((IF(AND(Dados!$A119&gt;=Imóveis!$Q$3,Dados!$A119&lt;=Imóveis!$T$3),Imóveis!$S$3-(DATEDIF(Imóveis!$Q$3,Dados!$A119,"m")),0))=0,0,((Imóveis!$N$3/Imóveis!$S$3)+((Imóveis!$N$3-((Imóveis!$S$3-(IF(AND(Dados!$A119&gt;=Imóveis!$Q$3,Dados!$A119&lt;=Imóveis!$T$3),Imóveis!$S$3-(DATEDIF(Imóveis!$Q$3,Dados!$A119,"m")),)))*(Imóveis!$N$3/Imóveis!$S$3)))*Imóveis!$P$3))))*IF(AND(Imóveis!$E$3&gt;0,Dados!$A119&gt;Imóveis!$E$3),0,1)</f>
        <v>9314.6986248807771</v>
      </c>
      <c r="K119" s="18">
        <f>IF(Imóveis!$F$4="PRICE",IF(AND(Dados!$A119&gt;=Imóveis!$Q$4,Dados!$A119&lt;=Imóveis!$T$4),Imóveis!$U$4,0),IF((IF(AND(Dados!$A119&gt;=Imóveis!$Q$4,Dados!$A119&lt;=Imóveis!$T$4),Imóveis!$S$4-(DATEDIF(Imóveis!$Q$4,Dados!$A119,"m")),0))=0,0,((Imóveis!$N$4/Imóveis!$S$4)+((Imóveis!$N$4-((Imóveis!$S$4-(IF(AND(Dados!$A119&gt;=Imóveis!$Q$4,Dados!$A119&lt;=Imóveis!$T$4),Imóveis!$S$4-(DATEDIF(Imóveis!$Q$4,Dados!$A119,"m")),)))*(Imóveis!$N$4/Imóveis!$S$4)))*Imóveis!$P$4))))*IF(AND(Imóveis!$E$4&gt;0,Dados!$A119&gt;Imóveis!$E$4),0,1)</f>
        <v>4643.949359272583</v>
      </c>
      <c r="L119" s="18">
        <f>IF(Imóveis!$F$5="PRICE",IF(AND(Dados!$A119&gt;=Imóveis!$Q$5,Dados!$A119&lt;=Imóveis!$T$5),Imóveis!$U$5,0),IF((IF(AND(Dados!$A119&gt;=Imóveis!$Q$5,Dados!$A119&lt;=Imóveis!$T$5),Imóveis!$S$5-(DATEDIF(Imóveis!$Q$5,Dados!$A119,"m")),0))=0,0,((Imóveis!$N$5/Imóveis!$S$5)+((Imóveis!$N$5-((Imóveis!$S$5-(IF(AND(Dados!$A119 &gt;=Imóveis!$Q$5,Dados!$A119&lt;=Imóveis!$T$5),Imóveis!$S$5-(DATEDIF(Imóveis!$Q$5,Dados!$A119,"m")),)))*(Imóveis!$N$5/Imóveis!$S$5)))*Imóveis!$P$5))))*IF(AND(Imóveis!$E$5&gt;0,Dados!$A119&gt;Imóveis!$E$5),0,1)*Imóveis!$I$5</f>
        <v>0</v>
      </c>
      <c r="M119" s="18">
        <f>IF(Imóveis!$F$6="PRICE",IF(AND(Dados!$A119&gt;=Imóveis!$Q$6,Dados!$A119&lt;=Imóveis!$T$6),Imóveis!$U$6,0),IF((IF(AND(Dados!$A119&gt;=Imóveis!$Q$6,Dados!$A119&lt;=Imóveis!$T$6),Imóveis!$S$6-(DATEDIF(Imóveis!$Q$6,Dados!$A119,"m")),0))=0,0,((Imóveis!$N$6/Imóveis!$S$6)+((Imóveis!$N$6-((Imóveis!$S$6-(IF(AND(Dados!$A119&gt;=Imóveis!$Q$6,Dados!$A119&lt;=Imóveis!$T$6),Imóveis!$S$6-(DATEDIF(Imóveis!$Q$6,Dados!$A119,"m")),)))*(Imóveis!$N$6/Imóveis!$S$6)))*Imóveis!$P$6))))*IF(AND(Imóveis!$E$6&gt;0,Dados!$A119&gt;Imóveis!$E$6),0,1)*Imóveis!$I$6</f>
        <v>0</v>
      </c>
      <c r="N119" s="18">
        <f t="shared" ca="1" si="12"/>
        <v>82330.109572093977</v>
      </c>
      <c r="O119" s="18">
        <f>SUMIFS(Receitas!$F:$F,Receitas!$J:$J,"&lt;="&amp;$A119,Receitas!$L:$L,"&gt;="&amp;$A119,Receitas!$C:$C,O$1,Receitas!$M:$M,"Mensal")+SUMIFS(Receitas!$F:$F,Receitas!$J:$J,"&lt;="&amp;$A119,Receitas!$L:$L,"&gt;="&amp;$A119,Receitas!$C:$C,O$1,Receitas!$M:$M,$B119)</f>
        <v>50000</v>
      </c>
      <c r="P119" s="18">
        <f>SUMIFS(Receitas!$F:$F,Receitas!$J:$J,"&lt;="&amp;$A119,Receitas!$L:$L,"&gt;="&amp;$A119,Receitas!$C:$C,P$1,Receitas!$M:$M,"Mensal")+SUMIFS(Receitas!$F:$F,Receitas!$J:$J,"&lt;="&amp;$A119,Receitas!$L:$L,"&gt;="&amp;$A119,Receitas!$C:$C,P$1,Receitas!$M:$M,$B119)</f>
        <v>20000</v>
      </c>
      <c r="Q119" s="18">
        <f ca="1">SUMIFS(Receitas!$F:$F,Receitas!$J:$J,"&lt;="&amp;$A119,Receitas!$L:$L,"&gt;="&amp;$A119,Receitas!$C:$C,Q$1,Receitas!$M:$M,"Mensal")+SUMIFS(Receitas!$F:$F,Receitas!$J:$J,"&lt;="&amp;$A119,Receitas!$L:$L,"&gt;="&amp;$A119,Receitas!$C:$C,Q$1,Receitas!$M:$M,$B119)</f>
        <v>15101.400000000001</v>
      </c>
      <c r="R119" s="18" cm="1">
        <f t="array" ref="R119">(IF(AND(Membros!$F$2="Sim",A119&lt;=MAX(Membros!$E$2:$E$5)),Membros!K$2,IF(AND(A119&gt;=Membros!J$2,A119&lt;=MAX(Membros!$E$2:$E$5)),Membros!K$2,0))+IF(AND(Membros!$F$3="Sim",A119&lt;=MAX(Membros!$E$2:$E$5)),Membros!K$3,IF(AND(A119&gt;=Membros!J$3,A119&lt;=MAX(Membros!$E$2:$E$5)),Membros!K$3,0)))*IF(AND(COUNTIFS(Tabela3[Tipo],"Provedor",Tabela3[Simulação Seguro],"Sim")=2,A119&gt;=MAX(IF(Tabela3[Tipo]="Dependente",Tabela3[Expectativa de Vida (Data)]))),0,1)</f>
        <v>0</v>
      </c>
      <c r="S119" s="18">
        <f t="shared" ca="1" si="13"/>
        <v>85101.4</v>
      </c>
      <c r="U119" s="18">
        <f t="shared" ca="1" si="16"/>
        <v>6013770.5750008691</v>
      </c>
      <c r="V119" s="18">
        <f>SUMIF(Imóveis!E:E,Dados!A:A,Imóveis!Z:Z)-SUMIF(Imóveis!E:E,Dados!A:A,Imóveis!Y:Y)</f>
        <v>0</v>
      </c>
      <c r="W119" s="18">
        <f>-SUMIF(Projetos!N:N,A119,Projetos!F:F)</f>
        <v>0</v>
      </c>
      <c r="X119" s="18">
        <f t="shared" ca="1" si="10"/>
        <v>2771.2904279060167</v>
      </c>
      <c r="Y119" s="26">
        <f ca="1">(U119*((Indicadores_Economicos!D$2+1)^(1/12)-1))</f>
        <v>19687.519972397586</v>
      </c>
      <c r="Z119" s="18">
        <f t="shared" ca="1" si="14"/>
        <v>6036229.3854011735</v>
      </c>
      <c r="AA119" s="18">
        <f ca="1">Auxiliar_Projetos!E119</f>
        <v>175417.51003909731</v>
      </c>
      <c r="AB119" s="18">
        <f ca="1">Auxiliar_Projetos!K119</f>
        <v>422324.79362916027</v>
      </c>
      <c r="AC119" s="18">
        <f ca="1">IF(Z119-AA119-AB119&gt;Investimentos!$C$14,Investimentos!$C$14,IF(Z119-AA119-AB119&lt;Investimentos!$C$14,Z119-AA119-AB119,0))</f>
        <v>300000</v>
      </c>
      <c r="AD119" s="18">
        <f t="shared" ca="1" si="15"/>
        <v>5138487.0817329157</v>
      </c>
      <c r="AE119" s="18"/>
    </row>
    <row r="120" spans="1:31" x14ac:dyDescent="0.2">
      <c r="A120" s="4">
        <v>49249</v>
      </c>
      <c r="B120" s="5" t="str">
        <f t="shared" si="11"/>
        <v>novembro</v>
      </c>
      <c r="C120" s="5" t="str">
        <f t="shared" si="18"/>
        <v>2034</v>
      </c>
      <c r="D120" s="5">
        <f>SUMIFS(Despesas!$F:$F,Despesas!$J:$J,"&lt;="&amp;$A120,Despesas!$L:$L,"&gt;="&amp;$A120,Despesas!$C:$C,D$1,Despesas!$M:$M,"Mensal")+SUMIFS(Despesas!$F:$F,Despesas!$J:$J,"&lt;="&amp;$A120,Despesas!$L:$L,"&gt;="&amp;$A120,Despesas!$C:$C,D$1,Despesas!$M:$M,$B120)</f>
        <v>23000</v>
      </c>
      <c r="E120" s="18">
        <f>SUMIFS(Despesas!$F:$F,Despesas!$J:$J,"&lt;="&amp;$A120,Despesas!$L:$L,"&gt;="&amp;$A120,Despesas!$C:$C,E$1,Despesas!$M:$M,"Mensal")+SUMIFS(Despesas!$F:$F,Despesas!$J:$J,"&lt;="&amp;$A120,Despesas!$L:$L,"&gt;="&amp;$A120,Despesas!$C:$C,E$1,Despesas!$M:$M,$B120)</f>
        <v>18000</v>
      </c>
      <c r="F120" s="5">
        <f>SUMIFS(Despesas!$F:$F,Despesas!$J:$J,"&lt;="&amp;$A120,Despesas!$L:$L,"&gt;="&amp;$A120,Despesas!$C:$C,F$1,Despesas!$M:$M,"Mensal")+SUMIFS(Despesas!$F:$F,Despesas!$J:$J,"&lt;="&amp;$A120,Despesas!$L:$L,"&gt;="&amp;$A120,Despesas!$C:$C,F$1,Despesas!$M:$M,$B120)</f>
        <v>13000</v>
      </c>
      <c r="G120" s="5">
        <f>SUMIFS(Despesas!$F:$F,Despesas!$J:$J,"&lt;="&amp;$A120,Despesas!$L:$L,"&gt;="&amp;$A120,Despesas!$C:$C,G$1,Despesas!$M:$M,"Mensal")+SUMIFS(Despesas!$F:$F,Despesas!$J:$J,"&lt;="&amp;$A120,Despesas!$L:$L,"&gt;="&amp;$A120,Despesas!$C:$C,G$1,Despesas!$M:$M,$B120)</f>
        <v>0</v>
      </c>
      <c r="H120" s="18">
        <f ca="1">SUMIFS(Despesas!$F:$F,Despesas!$J:$J,"&lt;="&amp;$A120,Despesas!$L:$L,"&gt;="&amp;$A120,Despesas!$C:$C,H$1,Despesas!$M:$M,"Mensal")+SUMIFS(Despesas!$F:$F,Despesas!$J:$J,"&lt;="&amp;$A120,Despesas!$L:$L,"&gt;="&amp;$A120,Despesas!$C:$C,H$1,Despesas!$M:$M,$B120)</f>
        <v>2686.355</v>
      </c>
      <c r="I120" s="18">
        <f>IF(Imóveis!$F$2="PRICE",IF(AND(Dados!$A120&gt;=Imóveis!$Q$2,Dados!$A120&lt;=Imóveis!$T$2),Imóveis!$U$2,0),IF((IF(AND(Dados!$A120&gt;=Imóveis!$Q$2,Dados!$A120&lt;=Imóveis!$T$2),Imóveis!$S$2-(DATEDIF(Imóveis!$Q$2,Dados!$A120,"m")),0))=0,0,((Imóveis!$N$2/Imóveis!$S$2)+((Imóveis!$N$2-((Imóveis!$S$2-(IF(AND(Dados!$A120&gt;=Imóveis!$Q$2,Dados!$A120&lt;=Imóveis!$T$2),Imóveis!$S$2-(DATEDIF(Imóveis!$Q$2,Dados!$A120,"m")),)))*(Imóveis!$N$2/Imóveis!$S$2)))*Imóveis!$P$2))))*IF(AND(Imóveis!$E$2&gt;0,Dados!$A120&gt;Imóveis!$E$2),0,1)</f>
        <v>11623.085495715815</v>
      </c>
      <c r="J120" s="18">
        <f ca="1">IF(Imóveis!$F$3="PRICE",IF(AND(Dados!$A120&gt;=Imóveis!$Q$3,Dados!$A120&lt;=Imóveis!$T$3),Imóveis!$U$3,0),IF((IF(AND(Dados!$A120&gt;=Imóveis!$Q$3,Dados!$A120&lt;=Imóveis!$T$3),Imóveis!$S$3-(DATEDIF(Imóveis!$Q$3,Dados!$A120,"m")),0))=0,0,((Imóveis!$N$3/Imóveis!$S$3)+((Imóveis!$N$3-((Imóveis!$S$3-(IF(AND(Dados!$A120&gt;=Imóveis!$Q$3,Dados!$A120&lt;=Imóveis!$T$3),Imóveis!$S$3-(DATEDIF(Imóveis!$Q$3,Dados!$A120,"m")),)))*(Imóveis!$N$3/Imóveis!$S$3)))*Imóveis!$P$3))))*IF(AND(Imóveis!$E$3&gt;0,Dados!$A120&gt;Imóveis!$E$3),0,1)</f>
        <v>9314.6986248807771</v>
      </c>
      <c r="K120" s="18">
        <f>IF(Imóveis!$F$4="PRICE",IF(AND(Dados!$A120&gt;=Imóveis!$Q$4,Dados!$A120&lt;=Imóveis!$T$4),Imóveis!$U$4,0),IF((IF(AND(Dados!$A120&gt;=Imóveis!$Q$4,Dados!$A120&lt;=Imóveis!$T$4),Imóveis!$S$4-(DATEDIF(Imóveis!$Q$4,Dados!$A120,"m")),0))=0,0,((Imóveis!$N$4/Imóveis!$S$4)+((Imóveis!$N$4-((Imóveis!$S$4-(IF(AND(Dados!$A120&gt;=Imóveis!$Q$4,Dados!$A120&lt;=Imóveis!$T$4),Imóveis!$S$4-(DATEDIF(Imóveis!$Q$4,Dados!$A120,"m")),)))*(Imóveis!$N$4/Imóveis!$S$4)))*Imóveis!$P$4))))*IF(AND(Imóveis!$E$4&gt;0,Dados!$A120&gt;Imóveis!$E$4),0,1)</f>
        <v>4643.949359272583</v>
      </c>
      <c r="L120" s="18">
        <f>IF(Imóveis!$F$5="PRICE",IF(AND(Dados!$A120&gt;=Imóveis!$Q$5,Dados!$A120&lt;=Imóveis!$T$5),Imóveis!$U$5,0),IF((IF(AND(Dados!$A120&gt;=Imóveis!$Q$5,Dados!$A120&lt;=Imóveis!$T$5),Imóveis!$S$5-(DATEDIF(Imóveis!$Q$5,Dados!$A120,"m")),0))=0,0,((Imóveis!$N$5/Imóveis!$S$5)+((Imóveis!$N$5-((Imóveis!$S$5-(IF(AND(Dados!$A120 &gt;=Imóveis!$Q$5,Dados!$A120&lt;=Imóveis!$T$5),Imóveis!$S$5-(DATEDIF(Imóveis!$Q$5,Dados!$A120,"m")),)))*(Imóveis!$N$5/Imóveis!$S$5)))*Imóveis!$P$5))))*IF(AND(Imóveis!$E$5&gt;0,Dados!$A120&gt;Imóveis!$E$5),0,1)*Imóveis!$I$5</f>
        <v>0</v>
      </c>
      <c r="M120" s="18">
        <f>IF(Imóveis!$F$6="PRICE",IF(AND(Dados!$A120&gt;=Imóveis!$Q$6,Dados!$A120&lt;=Imóveis!$T$6),Imóveis!$U$6,0),IF((IF(AND(Dados!$A120&gt;=Imóveis!$Q$6,Dados!$A120&lt;=Imóveis!$T$6),Imóveis!$S$6-(DATEDIF(Imóveis!$Q$6,Dados!$A120,"m")),0))=0,0,((Imóveis!$N$6/Imóveis!$S$6)+((Imóveis!$N$6-((Imóveis!$S$6-(IF(AND(Dados!$A120&gt;=Imóveis!$Q$6,Dados!$A120&lt;=Imóveis!$T$6),Imóveis!$S$6-(DATEDIF(Imóveis!$Q$6,Dados!$A120,"m")),)))*(Imóveis!$N$6/Imóveis!$S$6)))*Imóveis!$P$6))))*IF(AND(Imóveis!$E$6&gt;0,Dados!$A120&gt;Imóveis!$E$6),0,1)*Imóveis!$I$6</f>
        <v>0</v>
      </c>
      <c r="N120" s="18">
        <f t="shared" ca="1" si="12"/>
        <v>82268.088479869184</v>
      </c>
      <c r="O120" s="18">
        <f>SUMIFS(Receitas!$F:$F,Receitas!$J:$J,"&lt;="&amp;$A120,Receitas!$L:$L,"&gt;="&amp;$A120,Receitas!$C:$C,O$1,Receitas!$M:$M,"Mensal")+SUMIFS(Receitas!$F:$F,Receitas!$J:$J,"&lt;="&amp;$A120,Receitas!$L:$L,"&gt;="&amp;$A120,Receitas!$C:$C,O$1,Receitas!$M:$M,$B120)</f>
        <v>50000</v>
      </c>
      <c r="P120" s="18">
        <f>SUMIFS(Receitas!$F:$F,Receitas!$J:$J,"&lt;="&amp;$A120,Receitas!$L:$L,"&gt;="&amp;$A120,Receitas!$C:$C,P$1,Receitas!$M:$M,"Mensal")+SUMIFS(Receitas!$F:$F,Receitas!$J:$J,"&lt;="&amp;$A120,Receitas!$L:$L,"&gt;="&amp;$A120,Receitas!$C:$C,P$1,Receitas!$M:$M,$B120)</f>
        <v>86666.666666666672</v>
      </c>
      <c r="Q120" s="18">
        <f ca="1">SUMIFS(Receitas!$F:$F,Receitas!$J:$J,"&lt;="&amp;$A120,Receitas!$L:$L,"&gt;="&amp;$A120,Receitas!$C:$C,Q$1,Receitas!$M:$M,"Mensal")+SUMIFS(Receitas!$F:$F,Receitas!$J:$J,"&lt;="&amp;$A120,Receitas!$L:$L,"&gt;="&amp;$A120,Receitas!$C:$C,Q$1,Receitas!$M:$M,$B120)</f>
        <v>15101.400000000001</v>
      </c>
      <c r="R120" s="18" cm="1">
        <f t="array" ref="R120">(IF(AND(Membros!$F$2="Sim",A120&lt;=MAX(Membros!$E$2:$E$5)),Membros!K$2,IF(AND(A120&gt;=Membros!J$2,A120&lt;=MAX(Membros!$E$2:$E$5)),Membros!K$2,0))+IF(AND(Membros!$F$3="Sim",A120&lt;=MAX(Membros!$E$2:$E$5)),Membros!K$3,IF(AND(A120&gt;=Membros!J$3,A120&lt;=MAX(Membros!$E$2:$E$5)),Membros!K$3,0)))*IF(AND(COUNTIFS(Tabela3[Tipo],"Provedor",Tabela3[Simulação Seguro],"Sim")=2,A120&gt;=MAX(IF(Tabela3[Tipo]="Dependente",Tabela3[Expectativa de Vida (Data)]))),0,1)</f>
        <v>0</v>
      </c>
      <c r="S120" s="18">
        <f t="shared" ca="1" si="13"/>
        <v>151768.06666666668</v>
      </c>
      <c r="U120" s="18">
        <f t="shared" ca="1" si="16"/>
        <v>6036229.3854011735</v>
      </c>
      <c r="V120" s="18">
        <f>SUMIF(Imóveis!E:E,Dados!A:A,Imóveis!Z:Z)-SUMIF(Imóveis!E:E,Dados!A:A,Imóveis!Y:Y)</f>
        <v>0</v>
      </c>
      <c r="W120" s="18">
        <f>-SUMIF(Projetos!N:N,A120,Projetos!F:F)</f>
        <v>0</v>
      </c>
      <c r="X120" s="18">
        <f t="shared" ca="1" si="10"/>
        <v>69499.978186797496</v>
      </c>
      <c r="Y120" s="26">
        <f ca="1">(U120*((Indicadores_Economicos!D$2+1)^(1/12)-1))</f>
        <v>19761.044273465926</v>
      </c>
      <c r="Z120" s="18">
        <f t="shared" ca="1" si="14"/>
        <v>6125490.4078614367</v>
      </c>
      <c r="AA120" s="18">
        <f ca="1">Auxiliar_Projetos!E120</f>
        <v>175991.78132020659</v>
      </c>
      <c r="AB120" s="18">
        <f ca="1">Auxiliar_Projetos!K120</f>
        <v>423707.37510707299</v>
      </c>
      <c r="AC120" s="18">
        <f ca="1">IF(Z120-AA120-AB120&gt;Investimentos!$C$14,Investimentos!$C$14,IF(Z120-AA120-AB120&lt;Investimentos!$C$14,Z120-AA120-AB120,0))</f>
        <v>300000</v>
      </c>
      <c r="AD120" s="18">
        <f t="shared" ca="1" si="15"/>
        <v>5225791.2514341567</v>
      </c>
      <c r="AE120" s="18"/>
    </row>
    <row r="121" spans="1:31" x14ac:dyDescent="0.2">
      <c r="A121" s="4">
        <v>49279</v>
      </c>
      <c r="B121" s="5" t="str">
        <f t="shared" si="11"/>
        <v>dezembro</v>
      </c>
      <c r="C121" s="5" t="str">
        <f t="shared" si="18"/>
        <v>2034</v>
      </c>
      <c r="D121" s="5">
        <f>SUMIFS(Despesas!$F:$F,Despesas!$J:$J,"&lt;="&amp;$A121,Despesas!$L:$L,"&gt;="&amp;$A121,Despesas!$C:$C,D$1,Despesas!$M:$M,"Mensal")+SUMIFS(Despesas!$F:$F,Despesas!$J:$J,"&lt;="&amp;$A121,Despesas!$L:$L,"&gt;="&amp;$A121,Despesas!$C:$C,D$1,Despesas!$M:$M,$B121)</f>
        <v>23000</v>
      </c>
      <c r="E121" s="18">
        <f>SUMIFS(Despesas!$F:$F,Despesas!$J:$J,"&lt;="&amp;$A121,Despesas!$L:$L,"&gt;="&amp;$A121,Despesas!$C:$C,E$1,Despesas!$M:$M,"Mensal")+SUMIFS(Despesas!$F:$F,Despesas!$J:$J,"&lt;="&amp;$A121,Despesas!$L:$L,"&gt;="&amp;$A121,Despesas!$C:$C,E$1,Despesas!$M:$M,$B121)</f>
        <v>18000</v>
      </c>
      <c r="F121" s="5">
        <f>SUMIFS(Despesas!$F:$F,Despesas!$J:$J,"&lt;="&amp;$A121,Despesas!$L:$L,"&gt;="&amp;$A121,Despesas!$C:$C,F$1,Despesas!$M:$M,"Mensal")+SUMIFS(Despesas!$F:$F,Despesas!$J:$J,"&lt;="&amp;$A121,Despesas!$L:$L,"&gt;="&amp;$A121,Despesas!$C:$C,F$1,Despesas!$M:$M,$B121)</f>
        <v>13000</v>
      </c>
      <c r="G121" s="5">
        <f ca="1">SUMIFS(Despesas!$F:$F,Despesas!$J:$J,"&lt;="&amp;$A121,Despesas!$L:$L,"&gt;="&amp;$A121,Despesas!$C:$C,G$1,Despesas!$M:$M,"Mensal")+SUMIFS(Despesas!$F:$F,Despesas!$J:$J,"&lt;="&amp;$A121,Despesas!$L:$L,"&gt;="&amp;$A121,Despesas!$C:$C,G$1,Despesas!$M:$M,$B121)</f>
        <v>55757</v>
      </c>
      <c r="H121" s="18">
        <f ca="1">SUMIFS(Despesas!$F:$F,Despesas!$J:$J,"&lt;="&amp;$A121,Despesas!$L:$L,"&gt;="&amp;$A121,Despesas!$C:$C,H$1,Despesas!$M:$M,"Mensal")+SUMIFS(Despesas!$F:$F,Despesas!$J:$J,"&lt;="&amp;$A121,Despesas!$L:$L,"&gt;="&amp;$A121,Despesas!$C:$C,H$1,Despesas!$M:$M,$B121)</f>
        <v>2686.355</v>
      </c>
      <c r="I121" s="18">
        <f>IF(Imóveis!$F$2="PRICE",IF(AND(Dados!$A121&gt;=Imóveis!$Q$2,Dados!$A121&lt;=Imóveis!$T$2),Imóveis!$U$2,0),IF((IF(AND(Dados!$A121&gt;=Imóveis!$Q$2,Dados!$A121&lt;=Imóveis!$T$2),Imóveis!$S$2-(DATEDIF(Imóveis!$Q$2,Dados!$A121,"m")),0))=0,0,((Imóveis!$N$2/Imóveis!$S$2)+((Imóveis!$N$2-((Imóveis!$S$2-(IF(AND(Dados!$A121&gt;=Imóveis!$Q$2,Dados!$A121&lt;=Imóveis!$T$2),Imóveis!$S$2-(DATEDIF(Imóveis!$Q$2,Dados!$A121,"m")),)))*(Imóveis!$N$2/Imóveis!$S$2)))*Imóveis!$P$2))))*IF(AND(Imóveis!$E$2&gt;0,Dados!$A121&gt;Imóveis!$E$2),0,1)</f>
        <v>11561.064403491007</v>
      </c>
      <c r="J121" s="18">
        <f ca="1">IF(Imóveis!$F$3="PRICE",IF(AND(Dados!$A121&gt;=Imóveis!$Q$3,Dados!$A121&lt;=Imóveis!$T$3),Imóveis!$U$3,0),IF((IF(AND(Dados!$A121&gt;=Imóveis!$Q$3,Dados!$A121&lt;=Imóveis!$T$3),Imóveis!$S$3-(DATEDIF(Imóveis!$Q$3,Dados!$A121,"m")),0))=0,0,((Imóveis!$N$3/Imóveis!$S$3)+((Imóveis!$N$3-((Imóveis!$S$3-(IF(AND(Dados!$A121&gt;=Imóveis!$Q$3,Dados!$A121&lt;=Imóveis!$T$3),Imóveis!$S$3-(DATEDIF(Imóveis!$Q$3,Dados!$A121,"m")),)))*(Imóveis!$N$3/Imóveis!$S$3)))*Imóveis!$P$3))))*IF(AND(Imóveis!$E$3&gt;0,Dados!$A121&gt;Imóveis!$E$3),0,1)</f>
        <v>9314.6986248807771</v>
      </c>
      <c r="K121" s="18">
        <f>IF(Imóveis!$F$4="PRICE",IF(AND(Dados!$A121&gt;=Imóveis!$Q$4,Dados!$A121&lt;=Imóveis!$T$4),Imóveis!$U$4,0),IF((IF(AND(Dados!$A121&gt;=Imóveis!$Q$4,Dados!$A121&lt;=Imóveis!$T$4),Imóveis!$S$4-(DATEDIF(Imóveis!$Q$4,Dados!$A121,"m")),0))=0,0,((Imóveis!$N$4/Imóveis!$S$4)+((Imóveis!$N$4-((Imóveis!$S$4-(IF(AND(Dados!$A121&gt;=Imóveis!$Q$4,Dados!$A121&lt;=Imóveis!$T$4),Imóveis!$S$4-(DATEDIF(Imóveis!$Q$4,Dados!$A121,"m")),)))*(Imóveis!$N$4/Imóveis!$S$4)))*Imóveis!$P$4))))*IF(AND(Imóveis!$E$4&gt;0,Dados!$A121&gt;Imóveis!$E$4),0,1)</f>
        <v>4643.949359272583</v>
      </c>
      <c r="L121" s="18">
        <f>IF(Imóveis!$F$5="PRICE",IF(AND(Dados!$A121&gt;=Imóveis!$Q$5,Dados!$A121&lt;=Imóveis!$T$5),Imóveis!$U$5,0),IF((IF(AND(Dados!$A121&gt;=Imóveis!$Q$5,Dados!$A121&lt;=Imóveis!$T$5),Imóveis!$S$5-(DATEDIF(Imóveis!$Q$5,Dados!$A121,"m")),0))=0,0,((Imóveis!$N$5/Imóveis!$S$5)+((Imóveis!$N$5-((Imóveis!$S$5-(IF(AND(Dados!$A121 &gt;=Imóveis!$Q$5,Dados!$A121&lt;=Imóveis!$T$5),Imóveis!$S$5-(DATEDIF(Imóveis!$Q$5,Dados!$A121,"m")),)))*(Imóveis!$N$5/Imóveis!$S$5)))*Imóveis!$P$5))))*IF(AND(Imóveis!$E$5&gt;0,Dados!$A121&gt;Imóveis!$E$5),0,1)*Imóveis!$I$5</f>
        <v>0</v>
      </c>
      <c r="M121" s="18">
        <f>IF(Imóveis!$F$6="PRICE",IF(AND(Dados!$A121&gt;=Imóveis!$Q$6,Dados!$A121&lt;=Imóveis!$T$6),Imóveis!$U$6,0),IF((IF(AND(Dados!$A121&gt;=Imóveis!$Q$6,Dados!$A121&lt;=Imóveis!$T$6),Imóveis!$S$6-(DATEDIF(Imóveis!$Q$6,Dados!$A121,"m")),0))=0,0,((Imóveis!$N$6/Imóveis!$S$6)+((Imóveis!$N$6-((Imóveis!$S$6-(IF(AND(Dados!$A121&gt;=Imóveis!$Q$6,Dados!$A121&lt;=Imóveis!$T$6),Imóveis!$S$6-(DATEDIF(Imóveis!$Q$6,Dados!$A121,"m")),)))*(Imóveis!$N$6/Imóveis!$S$6)))*Imóveis!$P$6))))*IF(AND(Imóveis!$E$6&gt;0,Dados!$A121&gt;Imóveis!$E$6),0,1)*Imóveis!$I$6</f>
        <v>0</v>
      </c>
      <c r="N121" s="18">
        <f t="shared" ca="1" si="12"/>
        <v>137963.06738764435</v>
      </c>
      <c r="O121" s="18">
        <f>SUMIFS(Receitas!$F:$F,Receitas!$J:$J,"&lt;="&amp;$A121,Receitas!$L:$L,"&gt;="&amp;$A121,Receitas!$C:$C,O$1,Receitas!$M:$M,"Mensal")+SUMIFS(Receitas!$F:$F,Receitas!$J:$J,"&lt;="&amp;$A121,Receitas!$L:$L,"&gt;="&amp;$A121,Receitas!$C:$C,O$1,Receitas!$M:$M,$B121)</f>
        <v>50000</v>
      </c>
      <c r="P121" s="18">
        <f>SUMIFS(Receitas!$F:$F,Receitas!$J:$J,"&lt;="&amp;$A121,Receitas!$L:$L,"&gt;="&amp;$A121,Receitas!$C:$C,P$1,Receitas!$M:$M,"Mensal")+SUMIFS(Receitas!$F:$F,Receitas!$J:$J,"&lt;="&amp;$A121,Receitas!$L:$L,"&gt;="&amp;$A121,Receitas!$C:$C,P$1,Receitas!$M:$M,$B121)</f>
        <v>20000</v>
      </c>
      <c r="Q121" s="18">
        <f ca="1">SUMIFS(Receitas!$F:$F,Receitas!$J:$J,"&lt;="&amp;$A121,Receitas!$L:$L,"&gt;="&amp;$A121,Receitas!$C:$C,Q$1,Receitas!$M:$M,"Mensal")+SUMIFS(Receitas!$F:$F,Receitas!$J:$J,"&lt;="&amp;$A121,Receitas!$L:$L,"&gt;="&amp;$A121,Receitas!$C:$C,Q$1,Receitas!$M:$M,$B121)</f>
        <v>15101.400000000001</v>
      </c>
      <c r="R121" s="18" cm="1">
        <f t="array" ref="R121">(IF(AND(Membros!$F$2="Sim",A121&lt;=MAX(Membros!$E$2:$E$5)),Membros!K$2,IF(AND(A121&gt;=Membros!J$2,A121&lt;=MAX(Membros!$E$2:$E$5)),Membros!K$2,0))+IF(AND(Membros!$F$3="Sim",A121&lt;=MAX(Membros!$E$2:$E$5)),Membros!K$3,IF(AND(A121&gt;=Membros!J$3,A121&lt;=MAX(Membros!$E$2:$E$5)),Membros!K$3,0)))*IF(AND(COUNTIFS(Tabela3[Tipo],"Provedor",Tabela3[Simulação Seguro],"Sim")=2,A121&gt;=MAX(IF(Tabela3[Tipo]="Dependente",Tabela3[Expectativa de Vida (Data)]))),0,1)</f>
        <v>0</v>
      </c>
      <c r="S121" s="18">
        <f t="shared" ca="1" si="13"/>
        <v>85101.4</v>
      </c>
      <c r="U121" s="18">
        <f t="shared" ca="1" si="16"/>
        <v>6125490.4078614367</v>
      </c>
      <c r="V121" s="18">
        <f>SUMIF(Imóveis!E:E,Dados!A:A,Imóveis!Z:Z)-SUMIF(Imóveis!E:E,Dados!A:A,Imóveis!Y:Y)</f>
        <v>0</v>
      </c>
      <c r="W121" s="18">
        <f>-SUMIF(Projetos!N:N,A121,Projetos!F:F)</f>
        <v>-100000</v>
      </c>
      <c r="X121" s="18">
        <f t="shared" ca="1" si="10"/>
        <v>-52861.667387644353</v>
      </c>
      <c r="Y121" s="26">
        <f ca="1">(U121*((Indicadores_Economicos!D$2+1)^(1/12)-1))</f>
        <v>20053.261633693841</v>
      </c>
      <c r="Z121" s="18">
        <f t="shared" ca="1" si="14"/>
        <v>5992682.0021074861</v>
      </c>
      <c r="AA121" s="18">
        <f ca="1">Auxiliar_Projetos!E121</f>
        <v>76240.558637834707</v>
      </c>
      <c r="AB121" s="18">
        <f ca="1">Auxiliar_Projetos!K121</f>
        <v>425094.48279697209</v>
      </c>
      <c r="AC121" s="18">
        <f ca="1">IF(Z121-AA121-AB121&gt;Investimentos!$C$14,Investimentos!$C$14,IF(Z121-AA121-AB121&lt;Investimentos!$C$14,Z121-AA121-AB121,0))</f>
        <v>300000</v>
      </c>
      <c r="AD121" s="18">
        <f t="shared" ca="1" si="15"/>
        <v>5191346.9606726794</v>
      </c>
      <c r="AE121" s="18"/>
    </row>
    <row r="122" spans="1:31" x14ac:dyDescent="0.2">
      <c r="A122" s="4">
        <v>49310</v>
      </c>
      <c r="B122" s="5" t="str">
        <f t="shared" si="11"/>
        <v>janeiro</v>
      </c>
      <c r="C122" s="5" t="str">
        <f t="shared" si="18"/>
        <v>2035</v>
      </c>
      <c r="D122" s="5">
        <f>SUMIFS(Despesas!$F:$F,Despesas!$J:$J,"&lt;="&amp;$A122,Despesas!$L:$L,"&gt;="&amp;$A122,Despesas!$C:$C,D$1,Despesas!$M:$M,"Mensal")+SUMIFS(Despesas!$F:$F,Despesas!$J:$J,"&lt;="&amp;$A122,Despesas!$L:$L,"&gt;="&amp;$A122,Despesas!$C:$C,D$1,Despesas!$M:$M,$B122)</f>
        <v>23000</v>
      </c>
      <c r="E122" s="18">
        <f>SUMIFS(Despesas!$F:$F,Despesas!$J:$J,"&lt;="&amp;$A122,Despesas!$L:$L,"&gt;="&amp;$A122,Despesas!$C:$C,E$1,Despesas!$M:$M,"Mensal")+SUMIFS(Despesas!$F:$F,Despesas!$J:$J,"&lt;="&amp;$A122,Despesas!$L:$L,"&gt;="&amp;$A122,Despesas!$C:$C,E$1,Despesas!$M:$M,$B122)</f>
        <v>19000</v>
      </c>
      <c r="F122" s="5">
        <f>SUMIFS(Despesas!$F:$F,Despesas!$J:$J,"&lt;="&amp;$A122,Despesas!$L:$L,"&gt;="&amp;$A122,Despesas!$C:$C,F$1,Despesas!$M:$M,"Mensal")+SUMIFS(Despesas!$F:$F,Despesas!$J:$J,"&lt;="&amp;$A122,Despesas!$L:$L,"&gt;="&amp;$A122,Despesas!$C:$C,F$1,Despesas!$M:$M,$B122)</f>
        <v>13000</v>
      </c>
      <c r="G122" s="5">
        <f>SUMIFS(Despesas!$F:$F,Despesas!$J:$J,"&lt;="&amp;$A122,Despesas!$L:$L,"&gt;="&amp;$A122,Despesas!$C:$C,G$1,Despesas!$M:$M,"Mensal")+SUMIFS(Despesas!$F:$F,Despesas!$J:$J,"&lt;="&amp;$A122,Despesas!$L:$L,"&gt;="&amp;$A122,Despesas!$C:$C,G$1,Despesas!$M:$M,$B122)</f>
        <v>0</v>
      </c>
      <c r="H122" s="18">
        <f ca="1">SUMIFS(Despesas!$F:$F,Despesas!$J:$J,"&lt;="&amp;$A122,Despesas!$L:$L,"&gt;="&amp;$A122,Despesas!$C:$C,H$1,Despesas!$M:$M,"Mensal")+SUMIFS(Despesas!$F:$F,Despesas!$J:$J,"&lt;="&amp;$A122,Despesas!$L:$L,"&gt;="&amp;$A122,Despesas!$C:$C,H$1,Despesas!$M:$M,$B122)</f>
        <v>2686.355</v>
      </c>
      <c r="I122" s="18">
        <f>IF(Imóveis!$F$2="PRICE",IF(AND(Dados!$A122&gt;=Imóveis!$Q$2,Dados!$A122&lt;=Imóveis!$T$2),Imóveis!$U$2,0),IF((IF(AND(Dados!$A122&gt;=Imóveis!$Q$2,Dados!$A122&lt;=Imóveis!$T$2),Imóveis!$S$2-(DATEDIF(Imóveis!$Q$2,Dados!$A122,"m")),0))=0,0,((Imóveis!$N$2/Imóveis!$S$2)+((Imóveis!$N$2-((Imóveis!$S$2-(IF(AND(Dados!$A122&gt;=Imóveis!$Q$2,Dados!$A122&lt;=Imóveis!$T$2),Imóveis!$S$2-(DATEDIF(Imóveis!$Q$2,Dados!$A122,"m")),)))*(Imóveis!$N$2/Imóveis!$S$2)))*Imóveis!$P$2))))*IF(AND(Imóveis!$E$2&gt;0,Dados!$A122&gt;Imóveis!$E$2),0,1)</f>
        <v>11499.043311266201</v>
      </c>
      <c r="J122" s="18">
        <f ca="1">IF(Imóveis!$F$3="PRICE",IF(AND(Dados!$A122&gt;=Imóveis!$Q$3,Dados!$A122&lt;=Imóveis!$T$3),Imóveis!$U$3,0),IF((IF(AND(Dados!$A122&gt;=Imóveis!$Q$3,Dados!$A122&lt;=Imóveis!$T$3),Imóveis!$S$3-(DATEDIF(Imóveis!$Q$3,Dados!$A122,"m")),0))=0,0,((Imóveis!$N$3/Imóveis!$S$3)+((Imóveis!$N$3-((Imóveis!$S$3-(IF(AND(Dados!$A122&gt;=Imóveis!$Q$3,Dados!$A122&lt;=Imóveis!$T$3),Imóveis!$S$3-(DATEDIF(Imóveis!$Q$3,Dados!$A122,"m")),)))*(Imóveis!$N$3/Imóveis!$S$3)))*Imóveis!$P$3))))*IF(AND(Imóveis!$E$3&gt;0,Dados!$A122&gt;Imóveis!$E$3),0,1)</f>
        <v>9314.6986248807771</v>
      </c>
      <c r="K122" s="18">
        <f>IF(Imóveis!$F$4="PRICE",IF(AND(Dados!$A122&gt;=Imóveis!$Q$4,Dados!$A122&lt;=Imóveis!$T$4),Imóveis!$U$4,0),IF((IF(AND(Dados!$A122&gt;=Imóveis!$Q$4,Dados!$A122&lt;=Imóveis!$T$4),Imóveis!$S$4-(DATEDIF(Imóveis!$Q$4,Dados!$A122,"m")),0))=0,0,((Imóveis!$N$4/Imóveis!$S$4)+((Imóveis!$N$4-((Imóveis!$S$4-(IF(AND(Dados!$A122&gt;=Imóveis!$Q$4,Dados!$A122&lt;=Imóveis!$T$4),Imóveis!$S$4-(DATEDIF(Imóveis!$Q$4,Dados!$A122,"m")),)))*(Imóveis!$N$4/Imóveis!$S$4)))*Imóveis!$P$4))))*IF(AND(Imóveis!$E$4&gt;0,Dados!$A122&gt;Imóveis!$E$4),0,1)</f>
        <v>4643.949359272583</v>
      </c>
      <c r="L122" s="18">
        <f>IF(Imóveis!$F$5="PRICE",IF(AND(Dados!$A122&gt;=Imóveis!$Q$5,Dados!$A122&lt;=Imóveis!$T$5),Imóveis!$U$5,0),IF((IF(AND(Dados!$A122&gt;=Imóveis!$Q$5,Dados!$A122&lt;=Imóveis!$T$5),Imóveis!$S$5-(DATEDIF(Imóveis!$Q$5,Dados!$A122,"m")),0))=0,0,((Imóveis!$N$5/Imóveis!$S$5)+((Imóveis!$N$5-((Imóveis!$S$5-(IF(AND(Dados!$A122 &gt;=Imóveis!$Q$5,Dados!$A122&lt;=Imóveis!$T$5),Imóveis!$S$5-(DATEDIF(Imóveis!$Q$5,Dados!$A122,"m")),)))*(Imóveis!$N$5/Imóveis!$S$5)))*Imóveis!$P$5))))*IF(AND(Imóveis!$E$5&gt;0,Dados!$A122&gt;Imóveis!$E$5),0,1)*Imóveis!$I$5</f>
        <v>0</v>
      </c>
      <c r="M122" s="18">
        <f>IF(Imóveis!$F$6="PRICE",IF(AND(Dados!$A122&gt;=Imóveis!$Q$6,Dados!$A122&lt;=Imóveis!$T$6),Imóveis!$U$6,0),IF((IF(AND(Dados!$A122&gt;=Imóveis!$Q$6,Dados!$A122&lt;=Imóveis!$T$6),Imóveis!$S$6-(DATEDIF(Imóveis!$Q$6,Dados!$A122,"m")),0))=0,0,((Imóveis!$N$6/Imóveis!$S$6)+((Imóveis!$N$6-((Imóveis!$S$6-(IF(AND(Dados!$A122&gt;=Imóveis!$Q$6,Dados!$A122&lt;=Imóveis!$T$6),Imóveis!$S$6-(DATEDIF(Imóveis!$Q$6,Dados!$A122,"m")),)))*(Imóveis!$N$6/Imóveis!$S$6)))*Imóveis!$P$6))))*IF(AND(Imóveis!$E$6&gt;0,Dados!$A122&gt;Imóveis!$E$6),0,1)*Imóveis!$I$6</f>
        <v>0</v>
      </c>
      <c r="N122" s="18">
        <f t="shared" ca="1" si="12"/>
        <v>83144.046295419568</v>
      </c>
      <c r="O122" s="18">
        <f>SUMIFS(Receitas!$F:$F,Receitas!$J:$J,"&lt;="&amp;$A122,Receitas!$L:$L,"&gt;="&amp;$A122,Receitas!$C:$C,O$1,Receitas!$M:$M,"Mensal")+SUMIFS(Receitas!$F:$F,Receitas!$J:$J,"&lt;="&amp;$A122,Receitas!$L:$L,"&gt;="&amp;$A122,Receitas!$C:$C,O$1,Receitas!$M:$M,$B122)</f>
        <v>50000</v>
      </c>
      <c r="P122" s="18">
        <f>SUMIFS(Receitas!$F:$F,Receitas!$J:$J,"&lt;="&amp;$A122,Receitas!$L:$L,"&gt;="&amp;$A122,Receitas!$C:$C,P$1,Receitas!$M:$M,"Mensal")+SUMIFS(Receitas!$F:$F,Receitas!$J:$J,"&lt;="&amp;$A122,Receitas!$L:$L,"&gt;="&amp;$A122,Receitas!$C:$C,P$1,Receitas!$M:$M,$B122)</f>
        <v>20000</v>
      </c>
      <c r="Q122" s="18">
        <f ca="1">SUMIFS(Receitas!$F:$F,Receitas!$J:$J,"&lt;="&amp;$A122,Receitas!$L:$L,"&gt;="&amp;$A122,Receitas!$C:$C,Q$1,Receitas!$M:$M,"Mensal")+SUMIFS(Receitas!$F:$F,Receitas!$J:$J,"&lt;="&amp;$A122,Receitas!$L:$L,"&gt;="&amp;$A122,Receitas!$C:$C,Q$1,Receitas!$M:$M,$B122)</f>
        <v>15101.400000000001</v>
      </c>
      <c r="R122" s="18" cm="1">
        <f t="array" ref="R122">(IF(AND(Membros!$F$2="Sim",A122&lt;=MAX(Membros!$E$2:$E$5)),Membros!K$2,IF(AND(A122&gt;=Membros!J$2,A122&lt;=MAX(Membros!$E$2:$E$5)),Membros!K$2,0))+IF(AND(Membros!$F$3="Sim",A122&lt;=MAX(Membros!$E$2:$E$5)),Membros!K$3,IF(AND(A122&gt;=Membros!J$3,A122&lt;=MAX(Membros!$E$2:$E$5)),Membros!K$3,0)))*IF(AND(COUNTIFS(Tabela3[Tipo],"Provedor",Tabela3[Simulação Seguro],"Sim")=2,A122&gt;=MAX(IF(Tabela3[Tipo]="Dependente",Tabela3[Expectativa de Vida (Data)]))),0,1)</f>
        <v>0</v>
      </c>
      <c r="S122" s="18">
        <f t="shared" ca="1" si="13"/>
        <v>85101.4</v>
      </c>
      <c r="U122" s="18">
        <f t="shared" ca="1" si="16"/>
        <v>5992682.0021074861</v>
      </c>
      <c r="V122" s="18">
        <f ca="1">SUMIF(Imóveis!E:E,Dados!A:A,Imóveis!Z:Z)-SUMIF(Imóveis!E:E,Dados!A:A,Imóveis!Y:Y)</f>
        <v>829328.1640021808</v>
      </c>
      <c r="W122" s="18">
        <f>-SUMIF(Projetos!N:N,A122,Projetos!F:F)</f>
        <v>0</v>
      </c>
      <c r="X122" s="18">
        <f t="shared" ca="1" si="10"/>
        <v>1957.353704580426</v>
      </c>
      <c r="Y122" s="26">
        <f ca="1">(U122*((Indicadores_Economicos!D$2+1)^(1/12)-1))</f>
        <v>19618.481472366715</v>
      </c>
      <c r="Z122" s="18">
        <f t="shared" ca="1" si="14"/>
        <v>6843586.0012866138</v>
      </c>
      <c r="AA122" s="18">
        <f ca="1">Auxiliar_Projetos!E122</f>
        <v>76490.150387664457</v>
      </c>
      <c r="AB122" s="18">
        <f ca="1">Auxiliar_Projetos!K122</f>
        <v>426486.13151649782</v>
      </c>
      <c r="AC122" s="18">
        <f ca="1">IF(Z122-AA122-AB122&gt;Investimentos!$C$14,Investimentos!$C$14,IF(Z122-AA122-AB122&lt;Investimentos!$C$14,Z122-AA122-AB122,0))</f>
        <v>300000</v>
      </c>
      <c r="AD122" s="18">
        <f t="shared" ca="1" si="15"/>
        <v>6040609.7193824518</v>
      </c>
      <c r="AE122" s="18"/>
    </row>
    <row r="123" spans="1:31" x14ac:dyDescent="0.2">
      <c r="A123" s="4">
        <v>49341</v>
      </c>
      <c r="B123" s="5" t="str">
        <f t="shared" si="11"/>
        <v>fevereiro</v>
      </c>
      <c r="C123" s="5" t="str">
        <f t="shared" si="18"/>
        <v>2035</v>
      </c>
      <c r="D123" s="5">
        <f>SUMIFS(Despesas!$F:$F,Despesas!$J:$J,"&lt;="&amp;$A123,Despesas!$L:$L,"&gt;="&amp;$A123,Despesas!$C:$C,D$1,Despesas!$M:$M,"Mensal")+SUMIFS(Despesas!$F:$F,Despesas!$J:$J,"&lt;="&amp;$A123,Despesas!$L:$L,"&gt;="&amp;$A123,Despesas!$C:$C,D$1,Despesas!$M:$M,$B123)</f>
        <v>23000</v>
      </c>
      <c r="E123" s="18">
        <f>SUMIFS(Despesas!$F:$F,Despesas!$J:$J,"&lt;="&amp;$A123,Despesas!$L:$L,"&gt;="&amp;$A123,Despesas!$C:$C,E$1,Despesas!$M:$M,"Mensal")+SUMIFS(Despesas!$F:$F,Despesas!$J:$J,"&lt;="&amp;$A123,Despesas!$L:$L,"&gt;="&amp;$A123,Despesas!$C:$C,E$1,Despesas!$M:$M,$B123)</f>
        <v>19000</v>
      </c>
      <c r="F123" s="5">
        <f>SUMIFS(Despesas!$F:$F,Despesas!$J:$J,"&lt;="&amp;$A123,Despesas!$L:$L,"&gt;="&amp;$A123,Despesas!$C:$C,F$1,Despesas!$M:$M,"Mensal")+SUMIFS(Despesas!$F:$F,Despesas!$J:$J,"&lt;="&amp;$A123,Despesas!$L:$L,"&gt;="&amp;$A123,Despesas!$C:$C,F$1,Despesas!$M:$M,$B123)</f>
        <v>13000</v>
      </c>
      <c r="G123" s="5">
        <f>SUMIFS(Despesas!$F:$F,Despesas!$J:$J,"&lt;="&amp;$A123,Despesas!$L:$L,"&gt;="&amp;$A123,Despesas!$C:$C,G$1,Despesas!$M:$M,"Mensal")+SUMIFS(Despesas!$F:$F,Despesas!$J:$J,"&lt;="&amp;$A123,Despesas!$L:$L,"&gt;="&amp;$A123,Despesas!$C:$C,G$1,Despesas!$M:$M,$B123)</f>
        <v>0</v>
      </c>
      <c r="H123" s="18">
        <f>SUMIFS(Despesas!$F:$F,Despesas!$J:$J,"&lt;="&amp;$A123,Despesas!$L:$L,"&gt;="&amp;$A123,Despesas!$C:$C,H$1,Despesas!$M:$M,"Mensal")+SUMIFS(Despesas!$F:$F,Despesas!$J:$J,"&lt;="&amp;$A123,Despesas!$L:$L,"&gt;="&amp;$A123,Despesas!$C:$C,H$1,Despesas!$M:$M,$B123)</f>
        <v>3150</v>
      </c>
      <c r="I123" s="18">
        <f>IF(Imóveis!$F$2="PRICE",IF(AND(Dados!$A123&gt;=Imóveis!$Q$2,Dados!$A123&lt;=Imóveis!$T$2),Imóveis!$U$2,0),IF((IF(AND(Dados!$A123&gt;=Imóveis!$Q$2,Dados!$A123&lt;=Imóveis!$T$2),Imóveis!$S$2-(DATEDIF(Imóveis!$Q$2,Dados!$A123,"m")),0))=0,0,((Imóveis!$N$2/Imóveis!$S$2)+((Imóveis!$N$2-((Imóveis!$S$2-(IF(AND(Dados!$A123&gt;=Imóveis!$Q$2,Dados!$A123&lt;=Imóveis!$T$2),Imóveis!$S$2-(DATEDIF(Imóveis!$Q$2,Dados!$A123,"m")),)))*(Imóveis!$N$2/Imóveis!$S$2)))*Imóveis!$P$2))))*IF(AND(Imóveis!$E$2&gt;0,Dados!$A123&gt;Imóveis!$E$2),0,1)</f>
        <v>11437.022219041395</v>
      </c>
      <c r="J123" s="18">
        <f ca="1">IF(Imóveis!$F$3="PRICE",IF(AND(Dados!$A123&gt;=Imóveis!$Q$3,Dados!$A123&lt;=Imóveis!$T$3),Imóveis!$U$3,0),IF((IF(AND(Dados!$A123&gt;=Imóveis!$Q$3,Dados!$A123&lt;=Imóveis!$T$3),Imóveis!$S$3-(DATEDIF(Imóveis!$Q$3,Dados!$A123,"m")),0))=0,0,((Imóveis!$N$3/Imóveis!$S$3)+((Imóveis!$N$3-((Imóveis!$S$3-(IF(AND(Dados!$A123&gt;=Imóveis!$Q$3,Dados!$A123&lt;=Imóveis!$T$3),Imóveis!$S$3-(DATEDIF(Imóveis!$Q$3,Dados!$A123,"m")),)))*(Imóveis!$N$3/Imóveis!$S$3)))*Imóveis!$P$3))))*IF(AND(Imóveis!$E$3&gt;0,Dados!$A123&gt;Imóveis!$E$3),0,1)</f>
        <v>0</v>
      </c>
      <c r="K123" s="18">
        <f>IF(Imóveis!$F$4="PRICE",IF(AND(Dados!$A123&gt;=Imóveis!$Q$4,Dados!$A123&lt;=Imóveis!$T$4),Imóveis!$U$4,0),IF((IF(AND(Dados!$A123&gt;=Imóveis!$Q$4,Dados!$A123&lt;=Imóveis!$T$4),Imóveis!$S$4-(DATEDIF(Imóveis!$Q$4,Dados!$A123,"m")),0))=0,0,((Imóveis!$N$4/Imóveis!$S$4)+((Imóveis!$N$4-((Imóveis!$S$4-(IF(AND(Dados!$A123&gt;=Imóveis!$Q$4,Dados!$A123&lt;=Imóveis!$T$4),Imóveis!$S$4-(DATEDIF(Imóveis!$Q$4,Dados!$A123,"m")),)))*(Imóveis!$N$4/Imóveis!$S$4)))*Imóveis!$P$4))))*IF(AND(Imóveis!$E$4&gt;0,Dados!$A123&gt;Imóveis!$E$4),0,1)</f>
        <v>4643.949359272583</v>
      </c>
      <c r="L123" s="18">
        <f>IF(Imóveis!$F$5="PRICE",IF(AND(Dados!$A123&gt;=Imóveis!$Q$5,Dados!$A123&lt;=Imóveis!$T$5),Imóveis!$U$5,0),IF((IF(AND(Dados!$A123&gt;=Imóveis!$Q$5,Dados!$A123&lt;=Imóveis!$T$5),Imóveis!$S$5-(DATEDIF(Imóveis!$Q$5,Dados!$A123,"m")),0))=0,0,((Imóveis!$N$5/Imóveis!$S$5)+((Imóveis!$N$5-((Imóveis!$S$5-(IF(AND(Dados!$A123 &gt;=Imóveis!$Q$5,Dados!$A123&lt;=Imóveis!$T$5),Imóveis!$S$5-(DATEDIF(Imóveis!$Q$5,Dados!$A123,"m")),)))*(Imóveis!$N$5/Imóveis!$S$5)))*Imóveis!$P$5))))*IF(AND(Imóveis!$E$5&gt;0,Dados!$A123&gt;Imóveis!$E$5),0,1)*Imóveis!$I$5</f>
        <v>0</v>
      </c>
      <c r="M123" s="18">
        <f>IF(Imóveis!$F$6="PRICE",IF(AND(Dados!$A123&gt;=Imóveis!$Q$6,Dados!$A123&lt;=Imóveis!$T$6),Imóveis!$U$6,0),IF((IF(AND(Dados!$A123&gt;=Imóveis!$Q$6,Dados!$A123&lt;=Imóveis!$T$6),Imóveis!$S$6-(DATEDIF(Imóveis!$Q$6,Dados!$A123,"m")),0))=0,0,((Imóveis!$N$6/Imóveis!$S$6)+((Imóveis!$N$6-((Imóveis!$S$6-(IF(AND(Dados!$A123&gt;=Imóveis!$Q$6,Dados!$A123&lt;=Imóveis!$T$6),Imóveis!$S$6-(DATEDIF(Imóveis!$Q$6,Dados!$A123,"m")),)))*(Imóveis!$N$6/Imóveis!$S$6)))*Imóveis!$P$6))))*IF(AND(Imóveis!$E$6&gt;0,Dados!$A123&gt;Imóveis!$E$6),0,1)*Imóveis!$I$6</f>
        <v>0</v>
      </c>
      <c r="N123" s="18">
        <f t="shared" ca="1" si="12"/>
        <v>74230.971578313969</v>
      </c>
      <c r="O123" s="18">
        <f>SUMIFS(Receitas!$F:$F,Receitas!$J:$J,"&lt;="&amp;$A123,Receitas!$L:$L,"&gt;="&amp;$A123,Receitas!$C:$C,O$1,Receitas!$M:$M,"Mensal")+SUMIFS(Receitas!$F:$F,Receitas!$J:$J,"&lt;="&amp;$A123,Receitas!$L:$L,"&gt;="&amp;$A123,Receitas!$C:$C,O$1,Receitas!$M:$M,$B123)</f>
        <v>50000</v>
      </c>
      <c r="P123" s="18">
        <f>SUMIFS(Receitas!$F:$F,Receitas!$J:$J,"&lt;="&amp;$A123,Receitas!$L:$L,"&gt;="&amp;$A123,Receitas!$C:$C,P$1,Receitas!$M:$M,"Mensal")+SUMIFS(Receitas!$F:$F,Receitas!$J:$J,"&lt;="&amp;$A123,Receitas!$L:$L,"&gt;="&amp;$A123,Receitas!$C:$C,P$1,Receitas!$M:$M,$B123)</f>
        <v>20000</v>
      </c>
      <c r="Q123" s="18">
        <f>SUMIFS(Receitas!$F:$F,Receitas!$J:$J,"&lt;="&amp;$A123,Receitas!$L:$L,"&gt;="&amp;$A123,Receitas!$C:$C,Q$1,Receitas!$M:$M,"Mensal")+SUMIFS(Receitas!$F:$F,Receitas!$J:$J,"&lt;="&amp;$A123,Receitas!$L:$L,"&gt;="&amp;$A123,Receitas!$C:$C,Q$1,Receitas!$M:$M,$B123)</f>
        <v>3950</v>
      </c>
      <c r="R123" s="18" cm="1">
        <f t="array" ref="R123">(IF(AND(Membros!$F$2="Sim",A123&lt;=MAX(Membros!$E$2:$E$5)),Membros!K$2,IF(AND(A123&gt;=Membros!J$2,A123&lt;=MAX(Membros!$E$2:$E$5)),Membros!K$2,0))+IF(AND(Membros!$F$3="Sim",A123&lt;=MAX(Membros!$E$2:$E$5)),Membros!K$3,IF(AND(A123&gt;=Membros!J$3,A123&lt;=MAX(Membros!$E$2:$E$5)),Membros!K$3,0)))*IF(AND(COUNTIFS(Tabela3[Tipo],"Provedor",Tabela3[Simulação Seguro],"Sim")=2,A123&gt;=MAX(IF(Tabela3[Tipo]="Dependente",Tabela3[Expectativa de Vida (Data)]))),0,1)</f>
        <v>0</v>
      </c>
      <c r="S123" s="18">
        <f t="shared" si="13"/>
        <v>73950</v>
      </c>
      <c r="U123" s="18">
        <f t="shared" ca="1" si="16"/>
        <v>6843586.0012866138</v>
      </c>
      <c r="V123" s="18">
        <f>SUMIF(Imóveis!E:E,Dados!A:A,Imóveis!Z:Z)-SUMIF(Imóveis!E:E,Dados!A:A,Imóveis!Y:Y)</f>
        <v>0</v>
      </c>
      <c r="W123" s="18">
        <f>-SUMIF(Projetos!N:N,A123,Projetos!F:F)</f>
        <v>0</v>
      </c>
      <c r="X123" s="18">
        <f t="shared" ca="1" si="10"/>
        <v>-280.97157831396908</v>
      </c>
      <c r="Y123" s="26">
        <f ca="1">(U123*((Indicadores_Economicos!D$2+1)^(1/12)-1))</f>
        <v>22404.119745311578</v>
      </c>
      <c r="Z123" s="18">
        <f t="shared" ca="1" si="14"/>
        <v>6865709.1494536111</v>
      </c>
      <c r="AA123" s="18">
        <f ca="1">Auxiliar_Projetos!E123</f>
        <v>76740.559235934925</v>
      </c>
      <c r="AB123" s="18">
        <f ca="1">Auxiliar_Projetos!K123</f>
        <v>427882.3361317995</v>
      </c>
      <c r="AC123" s="18">
        <f ca="1">IF(Z123-AA123-AB123&gt;Investimentos!$C$14,Investimentos!$C$14,IF(Z123-AA123-AB123&lt;Investimentos!$C$14,Z123-AA123-AB123,0))</f>
        <v>300000</v>
      </c>
      <c r="AD123" s="18">
        <f t="shared" ca="1" si="15"/>
        <v>6061086.254085876</v>
      </c>
      <c r="AE123" s="18"/>
    </row>
    <row r="124" spans="1:31" x14ac:dyDescent="0.2">
      <c r="A124" s="4">
        <v>49369</v>
      </c>
      <c r="B124" s="5" t="str">
        <f t="shared" si="11"/>
        <v>março</v>
      </c>
      <c r="C124" s="5" t="str">
        <f t="shared" si="18"/>
        <v>2035</v>
      </c>
      <c r="D124" s="5">
        <f>SUMIFS(Despesas!$F:$F,Despesas!$J:$J,"&lt;="&amp;$A124,Despesas!$L:$L,"&gt;="&amp;$A124,Despesas!$C:$C,D$1,Despesas!$M:$M,"Mensal")+SUMIFS(Despesas!$F:$F,Despesas!$J:$J,"&lt;="&amp;$A124,Despesas!$L:$L,"&gt;="&amp;$A124,Despesas!$C:$C,D$1,Despesas!$M:$M,$B124)</f>
        <v>23000</v>
      </c>
      <c r="E124" s="18">
        <f>SUMIFS(Despesas!$F:$F,Despesas!$J:$J,"&lt;="&amp;$A124,Despesas!$L:$L,"&gt;="&amp;$A124,Despesas!$C:$C,E$1,Despesas!$M:$M,"Mensal")+SUMIFS(Despesas!$F:$F,Despesas!$J:$J,"&lt;="&amp;$A124,Despesas!$L:$L,"&gt;="&amp;$A124,Despesas!$C:$C,E$1,Despesas!$M:$M,$B124)</f>
        <v>19000</v>
      </c>
      <c r="F124" s="5">
        <f>SUMIFS(Despesas!$F:$F,Despesas!$J:$J,"&lt;="&amp;$A124,Despesas!$L:$L,"&gt;="&amp;$A124,Despesas!$C:$C,F$1,Despesas!$M:$M,"Mensal")+SUMIFS(Despesas!$F:$F,Despesas!$J:$J,"&lt;="&amp;$A124,Despesas!$L:$L,"&gt;="&amp;$A124,Despesas!$C:$C,F$1,Despesas!$M:$M,$B124)</f>
        <v>13000</v>
      </c>
      <c r="G124" s="5">
        <f>SUMIFS(Despesas!$F:$F,Despesas!$J:$J,"&lt;="&amp;$A124,Despesas!$L:$L,"&gt;="&amp;$A124,Despesas!$C:$C,G$1,Despesas!$M:$M,"Mensal")+SUMIFS(Despesas!$F:$F,Despesas!$J:$J,"&lt;="&amp;$A124,Despesas!$L:$L,"&gt;="&amp;$A124,Despesas!$C:$C,G$1,Despesas!$M:$M,$B124)</f>
        <v>0</v>
      </c>
      <c r="H124" s="18">
        <f>SUMIFS(Despesas!$F:$F,Despesas!$J:$J,"&lt;="&amp;$A124,Despesas!$L:$L,"&gt;="&amp;$A124,Despesas!$C:$C,H$1,Despesas!$M:$M,"Mensal")+SUMIFS(Despesas!$F:$F,Despesas!$J:$J,"&lt;="&amp;$A124,Despesas!$L:$L,"&gt;="&amp;$A124,Despesas!$C:$C,H$1,Despesas!$M:$M,$B124)</f>
        <v>1850</v>
      </c>
      <c r="I124" s="18">
        <f>IF(Imóveis!$F$2="PRICE",IF(AND(Dados!$A124&gt;=Imóveis!$Q$2,Dados!$A124&lt;=Imóveis!$T$2),Imóveis!$U$2,0),IF((IF(AND(Dados!$A124&gt;=Imóveis!$Q$2,Dados!$A124&lt;=Imóveis!$T$2),Imóveis!$S$2-(DATEDIF(Imóveis!$Q$2,Dados!$A124,"m")),0))=0,0,((Imóveis!$N$2/Imóveis!$S$2)+((Imóveis!$N$2-((Imóveis!$S$2-(IF(AND(Dados!$A124&gt;=Imóveis!$Q$2,Dados!$A124&lt;=Imóveis!$T$2),Imóveis!$S$2-(DATEDIF(Imóveis!$Q$2,Dados!$A124,"m")),)))*(Imóveis!$N$2/Imóveis!$S$2)))*Imóveis!$P$2))))*IF(AND(Imóveis!$E$2&gt;0,Dados!$A124&gt;Imóveis!$E$2),0,1)</f>
        <v>11375.001126816587</v>
      </c>
      <c r="J124" s="18">
        <f ca="1">IF(Imóveis!$F$3="PRICE",IF(AND(Dados!$A124&gt;=Imóveis!$Q$3,Dados!$A124&lt;=Imóveis!$T$3),Imóveis!$U$3,0),IF((IF(AND(Dados!$A124&gt;=Imóveis!$Q$3,Dados!$A124&lt;=Imóveis!$T$3),Imóveis!$S$3-(DATEDIF(Imóveis!$Q$3,Dados!$A124,"m")),0))=0,0,((Imóveis!$N$3/Imóveis!$S$3)+((Imóveis!$N$3-((Imóveis!$S$3-(IF(AND(Dados!$A124&gt;=Imóveis!$Q$3,Dados!$A124&lt;=Imóveis!$T$3),Imóveis!$S$3-(DATEDIF(Imóveis!$Q$3,Dados!$A124,"m")),)))*(Imóveis!$N$3/Imóveis!$S$3)))*Imóveis!$P$3))))*IF(AND(Imóveis!$E$3&gt;0,Dados!$A124&gt;Imóveis!$E$3),0,1)</f>
        <v>0</v>
      </c>
      <c r="K124" s="18">
        <f>IF(Imóveis!$F$4="PRICE",IF(AND(Dados!$A124&gt;=Imóveis!$Q$4,Dados!$A124&lt;=Imóveis!$T$4),Imóveis!$U$4,0),IF((IF(AND(Dados!$A124&gt;=Imóveis!$Q$4,Dados!$A124&lt;=Imóveis!$T$4),Imóveis!$S$4-(DATEDIF(Imóveis!$Q$4,Dados!$A124,"m")),0))=0,0,((Imóveis!$N$4/Imóveis!$S$4)+((Imóveis!$N$4-((Imóveis!$S$4-(IF(AND(Dados!$A124&gt;=Imóveis!$Q$4,Dados!$A124&lt;=Imóveis!$T$4),Imóveis!$S$4-(DATEDIF(Imóveis!$Q$4,Dados!$A124,"m")),)))*(Imóveis!$N$4/Imóveis!$S$4)))*Imóveis!$P$4))))*IF(AND(Imóveis!$E$4&gt;0,Dados!$A124&gt;Imóveis!$E$4),0,1)</f>
        <v>4643.949359272583</v>
      </c>
      <c r="L124" s="18">
        <f>IF(Imóveis!$F$5="PRICE",IF(AND(Dados!$A124&gt;=Imóveis!$Q$5,Dados!$A124&lt;=Imóveis!$T$5),Imóveis!$U$5,0),IF((IF(AND(Dados!$A124&gt;=Imóveis!$Q$5,Dados!$A124&lt;=Imóveis!$T$5),Imóveis!$S$5-(DATEDIF(Imóveis!$Q$5,Dados!$A124,"m")),0))=0,0,((Imóveis!$N$5/Imóveis!$S$5)+((Imóveis!$N$5-((Imóveis!$S$5-(IF(AND(Dados!$A124 &gt;=Imóveis!$Q$5,Dados!$A124&lt;=Imóveis!$T$5),Imóveis!$S$5-(DATEDIF(Imóveis!$Q$5,Dados!$A124,"m")),)))*(Imóveis!$N$5/Imóveis!$S$5)))*Imóveis!$P$5))))*IF(AND(Imóveis!$E$5&gt;0,Dados!$A124&gt;Imóveis!$E$5),0,1)*Imóveis!$I$5</f>
        <v>0</v>
      </c>
      <c r="M124" s="18">
        <f>IF(Imóveis!$F$6="PRICE",IF(AND(Dados!$A124&gt;=Imóveis!$Q$6,Dados!$A124&lt;=Imóveis!$T$6),Imóveis!$U$6,0),IF((IF(AND(Dados!$A124&gt;=Imóveis!$Q$6,Dados!$A124&lt;=Imóveis!$T$6),Imóveis!$S$6-(DATEDIF(Imóveis!$Q$6,Dados!$A124,"m")),0))=0,0,((Imóveis!$N$6/Imóveis!$S$6)+((Imóveis!$N$6-((Imóveis!$S$6-(IF(AND(Dados!$A124&gt;=Imóveis!$Q$6,Dados!$A124&lt;=Imóveis!$T$6),Imóveis!$S$6-(DATEDIF(Imóveis!$Q$6,Dados!$A124,"m")),)))*(Imóveis!$N$6/Imóveis!$S$6)))*Imóveis!$P$6))))*IF(AND(Imóveis!$E$6&gt;0,Dados!$A124&gt;Imóveis!$E$6),0,1)*Imóveis!$I$6</f>
        <v>0</v>
      </c>
      <c r="N124" s="18">
        <f t="shared" ca="1" si="12"/>
        <v>72868.950486089161</v>
      </c>
      <c r="O124" s="18">
        <f>SUMIFS(Receitas!$F:$F,Receitas!$J:$J,"&lt;="&amp;$A124,Receitas!$L:$L,"&gt;="&amp;$A124,Receitas!$C:$C,O$1,Receitas!$M:$M,"Mensal")+SUMIFS(Receitas!$F:$F,Receitas!$J:$J,"&lt;="&amp;$A124,Receitas!$L:$L,"&gt;="&amp;$A124,Receitas!$C:$C,O$1,Receitas!$M:$M,$B124)</f>
        <v>50000</v>
      </c>
      <c r="P124" s="18">
        <f>SUMIFS(Receitas!$F:$F,Receitas!$J:$J,"&lt;="&amp;$A124,Receitas!$L:$L,"&gt;="&amp;$A124,Receitas!$C:$C,P$1,Receitas!$M:$M,"Mensal")+SUMIFS(Receitas!$F:$F,Receitas!$J:$J,"&lt;="&amp;$A124,Receitas!$L:$L,"&gt;="&amp;$A124,Receitas!$C:$C,P$1,Receitas!$M:$M,$B124)</f>
        <v>20000</v>
      </c>
      <c r="Q124" s="18">
        <f>SUMIFS(Receitas!$F:$F,Receitas!$J:$J,"&lt;="&amp;$A124,Receitas!$L:$L,"&gt;="&amp;$A124,Receitas!$C:$C,Q$1,Receitas!$M:$M,"Mensal")+SUMIFS(Receitas!$F:$F,Receitas!$J:$J,"&lt;="&amp;$A124,Receitas!$L:$L,"&gt;="&amp;$A124,Receitas!$C:$C,Q$1,Receitas!$M:$M,$B124)</f>
        <v>3950</v>
      </c>
      <c r="R124" s="18" cm="1">
        <f t="array" ref="R124">(IF(AND(Membros!$F$2="Sim",A124&lt;=MAX(Membros!$E$2:$E$5)),Membros!K$2,IF(AND(A124&gt;=Membros!J$2,A124&lt;=MAX(Membros!$E$2:$E$5)),Membros!K$2,0))+IF(AND(Membros!$F$3="Sim",A124&lt;=MAX(Membros!$E$2:$E$5)),Membros!K$3,IF(AND(A124&gt;=Membros!J$3,A124&lt;=MAX(Membros!$E$2:$E$5)),Membros!K$3,0)))*IF(AND(COUNTIFS(Tabela3[Tipo],"Provedor",Tabela3[Simulação Seguro],"Sim")=2,A124&gt;=MAX(IF(Tabela3[Tipo]="Dependente",Tabela3[Expectativa de Vida (Data)]))),0,1)</f>
        <v>0</v>
      </c>
      <c r="S124" s="18">
        <f t="shared" si="13"/>
        <v>73950</v>
      </c>
      <c r="U124" s="18">
        <f t="shared" ca="1" si="16"/>
        <v>6865709.1494536111</v>
      </c>
      <c r="V124" s="18">
        <f>SUMIF(Imóveis!E:E,Dados!A:A,Imóveis!Z:Z)-SUMIF(Imóveis!E:E,Dados!A:A,Imóveis!Y:Y)</f>
        <v>0</v>
      </c>
      <c r="W124" s="18">
        <f>-SUMIF(Projetos!N:N,A124,Projetos!F:F)</f>
        <v>0</v>
      </c>
      <c r="X124" s="18">
        <f t="shared" ca="1" si="10"/>
        <v>1081.0495139108389</v>
      </c>
      <c r="Y124" s="26">
        <f ca="1">(U124*((Indicadores_Economicos!D$2+1)^(1/12)-1))</f>
        <v>22476.545175573359</v>
      </c>
      <c r="Z124" s="18">
        <f t="shared" ca="1" si="14"/>
        <v>6889266.7441430958</v>
      </c>
      <c r="AA124" s="18">
        <f ca="1">Auxiliar_Projetos!E124</f>
        <v>76991.787857613803</v>
      </c>
      <c r="AB124" s="18">
        <f ca="1">Auxiliar_Projetos!K124</f>
        <v>429283.11155769438</v>
      </c>
      <c r="AC124" s="18">
        <f ca="1">IF(Z124-AA124-AB124&gt;Investimentos!$C$14,Investimentos!$C$14,IF(Z124-AA124-AB124&lt;Investimentos!$C$14,Z124-AA124-AB124,0))</f>
        <v>300000</v>
      </c>
      <c r="AD124" s="18">
        <f t="shared" ca="1" si="15"/>
        <v>6082991.8447277881</v>
      </c>
      <c r="AE124" s="18"/>
    </row>
    <row r="125" spans="1:31" x14ac:dyDescent="0.2">
      <c r="A125" s="4">
        <v>49400</v>
      </c>
      <c r="B125" s="5" t="str">
        <f t="shared" si="11"/>
        <v>abril</v>
      </c>
      <c r="C125" s="5" t="str">
        <f t="shared" si="18"/>
        <v>2035</v>
      </c>
      <c r="D125" s="5">
        <f>SUMIFS(Despesas!$F:$F,Despesas!$J:$J,"&lt;="&amp;$A125,Despesas!$L:$L,"&gt;="&amp;$A125,Despesas!$C:$C,D$1,Despesas!$M:$M,"Mensal")+SUMIFS(Despesas!$F:$F,Despesas!$J:$J,"&lt;="&amp;$A125,Despesas!$L:$L,"&gt;="&amp;$A125,Despesas!$C:$C,D$1,Despesas!$M:$M,$B125)</f>
        <v>23000</v>
      </c>
      <c r="E125" s="18">
        <f>SUMIFS(Despesas!$F:$F,Despesas!$J:$J,"&lt;="&amp;$A125,Despesas!$L:$L,"&gt;="&amp;$A125,Despesas!$C:$C,E$1,Despesas!$M:$M,"Mensal")+SUMIFS(Despesas!$F:$F,Despesas!$J:$J,"&lt;="&amp;$A125,Despesas!$L:$L,"&gt;="&amp;$A125,Despesas!$C:$C,E$1,Despesas!$M:$M,$B125)</f>
        <v>19000</v>
      </c>
      <c r="F125" s="5">
        <f>SUMIFS(Despesas!$F:$F,Despesas!$J:$J,"&lt;="&amp;$A125,Despesas!$L:$L,"&gt;="&amp;$A125,Despesas!$C:$C,F$1,Despesas!$M:$M,"Mensal")+SUMIFS(Despesas!$F:$F,Despesas!$J:$J,"&lt;="&amp;$A125,Despesas!$L:$L,"&gt;="&amp;$A125,Despesas!$C:$C,F$1,Despesas!$M:$M,$B125)</f>
        <v>13000</v>
      </c>
      <c r="G125" s="5">
        <f>SUMIFS(Despesas!$F:$F,Despesas!$J:$J,"&lt;="&amp;$A125,Despesas!$L:$L,"&gt;="&amp;$A125,Despesas!$C:$C,G$1,Despesas!$M:$M,"Mensal")+SUMIFS(Despesas!$F:$F,Despesas!$J:$J,"&lt;="&amp;$A125,Despesas!$L:$L,"&gt;="&amp;$A125,Despesas!$C:$C,G$1,Despesas!$M:$M,$B125)</f>
        <v>0</v>
      </c>
      <c r="H125" s="18">
        <f>SUMIFS(Despesas!$F:$F,Despesas!$J:$J,"&lt;="&amp;$A125,Despesas!$L:$L,"&gt;="&amp;$A125,Despesas!$C:$C,H$1,Despesas!$M:$M,"Mensal")+SUMIFS(Despesas!$F:$F,Despesas!$J:$J,"&lt;="&amp;$A125,Despesas!$L:$L,"&gt;="&amp;$A125,Despesas!$C:$C,H$1,Despesas!$M:$M,$B125)</f>
        <v>1850</v>
      </c>
      <c r="I125" s="18">
        <f>IF(Imóveis!$F$2="PRICE",IF(AND(Dados!$A125&gt;=Imóveis!$Q$2,Dados!$A125&lt;=Imóveis!$T$2),Imóveis!$U$2,0),IF((IF(AND(Dados!$A125&gt;=Imóveis!$Q$2,Dados!$A125&lt;=Imóveis!$T$2),Imóveis!$S$2-(DATEDIF(Imóveis!$Q$2,Dados!$A125,"m")),0))=0,0,((Imóveis!$N$2/Imóveis!$S$2)+((Imóveis!$N$2-((Imóveis!$S$2-(IF(AND(Dados!$A125&gt;=Imóveis!$Q$2,Dados!$A125&lt;=Imóveis!$T$2),Imóveis!$S$2-(DATEDIF(Imóveis!$Q$2,Dados!$A125,"m")),)))*(Imóveis!$N$2/Imóveis!$S$2)))*Imóveis!$P$2))))*IF(AND(Imóveis!$E$2&gt;0,Dados!$A125&gt;Imóveis!$E$2),0,1)</f>
        <v>11312.980034591779</v>
      </c>
      <c r="J125" s="18">
        <f ca="1">IF(Imóveis!$F$3="PRICE",IF(AND(Dados!$A125&gt;=Imóveis!$Q$3,Dados!$A125&lt;=Imóveis!$T$3),Imóveis!$U$3,0),IF((IF(AND(Dados!$A125&gt;=Imóveis!$Q$3,Dados!$A125&lt;=Imóveis!$T$3),Imóveis!$S$3-(DATEDIF(Imóveis!$Q$3,Dados!$A125,"m")),0))=0,0,((Imóveis!$N$3/Imóveis!$S$3)+((Imóveis!$N$3-((Imóveis!$S$3-(IF(AND(Dados!$A125&gt;=Imóveis!$Q$3,Dados!$A125&lt;=Imóveis!$T$3),Imóveis!$S$3-(DATEDIF(Imóveis!$Q$3,Dados!$A125,"m")),)))*(Imóveis!$N$3/Imóveis!$S$3)))*Imóveis!$P$3))))*IF(AND(Imóveis!$E$3&gt;0,Dados!$A125&gt;Imóveis!$E$3),0,1)</f>
        <v>0</v>
      </c>
      <c r="K125" s="18">
        <f>IF(Imóveis!$F$4="PRICE",IF(AND(Dados!$A125&gt;=Imóveis!$Q$4,Dados!$A125&lt;=Imóveis!$T$4),Imóveis!$U$4,0),IF((IF(AND(Dados!$A125&gt;=Imóveis!$Q$4,Dados!$A125&lt;=Imóveis!$T$4),Imóveis!$S$4-(DATEDIF(Imóveis!$Q$4,Dados!$A125,"m")),0))=0,0,((Imóveis!$N$4/Imóveis!$S$4)+((Imóveis!$N$4-((Imóveis!$S$4-(IF(AND(Dados!$A125&gt;=Imóveis!$Q$4,Dados!$A125&lt;=Imóveis!$T$4),Imóveis!$S$4-(DATEDIF(Imóveis!$Q$4,Dados!$A125,"m")),)))*(Imóveis!$N$4/Imóveis!$S$4)))*Imóveis!$P$4))))*IF(AND(Imóveis!$E$4&gt;0,Dados!$A125&gt;Imóveis!$E$4),0,1)</f>
        <v>4643.949359272583</v>
      </c>
      <c r="L125" s="18">
        <f>IF(Imóveis!$F$5="PRICE",IF(AND(Dados!$A125&gt;=Imóveis!$Q$5,Dados!$A125&lt;=Imóveis!$T$5),Imóveis!$U$5,0),IF((IF(AND(Dados!$A125&gt;=Imóveis!$Q$5,Dados!$A125&lt;=Imóveis!$T$5),Imóveis!$S$5-(DATEDIF(Imóveis!$Q$5,Dados!$A125,"m")),0))=0,0,((Imóveis!$N$5/Imóveis!$S$5)+((Imóveis!$N$5-((Imóveis!$S$5-(IF(AND(Dados!$A125 &gt;=Imóveis!$Q$5,Dados!$A125&lt;=Imóveis!$T$5),Imóveis!$S$5-(DATEDIF(Imóveis!$Q$5,Dados!$A125,"m")),)))*(Imóveis!$N$5/Imóveis!$S$5)))*Imóveis!$P$5))))*IF(AND(Imóveis!$E$5&gt;0,Dados!$A125&gt;Imóveis!$E$5),0,1)*Imóveis!$I$5</f>
        <v>0</v>
      </c>
      <c r="M125" s="18">
        <f>IF(Imóveis!$F$6="PRICE",IF(AND(Dados!$A125&gt;=Imóveis!$Q$6,Dados!$A125&lt;=Imóveis!$T$6),Imóveis!$U$6,0),IF((IF(AND(Dados!$A125&gt;=Imóveis!$Q$6,Dados!$A125&lt;=Imóveis!$T$6),Imóveis!$S$6-(DATEDIF(Imóveis!$Q$6,Dados!$A125,"m")),0))=0,0,((Imóveis!$N$6/Imóveis!$S$6)+((Imóveis!$N$6-((Imóveis!$S$6-(IF(AND(Dados!$A125&gt;=Imóveis!$Q$6,Dados!$A125&lt;=Imóveis!$T$6),Imóveis!$S$6-(DATEDIF(Imóveis!$Q$6,Dados!$A125,"m")),)))*(Imóveis!$N$6/Imóveis!$S$6)))*Imóveis!$P$6))))*IF(AND(Imóveis!$E$6&gt;0,Dados!$A125&gt;Imóveis!$E$6),0,1)*Imóveis!$I$6</f>
        <v>0</v>
      </c>
      <c r="N125" s="18">
        <f t="shared" ca="1" si="12"/>
        <v>72806.929393864353</v>
      </c>
      <c r="O125" s="18">
        <f>SUMIFS(Receitas!$F:$F,Receitas!$J:$J,"&lt;="&amp;$A125,Receitas!$L:$L,"&gt;="&amp;$A125,Receitas!$C:$C,O$1,Receitas!$M:$M,"Mensal")+SUMIFS(Receitas!$F:$F,Receitas!$J:$J,"&lt;="&amp;$A125,Receitas!$L:$L,"&gt;="&amp;$A125,Receitas!$C:$C,O$1,Receitas!$M:$M,$B125)</f>
        <v>50000</v>
      </c>
      <c r="P125" s="18">
        <f>SUMIFS(Receitas!$F:$F,Receitas!$J:$J,"&lt;="&amp;$A125,Receitas!$L:$L,"&gt;="&amp;$A125,Receitas!$C:$C,P$1,Receitas!$M:$M,"Mensal")+SUMIFS(Receitas!$F:$F,Receitas!$J:$J,"&lt;="&amp;$A125,Receitas!$L:$L,"&gt;="&amp;$A125,Receitas!$C:$C,P$1,Receitas!$M:$M,$B125)</f>
        <v>85000</v>
      </c>
      <c r="Q125" s="18">
        <f>SUMIFS(Receitas!$F:$F,Receitas!$J:$J,"&lt;="&amp;$A125,Receitas!$L:$L,"&gt;="&amp;$A125,Receitas!$C:$C,Q$1,Receitas!$M:$M,"Mensal")+SUMIFS(Receitas!$F:$F,Receitas!$J:$J,"&lt;="&amp;$A125,Receitas!$L:$L,"&gt;="&amp;$A125,Receitas!$C:$C,Q$1,Receitas!$M:$M,$B125)</f>
        <v>3950</v>
      </c>
      <c r="R125" s="18" cm="1">
        <f t="array" ref="R125">(IF(AND(Membros!$F$2="Sim",A125&lt;=MAX(Membros!$E$2:$E$5)),Membros!K$2,IF(AND(A125&gt;=Membros!J$2,A125&lt;=MAX(Membros!$E$2:$E$5)),Membros!K$2,0))+IF(AND(Membros!$F$3="Sim",A125&lt;=MAX(Membros!$E$2:$E$5)),Membros!K$3,IF(AND(A125&gt;=Membros!J$3,A125&lt;=MAX(Membros!$E$2:$E$5)),Membros!K$3,0)))*IF(AND(COUNTIFS(Tabela3[Tipo],"Provedor",Tabela3[Simulação Seguro],"Sim")=2,A125&gt;=MAX(IF(Tabela3[Tipo]="Dependente",Tabela3[Expectativa de Vida (Data)]))),0,1)</f>
        <v>0</v>
      </c>
      <c r="S125" s="18">
        <f t="shared" si="13"/>
        <v>138950</v>
      </c>
      <c r="U125" s="18">
        <f t="shared" ca="1" si="16"/>
        <v>6889266.7441430958</v>
      </c>
      <c r="V125" s="18">
        <f>SUMIF(Imóveis!E:E,Dados!A:A,Imóveis!Z:Z)-SUMIF(Imóveis!E:E,Dados!A:A,Imóveis!Y:Y)</f>
        <v>0</v>
      </c>
      <c r="W125" s="18">
        <f>-SUMIF(Projetos!N:N,A125,Projetos!F:F)</f>
        <v>0</v>
      </c>
      <c r="X125" s="18">
        <f t="shared" ca="1" si="10"/>
        <v>66143.070606135647</v>
      </c>
      <c r="Y125" s="26">
        <f ca="1">(U125*((Indicadores_Economicos!D$2+1)^(1/12)-1))</f>
        <v>22553.666610481243</v>
      </c>
      <c r="Z125" s="18">
        <f t="shared" ca="1" si="14"/>
        <v>6977963.4813597128</v>
      </c>
      <c r="AA125" s="18">
        <f ca="1">Auxiliar_Projetos!E125</f>
        <v>77243.838936425891</v>
      </c>
      <c r="AB125" s="18">
        <f ca="1">Auxiliar_Projetos!K125</f>
        <v>430688.47275782697</v>
      </c>
      <c r="AC125" s="18">
        <f ca="1">IF(Z125-AA125-AB125&gt;Investimentos!$C$14,Investimentos!$C$14,IF(Z125-AA125-AB125&lt;Investimentos!$C$14,Z125-AA125-AB125,0))</f>
        <v>300000</v>
      </c>
      <c r="AD125" s="18">
        <f t="shared" ca="1" si="15"/>
        <v>6170031.1696654605</v>
      </c>
      <c r="AE125" s="18"/>
    </row>
    <row r="126" spans="1:31" x14ac:dyDescent="0.2">
      <c r="A126" s="4">
        <v>49430</v>
      </c>
      <c r="B126" s="5" t="str">
        <f t="shared" si="11"/>
        <v>maio</v>
      </c>
      <c r="C126" s="5" t="str">
        <f t="shared" si="18"/>
        <v>2035</v>
      </c>
      <c r="D126" s="5">
        <f>SUMIFS(Despesas!$F:$F,Despesas!$J:$J,"&lt;="&amp;$A126,Despesas!$L:$L,"&gt;="&amp;$A126,Despesas!$C:$C,D$1,Despesas!$M:$M,"Mensal")+SUMIFS(Despesas!$F:$F,Despesas!$J:$J,"&lt;="&amp;$A126,Despesas!$L:$L,"&gt;="&amp;$A126,Despesas!$C:$C,D$1,Despesas!$M:$M,$B126)</f>
        <v>23000</v>
      </c>
      <c r="E126" s="18">
        <f>SUMIFS(Despesas!$F:$F,Despesas!$J:$J,"&lt;="&amp;$A126,Despesas!$L:$L,"&gt;="&amp;$A126,Despesas!$C:$C,E$1,Despesas!$M:$M,"Mensal")+SUMIFS(Despesas!$F:$F,Despesas!$J:$J,"&lt;="&amp;$A126,Despesas!$L:$L,"&gt;="&amp;$A126,Despesas!$C:$C,E$1,Despesas!$M:$M,$B126)</f>
        <v>19000</v>
      </c>
      <c r="F126" s="5">
        <f>SUMIFS(Despesas!$F:$F,Despesas!$J:$J,"&lt;="&amp;$A126,Despesas!$L:$L,"&gt;="&amp;$A126,Despesas!$C:$C,F$1,Despesas!$M:$M,"Mensal")+SUMIFS(Despesas!$F:$F,Despesas!$J:$J,"&lt;="&amp;$A126,Despesas!$L:$L,"&gt;="&amp;$A126,Despesas!$C:$C,F$1,Despesas!$M:$M,$B126)</f>
        <v>13000</v>
      </c>
      <c r="G126" s="5">
        <f>SUMIFS(Despesas!$F:$F,Despesas!$J:$J,"&lt;="&amp;$A126,Despesas!$L:$L,"&gt;="&amp;$A126,Despesas!$C:$C,G$1,Despesas!$M:$M,"Mensal")+SUMIFS(Despesas!$F:$F,Despesas!$J:$J,"&lt;="&amp;$A126,Despesas!$L:$L,"&gt;="&amp;$A126,Despesas!$C:$C,G$1,Despesas!$M:$M,$B126)</f>
        <v>0</v>
      </c>
      <c r="H126" s="18">
        <f>SUMIFS(Despesas!$F:$F,Despesas!$J:$J,"&lt;="&amp;$A126,Despesas!$L:$L,"&gt;="&amp;$A126,Despesas!$C:$C,H$1,Despesas!$M:$M,"Mensal")+SUMIFS(Despesas!$F:$F,Despesas!$J:$J,"&lt;="&amp;$A126,Despesas!$L:$L,"&gt;="&amp;$A126,Despesas!$C:$C,H$1,Despesas!$M:$M,$B126)</f>
        <v>1850</v>
      </c>
      <c r="I126" s="18">
        <f>IF(Imóveis!$F$2="PRICE",IF(AND(Dados!$A126&gt;=Imóveis!$Q$2,Dados!$A126&lt;=Imóveis!$T$2),Imóveis!$U$2,0),IF((IF(AND(Dados!$A126&gt;=Imóveis!$Q$2,Dados!$A126&lt;=Imóveis!$T$2),Imóveis!$S$2-(DATEDIF(Imóveis!$Q$2,Dados!$A126,"m")),0))=0,0,((Imóveis!$N$2/Imóveis!$S$2)+((Imóveis!$N$2-((Imóveis!$S$2-(IF(AND(Dados!$A126&gt;=Imóveis!$Q$2,Dados!$A126&lt;=Imóveis!$T$2),Imóveis!$S$2-(DATEDIF(Imóveis!$Q$2,Dados!$A126,"m")),)))*(Imóveis!$N$2/Imóveis!$S$2)))*Imóveis!$P$2))))*IF(AND(Imóveis!$E$2&gt;0,Dados!$A126&gt;Imóveis!$E$2),0,1)</f>
        <v>11250.958942366973</v>
      </c>
      <c r="J126" s="18">
        <f ca="1">IF(Imóveis!$F$3="PRICE",IF(AND(Dados!$A126&gt;=Imóveis!$Q$3,Dados!$A126&lt;=Imóveis!$T$3),Imóveis!$U$3,0),IF((IF(AND(Dados!$A126&gt;=Imóveis!$Q$3,Dados!$A126&lt;=Imóveis!$T$3),Imóveis!$S$3-(DATEDIF(Imóveis!$Q$3,Dados!$A126,"m")),0))=0,0,((Imóveis!$N$3/Imóveis!$S$3)+((Imóveis!$N$3-((Imóveis!$S$3-(IF(AND(Dados!$A126&gt;=Imóveis!$Q$3,Dados!$A126&lt;=Imóveis!$T$3),Imóveis!$S$3-(DATEDIF(Imóveis!$Q$3,Dados!$A126,"m")),)))*(Imóveis!$N$3/Imóveis!$S$3)))*Imóveis!$P$3))))*IF(AND(Imóveis!$E$3&gt;0,Dados!$A126&gt;Imóveis!$E$3),0,1)</f>
        <v>0</v>
      </c>
      <c r="K126" s="18">
        <f>IF(Imóveis!$F$4="PRICE",IF(AND(Dados!$A126&gt;=Imóveis!$Q$4,Dados!$A126&lt;=Imóveis!$T$4),Imóveis!$U$4,0),IF((IF(AND(Dados!$A126&gt;=Imóveis!$Q$4,Dados!$A126&lt;=Imóveis!$T$4),Imóveis!$S$4-(DATEDIF(Imóveis!$Q$4,Dados!$A126,"m")),0))=0,0,((Imóveis!$N$4/Imóveis!$S$4)+((Imóveis!$N$4-((Imóveis!$S$4-(IF(AND(Dados!$A126&gt;=Imóveis!$Q$4,Dados!$A126&lt;=Imóveis!$T$4),Imóveis!$S$4-(DATEDIF(Imóveis!$Q$4,Dados!$A126,"m")),)))*(Imóveis!$N$4/Imóveis!$S$4)))*Imóveis!$P$4))))*IF(AND(Imóveis!$E$4&gt;0,Dados!$A126&gt;Imóveis!$E$4),0,1)</f>
        <v>4643.949359272583</v>
      </c>
      <c r="L126" s="18">
        <f>IF(Imóveis!$F$5="PRICE",IF(AND(Dados!$A126&gt;=Imóveis!$Q$5,Dados!$A126&lt;=Imóveis!$T$5),Imóveis!$U$5,0),IF((IF(AND(Dados!$A126&gt;=Imóveis!$Q$5,Dados!$A126&lt;=Imóveis!$T$5),Imóveis!$S$5-(DATEDIF(Imóveis!$Q$5,Dados!$A126,"m")),0))=0,0,((Imóveis!$N$5/Imóveis!$S$5)+((Imóveis!$N$5-((Imóveis!$S$5-(IF(AND(Dados!$A126 &gt;=Imóveis!$Q$5,Dados!$A126&lt;=Imóveis!$T$5),Imóveis!$S$5-(DATEDIF(Imóveis!$Q$5,Dados!$A126,"m")),)))*(Imóveis!$N$5/Imóveis!$S$5)))*Imóveis!$P$5))))*IF(AND(Imóveis!$E$5&gt;0,Dados!$A126&gt;Imóveis!$E$5),0,1)*Imóveis!$I$5</f>
        <v>0</v>
      </c>
      <c r="M126" s="18">
        <f>IF(Imóveis!$F$6="PRICE",IF(AND(Dados!$A126&gt;=Imóveis!$Q$6,Dados!$A126&lt;=Imóveis!$T$6),Imóveis!$U$6,0),IF((IF(AND(Dados!$A126&gt;=Imóveis!$Q$6,Dados!$A126&lt;=Imóveis!$T$6),Imóveis!$S$6-(DATEDIF(Imóveis!$Q$6,Dados!$A126,"m")),0))=0,0,((Imóveis!$N$6/Imóveis!$S$6)+((Imóveis!$N$6-((Imóveis!$S$6-(IF(AND(Dados!$A126&gt;=Imóveis!$Q$6,Dados!$A126&lt;=Imóveis!$T$6),Imóveis!$S$6-(DATEDIF(Imóveis!$Q$6,Dados!$A126,"m")),)))*(Imóveis!$N$6/Imóveis!$S$6)))*Imóveis!$P$6))))*IF(AND(Imóveis!$E$6&gt;0,Dados!$A126&gt;Imóveis!$E$6),0,1)*Imóveis!$I$6</f>
        <v>0</v>
      </c>
      <c r="N126" s="18">
        <f t="shared" ca="1" si="12"/>
        <v>72744.908301639545</v>
      </c>
      <c r="O126" s="18">
        <f>SUMIFS(Receitas!$F:$F,Receitas!$J:$J,"&lt;="&amp;$A126,Receitas!$L:$L,"&gt;="&amp;$A126,Receitas!$C:$C,O$1,Receitas!$M:$M,"Mensal")+SUMIFS(Receitas!$F:$F,Receitas!$J:$J,"&lt;="&amp;$A126,Receitas!$L:$L,"&gt;="&amp;$A126,Receitas!$C:$C,O$1,Receitas!$M:$M,$B126)</f>
        <v>50000</v>
      </c>
      <c r="P126" s="18">
        <f>SUMIFS(Receitas!$F:$F,Receitas!$J:$J,"&lt;="&amp;$A126,Receitas!$L:$L,"&gt;="&amp;$A126,Receitas!$C:$C,P$1,Receitas!$M:$M,"Mensal")+SUMIFS(Receitas!$F:$F,Receitas!$J:$J,"&lt;="&amp;$A126,Receitas!$L:$L,"&gt;="&amp;$A126,Receitas!$C:$C,P$1,Receitas!$M:$M,$B126)</f>
        <v>20000</v>
      </c>
      <c r="Q126" s="18">
        <f>SUMIFS(Receitas!$F:$F,Receitas!$J:$J,"&lt;="&amp;$A126,Receitas!$L:$L,"&gt;="&amp;$A126,Receitas!$C:$C,Q$1,Receitas!$M:$M,"Mensal")+SUMIFS(Receitas!$F:$F,Receitas!$J:$J,"&lt;="&amp;$A126,Receitas!$L:$L,"&gt;="&amp;$A126,Receitas!$C:$C,Q$1,Receitas!$M:$M,$B126)</f>
        <v>3950</v>
      </c>
      <c r="R126" s="18" cm="1">
        <f t="array" ref="R126">(IF(AND(Membros!$F$2="Sim",A126&lt;=MAX(Membros!$E$2:$E$5)),Membros!K$2,IF(AND(A126&gt;=Membros!J$2,A126&lt;=MAX(Membros!$E$2:$E$5)),Membros!K$2,0))+IF(AND(Membros!$F$3="Sim",A126&lt;=MAX(Membros!$E$2:$E$5)),Membros!K$3,IF(AND(A126&gt;=Membros!J$3,A126&lt;=MAX(Membros!$E$2:$E$5)),Membros!K$3,0)))*IF(AND(COUNTIFS(Tabela3[Tipo],"Provedor",Tabela3[Simulação Seguro],"Sim")=2,A126&gt;=MAX(IF(Tabela3[Tipo]="Dependente",Tabela3[Expectativa de Vida (Data)]))),0,1)</f>
        <v>0</v>
      </c>
      <c r="S126" s="18">
        <f t="shared" si="13"/>
        <v>73950</v>
      </c>
      <c r="U126" s="18">
        <f t="shared" ca="1" si="16"/>
        <v>6977963.4813597128</v>
      </c>
      <c r="V126" s="18">
        <f>SUMIF(Imóveis!E:E,Dados!A:A,Imóveis!Z:Z)-SUMIF(Imóveis!E:E,Dados!A:A,Imóveis!Y:Y)</f>
        <v>0</v>
      </c>
      <c r="W126" s="18">
        <f>-SUMIF(Projetos!N:N,A126,Projetos!F:F)</f>
        <v>0</v>
      </c>
      <c r="X126" s="18">
        <f t="shared" ca="1" si="10"/>
        <v>1205.0916983604548</v>
      </c>
      <c r="Y126" s="26">
        <f ca="1">(U126*((Indicadores_Economicos!D$2+1)^(1/12)-1))</f>
        <v>22844.036647658526</v>
      </c>
      <c r="Z126" s="18">
        <f t="shared" ca="1" si="14"/>
        <v>7002012.6097057322</v>
      </c>
      <c r="AA126" s="18">
        <f ca="1">Auxiliar_Projetos!E126</f>
        <v>77496.71516488184</v>
      </c>
      <c r="AB126" s="18">
        <f ca="1">Auxiliar_Projetos!K126</f>
        <v>432098.43474482873</v>
      </c>
      <c r="AC126" s="18">
        <f ca="1">IF(Z126-AA126-AB126&gt;Investimentos!$C$14,Investimentos!$C$14,IF(Z126-AA126-AB126&lt;Investimentos!$C$14,Z126-AA126-AB126,0))</f>
        <v>300000</v>
      </c>
      <c r="AD126" s="18">
        <f t="shared" ca="1" si="15"/>
        <v>6192417.4597960217</v>
      </c>
      <c r="AE126" s="18"/>
    </row>
    <row r="127" spans="1:31" x14ac:dyDescent="0.2">
      <c r="A127" s="4">
        <v>49461</v>
      </c>
      <c r="B127" s="5" t="str">
        <f t="shared" si="11"/>
        <v>junho</v>
      </c>
      <c r="C127" s="5" t="str">
        <f t="shared" si="18"/>
        <v>2035</v>
      </c>
      <c r="D127" s="5">
        <f>SUMIFS(Despesas!$F:$F,Despesas!$J:$J,"&lt;="&amp;$A127,Despesas!$L:$L,"&gt;="&amp;$A127,Despesas!$C:$C,D$1,Despesas!$M:$M,"Mensal")+SUMIFS(Despesas!$F:$F,Despesas!$J:$J,"&lt;="&amp;$A127,Despesas!$L:$L,"&gt;="&amp;$A127,Despesas!$C:$C,D$1,Despesas!$M:$M,$B127)</f>
        <v>23000</v>
      </c>
      <c r="E127" s="18">
        <f>SUMIFS(Despesas!$F:$F,Despesas!$J:$J,"&lt;="&amp;$A127,Despesas!$L:$L,"&gt;="&amp;$A127,Despesas!$C:$C,E$1,Despesas!$M:$M,"Mensal")+SUMIFS(Despesas!$F:$F,Despesas!$J:$J,"&lt;="&amp;$A127,Despesas!$L:$L,"&gt;="&amp;$A127,Despesas!$C:$C,E$1,Despesas!$M:$M,$B127)</f>
        <v>19000</v>
      </c>
      <c r="F127" s="5">
        <f>SUMIFS(Despesas!$F:$F,Despesas!$J:$J,"&lt;="&amp;$A127,Despesas!$L:$L,"&gt;="&amp;$A127,Despesas!$C:$C,F$1,Despesas!$M:$M,"Mensal")+SUMIFS(Despesas!$F:$F,Despesas!$J:$J,"&lt;="&amp;$A127,Despesas!$L:$L,"&gt;="&amp;$A127,Despesas!$C:$C,F$1,Despesas!$M:$M,$B127)</f>
        <v>13000</v>
      </c>
      <c r="G127" s="5">
        <f>SUMIFS(Despesas!$F:$F,Despesas!$J:$J,"&lt;="&amp;$A127,Despesas!$L:$L,"&gt;="&amp;$A127,Despesas!$C:$C,G$1,Despesas!$M:$M,"Mensal")+SUMIFS(Despesas!$F:$F,Despesas!$J:$J,"&lt;="&amp;$A127,Despesas!$L:$L,"&gt;="&amp;$A127,Despesas!$C:$C,G$1,Despesas!$M:$M,$B127)</f>
        <v>0</v>
      </c>
      <c r="H127" s="18">
        <f>SUMIFS(Despesas!$F:$F,Despesas!$J:$J,"&lt;="&amp;$A127,Despesas!$L:$L,"&gt;="&amp;$A127,Despesas!$C:$C,H$1,Despesas!$M:$M,"Mensal")+SUMIFS(Despesas!$F:$F,Despesas!$J:$J,"&lt;="&amp;$A127,Despesas!$L:$L,"&gt;="&amp;$A127,Despesas!$C:$C,H$1,Despesas!$M:$M,$B127)</f>
        <v>1850</v>
      </c>
      <c r="I127" s="18">
        <f>IF(Imóveis!$F$2="PRICE",IF(AND(Dados!$A127&gt;=Imóveis!$Q$2,Dados!$A127&lt;=Imóveis!$T$2),Imóveis!$U$2,0),IF((IF(AND(Dados!$A127&gt;=Imóveis!$Q$2,Dados!$A127&lt;=Imóveis!$T$2),Imóveis!$S$2-(DATEDIF(Imóveis!$Q$2,Dados!$A127,"m")),0))=0,0,((Imóveis!$N$2/Imóveis!$S$2)+((Imóveis!$N$2-((Imóveis!$S$2-(IF(AND(Dados!$A127&gt;=Imóveis!$Q$2,Dados!$A127&lt;=Imóveis!$T$2),Imóveis!$S$2-(DATEDIF(Imóveis!$Q$2,Dados!$A127,"m")),)))*(Imóveis!$N$2/Imóveis!$S$2)))*Imóveis!$P$2))))*IF(AND(Imóveis!$E$2&gt;0,Dados!$A127&gt;Imóveis!$E$2),0,1)</f>
        <v>11188.937850142167</v>
      </c>
      <c r="J127" s="18">
        <f ca="1">IF(Imóveis!$F$3="PRICE",IF(AND(Dados!$A127&gt;=Imóveis!$Q$3,Dados!$A127&lt;=Imóveis!$T$3),Imóveis!$U$3,0),IF((IF(AND(Dados!$A127&gt;=Imóveis!$Q$3,Dados!$A127&lt;=Imóveis!$T$3),Imóveis!$S$3-(DATEDIF(Imóveis!$Q$3,Dados!$A127,"m")),0))=0,0,((Imóveis!$N$3/Imóveis!$S$3)+((Imóveis!$N$3-((Imóveis!$S$3-(IF(AND(Dados!$A127&gt;=Imóveis!$Q$3,Dados!$A127&lt;=Imóveis!$T$3),Imóveis!$S$3-(DATEDIF(Imóveis!$Q$3,Dados!$A127,"m")),)))*(Imóveis!$N$3/Imóveis!$S$3)))*Imóveis!$P$3))))*IF(AND(Imóveis!$E$3&gt;0,Dados!$A127&gt;Imóveis!$E$3),0,1)</f>
        <v>0</v>
      </c>
      <c r="K127" s="18">
        <f>IF(Imóveis!$F$4="PRICE",IF(AND(Dados!$A127&gt;=Imóveis!$Q$4,Dados!$A127&lt;=Imóveis!$T$4),Imóveis!$U$4,0),IF((IF(AND(Dados!$A127&gt;=Imóveis!$Q$4,Dados!$A127&lt;=Imóveis!$T$4),Imóveis!$S$4-(DATEDIF(Imóveis!$Q$4,Dados!$A127,"m")),0))=0,0,((Imóveis!$N$4/Imóveis!$S$4)+((Imóveis!$N$4-((Imóveis!$S$4-(IF(AND(Dados!$A127&gt;=Imóveis!$Q$4,Dados!$A127&lt;=Imóveis!$T$4),Imóveis!$S$4-(DATEDIF(Imóveis!$Q$4,Dados!$A127,"m")),)))*(Imóveis!$N$4/Imóveis!$S$4)))*Imóveis!$P$4))))*IF(AND(Imóveis!$E$4&gt;0,Dados!$A127&gt;Imóveis!$E$4),0,1)</f>
        <v>4643.949359272583</v>
      </c>
      <c r="L127" s="18">
        <f>IF(Imóveis!$F$5="PRICE",IF(AND(Dados!$A127&gt;=Imóveis!$Q$5,Dados!$A127&lt;=Imóveis!$T$5),Imóveis!$U$5,0),IF((IF(AND(Dados!$A127&gt;=Imóveis!$Q$5,Dados!$A127&lt;=Imóveis!$T$5),Imóveis!$S$5-(DATEDIF(Imóveis!$Q$5,Dados!$A127,"m")),0))=0,0,((Imóveis!$N$5/Imóveis!$S$5)+((Imóveis!$N$5-((Imóveis!$S$5-(IF(AND(Dados!$A127 &gt;=Imóveis!$Q$5,Dados!$A127&lt;=Imóveis!$T$5),Imóveis!$S$5-(DATEDIF(Imóveis!$Q$5,Dados!$A127,"m")),)))*(Imóveis!$N$5/Imóveis!$S$5)))*Imóveis!$P$5))))*IF(AND(Imóveis!$E$5&gt;0,Dados!$A127&gt;Imóveis!$E$5),0,1)*Imóveis!$I$5</f>
        <v>0</v>
      </c>
      <c r="M127" s="18">
        <f>IF(Imóveis!$F$6="PRICE",IF(AND(Dados!$A127&gt;=Imóveis!$Q$6,Dados!$A127&lt;=Imóveis!$T$6),Imóveis!$U$6,0),IF((IF(AND(Dados!$A127&gt;=Imóveis!$Q$6,Dados!$A127&lt;=Imóveis!$T$6),Imóveis!$S$6-(DATEDIF(Imóveis!$Q$6,Dados!$A127,"m")),0))=0,0,((Imóveis!$N$6/Imóveis!$S$6)+((Imóveis!$N$6-((Imóveis!$S$6-(IF(AND(Dados!$A127&gt;=Imóveis!$Q$6,Dados!$A127&lt;=Imóveis!$T$6),Imóveis!$S$6-(DATEDIF(Imóveis!$Q$6,Dados!$A127,"m")),)))*(Imóveis!$N$6/Imóveis!$S$6)))*Imóveis!$P$6))))*IF(AND(Imóveis!$E$6&gt;0,Dados!$A127&gt;Imóveis!$E$6),0,1)*Imóveis!$I$6</f>
        <v>0</v>
      </c>
      <c r="N127" s="18">
        <f t="shared" ca="1" si="12"/>
        <v>72682.887209414737</v>
      </c>
      <c r="O127" s="18">
        <f>SUMIFS(Receitas!$F:$F,Receitas!$J:$J,"&lt;="&amp;$A127,Receitas!$L:$L,"&gt;="&amp;$A127,Receitas!$C:$C,O$1,Receitas!$M:$M,"Mensal")+SUMIFS(Receitas!$F:$F,Receitas!$J:$J,"&lt;="&amp;$A127,Receitas!$L:$L,"&gt;="&amp;$A127,Receitas!$C:$C,O$1,Receitas!$M:$M,$B127)</f>
        <v>50000</v>
      </c>
      <c r="P127" s="18">
        <f>SUMIFS(Receitas!$F:$F,Receitas!$J:$J,"&lt;="&amp;$A127,Receitas!$L:$L,"&gt;="&amp;$A127,Receitas!$C:$C,P$1,Receitas!$M:$M,"Mensal")+SUMIFS(Receitas!$F:$F,Receitas!$J:$J,"&lt;="&amp;$A127,Receitas!$L:$L,"&gt;="&amp;$A127,Receitas!$C:$C,P$1,Receitas!$M:$M,$B127)</f>
        <v>20000</v>
      </c>
      <c r="Q127" s="18">
        <f>SUMIFS(Receitas!$F:$F,Receitas!$J:$J,"&lt;="&amp;$A127,Receitas!$L:$L,"&gt;="&amp;$A127,Receitas!$C:$C,Q$1,Receitas!$M:$M,"Mensal")+SUMIFS(Receitas!$F:$F,Receitas!$J:$J,"&lt;="&amp;$A127,Receitas!$L:$L,"&gt;="&amp;$A127,Receitas!$C:$C,Q$1,Receitas!$M:$M,$B127)</f>
        <v>3950</v>
      </c>
      <c r="R127" s="18" cm="1">
        <f t="array" ref="R127">(IF(AND(Membros!$F$2="Sim",A127&lt;=MAX(Membros!$E$2:$E$5)),Membros!K$2,IF(AND(A127&gt;=Membros!J$2,A127&lt;=MAX(Membros!$E$2:$E$5)),Membros!K$2,0))+IF(AND(Membros!$F$3="Sim",A127&lt;=MAX(Membros!$E$2:$E$5)),Membros!K$3,IF(AND(A127&gt;=Membros!J$3,A127&lt;=MAX(Membros!$E$2:$E$5)),Membros!K$3,0)))*IF(AND(COUNTIFS(Tabela3[Tipo],"Provedor",Tabela3[Simulação Seguro],"Sim")=2,A127&gt;=MAX(IF(Tabela3[Tipo]="Dependente",Tabela3[Expectativa de Vida (Data)]))),0,1)</f>
        <v>0</v>
      </c>
      <c r="S127" s="18">
        <f t="shared" si="13"/>
        <v>73950</v>
      </c>
      <c r="U127" s="18">
        <f t="shared" ca="1" si="16"/>
        <v>7002012.6097057322</v>
      </c>
      <c r="V127" s="18">
        <f>SUMIF(Imóveis!E:E,Dados!A:A,Imóveis!Z:Z)-SUMIF(Imóveis!E:E,Dados!A:A,Imóveis!Y:Y)</f>
        <v>0</v>
      </c>
      <c r="W127" s="18">
        <f>-SUMIF(Projetos!N:N,A127,Projetos!F:F)</f>
        <v>0</v>
      </c>
      <c r="X127" s="18">
        <f t="shared" ca="1" si="10"/>
        <v>1267.1127905852627</v>
      </c>
      <c r="Y127" s="26">
        <f ca="1">(U127*((Indicadores_Economicos!D$2+1)^(1/12)-1))</f>
        <v>22922.767235852098</v>
      </c>
      <c r="Z127" s="18">
        <f t="shared" ca="1" si="14"/>
        <v>7026202.4897321695</v>
      </c>
      <c r="AA127" s="18">
        <f ca="1">Auxiliar_Projetos!E127</f>
        <v>77750.419244306846</v>
      </c>
      <c r="AB127" s="18">
        <f ca="1">Auxiliar_Projetos!K127</f>
        <v>433513.01258047874</v>
      </c>
      <c r="AC127" s="18">
        <f ca="1">IF(Z127-AA127-AB127&gt;Investimentos!$C$14,Investimentos!$C$14,IF(Z127-AA127-AB127&lt;Investimentos!$C$14,Z127-AA127-AB127,0))</f>
        <v>300000</v>
      </c>
      <c r="AD127" s="18">
        <f t="shared" ca="1" si="15"/>
        <v>6214939.0579073839</v>
      </c>
      <c r="AE127" s="18"/>
    </row>
    <row r="128" spans="1:31" x14ac:dyDescent="0.2">
      <c r="A128" s="4">
        <v>49491</v>
      </c>
      <c r="B128" s="5" t="str">
        <f t="shared" si="11"/>
        <v>julho</v>
      </c>
      <c r="C128" s="5" t="str">
        <f t="shared" si="18"/>
        <v>2035</v>
      </c>
      <c r="D128" s="5">
        <f>SUMIFS(Despesas!$F:$F,Despesas!$J:$J,"&lt;="&amp;$A128,Despesas!$L:$L,"&gt;="&amp;$A128,Despesas!$C:$C,D$1,Despesas!$M:$M,"Mensal")+SUMIFS(Despesas!$F:$F,Despesas!$J:$J,"&lt;="&amp;$A128,Despesas!$L:$L,"&gt;="&amp;$A128,Despesas!$C:$C,D$1,Despesas!$M:$M,$B128)</f>
        <v>23000</v>
      </c>
      <c r="E128" s="18">
        <f>SUMIFS(Despesas!$F:$F,Despesas!$J:$J,"&lt;="&amp;$A128,Despesas!$L:$L,"&gt;="&amp;$A128,Despesas!$C:$C,E$1,Despesas!$M:$M,"Mensal")+SUMIFS(Despesas!$F:$F,Despesas!$J:$J,"&lt;="&amp;$A128,Despesas!$L:$L,"&gt;="&amp;$A128,Despesas!$C:$C,E$1,Despesas!$M:$M,$B128)</f>
        <v>19000</v>
      </c>
      <c r="F128" s="5">
        <f>SUMIFS(Despesas!$F:$F,Despesas!$J:$J,"&lt;="&amp;$A128,Despesas!$L:$L,"&gt;="&amp;$A128,Despesas!$C:$C,F$1,Despesas!$M:$M,"Mensal")+SUMIFS(Despesas!$F:$F,Despesas!$J:$J,"&lt;="&amp;$A128,Despesas!$L:$L,"&gt;="&amp;$A128,Despesas!$C:$C,F$1,Despesas!$M:$M,$B128)</f>
        <v>13000</v>
      </c>
      <c r="G128" s="5">
        <f ca="1">SUMIFS(Despesas!$F:$F,Despesas!$J:$J,"&lt;="&amp;$A128,Despesas!$L:$L,"&gt;="&amp;$A128,Despesas!$C:$C,G$1,Despesas!$M:$M,"Mensal")+SUMIFS(Despesas!$F:$F,Despesas!$J:$J,"&lt;="&amp;$A128,Despesas!$L:$L,"&gt;="&amp;$A128,Despesas!$C:$C,G$1,Despesas!$M:$M,$B128)</f>
        <v>55757</v>
      </c>
      <c r="H128" s="18">
        <f>SUMIFS(Despesas!$F:$F,Despesas!$J:$J,"&lt;="&amp;$A128,Despesas!$L:$L,"&gt;="&amp;$A128,Despesas!$C:$C,H$1,Despesas!$M:$M,"Mensal")+SUMIFS(Despesas!$F:$F,Despesas!$J:$J,"&lt;="&amp;$A128,Despesas!$L:$L,"&gt;="&amp;$A128,Despesas!$C:$C,H$1,Despesas!$M:$M,$B128)</f>
        <v>1850</v>
      </c>
      <c r="I128" s="18">
        <f>IF(Imóveis!$F$2="PRICE",IF(AND(Dados!$A128&gt;=Imóveis!$Q$2,Dados!$A128&lt;=Imóveis!$T$2),Imóveis!$U$2,0),IF((IF(AND(Dados!$A128&gt;=Imóveis!$Q$2,Dados!$A128&lt;=Imóveis!$T$2),Imóveis!$S$2-(DATEDIF(Imóveis!$Q$2,Dados!$A128,"m")),0))=0,0,((Imóveis!$N$2/Imóveis!$S$2)+((Imóveis!$N$2-((Imóveis!$S$2-(IF(AND(Dados!$A128&gt;=Imóveis!$Q$2,Dados!$A128&lt;=Imóveis!$T$2),Imóveis!$S$2-(DATEDIF(Imóveis!$Q$2,Dados!$A128,"m")),)))*(Imóveis!$N$2/Imóveis!$S$2)))*Imóveis!$P$2))))*IF(AND(Imóveis!$E$2&gt;0,Dados!$A128&gt;Imóveis!$E$2),0,1)</f>
        <v>11126.916757917359</v>
      </c>
      <c r="J128" s="18">
        <f ca="1">IF(Imóveis!$F$3="PRICE",IF(AND(Dados!$A128&gt;=Imóveis!$Q$3,Dados!$A128&lt;=Imóveis!$T$3),Imóveis!$U$3,0),IF((IF(AND(Dados!$A128&gt;=Imóveis!$Q$3,Dados!$A128&lt;=Imóveis!$T$3),Imóveis!$S$3-(DATEDIF(Imóveis!$Q$3,Dados!$A128,"m")),0))=0,0,((Imóveis!$N$3/Imóveis!$S$3)+((Imóveis!$N$3-((Imóveis!$S$3-(IF(AND(Dados!$A128&gt;=Imóveis!$Q$3,Dados!$A128&lt;=Imóveis!$T$3),Imóveis!$S$3-(DATEDIF(Imóveis!$Q$3,Dados!$A128,"m")),)))*(Imóveis!$N$3/Imóveis!$S$3)))*Imóveis!$P$3))))*IF(AND(Imóveis!$E$3&gt;0,Dados!$A128&gt;Imóveis!$E$3),0,1)</f>
        <v>0</v>
      </c>
      <c r="K128" s="18">
        <f>IF(Imóveis!$F$4="PRICE",IF(AND(Dados!$A128&gt;=Imóveis!$Q$4,Dados!$A128&lt;=Imóveis!$T$4),Imóveis!$U$4,0),IF((IF(AND(Dados!$A128&gt;=Imóveis!$Q$4,Dados!$A128&lt;=Imóveis!$T$4),Imóveis!$S$4-(DATEDIF(Imóveis!$Q$4,Dados!$A128,"m")),0))=0,0,((Imóveis!$N$4/Imóveis!$S$4)+((Imóveis!$N$4-((Imóveis!$S$4-(IF(AND(Dados!$A128&gt;=Imóveis!$Q$4,Dados!$A128&lt;=Imóveis!$T$4),Imóveis!$S$4-(DATEDIF(Imóveis!$Q$4,Dados!$A128,"m")),)))*(Imóveis!$N$4/Imóveis!$S$4)))*Imóveis!$P$4))))*IF(AND(Imóveis!$E$4&gt;0,Dados!$A128&gt;Imóveis!$E$4),0,1)</f>
        <v>4643.949359272583</v>
      </c>
      <c r="L128" s="18">
        <f>IF(Imóveis!$F$5="PRICE",IF(AND(Dados!$A128&gt;=Imóveis!$Q$5,Dados!$A128&lt;=Imóveis!$T$5),Imóveis!$U$5,0),IF((IF(AND(Dados!$A128&gt;=Imóveis!$Q$5,Dados!$A128&lt;=Imóveis!$T$5),Imóveis!$S$5-(DATEDIF(Imóveis!$Q$5,Dados!$A128,"m")),0))=0,0,((Imóveis!$N$5/Imóveis!$S$5)+((Imóveis!$N$5-((Imóveis!$S$5-(IF(AND(Dados!$A128 &gt;=Imóveis!$Q$5,Dados!$A128&lt;=Imóveis!$T$5),Imóveis!$S$5-(DATEDIF(Imóveis!$Q$5,Dados!$A128,"m")),)))*(Imóveis!$N$5/Imóveis!$S$5)))*Imóveis!$P$5))))*IF(AND(Imóveis!$E$5&gt;0,Dados!$A128&gt;Imóveis!$E$5),0,1)*Imóveis!$I$5</f>
        <v>0</v>
      </c>
      <c r="M128" s="18">
        <f>IF(Imóveis!$F$6="PRICE",IF(AND(Dados!$A128&gt;=Imóveis!$Q$6,Dados!$A128&lt;=Imóveis!$T$6),Imóveis!$U$6,0),IF((IF(AND(Dados!$A128&gt;=Imóveis!$Q$6,Dados!$A128&lt;=Imóveis!$T$6),Imóveis!$S$6-(DATEDIF(Imóveis!$Q$6,Dados!$A128,"m")),0))=0,0,((Imóveis!$N$6/Imóveis!$S$6)+((Imóveis!$N$6-((Imóveis!$S$6-(IF(AND(Dados!$A128&gt;=Imóveis!$Q$6,Dados!$A128&lt;=Imóveis!$T$6),Imóveis!$S$6-(DATEDIF(Imóveis!$Q$6,Dados!$A128,"m")),)))*(Imóveis!$N$6/Imóveis!$S$6)))*Imóveis!$P$6))))*IF(AND(Imóveis!$E$6&gt;0,Dados!$A128&gt;Imóveis!$E$6),0,1)*Imóveis!$I$6</f>
        <v>0</v>
      </c>
      <c r="N128" s="18">
        <f t="shared" ca="1" si="12"/>
        <v>128377.86611718993</v>
      </c>
      <c r="O128" s="18">
        <f>SUMIFS(Receitas!$F:$F,Receitas!$J:$J,"&lt;="&amp;$A128,Receitas!$L:$L,"&gt;="&amp;$A128,Receitas!$C:$C,O$1,Receitas!$M:$M,"Mensal")+SUMIFS(Receitas!$F:$F,Receitas!$J:$J,"&lt;="&amp;$A128,Receitas!$L:$L,"&gt;="&amp;$A128,Receitas!$C:$C,O$1,Receitas!$M:$M,$B128)</f>
        <v>50000</v>
      </c>
      <c r="P128" s="18">
        <f>SUMIFS(Receitas!$F:$F,Receitas!$J:$J,"&lt;="&amp;$A128,Receitas!$L:$L,"&gt;="&amp;$A128,Receitas!$C:$C,P$1,Receitas!$M:$M,"Mensal")+SUMIFS(Receitas!$F:$F,Receitas!$J:$J,"&lt;="&amp;$A128,Receitas!$L:$L,"&gt;="&amp;$A128,Receitas!$C:$C,P$1,Receitas!$M:$M,$B128)</f>
        <v>20000</v>
      </c>
      <c r="Q128" s="18">
        <f>SUMIFS(Receitas!$F:$F,Receitas!$J:$J,"&lt;="&amp;$A128,Receitas!$L:$L,"&gt;="&amp;$A128,Receitas!$C:$C,Q$1,Receitas!$M:$M,"Mensal")+SUMIFS(Receitas!$F:$F,Receitas!$J:$J,"&lt;="&amp;$A128,Receitas!$L:$L,"&gt;="&amp;$A128,Receitas!$C:$C,Q$1,Receitas!$M:$M,$B128)</f>
        <v>3950</v>
      </c>
      <c r="R128" s="18" cm="1">
        <f t="array" ref="R128">(IF(AND(Membros!$F$2="Sim",A128&lt;=MAX(Membros!$E$2:$E$5)),Membros!K$2,IF(AND(A128&gt;=Membros!J$2,A128&lt;=MAX(Membros!$E$2:$E$5)),Membros!K$2,0))+IF(AND(Membros!$F$3="Sim",A128&lt;=MAX(Membros!$E$2:$E$5)),Membros!K$3,IF(AND(A128&gt;=Membros!J$3,A128&lt;=MAX(Membros!$E$2:$E$5)),Membros!K$3,0)))*IF(AND(COUNTIFS(Tabela3[Tipo],"Provedor",Tabela3[Simulação Seguro],"Sim")=2,A128&gt;=MAX(IF(Tabela3[Tipo]="Dependente",Tabela3[Expectativa de Vida (Data)]))),0,1)</f>
        <v>0</v>
      </c>
      <c r="S128" s="18">
        <f t="shared" si="13"/>
        <v>73950</v>
      </c>
      <c r="U128" s="18">
        <f t="shared" ca="1" si="16"/>
        <v>7026202.4897321695</v>
      </c>
      <c r="V128" s="18">
        <f>SUMIF(Imóveis!E:E,Dados!A:A,Imóveis!Z:Z)-SUMIF(Imóveis!E:E,Dados!A:A,Imóveis!Y:Y)</f>
        <v>0</v>
      </c>
      <c r="W128" s="18">
        <f>-SUMIF(Projetos!N:N,A128,Projetos!F:F)</f>
        <v>0</v>
      </c>
      <c r="X128" s="18">
        <f t="shared" ca="1" si="10"/>
        <v>-54427.866117189929</v>
      </c>
      <c r="Y128" s="26">
        <f ca="1">(U128*((Indicadores_Economicos!D$2+1)^(1/12)-1))</f>
        <v>23001.958608421264</v>
      </c>
      <c r="Z128" s="18">
        <f t="shared" ca="1" si="14"/>
        <v>6994776.5822234014</v>
      </c>
      <c r="AA128" s="18">
        <f ca="1">Auxiliar_Projetos!E128</f>
        <v>78004.953884869581</v>
      </c>
      <c r="AB128" s="18">
        <f ca="1">Auxiliar_Projetos!K128</f>
        <v>434932.22137586435</v>
      </c>
      <c r="AC128" s="18">
        <f ca="1">IF(Z128-AA128-AB128&gt;Investimentos!$C$14,Investimentos!$C$14,IF(Z128-AA128-AB128&lt;Investimentos!$C$14,Z128-AA128-AB128,0))</f>
        <v>300000</v>
      </c>
      <c r="AD128" s="18">
        <f t="shared" ca="1" si="15"/>
        <v>6181839.4069626676</v>
      </c>
      <c r="AE128" s="18"/>
    </row>
    <row r="129" spans="1:31" x14ac:dyDescent="0.2">
      <c r="A129" s="4">
        <v>49522</v>
      </c>
      <c r="B129" s="5" t="str">
        <f t="shared" si="11"/>
        <v>agosto</v>
      </c>
      <c r="C129" s="5" t="str">
        <f t="shared" si="18"/>
        <v>2035</v>
      </c>
      <c r="D129" s="5">
        <f>SUMIFS(Despesas!$F:$F,Despesas!$J:$J,"&lt;="&amp;$A129,Despesas!$L:$L,"&gt;="&amp;$A129,Despesas!$C:$C,D$1,Despesas!$M:$M,"Mensal")+SUMIFS(Despesas!$F:$F,Despesas!$J:$J,"&lt;="&amp;$A129,Despesas!$L:$L,"&gt;="&amp;$A129,Despesas!$C:$C,D$1,Despesas!$M:$M,$B129)</f>
        <v>23000</v>
      </c>
      <c r="E129" s="18">
        <f>SUMIFS(Despesas!$F:$F,Despesas!$J:$J,"&lt;="&amp;$A129,Despesas!$L:$L,"&gt;="&amp;$A129,Despesas!$C:$C,E$1,Despesas!$M:$M,"Mensal")+SUMIFS(Despesas!$F:$F,Despesas!$J:$J,"&lt;="&amp;$A129,Despesas!$L:$L,"&gt;="&amp;$A129,Despesas!$C:$C,E$1,Despesas!$M:$M,$B129)</f>
        <v>19000</v>
      </c>
      <c r="F129" s="5">
        <f>SUMIFS(Despesas!$F:$F,Despesas!$J:$J,"&lt;="&amp;$A129,Despesas!$L:$L,"&gt;="&amp;$A129,Despesas!$C:$C,F$1,Despesas!$M:$M,"Mensal")+SUMIFS(Despesas!$F:$F,Despesas!$J:$J,"&lt;="&amp;$A129,Despesas!$L:$L,"&gt;="&amp;$A129,Despesas!$C:$C,F$1,Despesas!$M:$M,$B129)</f>
        <v>13000</v>
      </c>
      <c r="G129" s="5">
        <f>SUMIFS(Despesas!$F:$F,Despesas!$J:$J,"&lt;="&amp;$A129,Despesas!$L:$L,"&gt;="&amp;$A129,Despesas!$C:$C,G$1,Despesas!$M:$M,"Mensal")+SUMIFS(Despesas!$F:$F,Despesas!$J:$J,"&lt;="&amp;$A129,Despesas!$L:$L,"&gt;="&amp;$A129,Despesas!$C:$C,G$1,Despesas!$M:$M,$B129)</f>
        <v>0</v>
      </c>
      <c r="H129" s="18">
        <f>SUMIFS(Despesas!$F:$F,Despesas!$J:$J,"&lt;="&amp;$A129,Despesas!$L:$L,"&gt;="&amp;$A129,Despesas!$C:$C,H$1,Despesas!$M:$M,"Mensal")+SUMIFS(Despesas!$F:$F,Despesas!$J:$J,"&lt;="&amp;$A129,Despesas!$L:$L,"&gt;="&amp;$A129,Despesas!$C:$C,H$1,Despesas!$M:$M,$B129)</f>
        <v>1850</v>
      </c>
      <c r="I129" s="18">
        <f>IF(Imóveis!$F$2="PRICE",IF(AND(Dados!$A129&gt;=Imóveis!$Q$2,Dados!$A129&lt;=Imóveis!$T$2),Imóveis!$U$2,0),IF((IF(AND(Dados!$A129&gt;=Imóveis!$Q$2,Dados!$A129&lt;=Imóveis!$T$2),Imóveis!$S$2-(DATEDIF(Imóveis!$Q$2,Dados!$A129,"m")),0))=0,0,((Imóveis!$N$2/Imóveis!$S$2)+((Imóveis!$N$2-((Imóveis!$S$2-(IF(AND(Dados!$A129&gt;=Imóveis!$Q$2,Dados!$A129&lt;=Imóveis!$T$2),Imóveis!$S$2-(DATEDIF(Imóveis!$Q$2,Dados!$A129,"m")),)))*(Imóveis!$N$2/Imóveis!$S$2)))*Imóveis!$P$2))))*IF(AND(Imóveis!$E$2&gt;0,Dados!$A129&gt;Imóveis!$E$2),0,1)</f>
        <v>11064.895665692551</v>
      </c>
      <c r="J129" s="18">
        <f ca="1">IF(Imóveis!$F$3="PRICE",IF(AND(Dados!$A129&gt;=Imóveis!$Q$3,Dados!$A129&lt;=Imóveis!$T$3),Imóveis!$U$3,0),IF((IF(AND(Dados!$A129&gt;=Imóveis!$Q$3,Dados!$A129&lt;=Imóveis!$T$3),Imóveis!$S$3-(DATEDIF(Imóveis!$Q$3,Dados!$A129,"m")),0))=0,0,((Imóveis!$N$3/Imóveis!$S$3)+((Imóveis!$N$3-((Imóveis!$S$3-(IF(AND(Dados!$A129&gt;=Imóveis!$Q$3,Dados!$A129&lt;=Imóveis!$T$3),Imóveis!$S$3-(DATEDIF(Imóveis!$Q$3,Dados!$A129,"m")),)))*(Imóveis!$N$3/Imóveis!$S$3)))*Imóveis!$P$3))))*IF(AND(Imóveis!$E$3&gt;0,Dados!$A129&gt;Imóveis!$E$3),0,1)</f>
        <v>0</v>
      </c>
      <c r="K129" s="18">
        <f>IF(Imóveis!$F$4="PRICE",IF(AND(Dados!$A129&gt;=Imóveis!$Q$4,Dados!$A129&lt;=Imóveis!$T$4),Imóveis!$U$4,0),IF((IF(AND(Dados!$A129&gt;=Imóveis!$Q$4,Dados!$A129&lt;=Imóveis!$T$4),Imóveis!$S$4-(DATEDIF(Imóveis!$Q$4,Dados!$A129,"m")),0))=0,0,((Imóveis!$N$4/Imóveis!$S$4)+((Imóveis!$N$4-((Imóveis!$S$4-(IF(AND(Dados!$A129&gt;=Imóveis!$Q$4,Dados!$A129&lt;=Imóveis!$T$4),Imóveis!$S$4-(DATEDIF(Imóveis!$Q$4,Dados!$A129,"m")),)))*(Imóveis!$N$4/Imóveis!$S$4)))*Imóveis!$P$4))))*IF(AND(Imóveis!$E$4&gt;0,Dados!$A129&gt;Imóveis!$E$4),0,1)</f>
        <v>4643.949359272583</v>
      </c>
      <c r="L129" s="18">
        <f>IF(Imóveis!$F$5="PRICE",IF(AND(Dados!$A129&gt;=Imóveis!$Q$5,Dados!$A129&lt;=Imóveis!$T$5),Imóveis!$U$5,0),IF((IF(AND(Dados!$A129&gt;=Imóveis!$Q$5,Dados!$A129&lt;=Imóveis!$T$5),Imóveis!$S$5-(DATEDIF(Imóveis!$Q$5,Dados!$A129,"m")),0))=0,0,((Imóveis!$N$5/Imóveis!$S$5)+((Imóveis!$N$5-((Imóveis!$S$5-(IF(AND(Dados!$A129 &gt;=Imóveis!$Q$5,Dados!$A129&lt;=Imóveis!$T$5),Imóveis!$S$5-(DATEDIF(Imóveis!$Q$5,Dados!$A129,"m")),)))*(Imóveis!$N$5/Imóveis!$S$5)))*Imóveis!$P$5))))*IF(AND(Imóveis!$E$5&gt;0,Dados!$A129&gt;Imóveis!$E$5),0,1)*Imóveis!$I$5</f>
        <v>0</v>
      </c>
      <c r="M129" s="18">
        <f>IF(Imóveis!$F$6="PRICE",IF(AND(Dados!$A129&gt;=Imóveis!$Q$6,Dados!$A129&lt;=Imóveis!$T$6),Imóveis!$U$6,0),IF((IF(AND(Dados!$A129&gt;=Imóveis!$Q$6,Dados!$A129&lt;=Imóveis!$T$6),Imóveis!$S$6-(DATEDIF(Imóveis!$Q$6,Dados!$A129,"m")),0))=0,0,((Imóveis!$N$6/Imóveis!$S$6)+((Imóveis!$N$6-((Imóveis!$S$6-(IF(AND(Dados!$A129&gt;=Imóveis!$Q$6,Dados!$A129&lt;=Imóveis!$T$6),Imóveis!$S$6-(DATEDIF(Imóveis!$Q$6,Dados!$A129,"m")),)))*(Imóveis!$N$6/Imóveis!$S$6)))*Imóveis!$P$6))))*IF(AND(Imóveis!$E$6&gt;0,Dados!$A129&gt;Imóveis!$E$6),0,1)*Imóveis!$I$6</f>
        <v>0</v>
      </c>
      <c r="N129" s="18">
        <f t="shared" ca="1" si="12"/>
        <v>72558.845024965121</v>
      </c>
      <c r="O129" s="18">
        <f>SUMIFS(Receitas!$F:$F,Receitas!$J:$J,"&lt;="&amp;$A129,Receitas!$L:$L,"&gt;="&amp;$A129,Receitas!$C:$C,O$1,Receitas!$M:$M,"Mensal")+SUMIFS(Receitas!$F:$F,Receitas!$J:$J,"&lt;="&amp;$A129,Receitas!$L:$L,"&gt;="&amp;$A129,Receitas!$C:$C,O$1,Receitas!$M:$M,$B129)</f>
        <v>50000</v>
      </c>
      <c r="P129" s="18">
        <f>SUMIFS(Receitas!$F:$F,Receitas!$J:$J,"&lt;="&amp;$A129,Receitas!$L:$L,"&gt;="&amp;$A129,Receitas!$C:$C,P$1,Receitas!$M:$M,"Mensal")+SUMIFS(Receitas!$F:$F,Receitas!$J:$J,"&lt;="&amp;$A129,Receitas!$L:$L,"&gt;="&amp;$A129,Receitas!$C:$C,P$1,Receitas!$M:$M,$B129)</f>
        <v>20000</v>
      </c>
      <c r="Q129" s="18">
        <f>SUMIFS(Receitas!$F:$F,Receitas!$J:$J,"&lt;="&amp;$A129,Receitas!$L:$L,"&gt;="&amp;$A129,Receitas!$C:$C,Q$1,Receitas!$M:$M,"Mensal")+SUMIFS(Receitas!$F:$F,Receitas!$J:$J,"&lt;="&amp;$A129,Receitas!$L:$L,"&gt;="&amp;$A129,Receitas!$C:$C,Q$1,Receitas!$M:$M,$B129)</f>
        <v>3950</v>
      </c>
      <c r="R129" s="18" cm="1">
        <f t="array" ref="R129">(IF(AND(Membros!$F$2="Sim",A129&lt;=MAX(Membros!$E$2:$E$5)),Membros!K$2,IF(AND(A129&gt;=Membros!J$2,A129&lt;=MAX(Membros!$E$2:$E$5)),Membros!K$2,0))+IF(AND(Membros!$F$3="Sim",A129&lt;=MAX(Membros!$E$2:$E$5)),Membros!K$3,IF(AND(A129&gt;=Membros!J$3,A129&lt;=MAX(Membros!$E$2:$E$5)),Membros!K$3,0)))*IF(AND(COUNTIFS(Tabela3[Tipo],"Provedor",Tabela3[Simulação Seguro],"Sim")=2,A129&gt;=MAX(IF(Tabela3[Tipo]="Dependente",Tabela3[Expectativa de Vida (Data)]))),0,1)</f>
        <v>0</v>
      </c>
      <c r="S129" s="18">
        <f t="shared" si="13"/>
        <v>73950</v>
      </c>
      <c r="U129" s="18">
        <f t="shared" ca="1" si="16"/>
        <v>6994776.5822234014</v>
      </c>
      <c r="V129" s="18">
        <f>SUMIF(Imóveis!E:E,Dados!A:A,Imóveis!Z:Z)-SUMIF(Imóveis!E:E,Dados!A:A,Imóveis!Y:Y)</f>
        <v>0</v>
      </c>
      <c r="W129" s="18">
        <f>-SUMIF(Projetos!N:N,A129,Projetos!F:F)</f>
        <v>0</v>
      </c>
      <c r="X129" s="18">
        <f t="shared" ca="1" si="10"/>
        <v>1391.1549750348786</v>
      </c>
      <c r="Y129" s="26">
        <f ca="1">(U129*((Indicadores_Economicos!D$2+1)^(1/12)-1))</f>
        <v>22899.078364818106</v>
      </c>
      <c r="Z129" s="18">
        <f t="shared" ca="1" si="14"/>
        <v>7019066.815563255</v>
      </c>
      <c r="AA129" s="18">
        <f ca="1">Auxiliar_Projetos!E129</f>
        <v>78260.321805611064</v>
      </c>
      <c r="AB129" s="18">
        <f ca="1">Auxiliar_Projetos!K129</f>
        <v>436356.07629154267</v>
      </c>
      <c r="AC129" s="18">
        <f ca="1">IF(Z129-AA129-AB129&gt;Investimentos!$C$14,Investimentos!$C$14,IF(Z129-AA129-AB129&lt;Investimentos!$C$14,Z129-AA129-AB129,0))</f>
        <v>300000</v>
      </c>
      <c r="AD129" s="18">
        <f t="shared" ca="1" si="15"/>
        <v>6204450.4174661012</v>
      </c>
      <c r="AE129" s="18"/>
    </row>
    <row r="130" spans="1:31" x14ac:dyDescent="0.2">
      <c r="A130" s="4">
        <v>49553</v>
      </c>
      <c r="B130" s="5" t="str">
        <f t="shared" si="11"/>
        <v>setembro</v>
      </c>
      <c r="C130" s="5" t="str">
        <f t="shared" si="18"/>
        <v>2035</v>
      </c>
      <c r="D130" s="5">
        <f>SUMIFS(Despesas!$F:$F,Despesas!$J:$J,"&lt;="&amp;$A130,Despesas!$L:$L,"&gt;="&amp;$A130,Despesas!$C:$C,D$1,Despesas!$M:$M,"Mensal")+SUMIFS(Despesas!$F:$F,Despesas!$J:$J,"&lt;="&amp;$A130,Despesas!$L:$L,"&gt;="&amp;$A130,Despesas!$C:$C,D$1,Despesas!$M:$M,$B130)</f>
        <v>23000</v>
      </c>
      <c r="E130" s="18">
        <f>SUMIFS(Despesas!$F:$F,Despesas!$J:$J,"&lt;="&amp;$A130,Despesas!$L:$L,"&gt;="&amp;$A130,Despesas!$C:$C,E$1,Despesas!$M:$M,"Mensal")+SUMIFS(Despesas!$F:$F,Despesas!$J:$J,"&lt;="&amp;$A130,Despesas!$L:$L,"&gt;="&amp;$A130,Despesas!$C:$C,E$1,Despesas!$M:$M,$B130)</f>
        <v>19000</v>
      </c>
      <c r="F130" s="5">
        <f>SUMIFS(Despesas!$F:$F,Despesas!$J:$J,"&lt;="&amp;$A130,Despesas!$L:$L,"&gt;="&amp;$A130,Despesas!$C:$C,F$1,Despesas!$M:$M,"Mensal")+SUMIFS(Despesas!$F:$F,Despesas!$J:$J,"&lt;="&amp;$A130,Despesas!$L:$L,"&gt;="&amp;$A130,Despesas!$C:$C,F$1,Despesas!$M:$M,$B130)</f>
        <v>13000</v>
      </c>
      <c r="G130" s="5">
        <f>SUMIFS(Despesas!$F:$F,Despesas!$J:$J,"&lt;="&amp;$A130,Despesas!$L:$L,"&gt;="&amp;$A130,Despesas!$C:$C,G$1,Despesas!$M:$M,"Mensal")+SUMIFS(Despesas!$F:$F,Despesas!$J:$J,"&lt;="&amp;$A130,Despesas!$L:$L,"&gt;="&amp;$A130,Despesas!$C:$C,G$1,Despesas!$M:$M,$B130)</f>
        <v>0</v>
      </c>
      <c r="H130" s="18">
        <f>SUMIFS(Despesas!$F:$F,Despesas!$J:$J,"&lt;="&amp;$A130,Despesas!$L:$L,"&gt;="&amp;$A130,Despesas!$C:$C,H$1,Despesas!$M:$M,"Mensal")+SUMIFS(Despesas!$F:$F,Despesas!$J:$J,"&lt;="&amp;$A130,Despesas!$L:$L,"&gt;="&amp;$A130,Despesas!$C:$C,H$1,Despesas!$M:$M,$B130)</f>
        <v>1850</v>
      </c>
      <c r="I130" s="18">
        <f>IF(Imóveis!$F$2="PRICE",IF(AND(Dados!$A130&gt;=Imóveis!$Q$2,Dados!$A130&lt;=Imóveis!$T$2),Imóveis!$U$2,0),IF((IF(AND(Dados!$A130&gt;=Imóveis!$Q$2,Dados!$A130&lt;=Imóveis!$T$2),Imóveis!$S$2-(DATEDIF(Imóveis!$Q$2,Dados!$A130,"m")),0))=0,0,((Imóveis!$N$2/Imóveis!$S$2)+((Imóveis!$N$2-((Imóveis!$S$2-(IF(AND(Dados!$A130&gt;=Imóveis!$Q$2,Dados!$A130&lt;=Imóveis!$T$2),Imóveis!$S$2-(DATEDIF(Imóveis!$Q$2,Dados!$A130,"m")),)))*(Imóveis!$N$2/Imóveis!$S$2)))*Imóveis!$P$2))))*IF(AND(Imóveis!$E$2&gt;0,Dados!$A130&gt;Imóveis!$E$2),0,1)</f>
        <v>11002.874573467745</v>
      </c>
      <c r="J130" s="18">
        <f ca="1">IF(Imóveis!$F$3="PRICE",IF(AND(Dados!$A130&gt;=Imóveis!$Q$3,Dados!$A130&lt;=Imóveis!$T$3),Imóveis!$U$3,0),IF((IF(AND(Dados!$A130&gt;=Imóveis!$Q$3,Dados!$A130&lt;=Imóveis!$T$3),Imóveis!$S$3-(DATEDIF(Imóveis!$Q$3,Dados!$A130,"m")),0))=0,0,((Imóveis!$N$3/Imóveis!$S$3)+((Imóveis!$N$3-((Imóveis!$S$3-(IF(AND(Dados!$A130&gt;=Imóveis!$Q$3,Dados!$A130&lt;=Imóveis!$T$3),Imóveis!$S$3-(DATEDIF(Imóveis!$Q$3,Dados!$A130,"m")),)))*(Imóveis!$N$3/Imóveis!$S$3)))*Imóveis!$P$3))))*IF(AND(Imóveis!$E$3&gt;0,Dados!$A130&gt;Imóveis!$E$3),0,1)</f>
        <v>0</v>
      </c>
      <c r="K130" s="18">
        <f>IF(Imóveis!$F$4="PRICE",IF(AND(Dados!$A130&gt;=Imóveis!$Q$4,Dados!$A130&lt;=Imóveis!$T$4),Imóveis!$U$4,0),IF((IF(AND(Dados!$A130&gt;=Imóveis!$Q$4,Dados!$A130&lt;=Imóveis!$T$4),Imóveis!$S$4-(DATEDIF(Imóveis!$Q$4,Dados!$A130,"m")),0))=0,0,((Imóveis!$N$4/Imóveis!$S$4)+((Imóveis!$N$4-((Imóveis!$S$4-(IF(AND(Dados!$A130&gt;=Imóveis!$Q$4,Dados!$A130&lt;=Imóveis!$T$4),Imóveis!$S$4-(DATEDIF(Imóveis!$Q$4,Dados!$A130,"m")),)))*(Imóveis!$N$4/Imóveis!$S$4)))*Imóveis!$P$4))))*IF(AND(Imóveis!$E$4&gt;0,Dados!$A130&gt;Imóveis!$E$4),0,1)</f>
        <v>4643.949359272583</v>
      </c>
      <c r="L130" s="18">
        <f>IF(Imóveis!$F$5="PRICE",IF(AND(Dados!$A130&gt;=Imóveis!$Q$5,Dados!$A130&lt;=Imóveis!$T$5),Imóveis!$U$5,0),IF((IF(AND(Dados!$A130&gt;=Imóveis!$Q$5,Dados!$A130&lt;=Imóveis!$T$5),Imóveis!$S$5-(DATEDIF(Imóveis!$Q$5,Dados!$A130,"m")),0))=0,0,((Imóveis!$N$5/Imóveis!$S$5)+((Imóveis!$N$5-((Imóveis!$S$5-(IF(AND(Dados!$A130 &gt;=Imóveis!$Q$5,Dados!$A130&lt;=Imóveis!$T$5),Imóveis!$S$5-(DATEDIF(Imóveis!$Q$5,Dados!$A130,"m")),)))*(Imóveis!$N$5/Imóveis!$S$5)))*Imóveis!$P$5))))*IF(AND(Imóveis!$E$5&gt;0,Dados!$A130&gt;Imóveis!$E$5),0,1)*Imóveis!$I$5</f>
        <v>0</v>
      </c>
      <c r="M130" s="18">
        <f>IF(Imóveis!$F$6="PRICE",IF(AND(Dados!$A130&gt;=Imóveis!$Q$6,Dados!$A130&lt;=Imóveis!$T$6),Imóveis!$U$6,0),IF((IF(AND(Dados!$A130&gt;=Imóveis!$Q$6,Dados!$A130&lt;=Imóveis!$T$6),Imóveis!$S$6-(DATEDIF(Imóveis!$Q$6,Dados!$A130,"m")),0))=0,0,((Imóveis!$N$6/Imóveis!$S$6)+((Imóveis!$N$6-((Imóveis!$S$6-(IF(AND(Dados!$A130&gt;=Imóveis!$Q$6,Dados!$A130&lt;=Imóveis!$T$6),Imóveis!$S$6-(DATEDIF(Imóveis!$Q$6,Dados!$A130,"m")),)))*(Imóveis!$N$6/Imóveis!$S$6)))*Imóveis!$P$6))))*IF(AND(Imóveis!$E$6&gt;0,Dados!$A130&gt;Imóveis!$E$6),0,1)*Imóveis!$I$6</f>
        <v>0</v>
      </c>
      <c r="N130" s="18">
        <f t="shared" ca="1" si="12"/>
        <v>72496.823932740328</v>
      </c>
      <c r="O130" s="18">
        <f>SUMIFS(Receitas!$F:$F,Receitas!$J:$J,"&lt;="&amp;$A130,Receitas!$L:$L,"&gt;="&amp;$A130,Receitas!$C:$C,O$1,Receitas!$M:$M,"Mensal")+SUMIFS(Receitas!$F:$F,Receitas!$J:$J,"&lt;="&amp;$A130,Receitas!$L:$L,"&gt;="&amp;$A130,Receitas!$C:$C,O$1,Receitas!$M:$M,$B130)</f>
        <v>50000</v>
      </c>
      <c r="P130" s="18">
        <f>SUMIFS(Receitas!$F:$F,Receitas!$J:$J,"&lt;="&amp;$A130,Receitas!$L:$L,"&gt;="&amp;$A130,Receitas!$C:$C,P$1,Receitas!$M:$M,"Mensal")+SUMIFS(Receitas!$F:$F,Receitas!$J:$J,"&lt;="&amp;$A130,Receitas!$L:$L,"&gt;="&amp;$A130,Receitas!$C:$C,P$1,Receitas!$M:$M,$B130)</f>
        <v>20000</v>
      </c>
      <c r="Q130" s="18">
        <f>SUMIFS(Receitas!$F:$F,Receitas!$J:$J,"&lt;="&amp;$A130,Receitas!$L:$L,"&gt;="&amp;$A130,Receitas!$C:$C,Q$1,Receitas!$M:$M,"Mensal")+SUMIFS(Receitas!$F:$F,Receitas!$J:$J,"&lt;="&amp;$A130,Receitas!$L:$L,"&gt;="&amp;$A130,Receitas!$C:$C,Q$1,Receitas!$M:$M,$B130)</f>
        <v>3950</v>
      </c>
      <c r="R130" s="18" cm="1">
        <f t="array" ref="R130">(IF(AND(Membros!$F$2="Sim",A130&lt;=MAX(Membros!$E$2:$E$5)),Membros!K$2,IF(AND(A130&gt;=Membros!J$2,A130&lt;=MAX(Membros!$E$2:$E$5)),Membros!K$2,0))+IF(AND(Membros!$F$3="Sim",A130&lt;=MAX(Membros!$E$2:$E$5)),Membros!K$3,IF(AND(A130&gt;=Membros!J$3,A130&lt;=MAX(Membros!$E$2:$E$5)),Membros!K$3,0)))*IF(AND(COUNTIFS(Tabela3[Tipo],"Provedor",Tabela3[Simulação Seguro],"Sim")=2,A130&gt;=MAX(IF(Tabela3[Tipo]="Dependente",Tabela3[Expectativa de Vida (Data)]))),0,1)</f>
        <v>0</v>
      </c>
      <c r="S130" s="18">
        <f t="shared" si="13"/>
        <v>73950</v>
      </c>
      <c r="U130" s="18">
        <f t="shared" ca="1" si="16"/>
        <v>7019066.815563255</v>
      </c>
      <c r="V130" s="18">
        <f>SUMIF(Imóveis!E:E,Dados!A:A,Imóveis!Z:Z)-SUMIF(Imóveis!E:E,Dados!A:A,Imóveis!Y:Y)</f>
        <v>0</v>
      </c>
      <c r="W130" s="18">
        <f>-SUMIF(Projetos!N:N,A130,Projetos!F:F)</f>
        <v>0</v>
      </c>
      <c r="X130" s="18">
        <f t="shared" ref="X130:X193" ca="1" si="19">(S130-N130)</f>
        <v>1453.176067259672</v>
      </c>
      <c r="Y130" s="26">
        <f ca="1">(U130*((Indicadores_Economicos!D$2+1)^(1/12)-1))</f>
        <v>22978.59826802168</v>
      </c>
      <c r="Z130" s="18">
        <f t="shared" ca="1" si="14"/>
        <v>7043498.5898985369</v>
      </c>
      <c r="AA130" s="18">
        <f ca="1">Auxiliar_Projetos!E130</f>
        <v>78516.525734473777</v>
      </c>
      <c r="AB130" s="18">
        <f ca="1">Auxiliar_Projetos!K130</f>
        <v>437784.59253770253</v>
      </c>
      <c r="AC130" s="18">
        <f ca="1">IF(Z130-AA130-AB130&gt;Investimentos!$C$14,Investimentos!$C$14,IF(Z130-AA130-AB130&lt;Investimentos!$C$14,Z130-AA130-AB130,0))</f>
        <v>300000</v>
      </c>
      <c r="AD130" s="18">
        <f t="shared" ca="1" si="15"/>
        <v>6227197.47162636</v>
      </c>
      <c r="AE130" s="18"/>
    </row>
    <row r="131" spans="1:31" x14ac:dyDescent="0.2">
      <c r="A131" s="4">
        <v>49583</v>
      </c>
      <c r="B131" s="5" t="str">
        <f t="shared" ref="B131:B194" si="20">TEXT(A131,"MMMM")</f>
        <v>outubro</v>
      </c>
      <c r="C131" s="5" t="str">
        <f t="shared" si="18"/>
        <v>2035</v>
      </c>
      <c r="D131" s="5">
        <f>SUMIFS(Despesas!$F:$F,Despesas!$J:$J,"&lt;="&amp;$A131,Despesas!$L:$L,"&gt;="&amp;$A131,Despesas!$C:$C,D$1,Despesas!$M:$M,"Mensal")+SUMIFS(Despesas!$F:$F,Despesas!$J:$J,"&lt;="&amp;$A131,Despesas!$L:$L,"&gt;="&amp;$A131,Despesas!$C:$C,D$1,Despesas!$M:$M,$B131)</f>
        <v>23000</v>
      </c>
      <c r="E131" s="18">
        <f>SUMIFS(Despesas!$F:$F,Despesas!$J:$J,"&lt;="&amp;$A131,Despesas!$L:$L,"&gt;="&amp;$A131,Despesas!$C:$C,E$1,Despesas!$M:$M,"Mensal")+SUMIFS(Despesas!$F:$F,Despesas!$J:$J,"&lt;="&amp;$A131,Despesas!$L:$L,"&gt;="&amp;$A131,Despesas!$C:$C,E$1,Despesas!$M:$M,$B131)</f>
        <v>19000</v>
      </c>
      <c r="F131" s="5">
        <f>SUMIFS(Despesas!$F:$F,Despesas!$J:$J,"&lt;="&amp;$A131,Despesas!$L:$L,"&gt;="&amp;$A131,Despesas!$C:$C,F$1,Despesas!$M:$M,"Mensal")+SUMIFS(Despesas!$F:$F,Despesas!$J:$J,"&lt;="&amp;$A131,Despesas!$L:$L,"&gt;="&amp;$A131,Despesas!$C:$C,F$1,Despesas!$M:$M,$B131)</f>
        <v>13000</v>
      </c>
      <c r="G131" s="5">
        <f>SUMIFS(Despesas!$F:$F,Despesas!$J:$J,"&lt;="&amp;$A131,Despesas!$L:$L,"&gt;="&amp;$A131,Despesas!$C:$C,G$1,Despesas!$M:$M,"Mensal")+SUMIFS(Despesas!$F:$F,Despesas!$J:$J,"&lt;="&amp;$A131,Despesas!$L:$L,"&gt;="&amp;$A131,Despesas!$C:$C,G$1,Despesas!$M:$M,$B131)</f>
        <v>0</v>
      </c>
      <c r="H131" s="18">
        <f>SUMIFS(Despesas!$F:$F,Despesas!$J:$J,"&lt;="&amp;$A131,Despesas!$L:$L,"&gt;="&amp;$A131,Despesas!$C:$C,H$1,Despesas!$M:$M,"Mensal")+SUMIFS(Despesas!$F:$F,Despesas!$J:$J,"&lt;="&amp;$A131,Despesas!$L:$L,"&gt;="&amp;$A131,Despesas!$C:$C,H$1,Despesas!$M:$M,$B131)</f>
        <v>1850</v>
      </c>
      <c r="I131" s="18">
        <f>IF(Imóveis!$F$2="PRICE",IF(AND(Dados!$A131&gt;=Imóveis!$Q$2,Dados!$A131&lt;=Imóveis!$T$2),Imóveis!$U$2,0),IF((IF(AND(Dados!$A131&gt;=Imóveis!$Q$2,Dados!$A131&lt;=Imóveis!$T$2),Imóveis!$S$2-(DATEDIF(Imóveis!$Q$2,Dados!$A131,"m")),0))=0,0,((Imóveis!$N$2/Imóveis!$S$2)+((Imóveis!$N$2-((Imóveis!$S$2-(IF(AND(Dados!$A131&gt;=Imóveis!$Q$2,Dados!$A131&lt;=Imóveis!$T$2),Imóveis!$S$2-(DATEDIF(Imóveis!$Q$2,Dados!$A131,"m")),)))*(Imóveis!$N$2/Imóveis!$S$2)))*Imóveis!$P$2))))*IF(AND(Imóveis!$E$2&gt;0,Dados!$A131&gt;Imóveis!$E$2),0,1)</f>
        <v>10940.853481242939</v>
      </c>
      <c r="J131" s="18">
        <f ca="1">IF(Imóveis!$F$3="PRICE",IF(AND(Dados!$A131&gt;=Imóveis!$Q$3,Dados!$A131&lt;=Imóveis!$T$3),Imóveis!$U$3,0),IF((IF(AND(Dados!$A131&gt;=Imóveis!$Q$3,Dados!$A131&lt;=Imóveis!$T$3),Imóveis!$S$3-(DATEDIF(Imóveis!$Q$3,Dados!$A131,"m")),0))=0,0,((Imóveis!$N$3/Imóveis!$S$3)+((Imóveis!$N$3-((Imóveis!$S$3-(IF(AND(Dados!$A131&gt;=Imóveis!$Q$3,Dados!$A131&lt;=Imóveis!$T$3),Imóveis!$S$3-(DATEDIF(Imóveis!$Q$3,Dados!$A131,"m")),)))*(Imóveis!$N$3/Imóveis!$S$3)))*Imóveis!$P$3))))*IF(AND(Imóveis!$E$3&gt;0,Dados!$A131&gt;Imóveis!$E$3),0,1)</f>
        <v>0</v>
      </c>
      <c r="K131" s="18">
        <f>IF(Imóveis!$F$4="PRICE",IF(AND(Dados!$A131&gt;=Imóveis!$Q$4,Dados!$A131&lt;=Imóveis!$T$4),Imóveis!$U$4,0),IF((IF(AND(Dados!$A131&gt;=Imóveis!$Q$4,Dados!$A131&lt;=Imóveis!$T$4),Imóveis!$S$4-(DATEDIF(Imóveis!$Q$4,Dados!$A131,"m")),0))=0,0,((Imóveis!$N$4/Imóveis!$S$4)+((Imóveis!$N$4-((Imóveis!$S$4-(IF(AND(Dados!$A131&gt;=Imóveis!$Q$4,Dados!$A131&lt;=Imóveis!$T$4),Imóveis!$S$4-(DATEDIF(Imóveis!$Q$4,Dados!$A131,"m")),)))*(Imóveis!$N$4/Imóveis!$S$4)))*Imóveis!$P$4))))*IF(AND(Imóveis!$E$4&gt;0,Dados!$A131&gt;Imóveis!$E$4),0,1)</f>
        <v>4643.949359272583</v>
      </c>
      <c r="L131" s="18">
        <f>IF(Imóveis!$F$5="PRICE",IF(AND(Dados!$A131&gt;=Imóveis!$Q$5,Dados!$A131&lt;=Imóveis!$T$5),Imóveis!$U$5,0),IF((IF(AND(Dados!$A131&gt;=Imóveis!$Q$5,Dados!$A131&lt;=Imóveis!$T$5),Imóveis!$S$5-(DATEDIF(Imóveis!$Q$5,Dados!$A131,"m")),0))=0,0,((Imóveis!$N$5/Imóveis!$S$5)+((Imóveis!$N$5-((Imóveis!$S$5-(IF(AND(Dados!$A131 &gt;=Imóveis!$Q$5,Dados!$A131&lt;=Imóveis!$T$5),Imóveis!$S$5-(DATEDIF(Imóveis!$Q$5,Dados!$A131,"m")),)))*(Imóveis!$N$5/Imóveis!$S$5)))*Imóveis!$P$5))))*IF(AND(Imóveis!$E$5&gt;0,Dados!$A131&gt;Imóveis!$E$5),0,1)*Imóveis!$I$5</f>
        <v>0</v>
      </c>
      <c r="M131" s="18">
        <f>IF(Imóveis!$F$6="PRICE",IF(AND(Dados!$A131&gt;=Imóveis!$Q$6,Dados!$A131&lt;=Imóveis!$T$6),Imóveis!$U$6,0),IF((IF(AND(Dados!$A131&gt;=Imóveis!$Q$6,Dados!$A131&lt;=Imóveis!$T$6),Imóveis!$S$6-(DATEDIF(Imóveis!$Q$6,Dados!$A131,"m")),0))=0,0,((Imóveis!$N$6/Imóveis!$S$6)+((Imóveis!$N$6-((Imóveis!$S$6-(IF(AND(Dados!$A131&gt;=Imóveis!$Q$6,Dados!$A131&lt;=Imóveis!$T$6),Imóveis!$S$6-(DATEDIF(Imóveis!$Q$6,Dados!$A131,"m")),)))*(Imóveis!$N$6/Imóveis!$S$6)))*Imóveis!$P$6))))*IF(AND(Imóveis!$E$6&gt;0,Dados!$A131&gt;Imóveis!$E$6),0,1)*Imóveis!$I$6</f>
        <v>0</v>
      </c>
      <c r="N131" s="18">
        <f t="shared" ref="N131:N194" ca="1" si="21">SUM(D131:M131)</f>
        <v>72434.80284051552</v>
      </c>
      <c r="O131" s="18">
        <f>SUMIFS(Receitas!$F:$F,Receitas!$J:$J,"&lt;="&amp;$A131,Receitas!$L:$L,"&gt;="&amp;$A131,Receitas!$C:$C,O$1,Receitas!$M:$M,"Mensal")+SUMIFS(Receitas!$F:$F,Receitas!$J:$J,"&lt;="&amp;$A131,Receitas!$L:$L,"&gt;="&amp;$A131,Receitas!$C:$C,O$1,Receitas!$M:$M,$B131)</f>
        <v>50000</v>
      </c>
      <c r="P131" s="18">
        <f>SUMIFS(Receitas!$F:$F,Receitas!$J:$J,"&lt;="&amp;$A131,Receitas!$L:$L,"&gt;="&amp;$A131,Receitas!$C:$C,P$1,Receitas!$M:$M,"Mensal")+SUMIFS(Receitas!$F:$F,Receitas!$J:$J,"&lt;="&amp;$A131,Receitas!$L:$L,"&gt;="&amp;$A131,Receitas!$C:$C,P$1,Receitas!$M:$M,$B131)</f>
        <v>20000</v>
      </c>
      <c r="Q131" s="18">
        <f>SUMIFS(Receitas!$F:$F,Receitas!$J:$J,"&lt;="&amp;$A131,Receitas!$L:$L,"&gt;="&amp;$A131,Receitas!$C:$C,Q$1,Receitas!$M:$M,"Mensal")+SUMIFS(Receitas!$F:$F,Receitas!$J:$J,"&lt;="&amp;$A131,Receitas!$L:$L,"&gt;="&amp;$A131,Receitas!$C:$C,Q$1,Receitas!$M:$M,$B131)</f>
        <v>3950</v>
      </c>
      <c r="R131" s="18" cm="1">
        <f t="array" ref="R131">(IF(AND(Membros!$F$2="Sim",A131&lt;=MAX(Membros!$E$2:$E$5)),Membros!K$2,IF(AND(A131&gt;=Membros!J$2,A131&lt;=MAX(Membros!$E$2:$E$5)),Membros!K$2,0))+IF(AND(Membros!$F$3="Sim",A131&lt;=MAX(Membros!$E$2:$E$5)),Membros!K$3,IF(AND(A131&gt;=Membros!J$3,A131&lt;=MAX(Membros!$E$2:$E$5)),Membros!K$3,0)))*IF(AND(COUNTIFS(Tabela3[Tipo],"Provedor",Tabela3[Simulação Seguro],"Sim")=2,A131&gt;=MAX(IF(Tabela3[Tipo]="Dependente",Tabela3[Expectativa de Vida (Data)]))),0,1)</f>
        <v>0</v>
      </c>
      <c r="S131" s="18">
        <f t="shared" ref="S131:S194" si="22">O131+P131+Q131+R131</f>
        <v>73950</v>
      </c>
      <c r="U131" s="18">
        <f t="shared" ca="1" si="16"/>
        <v>7043498.5898985369</v>
      </c>
      <c r="V131" s="18">
        <f>SUMIF(Imóveis!E:E,Dados!A:A,Imóveis!Z:Z)-SUMIF(Imóveis!E:E,Dados!A:A,Imóveis!Y:Y)</f>
        <v>0</v>
      </c>
      <c r="W131" s="18">
        <f>-SUMIF(Projetos!N:N,A131,Projetos!F:F)</f>
        <v>0</v>
      </c>
      <c r="X131" s="18">
        <f t="shared" ca="1" si="19"/>
        <v>1515.1971594844799</v>
      </c>
      <c r="Y131" s="26">
        <f ca="1">(U131*((Indicadores_Economicos!D$2+1)^(1/12)-1))</f>
        <v>23058.581539612798</v>
      </c>
      <c r="Z131" s="18">
        <f t="shared" ref="Z131:Z194" ca="1" si="23">U131+V131+W131+X131+Y131</f>
        <v>7068072.3685976341</v>
      </c>
      <c r="AA131" s="18">
        <f ca="1">Auxiliar_Projetos!E131</f>
        <v>78773.568408330771</v>
      </c>
      <c r="AB131" s="18">
        <f ca="1">Auxiliar_Projetos!K131</f>
        <v>439217.78537432692</v>
      </c>
      <c r="AC131" s="18">
        <f ca="1">IF(Z131-AA131-AB131&gt;Investimentos!$C$14,Investimentos!$C$14,IF(Z131-AA131-AB131&lt;Investimentos!$C$14,Z131-AA131-AB131,0))</f>
        <v>300000</v>
      </c>
      <c r="AD131" s="18">
        <f t="shared" ref="AD131:AD194" ca="1" si="24">Z131-AA131-AB131-AC131</f>
        <v>6250081.0148149766</v>
      </c>
      <c r="AE131" s="18"/>
    </row>
    <row r="132" spans="1:31" x14ac:dyDescent="0.2">
      <c r="A132" s="4">
        <v>49614</v>
      </c>
      <c r="B132" s="5" t="str">
        <f t="shared" si="20"/>
        <v>novembro</v>
      </c>
      <c r="C132" s="5" t="str">
        <f t="shared" si="18"/>
        <v>2035</v>
      </c>
      <c r="D132" s="5">
        <f>SUMIFS(Despesas!$F:$F,Despesas!$J:$J,"&lt;="&amp;$A132,Despesas!$L:$L,"&gt;="&amp;$A132,Despesas!$C:$C,D$1,Despesas!$M:$M,"Mensal")+SUMIFS(Despesas!$F:$F,Despesas!$J:$J,"&lt;="&amp;$A132,Despesas!$L:$L,"&gt;="&amp;$A132,Despesas!$C:$C,D$1,Despesas!$M:$M,$B132)</f>
        <v>23000</v>
      </c>
      <c r="E132" s="18">
        <f>SUMIFS(Despesas!$F:$F,Despesas!$J:$J,"&lt;="&amp;$A132,Despesas!$L:$L,"&gt;="&amp;$A132,Despesas!$C:$C,E$1,Despesas!$M:$M,"Mensal")+SUMIFS(Despesas!$F:$F,Despesas!$J:$J,"&lt;="&amp;$A132,Despesas!$L:$L,"&gt;="&amp;$A132,Despesas!$C:$C,E$1,Despesas!$M:$M,$B132)</f>
        <v>19000</v>
      </c>
      <c r="F132" s="5">
        <f>SUMIFS(Despesas!$F:$F,Despesas!$J:$J,"&lt;="&amp;$A132,Despesas!$L:$L,"&gt;="&amp;$A132,Despesas!$C:$C,F$1,Despesas!$M:$M,"Mensal")+SUMIFS(Despesas!$F:$F,Despesas!$J:$J,"&lt;="&amp;$A132,Despesas!$L:$L,"&gt;="&amp;$A132,Despesas!$C:$C,F$1,Despesas!$M:$M,$B132)</f>
        <v>13000</v>
      </c>
      <c r="G132" s="5">
        <f>SUMIFS(Despesas!$F:$F,Despesas!$J:$J,"&lt;="&amp;$A132,Despesas!$L:$L,"&gt;="&amp;$A132,Despesas!$C:$C,G$1,Despesas!$M:$M,"Mensal")+SUMIFS(Despesas!$F:$F,Despesas!$J:$J,"&lt;="&amp;$A132,Despesas!$L:$L,"&gt;="&amp;$A132,Despesas!$C:$C,G$1,Despesas!$M:$M,$B132)</f>
        <v>0</v>
      </c>
      <c r="H132" s="18">
        <f>SUMIFS(Despesas!$F:$F,Despesas!$J:$J,"&lt;="&amp;$A132,Despesas!$L:$L,"&gt;="&amp;$A132,Despesas!$C:$C,H$1,Despesas!$M:$M,"Mensal")+SUMIFS(Despesas!$F:$F,Despesas!$J:$J,"&lt;="&amp;$A132,Despesas!$L:$L,"&gt;="&amp;$A132,Despesas!$C:$C,H$1,Despesas!$M:$M,$B132)</f>
        <v>1850</v>
      </c>
      <c r="I132" s="18">
        <f>IF(Imóveis!$F$2="PRICE",IF(AND(Dados!$A132&gt;=Imóveis!$Q$2,Dados!$A132&lt;=Imóveis!$T$2),Imóveis!$U$2,0),IF((IF(AND(Dados!$A132&gt;=Imóveis!$Q$2,Dados!$A132&lt;=Imóveis!$T$2),Imóveis!$S$2-(DATEDIF(Imóveis!$Q$2,Dados!$A132,"m")),0))=0,0,((Imóveis!$N$2/Imóveis!$S$2)+((Imóveis!$N$2-((Imóveis!$S$2-(IF(AND(Dados!$A132&gt;=Imóveis!$Q$2,Dados!$A132&lt;=Imóveis!$T$2),Imóveis!$S$2-(DATEDIF(Imóveis!$Q$2,Dados!$A132,"m")),)))*(Imóveis!$N$2/Imóveis!$S$2)))*Imóveis!$P$2))))*IF(AND(Imóveis!$E$2&gt;0,Dados!$A132&gt;Imóveis!$E$2),0,1)</f>
        <v>10878.832389018131</v>
      </c>
      <c r="J132" s="18">
        <f ca="1">IF(Imóveis!$F$3="PRICE",IF(AND(Dados!$A132&gt;=Imóveis!$Q$3,Dados!$A132&lt;=Imóveis!$T$3),Imóveis!$U$3,0),IF((IF(AND(Dados!$A132&gt;=Imóveis!$Q$3,Dados!$A132&lt;=Imóveis!$T$3),Imóveis!$S$3-(DATEDIF(Imóveis!$Q$3,Dados!$A132,"m")),0))=0,0,((Imóveis!$N$3/Imóveis!$S$3)+((Imóveis!$N$3-((Imóveis!$S$3-(IF(AND(Dados!$A132&gt;=Imóveis!$Q$3,Dados!$A132&lt;=Imóveis!$T$3),Imóveis!$S$3-(DATEDIF(Imóveis!$Q$3,Dados!$A132,"m")),)))*(Imóveis!$N$3/Imóveis!$S$3)))*Imóveis!$P$3))))*IF(AND(Imóveis!$E$3&gt;0,Dados!$A132&gt;Imóveis!$E$3),0,1)</f>
        <v>0</v>
      </c>
      <c r="K132" s="18">
        <f>IF(Imóveis!$F$4="PRICE",IF(AND(Dados!$A132&gt;=Imóveis!$Q$4,Dados!$A132&lt;=Imóveis!$T$4),Imóveis!$U$4,0),IF((IF(AND(Dados!$A132&gt;=Imóveis!$Q$4,Dados!$A132&lt;=Imóveis!$T$4),Imóveis!$S$4-(DATEDIF(Imóveis!$Q$4,Dados!$A132,"m")),0))=0,0,((Imóveis!$N$4/Imóveis!$S$4)+((Imóveis!$N$4-((Imóveis!$S$4-(IF(AND(Dados!$A132&gt;=Imóveis!$Q$4,Dados!$A132&lt;=Imóveis!$T$4),Imóveis!$S$4-(DATEDIF(Imóveis!$Q$4,Dados!$A132,"m")),)))*(Imóveis!$N$4/Imóveis!$S$4)))*Imóveis!$P$4))))*IF(AND(Imóveis!$E$4&gt;0,Dados!$A132&gt;Imóveis!$E$4),0,1)</f>
        <v>4643.949359272583</v>
      </c>
      <c r="L132" s="18">
        <f>IF(Imóveis!$F$5="PRICE",IF(AND(Dados!$A132&gt;=Imóveis!$Q$5,Dados!$A132&lt;=Imóveis!$T$5),Imóveis!$U$5,0),IF((IF(AND(Dados!$A132&gt;=Imóveis!$Q$5,Dados!$A132&lt;=Imóveis!$T$5),Imóveis!$S$5-(DATEDIF(Imóveis!$Q$5,Dados!$A132,"m")),0))=0,0,((Imóveis!$N$5/Imóveis!$S$5)+((Imóveis!$N$5-((Imóveis!$S$5-(IF(AND(Dados!$A132 &gt;=Imóveis!$Q$5,Dados!$A132&lt;=Imóveis!$T$5),Imóveis!$S$5-(DATEDIF(Imóveis!$Q$5,Dados!$A132,"m")),)))*(Imóveis!$N$5/Imóveis!$S$5)))*Imóveis!$P$5))))*IF(AND(Imóveis!$E$5&gt;0,Dados!$A132&gt;Imóveis!$E$5),0,1)*Imóveis!$I$5</f>
        <v>0</v>
      </c>
      <c r="M132" s="18">
        <f>IF(Imóveis!$F$6="PRICE",IF(AND(Dados!$A132&gt;=Imóveis!$Q$6,Dados!$A132&lt;=Imóveis!$T$6),Imóveis!$U$6,0),IF((IF(AND(Dados!$A132&gt;=Imóveis!$Q$6,Dados!$A132&lt;=Imóveis!$T$6),Imóveis!$S$6-(DATEDIF(Imóveis!$Q$6,Dados!$A132,"m")),0))=0,0,((Imóveis!$N$6/Imóveis!$S$6)+((Imóveis!$N$6-((Imóveis!$S$6-(IF(AND(Dados!$A132&gt;=Imóveis!$Q$6,Dados!$A132&lt;=Imóveis!$T$6),Imóveis!$S$6-(DATEDIF(Imóveis!$Q$6,Dados!$A132,"m")),)))*(Imóveis!$N$6/Imóveis!$S$6)))*Imóveis!$P$6))))*IF(AND(Imóveis!$E$6&gt;0,Dados!$A132&gt;Imóveis!$E$6),0,1)*Imóveis!$I$6</f>
        <v>0</v>
      </c>
      <c r="N132" s="18">
        <f t="shared" ca="1" si="21"/>
        <v>72372.781748290712</v>
      </c>
      <c r="O132" s="18">
        <f>SUMIFS(Receitas!$F:$F,Receitas!$J:$J,"&lt;="&amp;$A132,Receitas!$L:$L,"&gt;="&amp;$A132,Receitas!$C:$C,O$1,Receitas!$M:$M,"Mensal")+SUMIFS(Receitas!$F:$F,Receitas!$J:$J,"&lt;="&amp;$A132,Receitas!$L:$L,"&gt;="&amp;$A132,Receitas!$C:$C,O$1,Receitas!$M:$M,$B132)</f>
        <v>50000</v>
      </c>
      <c r="P132" s="18">
        <f>SUMIFS(Receitas!$F:$F,Receitas!$J:$J,"&lt;="&amp;$A132,Receitas!$L:$L,"&gt;="&amp;$A132,Receitas!$C:$C,P$1,Receitas!$M:$M,"Mensal")+SUMIFS(Receitas!$F:$F,Receitas!$J:$J,"&lt;="&amp;$A132,Receitas!$L:$L,"&gt;="&amp;$A132,Receitas!$C:$C,P$1,Receitas!$M:$M,$B132)</f>
        <v>86666.666666666672</v>
      </c>
      <c r="Q132" s="18">
        <f>SUMIFS(Receitas!$F:$F,Receitas!$J:$J,"&lt;="&amp;$A132,Receitas!$L:$L,"&gt;="&amp;$A132,Receitas!$C:$C,Q$1,Receitas!$M:$M,"Mensal")+SUMIFS(Receitas!$F:$F,Receitas!$J:$J,"&lt;="&amp;$A132,Receitas!$L:$L,"&gt;="&amp;$A132,Receitas!$C:$C,Q$1,Receitas!$M:$M,$B132)</f>
        <v>3950</v>
      </c>
      <c r="R132" s="18" cm="1">
        <f t="array" ref="R132">(IF(AND(Membros!$F$2="Sim",A132&lt;=MAX(Membros!$E$2:$E$5)),Membros!K$2,IF(AND(A132&gt;=Membros!J$2,A132&lt;=MAX(Membros!$E$2:$E$5)),Membros!K$2,0))+IF(AND(Membros!$F$3="Sim",A132&lt;=MAX(Membros!$E$2:$E$5)),Membros!K$3,IF(AND(A132&gt;=Membros!J$3,A132&lt;=MAX(Membros!$E$2:$E$5)),Membros!K$3,0)))*IF(AND(COUNTIFS(Tabela3[Tipo],"Provedor",Tabela3[Simulação Seguro],"Sim")=2,A132&gt;=MAX(IF(Tabela3[Tipo]="Dependente",Tabela3[Expectativa de Vida (Data)]))),0,1)</f>
        <v>0</v>
      </c>
      <c r="S132" s="18">
        <f t="shared" si="22"/>
        <v>140616.66666666669</v>
      </c>
      <c r="U132" s="18">
        <f t="shared" ref="U132:U195" ca="1" si="25">Z131</f>
        <v>7068072.3685976341</v>
      </c>
      <c r="V132" s="18">
        <f>SUMIF(Imóveis!E:E,Dados!A:A,Imóveis!Z:Z)-SUMIF(Imóveis!E:E,Dados!A:A,Imóveis!Y:Y)</f>
        <v>0</v>
      </c>
      <c r="W132" s="18">
        <f>-SUMIF(Projetos!N:N,A132,Projetos!F:F)</f>
        <v>0</v>
      </c>
      <c r="X132" s="18">
        <f t="shared" ca="1" si="19"/>
        <v>68243.884918375974</v>
      </c>
      <c r="Y132" s="26">
        <f ca="1">(U132*((Indicadores_Economicos!D$2+1)^(1/12)-1))</f>
        <v>23139.029696538986</v>
      </c>
      <c r="Z132" s="18">
        <f t="shared" ca="1" si="23"/>
        <v>7159455.2832125491</v>
      </c>
      <c r="AA132" s="18">
        <f ca="1">Auxiliar_Projetos!E132</f>
        <v>79031.452573014889</v>
      </c>
      <c r="AB132" s="18">
        <f ca="1">Auxiliar_Projetos!K132</f>
        <v>440655.67011135619</v>
      </c>
      <c r="AC132" s="18">
        <f ca="1">IF(Z132-AA132-AB132&gt;Investimentos!$C$14,Investimentos!$C$14,IF(Z132-AA132-AB132&lt;Investimentos!$C$14,Z132-AA132-AB132,0))</f>
        <v>300000</v>
      </c>
      <c r="AD132" s="18">
        <f t="shared" ca="1" si="24"/>
        <v>6339768.1605281774</v>
      </c>
      <c r="AE132" s="18"/>
    </row>
    <row r="133" spans="1:31" x14ac:dyDescent="0.2">
      <c r="A133" s="4">
        <v>49644</v>
      </c>
      <c r="B133" s="5" t="str">
        <f t="shared" si="20"/>
        <v>dezembro</v>
      </c>
      <c r="C133" s="5" t="str">
        <f t="shared" si="18"/>
        <v>2035</v>
      </c>
      <c r="D133" s="5">
        <f>SUMIFS(Despesas!$F:$F,Despesas!$J:$J,"&lt;="&amp;$A133,Despesas!$L:$L,"&gt;="&amp;$A133,Despesas!$C:$C,D$1,Despesas!$M:$M,"Mensal")+SUMIFS(Despesas!$F:$F,Despesas!$J:$J,"&lt;="&amp;$A133,Despesas!$L:$L,"&gt;="&amp;$A133,Despesas!$C:$C,D$1,Despesas!$M:$M,$B133)</f>
        <v>23000</v>
      </c>
      <c r="E133" s="18">
        <f>SUMIFS(Despesas!$F:$F,Despesas!$J:$J,"&lt;="&amp;$A133,Despesas!$L:$L,"&gt;="&amp;$A133,Despesas!$C:$C,E$1,Despesas!$M:$M,"Mensal")+SUMIFS(Despesas!$F:$F,Despesas!$J:$J,"&lt;="&amp;$A133,Despesas!$L:$L,"&gt;="&amp;$A133,Despesas!$C:$C,E$1,Despesas!$M:$M,$B133)</f>
        <v>19000</v>
      </c>
      <c r="F133" s="5">
        <f>SUMIFS(Despesas!$F:$F,Despesas!$J:$J,"&lt;="&amp;$A133,Despesas!$L:$L,"&gt;="&amp;$A133,Despesas!$C:$C,F$1,Despesas!$M:$M,"Mensal")+SUMIFS(Despesas!$F:$F,Despesas!$J:$J,"&lt;="&amp;$A133,Despesas!$L:$L,"&gt;="&amp;$A133,Despesas!$C:$C,F$1,Despesas!$M:$M,$B133)</f>
        <v>13000</v>
      </c>
      <c r="G133" s="5">
        <f ca="1">SUMIFS(Despesas!$F:$F,Despesas!$J:$J,"&lt;="&amp;$A133,Despesas!$L:$L,"&gt;="&amp;$A133,Despesas!$C:$C,G$1,Despesas!$M:$M,"Mensal")+SUMIFS(Despesas!$F:$F,Despesas!$J:$J,"&lt;="&amp;$A133,Despesas!$L:$L,"&gt;="&amp;$A133,Despesas!$C:$C,G$1,Despesas!$M:$M,$B133)</f>
        <v>55757</v>
      </c>
      <c r="H133" s="18">
        <f>SUMIFS(Despesas!$F:$F,Despesas!$J:$J,"&lt;="&amp;$A133,Despesas!$L:$L,"&gt;="&amp;$A133,Despesas!$C:$C,H$1,Despesas!$M:$M,"Mensal")+SUMIFS(Despesas!$F:$F,Despesas!$J:$J,"&lt;="&amp;$A133,Despesas!$L:$L,"&gt;="&amp;$A133,Despesas!$C:$C,H$1,Despesas!$M:$M,$B133)</f>
        <v>1850</v>
      </c>
      <c r="I133" s="18">
        <f>IF(Imóveis!$F$2="PRICE",IF(AND(Dados!$A133&gt;=Imóveis!$Q$2,Dados!$A133&lt;=Imóveis!$T$2),Imóveis!$U$2,0),IF((IF(AND(Dados!$A133&gt;=Imóveis!$Q$2,Dados!$A133&lt;=Imóveis!$T$2),Imóveis!$S$2-(DATEDIF(Imóveis!$Q$2,Dados!$A133,"m")),0))=0,0,((Imóveis!$N$2/Imóveis!$S$2)+((Imóveis!$N$2-((Imóveis!$S$2-(IF(AND(Dados!$A133&gt;=Imóveis!$Q$2,Dados!$A133&lt;=Imóveis!$T$2),Imóveis!$S$2-(DATEDIF(Imóveis!$Q$2,Dados!$A133,"m")),)))*(Imóveis!$N$2/Imóveis!$S$2)))*Imóveis!$P$2))))*IF(AND(Imóveis!$E$2&gt;0,Dados!$A133&gt;Imóveis!$E$2),0,1)</f>
        <v>10816.811296793323</v>
      </c>
      <c r="J133" s="18">
        <f ca="1">IF(Imóveis!$F$3="PRICE",IF(AND(Dados!$A133&gt;=Imóveis!$Q$3,Dados!$A133&lt;=Imóveis!$T$3),Imóveis!$U$3,0),IF((IF(AND(Dados!$A133&gt;=Imóveis!$Q$3,Dados!$A133&lt;=Imóveis!$T$3),Imóveis!$S$3-(DATEDIF(Imóveis!$Q$3,Dados!$A133,"m")),0))=0,0,((Imóveis!$N$3/Imóveis!$S$3)+((Imóveis!$N$3-((Imóveis!$S$3-(IF(AND(Dados!$A133&gt;=Imóveis!$Q$3,Dados!$A133&lt;=Imóveis!$T$3),Imóveis!$S$3-(DATEDIF(Imóveis!$Q$3,Dados!$A133,"m")),)))*(Imóveis!$N$3/Imóveis!$S$3)))*Imóveis!$P$3))))*IF(AND(Imóveis!$E$3&gt;0,Dados!$A133&gt;Imóveis!$E$3),0,1)</f>
        <v>0</v>
      </c>
      <c r="K133" s="18">
        <f>IF(Imóveis!$F$4="PRICE",IF(AND(Dados!$A133&gt;=Imóveis!$Q$4,Dados!$A133&lt;=Imóveis!$T$4),Imóveis!$U$4,0),IF((IF(AND(Dados!$A133&gt;=Imóveis!$Q$4,Dados!$A133&lt;=Imóveis!$T$4),Imóveis!$S$4-(DATEDIF(Imóveis!$Q$4,Dados!$A133,"m")),0))=0,0,((Imóveis!$N$4/Imóveis!$S$4)+((Imóveis!$N$4-((Imóveis!$S$4-(IF(AND(Dados!$A133&gt;=Imóveis!$Q$4,Dados!$A133&lt;=Imóveis!$T$4),Imóveis!$S$4-(DATEDIF(Imóveis!$Q$4,Dados!$A133,"m")),)))*(Imóveis!$N$4/Imóveis!$S$4)))*Imóveis!$P$4))))*IF(AND(Imóveis!$E$4&gt;0,Dados!$A133&gt;Imóveis!$E$4),0,1)</f>
        <v>4643.949359272583</v>
      </c>
      <c r="L133" s="18">
        <f>IF(Imóveis!$F$5="PRICE",IF(AND(Dados!$A133&gt;=Imóveis!$Q$5,Dados!$A133&lt;=Imóveis!$T$5),Imóveis!$U$5,0),IF((IF(AND(Dados!$A133&gt;=Imóveis!$Q$5,Dados!$A133&lt;=Imóveis!$T$5),Imóveis!$S$5-(DATEDIF(Imóveis!$Q$5,Dados!$A133,"m")),0))=0,0,((Imóveis!$N$5/Imóveis!$S$5)+((Imóveis!$N$5-((Imóveis!$S$5-(IF(AND(Dados!$A133 &gt;=Imóveis!$Q$5,Dados!$A133&lt;=Imóveis!$T$5),Imóveis!$S$5-(DATEDIF(Imóveis!$Q$5,Dados!$A133,"m")),)))*(Imóveis!$N$5/Imóveis!$S$5)))*Imóveis!$P$5))))*IF(AND(Imóveis!$E$5&gt;0,Dados!$A133&gt;Imóveis!$E$5),0,1)*Imóveis!$I$5</f>
        <v>0</v>
      </c>
      <c r="M133" s="18">
        <f>IF(Imóveis!$F$6="PRICE",IF(AND(Dados!$A133&gt;=Imóveis!$Q$6,Dados!$A133&lt;=Imóveis!$T$6),Imóveis!$U$6,0),IF((IF(AND(Dados!$A133&gt;=Imóveis!$Q$6,Dados!$A133&lt;=Imóveis!$T$6),Imóveis!$S$6-(DATEDIF(Imóveis!$Q$6,Dados!$A133,"m")),0))=0,0,((Imóveis!$N$6/Imóveis!$S$6)+((Imóveis!$N$6-((Imóveis!$S$6-(IF(AND(Dados!$A133&gt;=Imóveis!$Q$6,Dados!$A133&lt;=Imóveis!$T$6),Imóveis!$S$6-(DATEDIF(Imóveis!$Q$6,Dados!$A133,"m")),)))*(Imóveis!$N$6/Imóveis!$S$6)))*Imóveis!$P$6))))*IF(AND(Imóveis!$E$6&gt;0,Dados!$A133&gt;Imóveis!$E$6),0,1)*Imóveis!$I$6</f>
        <v>0</v>
      </c>
      <c r="N133" s="18">
        <f t="shared" ca="1" si="21"/>
        <v>128067.7606560659</v>
      </c>
      <c r="O133" s="18">
        <f>SUMIFS(Receitas!$F:$F,Receitas!$J:$J,"&lt;="&amp;$A133,Receitas!$L:$L,"&gt;="&amp;$A133,Receitas!$C:$C,O$1,Receitas!$M:$M,"Mensal")+SUMIFS(Receitas!$F:$F,Receitas!$J:$J,"&lt;="&amp;$A133,Receitas!$L:$L,"&gt;="&amp;$A133,Receitas!$C:$C,O$1,Receitas!$M:$M,$B133)</f>
        <v>50000</v>
      </c>
      <c r="P133" s="18">
        <f>SUMIFS(Receitas!$F:$F,Receitas!$J:$J,"&lt;="&amp;$A133,Receitas!$L:$L,"&gt;="&amp;$A133,Receitas!$C:$C,P$1,Receitas!$M:$M,"Mensal")+SUMIFS(Receitas!$F:$F,Receitas!$J:$J,"&lt;="&amp;$A133,Receitas!$L:$L,"&gt;="&amp;$A133,Receitas!$C:$C,P$1,Receitas!$M:$M,$B133)</f>
        <v>20000</v>
      </c>
      <c r="Q133" s="18">
        <f>SUMIFS(Receitas!$F:$F,Receitas!$J:$J,"&lt;="&amp;$A133,Receitas!$L:$L,"&gt;="&amp;$A133,Receitas!$C:$C,Q$1,Receitas!$M:$M,"Mensal")+SUMIFS(Receitas!$F:$F,Receitas!$J:$J,"&lt;="&amp;$A133,Receitas!$L:$L,"&gt;="&amp;$A133,Receitas!$C:$C,Q$1,Receitas!$M:$M,$B133)</f>
        <v>3950</v>
      </c>
      <c r="R133" s="18" cm="1">
        <f t="array" ref="R133">(IF(AND(Membros!$F$2="Sim",A133&lt;=MAX(Membros!$E$2:$E$5)),Membros!K$2,IF(AND(A133&gt;=Membros!J$2,A133&lt;=MAX(Membros!$E$2:$E$5)),Membros!K$2,0))+IF(AND(Membros!$F$3="Sim",A133&lt;=MAX(Membros!$E$2:$E$5)),Membros!K$3,IF(AND(A133&gt;=Membros!J$3,A133&lt;=MAX(Membros!$E$2:$E$5)),Membros!K$3,0)))*IF(AND(COUNTIFS(Tabela3[Tipo],"Provedor",Tabela3[Simulação Seguro],"Sim")=2,A133&gt;=MAX(IF(Tabela3[Tipo]="Dependente",Tabela3[Expectativa de Vida (Data)]))),0,1)</f>
        <v>0</v>
      </c>
      <c r="S133" s="18">
        <f t="shared" si="22"/>
        <v>73950</v>
      </c>
      <c r="U133" s="18">
        <f t="shared" ca="1" si="25"/>
        <v>7159455.2832125491</v>
      </c>
      <c r="V133" s="18">
        <f>SUMIF(Imóveis!E:E,Dados!A:A,Imóveis!Z:Z)-SUMIF(Imóveis!E:E,Dados!A:A,Imóveis!Y:Y)</f>
        <v>0</v>
      </c>
      <c r="W133" s="18">
        <f>-SUMIF(Projetos!N:N,A133,Projetos!F:F)</f>
        <v>0</v>
      </c>
      <c r="X133" s="18">
        <f t="shared" ca="1" si="19"/>
        <v>-54117.760656065904</v>
      </c>
      <c r="Y133" s="26">
        <f ca="1">(U133*((Indicadores_Economicos!D$2+1)^(1/12)-1))</f>
        <v>23438.193579527117</v>
      </c>
      <c r="Z133" s="18">
        <f t="shared" ca="1" si="23"/>
        <v>7128775.7161360104</v>
      </c>
      <c r="AA133" s="18">
        <f ca="1">Auxiliar_Projetos!E133</f>
        <v>79290.180983348138</v>
      </c>
      <c r="AB133" s="18">
        <f ca="1">Auxiliar_Projetos!K133</f>
        <v>442098.26210885128</v>
      </c>
      <c r="AC133" s="18">
        <f ca="1">IF(Z133-AA133-AB133&gt;Investimentos!$C$14,Investimentos!$C$14,IF(Z133-AA133-AB133&lt;Investimentos!$C$14,Z133-AA133-AB133,0))</f>
        <v>300000</v>
      </c>
      <c r="AD133" s="18">
        <f t="shared" ca="1" si="24"/>
        <v>6307387.2730438113</v>
      </c>
      <c r="AE133" s="18"/>
    </row>
    <row r="134" spans="1:31" x14ac:dyDescent="0.2">
      <c r="A134" s="4">
        <v>49675</v>
      </c>
      <c r="B134" s="5" t="str">
        <f t="shared" si="20"/>
        <v>janeiro</v>
      </c>
      <c r="C134" s="5" t="str">
        <f t="shared" si="18"/>
        <v>2036</v>
      </c>
      <c r="D134" s="5">
        <f>SUMIFS(Despesas!$F:$F,Despesas!$J:$J,"&lt;="&amp;$A134,Despesas!$L:$L,"&gt;="&amp;$A134,Despesas!$C:$C,D$1,Despesas!$M:$M,"Mensal")+SUMIFS(Despesas!$F:$F,Despesas!$J:$J,"&lt;="&amp;$A134,Despesas!$L:$L,"&gt;="&amp;$A134,Despesas!$C:$C,D$1,Despesas!$M:$M,$B134)</f>
        <v>23000</v>
      </c>
      <c r="E134" s="18">
        <f>SUMIFS(Despesas!$F:$F,Despesas!$J:$J,"&lt;="&amp;$A134,Despesas!$L:$L,"&gt;="&amp;$A134,Despesas!$C:$C,E$1,Despesas!$M:$M,"Mensal")+SUMIFS(Despesas!$F:$F,Despesas!$J:$J,"&lt;="&amp;$A134,Despesas!$L:$L,"&gt;="&amp;$A134,Despesas!$C:$C,E$1,Despesas!$M:$M,$B134)</f>
        <v>13000</v>
      </c>
      <c r="F134" s="5">
        <f>SUMIFS(Despesas!$F:$F,Despesas!$J:$J,"&lt;="&amp;$A134,Despesas!$L:$L,"&gt;="&amp;$A134,Despesas!$C:$C,F$1,Despesas!$M:$M,"Mensal")+SUMIFS(Despesas!$F:$F,Despesas!$J:$J,"&lt;="&amp;$A134,Despesas!$L:$L,"&gt;="&amp;$A134,Despesas!$C:$C,F$1,Despesas!$M:$M,$B134)</f>
        <v>13000</v>
      </c>
      <c r="G134" s="5">
        <f>SUMIFS(Despesas!$F:$F,Despesas!$J:$J,"&lt;="&amp;$A134,Despesas!$L:$L,"&gt;="&amp;$A134,Despesas!$C:$C,G$1,Despesas!$M:$M,"Mensal")+SUMIFS(Despesas!$F:$F,Despesas!$J:$J,"&lt;="&amp;$A134,Despesas!$L:$L,"&gt;="&amp;$A134,Despesas!$C:$C,G$1,Despesas!$M:$M,$B134)</f>
        <v>0</v>
      </c>
      <c r="H134" s="18">
        <f>SUMIFS(Despesas!$F:$F,Despesas!$J:$J,"&lt;="&amp;$A134,Despesas!$L:$L,"&gt;="&amp;$A134,Despesas!$C:$C,H$1,Despesas!$M:$M,"Mensal")+SUMIFS(Despesas!$F:$F,Despesas!$J:$J,"&lt;="&amp;$A134,Despesas!$L:$L,"&gt;="&amp;$A134,Despesas!$C:$C,H$1,Despesas!$M:$M,$B134)</f>
        <v>1850</v>
      </c>
      <c r="I134" s="18">
        <f>IF(Imóveis!$F$2="PRICE",IF(AND(Dados!$A134&gt;=Imóveis!$Q$2,Dados!$A134&lt;=Imóveis!$T$2),Imóveis!$U$2,0),IF((IF(AND(Dados!$A134&gt;=Imóveis!$Q$2,Dados!$A134&lt;=Imóveis!$T$2),Imóveis!$S$2-(DATEDIF(Imóveis!$Q$2,Dados!$A134,"m")),0))=0,0,((Imóveis!$N$2/Imóveis!$S$2)+((Imóveis!$N$2-((Imóveis!$S$2-(IF(AND(Dados!$A134&gt;=Imóveis!$Q$2,Dados!$A134&lt;=Imóveis!$T$2),Imóveis!$S$2-(DATEDIF(Imóveis!$Q$2,Dados!$A134,"m")),)))*(Imóveis!$N$2/Imóveis!$S$2)))*Imóveis!$P$2))))*IF(AND(Imóveis!$E$2&gt;0,Dados!$A134&gt;Imóveis!$E$2),0,1)</f>
        <v>10754.790204568517</v>
      </c>
      <c r="J134" s="18">
        <f ca="1">IF(Imóveis!$F$3="PRICE",IF(AND(Dados!$A134&gt;=Imóveis!$Q$3,Dados!$A134&lt;=Imóveis!$T$3),Imóveis!$U$3,0),IF((IF(AND(Dados!$A134&gt;=Imóveis!$Q$3,Dados!$A134&lt;=Imóveis!$T$3),Imóveis!$S$3-(DATEDIF(Imóveis!$Q$3,Dados!$A134,"m")),0))=0,0,((Imóveis!$N$3/Imóveis!$S$3)+((Imóveis!$N$3-((Imóveis!$S$3-(IF(AND(Dados!$A134&gt;=Imóveis!$Q$3,Dados!$A134&lt;=Imóveis!$T$3),Imóveis!$S$3-(DATEDIF(Imóveis!$Q$3,Dados!$A134,"m")),)))*(Imóveis!$N$3/Imóveis!$S$3)))*Imóveis!$P$3))))*IF(AND(Imóveis!$E$3&gt;0,Dados!$A134&gt;Imóveis!$E$3),0,1)</f>
        <v>0</v>
      </c>
      <c r="K134" s="18">
        <f>IF(Imóveis!$F$4="PRICE",IF(AND(Dados!$A134&gt;=Imóveis!$Q$4,Dados!$A134&lt;=Imóveis!$T$4),Imóveis!$U$4,0),IF((IF(AND(Dados!$A134&gt;=Imóveis!$Q$4,Dados!$A134&lt;=Imóveis!$T$4),Imóveis!$S$4-(DATEDIF(Imóveis!$Q$4,Dados!$A134,"m")),0))=0,0,((Imóveis!$N$4/Imóveis!$S$4)+((Imóveis!$N$4-((Imóveis!$S$4-(IF(AND(Dados!$A134&gt;=Imóveis!$Q$4,Dados!$A134&lt;=Imóveis!$T$4),Imóveis!$S$4-(DATEDIF(Imóveis!$Q$4,Dados!$A134,"m")),)))*(Imóveis!$N$4/Imóveis!$S$4)))*Imóveis!$P$4))))*IF(AND(Imóveis!$E$4&gt;0,Dados!$A134&gt;Imóveis!$E$4),0,1)</f>
        <v>4643.949359272583</v>
      </c>
      <c r="L134" s="18">
        <f>IF(Imóveis!$F$5="PRICE",IF(AND(Dados!$A134&gt;=Imóveis!$Q$5,Dados!$A134&lt;=Imóveis!$T$5),Imóveis!$U$5,0),IF((IF(AND(Dados!$A134&gt;=Imóveis!$Q$5,Dados!$A134&lt;=Imóveis!$T$5),Imóveis!$S$5-(DATEDIF(Imóveis!$Q$5,Dados!$A134,"m")),0))=0,0,((Imóveis!$N$5/Imóveis!$S$5)+((Imóveis!$N$5-((Imóveis!$S$5-(IF(AND(Dados!$A134 &gt;=Imóveis!$Q$5,Dados!$A134&lt;=Imóveis!$T$5),Imóveis!$S$5-(DATEDIF(Imóveis!$Q$5,Dados!$A134,"m")),)))*(Imóveis!$N$5/Imóveis!$S$5)))*Imóveis!$P$5))))*IF(AND(Imóveis!$E$5&gt;0,Dados!$A134&gt;Imóveis!$E$5),0,1)*Imóveis!$I$5</f>
        <v>0</v>
      </c>
      <c r="M134" s="18">
        <f>IF(Imóveis!$F$6="PRICE",IF(AND(Dados!$A134&gt;=Imóveis!$Q$6,Dados!$A134&lt;=Imóveis!$T$6),Imóveis!$U$6,0),IF((IF(AND(Dados!$A134&gt;=Imóveis!$Q$6,Dados!$A134&lt;=Imóveis!$T$6),Imóveis!$S$6-(DATEDIF(Imóveis!$Q$6,Dados!$A134,"m")),0))=0,0,((Imóveis!$N$6/Imóveis!$S$6)+((Imóveis!$N$6-((Imóveis!$S$6-(IF(AND(Dados!$A134&gt;=Imóveis!$Q$6,Dados!$A134&lt;=Imóveis!$T$6),Imóveis!$S$6-(DATEDIF(Imóveis!$Q$6,Dados!$A134,"m")),)))*(Imóveis!$N$6/Imóveis!$S$6)))*Imóveis!$P$6))))*IF(AND(Imóveis!$E$6&gt;0,Dados!$A134&gt;Imóveis!$E$6),0,1)*Imóveis!$I$6</f>
        <v>0</v>
      </c>
      <c r="N134" s="18">
        <f t="shared" ca="1" si="21"/>
        <v>66248.739563841096</v>
      </c>
      <c r="O134" s="18">
        <f>SUMIFS(Receitas!$F:$F,Receitas!$J:$J,"&lt;="&amp;$A134,Receitas!$L:$L,"&gt;="&amp;$A134,Receitas!$C:$C,O$1,Receitas!$M:$M,"Mensal")+SUMIFS(Receitas!$F:$F,Receitas!$J:$J,"&lt;="&amp;$A134,Receitas!$L:$L,"&gt;="&amp;$A134,Receitas!$C:$C,O$1,Receitas!$M:$M,$B134)</f>
        <v>50000</v>
      </c>
      <c r="P134" s="18">
        <f>SUMIFS(Receitas!$F:$F,Receitas!$J:$J,"&lt;="&amp;$A134,Receitas!$L:$L,"&gt;="&amp;$A134,Receitas!$C:$C,P$1,Receitas!$M:$M,"Mensal")+SUMIFS(Receitas!$F:$F,Receitas!$J:$J,"&lt;="&amp;$A134,Receitas!$L:$L,"&gt;="&amp;$A134,Receitas!$C:$C,P$1,Receitas!$M:$M,$B134)</f>
        <v>20000</v>
      </c>
      <c r="Q134" s="18">
        <f>SUMIFS(Receitas!$F:$F,Receitas!$J:$J,"&lt;="&amp;$A134,Receitas!$L:$L,"&gt;="&amp;$A134,Receitas!$C:$C,Q$1,Receitas!$M:$M,"Mensal")+SUMIFS(Receitas!$F:$F,Receitas!$J:$J,"&lt;="&amp;$A134,Receitas!$L:$L,"&gt;="&amp;$A134,Receitas!$C:$C,Q$1,Receitas!$M:$M,$B134)</f>
        <v>3950</v>
      </c>
      <c r="R134" s="18" cm="1">
        <f t="array" ref="R134">(IF(AND(Membros!$F$2="Sim",A134&lt;=MAX(Membros!$E$2:$E$5)),Membros!K$2,IF(AND(A134&gt;=Membros!J$2,A134&lt;=MAX(Membros!$E$2:$E$5)),Membros!K$2,0))+IF(AND(Membros!$F$3="Sim",A134&lt;=MAX(Membros!$E$2:$E$5)),Membros!K$3,IF(AND(A134&gt;=Membros!J$3,A134&lt;=MAX(Membros!$E$2:$E$5)),Membros!K$3,0)))*IF(AND(COUNTIFS(Tabela3[Tipo],"Provedor",Tabela3[Simulação Seguro],"Sim")=2,A134&gt;=MAX(IF(Tabela3[Tipo]="Dependente",Tabela3[Expectativa de Vida (Data)]))),0,1)</f>
        <v>0</v>
      </c>
      <c r="S134" s="18">
        <f t="shared" si="22"/>
        <v>73950</v>
      </c>
      <c r="U134" s="18">
        <f t="shared" ca="1" si="25"/>
        <v>7128775.7161360104</v>
      </c>
      <c r="V134" s="18">
        <f>SUMIF(Imóveis!E:E,Dados!A:A,Imóveis!Z:Z)-SUMIF(Imóveis!E:E,Dados!A:A,Imóveis!Y:Y)</f>
        <v>458941.18011382036</v>
      </c>
      <c r="W134" s="18">
        <f>-SUMIF(Projetos!N:N,A134,Projetos!F:F)</f>
        <v>0</v>
      </c>
      <c r="X134" s="18">
        <f t="shared" ca="1" si="19"/>
        <v>7701.2604361589038</v>
      </c>
      <c r="Y134" s="26">
        <f ca="1">(U134*((Indicadores_Economicos!D$2+1)^(1/12)-1))</f>
        <v>23337.756660288014</v>
      </c>
      <c r="Z134" s="18">
        <f t="shared" ca="1" si="23"/>
        <v>7618755.9133462775</v>
      </c>
      <c r="AA134" s="18">
        <f ca="1">Auxiliar_Projetos!E134</f>
        <v>79549.756403171079</v>
      </c>
      <c r="AB134" s="18">
        <f ca="1">Auxiliar_Projetos!K134</f>
        <v>443545.57677715801</v>
      </c>
      <c r="AC134" s="18">
        <f ca="1">IF(Z134-AA134-AB134&gt;Investimentos!$C$14,Investimentos!$C$14,IF(Z134-AA134-AB134&lt;Investimentos!$C$14,Z134-AA134-AB134,0))</f>
        <v>300000</v>
      </c>
      <c r="AD134" s="18">
        <f t="shared" ca="1" si="24"/>
        <v>6795660.5801659478</v>
      </c>
      <c r="AE134" s="18"/>
    </row>
    <row r="135" spans="1:31" x14ac:dyDescent="0.2">
      <c r="A135" s="4">
        <v>49706</v>
      </c>
      <c r="B135" s="5" t="str">
        <f t="shared" si="20"/>
        <v>fevereiro</v>
      </c>
      <c r="C135" s="5" t="str">
        <f t="shared" si="18"/>
        <v>2036</v>
      </c>
      <c r="D135" s="5">
        <f>SUMIFS(Despesas!$F:$F,Despesas!$J:$J,"&lt;="&amp;$A135,Despesas!$L:$L,"&gt;="&amp;$A135,Despesas!$C:$C,D$1,Despesas!$M:$M,"Mensal")+SUMIFS(Despesas!$F:$F,Despesas!$J:$J,"&lt;="&amp;$A135,Despesas!$L:$L,"&gt;="&amp;$A135,Despesas!$C:$C,D$1,Despesas!$M:$M,$B135)</f>
        <v>23000</v>
      </c>
      <c r="E135" s="18">
        <f>SUMIFS(Despesas!$F:$F,Despesas!$J:$J,"&lt;="&amp;$A135,Despesas!$L:$L,"&gt;="&amp;$A135,Despesas!$C:$C,E$1,Despesas!$M:$M,"Mensal")+SUMIFS(Despesas!$F:$F,Despesas!$J:$J,"&lt;="&amp;$A135,Despesas!$L:$L,"&gt;="&amp;$A135,Despesas!$C:$C,E$1,Despesas!$M:$M,$B135)</f>
        <v>13000</v>
      </c>
      <c r="F135" s="5">
        <f>SUMIFS(Despesas!$F:$F,Despesas!$J:$J,"&lt;="&amp;$A135,Despesas!$L:$L,"&gt;="&amp;$A135,Despesas!$C:$C,F$1,Despesas!$M:$M,"Mensal")+SUMIFS(Despesas!$F:$F,Despesas!$J:$J,"&lt;="&amp;$A135,Despesas!$L:$L,"&gt;="&amp;$A135,Despesas!$C:$C,F$1,Despesas!$M:$M,$B135)</f>
        <v>13000</v>
      </c>
      <c r="G135" s="5">
        <f>SUMIFS(Despesas!$F:$F,Despesas!$J:$J,"&lt;="&amp;$A135,Despesas!$L:$L,"&gt;="&amp;$A135,Despesas!$C:$C,G$1,Despesas!$M:$M,"Mensal")+SUMIFS(Despesas!$F:$F,Despesas!$J:$J,"&lt;="&amp;$A135,Despesas!$L:$L,"&gt;="&amp;$A135,Despesas!$C:$C,G$1,Despesas!$M:$M,$B135)</f>
        <v>0</v>
      </c>
      <c r="H135" s="18">
        <f>SUMIFS(Despesas!$F:$F,Despesas!$J:$J,"&lt;="&amp;$A135,Despesas!$L:$L,"&gt;="&amp;$A135,Despesas!$C:$C,H$1,Despesas!$M:$M,"Mensal")+SUMIFS(Despesas!$F:$F,Despesas!$J:$J,"&lt;="&amp;$A135,Despesas!$L:$L,"&gt;="&amp;$A135,Despesas!$C:$C,H$1,Despesas!$M:$M,$B135)</f>
        <v>2200</v>
      </c>
      <c r="I135" s="18">
        <f>IF(Imóveis!$F$2="PRICE",IF(AND(Dados!$A135&gt;=Imóveis!$Q$2,Dados!$A135&lt;=Imóveis!$T$2),Imóveis!$U$2,0),IF((IF(AND(Dados!$A135&gt;=Imóveis!$Q$2,Dados!$A135&lt;=Imóveis!$T$2),Imóveis!$S$2-(DATEDIF(Imóveis!$Q$2,Dados!$A135,"m")),0))=0,0,((Imóveis!$N$2/Imóveis!$S$2)+((Imóveis!$N$2-((Imóveis!$S$2-(IF(AND(Dados!$A135&gt;=Imóveis!$Q$2,Dados!$A135&lt;=Imóveis!$T$2),Imóveis!$S$2-(DATEDIF(Imóveis!$Q$2,Dados!$A135,"m")),)))*(Imóveis!$N$2/Imóveis!$S$2)))*Imóveis!$P$2))))*IF(AND(Imóveis!$E$2&gt;0,Dados!$A135&gt;Imóveis!$E$2),0,1)</f>
        <v>10692.769112343709</v>
      </c>
      <c r="J135" s="18">
        <f ca="1">IF(Imóveis!$F$3="PRICE",IF(AND(Dados!$A135&gt;=Imóveis!$Q$3,Dados!$A135&lt;=Imóveis!$T$3),Imóveis!$U$3,0),IF((IF(AND(Dados!$A135&gt;=Imóveis!$Q$3,Dados!$A135&lt;=Imóveis!$T$3),Imóveis!$S$3-(DATEDIF(Imóveis!$Q$3,Dados!$A135,"m")),0))=0,0,((Imóveis!$N$3/Imóveis!$S$3)+((Imóveis!$N$3-((Imóveis!$S$3-(IF(AND(Dados!$A135&gt;=Imóveis!$Q$3,Dados!$A135&lt;=Imóveis!$T$3),Imóveis!$S$3-(DATEDIF(Imóveis!$Q$3,Dados!$A135,"m")),)))*(Imóveis!$N$3/Imóveis!$S$3)))*Imóveis!$P$3))))*IF(AND(Imóveis!$E$3&gt;0,Dados!$A135&gt;Imóveis!$E$3),0,1)</f>
        <v>0</v>
      </c>
      <c r="K135" s="18">
        <f>IF(Imóveis!$F$4="PRICE",IF(AND(Dados!$A135&gt;=Imóveis!$Q$4,Dados!$A135&lt;=Imóveis!$T$4),Imóveis!$U$4,0),IF((IF(AND(Dados!$A135&gt;=Imóveis!$Q$4,Dados!$A135&lt;=Imóveis!$T$4),Imóveis!$S$4-(DATEDIF(Imóveis!$Q$4,Dados!$A135,"m")),0))=0,0,((Imóveis!$N$4/Imóveis!$S$4)+((Imóveis!$N$4-((Imóveis!$S$4-(IF(AND(Dados!$A135&gt;=Imóveis!$Q$4,Dados!$A135&lt;=Imóveis!$T$4),Imóveis!$S$4-(DATEDIF(Imóveis!$Q$4,Dados!$A135,"m")),)))*(Imóveis!$N$4/Imóveis!$S$4)))*Imóveis!$P$4))))*IF(AND(Imóveis!$E$4&gt;0,Dados!$A135&gt;Imóveis!$E$4),0,1)</f>
        <v>0</v>
      </c>
      <c r="L135" s="18">
        <f>IF(Imóveis!$F$5="PRICE",IF(AND(Dados!$A135&gt;=Imóveis!$Q$5,Dados!$A135&lt;=Imóveis!$T$5),Imóveis!$U$5,0),IF((IF(AND(Dados!$A135&gt;=Imóveis!$Q$5,Dados!$A135&lt;=Imóveis!$T$5),Imóveis!$S$5-(DATEDIF(Imóveis!$Q$5,Dados!$A135,"m")),0))=0,0,((Imóveis!$N$5/Imóveis!$S$5)+((Imóveis!$N$5-((Imóveis!$S$5-(IF(AND(Dados!$A135 &gt;=Imóveis!$Q$5,Dados!$A135&lt;=Imóveis!$T$5),Imóveis!$S$5-(DATEDIF(Imóveis!$Q$5,Dados!$A135,"m")),)))*(Imóveis!$N$5/Imóveis!$S$5)))*Imóveis!$P$5))))*IF(AND(Imóveis!$E$5&gt;0,Dados!$A135&gt;Imóveis!$E$5),0,1)*Imóveis!$I$5</f>
        <v>0</v>
      </c>
      <c r="M135" s="18">
        <f>IF(Imóveis!$F$6="PRICE",IF(AND(Dados!$A135&gt;=Imóveis!$Q$6,Dados!$A135&lt;=Imóveis!$T$6),Imóveis!$U$6,0),IF((IF(AND(Dados!$A135&gt;=Imóveis!$Q$6,Dados!$A135&lt;=Imóveis!$T$6),Imóveis!$S$6-(DATEDIF(Imóveis!$Q$6,Dados!$A135,"m")),0))=0,0,((Imóveis!$N$6/Imóveis!$S$6)+((Imóveis!$N$6-((Imóveis!$S$6-(IF(AND(Dados!$A135&gt;=Imóveis!$Q$6,Dados!$A135&lt;=Imóveis!$T$6),Imóveis!$S$6-(DATEDIF(Imóveis!$Q$6,Dados!$A135,"m")),)))*(Imóveis!$N$6/Imóveis!$S$6)))*Imóveis!$P$6))))*IF(AND(Imóveis!$E$6&gt;0,Dados!$A135&gt;Imóveis!$E$6),0,1)*Imóveis!$I$6</f>
        <v>0</v>
      </c>
      <c r="N135" s="18">
        <f t="shared" ca="1" si="21"/>
        <v>61892.769112343711</v>
      </c>
      <c r="O135" s="18">
        <f>SUMIFS(Receitas!$F:$F,Receitas!$J:$J,"&lt;="&amp;$A135,Receitas!$L:$L,"&gt;="&amp;$A135,Receitas!$C:$C,O$1,Receitas!$M:$M,"Mensal")+SUMIFS(Receitas!$F:$F,Receitas!$J:$J,"&lt;="&amp;$A135,Receitas!$L:$L,"&gt;="&amp;$A135,Receitas!$C:$C,O$1,Receitas!$M:$M,$B135)</f>
        <v>50000</v>
      </c>
      <c r="P135" s="18">
        <f>SUMIFS(Receitas!$F:$F,Receitas!$J:$J,"&lt;="&amp;$A135,Receitas!$L:$L,"&gt;="&amp;$A135,Receitas!$C:$C,P$1,Receitas!$M:$M,"Mensal")+SUMIFS(Receitas!$F:$F,Receitas!$J:$J,"&lt;="&amp;$A135,Receitas!$L:$L,"&gt;="&amp;$A135,Receitas!$C:$C,P$1,Receitas!$M:$M,$B135)</f>
        <v>20000</v>
      </c>
      <c r="Q135" s="18">
        <f>SUMIFS(Receitas!$F:$F,Receitas!$J:$J,"&lt;="&amp;$A135,Receitas!$L:$L,"&gt;="&amp;$A135,Receitas!$C:$C,Q$1,Receitas!$M:$M,"Mensal")+SUMIFS(Receitas!$F:$F,Receitas!$J:$J,"&lt;="&amp;$A135,Receitas!$L:$L,"&gt;="&amp;$A135,Receitas!$C:$C,Q$1,Receitas!$M:$M,$B135)</f>
        <v>0</v>
      </c>
      <c r="R135" s="18" cm="1">
        <f t="array" ref="R135">(IF(AND(Membros!$F$2="Sim",A135&lt;=MAX(Membros!$E$2:$E$5)),Membros!K$2,IF(AND(A135&gt;=Membros!J$2,A135&lt;=MAX(Membros!$E$2:$E$5)),Membros!K$2,0))+IF(AND(Membros!$F$3="Sim",A135&lt;=MAX(Membros!$E$2:$E$5)),Membros!K$3,IF(AND(A135&gt;=Membros!J$3,A135&lt;=MAX(Membros!$E$2:$E$5)),Membros!K$3,0)))*IF(AND(COUNTIFS(Tabela3[Tipo],"Provedor",Tabela3[Simulação Seguro],"Sim")=2,A135&gt;=MAX(IF(Tabela3[Tipo]="Dependente",Tabela3[Expectativa de Vida (Data)]))),0,1)</f>
        <v>0</v>
      </c>
      <c r="S135" s="18">
        <f t="shared" si="22"/>
        <v>70000</v>
      </c>
      <c r="U135" s="18">
        <f t="shared" ca="1" si="25"/>
        <v>7618755.9133462775</v>
      </c>
      <c r="V135" s="18">
        <f>SUMIF(Imóveis!E:E,Dados!A:A,Imóveis!Z:Z)-SUMIF(Imóveis!E:E,Dados!A:A,Imóveis!Y:Y)</f>
        <v>0</v>
      </c>
      <c r="W135" s="18">
        <f>-SUMIF(Projetos!N:N,A135,Projetos!F:F)</f>
        <v>0</v>
      </c>
      <c r="X135" s="18">
        <f t="shared" ca="1" si="19"/>
        <v>8107.2308876562893</v>
      </c>
      <c r="Y135" s="26">
        <f ca="1">(U135*((Indicadores_Economicos!D$2+1)^(1/12)-1))</f>
        <v>24941.824324384936</v>
      </c>
      <c r="Z135" s="18">
        <f t="shared" ca="1" si="23"/>
        <v>7651804.9685583189</v>
      </c>
      <c r="AA135" s="18">
        <f ca="1">Auxiliar_Projetos!E135</f>
        <v>79810.181605372374</v>
      </c>
      <c r="AB135" s="18">
        <f ca="1">Auxiliar_Projetos!K135</f>
        <v>444997.62957707176</v>
      </c>
      <c r="AC135" s="18">
        <f ca="1">IF(Z135-AA135-AB135&gt;Investimentos!$C$14,Investimentos!$C$14,IF(Z135-AA135-AB135&lt;Investimentos!$C$14,Z135-AA135-AB135,0))</f>
        <v>300000</v>
      </c>
      <c r="AD135" s="18">
        <f t="shared" ca="1" si="24"/>
        <v>6826997.1573758749</v>
      </c>
      <c r="AE135" s="18"/>
    </row>
    <row r="136" spans="1:31" x14ac:dyDescent="0.2">
      <c r="A136" s="4">
        <v>49735</v>
      </c>
      <c r="B136" s="5" t="str">
        <f t="shared" si="20"/>
        <v>março</v>
      </c>
      <c r="C136" s="5" t="str">
        <f t="shared" si="18"/>
        <v>2036</v>
      </c>
      <c r="D136" s="5">
        <f>SUMIFS(Despesas!$F:$F,Despesas!$J:$J,"&lt;="&amp;$A136,Despesas!$L:$L,"&gt;="&amp;$A136,Despesas!$C:$C,D$1,Despesas!$M:$M,"Mensal")+SUMIFS(Despesas!$F:$F,Despesas!$J:$J,"&lt;="&amp;$A136,Despesas!$L:$L,"&gt;="&amp;$A136,Despesas!$C:$C,D$1,Despesas!$M:$M,$B136)</f>
        <v>23000</v>
      </c>
      <c r="E136" s="18">
        <f>SUMIFS(Despesas!$F:$F,Despesas!$J:$J,"&lt;="&amp;$A136,Despesas!$L:$L,"&gt;="&amp;$A136,Despesas!$C:$C,E$1,Despesas!$M:$M,"Mensal")+SUMIFS(Despesas!$F:$F,Despesas!$J:$J,"&lt;="&amp;$A136,Despesas!$L:$L,"&gt;="&amp;$A136,Despesas!$C:$C,E$1,Despesas!$M:$M,$B136)</f>
        <v>13000</v>
      </c>
      <c r="F136" s="5">
        <f>SUMIFS(Despesas!$F:$F,Despesas!$J:$J,"&lt;="&amp;$A136,Despesas!$L:$L,"&gt;="&amp;$A136,Despesas!$C:$C,F$1,Despesas!$M:$M,"Mensal")+SUMIFS(Despesas!$F:$F,Despesas!$J:$J,"&lt;="&amp;$A136,Despesas!$L:$L,"&gt;="&amp;$A136,Despesas!$C:$C,F$1,Despesas!$M:$M,$B136)</f>
        <v>13000</v>
      </c>
      <c r="G136" s="5">
        <f>SUMIFS(Despesas!$F:$F,Despesas!$J:$J,"&lt;="&amp;$A136,Despesas!$L:$L,"&gt;="&amp;$A136,Despesas!$C:$C,G$1,Despesas!$M:$M,"Mensal")+SUMIFS(Despesas!$F:$F,Despesas!$J:$J,"&lt;="&amp;$A136,Despesas!$L:$L,"&gt;="&amp;$A136,Despesas!$C:$C,G$1,Despesas!$M:$M,$B136)</f>
        <v>0</v>
      </c>
      <c r="H136" s="18">
        <f>SUMIFS(Despesas!$F:$F,Despesas!$J:$J,"&lt;="&amp;$A136,Despesas!$L:$L,"&gt;="&amp;$A136,Despesas!$C:$C,H$1,Despesas!$M:$M,"Mensal")+SUMIFS(Despesas!$F:$F,Despesas!$J:$J,"&lt;="&amp;$A136,Despesas!$L:$L,"&gt;="&amp;$A136,Despesas!$C:$C,H$1,Despesas!$M:$M,$B136)</f>
        <v>1000</v>
      </c>
      <c r="I136" s="18">
        <f>IF(Imóveis!$F$2="PRICE",IF(AND(Dados!$A136&gt;=Imóveis!$Q$2,Dados!$A136&lt;=Imóveis!$T$2),Imóveis!$U$2,0),IF((IF(AND(Dados!$A136&gt;=Imóveis!$Q$2,Dados!$A136&lt;=Imóveis!$T$2),Imóveis!$S$2-(DATEDIF(Imóveis!$Q$2,Dados!$A136,"m")),0))=0,0,((Imóveis!$N$2/Imóveis!$S$2)+((Imóveis!$N$2-((Imóveis!$S$2-(IF(AND(Dados!$A136&gt;=Imóveis!$Q$2,Dados!$A136&lt;=Imóveis!$T$2),Imóveis!$S$2-(DATEDIF(Imóveis!$Q$2,Dados!$A136,"m")),)))*(Imóveis!$N$2/Imóveis!$S$2)))*Imóveis!$P$2))))*IF(AND(Imóveis!$E$2&gt;0,Dados!$A136&gt;Imóveis!$E$2),0,1)</f>
        <v>10630.748020118903</v>
      </c>
      <c r="J136" s="18">
        <f ca="1">IF(Imóveis!$F$3="PRICE",IF(AND(Dados!$A136&gt;=Imóveis!$Q$3,Dados!$A136&lt;=Imóveis!$T$3),Imóveis!$U$3,0),IF((IF(AND(Dados!$A136&gt;=Imóveis!$Q$3,Dados!$A136&lt;=Imóveis!$T$3),Imóveis!$S$3-(DATEDIF(Imóveis!$Q$3,Dados!$A136,"m")),0))=0,0,((Imóveis!$N$3/Imóveis!$S$3)+((Imóveis!$N$3-((Imóveis!$S$3-(IF(AND(Dados!$A136&gt;=Imóveis!$Q$3,Dados!$A136&lt;=Imóveis!$T$3),Imóveis!$S$3-(DATEDIF(Imóveis!$Q$3,Dados!$A136,"m")),)))*(Imóveis!$N$3/Imóveis!$S$3)))*Imóveis!$P$3))))*IF(AND(Imóveis!$E$3&gt;0,Dados!$A136&gt;Imóveis!$E$3),0,1)</f>
        <v>0</v>
      </c>
      <c r="K136" s="18">
        <f>IF(Imóveis!$F$4="PRICE",IF(AND(Dados!$A136&gt;=Imóveis!$Q$4,Dados!$A136&lt;=Imóveis!$T$4),Imóveis!$U$4,0),IF((IF(AND(Dados!$A136&gt;=Imóveis!$Q$4,Dados!$A136&lt;=Imóveis!$T$4),Imóveis!$S$4-(DATEDIF(Imóveis!$Q$4,Dados!$A136,"m")),0))=0,0,((Imóveis!$N$4/Imóveis!$S$4)+((Imóveis!$N$4-((Imóveis!$S$4-(IF(AND(Dados!$A136&gt;=Imóveis!$Q$4,Dados!$A136&lt;=Imóveis!$T$4),Imóveis!$S$4-(DATEDIF(Imóveis!$Q$4,Dados!$A136,"m")),)))*(Imóveis!$N$4/Imóveis!$S$4)))*Imóveis!$P$4))))*IF(AND(Imóveis!$E$4&gt;0,Dados!$A136&gt;Imóveis!$E$4),0,1)</f>
        <v>0</v>
      </c>
      <c r="L136" s="18">
        <f>IF(Imóveis!$F$5="PRICE",IF(AND(Dados!$A136&gt;=Imóveis!$Q$5,Dados!$A136&lt;=Imóveis!$T$5),Imóveis!$U$5,0),IF((IF(AND(Dados!$A136&gt;=Imóveis!$Q$5,Dados!$A136&lt;=Imóveis!$T$5),Imóveis!$S$5-(DATEDIF(Imóveis!$Q$5,Dados!$A136,"m")),0))=0,0,((Imóveis!$N$5/Imóveis!$S$5)+((Imóveis!$N$5-((Imóveis!$S$5-(IF(AND(Dados!$A136 &gt;=Imóveis!$Q$5,Dados!$A136&lt;=Imóveis!$T$5),Imóveis!$S$5-(DATEDIF(Imóveis!$Q$5,Dados!$A136,"m")),)))*(Imóveis!$N$5/Imóveis!$S$5)))*Imóveis!$P$5))))*IF(AND(Imóveis!$E$5&gt;0,Dados!$A136&gt;Imóveis!$E$5),0,1)*Imóveis!$I$5</f>
        <v>0</v>
      </c>
      <c r="M136" s="18">
        <f>IF(Imóveis!$F$6="PRICE",IF(AND(Dados!$A136&gt;=Imóveis!$Q$6,Dados!$A136&lt;=Imóveis!$T$6),Imóveis!$U$6,0),IF((IF(AND(Dados!$A136&gt;=Imóveis!$Q$6,Dados!$A136&lt;=Imóveis!$T$6),Imóveis!$S$6-(DATEDIF(Imóveis!$Q$6,Dados!$A136,"m")),0))=0,0,((Imóveis!$N$6/Imóveis!$S$6)+((Imóveis!$N$6-((Imóveis!$S$6-(IF(AND(Dados!$A136&gt;=Imóveis!$Q$6,Dados!$A136&lt;=Imóveis!$T$6),Imóveis!$S$6-(DATEDIF(Imóveis!$Q$6,Dados!$A136,"m")),)))*(Imóveis!$N$6/Imóveis!$S$6)))*Imóveis!$P$6))))*IF(AND(Imóveis!$E$6&gt;0,Dados!$A136&gt;Imóveis!$E$6),0,1)*Imóveis!$I$6</f>
        <v>0</v>
      </c>
      <c r="N136" s="18">
        <f t="shared" ca="1" si="21"/>
        <v>60630.748020118903</v>
      </c>
      <c r="O136" s="18">
        <f>SUMIFS(Receitas!$F:$F,Receitas!$J:$J,"&lt;="&amp;$A136,Receitas!$L:$L,"&gt;="&amp;$A136,Receitas!$C:$C,O$1,Receitas!$M:$M,"Mensal")+SUMIFS(Receitas!$F:$F,Receitas!$J:$J,"&lt;="&amp;$A136,Receitas!$L:$L,"&gt;="&amp;$A136,Receitas!$C:$C,O$1,Receitas!$M:$M,$B136)</f>
        <v>50000</v>
      </c>
      <c r="P136" s="18">
        <f>SUMIFS(Receitas!$F:$F,Receitas!$J:$J,"&lt;="&amp;$A136,Receitas!$L:$L,"&gt;="&amp;$A136,Receitas!$C:$C,P$1,Receitas!$M:$M,"Mensal")+SUMIFS(Receitas!$F:$F,Receitas!$J:$J,"&lt;="&amp;$A136,Receitas!$L:$L,"&gt;="&amp;$A136,Receitas!$C:$C,P$1,Receitas!$M:$M,$B136)</f>
        <v>20000</v>
      </c>
      <c r="Q136" s="18">
        <f>SUMIFS(Receitas!$F:$F,Receitas!$J:$J,"&lt;="&amp;$A136,Receitas!$L:$L,"&gt;="&amp;$A136,Receitas!$C:$C,Q$1,Receitas!$M:$M,"Mensal")+SUMIFS(Receitas!$F:$F,Receitas!$J:$J,"&lt;="&amp;$A136,Receitas!$L:$L,"&gt;="&amp;$A136,Receitas!$C:$C,Q$1,Receitas!$M:$M,$B136)</f>
        <v>0</v>
      </c>
      <c r="R136" s="18" cm="1">
        <f t="array" ref="R136">(IF(AND(Membros!$F$2="Sim",A136&lt;=MAX(Membros!$E$2:$E$5)),Membros!K$2,IF(AND(A136&gt;=Membros!J$2,A136&lt;=MAX(Membros!$E$2:$E$5)),Membros!K$2,0))+IF(AND(Membros!$F$3="Sim",A136&lt;=MAX(Membros!$E$2:$E$5)),Membros!K$3,IF(AND(A136&gt;=Membros!J$3,A136&lt;=MAX(Membros!$E$2:$E$5)),Membros!K$3,0)))*IF(AND(COUNTIFS(Tabela3[Tipo],"Provedor",Tabela3[Simulação Seguro],"Sim")=2,A136&gt;=MAX(IF(Tabela3[Tipo]="Dependente",Tabela3[Expectativa de Vida (Data)]))),0,1)</f>
        <v>0</v>
      </c>
      <c r="S136" s="18">
        <f t="shared" si="22"/>
        <v>70000</v>
      </c>
      <c r="U136" s="18">
        <f t="shared" ca="1" si="25"/>
        <v>7651804.9685583189</v>
      </c>
      <c r="V136" s="18">
        <f>SUMIF(Imóveis!E:E,Dados!A:A,Imóveis!Z:Z)-SUMIF(Imóveis!E:E,Dados!A:A,Imóveis!Y:Y)</f>
        <v>0</v>
      </c>
      <c r="W136" s="18">
        <f>-SUMIF(Projetos!N:N,A136,Projetos!F:F)</f>
        <v>0</v>
      </c>
      <c r="X136" s="18">
        <f t="shared" ca="1" si="19"/>
        <v>9369.2519798810972</v>
      </c>
      <c r="Y136" s="26">
        <f ca="1">(U136*((Indicadores_Economicos!D$2+1)^(1/12)-1))</f>
        <v>25050.018331196683</v>
      </c>
      <c r="Z136" s="18">
        <f t="shared" ca="1" si="23"/>
        <v>7686224.238869397</v>
      </c>
      <c r="AA136" s="18">
        <f ca="1">Auxiliar_Projetos!E136</f>
        <v>80071.459371918405</v>
      </c>
      <c r="AB136" s="18">
        <f ca="1">Auxiliar_Projetos!K136</f>
        <v>446454.43602000241</v>
      </c>
      <c r="AC136" s="18">
        <f ca="1">IF(Z136-AA136-AB136&gt;Investimentos!$C$14,Investimentos!$C$14,IF(Z136-AA136-AB136&lt;Investimentos!$C$14,Z136-AA136-AB136,0))</f>
        <v>300000</v>
      </c>
      <c r="AD136" s="18">
        <f t="shared" ca="1" si="24"/>
        <v>6859698.3434774755</v>
      </c>
      <c r="AE136" s="18"/>
    </row>
    <row r="137" spans="1:31" x14ac:dyDescent="0.2">
      <c r="A137" s="4">
        <v>49766</v>
      </c>
      <c r="B137" s="5" t="str">
        <f t="shared" si="20"/>
        <v>abril</v>
      </c>
      <c r="C137" s="5" t="str">
        <f t="shared" si="18"/>
        <v>2036</v>
      </c>
      <c r="D137" s="5">
        <f>SUMIFS(Despesas!$F:$F,Despesas!$J:$J,"&lt;="&amp;$A137,Despesas!$L:$L,"&gt;="&amp;$A137,Despesas!$C:$C,D$1,Despesas!$M:$M,"Mensal")+SUMIFS(Despesas!$F:$F,Despesas!$J:$J,"&lt;="&amp;$A137,Despesas!$L:$L,"&gt;="&amp;$A137,Despesas!$C:$C,D$1,Despesas!$M:$M,$B137)</f>
        <v>23000</v>
      </c>
      <c r="E137" s="18">
        <f>SUMIFS(Despesas!$F:$F,Despesas!$J:$J,"&lt;="&amp;$A137,Despesas!$L:$L,"&gt;="&amp;$A137,Despesas!$C:$C,E$1,Despesas!$M:$M,"Mensal")+SUMIFS(Despesas!$F:$F,Despesas!$J:$J,"&lt;="&amp;$A137,Despesas!$L:$L,"&gt;="&amp;$A137,Despesas!$C:$C,E$1,Despesas!$M:$M,$B137)</f>
        <v>13000</v>
      </c>
      <c r="F137" s="5">
        <f>SUMIFS(Despesas!$F:$F,Despesas!$J:$J,"&lt;="&amp;$A137,Despesas!$L:$L,"&gt;="&amp;$A137,Despesas!$C:$C,F$1,Despesas!$M:$M,"Mensal")+SUMIFS(Despesas!$F:$F,Despesas!$J:$J,"&lt;="&amp;$A137,Despesas!$L:$L,"&gt;="&amp;$A137,Despesas!$C:$C,F$1,Despesas!$M:$M,$B137)</f>
        <v>13000</v>
      </c>
      <c r="G137" s="5">
        <f>SUMIFS(Despesas!$F:$F,Despesas!$J:$J,"&lt;="&amp;$A137,Despesas!$L:$L,"&gt;="&amp;$A137,Despesas!$C:$C,G$1,Despesas!$M:$M,"Mensal")+SUMIFS(Despesas!$F:$F,Despesas!$J:$J,"&lt;="&amp;$A137,Despesas!$L:$L,"&gt;="&amp;$A137,Despesas!$C:$C,G$1,Despesas!$M:$M,$B137)</f>
        <v>0</v>
      </c>
      <c r="H137" s="18">
        <f>SUMIFS(Despesas!$F:$F,Despesas!$J:$J,"&lt;="&amp;$A137,Despesas!$L:$L,"&gt;="&amp;$A137,Despesas!$C:$C,H$1,Despesas!$M:$M,"Mensal")+SUMIFS(Despesas!$F:$F,Despesas!$J:$J,"&lt;="&amp;$A137,Despesas!$L:$L,"&gt;="&amp;$A137,Despesas!$C:$C,H$1,Despesas!$M:$M,$B137)</f>
        <v>1000</v>
      </c>
      <c r="I137" s="18">
        <f>IF(Imóveis!$F$2="PRICE",IF(AND(Dados!$A137&gt;=Imóveis!$Q$2,Dados!$A137&lt;=Imóveis!$T$2),Imóveis!$U$2,0),IF((IF(AND(Dados!$A137&gt;=Imóveis!$Q$2,Dados!$A137&lt;=Imóveis!$T$2),Imóveis!$S$2-(DATEDIF(Imóveis!$Q$2,Dados!$A137,"m")),0))=0,0,((Imóveis!$N$2/Imóveis!$S$2)+((Imóveis!$N$2-((Imóveis!$S$2-(IF(AND(Dados!$A137&gt;=Imóveis!$Q$2,Dados!$A137&lt;=Imóveis!$T$2),Imóveis!$S$2-(DATEDIF(Imóveis!$Q$2,Dados!$A137,"m")),)))*(Imóveis!$N$2/Imóveis!$S$2)))*Imóveis!$P$2))))*IF(AND(Imóveis!$E$2&gt;0,Dados!$A137&gt;Imóveis!$E$2),0,1)</f>
        <v>10568.726927894095</v>
      </c>
      <c r="J137" s="18">
        <f ca="1">IF(Imóveis!$F$3="PRICE",IF(AND(Dados!$A137&gt;=Imóveis!$Q$3,Dados!$A137&lt;=Imóveis!$T$3),Imóveis!$U$3,0),IF((IF(AND(Dados!$A137&gt;=Imóveis!$Q$3,Dados!$A137&lt;=Imóveis!$T$3),Imóveis!$S$3-(DATEDIF(Imóveis!$Q$3,Dados!$A137,"m")),0))=0,0,((Imóveis!$N$3/Imóveis!$S$3)+((Imóveis!$N$3-((Imóveis!$S$3-(IF(AND(Dados!$A137&gt;=Imóveis!$Q$3,Dados!$A137&lt;=Imóveis!$T$3),Imóveis!$S$3-(DATEDIF(Imóveis!$Q$3,Dados!$A137,"m")),)))*(Imóveis!$N$3/Imóveis!$S$3)))*Imóveis!$P$3))))*IF(AND(Imóveis!$E$3&gt;0,Dados!$A137&gt;Imóveis!$E$3),0,1)</f>
        <v>0</v>
      </c>
      <c r="K137" s="18">
        <f>IF(Imóveis!$F$4="PRICE",IF(AND(Dados!$A137&gt;=Imóveis!$Q$4,Dados!$A137&lt;=Imóveis!$T$4),Imóveis!$U$4,0),IF((IF(AND(Dados!$A137&gt;=Imóveis!$Q$4,Dados!$A137&lt;=Imóveis!$T$4),Imóveis!$S$4-(DATEDIF(Imóveis!$Q$4,Dados!$A137,"m")),0))=0,0,((Imóveis!$N$4/Imóveis!$S$4)+((Imóveis!$N$4-((Imóveis!$S$4-(IF(AND(Dados!$A137&gt;=Imóveis!$Q$4,Dados!$A137&lt;=Imóveis!$T$4),Imóveis!$S$4-(DATEDIF(Imóveis!$Q$4,Dados!$A137,"m")),)))*(Imóveis!$N$4/Imóveis!$S$4)))*Imóveis!$P$4))))*IF(AND(Imóveis!$E$4&gt;0,Dados!$A137&gt;Imóveis!$E$4),0,1)</f>
        <v>0</v>
      </c>
      <c r="L137" s="18">
        <f>IF(Imóveis!$F$5="PRICE",IF(AND(Dados!$A137&gt;=Imóveis!$Q$5,Dados!$A137&lt;=Imóveis!$T$5),Imóveis!$U$5,0),IF((IF(AND(Dados!$A137&gt;=Imóveis!$Q$5,Dados!$A137&lt;=Imóveis!$T$5),Imóveis!$S$5-(DATEDIF(Imóveis!$Q$5,Dados!$A137,"m")),0))=0,0,((Imóveis!$N$5/Imóveis!$S$5)+((Imóveis!$N$5-((Imóveis!$S$5-(IF(AND(Dados!$A137 &gt;=Imóveis!$Q$5,Dados!$A137&lt;=Imóveis!$T$5),Imóveis!$S$5-(DATEDIF(Imóveis!$Q$5,Dados!$A137,"m")),)))*(Imóveis!$N$5/Imóveis!$S$5)))*Imóveis!$P$5))))*IF(AND(Imóveis!$E$5&gt;0,Dados!$A137&gt;Imóveis!$E$5),0,1)*Imóveis!$I$5</f>
        <v>0</v>
      </c>
      <c r="M137" s="18">
        <f>IF(Imóveis!$F$6="PRICE",IF(AND(Dados!$A137&gt;=Imóveis!$Q$6,Dados!$A137&lt;=Imóveis!$T$6),Imóveis!$U$6,0),IF((IF(AND(Dados!$A137&gt;=Imóveis!$Q$6,Dados!$A137&lt;=Imóveis!$T$6),Imóveis!$S$6-(DATEDIF(Imóveis!$Q$6,Dados!$A137,"m")),0))=0,0,((Imóveis!$N$6/Imóveis!$S$6)+((Imóveis!$N$6-((Imóveis!$S$6-(IF(AND(Dados!$A137&gt;=Imóveis!$Q$6,Dados!$A137&lt;=Imóveis!$T$6),Imóveis!$S$6-(DATEDIF(Imóveis!$Q$6,Dados!$A137,"m")),)))*(Imóveis!$N$6/Imóveis!$S$6)))*Imóveis!$P$6))))*IF(AND(Imóveis!$E$6&gt;0,Dados!$A137&gt;Imóveis!$E$6),0,1)*Imóveis!$I$6</f>
        <v>0</v>
      </c>
      <c r="N137" s="18">
        <f t="shared" ca="1" si="21"/>
        <v>60568.726927894095</v>
      </c>
      <c r="O137" s="18">
        <f>SUMIFS(Receitas!$F:$F,Receitas!$J:$J,"&lt;="&amp;$A137,Receitas!$L:$L,"&gt;="&amp;$A137,Receitas!$C:$C,O$1,Receitas!$M:$M,"Mensal")+SUMIFS(Receitas!$F:$F,Receitas!$J:$J,"&lt;="&amp;$A137,Receitas!$L:$L,"&gt;="&amp;$A137,Receitas!$C:$C,O$1,Receitas!$M:$M,$B137)</f>
        <v>50000</v>
      </c>
      <c r="P137" s="18">
        <f>SUMIFS(Receitas!$F:$F,Receitas!$J:$J,"&lt;="&amp;$A137,Receitas!$L:$L,"&gt;="&amp;$A137,Receitas!$C:$C,P$1,Receitas!$M:$M,"Mensal")+SUMIFS(Receitas!$F:$F,Receitas!$J:$J,"&lt;="&amp;$A137,Receitas!$L:$L,"&gt;="&amp;$A137,Receitas!$C:$C,P$1,Receitas!$M:$M,$B137)</f>
        <v>85000</v>
      </c>
      <c r="Q137" s="18">
        <f>SUMIFS(Receitas!$F:$F,Receitas!$J:$J,"&lt;="&amp;$A137,Receitas!$L:$L,"&gt;="&amp;$A137,Receitas!$C:$C,Q$1,Receitas!$M:$M,"Mensal")+SUMIFS(Receitas!$F:$F,Receitas!$J:$J,"&lt;="&amp;$A137,Receitas!$L:$L,"&gt;="&amp;$A137,Receitas!$C:$C,Q$1,Receitas!$M:$M,$B137)</f>
        <v>0</v>
      </c>
      <c r="R137" s="18" cm="1">
        <f t="array" ref="R137">(IF(AND(Membros!$F$2="Sim",A137&lt;=MAX(Membros!$E$2:$E$5)),Membros!K$2,IF(AND(A137&gt;=Membros!J$2,A137&lt;=MAX(Membros!$E$2:$E$5)),Membros!K$2,0))+IF(AND(Membros!$F$3="Sim",A137&lt;=MAX(Membros!$E$2:$E$5)),Membros!K$3,IF(AND(A137&gt;=Membros!J$3,A137&lt;=MAX(Membros!$E$2:$E$5)),Membros!K$3,0)))*IF(AND(COUNTIFS(Tabela3[Tipo],"Provedor",Tabela3[Simulação Seguro],"Sim")=2,A137&gt;=MAX(IF(Tabela3[Tipo]="Dependente",Tabela3[Expectativa de Vida (Data)]))),0,1)</f>
        <v>0</v>
      </c>
      <c r="S137" s="18">
        <f t="shared" si="22"/>
        <v>135000</v>
      </c>
      <c r="U137" s="18">
        <f t="shared" ca="1" si="25"/>
        <v>7686224.238869397</v>
      </c>
      <c r="V137" s="18">
        <f>SUMIF(Imóveis!E:E,Dados!A:A,Imóveis!Z:Z)-SUMIF(Imóveis!E:E,Dados!A:A,Imóveis!Y:Y)</f>
        <v>0</v>
      </c>
      <c r="W137" s="18">
        <f>-SUMIF(Projetos!N:N,A137,Projetos!F:F)</f>
        <v>0</v>
      </c>
      <c r="X137" s="18">
        <f t="shared" ca="1" si="19"/>
        <v>74431.273072105905</v>
      </c>
      <c r="Y137" s="26">
        <f ca="1">(U137*((Indicadores_Economicos!D$2+1)^(1/12)-1))</f>
        <v>25162.698065688317</v>
      </c>
      <c r="Z137" s="18">
        <f t="shared" ca="1" si="23"/>
        <v>7785818.2100071907</v>
      </c>
      <c r="AA137" s="18">
        <f ca="1">Auxiliar_Projetos!E137</f>
        <v>80333.592493882985</v>
      </c>
      <c r="AB137" s="18">
        <f ca="1">Auxiliar_Projetos!K137</f>
        <v>447916.01166814024</v>
      </c>
      <c r="AC137" s="18">
        <f ca="1">IF(Z137-AA137-AB137&gt;Investimentos!$C$14,Investimentos!$C$14,IF(Z137-AA137-AB137&lt;Investimentos!$C$14,Z137-AA137-AB137,0))</f>
        <v>300000</v>
      </c>
      <c r="AD137" s="18">
        <f t="shared" ca="1" si="24"/>
        <v>6957568.6058451673</v>
      </c>
      <c r="AE137" s="18"/>
    </row>
    <row r="138" spans="1:31" x14ac:dyDescent="0.2">
      <c r="A138" s="4">
        <v>49796</v>
      </c>
      <c r="B138" s="5" t="str">
        <f t="shared" si="20"/>
        <v>maio</v>
      </c>
      <c r="C138" s="5" t="str">
        <f t="shared" si="18"/>
        <v>2036</v>
      </c>
      <c r="D138" s="5">
        <f>SUMIFS(Despesas!$F:$F,Despesas!$J:$J,"&lt;="&amp;$A138,Despesas!$L:$L,"&gt;="&amp;$A138,Despesas!$C:$C,D$1,Despesas!$M:$M,"Mensal")+SUMIFS(Despesas!$F:$F,Despesas!$J:$J,"&lt;="&amp;$A138,Despesas!$L:$L,"&gt;="&amp;$A138,Despesas!$C:$C,D$1,Despesas!$M:$M,$B138)</f>
        <v>23000</v>
      </c>
      <c r="E138" s="18">
        <f>SUMIFS(Despesas!$F:$F,Despesas!$J:$J,"&lt;="&amp;$A138,Despesas!$L:$L,"&gt;="&amp;$A138,Despesas!$C:$C,E$1,Despesas!$M:$M,"Mensal")+SUMIFS(Despesas!$F:$F,Despesas!$J:$J,"&lt;="&amp;$A138,Despesas!$L:$L,"&gt;="&amp;$A138,Despesas!$C:$C,E$1,Despesas!$M:$M,$B138)</f>
        <v>13000</v>
      </c>
      <c r="F138" s="5">
        <f>SUMIFS(Despesas!$F:$F,Despesas!$J:$J,"&lt;="&amp;$A138,Despesas!$L:$L,"&gt;="&amp;$A138,Despesas!$C:$C,F$1,Despesas!$M:$M,"Mensal")+SUMIFS(Despesas!$F:$F,Despesas!$J:$J,"&lt;="&amp;$A138,Despesas!$L:$L,"&gt;="&amp;$A138,Despesas!$C:$C,F$1,Despesas!$M:$M,$B138)</f>
        <v>13000</v>
      </c>
      <c r="G138" s="5">
        <f>SUMIFS(Despesas!$F:$F,Despesas!$J:$J,"&lt;="&amp;$A138,Despesas!$L:$L,"&gt;="&amp;$A138,Despesas!$C:$C,G$1,Despesas!$M:$M,"Mensal")+SUMIFS(Despesas!$F:$F,Despesas!$J:$J,"&lt;="&amp;$A138,Despesas!$L:$L,"&gt;="&amp;$A138,Despesas!$C:$C,G$1,Despesas!$M:$M,$B138)</f>
        <v>0</v>
      </c>
      <c r="H138" s="18">
        <f>SUMIFS(Despesas!$F:$F,Despesas!$J:$J,"&lt;="&amp;$A138,Despesas!$L:$L,"&gt;="&amp;$A138,Despesas!$C:$C,H$1,Despesas!$M:$M,"Mensal")+SUMIFS(Despesas!$F:$F,Despesas!$J:$J,"&lt;="&amp;$A138,Despesas!$L:$L,"&gt;="&amp;$A138,Despesas!$C:$C,H$1,Despesas!$M:$M,$B138)</f>
        <v>1000</v>
      </c>
      <c r="I138" s="18">
        <f>IF(Imóveis!$F$2="PRICE",IF(AND(Dados!$A138&gt;=Imóveis!$Q$2,Dados!$A138&lt;=Imóveis!$T$2),Imóveis!$U$2,0),IF((IF(AND(Dados!$A138&gt;=Imóveis!$Q$2,Dados!$A138&lt;=Imóveis!$T$2),Imóveis!$S$2-(DATEDIF(Imóveis!$Q$2,Dados!$A138,"m")),0))=0,0,((Imóveis!$N$2/Imóveis!$S$2)+((Imóveis!$N$2-((Imóveis!$S$2-(IF(AND(Dados!$A138&gt;=Imóveis!$Q$2,Dados!$A138&lt;=Imóveis!$T$2),Imóveis!$S$2-(DATEDIF(Imóveis!$Q$2,Dados!$A138,"m")),)))*(Imóveis!$N$2/Imóveis!$S$2)))*Imóveis!$P$2))))*IF(AND(Imóveis!$E$2&gt;0,Dados!$A138&gt;Imóveis!$E$2),0,1)</f>
        <v>10506.705835669287</v>
      </c>
      <c r="J138" s="18">
        <f ca="1">IF(Imóveis!$F$3="PRICE",IF(AND(Dados!$A138&gt;=Imóveis!$Q$3,Dados!$A138&lt;=Imóveis!$T$3),Imóveis!$U$3,0),IF((IF(AND(Dados!$A138&gt;=Imóveis!$Q$3,Dados!$A138&lt;=Imóveis!$T$3),Imóveis!$S$3-(DATEDIF(Imóveis!$Q$3,Dados!$A138,"m")),0))=0,0,((Imóveis!$N$3/Imóveis!$S$3)+((Imóveis!$N$3-((Imóveis!$S$3-(IF(AND(Dados!$A138&gt;=Imóveis!$Q$3,Dados!$A138&lt;=Imóveis!$T$3),Imóveis!$S$3-(DATEDIF(Imóveis!$Q$3,Dados!$A138,"m")),)))*(Imóveis!$N$3/Imóveis!$S$3)))*Imóveis!$P$3))))*IF(AND(Imóveis!$E$3&gt;0,Dados!$A138&gt;Imóveis!$E$3),0,1)</f>
        <v>0</v>
      </c>
      <c r="K138" s="18">
        <f>IF(Imóveis!$F$4="PRICE",IF(AND(Dados!$A138&gt;=Imóveis!$Q$4,Dados!$A138&lt;=Imóveis!$T$4),Imóveis!$U$4,0),IF((IF(AND(Dados!$A138&gt;=Imóveis!$Q$4,Dados!$A138&lt;=Imóveis!$T$4),Imóveis!$S$4-(DATEDIF(Imóveis!$Q$4,Dados!$A138,"m")),0))=0,0,((Imóveis!$N$4/Imóveis!$S$4)+((Imóveis!$N$4-((Imóveis!$S$4-(IF(AND(Dados!$A138&gt;=Imóveis!$Q$4,Dados!$A138&lt;=Imóveis!$T$4),Imóveis!$S$4-(DATEDIF(Imóveis!$Q$4,Dados!$A138,"m")),)))*(Imóveis!$N$4/Imóveis!$S$4)))*Imóveis!$P$4))))*IF(AND(Imóveis!$E$4&gt;0,Dados!$A138&gt;Imóveis!$E$4),0,1)</f>
        <v>0</v>
      </c>
      <c r="L138" s="18">
        <f>IF(Imóveis!$F$5="PRICE",IF(AND(Dados!$A138&gt;=Imóveis!$Q$5,Dados!$A138&lt;=Imóveis!$T$5),Imóveis!$U$5,0),IF((IF(AND(Dados!$A138&gt;=Imóveis!$Q$5,Dados!$A138&lt;=Imóveis!$T$5),Imóveis!$S$5-(DATEDIF(Imóveis!$Q$5,Dados!$A138,"m")),0))=0,0,((Imóveis!$N$5/Imóveis!$S$5)+((Imóveis!$N$5-((Imóveis!$S$5-(IF(AND(Dados!$A138 &gt;=Imóveis!$Q$5,Dados!$A138&lt;=Imóveis!$T$5),Imóveis!$S$5-(DATEDIF(Imóveis!$Q$5,Dados!$A138,"m")),)))*(Imóveis!$N$5/Imóveis!$S$5)))*Imóveis!$P$5))))*IF(AND(Imóveis!$E$5&gt;0,Dados!$A138&gt;Imóveis!$E$5),0,1)*Imóveis!$I$5</f>
        <v>0</v>
      </c>
      <c r="M138" s="18">
        <f>IF(Imóveis!$F$6="PRICE",IF(AND(Dados!$A138&gt;=Imóveis!$Q$6,Dados!$A138&lt;=Imóveis!$T$6),Imóveis!$U$6,0),IF((IF(AND(Dados!$A138&gt;=Imóveis!$Q$6,Dados!$A138&lt;=Imóveis!$T$6),Imóveis!$S$6-(DATEDIF(Imóveis!$Q$6,Dados!$A138,"m")),0))=0,0,((Imóveis!$N$6/Imóveis!$S$6)+((Imóveis!$N$6-((Imóveis!$S$6-(IF(AND(Dados!$A138&gt;=Imóveis!$Q$6,Dados!$A138&lt;=Imóveis!$T$6),Imóveis!$S$6-(DATEDIF(Imóveis!$Q$6,Dados!$A138,"m")),)))*(Imóveis!$N$6/Imóveis!$S$6)))*Imóveis!$P$6))))*IF(AND(Imóveis!$E$6&gt;0,Dados!$A138&gt;Imóveis!$E$6),0,1)*Imóveis!$I$6</f>
        <v>0</v>
      </c>
      <c r="N138" s="18">
        <f t="shared" ca="1" si="21"/>
        <v>60506.705835669287</v>
      </c>
      <c r="O138" s="18">
        <f>SUMIFS(Receitas!$F:$F,Receitas!$J:$J,"&lt;="&amp;$A138,Receitas!$L:$L,"&gt;="&amp;$A138,Receitas!$C:$C,O$1,Receitas!$M:$M,"Mensal")+SUMIFS(Receitas!$F:$F,Receitas!$J:$J,"&lt;="&amp;$A138,Receitas!$L:$L,"&gt;="&amp;$A138,Receitas!$C:$C,O$1,Receitas!$M:$M,$B138)</f>
        <v>50000</v>
      </c>
      <c r="P138" s="18">
        <f>SUMIFS(Receitas!$F:$F,Receitas!$J:$J,"&lt;="&amp;$A138,Receitas!$L:$L,"&gt;="&amp;$A138,Receitas!$C:$C,P$1,Receitas!$M:$M,"Mensal")+SUMIFS(Receitas!$F:$F,Receitas!$J:$J,"&lt;="&amp;$A138,Receitas!$L:$L,"&gt;="&amp;$A138,Receitas!$C:$C,P$1,Receitas!$M:$M,$B138)</f>
        <v>20000</v>
      </c>
      <c r="Q138" s="18">
        <f>SUMIFS(Receitas!$F:$F,Receitas!$J:$J,"&lt;="&amp;$A138,Receitas!$L:$L,"&gt;="&amp;$A138,Receitas!$C:$C,Q$1,Receitas!$M:$M,"Mensal")+SUMIFS(Receitas!$F:$F,Receitas!$J:$J,"&lt;="&amp;$A138,Receitas!$L:$L,"&gt;="&amp;$A138,Receitas!$C:$C,Q$1,Receitas!$M:$M,$B138)</f>
        <v>0</v>
      </c>
      <c r="R138" s="18" cm="1">
        <f t="array" ref="R138">(IF(AND(Membros!$F$2="Sim",A138&lt;=MAX(Membros!$E$2:$E$5)),Membros!K$2,IF(AND(A138&gt;=Membros!J$2,A138&lt;=MAX(Membros!$E$2:$E$5)),Membros!K$2,0))+IF(AND(Membros!$F$3="Sim",A138&lt;=MAX(Membros!$E$2:$E$5)),Membros!K$3,IF(AND(A138&gt;=Membros!J$3,A138&lt;=MAX(Membros!$E$2:$E$5)),Membros!K$3,0)))*IF(AND(COUNTIFS(Tabela3[Tipo],"Provedor",Tabela3[Simulação Seguro],"Sim")=2,A138&gt;=MAX(IF(Tabela3[Tipo]="Dependente",Tabela3[Expectativa de Vida (Data)]))),0,1)</f>
        <v>0</v>
      </c>
      <c r="S138" s="18">
        <f t="shared" si="22"/>
        <v>70000</v>
      </c>
      <c r="U138" s="18">
        <f t="shared" ca="1" si="25"/>
        <v>7785818.2100071907</v>
      </c>
      <c r="V138" s="18">
        <f>SUMIF(Imóveis!E:E,Dados!A:A,Imóveis!Z:Z)-SUMIF(Imóveis!E:E,Dados!A:A,Imóveis!Y:Y)</f>
        <v>0</v>
      </c>
      <c r="W138" s="18">
        <f>-SUMIF(Projetos!N:N,A138,Projetos!F:F)</f>
        <v>0</v>
      </c>
      <c r="X138" s="18">
        <f t="shared" ca="1" si="19"/>
        <v>9493.2941643307131</v>
      </c>
      <c r="Y138" s="26">
        <f ca="1">(U138*((Indicadores_Economicos!D$2+1)^(1/12)-1))</f>
        <v>25488.742811069282</v>
      </c>
      <c r="Z138" s="18">
        <f t="shared" ca="1" si="23"/>
        <v>7820800.2469825903</v>
      </c>
      <c r="AA138" s="18">
        <f ca="1">Auxiliar_Projetos!E138</f>
        <v>80596.583771477162</v>
      </c>
      <c r="AB138" s="18">
        <f ca="1">Auxiliar_Projetos!K138</f>
        <v>449382.37213462213</v>
      </c>
      <c r="AC138" s="18">
        <f ca="1">IF(Z138-AA138-AB138&gt;Investimentos!$C$14,Investimentos!$C$14,IF(Z138-AA138-AB138&lt;Investimentos!$C$14,Z138-AA138-AB138,0))</f>
        <v>300000</v>
      </c>
      <c r="AD138" s="18">
        <f t="shared" ca="1" si="24"/>
        <v>6990821.2910764907</v>
      </c>
      <c r="AE138" s="18"/>
    </row>
    <row r="139" spans="1:31" x14ac:dyDescent="0.2">
      <c r="A139" s="4">
        <v>49827</v>
      </c>
      <c r="B139" s="5" t="str">
        <f t="shared" si="20"/>
        <v>junho</v>
      </c>
      <c r="C139" s="5" t="str">
        <f t="shared" si="18"/>
        <v>2036</v>
      </c>
      <c r="D139" s="5">
        <f>SUMIFS(Despesas!$F:$F,Despesas!$J:$J,"&lt;="&amp;$A139,Despesas!$L:$L,"&gt;="&amp;$A139,Despesas!$C:$C,D$1,Despesas!$M:$M,"Mensal")+SUMIFS(Despesas!$F:$F,Despesas!$J:$J,"&lt;="&amp;$A139,Despesas!$L:$L,"&gt;="&amp;$A139,Despesas!$C:$C,D$1,Despesas!$M:$M,$B139)</f>
        <v>23000</v>
      </c>
      <c r="E139" s="18">
        <f>SUMIFS(Despesas!$F:$F,Despesas!$J:$J,"&lt;="&amp;$A139,Despesas!$L:$L,"&gt;="&amp;$A139,Despesas!$C:$C,E$1,Despesas!$M:$M,"Mensal")+SUMIFS(Despesas!$F:$F,Despesas!$J:$J,"&lt;="&amp;$A139,Despesas!$L:$L,"&gt;="&amp;$A139,Despesas!$C:$C,E$1,Despesas!$M:$M,$B139)</f>
        <v>13000</v>
      </c>
      <c r="F139" s="5">
        <f>SUMIFS(Despesas!$F:$F,Despesas!$J:$J,"&lt;="&amp;$A139,Despesas!$L:$L,"&gt;="&amp;$A139,Despesas!$C:$C,F$1,Despesas!$M:$M,"Mensal")+SUMIFS(Despesas!$F:$F,Despesas!$J:$J,"&lt;="&amp;$A139,Despesas!$L:$L,"&gt;="&amp;$A139,Despesas!$C:$C,F$1,Despesas!$M:$M,$B139)</f>
        <v>13000</v>
      </c>
      <c r="G139" s="5">
        <f>SUMIFS(Despesas!$F:$F,Despesas!$J:$J,"&lt;="&amp;$A139,Despesas!$L:$L,"&gt;="&amp;$A139,Despesas!$C:$C,G$1,Despesas!$M:$M,"Mensal")+SUMIFS(Despesas!$F:$F,Despesas!$J:$J,"&lt;="&amp;$A139,Despesas!$L:$L,"&gt;="&amp;$A139,Despesas!$C:$C,G$1,Despesas!$M:$M,$B139)</f>
        <v>0</v>
      </c>
      <c r="H139" s="18">
        <f>SUMIFS(Despesas!$F:$F,Despesas!$J:$J,"&lt;="&amp;$A139,Despesas!$L:$L,"&gt;="&amp;$A139,Despesas!$C:$C,H$1,Despesas!$M:$M,"Mensal")+SUMIFS(Despesas!$F:$F,Despesas!$J:$J,"&lt;="&amp;$A139,Despesas!$L:$L,"&gt;="&amp;$A139,Despesas!$C:$C,H$1,Despesas!$M:$M,$B139)</f>
        <v>1000</v>
      </c>
      <c r="I139" s="18">
        <f>IF(Imóveis!$F$2="PRICE",IF(AND(Dados!$A139&gt;=Imóveis!$Q$2,Dados!$A139&lt;=Imóveis!$T$2),Imóveis!$U$2,0),IF((IF(AND(Dados!$A139&gt;=Imóveis!$Q$2,Dados!$A139&lt;=Imóveis!$T$2),Imóveis!$S$2-(DATEDIF(Imóveis!$Q$2,Dados!$A139,"m")),0))=0,0,((Imóveis!$N$2/Imóveis!$S$2)+((Imóveis!$N$2-((Imóveis!$S$2-(IF(AND(Dados!$A139&gt;=Imóveis!$Q$2,Dados!$A139&lt;=Imóveis!$T$2),Imóveis!$S$2-(DATEDIF(Imóveis!$Q$2,Dados!$A139,"m")),)))*(Imóveis!$N$2/Imóveis!$S$2)))*Imóveis!$P$2))))*IF(AND(Imóveis!$E$2&gt;0,Dados!$A139&gt;Imóveis!$E$2),0,1)</f>
        <v>10444.684743444481</v>
      </c>
      <c r="J139" s="18">
        <f ca="1">IF(Imóveis!$F$3="PRICE",IF(AND(Dados!$A139&gt;=Imóveis!$Q$3,Dados!$A139&lt;=Imóveis!$T$3),Imóveis!$U$3,0),IF((IF(AND(Dados!$A139&gt;=Imóveis!$Q$3,Dados!$A139&lt;=Imóveis!$T$3),Imóveis!$S$3-(DATEDIF(Imóveis!$Q$3,Dados!$A139,"m")),0))=0,0,((Imóveis!$N$3/Imóveis!$S$3)+((Imóveis!$N$3-((Imóveis!$S$3-(IF(AND(Dados!$A139&gt;=Imóveis!$Q$3,Dados!$A139&lt;=Imóveis!$T$3),Imóveis!$S$3-(DATEDIF(Imóveis!$Q$3,Dados!$A139,"m")),)))*(Imóveis!$N$3/Imóveis!$S$3)))*Imóveis!$P$3))))*IF(AND(Imóveis!$E$3&gt;0,Dados!$A139&gt;Imóveis!$E$3),0,1)</f>
        <v>0</v>
      </c>
      <c r="K139" s="18">
        <f>IF(Imóveis!$F$4="PRICE",IF(AND(Dados!$A139&gt;=Imóveis!$Q$4,Dados!$A139&lt;=Imóveis!$T$4),Imóveis!$U$4,0),IF((IF(AND(Dados!$A139&gt;=Imóveis!$Q$4,Dados!$A139&lt;=Imóveis!$T$4),Imóveis!$S$4-(DATEDIF(Imóveis!$Q$4,Dados!$A139,"m")),0))=0,0,((Imóveis!$N$4/Imóveis!$S$4)+((Imóveis!$N$4-((Imóveis!$S$4-(IF(AND(Dados!$A139&gt;=Imóveis!$Q$4,Dados!$A139&lt;=Imóveis!$T$4),Imóveis!$S$4-(DATEDIF(Imóveis!$Q$4,Dados!$A139,"m")),)))*(Imóveis!$N$4/Imóveis!$S$4)))*Imóveis!$P$4))))*IF(AND(Imóveis!$E$4&gt;0,Dados!$A139&gt;Imóveis!$E$4),0,1)</f>
        <v>0</v>
      </c>
      <c r="L139" s="18">
        <f>IF(Imóveis!$F$5="PRICE",IF(AND(Dados!$A139&gt;=Imóveis!$Q$5,Dados!$A139&lt;=Imóveis!$T$5),Imóveis!$U$5,0),IF((IF(AND(Dados!$A139&gt;=Imóveis!$Q$5,Dados!$A139&lt;=Imóveis!$T$5),Imóveis!$S$5-(DATEDIF(Imóveis!$Q$5,Dados!$A139,"m")),0))=0,0,((Imóveis!$N$5/Imóveis!$S$5)+((Imóveis!$N$5-((Imóveis!$S$5-(IF(AND(Dados!$A139 &gt;=Imóveis!$Q$5,Dados!$A139&lt;=Imóveis!$T$5),Imóveis!$S$5-(DATEDIF(Imóveis!$Q$5,Dados!$A139,"m")),)))*(Imóveis!$N$5/Imóveis!$S$5)))*Imóveis!$P$5))))*IF(AND(Imóveis!$E$5&gt;0,Dados!$A139&gt;Imóveis!$E$5),0,1)*Imóveis!$I$5</f>
        <v>0</v>
      </c>
      <c r="M139" s="18">
        <f>IF(Imóveis!$F$6="PRICE",IF(AND(Dados!$A139&gt;=Imóveis!$Q$6,Dados!$A139&lt;=Imóveis!$T$6),Imóveis!$U$6,0),IF((IF(AND(Dados!$A139&gt;=Imóveis!$Q$6,Dados!$A139&lt;=Imóveis!$T$6),Imóveis!$S$6-(DATEDIF(Imóveis!$Q$6,Dados!$A139,"m")),0))=0,0,((Imóveis!$N$6/Imóveis!$S$6)+((Imóveis!$N$6-((Imóveis!$S$6-(IF(AND(Dados!$A139&gt;=Imóveis!$Q$6,Dados!$A139&lt;=Imóveis!$T$6),Imóveis!$S$6-(DATEDIF(Imóveis!$Q$6,Dados!$A139,"m")),)))*(Imóveis!$N$6/Imóveis!$S$6)))*Imóveis!$P$6))))*IF(AND(Imóveis!$E$6&gt;0,Dados!$A139&gt;Imóveis!$E$6),0,1)*Imóveis!$I$6</f>
        <v>0</v>
      </c>
      <c r="N139" s="18">
        <f t="shared" ca="1" si="21"/>
        <v>60444.684743444479</v>
      </c>
      <c r="O139" s="18">
        <f>SUMIFS(Receitas!$F:$F,Receitas!$J:$J,"&lt;="&amp;$A139,Receitas!$L:$L,"&gt;="&amp;$A139,Receitas!$C:$C,O$1,Receitas!$M:$M,"Mensal")+SUMIFS(Receitas!$F:$F,Receitas!$J:$J,"&lt;="&amp;$A139,Receitas!$L:$L,"&gt;="&amp;$A139,Receitas!$C:$C,O$1,Receitas!$M:$M,$B139)</f>
        <v>50000</v>
      </c>
      <c r="P139" s="18">
        <f>SUMIFS(Receitas!$F:$F,Receitas!$J:$J,"&lt;="&amp;$A139,Receitas!$L:$L,"&gt;="&amp;$A139,Receitas!$C:$C,P$1,Receitas!$M:$M,"Mensal")+SUMIFS(Receitas!$F:$F,Receitas!$J:$J,"&lt;="&amp;$A139,Receitas!$L:$L,"&gt;="&amp;$A139,Receitas!$C:$C,P$1,Receitas!$M:$M,$B139)</f>
        <v>20000</v>
      </c>
      <c r="Q139" s="18">
        <f>SUMIFS(Receitas!$F:$F,Receitas!$J:$J,"&lt;="&amp;$A139,Receitas!$L:$L,"&gt;="&amp;$A139,Receitas!$C:$C,Q$1,Receitas!$M:$M,"Mensal")+SUMIFS(Receitas!$F:$F,Receitas!$J:$J,"&lt;="&amp;$A139,Receitas!$L:$L,"&gt;="&amp;$A139,Receitas!$C:$C,Q$1,Receitas!$M:$M,$B139)</f>
        <v>0</v>
      </c>
      <c r="R139" s="18" cm="1">
        <f t="array" ref="R139">(IF(AND(Membros!$F$2="Sim",A139&lt;=MAX(Membros!$E$2:$E$5)),Membros!K$2,IF(AND(A139&gt;=Membros!J$2,A139&lt;=MAX(Membros!$E$2:$E$5)),Membros!K$2,0))+IF(AND(Membros!$F$3="Sim",A139&lt;=MAX(Membros!$E$2:$E$5)),Membros!K$3,IF(AND(A139&gt;=Membros!J$3,A139&lt;=MAX(Membros!$E$2:$E$5)),Membros!K$3,0)))*IF(AND(COUNTIFS(Tabela3[Tipo],"Provedor",Tabela3[Simulação Seguro],"Sim")=2,A139&gt;=MAX(IF(Tabela3[Tipo]="Dependente",Tabela3[Expectativa de Vida (Data)]))),0,1)</f>
        <v>0</v>
      </c>
      <c r="S139" s="18">
        <f t="shared" si="22"/>
        <v>70000</v>
      </c>
      <c r="U139" s="18">
        <f t="shared" ca="1" si="25"/>
        <v>7820800.2469825903</v>
      </c>
      <c r="V139" s="18">
        <f>SUMIF(Imóveis!E:E,Dados!A:A,Imóveis!Z:Z)-SUMIF(Imóveis!E:E,Dados!A:A,Imóveis!Y:Y)</f>
        <v>0</v>
      </c>
      <c r="W139" s="18">
        <f>-SUMIF(Projetos!N:N,A139,Projetos!F:F)</f>
        <v>0</v>
      </c>
      <c r="X139" s="18">
        <f t="shared" ca="1" si="19"/>
        <v>9555.315256555521</v>
      </c>
      <c r="Y139" s="26">
        <f ca="1">(U139*((Indicadores_Economicos!D$2+1)^(1/12)-1))</f>
        <v>25603.264897178</v>
      </c>
      <c r="Z139" s="18">
        <f t="shared" ca="1" si="23"/>
        <v>7855958.8271363238</v>
      </c>
      <c r="AA139" s="18">
        <f ca="1">Auxiliar_Projetos!E139</f>
        <v>80860.436014079169</v>
      </c>
      <c r="AB139" s="18">
        <f ca="1">Auxiliar_Projetos!K139</f>
        <v>450853.53308369813</v>
      </c>
      <c r="AC139" s="18">
        <f ca="1">IF(Z139-AA139-AB139&gt;Investimentos!$C$14,Investimentos!$C$14,IF(Z139-AA139-AB139&lt;Investimentos!$C$14,Z139-AA139-AB139,0))</f>
        <v>300000</v>
      </c>
      <c r="AD139" s="18">
        <f t="shared" ca="1" si="24"/>
        <v>7024244.8580385465</v>
      </c>
      <c r="AE139" s="18"/>
    </row>
    <row r="140" spans="1:31" x14ac:dyDescent="0.2">
      <c r="A140" s="4">
        <v>49857</v>
      </c>
      <c r="B140" s="5" t="str">
        <f t="shared" si="20"/>
        <v>julho</v>
      </c>
      <c r="C140" s="5" t="str">
        <f t="shared" si="18"/>
        <v>2036</v>
      </c>
      <c r="D140" s="5">
        <f>SUMIFS(Despesas!$F:$F,Despesas!$J:$J,"&lt;="&amp;$A140,Despesas!$L:$L,"&gt;="&amp;$A140,Despesas!$C:$C,D$1,Despesas!$M:$M,"Mensal")+SUMIFS(Despesas!$F:$F,Despesas!$J:$J,"&lt;="&amp;$A140,Despesas!$L:$L,"&gt;="&amp;$A140,Despesas!$C:$C,D$1,Despesas!$M:$M,$B140)</f>
        <v>23000</v>
      </c>
      <c r="E140" s="18">
        <f>SUMIFS(Despesas!$F:$F,Despesas!$J:$J,"&lt;="&amp;$A140,Despesas!$L:$L,"&gt;="&amp;$A140,Despesas!$C:$C,E$1,Despesas!$M:$M,"Mensal")+SUMIFS(Despesas!$F:$F,Despesas!$J:$J,"&lt;="&amp;$A140,Despesas!$L:$L,"&gt;="&amp;$A140,Despesas!$C:$C,E$1,Despesas!$M:$M,$B140)</f>
        <v>13000</v>
      </c>
      <c r="F140" s="5">
        <f>SUMIFS(Despesas!$F:$F,Despesas!$J:$J,"&lt;="&amp;$A140,Despesas!$L:$L,"&gt;="&amp;$A140,Despesas!$C:$C,F$1,Despesas!$M:$M,"Mensal")+SUMIFS(Despesas!$F:$F,Despesas!$J:$J,"&lt;="&amp;$A140,Despesas!$L:$L,"&gt;="&amp;$A140,Despesas!$C:$C,F$1,Despesas!$M:$M,$B140)</f>
        <v>13000</v>
      </c>
      <c r="G140" s="5">
        <f ca="1">SUMIFS(Despesas!$F:$F,Despesas!$J:$J,"&lt;="&amp;$A140,Despesas!$L:$L,"&gt;="&amp;$A140,Despesas!$C:$C,G$1,Despesas!$M:$M,"Mensal")+SUMIFS(Despesas!$F:$F,Despesas!$J:$J,"&lt;="&amp;$A140,Despesas!$L:$L,"&gt;="&amp;$A140,Despesas!$C:$C,G$1,Despesas!$M:$M,$B140)</f>
        <v>55757</v>
      </c>
      <c r="H140" s="18">
        <f>SUMIFS(Despesas!$F:$F,Despesas!$J:$J,"&lt;="&amp;$A140,Despesas!$L:$L,"&gt;="&amp;$A140,Despesas!$C:$C,H$1,Despesas!$M:$M,"Mensal")+SUMIFS(Despesas!$F:$F,Despesas!$J:$J,"&lt;="&amp;$A140,Despesas!$L:$L,"&gt;="&amp;$A140,Despesas!$C:$C,H$1,Despesas!$M:$M,$B140)</f>
        <v>1000</v>
      </c>
      <c r="I140" s="18">
        <f>IF(Imóveis!$F$2="PRICE",IF(AND(Dados!$A140&gt;=Imóveis!$Q$2,Dados!$A140&lt;=Imóveis!$T$2),Imóveis!$U$2,0),IF((IF(AND(Dados!$A140&gt;=Imóveis!$Q$2,Dados!$A140&lt;=Imóveis!$T$2),Imóveis!$S$2-(DATEDIF(Imóveis!$Q$2,Dados!$A140,"m")),0))=0,0,((Imóveis!$N$2/Imóveis!$S$2)+((Imóveis!$N$2-((Imóveis!$S$2-(IF(AND(Dados!$A140&gt;=Imóveis!$Q$2,Dados!$A140&lt;=Imóveis!$T$2),Imóveis!$S$2-(DATEDIF(Imóveis!$Q$2,Dados!$A140,"m")),)))*(Imóveis!$N$2/Imóveis!$S$2)))*Imóveis!$P$2))))*IF(AND(Imóveis!$E$2&gt;0,Dados!$A140&gt;Imóveis!$E$2),0,1)</f>
        <v>10382.663651219675</v>
      </c>
      <c r="J140" s="18">
        <f ca="1">IF(Imóveis!$F$3="PRICE",IF(AND(Dados!$A140&gt;=Imóveis!$Q$3,Dados!$A140&lt;=Imóveis!$T$3),Imóveis!$U$3,0),IF((IF(AND(Dados!$A140&gt;=Imóveis!$Q$3,Dados!$A140&lt;=Imóveis!$T$3),Imóveis!$S$3-(DATEDIF(Imóveis!$Q$3,Dados!$A140,"m")),0))=0,0,((Imóveis!$N$3/Imóveis!$S$3)+((Imóveis!$N$3-((Imóveis!$S$3-(IF(AND(Dados!$A140&gt;=Imóveis!$Q$3,Dados!$A140&lt;=Imóveis!$T$3),Imóveis!$S$3-(DATEDIF(Imóveis!$Q$3,Dados!$A140,"m")),)))*(Imóveis!$N$3/Imóveis!$S$3)))*Imóveis!$P$3))))*IF(AND(Imóveis!$E$3&gt;0,Dados!$A140&gt;Imóveis!$E$3),0,1)</f>
        <v>0</v>
      </c>
      <c r="K140" s="18">
        <f>IF(Imóveis!$F$4="PRICE",IF(AND(Dados!$A140&gt;=Imóveis!$Q$4,Dados!$A140&lt;=Imóveis!$T$4),Imóveis!$U$4,0),IF((IF(AND(Dados!$A140&gt;=Imóveis!$Q$4,Dados!$A140&lt;=Imóveis!$T$4),Imóveis!$S$4-(DATEDIF(Imóveis!$Q$4,Dados!$A140,"m")),0))=0,0,((Imóveis!$N$4/Imóveis!$S$4)+((Imóveis!$N$4-((Imóveis!$S$4-(IF(AND(Dados!$A140&gt;=Imóveis!$Q$4,Dados!$A140&lt;=Imóveis!$T$4),Imóveis!$S$4-(DATEDIF(Imóveis!$Q$4,Dados!$A140,"m")),)))*(Imóveis!$N$4/Imóveis!$S$4)))*Imóveis!$P$4))))*IF(AND(Imóveis!$E$4&gt;0,Dados!$A140&gt;Imóveis!$E$4),0,1)</f>
        <v>0</v>
      </c>
      <c r="L140" s="18">
        <f>IF(Imóveis!$F$5="PRICE",IF(AND(Dados!$A140&gt;=Imóveis!$Q$5,Dados!$A140&lt;=Imóveis!$T$5),Imóveis!$U$5,0),IF((IF(AND(Dados!$A140&gt;=Imóveis!$Q$5,Dados!$A140&lt;=Imóveis!$T$5),Imóveis!$S$5-(DATEDIF(Imóveis!$Q$5,Dados!$A140,"m")),0))=0,0,((Imóveis!$N$5/Imóveis!$S$5)+((Imóveis!$N$5-((Imóveis!$S$5-(IF(AND(Dados!$A140 &gt;=Imóveis!$Q$5,Dados!$A140&lt;=Imóveis!$T$5),Imóveis!$S$5-(DATEDIF(Imóveis!$Q$5,Dados!$A140,"m")),)))*(Imóveis!$N$5/Imóveis!$S$5)))*Imóveis!$P$5))))*IF(AND(Imóveis!$E$5&gt;0,Dados!$A140&gt;Imóveis!$E$5),0,1)*Imóveis!$I$5</f>
        <v>0</v>
      </c>
      <c r="M140" s="18">
        <f>IF(Imóveis!$F$6="PRICE",IF(AND(Dados!$A140&gt;=Imóveis!$Q$6,Dados!$A140&lt;=Imóveis!$T$6),Imóveis!$U$6,0),IF((IF(AND(Dados!$A140&gt;=Imóveis!$Q$6,Dados!$A140&lt;=Imóveis!$T$6),Imóveis!$S$6-(DATEDIF(Imóveis!$Q$6,Dados!$A140,"m")),0))=0,0,((Imóveis!$N$6/Imóveis!$S$6)+((Imóveis!$N$6-((Imóveis!$S$6-(IF(AND(Dados!$A140&gt;=Imóveis!$Q$6,Dados!$A140&lt;=Imóveis!$T$6),Imóveis!$S$6-(DATEDIF(Imóveis!$Q$6,Dados!$A140,"m")),)))*(Imóveis!$N$6/Imóveis!$S$6)))*Imóveis!$P$6))))*IF(AND(Imóveis!$E$6&gt;0,Dados!$A140&gt;Imóveis!$E$6),0,1)*Imóveis!$I$6</f>
        <v>0</v>
      </c>
      <c r="N140" s="18">
        <f t="shared" ca="1" si="21"/>
        <v>116139.66365121967</v>
      </c>
      <c r="O140" s="18">
        <f>SUMIFS(Receitas!$F:$F,Receitas!$J:$J,"&lt;="&amp;$A140,Receitas!$L:$L,"&gt;="&amp;$A140,Receitas!$C:$C,O$1,Receitas!$M:$M,"Mensal")+SUMIFS(Receitas!$F:$F,Receitas!$J:$J,"&lt;="&amp;$A140,Receitas!$L:$L,"&gt;="&amp;$A140,Receitas!$C:$C,O$1,Receitas!$M:$M,$B140)</f>
        <v>50000</v>
      </c>
      <c r="P140" s="18">
        <f>SUMIFS(Receitas!$F:$F,Receitas!$J:$J,"&lt;="&amp;$A140,Receitas!$L:$L,"&gt;="&amp;$A140,Receitas!$C:$C,P$1,Receitas!$M:$M,"Mensal")+SUMIFS(Receitas!$F:$F,Receitas!$J:$J,"&lt;="&amp;$A140,Receitas!$L:$L,"&gt;="&amp;$A140,Receitas!$C:$C,P$1,Receitas!$M:$M,$B140)</f>
        <v>20000</v>
      </c>
      <c r="Q140" s="18">
        <f>SUMIFS(Receitas!$F:$F,Receitas!$J:$J,"&lt;="&amp;$A140,Receitas!$L:$L,"&gt;="&amp;$A140,Receitas!$C:$C,Q$1,Receitas!$M:$M,"Mensal")+SUMIFS(Receitas!$F:$F,Receitas!$J:$J,"&lt;="&amp;$A140,Receitas!$L:$L,"&gt;="&amp;$A140,Receitas!$C:$C,Q$1,Receitas!$M:$M,$B140)</f>
        <v>0</v>
      </c>
      <c r="R140" s="18" cm="1">
        <f t="array" ref="R140">(IF(AND(Membros!$F$2="Sim",A140&lt;=MAX(Membros!$E$2:$E$5)),Membros!K$2,IF(AND(A140&gt;=Membros!J$2,A140&lt;=MAX(Membros!$E$2:$E$5)),Membros!K$2,0))+IF(AND(Membros!$F$3="Sim",A140&lt;=MAX(Membros!$E$2:$E$5)),Membros!K$3,IF(AND(A140&gt;=Membros!J$3,A140&lt;=MAX(Membros!$E$2:$E$5)),Membros!K$3,0)))*IF(AND(COUNTIFS(Tabela3[Tipo],"Provedor",Tabela3[Simulação Seguro],"Sim")=2,A140&gt;=MAX(IF(Tabela3[Tipo]="Dependente",Tabela3[Expectativa de Vida (Data)]))),0,1)</f>
        <v>0</v>
      </c>
      <c r="S140" s="18">
        <f t="shared" si="22"/>
        <v>70000</v>
      </c>
      <c r="U140" s="18">
        <f t="shared" ca="1" si="25"/>
        <v>7855958.8271363238</v>
      </c>
      <c r="V140" s="18">
        <f>SUMIF(Imóveis!E:E,Dados!A:A,Imóveis!Z:Z)-SUMIF(Imóveis!E:E,Dados!A:A,Imóveis!Y:Y)</f>
        <v>0</v>
      </c>
      <c r="W140" s="18">
        <f>-SUMIF(Projetos!N:N,A140,Projetos!F:F)</f>
        <v>0</v>
      </c>
      <c r="X140" s="18">
        <f t="shared" ca="1" si="19"/>
        <v>-46139.663651219671</v>
      </c>
      <c r="Y140" s="26">
        <f ca="1">(U140*((Indicadores_Economicos!D$2+1)^(1/12)-1))</f>
        <v>25718.364939712908</v>
      </c>
      <c r="Z140" s="18">
        <f t="shared" ca="1" si="23"/>
        <v>7835537.5284248171</v>
      </c>
      <c r="AA140" s="18">
        <f ca="1">Auxiliar_Projetos!E140</f>
        <v>81125.152040264409</v>
      </c>
      <c r="AB140" s="18">
        <f ca="1">Auxiliar_Projetos!K140</f>
        <v>452329.51023089915</v>
      </c>
      <c r="AC140" s="18">
        <f ca="1">IF(Z140-AA140-AB140&gt;Investimentos!$C$14,Investimentos!$C$14,IF(Z140-AA140-AB140&lt;Investimentos!$C$14,Z140-AA140-AB140,0))</f>
        <v>300000</v>
      </c>
      <c r="AD140" s="18">
        <f t="shared" ca="1" si="24"/>
        <v>7002082.8661536537</v>
      </c>
      <c r="AE140" s="18"/>
    </row>
    <row r="141" spans="1:31" x14ac:dyDescent="0.2">
      <c r="A141" s="4">
        <v>49888</v>
      </c>
      <c r="B141" s="5" t="str">
        <f t="shared" si="20"/>
        <v>agosto</v>
      </c>
      <c r="C141" s="5" t="str">
        <f t="shared" si="18"/>
        <v>2036</v>
      </c>
      <c r="D141" s="5">
        <f>SUMIFS(Despesas!$F:$F,Despesas!$J:$J,"&lt;="&amp;$A141,Despesas!$L:$L,"&gt;="&amp;$A141,Despesas!$C:$C,D$1,Despesas!$M:$M,"Mensal")+SUMIFS(Despesas!$F:$F,Despesas!$J:$J,"&lt;="&amp;$A141,Despesas!$L:$L,"&gt;="&amp;$A141,Despesas!$C:$C,D$1,Despesas!$M:$M,$B141)</f>
        <v>23000</v>
      </c>
      <c r="E141" s="18">
        <f>SUMIFS(Despesas!$F:$F,Despesas!$J:$J,"&lt;="&amp;$A141,Despesas!$L:$L,"&gt;="&amp;$A141,Despesas!$C:$C,E$1,Despesas!$M:$M,"Mensal")+SUMIFS(Despesas!$F:$F,Despesas!$J:$J,"&lt;="&amp;$A141,Despesas!$L:$L,"&gt;="&amp;$A141,Despesas!$C:$C,E$1,Despesas!$M:$M,$B141)</f>
        <v>13000</v>
      </c>
      <c r="F141" s="5">
        <f>SUMIFS(Despesas!$F:$F,Despesas!$J:$J,"&lt;="&amp;$A141,Despesas!$L:$L,"&gt;="&amp;$A141,Despesas!$C:$C,F$1,Despesas!$M:$M,"Mensal")+SUMIFS(Despesas!$F:$F,Despesas!$J:$J,"&lt;="&amp;$A141,Despesas!$L:$L,"&gt;="&amp;$A141,Despesas!$C:$C,F$1,Despesas!$M:$M,$B141)</f>
        <v>13000</v>
      </c>
      <c r="G141" s="5">
        <f>SUMIFS(Despesas!$F:$F,Despesas!$J:$J,"&lt;="&amp;$A141,Despesas!$L:$L,"&gt;="&amp;$A141,Despesas!$C:$C,G$1,Despesas!$M:$M,"Mensal")+SUMIFS(Despesas!$F:$F,Despesas!$J:$J,"&lt;="&amp;$A141,Despesas!$L:$L,"&gt;="&amp;$A141,Despesas!$C:$C,G$1,Despesas!$M:$M,$B141)</f>
        <v>0</v>
      </c>
      <c r="H141" s="18">
        <f>SUMIFS(Despesas!$F:$F,Despesas!$J:$J,"&lt;="&amp;$A141,Despesas!$L:$L,"&gt;="&amp;$A141,Despesas!$C:$C,H$1,Despesas!$M:$M,"Mensal")+SUMIFS(Despesas!$F:$F,Despesas!$J:$J,"&lt;="&amp;$A141,Despesas!$L:$L,"&gt;="&amp;$A141,Despesas!$C:$C,H$1,Despesas!$M:$M,$B141)</f>
        <v>1000</v>
      </c>
      <c r="I141" s="18">
        <f>IF(Imóveis!$F$2="PRICE",IF(AND(Dados!$A141&gt;=Imóveis!$Q$2,Dados!$A141&lt;=Imóveis!$T$2),Imóveis!$U$2,0),IF((IF(AND(Dados!$A141&gt;=Imóveis!$Q$2,Dados!$A141&lt;=Imóveis!$T$2),Imóveis!$S$2-(DATEDIF(Imóveis!$Q$2,Dados!$A141,"m")),0))=0,0,((Imóveis!$N$2/Imóveis!$S$2)+((Imóveis!$N$2-((Imóveis!$S$2-(IF(AND(Dados!$A141&gt;=Imóveis!$Q$2,Dados!$A141&lt;=Imóveis!$T$2),Imóveis!$S$2-(DATEDIF(Imóveis!$Q$2,Dados!$A141,"m")),)))*(Imóveis!$N$2/Imóveis!$S$2)))*Imóveis!$P$2))))*IF(AND(Imóveis!$E$2&gt;0,Dados!$A141&gt;Imóveis!$E$2),0,1)</f>
        <v>10320.642558994867</v>
      </c>
      <c r="J141" s="18">
        <f ca="1">IF(Imóveis!$F$3="PRICE",IF(AND(Dados!$A141&gt;=Imóveis!$Q$3,Dados!$A141&lt;=Imóveis!$T$3),Imóveis!$U$3,0),IF((IF(AND(Dados!$A141&gt;=Imóveis!$Q$3,Dados!$A141&lt;=Imóveis!$T$3),Imóveis!$S$3-(DATEDIF(Imóveis!$Q$3,Dados!$A141,"m")),0))=0,0,((Imóveis!$N$3/Imóveis!$S$3)+((Imóveis!$N$3-((Imóveis!$S$3-(IF(AND(Dados!$A141&gt;=Imóveis!$Q$3,Dados!$A141&lt;=Imóveis!$T$3),Imóveis!$S$3-(DATEDIF(Imóveis!$Q$3,Dados!$A141,"m")),)))*(Imóveis!$N$3/Imóveis!$S$3)))*Imóveis!$P$3))))*IF(AND(Imóveis!$E$3&gt;0,Dados!$A141&gt;Imóveis!$E$3),0,1)</f>
        <v>0</v>
      </c>
      <c r="K141" s="18">
        <f>IF(Imóveis!$F$4="PRICE",IF(AND(Dados!$A141&gt;=Imóveis!$Q$4,Dados!$A141&lt;=Imóveis!$T$4),Imóveis!$U$4,0),IF((IF(AND(Dados!$A141&gt;=Imóveis!$Q$4,Dados!$A141&lt;=Imóveis!$T$4),Imóveis!$S$4-(DATEDIF(Imóveis!$Q$4,Dados!$A141,"m")),0))=0,0,((Imóveis!$N$4/Imóveis!$S$4)+((Imóveis!$N$4-((Imóveis!$S$4-(IF(AND(Dados!$A141&gt;=Imóveis!$Q$4,Dados!$A141&lt;=Imóveis!$T$4),Imóveis!$S$4-(DATEDIF(Imóveis!$Q$4,Dados!$A141,"m")),)))*(Imóveis!$N$4/Imóveis!$S$4)))*Imóveis!$P$4))))*IF(AND(Imóveis!$E$4&gt;0,Dados!$A141&gt;Imóveis!$E$4),0,1)</f>
        <v>0</v>
      </c>
      <c r="L141" s="18">
        <f>IF(Imóveis!$F$5="PRICE",IF(AND(Dados!$A141&gt;=Imóveis!$Q$5,Dados!$A141&lt;=Imóveis!$T$5),Imóveis!$U$5,0),IF((IF(AND(Dados!$A141&gt;=Imóveis!$Q$5,Dados!$A141&lt;=Imóveis!$T$5),Imóveis!$S$5-(DATEDIF(Imóveis!$Q$5,Dados!$A141,"m")),0))=0,0,((Imóveis!$N$5/Imóveis!$S$5)+((Imóveis!$N$5-((Imóveis!$S$5-(IF(AND(Dados!$A141 &gt;=Imóveis!$Q$5,Dados!$A141&lt;=Imóveis!$T$5),Imóveis!$S$5-(DATEDIF(Imóveis!$Q$5,Dados!$A141,"m")),)))*(Imóveis!$N$5/Imóveis!$S$5)))*Imóveis!$P$5))))*IF(AND(Imóveis!$E$5&gt;0,Dados!$A141&gt;Imóveis!$E$5),0,1)*Imóveis!$I$5</f>
        <v>0</v>
      </c>
      <c r="M141" s="18">
        <f>IF(Imóveis!$F$6="PRICE",IF(AND(Dados!$A141&gt;=Imóveis!$Q$6,Dados!$A141&lt;=Imóveis!$T$6),Imóveis!$U$6,0),IF((IF(AND(Dados!$A141&gt;=Imóveis!$Q$6,Dados!$A141&lt;=Imóveis!$T$6),Imóveis!$S$6-(DATEDIF(Imóveis!$Q$6,Dados!$A141,"m")),0))=0,0,((Imóveis!$N$6/Imóveis!$S$6)+((Imóveis!$N$6-((Imóveis!$S$6-(IF(AND(Dados!$A141&gt;=Imóveis!$Q$6,Dados!$A141&lt;=Imóveis!$T$6),Imóveis!$S$6-(DATEDIF(Imóveis!$Q$6,Dados!$A141,"m")),)))*(Imóveis!$N$6/Imóveis!$S$6)))*Imóveis!$P$6))))*IF(AND(Imóveis!$E$6&gt;0,Dados!$A141&gt;Imóveis!$E$6),0,1)*Imóveis!$I$6</f>
        <v>0</v>
      </c>
      <c r="N141" s="18">
        <f t="shared" ca="1" si="21"/>
        <v>60320.642558994863</v>
      </c>
      <c r="O141" s="18">
        <f>SUMIFS(Receitas!$F:$F,Receitas!$J:$J,"&lt;="&amp;$A141,Receitas!$L:$L,"&gt;="&amp;$A141,Receitas!$C:$C,O$1,Receitas!$M:$M,"Mensal")+SUMIFS(Receitas!$F:$F,Receitas!$J:$J,"&lt;="&amp;$A141,Receitas!$L:$L,"&gt;="&amp;$A141,Receitas!$C:$C,O$1,Receitas!$M:$M,$B141)</f>
        <v>50000</v>
      </c>
      <c r="P141" s="18">
        <f>SUMIFS(Receitas!$F:$F,Receitas!$J:$J,"&lt;="&amp;$A141,Receitas!$L:$L,"&gt;="&amp;$A141,Receitas!$C:$C,P$1,Receitas!$M:$M,"Mensal")+SUMIFS(Receitas!$F:$F,Receitas!$J:$J,"&lt;="&amp;$A141,Receitas!$L:$L,"&gt;="&amp;$A141,Receitas!$C:$C,P$1,Receitas!$M:$M,$B141)</f>
        <v>20000</v>
      </c>
      <c r="Q141" s="18">
        <f>SUMIFS(Receitas!$F:$F,Receitas!$J:$J,"&lt;="&amp;$A141,Receitas!$L:$L,"&gt;="&amp;$A141,Receitas!$C:$C,Q$1,Receitas!$M:$M,"Mensal")+SUMIFS(Receitas!$F:$F,Receitas!$J:$J,"&lt;="&amp;$A141,Receitas!$L:$L,"&gt;="&amp;$A141,Receitas!$C:$C,Q$1,Receitas!$M:$M,$B141)</f>
        <v>0</v>
      </c>
      <c r="R141" s="18" cm="1">
        <f t="array" ref="R141">(IF(AND(Membros!$F$2="Sim",A141&lt;=MAX(Membros!$E$2:$E$5)),Membros!K$2,IF(AND(A141&gt;=Membros!J$2,A141&lt;=MAX(Membros!$E$2:$E$5)),Membros!K$2,0))+IF(AND(Membros!$F$3="Sim",A141&lt;=MAX(Membros!$E$2:$E$5)),Membros!K$3,IF(AND(A141&gt;=Membros!J$3,A141&lt;=MAX(Membros!$E$2:$E$5)),Membros!K$3,0)))*IF(AND(COUNTIFS(Tabela3[Tipo],"Provedor",Tabela3[Simulação Seguro],"Sim")=2,A141&gt;=MAX(IF(Tabela3[Tipo]="Dependente",Tabela3[Expectativa de Vida (Data)]))),0,1)</f>
        <v>0</v>
      </c>
      <c r="S141" s="18">
        <f t="shared" si="22"/>
        <v>70000</v>
      </c>
      <c r="U141" s="18">
        <f t="shared" ca="1" si="25"/>
        <v>7835537.5284248171</v>
      </c>
      <c r="V141" s="18">
        <f>SUMIF(Imóveis!E:E,Dados!A:A,Imóveis!Z:Z)-SUMIF(Imóveis!E:E,Dados!A:A,Imóveis!Y:Y)</f>
        <v>0</v>
      </c>
      <c r="W141" s="18">
        <f>-SUMIF(Projetos!N:N,A141,Projetos!F:F)</f>
        <v>0</v>
      </c>
      <c r="X141" s="18">
        <f t="shared" ca="1" si="19"/>
        <v>9679.3574410051369</v>
      </c>
      <c r="Y141" s="26">
        <f ca="1">(U141*((Indicadores_Economicos!D$2+1)^(1/12)-1))</f>
        <v>25651.510921716883</v>
      </c>
      <c r="Z141" s="18">
        <f t="shared" ca="1" si="23"/>
        <v>7870868.3967875391</v>
      </c>
      <c r="AA141" s="18">
        <f ca="1">Auxiliar_Projetos!E141</f>
        <v>81390.734677835557</v>
      </c>
      <c r="AB141" s="18">
        <f ca="1">Auxiliar_Projetos!K141</f>
        <v>453810.31934320461</v>
      </c>
      <c r="AC141" s="18">
        <f ca="1">IF(Z141-AA141-AB141&gt;Investimentos!$C$14,Investimentos!$C$14,IF(Z141-AA141-AB141&lt;Investimentos!$C$14,Z141-AA141-AB141,0))</f>
        <v>300000</v>
      </c>
      <c r="AD141" s="18">
        <f t="shared" ca="1" si="24"/>
        <v>7035667.3427664991</v>
      </c>
      <c r="AE141" s="18"/>
    </row>
    <row r="142" spans="1:31" x14ac:dyDescent="0.2">
      <c r="A142" s="4">
        <v>49919</v>
      </c>
      <c r="B142" s="5" t="str">
        <f t="shared" si="20"/>
        <v>setembro</v>
      </c>
      <c r="C142" s="5" t="str">
        <f t="shared" si="18"/>
        <v>2036</v>
      </c>
      <c r="D142" s="5">
        <f>SUMIFS(Despesas!$F:$F,Despesas!$J:$J,"&lt;="&amp;$A142,Despesas!$L:$L,"&gt;="&amp;$A142,Despesas!$C:$C,D$1,Despesas!$M:$M,"Mensal")+SUMIFS(Despesas!$F:$F,Despesas!$J:$J,"&lt;="&amp;$A142,Despesas!$L:$L,"&gt;="&amp;$A142,Despesas!$C:$C,D$1,Despesas!$M:$M,$B142)</f>
        <v>23000</v>
      </c>
      <c r="E142" s="18">
        <f>SUMIFS(Despesas!$F:$F,Despesas!$J:$J,"&lt;="&amp;$A142,Despesas!$L:$L,"&gt;="&amp;$A142,Despesas!$C:$C,E$1,Despesas!$M:$M,"Mensal")+SUMIFS(Despesas!$F:$F,Despesas!$J:$J,"&lt;="&amp;$A142,Despesas!$L:$L,"&gt;="&amp;$A142,Despesas!$C:$C,E$1,Despesas!$M:$M,$B142)</f>
        <v>13000</v>
      </c>
      <c r="F142" s="5">
        <f>SUMIFS(Despesas!$F:$F,Despesas!$J:$J,"&lt;="&amp;$A142,Despesas!$L:$L,"&gt;="&amp;$A142,Despesas!$C:$C,F$1,Despesas!$M:$M,"Mensal")+SUMIFS(Despesas!$F:$F,Despesas!$J:$J,"&lt;="&amp;$A142,Despesas!$L:$L,"&gt;="&amp;$A142,Despesas!$C:$C,F$1,Despesas!$M:$M,$B142)</f>
        <v>13000</v>
      </c>
      <c r="G142" s="5">
        <f>SUMIFS(Despesas!$F:$F,Despesas!$J:$J,"&lt;="&amp;$A142,Despesas!$L:$L,"&gt;="&amp;$A142,Despesas!$C:$C,G$1,Despesas!$M:$M,"Mensal")+SUMIFS(Despesas!$F:$F,Despesas!$J:$J,"&lt;="&amp;$A142,Despesas!$L:$L,"&gt;="&amp;$A142,Despesas!$C:$C,G$1,Despesas!$M:$M,$B142)</f>
        <v>0</v>
      </c>
      <c r="H142" s="18">
        <f>SUMIFS(Despesas!$F:$F,Despesas!$J:$J,"&lt;="&amp;$A142,Despesas!$L:$L,"&gt;="&amp;$A142,Despesas!$C:$C,H$1,Despesas!$M:$M,"Mensal")+SUMIFS(Despesas!$F:$F,Despesas!$J:$J,"&lt;="&amp;$A142,Despesas!$L:$L,"&gt;="&amp;$A142,Despesas!$C:$C,H$1,Despesas!$M:$M,$B142)</f>
        <v>1000</v>
      </c>
      <c r="I142" s="18">
        <f>IF(Imóveis!$F$2="PRICE",IF(AND(Dados!$A142&gt;=Imóveis!$Q$2,Dados!$A142&lt;=Imóveis!$T$2),Imóveis!$U$2,0),IF((IF(AND(Dados!$A142&gt;=Imóveis!$Q$2,Dados!$A142&lt;=Imóveis!$T$2),Imóveis!$S$2-(DATEDIF(Imóveis!$Q$2,Dados!$A142,"m")),0))=0,0,((Imóveis!$N$2/Imóveis!$S$2)+((Imóveis!$N$2-((Imóveis!$S$2-(IF(AND(Dados!$A142&gt;=Imóveis!$Q$2,Dados!$A142&lt;=Imóveis!$T$2),Imóveis!$S$2-(DATEDIF(Imóveis!$Q$2,Dados!$A142,"m")),)))*(Imóveis!$N$2/Imóveis!$S$2)))*Imóveis!$P$2))))*IF(AND(Imóveis!$E$2&gt;0,Dados!$A142&gt;Imóveis!$E$2),0,1)</f>
        <v>10258.621466770061</v>
      </c>
      <c r="J142" s="18">
        <f ca="1">IF(Imóveis!$F$3="PRICE",IF(AND(Dados!$A142&gt;=Imóveis!$Q$3,Dados!$A142&lt;=Imóveis!$T$3),Imóveis!$U$3,0),IF((IF(AND(Dados!$A142&gt;=Imóveis!$Q$3,Dados!$A142&lt;=Imóveis!$T$3),Imóveis!$S$3-(DATEDIF(Imóveis!$Q$3,Dados!$A142,"m")),0))=0,0,((Imóveis!$N$3/Imóveis!$S$3)+((Imóveis!$N$3-((Imóveis!$S$3-(IF(AND(Dados!$A142&gt;=Imóveis!$Q$3,Dados!$A142&lt;=Imóveis!$T$3),Imóveis!$S$3-(DATEDIF(Imóveis!$Q$3,Dados!$A142,"m")),)))*(Imóveis!$N$3/Imóveis!$S$3)))*Imóveis!$P$3))))*IF(AND(Imóveis!$E$3&gt;0,Dados!$A142&gt;Imóveis!$E$3),0,1)</f>
        <v>0</v>
      </c>
      <c r="K142" s="18">
        <f>IF(Imóveis!$F$4="PRICE",IF(AND(Dados!$A142&gt;=Imóveis!$Q$4,Dados!$A142&lt;=Imóveis!$T$4),Imóveis!$U$4,0),IF((IF(AND(Dados!$A142&gt;=Imóveis!$Q$4,Dados!$A142&lt;=Imóveis!$T$4),Imóveis!$S$4-(DATEDIF(Imóveis!$Q$4,Dados!$A142,"m")),0))=0,0,((Imóveis!$N$4/Imóveis!$S$4)+((Imóveis!$N$4-((Imóveis!$S$4-(IF(AND(Dados!$A142&gt;=Imóveis!$Q$4,Dados!$A142&lt;=Imóveis!$T$4),Imóveis!$S$4-(DATEDIF(Imóveis!$Q$4,Dados!$A142,"m")),)))*(Imóveis!$N$4/Imóveis!$S$4)))*Imóveis!$P$4))))*IF(AND(Imóveis!$E$4&gt;0,Dados!$A142&gt;Imóveis!$E$4),0,1)</f>
        <v>0</v>
      </c>
      <c r="L142" s="18">
        <f>IF(Imóveis!$F$5="PRICE",IF(AND(Dados!$A142&gt;=Imóveis!$Q$5,Dados!$A142&lt;=Imóveis!$T$5),Imóveis!$U$5,0),IF((IF(AND(Dados!$A142&gt;=Imóveis!$Q$5,Dados!$A142&lt;=Imóveis!$T$5),Imóveis!$S$5-(DATEDIF(Imóveis!$Q$5,Dados!$A142,"m")),0))=0,0,((Imóveis!$N$5/Imóveis!$S$5)+((Imóveis!$N$5-((Imóveis!$S$5-(IF(AND(Dados!$A142 &gt;=Imóveis!$Q$5,Dados!$A142&lt;=Imóveis!$T$5),Imóveis!$S$5-(DATEDIF(Imóveis!$Q$5,Dados!$A142,"m")),)))*(Imóveis!$N$5/Imóveis!$S$5)))*Imóveis!$P$5))))*IF(AND(Imóveis!$E$5&gt;0,Dados!$A142&gt;Imóveis!$E$5),0,1)*Imóveis!$I$5</f>
        <v>0</v>
      </c>
      <c r="M142" s="18">
        <f>IF(Imóveis!$F$6="PRICE",IF(AND(Dados!$A142&gt;=Imóveis!$Q$6,Dados!$A142&lt;=Imóveis!$T$6),Imóveis!$U$6,0),IF((IF(AND(Dados!$A142&gt;=Imóveis!$Q$6,Dados!$A142&lt;=Imóveis!$T$6),Imóveis!$S$6-(DATEDIF(Imóveis!$Q$6,Dados!$A142,"m")),0))=0,0,((Imóveis!$N$6/Imóveis!$S$6)+((Imóveis!$N$6-((Imóveis!$S$6-(IF(AND(Dados!$A142&gt;=Imóveis!$Q$6,Dados!$A142&lt;=Imóveis!$T$6),Imóveis!$S$6-(DATEDIF(Imóveis!$Q$6,Dados!$A142,"m")),)))*(Imóveis!$N$6/Imóveis!$S$6)))*Imóveis!$P$6))))*IF(AND(Imóveis!$E$6&gt;0,Dados!$A142&gt;Imóveis!$E$6),0,1)*Imóveis!$I$6</f>
        <v>0</v>
      </c>
      <c r="N142" s="18">
        <f t="shared" ca="1" si="21"/>
        <v>60258.621466770062</v>
      </c>
      <c r="O142" s="18">
        <f>SUMIFS(Receitas!$F:$F,Receitas!$J:$J,"&lt;="&amp;$A142,Receitas!$L:$L,"&gt;="&amp;$A142,Receitas!$C:$C,O$1,Receitas!$M:$M,"Mensal")+SUMIFS(Receitas!$F:$F,Receitas!$J:$J,"&lt;="&amp;$A142,Receitas!$L:$L,"&gt;="&amp;$A142,Receitas!$C:$C,O$1,Receitas!$M:$M,$B142)</f>
        <v>50000</v>
      </c>
      <c r="P142" s="18">
        <f>SUMIFS(Receitas!$F:$F,Receitas!$J:$J,"&lt;="&amp;$A142,Receitas!$L:$L,"&gt;="&amp;$A142,Receitas!$C:$C,P$1,Receitas!$M:$M,"Mensal")+SUMIFS(Receitas!$F:$F,Receitas!$J:$J,"&lt;="&amp;$A142,Receitas!$L:$L,"&gt;="&amp;$A142,Receitas!$C:$C,P$1,Receitas!$M:$M,$B142)</f>
        <v>20000</v>
      </c>
      <c r="Q142" s="18">
        <f>SUMIFS(Receitas!$F:$F,Receitas!$J:$J,"&lt;="&amp;$A142,Receitas!$L:$L,"&gt;="&amp;$A142,Receitas!$C:$C,Q$1,Receitas!$M:$M,"Mensal")+SUMIFS(Receitas!$F:$F,Receitas!$J:$J,"&lt;="&amp;$A142,Receitas!$L:$L,"&gt;="&amp;$A142,Receitas!$C:$C,Q$1,Receitas!$M:$M,$B142)</f>
        <v>0</v>
      </c>
      <c r="R142" s="18" cm="1">
        <f t="array" ref="R142">(IF(AND(Membros!$F$2="Sim",A142&lt;=MAX(Membros!$E$2:$E$5)),Membros!K$2,IF(AND(A142&gt;=Membros!J$2,A142&lt;=MAX(Membros!$E$2:$E$5)),Membros!K$2,0))+IF(AND(Membros!$F$3="Sim",A142&lt;=MAX(Membros!$E$2:$E$5)),Membros!K$3,IF(AND(A142&gt;=Membros!J$3,A142&lt;=MAX(Membros!$E$2:$E$5)),Membros!K$3,0)))*IF(AND(COUNTIFS(Tabela3[Tipo],"Provedor",Tabela3[Simulação Seguro],"Sim")=2,A142&gt;=MAX(IF(Tabela3[Tipo]="Dependente",Tabela3[Expectativa de Vida (Data)]))),0,1)</f>
        <v>0</v>
      </c>
      <c r="S142" s="18">
        <f t="shared" si="22"/>
        <v>70000</v>
      </c>
      <c r="U142" s="18">
        <f t="shared" ca="1" si="25"/>
        <v>7870868.3967875391</v>
      </c>
      <c r="V142" s="18">
        <f>SUMIF(Imóveis!E:E,Dados!A:A,Imóveis!Z:Z)-SUMIF(Imóveis!E:E,Dados!A:A,Imóveis!Y:Y)</f>
        <v>0</v>
      </c>
      <c r="W142" s="18">
        <f>-SUMIF(Projetos!N:N,A142,Projetos!F:F)</f>
        <v>0</v>
      </c>
      <c r="X142" s="18">
        <f t="shared" ca="1" si="19"/>
        <v>9741.3785332299376</v>
      </c>
      <c r="Y142" s="26">
        <f ca="1">(U142*((Indicadores_Economicos!D$2+1)^(1/12)-1))</f>
        <v>25767.174991015556</v>
      </c>
      <c r="Z142" s="18">
        <f t="shared" ca="1" si="23"/>
        <v>7906376.9503117846</v>
      </c>
      <c r="AA142" s="18">
        <f ca="1">Auxiliar_Projetos!E142</f>
        <v>81657.186763852791</v>
      </c>
      <c r="AB142" s="18">
        <f ca="1">Auxiliar_Projetos!K142</f>
        <v>455295.97623921087</v>
      </c>
      <c r="AC142" s="18">
        <f ca="1">IF(Z142-AA142-AB142&gt;Investimentos!$C$14,Investimentos!$C$14,IF(Z142-AA142-AB142&lt;Investimentos!$C$14,Z142-AA142-AB142,0))</f>
        <v>300000</v>
      </c>
      <c r="AD142" s="18">
        <f t="shared" ca="1" si="24"/>
        <v>7069423.7873087209</v>
      </c>
      <c r="AE142" s="18"/>
    </row>
    <row r="143" spans="1:31" x14ac:dyDescent="0.2">
      <c r="A143" s="4">
        <v>49949</v>
      </c>
      <c r="B143" s="5" t="str">
        <f t="shared" si="20"/>
        <v>outubro</v>
      </c>
      <c r="C143" s="5" t="str">
        <f t="shared" si="18"/>
        <v>2036</v>
      </c>
      <c r="D143" s="5">
        <f>SUMIFS(Despesas!$F:$F,Despesas!$J:$J,"&lt;="&amp;$A143,Despesas!$L:$L,"&gt;="&amp;$A143,Despesas!$C:$C,D$1,Despesas!$M:$M,"Mensal")+SUMIFS(Despesas!$F:$F,Despesas!$J:$J,"&lt;="&amp;$A143,Despesas!$L:$L,"&gt;="&amp;$A143,Despesas!$C:$C,D$1,Despesas!$M:$M,$B143)</f>
        <v>23000</v>
      </c>
      <c r="E143" s="18">
        <f>SUMIFS(Despesas!$F:$F,Despesas!$J:$J,"&lt;="&amp;$A143,Despesas!$L:$L,"&gt;="&amp;$A143,Despesas!$C:$C,E$1,Despesas!$M:$M,"Mensal")+SUMIFS(Despesas!$F:$F,Despesas!$J:$J,"&lt;="&amp;$A143,Despesas!$L:$L,"&gt;="&amp;$A143,Despesas!$C:$C,E$1,Despesas!$M:$M,$B143)</f>
        <v>13000</v>
      </c>
      <c r="F143" s="5">
        <f>SUMIFS(Despesas!$F:$F,Despesas!$J:$J,"&lt;="&amp;$A143,Despesas!$L:$L,"&gt;="&amp;$A143,Despesas!$C:$C,F$1,Despesas!$M:$M,"Mensal")+SUMIFS(Despesas!$F:$F,Despesas!$J:$J,"&lt;="&amp;$A143,Despesas!$L:$L,"&gt;="&amp;$A143,Despesas!$C:$C,F$1,Despesas!$M:$M,$B143)</f>
        <v>13000</v>
      </c>
      <c r="G143" s="5">
        <f>SUMIFS(Despesas!$F:$F,Despesas!$J:$J,"&lt;="&amp;$A143,Despesas!$L:$L,"&gt;="&amp;$A143,Despesas!$C:$C,G$1,Despesas!$M:$M,"Mensal")+SUMIFS(Despesas!$F:$F,Despesas!$J:$J,"&lt;="&amp;$A143,Despesas!$L:$L,"&gt;="&amp;$A143,Despesas!$C:$C,G$1,Despesas!$M:$M,$B143)</f>
        <v>0</v>
      </c>
      <c r="H143" s="18">
        <f>SUMIFS(Despesas!$F:$F,Despesas!$J:$J,"&lt;="&amp;$A143,Despesas!$L:$L,"&gt;="&amp;$A143,Despesas!$C:$C,H$1,Despesas!$M:$M,"Mensal")+SUMIFS(Despesas!$F:$F,Despesas!$J:$J,"&lt;="&amp;$A143,Despesas!$L:$L,"&gt;="&amp;$A143,Despesas!$C:$C,H$1,Despesas!$M:$M,$B143)</f>
        <v>1000</v>
      </c>
      <c r="I143" s="18">
        <f>IF(Imóveis!$F$2="PRICE",IF(AND(Dados!$A143&gt;=Imóveis!$Q$2,Dados!$A143&lt;=Imóveis!$T$2),Imóveis!$U$2,0),IF((IF(AND(Dados!$A143&gt;=Imóveis!$Q$2,Dados!$A143&lt;=Imóveis!$T$2),Imóveis!$S$2-(DATEDIF(Imóveis!$Q$2,Dados!$A143,"m")),0))=0,0,((Imóveis!$N$2/Imóveis!$S$2)+((Imóveis!$N$2-((Imóveis!$S$2-(IF(AND(Dados!$A143&gt;=Imóveis!$Q$2,Dados!$A143&lt;=Imóveis!$T$2),Imóveis!$S$2-(DATEDIF(Imóveis!$Q$2,Dados!$A143,"m")),)))*(Imóveis!$N$2/Imóveis!$S$2)))*Imóveis!$P$2))))*IF(AND(Imóveis!$E$2&gt;0,Dados!$A143&gt;Imóveis!$E$2),0,1)</f>
        <v>10196.600374545254</v>
      </c>
      <c r="J143" s="18">
        <f ca="1">IF(Imóveis!$F$3="PRICE",IF(AND(Dados!$A143&gt;=Imóveis!$Q$3,Dados!$A143&lt;=Imóveis!$T$3),Imóveis!$U$3,0),IF((IF(AND(Dados!$A143&gt;=Imóveis!$Q$3,Dados!$A143&lt;=Imóveis!$T$3),Imóveis!$S$3-(DATEDIF(Imóveis!$Q$3,Dados!$A143,"m")),0))=0,0,((Imóveis!$N$3/Imóveis!$S$3)+((Imóveis!$N$3-((Imóveis!$S$3-(IF(AND(Dados!$A143&gt;=Imóveis!$Q$3,Dados!$A143&lt;=Imóveis!$T$3),Imóveis!$S$3-(DATEDIF(Imóveis!$Q$3,Dados!$A143,"m")),)))*(Imóveis!$N$3/Imóveis!$S$3)))*Imóveis!$P$3))))*IF(AND(Imóveis!$E$3&gt;0,Dados!$A143&gt;Imóveis!$E$3),0,1)</f>
        <v>0</v>
      </c>
      <c r="K143" s="18">
        <f>IF(Imóveis!$F$4="PRICE",IF(AND(Dados!$A143&gt;=Imóveis!$Q$4,Dados!$A143&lt;=Imóveis!$T$4),Imóveis!$U$4,0),IF((IF(AND(Dados!$A143&gt;=Imóveis!$Q$4,Dados!$A143&lt;=Imóveis!$T$4),Imóveis!$S$4-(DATEDIF(Imóveis!$Q$4,Dados!$A143,"m")),0))=0,0,((Imóveis!$N$4/Imóveis!$S$4)+((Imóveis!$N$4-((Imóveis!$S$4-(IF(AND(Dados!$A143&gt;=Imóveis!$Q$4,Dados!$A143&lt;=Imóveis!$T$4),Imóveis!$S$4-(DATEDIF(Imóveis!$Q$4,Dados!$A143,"m")),)))*(Imóveis!$N$4/Imóveis!$S$4)))*Imóveis!$P$4))))*IF(AND(Imóveis!$E$4&gt;0,Dados!$A143&gt;Imóveis!$E$4),0,1)</f>
        <v>0</v>
      </c>
      <c r="L143" s="18">
        <f>IF(Imóveis!$F$5="PRICE",IF(AND(Dados!$A143&gt;=Imóveis!$Q$5,Dados!$A143&lt;=Imóveis!$T$5),Imóveis!$U$5,0),IF((IF(AND(Dados!$A143&gt;=Imóveis!$Q$5,Dados!$A143&lt;=Imóveis!$T$5),Imóveis!$S$5-(DATEDIF(Imóveis!$Q$5,Dados!$A143,"m")),0))=0,0,((Imóveis!$N$5/Imóveis!$S$5)+((Imóveis!$N$5-((Imóveis!$S$5-(IF(AND(Dados!$A143 &gt;=Imóveis!$Q$5,Dados!$A143&lt;=Imóveis!$T$5),Imóveis!$S$5-(DATEDIF(Imóveis!$Q$5,Dados!$A143,"m")),)))*(Imóveis!$N$5/Imóveis!$S$5)))*Imóveis!$P$5))))*IF(AND(Imóveis!$E$5&gt;0,Dados!$A143&gt;Imóveis!$E$5),0,1)*Imóveis!$I$5</f>
        <v>0</v>
      </c>
      <c r="M143" s="18">
        <f>IF(Imóveis!$F$6="PRICE",IF(AND(Dados!$A143&gt;=Imóveis!$Q$6,Dados!$A143&lt;=Imóveis!$T$6),Imóveis!$U$6,0),IF((IF(AND(Dados!$A143&gt;=Imóveis!$Q$6,Dados!$A143&lt;=Imóveis!$T$6),Imóveis!$S$6-(DATEDIF(Imóveis!$Q$6,Dados!$A143,"m")),0))=0,0,((Imóveis!$N$6/Imóveis!$S$6)+((Imóveis!$N$6-((Imóveis!$S$6-(IF(AND(Dados!$A143&gt;=Imóveis!$Q$6,Dados!$A143&lt;=Imóveis!$T$6),Imóveis!$S$6-(DATEDIF(Imóveis!$Q$6,Dados!$A143,"m")),)))*(Imóveis!$N$6/Imóveis!$S$6)))*Imóveis!$P$6))))*IF(AND(Imóveis!$E$6&gt;0,Dados!$A143&gt;Imóveis!$E$6),0,1)*Imóveis!$I$6</f>
        <v>0</v>
      </c>
      <c r="N143" s="18">
        <f t="shared" ca="1" si="21"/>
        <v>60196.600374545254</v>
      </c>
      <c r="O143" s="18">
        <f>SUMIFS(Receitas!$F:$F,Receitas!$J:$J,"&lt;="&amp;$A143,Receitas!$L:$L,"&gt;="&amp;$A143,Receitas!$C:$C,O$1,Receitas!$M:$M,"Mensal")+SUMIFS(Receitas!$F:$F,Receitas!$J:$J,"&lt;="&amp;$A143,Receitas!$L:$L,"&gt;="&amp;$A143,Receitas!$C:$C,O$1,Receitas!$M:$M,$B143)</f>
        <v>50000</v>
      </c>
      <c r="P143" s="18">
        <f>SUMIFS(Receitas!$F:$F,Receitas!$J:$J,"&lt;="&amp;$A143,Receitas!$L:$L,"&gt;="&amp;$A143,Receitas!$C:$C,P$1,Receitas!$M:$M,"Mensal")+SUMIFS(Receitas!$F:$F,Receitas!$J:$J,"&lt;="&amp;$A143,Receitas!$L:$L,"&gt;="&amp;$A143,Receitas!$C:$C,P$1,Receitas!$M:$M,$B143)</f>
        <v>20000</v>
      </c>
      <c r="Q143" s="18">
        <f>SUMIFS(Receitas!$F:$F,Receitas!$J:$J,"&lt;="&amp;$A143,Receitas!$L:$L,"&gt;="&amp;$A143,Receitas!$C:$C,Q$1,Receitas!$M:$M,"Mensal")+SUMIFS(Receitas!$F:$F,Receitas!$J:$J,"&lt;="&amp;$A143,Receitas!$L:$L,"&gt;="&amp;$A143,Receitas!$C:$C,Q$1,Receitas!$M:$M,$B143)</f>
        <v>0</v>
      </c>
      <c r="R143" s="18" cm="1">
        <f t="array" ref="R143">(IF(AND(Membros!$F$2="Sim",A143&lt;=MAX(Membros!$E$2:$E$5)),Membros!K$2,IF(AND(A143&gt;=Membros!J$2,A143&lt;=MAX(Membros!$E$2:$E$5)),Membros!K$2,0))+IF(AND(Membros!$F$3="Sim",A143&lt;=MAX(Membros!$E$2:$E$5)),Membros!K$3,IF(AND(A143&gt;=Membros!J$3,A143&lt;=MAX(Membros!$E$2:$E$5)),Membros!K$3,0)))*IF(AND(COUNTIFS(Tabela3[Tipo],"Provedor",Tabela3[Simulação Seguro],"Sim")=2,A143&gt;=MAX(IF(Tabela3[Tipo]="Dependente",Tabela3[Expectativa de Vida (Data)]))),0,1)</f>
        <v>0</v>
      </c>
      <c r="S143" s="18">
        <f t="shared" si="22"/>
        <v>70000</v>
      </c>
      <c r="U143" s="18">
        <f t="shared" ca="1" si="25"/>
        <v>7906376.9503117846</v>
      </c>
      <c r="V143" s="18">
        <f>SUMIF(Imóveis!E:E,Dados!A:A,Imóveis!Z:Z)-SUMIF(Imóveis!E:E,Dados!A:A,Imóveis!Y:Y)</f>
        <v>0</v>
      </c>
      <c r="W143" s="18">
        <f>-SUMIF(Projetos!N:N,A143,Projetos!F:F)</f>
        <v>0</v>
      </c>
      <c r="X143" s="18">
        <f t="shared" ca="1" si="19"/>
        <v>9803.3996254547455</v>
      </c>
      <c r="Y143" s="26">
        <f ca="1">(U143*((Indicadores_Economicos!D$2+1)^(1/12)-1))</f>
        <v>25883.420755296218</v>
      </c>
      <c r="Z143" s="18">
        <f t="shared" ca="1" si="23"/>
        <v>7942063.7706925357</v>
      </c>
      <c r="AA143" s="18">
        <f ca="1">Auxiliar_Projetos!E143</f>
        <v>81924.511144664066</v>
      </c>
      <c r="AB143" s="18">
        <f ca="1">Auxiliar_Projetos!K143</f>
        <v>456786.49678930029</v>
      </c>
      <c r="AC143" s="18">
        <f ca="1">IF(Z143-AA143-AB143&gt;Investimentos!$C$14,Investimentos!$C$14,IF(Z143-AA143-AB143&lt;Investimentos!$C$14,Z143-AA143-AB143,0))</f>
        <v>300000</v>
      </c>
      <c r="AD143" s="18">
        <f t="shared" ca="1" si="24"/>
        <v>7103352.7627585717</v>
      </c>
      <c r="AE143" s="18"/>
    </row>
    <row r="144" spans="1:31" x14ac:dyDescent="0.2">
      <c r="A144" s="4">
        <v>49980</v>
      </c>
      <c r="B144" s="5" t="str">
        <f t="shared" si="20"/>
        <v>novembro</v>
      </c>
      <c r="C144" s="5" t="str">
        <f t="shared" si="18"/>
        <v>2036</v>
      </c>
      <c r="D144" s="5">
        <f>SUMIFS(Despesas!$F:$F,Despesas!$J:$J,"&lt;="&amp;$A144,Despesas!$L:$L,"&gt;="&amp;$A144,Despesas!$C:$C,D$1,Despesas!$M:$M,"Mensal")+SUMIFS(Despesas!$F:$F,Despesas!$J:$J,"&lt;="&amp;$A144,Despesas!$L:$L,"&gt;="&amp;$A144,Despesas!$C:$C,D$1,Despesas!$M:$M,$B144)</f>
        <v>23000</v>
      </c>
      <c r="E144" s="18">
        <f>SUMIFS(Despesas!$F:$F,Despesas!$J:$J,"&lt;="&amp;$A144,Despesas!$L:$L,"&gt;="&amp;$A144,Despesas!$C:$C,E$1,Despesas!$M:$M,"Mensal")+SUMIFS(Despesas!$F:$F,Despesas!$J:$J,"&lt;="&amp;$A144,Despesas!$L:$L,"&gt;="&amp;$A144,Despesas!$C:$C,E$1,Despesas!$M:$M,$B144)</f>
        <v>13000</v>
      </c>
      <c r="F144" s="5">
        <f>SUMIFS(Despesas!$F:$F,Despesas!$J:$J,"&lt;="&amp;$A144,Despesas!$L:$L,"&gt;="&amp;$A144,Despesas!$C:$C,F$1,Despesas!$M:$M,"Mensal")+SUMIFS(Despesas!$F:$F,Despesas!$J:$J,"&lt;="&amp;$A144,Despesas!$L:$L,"&gt;="&amp;$A144,Despesas!$C:$C,F$1,Despesas!$M:$M,$B144)</f>
        <v>13000</v>
      </c>
      <c r="G144" s="5">
        <f>SUMIFS(Despesas!$F:$F,Despesas!$J:$J,"&lt;="&amp;$A144,Despesas!$L:$L,"&gt;="&amp;$A144,Despesas!$C:$C,G$1,Despesas!$M:$M,"Mensal")+SUMIFS(Despesas!$F:$F,Despesas!$J:$J,"&lt;="&amp;$A144,Despesas!$L:$L,"&gt;="&amp;$A144,Despesas!$C:$C,G$1,Despesas!$M:$M,$B144)</f>
        <v>0</v>
      </c>
      <c r="H144" s="18">
        <f>SUMIFS(Despesas!$F:$F,Despesas!$J:$J,"&lt;="&amp;$A144,Despesas!$L:$L,"&gt;="&amp;$A144,Despesas!$C:$C,H$1,Despesas!$M:$M,"Mensal")+SUMIFS(Despesas!$F:$F,Despesas!$J:$J,"&lt;="&amp;$A144,Despesas!$L:$L,"&gt;="&amp;$A144,Despesas!$C:$C,H$1,Despesas!$M:$M,$B144)</f>
        <v>1000</v>
      </c>
      <c r="I144" s="18">
        <f>IF(Imóveis!$F$2="PRICE",IF(AND(Dados!$A144&gt;=Imóveis!$Q$2,Dados!$A144&lt;=Imóveis!$T$2),Imóveis!$U$2,0),IF((IF(AND(Dados!$A144&gt;=Imóveis!$Q$2,Dados!$A144&lt;=Imóveis!$T$2),Imóveis!$S$2-(DATEDIF(Imóveis!$Q$2,Dados!$A144,"m")),0))=0,0,((Imóveis!$N$2/Imóveis!$S$2)+((Imóveis!$N$2-((Imóveis!$S$2-(IF(AND(Dados!$A144&gt;=Imóveis!$Q$2,Dados!$A144&lt;=Imóveis!$T$2),Imóveis!$S$2-(DATEDIF(Imóveis!$Q$2,Dados!$A144,"m")),)))*(Imóveis!$N$2/Imóveis!$S$2)))*Imóveis!$P$2))))*IF(AND(Imóveis!$E$2&gt;0,Dados!$A144&gt;Imóveis!$E$2),0,1)</f>
        <v>10134.579282320445</v>
      </c>
      <c r="J144" s="18">
        <f ca="1">IF(Imóveis!$F$3="PRICE",IF(AND(Dados!$A144&gt;=Imóveis!$Q$3,Dados!$A144&lt;=Imóveis!$T$3),Imóveis!$U$3,0),IF((IF(AND(Dados!$A144&gt;=Imóveis!$Q$3,Dados!$A144&lt;=Imóveis!$T$3),Imóveis!$S$3-(DATEDIF(Imóveis!$Q$3,Dados!$A144,"m")),0))=0,0,((Imóveis!$N$3/Imóveis!$S$3)+((Imóveis!$N$3-((Imóveis!$S$3-(IF(AND(Dados!$A144&gt;=Imóveis!$Q$3,Dados!$A144&lt;=Imóveis!$T$3),Imóveis!$S$3-(DATEDIF(Imóveis!$Q$3,Dados!$A144,"m")),)))*(Imóveis!$N$3/Imóveis!$S$3)))*Imóveis!$P$3))))*IF(AND(Imóveis!$E$3&gt;0,Dados!$A144&gt;Imóveis!$E$3),0,1)</f>
        <v>0</v>
      </c>
      <c r="K144" s="18">
        <f>IF(Imóveis!$F$4="PRICE",IF(AND(Dados!$A144&gt;=Imóveis!$Q$4,Dados!$A144&lt;=Imóveis!$T$4),Imóveis!$U$4,0),IF((IF(AND(Dados!$A144&gt;=Imóveis!$Q$4,Dados!$A144&lt;=Imóveis!$T$4),Imóveis!$S$4-(DATEDIF(Imóveis!$Q$4,Dados!$A144,"m")),0))=0,0,((Imóveis!$N$4/Imóveis!$S$4)+((Imóveis!$N$4-((Imóveis!$S$4-(IF(AND(Dados!$A144&gt;=Imóveis!$Q$4,Dados!$A144&lt;=Imóveis!$T$4),Imóveis!$S$4-(DATEDIF(Imóveis!$Q$4,Dados!$A144,"m")),)))*(Imóveis!$N$4/Imóveis!$S$4)))*Imóveis!$P$4))))*IF(AND(Imóveis!$E$4&gt;0,Dados!$A144&gt;Imóveis!$E$4),0,1)</f>
        <v>0</v>
      </c>
      <c r="L144" s="18">
        <f>IF(Imóveis!$F$5="PRICE",IF(AND(Dados!$A144&gt;=Imóveis!$Q$5,Dados!$A144&lt;=Imóveis!$T$5),Imóveis!$U$5,0),IF((IF(AND(Dados!$A144&gt;=Imóveis!$Q$5,Dados!$A144&lt;=Imóveis!$T$5),Imóveis!$S$5-(DATEDIF(Imóveis!$Q$5,Dados!$A144,"m")),0))=0,0,((Imóveis!$N$5/Imóveis!$S$5)+((Imóveis!$N$5-((Imóveis!$S$5-(IF(AND(Dados!$A144 &gt;=Imóveis!$Q$5,Dados!$A144&lt;=Imóveis!$T$5),Imóveis!$S$5-(DATEDIF(Imóveis!$Q$5,Dados!$A144,"m")),)))*(Imóveis!$N$5/Imóveis!$S$5)))*Imóveis!$P$5))))*IF(AND(Imóveis!$E$5&gt;0,Dados!$A144&gt;Imóveis!$E$5),0,1)*Imóveis!$I$5</f>
        <v>0</v>
      </c>
      <c r="M144" s="18">
        <f>IF(Imóveis!$F$6="PRICE",IF(AND(Dados!$A144&gt;=Imóveis!$Q$6,Dados!$A144&lt;=Imóveis!$T$6),Imóveis!$U$6,0),IF((IF(AND(Dados!$A144&gt;=Imóveis!$Q$6,Dados!$A144&lt;=Imóveis!$T$6),Imóveis!$S$6-(DATEDIF(Imóveis!$Q$6,Dados!$A144,"m")),0))=0,0,((Imóveis!$N$6/Imóveis!$S$6)+((Imóveis!$N$6-((Imóveis!$S$6-(IF(AND(Dados!$A144&gt;=Imóveis!$Q$6,Dados!$A144&lt;=Imóveis!$T$6),Imóveis!$S$6-(DATEDIF(Imóveis!$Q$6,Dados!$A144,"m")),)))*(Imóveis!$N$6/Imóveis!$S$6)))*Imóveis!$P$6))))*IF(AND(Imóveis!$E$6&gt;0,Dados!$A144&gt;Imóveis!$E$6),0,1)*Imóveis!$I$6</f>
        <v>0</v>
      </c>
      <c r="N144" s="18">
        <f t="shared" ca="1" si="21"/>
        <v>60134.579282320447</v>
      </c>
      <c r="O144" s="18">
        <f>SUMIFS(Receitas!$F:$F,Receitas!$J:$J,"&lt;="&amp;$A144,Receitas!$L:$L,"&gt;="&amp;$A144,Receitas!$C:$C,O$1,Receitas!$M:$M,"Mensal")+SUMIFS(Receitas!$F:$F,Receitas!$J:$J,"&lt;="&amp;$A144,Receitas!$L:$L,"&gt;="&amp;$A144,Receitas!$C:$C,O$1,Receitas!$M:$M,$B144)</f>
        <v>50000</v>
      </c>
      <c r="P144" s="18">
        <f>SUMIFS(Receitas!$F:$F,Receitas!$J:$J,"&lt;="&amp;$A144,Receitas!$L:$L,"&gt;="&amp;$A144,Receitas!$C:$C,P$1,Receitas!$M:$M,"Mensal")+SUMIFS(Receitas!$F:$F,Receitas!$J:$J,"&lt;="&amp;$A144,Receitas!$L:$L,"&gt;="&amp;$A144,Receitas!$C:$C,P$1,Receitas!$M:$M,$B144)</f>
        <v>86666.666666666672</v>
      </c>
      <c r="Q144" s="18">
        <f>SUMIFS(Receitas!$F:$F,Receitas!$J:$J,"&lt;="&amp;$A144,Receitas!$L:$L,"&gt;="&amp;$A144,Receitas!$C:$C,Q$1,Receitas!$M:$M,"Mensal")+SUMIFS(Receitas!$F:$F,Receitas!$J:$J,"&lt;="&amp;$A144,Receitas!$L:$L,"&gt;="&amp;$A144,Receitas!$C:$C,Q$1,Receitas!$M:$M,$B144)</f>
        <v>0</v>
      </c>
      <c r="R144" s="18" cm="1">
        <f t="array" ref="R144">(IF(AND(Membros!$F$2="Sim",A144&lt;=MAX(Membros!$E$2:$E$5)),Membros!K$2,IF(AND(A144&gt;=Membros!J$2,A144&lt;=MAX(Membros!$E$2:$E$5)),Membros!K$2,0))+IF(AND(Membros!$F$3="Sim",A144&lt;=MAX(Membros!$E$2:$E$5)),Membros!K$3,IF(AND(A144&gt;=Membros!J$3,A144&lt;=MAX(Membros!$E$2:$E$5)),Membros!K$3,0)))*IF(AND(COUNTIFS(Tabela3[Tipo],"Provedor",Tabela3[Simulação Seguro],"Sim")=2,A144&gt;=MAX(IF(Tabela3[Tipo]="Dependente",Tabela3[Expectativa de Vida (Data)]))),0,1)</f>
        <v>0</v>
      </c>
      <c r="S144" s="18">
        <f t="shared" si="22"/>
        <v>136666.66666666669</v>
      </c>
      <c r="U144" s="18">
        <f t="shared" ca="1" si="25"/>
        <v>7942063.7706925357</v>
      </c>
      <c r="V144" s="18">
        <f>SUMIF(Imóveis!E:E,Dados!A:A,Imóveis!Z:Z)-SUMIF(Imóveis!E:E,Dados!A:A,Imóveis!Y:Y)</f>
        <v>0</v>
      </c>
      <c r="W144" s="18">
        <f>-SUMIF(Projetos!N:N,A144,Projetos!F:F)</f>
        <v>0</v>
      </c>
      <c r="X144" s="18">
        <f t="shared" ca="1" si="19"/>
        <v>76532.087384346232</v>
      </c>
      <c r="Y144" s="26">
        <f ca="1">(U144*((Indicadores_Economicos!D$2+1)^(1/12)-1))</f>
        <v>26000.250118876873</v>
      </c>
      <c r="Z144" s="18">
        <f t="shared" ca="1" si="23"/>
        <v>8044596.1081957584</v>
      </c>
      <c r="AA144" s="18">
        <f ca="1">Auxiliar_Projetos!E144</f>
        <v>82192.710675935552</v>
      </c>
      <c r="AB144" s="18">
        <f ca="1">Auxiliar_Projetos!K144</f>
        <v>458281.89691581071</v>
      </c>
      <c r="AC144" s="18">
        <f ca="1">IF(Z144-AA144-AB144&gt;Investimentos!$C$14,Investimentos!$C$14,IF(Z144-AA144-AB144&lt;Investimentos!$C$14,Z144-AA144-AB144,0))</f>
        <v>300000</v>
      </c>
      <c r="AD144" s="18">
        <f t="shared" ca="1" si="24"/>
        <v>7204121.500604012</v>
      </c>
      <c r="AE144" s="18"/>
    </row>
    <row r="145" spans="1:31" x14ac:dyDescent="0.2">
      <c r="A145" s="4">
        <v>50010</v>
      </c>
      <c r="B145" s="5" t="str">
        <f t="shared" si="20"/>
        <v>dezembro</v>
      </c>
      <c r="C145" s="5" t="str">
        <f t="shared" si="18"/>
        <v>2036</v>
      </c>
      <c r="D145" s="5">
        <f>SUMIFS(Despesas!$F:$F,Despesas!$J:$J,"&lt;="&amp;$A145,Despesas!$L:$L,"&gt;="&amp;$A145,Despesas!$C:$C,D$1,Despesas!$M:$M,"Mensal")+SUMIFS(Despesas!$F:$F,Despesas!$J:$J,"&lt;="&amp;$A145,Despesas!$L:$L,"&gt;="&amp;$A145,Despesas!$C:$C,D$1,Despesas!$M:$M,$B145)</f>
        <v>23000</v>
      </c>
      <c r="E145" s="18">
        <f>SUMIFS(Despesas!$F:$F,Despesas!$J:$J,"&lt;="&amp;$A145,Despesas!$L:$L,"&gt;="&amp;$A145,Despesas!$C:$C,E$1,Despesas!$M:$M,"Mensal")+SUMIFS(Despesas!$F:$F,Despesas!$J:$J,"&lt;="&amp;$A145,Despesas!$L:$L,"&gt;="&amp;$A145,Despesas!$C:$C,E$1,Despesas!$M:$M,$B145)</f>
        <v>13000</v>
      </c>
      <c r="F145" s="5">
        <f>SUMIFS(Despesas!$F:$F,Despesas!$J:$J,"&lt;="&amp;$A145,Despesas!$L:$L,"&gt;="&amp;$A145,Despesas!$C:$C,F$1,Despesas!$M:$M,"Mensal")+SUMIFS(Despesas!$F:$F,Despesas!$J:$J,"&lt;="&amp;$A145,Despesas!$L:$L,"&gt;="&amp;$A145,Despesas!$C:$C,F$1,Despesas!$M:$M,$B145)</f>
        <v>13000</v>
      </c>
      <c r="G145" s="5">
        <f ca="1">SUMIFS(Despesas!$F:$F,Despesas!$J:$J,"&lt;="&amp;$A145,Despesas!$L:$L,"&gt;="&amp;$A145,Despesas!$C:$C,G$1,Despesas!$M:$M,"Mensal")+SUMIFS(Despesas!$F:$F,Despesas!$J:$J,"&lt;="&amp;$A145,Despesas!$L:$L,"&gt;="&amp;$A145,Despesas!$C:$C,G$1,Despesas!$M:$M,$B145)</f>
        <v>55757</v>
      </c>
      <c r="H145" s="18">
        <f>SUMIFS(Despesas!$F:$F,Despesas!$J:$J,"&lt;="&amp;$A145,Despesas!$L:$L,"&gt;="&amp;$A145,Despesas!$C:$C,H$1,Despesas!$M:$M,"Mensal")+SUMIFS(Despesas!$F:$F,Despesas!$J:$J,"&lt;="&amp;$A145,Despesas!$L:$L,"&gt;="&amp;$A145,Despesas!$C:$C,H$1,Despesas!$M:$M,$B145)</f>
        <v>1000</v>
      </c>
      <c r="I145" s="18">
        <f>IF(Imóveis!$F$2="PRICE",IF(AND(Dados!$A145&gt;=Imóveis!$Q$2,Dados!$A145&lt;=Imóveis!$T$2),Imóveis!$U$2,0),IF((IF(AND(Dados!$A145&gt;=Imóveis!$Q$2,Dados!$A145&lt;=Imóveis!$T$2),Imóveis!$S$2-(DATEDIF(Imóveis!$Q$2,Dados!$A145,"m")),0))=0,0,((Imóveis!$N$2/Imóveis!$S$2)+((Imóveis!$N$2-((Imóveis!$S$2-(IF(AND(Dados!$A145&gt;=Imóveis!$Q$2,Dados!$A145&lt;=Imóveis!$T$2),Imóveis!$S$2-(DATEDIF(Imóveis!$Q$2,Dados!$A145,"m")),)))*(Imóveis!$N$2/Imóveis!$S$2)))*Imóveis!$P$2))))*IF(AND(Imóveis!$E$2&gt;0,Dados!$A145&gt;Imóveis!$E$2),0,1)</f>
        <v>10072.558190095639</v>
      </c>
      <c r="J145" s="18">
        <f ca="1">IF(Imóveis!$F$3="PRICE",IF(AND(Dados!$A145&gt;=Imóveis!$Q$3,Dados!$A145&lt;=Imóveis!$T$3),Imóveis!$U$3,0),IF((IF(AND(Dados!$A145&gt;=Imóveis!$Q$3,Dados!$A145&lt;=Imóveis!$T$3),Imóveis!$S$3-(DATEDIF(Imóveis!$Q$3,Dados!$A145,"m")),0))=0,0,((Imóveis!$N$3/Imóveis!$S$3)+((Imóveis!$N$3-((Imóveis!$S$3-(IF(AND(Dados!$A145&gt;=Imóveis!$Q$3,Dados!$A145&lt;=Imóveis!$T$3),Imóveis!$S$3-(DATEDIF(Imóveis!$Q$3,Dados!$A145,"m")),)))*(Imóveis!$N$3/Imóveis!$S$3)))*Imóveis!$P$3))))*IF(AND(Imóveis!$E$3&gt;0,Dados!$A145&gt;Imóveis!$E$3),0,1)</f>
        <v>0</v>
      </c>
      <c r="K145" s="18">
        <f>IF(Imóveis!$F$4="PRICE",IF(AND(Dados!$A145&gt;=Imóveis!$Q$4,Dados!$A145&lt;=Imóveis!$T$4),Imóveis!$U$4,0),IF((IF(AND(Dados!$A145&gt;=Imóveis!$Q$4,Dados!$A145&lt;=Imóveis!$T$4),Imóveis!$S$4-(DATEDIF(Imóveis!$Q$4,Dados!$A145,"m")),0))=0,0,((Imóveis!$N$4/Imóveis!$S$4)+((Imóveis!$N$4-((Imóveis!$S$4-(IF(AND(Dados!$A145&gt;=Imóveis!$Q$4,Dados!$A145&lt;=Imóveis!$T$4),Imóveis!$S$4-(DATEDIF(Imóveis!$Q$4,Dados!$A145,"m")),)))*(Imóveis!$N$4/Imóveis!$S$4)))*Imóveis!$P$4))))*IF(AND(Imóveis!$E$4&gt;0,Dados!$A145&gt;Imóveis!$E$4),0,1)</f>
        <v>0</v>
      </c>
      <c r="L145" s="18">
        <f>IF(Imóveis!$F$5="PRICE",IF(AND(Dados!$A145&gt;=Imóveis!$Q$5,Dados!$A145&lt;=Imóveis!$T$5),Imóveis!$U$5,0),IF((IF(AND(Dados!$A145&gt;=Imóveis!$Q$5,Dados!$A145&lt;=Imóveis!$T$5),Imóveis!$S$5-(DATEDIF(Imóveis!$Q$5,Dados!$A145,"m")),0))=0,0,((Imóveis!$N$5/Imóveis!$S$5)+((Imóveis!$N$5-((Imóveis!$S$5-(IF(AND(Dados!$A145 &gt;=Imóveis!$Q$5,Dados!$A145&lt;=Imóveis!$T$5),Imóveis!$S$5-(DATEDIF(Imóveis!$Q$5,Dados!$A145,"m")),)))*(Imóveis!$N$5/Imóveis!$S$5)))*Imóveis!$P$5))))*IF(AND(Imóveis!$E$5&gt;0,Dados!$A145&gt;Imóveis!$E$5),0,1)*Imóveis!$I$5</f>
        <v>0</v>
      </c>
      <c r="M145" s="18">
        <f>IF(Imóveis!$F$6="PRICE",IF(AND(Dados!$A145&gt;=Imóveis!$Q$6,Dados!$A145&lt;=Imóveis!$T$6),Imóveis!$U$6,0),IF((IF(AND(Dados!$A145&gt;=Imóveis!$Q$6,Dados!$A145&lt;=Imóveis!$T$6),Imóveis!$S$6-(DATEDIF(Imóveis!$Q$6,Dados!$A145,"m")),0))=0,0,((Imóveis!$N$6/Imóveis!$S$6)+((Imóveis!$N$6-((Imóveis!$S$6-(IF(AND(Dados!$A145&gt;=Imóveis!$Q$6,Dados!$A145&lt;=Imóveis!$T$6),Imóveis!$S$6-(DATEDIF(Imóveis!$Q$6,Dados!$A145,"m")),)))*(Imóveis!$N$6/Imóveis!$S$6)))*Imóveis!$P$6))))*IF(AND(Imóveis!$E$6&gt;0,Dados!$A145&gt;Imóveis!$E$6),0,1)*Imóveis!$I$6</f>
        <v>0</v>
      </c>
      <c r="N145" s="18">
        <f t="shared" ca="1" si="21"/>
        <v>115829.55819009565</v>
      </c>
      <c r="O145" s="18">
        <f>SUMIFS(Receitas!$F:$F,Receitas!$J:$J,"&lt;="&amp;$A145,Receitas!$L:$L,"&gt;="&amp;$A145,Receitas!$C:$C,O$1,Receitas!$M:$M,"Mensal")+SUMIFS(Receitas!$F:$F,Receitas!$J:$J,"&lt;="&amp;$A145,Receitas!$L:$L,"&gt;="&amp;$A145,Receitas!$C:$C,O$1,Receitas!$M:$M,$B145)</f>
        <v>50000</v>
      </c>
      <c r="P145" s="18">
        <f>SUMIFS(Receitas!$F:$F,Receitas!$J:$J,"&lt;="&amp;$A145,Receitas!$L:$L,"&gt;="&amp;$A145,Receitas!$C:$C,P$1,Receitas!$M:$M,"Mensal")+SUMIFS(Receitas!$F:$F,Receitas!$J:$J,"&lt;="&amp;$A145,Receitas!$L:$L,"&gt;="&amp;$A145,Receitas!$C:$C,P$1,Receitas!$M:$M,$B145)</f>
        <v>20000</v>
      </c>
      <c r="Q145" s="18">
        <f>SUMIFS(Receitas!$F:$F,Receitas!$J:$J,"&lt;="&amp;$A145,Receitas!$L:$L,"&gt;="&amp;$A145,Receitas!$C:$C,Q$1,Receitas!$M:$M,"Mensal")+SUMIFS(Receitas!$F:$F,Receitas!$J:$J,"&lt;="&amp;$A145,Receitas!$L:$L,"&gt;="&amp;$A145,Receitas!$C:$C,Q$1,Receitas!$M:$M,$B145)</f>
        <v>0</v>
      </c>
      <c r="R145" s="18" cm="1">
        <f t="array" ref="R145">(IF(AND(Membros!$F$2="Sim",A145&lt;=MAX(Membros!$E$2:$E$5)),Membros!K$2,IF(AND(A145&gt;=Membros!J$2,A145&lt;=MAX(Membros!$E$2:$E$5)),Membros!K$2,0))+IF(AND(Membros!$F$3="Sim",A145&lt;=MAX(Membros!$E$2:$E$5)),Membros!K$3,IF(AND(A145&gt;=Membros!J$3,A145&lt;=MAX(Membros!$E$2:$E$5)),Membros!K$3,0)))*IF(AND(COUNTIFS(Tabela3[Tipo],"Provedor",Tabela3[Simulação Seguro],"Sim")=2,A145&gt;=MAX(IF(Tabela3[Tipo]="Dependente",Tabela3[Expectativa de Vida (Data)]))),0,1)</f>
        <v>0</v>
      </c>
      <c r="S145" s="18">
        <f t="shared" si="22"/>
        <v>70000</v>
      </c>
      <c r="U145" s="18">
        <f t="shared" ca="1" si="25"/>
        <v>8044596.1081957584</v>
      </c>
      <c r="V145" s="18">
        <f>SUMIF(Imóveis!E:E,Dados!A:A,Imóveis!Z:Z)-SUMIF(Imóveis!E:E,Dados!A:A,Imóveis!Y:Y)</f>
        <v>0</v>
      </c>
      <c r="W145" s="18">
        <f>-SUMIF(Projetos!N:N,A145,Projetos!F:F)</f>
        <v>0</v>
      </c>
      <c r="X145" s="18">
        <f t="shared" ca="1" si="19"/>
        <v>-45829.558190095646</v>
      </c>
      <c r="Y145" s="26">
        <f ca="1">(U145*((Indicadores_Economicos!D$2+1)^(1/12)-1))</f>
        <v>26335.914311123019</v>
      </c>
      <c r="Z145" s="18">
        <f t="shared" ca="1" si="23"/>
        <v>8025102.4643167863</v>
      </c>
      <c r="AA145" s="18">
        <f ca="1">Auxiliar_Projetos!E145</f>
        <v>82461.788222682124</v>
      </c>
      <c r="AB145" s="18">
        <f ca="1">Auxiliar_Projetos!K145</f>
        <v>459782.1925932056</v>
      </c>
      <c r="AC145" s="18">
        <f ca="1">IF(Z145-AA145-AB145&gt;Investimentos!$C$14,Investimentos!$C$14,IF(Z145-AA145-AB145&lt;Investimentos!$C$14,Z145-AA145-AB145,0))</f>
        <v>300000</v>
      </c>
      <c r="AD145" s="18">
        <f t="shared" ca="1" si="24"/>
        <v>7182858.4835008988</v>
      </c>
      <c r="AE145" s="18"/>
    </row>
    <row r="146" spans="1:31" x14ac:dyDescent="0.2">
      <c r="A146" s="4">
        <v>50041</v>
      </c>
      <c r="B146" s="5" t="str">
        <f t="shared" si="20"/>
        <v>janeiro</v>
      </c>
      <c r="C146" s="5" t="str">
        <f t="shared" si="18"/>
        <v>2037</v>
      </c>
      <c r="D146" s="5">
        <f>SUMIFS(Despesas!$F:$F,Despesas!$J:$J,"&lt;="&amp;$A146,Despesas!$L:$L,"&gt;="&amp;$A146,Despesas!$C:$C,D$1,Despesas!$M:$M,"Mensal")+SUMIFS(Despesas!$F:$F,Despesas!$J:$J,"&lt;="&amp;$A146,Despesas!$L:$L,"&gt;="&amp;$A146,Despesas!$C:$C,D$1,Despesas!$M:$M,$B146)</f>
        <v>23000</v>
      </c>
      <c r="E146" s="18">
        <f>SUMIFS(Despesas!$F:$F,Despesas!$J:$J,"&lt;="&amp;$A146,Despesas!$L:$L,"&gt;="&amp;$A146,Despesas!$C:$C,E$1,Despesas!$M:$M,"Mensal")+SUMIFS(Despesas!$F:$F,Despesas!$J:$J,"&lt;="&amp;$A146,Despesas!$L:$L,"&gt;="&amp;$A146,Despesas!$C:$C,E$1,Despesas!$M:$M,$B146)</f>
        <v>7000</v>
      </c>
      <c r="F146" s="5">
        <f>SUMIFS(Despesas!$F:$F,Despesas!$J:$J,"&lt;="&amp;$A146,Despesas!$L:$L,"&gt;="&amp;$A146,Despesas!$C:$C,F$1,Despesas!$M:$M,"Mensal")+SUMIFS(Despesas!$F:$F,Despesas!$J:$J,"&lt;="&amp;$A146,Despesas!$L:$L,"&gt;="&amp;$A146,Despesas!$C:$C,F$1,Despesas!$M:$M,$B146)</f>
        <v>13000</v>
      </c>
      <c r="G146" s="5">
        <f>SUMIFS(Despesas!$F:$F,Despesas!$J:$J,"&lt;="&amp;$A146,Despesas!$L:$L,"&gt;="&amp;$A146,Despesas!$C:$C,G$1,Despesas!$M:$M,"Mensal")+SUMIFS(Despesas!$F:$F,Despesas!$J:$J,"&lt;="&amp;$A146,Despesas!$L:$L,"&gt;="&amp;$A146,Despesas!$C:$C,G$1,Despesas!$M:$M,$B146)</f>
        <v>0</v>
      </c>
      <c r="H146" s="18">
        <f>SUMIFS(Despesas!$F:$F,Despesas!$J:$J,"&lt;="&amp;$A146,Despesas!$L:$L,"&gt;="&amp;$A146,Despesas!$C:$C,H$1,Despesas!$M:$M,"Mensal")+SUMIFS(Despesas!$F:$F,Despesas!$J:$J,"&lt;="&amp;$A146,Despesas!$L:$L,"&gt;="&amp;$A146,Despesas!$C:$C,H$1,Despesas!$M:$M,$B146)</f>
        <v>1000</v>
      </c>
      <c r="I146" s="18">
        <f>IF(Imóveis!$F$2="PRICE",IF(AND(Dados!$A146&gt;=Imóveis!$Q$2,Dados!$A146&lt;=Imóveis!$T$2),Imóveis!$U$2,0),IF((IF(AND(Dados!$A146&gt;=Imóveis!$Q$2,Dados!$A146&lt;=Imóveis!$T$2),Imóveis!$S$2-(DATEDIF(Imóveis!$Q$2,Dados!$A146,"m")),0))=0,0,((Imóveis!$N$2/Imóveis!$S$2)+((Imóveis!$N$2-((Imóveis!$S$2-(IF(AND(Dados!$A146&gt;=Imóveis!$Q$2,Dados!$A146&lt;=Imóveis!$T$2),Imóveis!$S$2-(DATEDIF(Imóveis!$Q$2,Dados!$A146,"m")),)))*(Imóveis!$N$2/Imóveis!$S$2)))*Imóveis!$P$2))))*IF(AND(Imóveis!$E$2&gt;0,Dados!$A146&gt;Imóveis!$E$2),0,1)</f>
        <v>10010.537097870831</v>
      </c>
      <c r="J146" s="18">
        <f ca="1">IF(Imóveis!$F$3="PRICE",IF(AND(Dados!$A146&gt;=Imóveis!$Q$3,Dados!$A146&lt;=Imóveis!$T$3),Imóveis!$U$3,0),IF((IF(AND(Dados!$A146&gt;=Imóveis!$Q$3,Dados!$A146&lt;=Imóveis!$T$3),Imóveis!$S$3-(DATEDIF(Imóveis!$Q$3,Dados!$A146,"m")),0))=0,0,((Imóveis!$N$3/Imóveis!$S$3)+((Imóveis!$N$3-((Imóveis!$S$3-(IF(AND(Dados!$A146&gt;=Imóveis!$Q$3,Dados!$A146&lt;=Imóveis!$T$3),Imóveis!$S$3-(DATEDIF(Imóveis!$Q$3,Dados!$A146,"m")),)))*(Imóveis!$N$3/Imóveis!$S$3)))*Imóveis!$P$3))))*IF(AND(Imóveis!$E$3&gt;0,Dados!$A146&gt;Imóveis!$E$3),0,1)</f>
        <v>0</v>
      </c>
      <c r="K146" s="18">
        <f>IF(Imóveis!$F$4="PRICE",IF(AND(Dados!$A146&gt;=Imóveis!$Q$4,Dados!$A146&lt;=Imóveis!$T$4),Imóveis!$U$4,0),IF((IF(AND(Dados!$A146&gt;=Imóveis!$Q$4,Dados!$A146&lt;=Imóveis!$T$4),Imóveis!$S$4-(DATEDIF(Imóveis!$Q$4,Dados!$A146,"m")),0))=0,0,((Imóveis!$N$4/Imóveis!$S$4)+((Imóveis!$N$4-((Imóveis!$S$4-(IF(AND(Dados!$A146&gt;=Imóveis!$Q$4,Dados!$A146&lt;=Imóveis!$T$4),Imóveis!$S$4-(DATEDIF(Imóveis!$Q$4,Dados!$A146,"m")),)))*(Imóveis!$N$4/Imóveis!$S$4)))*Imóveis!$P$4))))*IF(AND(Imóveis!$E$4&gt;0,Dados!$A146&gt;Imóveis!$E$4),0,1)</f>
        <v>0</v>
      </c>
      <c r="L146" s="18">
        <f>IF(Imóveis!$F$5="PRICE",IF(AND(Dados!$A146&gt;=Imóveis!$Q$5,Dados!$A146&lt;=Imóveis!$T$5),Imóveis!$U$5,0),IF((IF(AND(Dados!$A146&gt;=Imóveis!$Q$5,Dados!$A146&lt;=Imóveis!$T$5),Imóveis!$S$5-(DATEDIF(Imóveis!$Q$5,Dados!$A146,"m")),0))=0,0,((Imóveis!$N$5/Imóveis!$S$5)+((Imóveis!$N$5-((Imóveis!$S$5-(IF(AND(Dados!$A146 &gt;=Imóveis!$Q$5,Dados!$A146&lt;=Imóveis!$T$5),Imóveis!$S$5-(DATEDIF(Imóveis!$Q$5,Dados!$A146,"m")),)))*(Imóveis!$N$5/Imóveis!$S$5)))*Imóveis!$P$5))))*IF(AND(Imóveis!$E$5&gt;0,Dados!$A146&gt;Imóveis!$E$5),0,1)*Imóveis!$I$5</f>
        <v>0</v>
      </c>
      <c r="M146" s="18">
        <f>IF(Imóveis!$F$6="PRICE",IF(AND(Dados!$A146&gt;=Imóveis!$Q$6,Dados!$A146&lt;=Imóveis!$T$6),Imóveis!$U$6,0),IF((IF(AND(Dados!$A146&gt;=Imóveis!$Q$6,Dados!$A146&lt;=Imóveis!$T$6),Imóveis!$S$6-(DATEDIF(Imóveis!$Q$6,Dados!$A146,"m")),0))=0,0,((Imóveis!$N$6/Imóveis!$S$6)+((Imóveis!$N$6-((Imóveis!$S$6-(IF(AND(Dados!$A146&gt;=Imóveis!$Q$6,Dados!$A146&lt;=Imóveis!$T$6),Imóveis!$S$6-(DATEDIF(Imóveis!$Q$6,Dados!$A146,"m")),)))*(Imóveis!$N$6/Imóveis!$S$6)))*Imóveis!$P$6))))*IF(AND(Imóveis!$E$6&gt;0,Dados!$A146&gt;Imóveis!$E$6),0,1)*Imóveis!$I$6</f>
        <v>0</v>
      </c>
      <c r="N146" s="18">
        <f t="shared" ca="1" si="21"/>
        <v>54010.537097870831</v>
      </c>
      <c r="O146" s="18">
        <f>SUMIFS(Receitas!$F:$F,Receitas!$J:$J,"&lt;="&amp;$A146,Receitas!$L:$L,"&gt;="&amp;$A146,Receitas!$C:$C,O$1,Receitas!$M:$M,"Mensal")+SUMIFS(Receitas!$F:$F,Receitas!$J:$J,"&lt;="&amp;$A146,Receitas!$L:$L,"&gt;="&amp;$A146,Receitas!$C:$C,O$1,Receitas!$M:$M,$B146)</f>
        <v>50000</v>
      </c>
      <c r="P146" s="18">
        <f>SUMIFS(Receitas!$F:$F,Receitas!$J:$J,"&lt;="&amp;$A146,Receitas!$L:$L,"&gt;="&amp;$A146,Receitas!$C:$C,P$1,Receitas!$M:$M,"Mensal")+SUMIFS(Receitas!$F:$F,Receitas!$J:$J,"&lt;="&amp;$A146,Receitas!$L:$L,"&gt;="&amp;$A146,Receitas!$C:$C,P$1,Receitas!$M:$M,$B146)</f>
        <v>20000</v>
      </c>
      <c r="Q146" s="18">
        <f>SUMIFS(Receitas!$F:$F,Receitas!$J:$J,"&lt;="&amp;$A146,Receitas!$L:$L,"&gt;="&amp;$A146,Receitas!$C:$C,Q$1,Receitas!$M:$M,"Mensal")+SUMIFS(Receitas!$F:$F,Receitas!$J:$J,"&lt;="&amp;$A146,Receitas!$L:$L,"&gt;="&amp;$A146,Receitas!$C:$C,Q$1,Receitas!$M:$M,$B146)</f>
        <v>0</v>
      </c>
      <c r="R146" s="18" cm="1">
        <f t="array" ref="R146">(IF(AND(Membros!$F$2="Sim",A146&lt;=MAX(Membros!$E$2:$E$5)),Membros!K$2,IF(AND(A146&gt;=Membros!J$2,A146&lt;=MAX(Membros!$E$2:$E$5)),Membros!K$2,0))+IF(AND(Membros!$F$3="Sim",A146&lt;=MAX(Membros!$E$2:$E$5)),Membros!K$3,IF(AND(A146&gt;=Membros!J$3,A146&lt;=MAX(Membros!$E$2:$E$5)),Membros!K$3,0)))*IF(AND(COUNTIFS(Tabela3[Tipo],"Provedor",Tabela3[Simulação Seguro],"Sim")=2,A146&gt;=MAX(IF(Tabela3[Tipo]="Dependente",Tabela3[Expectativa de Vida (Data)]))),0,1)</f>
        <v>0</v>
      </c>
      <c r="S146" s="18">
        <f t="shared" si="22"/>
        <v>70000</v>
      </c>
      <c r="U146" s="18">
        <f t="shared" ca="1" si="25"/>
        <v>8025102.4643167863</v>
      </c>
      <c r="V146" s="18">
        <f>SUMIF(Imóveis!E:E,Dados!A:A,Imóveis!Z:Z)-SUMIF(Imóveis!E:E,Dados!A:A,Imóveis!Y:Y)</f>
        <v>0</v>
      </c>
      <c r="W146" s="18">
        <f>-SUMIF(Projetos!N:N,A146,Projetos!F:F)</f>
        <v>0</v>
      </c>
      <c r="X146" s="18">
        <f t="shared" ca="1" si="19"/>
        <v>15989.462902129169</v>
      </c>
      <c r="Y146" s="26">
        <f ca="1">(U146*((Indicadores_Economicos!D$2+1)^(1/12)-1))</f>
        <v>26272.097193656409</v>
      </c>
      <c r="Z146" s="18">
        <f t="shared" ca="1" si="23"/>
        <v>8067364.0244125724</v>
      </c>
      <c r="AA146" s="18">
        <f ca="1">Auxiliar_Projetos!E146</f>
        <v>82731.746659297976</v>
      </c>
      <c r="AB146" s="18">
        <f ca="1">Auxiliar_Projetos!K146</f>
        <v>461287.39984824462</v>
      </c>
      <c r="AC146" s="18">
        <f ca="1">IF(Z146-AA146-AB146&gt;Investimentos!$C$14,Investimentos!$C$14,IF(Z146-AA146-AB146&lt;Investimentos!$C$14,Z146-AA146-AB146,0))</f>
        <v>300000</v>
      </c>
      <c r="AD146" s="18">
        <f t="shared" ca="1" si="24"/>
        <v>7223344.8779050298</v>
      </c>
      <c r="AE146" s="18"/>
    </row>
    <row r="147" spans="1:31" x14ac:dyDescent="0.2">
      <c r="A147" s="4">
        <v>50072</v>
      </c>
      <c r="B147" s="5" t="str">
        <f t="shared" si="20"/>
        <v>fevereiro</v>
      </c>
      <c r="C147" s="5" t="str">
        <f t="shared" si="18"/>
        <v>2037</v>
      </c>
      <c r="D147" s="5">
        <f>SUMIFS(Despesas!$F:$F,Despesas!$J:$J,"&lt;="&amp;$A147,Despesas!$L:$L,"&gt;="&amp;$A147,Despesas!$C:$C,D$1,Despesas!$M:$M,"Mensal")+SUMIFS(Despesas!$F:$F,Despesas!$J:$J,"&lt;="&amp;$A147,Despesas!$L:$L,"&gt;="&amp;$A147,Despesas!$C:$C,D$1,Despesas!$M:$M,$B147)</f>
        <v>23000</v>
      </c>
      <c r="E147" s="18">
        <f>SUMIFS(Despesas!$F:$F,Despesas!$J:$J,"&lt;="&amp;$A147,Despesas!$L:$L,"&gt;="&amp;$A147,Despesas!$C:$C,E$1,Despesas!$M:$M,"Mensal")+SUMIFS(Despesas!$F:$F,Despesas!$J:$J,"&lt;="&amp;$A147,Despesas!$L:$L,"&gt;="&amp;$A147,Despesas!$C:$C,E$1,Despesas!$M:$M,$B147)</f>
        <v>7000</v>
      </c>
      <c r="F147" s="5">
        <f>SUMIFS(Despesas!$F:$F,Despesas!$J:$J,"&lt;="&amp;$A147,Despesas!$L:$L,"&gt;="&amp;$A147,Despesas!$C:$C,F$1,Despesas!$M:$M,"Mensal")+SUMIFS(Despesas!$F:$F,Despesas!$J:$J,"&lt;="&amp;$A147,Despesas!$L:$L,"&gt;="&amp;$A147,Despesas!$C:$C,F$1,Despesas!$M:$M,$B147)</f>
        <v>13000</v>
      </c>
      <c r="G147" s="5">
        <f>SUMIFS(Despesas!$F:$F,Despesas!$J:$J,"&lt;="&amp;$A147,Despesas!$L:$L,"&gt;="&amp;$A147,Despesas!$C:$C,G$1,Despesas!$M:$M,"Mensal")+SUMIFS(Despesas!$F:$F,Despesas!$J:$J,"&lt;="&amp;$A147,Despesas!$L:$L,"&gt;="&amp;$A147,Despesas!$C:$C,G$1,Despesas!$M:$M,$B147)</f>
        <v>0</v>
      </c>
      <c r="H147" s="18">
        <f>SUMIFS(Despesas!$F:$F,Despesas!$J:$J,"&lt;="&amp;$A147,Despesas!$L:$L,"&gt;="&amp;$A147,Despesas!$C:$C,H$1,Despesas!$M:$M,"Mensal")+SUMIFS(Despesas!$F:$F,Despesas!$J:$J,"&lt;="&amp;$A147,Despesas!$L:$L,"&gt;="&amp;$A147,Despesas!$C:$C,H$1,Despesas!$M:$M,$B147)</f>
        <v>2200</v>
      </c>
      <c r="I147" s="18">
        <f>IF(Imóveis!$F$2="PRICE",IF(AND(Dados!$A147&gt;=Imóveis!$Q$2,Dados!$A147&lt;=Imóveis!$T$2),Imóveis!$U$2,0),IF((IF(AND(Dados!$A147&gt;=Imóveis!$Q$2,Dados!$A147&lt;=Imóveis!$T$2),Imóveis!$S$2-(DATEDIF(Imóveis!$Q$2,Dados!$A147,"m")),0))=0,0,((Imóveis!$N$2/Imóveis!$S$2)+((Imóveis!$N$2-((Imóveis!$S$2-(IF(AND(Dados!$A147&gt;=Imóveis!$Q$2,Dados!$A147&lt;=Imóveis!$T$2),Imóveis!$S$2-(DATEDIF(Imóveis!$Q$2,Dados!$A147,"m")),)))*(Imóveis!$N$2/Imóveis!$S$2)))*Imóveis!$P$2))))*IF(AND(Imóveis!$E$2&gt;0,Dados!$A147&gt;Imóveis!$E$2),0,1)</f>
        <v>9948.5160056460245</v>
      </c>
      <c r="J147" s="18">
        <f ca="1">IF(Imóveis!$F$3="PRICE",IF(AND(Dados!$A147&gt;=Imóveis!$Q$3,Dados!$A147&lt;=Imóveis!$T$3),Imóveis!$U$3,0),IF((IF(AND(Dados!$A147&gt;=Imóveis!$Q$3,Dados!$A147&lt;=Imóveis!$T$3),Imóveis!$S$3-(DATEDIF(Imóveis!$Q$3,Dados!$A147,"m")),0))=0,0,((Imóveis!$N$3/Imóveis!$S$3)+((Imóveis!$N$3-((Imóveis!$S$3-(IF(AND(Dados!$A147&gt;=Imóveis!$Q$3,Dados!$A147&lt;=Imóveis!$T$3),Imóveis!$S$3-(DATEDIF(Imóveis!$Q$3,Dados!$A147,"m")),)))*(Imóveis!$N$3/Imóveis!$S$3)))*Imóveis!$P$3))))*IF(AND(Imóveis!$E$3&gt;0,Dados!$A147&gt;Imóveis!$E$3),0,1)</f>
        <v>0</v>
      </c>
      <c r="K147" s="18">
        <f>IF(Imóveis!$F$4="PRICE",IF(AND(Dados!$A147&gt;=Imóveis!$Q$4,Dados!$A147&lt;=Imóveis!$T$4),Imóveis!$U$4,0),IF((IF(AND(Dados!$A147&gt;=Imóveis!$Q$4,Dados!$A147&lt;=Imóveis!$T$4),Imóveis!$S$4-(DATEDIF(Imóveis!$Q$4,Dados!$A147,"m")),0))=0,0,((Imóveis!$N$4/Imóveis!$S$4)+((Imóveis!$N$4-((Imóveis!$S$4-(IF(AND(Dados!$A147&gt;=Imóveis!$Q$4,Dados!$A147&lt;=Imóveis!$T$4),Imóveis!$S$4-(DATEDIF(Imóveis!$Q$4,Dados!$A147,"m")),)))*(Imóveis!$N$4/Imóveis!$S$4)))*Imóveis!$P$4))))*IF(AND(Imóveis!$E$4&gt;0,Dados!$A147&gt;Imóveis!$E$4),0,1)</f>
        <v>0</v>
      </c>
      <c r="L147" s="18">
        <f>IF(Imóveis!$F$5="PRICE",IF(AND(Dados!$A147&gt;=Imóveis!$Q$5,Dados!$A147&lt;=Imóveis!$T$5),Imóveis!$U$5,0),IF((IF(AND(Dados!$A147&gt;=Imóveis!$Q$5,Dados!$A147&lt;=Imóveis!$T$5),Imóveis!$S$5-(DATEDIF(Imóveis!$Q$5,Dados!$A147,"m")),0))=0,0,((Imóveis!$N$5/Imóveis!$S$5)+((Imóveis!$N$5-((Imóveis!$S$5-(IF(AND(Dados!$A147 &gt;=Imóveis!$Q$5,Dados!$A147&lt;=Imóveis!$T$5),Imóveis!$S$5-(DATEDIF(Imóveis!$Q$5,Dados!$A147,"m")),)))*(Imóveis!$N$5/Imóveis!$S$5)))*Imóveis!$P$5))))*IF(AND(Imóveis!$E$5&gt;0,Dados!$A147&gt;Imóveis!$E$5),0,1)*Imóveis!$I$5</f>
        <v>0</v>
      </c>
      <c r="M147" s="18">
        <f>IF(Imóveis!$F$6="PRICE",IF(AND(Dados!$A147&gt;=Imóveis!$Q$6,Dados!$A147&lt;=Imóveis!$T$6),Imóveis!$U$6,0),IF((IF(AND(Dados!$A147&gt;=Imóveis!$Q$6,Dados!$A147&lt;=Imóveis!$T$6),Imóveis!$S$6-(DATEDIF(Imóveis!$Q$6,Dados!$A147,"m")),0))=0,0,((Imóveis!$N$6/Imóveis!$S$6)+((Imóveis!$N$6-((Imóveis!$S$6-(IF(AND(Dados!$A147&gt;=Imóveis!$Q$6,Dados!$A147&lt;=Imóveis!$T$6),Imóveis!$S$6-(DATEDIF(Imóveis!$Q$6,Dados!$A147,"m")),)))*(Imóveis!$N$6/Imóveis!$S$6)))*Imóveis!$P$6))))*IF(AND(Imóveis!$E$6&gt;0,Dados!$A147&gt;Imóveis!$E$6),0,1)*Imóveis!$I$6</f>
        <v>0</v>
      </c>
      <c r="N147" s="18">
        <f t="shared" ca="1" si="21"/>
        <v>55148.516005646023</v>
      </c>
      <c r="O147" s="18">
        <f>SUMIFS(Receitas!$F:$F,Receitas!$J:$J,"&lt;="&amp;$A147,Receitas!$L:$L,"&gt;="&amp;$A147,Receitas!$C:$C,O$1,Receitas!$M:$M,"Mensal")+SUMIFS(Receitas!$F:$F,Receitas!$J:$J,"&lt;="&amp;$A147,Receitas!$L:$L,"&gt;="&amp;$A147,Receitas!$C:$C,O$1,Receitas!$M:$M,$B147)</f>
        <v>50000</v>
      </c>
      <c r="P147" s="18">
        <f>SUMIFS(Receitas!$F:$F,Receitas!$J:$J,"&lt;="&amp;$A147,Receitas!$L:$L,"&gt;="&amp;$A147,Receitas!$C:$C,P$1,Receitas!$M:$M,"Mensal")+SUMIFS(Receitas!$F:$F,Receitas!$J:$J,"&lt;="&amp;$A147,Receitas!$L:$L,"&gt;="&amp;$A147,Receitas!$C:$C,P$1,Receitas!$M:$M,$B147)</f>
        <v>20000</v>
      </c>
      <c r="Q147" s="18">
        <f>SUMIFS(Receitas!$F:$F,Receitas!$J:$J,"&lt;="&amp;$A147,Receitas!$L:$L,"&gt;="&amp;$A147,Receitas!$C:$C,Q$1,Receitas!$M:$M,"Mensal")+SUMIFS(Receitas!$F:$F,Receitas!$J:$J,"&lt;="&amp;$A147,Receitas!$L:$L,"&gt;="&amp;$A147,Receitas!$C:$C,Q$1,Receitas!$M:$M,$B147)</f>
        <v>0</v>
      </c>
      <c r="R147" s="18" cm="1">
        <f t="array" ref="R147">(IF(AND(Membros!$F$2="Sim",A147&lt;=MAX(Membros!$E$2:$E$5)),Membros!K$2,IF(AND(A147&gt;=Membros!J$2,A147&lt;=MAX(Membros!$E$2:$E$5)),Membros!K$2,0))+IF(AND(Membros!$F$3="Sim",A147&lt;=MAX(Membros!$E$2:$E$5)),Membros!K$3,IF(AND(A147&gt;=Membros!J$3,A147&lt;=MAX(Membros!$E$2:$E$5)),Membros!K$3,0)))*IF(AND(COUNTIFS(Tabela3[Tipo],"Provedor",Tabela3[Simulação Seguro],"Sim")=2,A147&gt;=MAX(IF(Tabela3[Tipo]="Dependente",Tabela3[Expectativa de Vida (Data)]))),0,1)</f>
        <v>0</v>
      </c>
      <c r="S147" s="18">
        <f t="shared" si="22"/>
        <v>70000</v>
      </c>
      <c r="U147" s="18">
        <f t="shared" ca="1" si="25"/>
        <v>8067364.0244125724</v>
      </c>
      <c r="V147" s="18">
        <f>SUMIF(Imóveis!E:E,Dados!A:A,Imóveis!Z:Z)-SUMIF(Imóveis!E:E,Dados!A:A,Imóveis!Y:Y)</f>
        <v>0</v>
      </c>
      <c r="W147" s="18">
        <f>-SUMIF(Projetos!N:N,A147,Projetos!F:F)</f>
        <v>0</v>
      </c>
      <c r="X147" s="18">
        <f t="shared" ca="1" si="19"/>
        <v>14851.483994353977</v>
      </c>
      <c r="Y147" s="26">
        <f ca="1">(U147*((Indicadores_Economicos!D$2+1)^(1/12)-1))</f>
        <v>26410.450544199772</v>
      </c>
      <c r="Z147" s="18">
        <f t="shared" ca="1" si="23"/>
        <v>8108625.9589511259</v>
      </c>
      <c r="AA147" s="18">
        <f ca="1">Auxiliar_Projetos!E147</f>
        <v>83002.588869587329</v>
      </c>
      <c r="AB147" s="18">
        <f ca="1">Auxiliar_Projetos!K147</f>
        <v>462797.5347601549</v>
      </c>
      <c r="AC147" s="18">
        <f ca="1">IF(Z147-AA147-AB147&gt;Investimentos!$C$14,Investimentos!$C$14,IF(Z147-AA147-AB147&lt;Investimentos!$C$14,Z147-AA147-AB147,0))</f>
        <v>300000</v>
      </c>
      <c r="AD147" s="18">
        <f t="shared" ca="1" si="24"/>
        <v>7262825.8353213836</v>
      </c>
      <c r="AE147" s="18"/>
    </row>
    <row r="148" spans="1:31" x14ac:dyDescent="0.2">
      <c r="A148" s="4">
        <v>50100</v>
      </c>
      <c r="B148" s="5" t="str">
        <f t="shared" si="20"/>
        <v>março</v>
      </c>
      <c r="C148" s="5" t="str">
        <f t="shared" si="18"/>
        <v>2037</v>
      </c>
      <c r="D148" s="5">
        <f>SUMIFS(Despesas!$F:$F,Despesas!$J:$J,"&lt;="&amp;$A148,Despesas!$L:$L,"&gt;="&amp;$A148,Despesas!$C:$C,D$1,Despesas!$M:$M,"Mensal")+SUMIFS(Despesas!$F:$F,Despesas!$J:$J,"&lt;="&amp;$A148,Despesas!$L:$L,"&gt;="&amp;$A148,Despesas!$C:$C,D$1,Despesas!$M:$M,$B148)</f>
        <v>23000</v>
      </c>
      <c r="E148" s="18">
        <f>SUMIFS(Despesas!$F:$F,Despesas!$J:$J,"&lt;="&amp;$A148,Despesas!$L:$L,"&gt;="&amp;$A148,Despesas!$C:$C,E$1,Despesas!$M:$M,"Mensal")+SUMIFS(Despesas!$F:$F,Despesas!$J:$J,"&lt;="&amp;$A148,Despesas!$L:$L,"&gt;="&amp;$A148,Despesas!$C:$C,E$1,Despesas!$M:$M,$B148)</f>
        <v>7000</v>
      </c>
      <c r="F148" s="5">
        <f>SUMIFS(Despesas!$F:$F,Despesas!$J:$J,"&lt;="&amp;$A148,Despesas!$L:$L,"&gt;="&amp;$A148,Despesas!$C:$C,F$1,Despesas!$M:$M,"Mensal")+SUMIFS(Despesas!$F:$F,Despesas!$J:$J,"&lt;="&amp;$A148,Despesas!$L:$L,"&gt;="&amp;$A148,Despesas!$C:$C,F$1,Despesas!$M:$M,$B148)</f>
        <v>13000</v>
      </c>
      <c r="G148" s="5">
        <f>SUMIFS(Despesas!$F:$F,Despesas!$J:$J,"&lt;="&amp;$A148,Despesas!$L:$L,"&gt;="&amp;$A148,Despesas!$C:$C,G$1,Despesas!$M:$M,"Mensal")+SUMIFS(Despesas!$F:$F,Despesas!$J:$J,"&lt;="&amp;$A148,Despesas!$L:$L,"&gt;="&amp;$A148,Despesas!$C:$C,G$1,Despesas!$M:$M,$B148)</f>
        <v>0</v>
      </c>
      <c r="H148" s="18">
        <f>SUMIFS(Despesas!$F:$F,Despesas!$J:$J,"&lt;="&amp;$A148,Despesas!$L:$L,"&gt;="&amp;$A148,Despesas!$C:$C,H$1,Despesas!$M:$M,"Mensal")+SUMIFS(Despesas!$F:$F,Despesas!$J:$J,"&lt;="&amp;$A148,Despesas!$L:$L,"&gt;="&amp;$A148,Despesas!$C:$C,H$1,Despesas!$M:$M,$B148)</f>
        <v>1000</v>
      </c>
      <c r="I148" s="18">
        <f>IF(Imóveis!$F$2="PRICE",IF(AND(Dados!$A148&gt;=Imóveis!$Q$2,Dados!$A148&lt;=Imóveis!$T$2),Imóveis!$U$2,0),IF((IF(AND(Dados!$A148&gt;=Imóveis!$Q$2,Dados!$A148&lt;=Imóveis!$T$2),Imóveis!$S$2-(DATEDIF(Imóveis!$Q$2,Dados!$A148,"m")),0))=0,0,((Imóveis!$N$2/Imóveis!$S$2)+((Imóveis!$N$2-((Imóveis!$S$2-(IF(AND(Dados!$A148&gt;=Imóveis!$Q$2,Dados!$A148&lt;=Imóveis!$T$2),Imóveis!$S$2-(DATEDIF(Imóveis!$Q$2,Dados!$A148,"m")),)))*(Imóveis!$N$2/Imóveis!$S$2)))*Imóveis!$P$2))))*IF(AND(Imóveis!$E$2&gt;0,Dados!$A148&gt;Imóveis!$E$2),0,1)</f>
        <v>9886.4949134212184</v>
      </c>
      <c r="J148" s="18">
        <f ca="1">IF(Imóveis!$F$3="PRICE",IF(AND(Dados!$A148&gt;=Imóveis!$Q$3,Dados!$A148&lt;=Imóveis!$T$3),Imóveis!$U$3,0),IF((IF(AND(Dados!$A148&gt;=Imóveis!$Q$3,Dados!$A148&lt;=Imóveis!$T$3),Imóveis!$S$3-(DATEDIF(Imóveis!$Q$3,Dados!$A148,"m")),0))=0,0,((Imóveis!$N$3/Imóveis!$S$3)+((Imóveis!$N$3-((Imóveis!$S$3-(IF(AND(Dados!$A148&gt;=Imóveis!$Q$3,Dados!$A148&lt;=Imóveis!$T$3),Imóveis!$S$3-(DATEDIF(Imóveis!$Q$3,Dados!$A148,"m")),)))*(Imóveis!$N$3/Imóveis!$S$3)))*Imóveis!$P$3))))*IF(AND(Imóveis!$E$3&gt;0,Dados!$A148&gt;Imóveis!$E$3),0,1)</f>
        <v>0</v>
      </c>
      <c r="K148" s="18">
        <f>IF(Imóveis!$F$4="PRICE",IF(AND(Dados!$A148&gt;=Imóveis!$Q$4,Dados!$A148&lt;=Imóveis!$T$4),Imóveis!$U$4,0),IF((IF(AND(Dados!$A148&gt;=Imóveis!$Q$4,Dados!$A148&lt;=Imóveis!$T$4),Imóveis!$S$4-(DATEDIF(Imóveis!$Q$4,Dados!$A148,"m")),0))=0,0,((Imóveis!$N$4/Imóveis!$S$4)+((Imóveis!$N$4-((Imóveis!$S$4-(IF(AND(Dados!$A148&gt;=Imóveis!$Q$4,Dados!$A148&lt;=Imóveis!$T$4),Imóveis!$S$4-(DATEDIF(Imóveis!$Q$4,Dados!$A148,"m")),)))*(Imóveis!$N$4/Imóveis!$S$4)))*Imóveis!$P$4))))*IF(AND(Imóveis!$E$4&gt;0,Dados!$A148&gt;Imóveis!$E$4),0,1)</f>
        <v>0</v>
      </c>
      <c r="L148" s="18">
        <f>IF(Imóveis!$F$5="PRICE",IF(AND(Dados!$A148&gt;=Imóveis!$Q$5,Dados!$A148&lt;=Imóveis!$T$5),Imóveis!$U$5,0),IF((IF(AND(Dados!$A148&gt;=Imóveis!$Q$5,Dados!$A148&lt;=Imóveis!$T$5),Imóveis!$S$5-(DATEDIF(Imóveis!$Q$5,Dados!$A148,"m")),0))=0,0,((Imóveis!$N$5/Imóveis!$S$5)+((Imóveis!$N$5-((Imóveis!$S$5-(IF(AND(Dados!$A148 &gt;=Imóveis!$Q$5,Dados!$A148&lt;=Imóveis!$T$5),Imóveis!$S$5-(DATEDIF(Imóveis!$Q$5,Dados!$A148,"m")),)))*(Imóveis!$N$5/Imóveis!$S$5)))*Imóveis!$P$5))))*IF(AND(Imóveis!$E$5&gt;0,Dados!$A148&gt;Imóveis!$E$5),0,1)*Imóveis!$I$5</f>
        <v>0</v>
      </c>
      <c r="M148" s="18">
        <f>IF(Imóveis!$F$6="PRICE",IF(AND(Dados!$A148&gt;=Imóveis!$Q$6,Dados!$A148&lt;=Imóveis!$T$6),Imóveis!$U$6,0),IF((IF(AND(Dados!$A148&gt;=Imóveis!$Q$6,Dados!$A148&lt;=Imóveis!$T$6),Imóveis!$S$6-(DATEDIF(Imóveis!$Q$6,Dados!$A148,"m")),0))=0,0,((Imóveis!$N$6/Imóveis!$S$6)+((Imóveis!$N$6-((Imóveis!$S$6-(IF(AND(Dados!$A148&gt;=Imóveis!$Q$6,Dados!$A148&lt;=Imóveis!$T$6),Imóveis!$S$6-(DATEDIF(Imóveis!$Q$6,Dados!$A148,"m")),)))*(Imóveis!$N$6/Imóveis!$S$6)))*Imóveis!$P$6))))*IF(AND(Imóveis!$E$6&gt;0,Dados!$A148&gt;Imóveis!$E$6),0,1)*Imóveis!$I$6</f>
        <v>0</v>
      </c>
      <c r="N148" s="18">
        <f t="shared" ca="1" si="21"/>
        <v>53886.494913421222</v>
      </c>
      <c r="O148" s="18">
        <f>SUMIFS(Receitas!$F:$F,Receitas!$J:$J,"&lt;="&amp;$A148,Receitas!$L:$L,"&gt;="&amp;$A148,Receitas!$C:$C,O$1,Receitas!$M:$M,"Mensal")+SUMIFS(Receitas!$F:$F,Receitas!$J:$J,"&lt;="&amp;$A148,Receitas!$L:$L,"&gt;="&amp;$A148,Receitas!$C:$C,O$1,Receitas!$M:$M,$B148)</f>
        <v>50000</v>
      </c>
      <c r="P148" s="18">
        <f>SUMIFS(Receitas!$F:$F,Receitas!$J:$J,"&lt;="&amp;$A148,Receitas!$L:$L,"&gt;="&amp;$A148,Receitas!$C:$C,P$1,Receitas!$M:$M,"Mensal")+SUMIFS(Receitas!$F:$F,Receitas!$J:$J,"&lt;="&amp;$A148,Receitas!$L:$L,"&gt;="&amp;$A148,Receitas!$C:$C,P$1,Receitas!$M:$M,$B148)</f>
        <v>20000</v>
      </c>
      <c r="Q148" s="18">
        <f>SUMIFS(Receitas!$F:$F,Receitas!$J:$J,"&lt;="&amp;$A148,Receitas!$L:$L,"&gt;="&amp;$A148,Receitas!$C:$C,Q$1,Receitas!$M:$M,"Mensal")+SUMIFS(Receitas!$F:$F,Receitas!$J:$J,"&lt;="&amp;$A148,Receitas!$L:$L,"&gt;="&amp;$A148,Receitas!$C:$C,Q$1,Receitas!$M:$M,$B148)</f>
        <v>0</v>
      </c>
      <c r="R148" s="18" cm="1">
        <f t="array" ref="R148">(IF(AND(Membros!$F$2="Sim",A148&lt;=MAX(Membros!$E$2:$E$5)),Membros!K$2,IF(AND(A148&gt;=Membros!J$2,A148&lt;=MAX(Membros!$E$2:$E$5)),Membros!K$2,0))+IF(AND(Membros!$F$3="Sim",A148&lt;=MAX(Membros!$E$2:$E$5)),Membros!K$3,IF(AND(A148&gt;=Membros!J$3,A148&lt;=MAX(Membros!$E$2:$E$5)),Membros!K$3,0)))*IF(AND(COUNTIFS(Tabela3[Tipo],"Provedor",Tabela3[Simulação Seguro],"Sim")=2,A148&gt;=MAX(IF(Tabela3[Tipo]="Dependente",Tabela3[Expectativa de Vida (Data)]))),0,1)</f>
        <v>0</v>
      </c>
      <c r="S148" s="18">
        <f t="shared" si="22"/>
        <v>70000</v>
      </c>
      <c r="U148" s="18">
        <f t="shared" ca="1" si="25"/>
        <v>8108625.9589511259</v>
      </c>
      <c r="V148" s="18">
        <f>SUMIF(Imóveis!E:E,Dados!A:A,Imóveis!Z:Z)-SUMIF(Imóveis!E:E,Dados!A:A,Imóveis!Y:Y)</f>
        <v>0</v>
      </c>
      <c r="W148" s="18">
        <f>-SUMIF(Projetos!N:N,A148,Projetos!F:F)</f>
        <v>0</v>
      </c>
      <c r="X148" s="18">
        <f t="shared" ca="1" si="19"/>
        <v>16113.505086578778</v>
      </c>
      <c r="Y148" s="26">
        <f ca="1">(U148*((Indicadores_Economicos!D$2+1)^(1/12)-1))</f>
        <v>26545.531380789122</v>
      </c>
      <c r="Z148" s="18">
        <f t="shared" ca="1" si="23"/>
        <v>8151284.9954184936</v>
      </c>
      <c r="AA148" s="18">
        <f ca="1">Auxiliar_Projetos!E148</f>
        <v>83274.317746795205</v>
      </c>
      <c r="AB148" s="18">
        <f ca="1">Auxiliar_Projetos!K148</f>
        <v>464312.61346080282</v>
      </c>
      <c r="AC148" s="18">
        <f ca="1">IF(Z148-AA148-AB148&gt;Investimentos!$C$14,Investimentos!$C$14,IF(Z148-AA148-AB148&lt;Investimentos!$C$14,Z148-AA148-AB148,0))</f>
        <v>300000</v>
      </c>
      <c r="AD148" s="18">
        <f t="shared" ca="1" si="24"/>
        <v>7303698.0642108964</v>
      </c>
      <c r="AE148" s="18"/>
    </row>
    <row r="149" spans="1:31" x14ac:dyDescent="0.2">
      <c r="A149" s="4">
        <v>50131</v>
      </c>
      <c r="B149" s="5" t="str">
        <f t="shared" si="20"/>
        <v>abril</v>
      </c>
      <c r="C149" s="5" t="str">
        <f t="shared" si="18"/>
        <v>2037</v>
      </c>
      <c r="D149" s="5">
        <f>SUMIFS(Despesas!$F:$F,Despesas!$J:$J,"&lt;="&amp;$A149,Despesas!$L:$L,"&gt;="&amp;$A149,Despesas!$C:$C,D$1,Despesas!$M:$M,"Mensal")+SUMIFS(Despesas!$F:$F,Despesas!$J:$J,"&lt;="&amp;$A149,Despesas!$L:$L,"&gt;="&amp;$A149,Despesas!$C:$C,D$1,Despesas!$M:$M,$B149)</f>
        <v>23000</v>
      </c>
      <c r="E149" s="18">
        <f>SUMIFS(Despesas!$F:$F,Despesas!$J:$J,"&lt;="&amp;$A149,Despesas!$L:$L,"&gt;="&amp;$A149,Despesas!$C:$C,E$1,Despesas!$M:$M,"Mensal")+SUMIFS(Despesas!$F:$F,Despesas!$J:$J,"&lt;="&amp;$A149,Despesas!$L:$L,"&gt;="&amp;$A149,Despesas!$C:$C,E$1,Despesas!$M:$M,$B149)</f>
        <v>7000</v>
      </c>
      <c r="F149" s="5">
        <f>SUMIFS(Despesas!$F:$F,Despesas!$J:$J,"&lt;="&amp;$A149,Despesas!$L:$L,"&gt;="&amp;$A149,Despesas!$C:$C,F$1,Despesas!$M:$M,"Mensal")+SUMIFS(Despesas!$F:$F,Despesas!$J:$J,"&lt;="&amp;$A149,Despesas!$L:$L,"&gt;="&amp;$A149,Despesas!$C:$C,F$1,Despesas!$M:$M,$B149)</f>
        <v>13000</v>
      </c>
      <c r="G149" s="5">
        <f>SUMIFS(Despesas!$F:$F,Despesas!$J:$J,"&lt;="&amp;$A149,Despesas!$L:$L,"&gt;="&amp;$A149,Despesas!$C:$C,G$1,Despesas!$M:$M,"Mensal")+SUMIFS(Despesas!$F:$F,Despesas!$J:$J,"&lt;="&amp;$A149,Despesas!$L:$L,"&gt;="&amp;$A149,Despesas!$C:$C,G$1,Despesas!$M:$M,$B149)</f>
        <v>0</v>
      </c>
      <c r="H149" s="18">
        <f>SUMIFS(Despesas!$F:$F,Despesas!$J:$J,"&lt;="&amp;$A149,Despesas!$L:$L,"&gt;="&amp;$A149,Despesas!$C:$C,H$1,Despesas!$M:$M,"Mensal")+SUMIFS(Despesas!$F:$F,Despesas!$J:$J,"&lt;="&amp;$A149,Despesas!$L:$L,"&gt;="&amp;$A149,Despesas!$C:$C,H$1,Despesas!$M:$M,$B149)</f>
        <v>1000</v>
      </c>
      <c r="I149" s="18">
        <f>IF(Imóveis!$F$2="PRICE",IF(AND(Dados!$A149&gt;=Imóveis!$Q$2,Dados!$A149&lt;=Imóveis!$T$2),Imóveis!$U$2,0),IF((IF(AND(Dados!$A149&gt;=Imóveis!$Q$2,Dados!$A149&lt;=Imóveis!$T$2),Imóveis!$S$2-(DATEDIF(Imóveis!$Q$2,Dados!$A149,"m")),0))=0,0,((Imóveis!$N$2/Imóveis!$S$2)+((Imóveis!$N$2-((Imóveis!$S$2-(IF(AND(Dados!$A149&gt;=Imóveis!$Q$2,Dados!$A149&lt;=Imóveis!$T$2),Imóveis!$S$2-(DATEDIF(Imóveis!$Q$2,Dados!$A149,"m")),)))*(Imóveis!$N$2/Imóveis!$S$2)))*Imóveis!$P$2))))*IF(AND(Imóveis!$E$2&gt;0,Dados!$A149&gt;Imóveis!$E$2),0,1)</f>
        <v>9824.4738211964104</v>
      </c>
      <c r="J149" s="18">
        <f ca="1">IF(Imóveis!$F$3="PRICE",IF(AND(Dados!$A149&gt;=Imóveis!$Q$3,Dados!$A149&lt;=Imóveis!$T$3),Imóveis!$U$3,0),IF((IF(AND(Dados!$A149&gt;=Imóveis!$Q$3,Dados!$A149&lt;=Imóveis!$T$3),Imóveis!$S$3-(DATEDIF(Imóveis!$Q$3,Dados!$A149,"m")),0))=0,0,((Imóveis!$N$3/Imóveis!$S$3)+((Imóveis!$N$3-((Imóveis!$S$3-(IF(AND(Dados!$A149&gt;=Imóveis!$Q$3,Dados!$A149&lt;=Imóveis!$T$3),Imóveis!$S$3-(DATEDIF(Imóveis!$Q$3,Dados!$A149,"m")),)))*(Imóveis!$N$3/Imóveis!$S$3)))*Imóveis!$P$3))))*IF(AND(Imóveis!$E$3&gt;0,Dados!$A149&gt;Imóveis!$E$3),0,1)</f>
        <v>0</v>
      </c>
      <c r="K149" s="18">
        <f>IF(Imóveis!$F$4="PRICE",IF(AND(Dados!$A149&gt;=Imóveis!$Q$4,Dados!$A149&lt;=Imóveis!$T$4),Imóveis!$U$4,0),IF((IF(AND(Dados!$A149&gt;=Imóveis!$Q$4,Dados!$A149&lt;=Imóveis!$T$4),Imóveis!$S$4-(DATEDIF(Imóveis!$Q$4,Dados!$A149,"m")),0))=0,0,((Imóveis!$N$4/Imóveis!$S$4)+((Imóveis!$N$4-((Imóveis!$S$4-(IF(AND(Dados!$A149&gt;=Imóveis!$Q$4,Dados!$A149&lt;=Imóveis!$T$4),Imóveis!$S$4-(DATEDIF(Imóveis!$Q$4,Dados!$A149,"m")),)))*(Imóveis!$N$4/Imóveis!$S$4)))*Imóveis!$P$4))))*IF(AND(Imóveis!$E$4&gt;0,Dados!$A149&gt;Imóveis!$E$4),0,1)</f>
        <v>0</v>
      </c>
      <c r="L149" s="18">
        <f>IF(Imóveis!$F$5="PRICE",IF(AND(Dados!$A149&gt;=Imóveis!$Q$5,Dados!$A149&lt;=Imóveis!$T$5),Imóveis!$U$5,0),IF((IF(AND(Dados!$A149&gt;=Imóveis!$Q$5,Dados!$A149&lt;=Imóveis!$T$5),Imóveis!$S$5-(DATEDIF(Imóveis!$Q$5,Dados!$A149,"m")),0))=0,0,((Imóveis!$N$5/Imóveis!$S$5)+((Imóveis!$N$5-((Imóveis!$S$5-(IF(AND(Dados!$A149 &gt;=Imóveis!$Q$5,Dados!$A149&lt;=Imóveis!$T$5),Imóveis!$S$5-(DATEDIF(Imóveis!$Q$5,Dados!$A149,"m")),)))*(Imóveis!$N$5/Imóveis!$S$5)))*Imóveis!$P$5))))*IF(AND(Imóveis!$E$5&gt;0,Dados!$A149&gt;Imóveis!$E$5),0,1)*Imóveis!$I$5</f>
        <v>0</v>
      </c>
      <c r="M149" s="18">
        <f>IF(Imóveis!$F$6="PRICE",IF(AND(Dados!$A149&gt;=Imóveis!$Q$6,Dados!$A149&lt;=Imóveis!$T$6),Imóveis!$U$6,0),IF((IF(AND(Dados!$A149&gt;=Imóveis!$Q$6,Dados!$A149&lt;=Imóveis!$T$6),Imóveis!$S$6-(DATEDIF(Imóveis!$Q$6,Dados!$A149,"m")),0))=0,0,((Imóveis!$N$6/Imóveis!$S$6)+((Imóveis!$N$6-((Imóveis!$S$6-(IF(AND(Dados!$A149&gt;=Imóveis!$Q$6,Dados!$A149&lt;=Imóveis!$T$6),Imóveis!$S$6-(DATEDIF(Imóveis!$Q$6,Dados!$A149,"m")),)))*(Imóveis!$N$6/Imóveis!$S$6)))*Imóveis!$P$6))))*IF(AND(Imóveis!$E$6&gt;0,Dados!$A149&gt;Imóveis!$E$6),0,1)*Imóveis!$I$6</f>
        <v>0</v>
      </c>
      <c r="N149" s="18">
        <f t="shared" ca="1" si="21"/>
        <v>53824.473821196414</v>
      </c>
      <c r="O149" s="18">
        <f>SUMIFS(Receitas!$F:$F,Receitas!$J:$J,"&lt;="&amp;$A149,Receitas!$L:$L,"&gt;="&amp;$A149,Receitas!$C:$C,O$1,Receitas!$M:$M,"Mensal")+SUMIFS(Receitas!$F:$F,Receitas!$J:$J,"&lt;="&amp;$A149,Receitas!$L:$L,"&gt;="&amp;$A149,Receitas!$C:$C,O$1,Receitas!$M:$M,$B149)</f>
        <v>50000</v>
      </c>
      <c r="P149" s="18">
        <f>SUMIFS(Receitas!$F:$F,Receitas!$J:$J,"&lt;="&amp;$A149,Receitas!$L:$L,"&gt;="&amp;$A149,Receitas!$C:$C,P$1,Receitas!$M:$M,"Mensal")+SUMIFS(Receitas!$F:$F,Receitas!$J:$J,"&lt;="&amp;$A149,Receitas!$L:$L,"&gt;="&amp;$A149,Receitas!$C:$C,P$1,Receitas!$M:$M,$B149)</f>
        <v>85000</v>
      </c>
      <c r="Q149" s="18">
        <f>SUMIFS(Receitas!$F:$F,Receitas!$J:$J,"&lt;="&amp;$A149,Receitas!$L:$L,"&gt;="&amp;$A149,Receitas!$C:$C,Q$1,Receitas!$M:$M,"Mensal")+SUMIFS(Receitas!$F:$F,Receitas!$J:$J,"&lt;="&amp;$A149,Receitas!$L:$L,"&gt;="&amp;$A149,Receitas!$C:$C,Q$1,Receitas!$M:$M,$B149)</f>
        <v>0</v>
      </c>
      <c r="R149" s="18" cm="1">
        <f t="array" ref="R149">(IF(AND(Membros!$F$2="Sim",A149&lt;=MAX(Membros!$E$2:$E$5)),Membros!K$2,IF(AND(A149&gt;=Membros!J$2,A149&lt;=MAX(Membros!$E$2:$E$5)),Membros!K$2,0))+IF(AND(Membros!$F$3="Sim",A149&lt;=MAX(Membros!$E$2:$E$5)),Membros!K$3,IF(AND(A149&gt;=Membros!J$3,A149&lt;=MAX(Membros!$E$2:$E$5)),Membros!K$3,0)))*IF(AND(COUNTIFS(Tabela3[Tipo],"Provedor",Tabela3[Simulação Seguro],"Sim")=2,A149&gt;=MAX(IF(Tabela3[Tipo]="Dependente",Tabela3[Expectativa de Vida (Data)]))),0,1)</f>
        <v>0</v>
      </c>
      <c r="S149" s="18">
        <f t="shared" si="22"/>
        <v>135000</v>
      </c>
      <c r="U149" s="18">
        <f t="shared" ca="1" si="25"/>
        <v>8151284.9954184936</v>
      </c>
      <c r="V149" s="18">
        <f>SUMIF(Imóveis!E:E,Dados!A:A,Imóveis!Z:Z)-SUMIF(Imóveis!E:E,Dados!A:A,Imóveis!Y:Y)</f>
        <v>0</v>
      </c>
      <c r="W149" s="18">
        <f>-SUMIF(Projetos!N:N,A149,Projetos!F:F)</f>
        <v>0</v>
      </c>
      <c r="X149" s="18">
        <f t="shared" ca="1" si="19"/>
        <v>81175.526178803586</v>
      </c>
      <c r="Y149" s="26">
        <f ca="1">(U149*((Indicadores_Economicos!D$2+1)^(1/12)-1))</f>
        <v>26685.18596554262</v>
      </c>
      <c r="Z149" s="18">
        <f t="shared" ca="1" si="23"/>
        <v>8259145.7075628396</v>
      </c>
      <c r="AA149" s="18">
        <f ca="1">Auxiliar_Projetos!E149</f>
        <v>83546.936193638365</v>
      </c>
      <c r="AB149" s="18">
        <f ca="1">Auxiliar_Projetos!K149</f>
        <v>465832.65213486622</v>
      </c>
      <c r="AC149" s="18">
        <f ca="1">IF(Z149-AA149-AB149&gt;Investimentos!$C$14,Investimentos!$C$14,IF(Z149-AA149-AB149&lt;Investimentos!$C$14,Z149-AA149-AB149,0))</f>
        <v>300000</v>
      </c>
      <c r="AD149" s="18">
        <f t="shared" ca="1" si="24"/>
        <v>7409766.1192343347</v>
      </c>
      <c r="AE149" s="18"/>
    </row>
    <row r="150" spans="1:31" x14ac:dyDescent="0.2">
      <c r="A150" s="4">
        <v>50161</v>
      </c>
      <c r="B150" s="5" t="str">
        <f t="shared" si="20"/>
        <v>maio</v>
      </c>
      <c r="C150" s="5" t="str">
        <f t="shared" si="18"/>
        <v>2037</v>
      </c>
      <c r="D150" s="5">
        <f>SUMIFS(Despesas!$F:$F,Despesas!$J:$J,"&lt;="&amp;$A150,Despesas!$L:$L,"&gt;="&amp;$A150,Despesas!$C:$C,D$1,Despesas!$M:$M,"Mensal")+SUMIFS(Despesas!$F:$F,Despesas!$J:$J,"&lt;="&amp;$A150,Despesas!$L:$L,"&gt;="&amp;$A150,Despesas!$C:$C,D$1,Despesas!$M:$M,$B150)</f>
        <v>23000</v>
      </c>
      <c r="E150" s="18">
        <f>SUMIFS(Despesas!$F:$F,Despesas!$J:$J,"&lt;="&amp;$A150,Despesas!$L:$L,"&gt;="&amp;$A150,Despesas!$C:$C,E$1,Despesas!$M:$M,"Mensal")+SUMIFS(Despesas!$F:$F,Despesas!$J:$J,"&lt;="&amp;$A150,Despesas!$L:$L,"&gt;="&amp;$A150,Despesas!$C:$C,E$1,Despesas!$M:$M,$B150)</f>
        <v>7000</v>
      </c>
      <c r="F150" s="5">
        <f>SUMIFS(Despesas!$F:$F,Despesas!$J:$J,"&lt;="&amp;$A150,Despesas!$L:$L,"&gt;="&amp;$A150,Despesas!$C:$C,F$1,Despesas!$M:$M,"Mensal")+SUMIFS(Despesas!$F:$F,Despesas!$J:$J,"&lt;="&amp;$A150,Despesas!$L:$L,"&gt;="&amp;$A150,Despesas!$C:$C,F$1,Despesas!$M:$M,$B150)</f>
        <v>13000</v>
      </c>
      <c r="G150" s="5">
        <f>SUMIFS(Despesas!$F:$F,Despesas!$J:$J,"&lt;="&amp;$A150,Despesas!$L:$L,"&gt;="&amp;$A150,Despesas!$C:$C,G$1,Despesas!$M:$M,"Mensal")+SUMIFS(Despesas!$F:$F,Despesas!$J:$J,"&lt;="&amp;$A150,Despesas!$L:$L,"&gt;="&amp;$A150,Despesas!$C:$C,G$1,Despesas!$M:$M,$B150)</f>
        <v>0</v>
      </c>
      <c r="H150" s="18">
        <f>SUMIFS(Despesas!$F:$F,Despesas!$J:$J,"&lt;="&amp;$A150,Despesas!$L:$L,"&gt;="&amp;$A150,Despesas!$C:$C,H$1,Despesas!$M:$M,"Mensal")+SUMIFS(Despesas!$F:$F,Despesas!$J:$J,"&lt;="&amp;$A150,Despesas!$L:$L,"&gt;="&amp;$A150,Despesas!$C:$C,H$1,Despesas!$M:$M,$B150)</f>
        <v>1000</v>
      </c>
      <c r="I150" s="18">
        <f>IF(Imóveis!$F$2="PRICE",IF(AND(Dados!$A150&gt;=Imóveis!$Q$2,Dados!$A150&lt;=Imóveis!$T$2),Imóveis!$U$2,0),IF((IF(AND(Dados!$A150&gt;=Imóveis!$Q$2,Dados!$A150&lt;=Imóveis!$T$2),Imóveis!$S$2-(DATEDIF(Imóveis!$Q$2,Dados!$A150,"m")),0))=0,0,((Imóveis!$N$2/Imóveis!$S$2)+((Imóveis!$N$2-((Imóveis!$S$2-(IF(AND(Dados!$A150&gt;=Imóveis!$Q$2,Dados!$A150&lt;=Imóveis!$T$2),Imóveis!$S$2-(DATEDIF(Imóveis!$Q$2,Dados!$A150,"m")),)))*(Imóveis!$N$2/Imóveis!$S$2)))*Imóveis!$P$2))))*IF(AND(Imóveis!$E$2&gt;0,Dados!$A150&gt;Imóveis!$E$2),0,1)</f>
        <v>9762.4527289716043</v>
      </c>
      <c r="J150" s="18">
        <f ca="1">IF(Imóveis!$F$3="PRICE",IF(AND(Dados!$A150&gt;=Imóveis!$Q$3,Dados!$A150&lt;=Imóveis!$T$3),Imóveis!$U$3,0),IF((IF(AND(Dados!$A150&gt;=Imóveis!$Q$3,Dados!$A150&lt;=Imóveis!$T$3),Imóveis!$S$3-(DATEDIF(Imóveis!$Q$3,Dados!$A150,"m")),0))=0,0,((Imóveis!$N$3/Imóveis!$S$3)+((Imóveis!$N$3-((Imóveis!$S$3-(IF(AND(Dados!$A150&gt;=Imóveis!$Q$3,Dados!$A150&lt;=Imóveis!$T$3),Imóveis!$S$3-(DATEDIF(Imóveis!$Q$3,Dados!$A150,"m")),)))*(Imóveis!$N$3/Imóveis!$S$3)))*Imóveis!$P$3))))*IF(AND(Imóveis!$E$3&gt;0,Dados!$A150&gt;Imóveis!$E$3),0,1)</f>
        <v>0</v>
      </c>
      <c r="K150" s="18">
        <f>IF(Imóveis!$F$4="PRICE",IF(AND(Dados!$A150&gt;=Imóveis!$Q$4,Dados!$A150&lt;=Imóveis!$T$4),Imóveis!$U$4,0),IF((IF(AND(Dados!$A150&gt;=Imóveis!$Q$4,Dados!$A150&lt;=Imóveis!$T$4),Imóveis!$S$4-(DATEDIF(Imóveis!$Q$4,Dados!$A150,"m")),0))=0,0,((Imóveis!$N$4/Imóveis!$S$4)+((Imóveis!$N$4-((Imóveis!$S$4-(IF(AND(Dados!$A150&gt;=Imóveis!$Q$4,Dados!$A150&lt;=Imóveis!$T$4),Imóveis!$S$4-(DATEDIF(Imóveis!$Q$4,Dados!$A150,"m")),)))*(Imóveis!$N$4/Imóveis!$S$4)))*Imóveis!$P$4))))*IF(AND(Imóveis!$E$4&gt;0,Dados!$A150&gt;Imóveis!$E$4),0,1)</f>
        <v>0</v>
      </c>
      <c r="L150" s="18">
        <f>IF(Imóveis!$F$5="PRICE",IF(AND(Dados!$A150&gt;=Imóveis!$Q$5,Dados!$A150&lt;=Imóveis!$T$5),Imóveis!$U$5,0),IF((IF(AND(Dados!$A150&gt;=Imóveis!$Q$5,Dados!$A150&lt;=Imóveis!$T$5),Imóveis!$S$5-(DATEDIF(Imóveis!$Q$5,Dados!$A150,"m")),0))=0,0,((Imóveis!$N$5/Imóveis!$S$5)+((Imóveis!$N$5-((Imóveis!$S$5-(IF(AND(Dados!$A150 &gt;=Imóveis!$Q$5,Dados!$A150&lt;=Imóveis!$T$5),Imóveis!$S$5-(DATEDIF(Imóveis!$Q$5,Dados!$A150,"m")),)))*(Imóveis!$N$5/Imóveis!$S$5)))*Imóveis!$P$5))))*IF(AND(Imóveis!$E$5&gt;0,Dados!$A150&gt;Imóveis!$E$5),0,1)*Imóveis!$I$5</f>
        <v>0</v>
      </c>
      <c r="M150" s="18">
        <f>IF(Imóveis!$F$6="PRICE",IF(AND(Dados!$A150&gt;=Imóveis!$Q$6,Dados!$A150&lt;=Imóveis!$T$6),Imóveis!$U$6,0),IF((IF(AND(Dados!$A150&gt;=Imóveis!$Q$6,Dados!$A150&lt;=Imóveis!$T$6),Imóveis!$S$6-(DATEDIF(Imóveis!$Q$6,Dados!$A150,"m")),0))=0,0,((Imóveis!$N$6/Imóveis!$S$6)+((Imóveis!$N$6-((Imóveis!$S$6-(IF(AND(Dados!$A150&gt;=Imóveis!$Q$6,Dados!$A150&lt;=Imóveis!$T$6),Imóveis!$S$6-(DATEDIF(Imóveis!$Q$6,Dados!$A150,"m")),)))*(Imóveis!$N$6/Imóveis!$S$6)))*Imóveis!$P$6))))*IF(AND(Imóveis!$E$6&gt;0,Dados!$A150&gt;Imóveis!$E$6),0,1)*Imóveis!$I$6</f>
        <v>0</v>
      </c>
      <c r="N150" s="18">
        <f t="shared" ca="1" si="21"/>
        <v>53762.452728971606</v>
      </c>
      <c r="O150" s="18">
        <f>SUMIFS(Receitas!$F:$F,Receitas!$J:$J,"&lt;="&amp;$A150,Receitas!$L:$L,"&gt;="&amp;$A150,Receitas!$C:$C,O$1,Receitas!$M:$M,"Mensal")+SUMIFS(Receitas!$F:$F,Receitas!$J:$J,"&lt;="&amp;$A150,Receitas!$L:$L,"&gt;="&amp;$A150,Receitas!$C:$C,O$1,Receitas!$M:$M,$B150)</f>
        <v>50000</v>
      </c>
      <c r="P150" s="18">
        <f>SUMIFS(Receitas!$F:$F,Receitas!$J:$J,"&lt;="&amp;$A150,Receitas!$L:$L,"&gt;="&amp;$A150,Receitas!$C:$C,P$1,Receitas!$M:$M,"Mensal")+SUMIFS(Receitas!$F:$F,Receitas!$J:$J,"&lt;="&amp;$A150,Receitas!$L:$L,"&gt;="&amp;$A150,Receitas!$C:$C,P$1,Receitas!$M:$M,$B150)</f>
        <v>20000</v>
      </c>
      <c r="Q150" s="18">
        <f>SUMIFS(Receitas!$F:$F,Receitas!$J:$J,"&lt;="&amp;$A150,Receitas!$L:$L,"&gt;="&amp;$A150,Receitas!$C:$C,Q$1,Receitas!$M:$M,"Mensal")+SUMIFS(Receitas!$F:$F,Receitas!$J:$J,"&lt;="&amp;$A150,Receitas!$L:$L,"&gt;="&amp;$A150,Receitas!$C:$C,Q$1,Receitas!$M:$M,$B150)</f>
        <v>0</v>
      </c>
      <c r="R150" s="18" cm="1">
        <f t="array" ref="R150">(IF(AND(Membros!$F$2="Sim",A150&lt;=MAX(Membros!$E$2:$E$5)),Membros!K$2,IF(AND(A150&gt;=Membros!J$2,A150&lt;=MAX(Membros!$E$2:$E$5)),Membros!K$2,0))+IF(AND(Membros!$F$3="Sim",A150&lt;=MAX(Membros!$E$2:$E$5)),Membros!K$3,IF(AND(A150&gt;=Membros!J$3,A150&lt;=MAX(Membros!$E$2:$E$5)),Membros!K$3,0)))*IF(AND(COUNTIFS(Tabela3[Tipo],"Provedor",Tabela3[Simulação Seguro],"Sim")=2,A150&gt;=MAX(IF(Tabela3[Tipo]="Dependente",Tabela3[Expectativa de Vida (Data)]))),0,1)</f>
        <v>0</v>
      </c>
      <c r="S150" s="18">
        <f t="shared" si="22"/>
        <v>70000</v>
      </c>
      <c r="U150" s="18">
        <f t="shared" ca="1" si="25"/>
        <v>8259145.7075628396</v>
      </c>
      <c r="V150" s="18">
        <f>SUMIF(Imóveis!E:E,Dados!A:A,Imóveis!Z:Z)-SUMIF(Imóveis!E:E,Dados!A:A,Imóveis!Y:Y)</f>
        <v>0</v>
      </c>
      <c r="W150" s="18">
        <f>-SUMIF(Projetos!N:N,A150,Projetos!F:F)</f>
        <v>0</v>
      </c>
      <c r="X150" s="18">
        <f t="shared" ca="1" si="19"/>
        <v>16237.547271028394</v>
      </c>
      <c r="Y150" s="26">
        <f ca="1">(U150*((Indicadores_Economicos!D$2+1)^(1/12)-1))</f>
        <v>27038.293869825869</v>
      </c>
      <c r="Z150" s="18">
        <f t="shared" ca="1" si="23"/>
        <v>8302421.5487036938</v>
      </c>
      <c r="AA150" s="18">
        <f ca="1">Auxiliar_Projetos!E150</f>
        <v>83820.447122336307</v>
      </c>
      <c r="AB150" s="18">
        <f ca="1">Auxiliar_Projetos!K150</f>
        <v>467357.66702000739</v>
      </c>
      <c r="AC150" s="18">
        <f ca="1">IF(Z150-AA150-AB150&gt;Investimentos!$C$14,Investimentos!$C$14,IF(Z150-AA150-AB150&lt;Investimentos!$C$14,Z150-AA150-AB150,0))</f>
        <v>300000</v>
      </c>
      <c r="AD150" s="18">
        <f t="shared" ca="1" si="24"/>
        <v>7451243.4345613504</v>
      </c>
      <c r="AE150" s="18"/>
    </row>
    <row r="151" spans="1:31" x14ac:dyDescent="0.2">
      <c r="A151" s="4">
        <v>50192</v>
      </c>
      <c r="B151" s="5" t="str">
        <f t="shared" si="20"/>
        <v>junho</v>
      </c>
      <c r="C151" s="5" t="str">
        <f t="shared" si="18"/>
        <v>2037</v>
      </c>
      <c r="D151" s="5">
        <f>SUMIFS(Despesas!$F:$F,Despesas!$J:$J,"&lt;="&amp;$A151,Despesas!$L:$L,"&gt;="&amp;$A151,Despesas!$C:$C,D$1,Despesas!$M:$M,"Mensal")+SUMIFS(Despesas!$F:$F,Despesas!$J:$J,"&lt;="&amp;$A151,Despesas!$L:$L,"&gt;="&amp;$A151,Despesas!$C:$C,D$1,Despesas!$M:$M,$B151)</f>
        <v>23000</v>
      </c>
      <c r="E151" s="18">
        <f>SUMIFS(Despesas!$F:$F,Despesas!$J:$J,"&lt;="&amp;$A151,Despesas!$L:$L,"&gt;="&amp;$A151,Despesas!$C:$C,E$1,Despesas!$M:$M,"Mensal")+SUMIFS(Despesas!$F:$F,Despesas!$J:$J,"&lt;="&amp;$A151,Despesas!$L:$L,"&gt;="&amp;$A151,Despesas!$C:$C,E$1,Despesas!$M:$M,$B151)</f>
        <v>7000</v>
      </c>
      <c r="F151" s="5">
        <f>SUMIFS(Despesas!$F:$F,Despesas!$J:$J,"&lt;="&amp;$A151,Despesas!$L:$L,"&gt;="&amp;$A151,Despesas!$C:$C,F$1,Despesas!$M:$M,"Mensal")+SUMIFS(Despesas!$F:$F,Despesas!$J:$J,"&lt;="&amp;$A151,Despesas!$L:$L,"&gt;="&amp;$A151,Despesas!$C:$C,F$1,Despesas!$M:$M,$B151)</f>
        <v>13000</v>
      </c>
      <c r="G151" s="5">
        <f>SUMIFS(Despesas!$F:$F,Despesas!$J:$J,"&lt;="&amp;$A151,Despesas!$L:$L,"&gt;="&amp;$A151,Despesas!$C:$C,G$1,Despesas!$M:$M,"Mensal")+SUMIFS(Despesas!$F:$F,Despesas!$J:$J,"&lt;="&amp;$A151,Despesas!$L:$L,"&gt;="&amp;$A151,Despesas!$C:$C,G$1,Despesas!$M:$M,$B151)</f>
        <v>0</v>
      </c>
      <c r="H151" s="18">
        <f>SUMIFS(Despesas!$F:$F,Despesas!$J:$J,"&lt;="&amp;$A151,Despesas!$L:$L,"&gt;="&amp;$A151,Despesas!$C:$C,H$1,Despesas!$M:$M,"Mensal")+SUMIFS(Despesas!$F:$F,Despesas!$J:$J,"&lt;="&amp;$A151,Despesas!$L:$L,"&gt;="&amp;$A151,Despesas!$C:$C,H$1,Despesas!$M:$M,$B151)</f>
        <v>1000</v>
      </c>
      <c r="I151" s="18">
        <f>IF(Imóveis!$F$2="PRICE",IF(AND(Dados!$A151&gt;=Imóveis!$Q$2,Dados!$A151&lt;=Imóveis!$T$2),Imóveis!$U$2,0),IF((IF(AND(Dados!$A151&gt;=Imóveis!$Q$2,Dados!$A151&lt;=Imóveis!$T$2),Imóveis!$S$2-(DATEDIF(Imóveis!$Q$2,Dados!$A151,"m")),0))=0,0,((Imóveis!$N$2/Imóveis!$S$2)+((Imóveis!$N$2-((Imóveis!$S$2-(IF(AND(Dados!$A151&gt;=Imóveis!$Q$2,Dados!$A151&lt;=Imóveis!$T$2),Imóveis!$S$2-(DATEDIF(Imóveis!$Q$2,Dados!$A151,"m")),)))*(Imóveis!$N$2/Imóveis!$S$2)))*Imóveis!$P$2))))*IF(AND(Imóveis!$E$2&gt;0,Dados!$A151&gt;Imóveis!$E$2),0,1)</f>
        <v>9700.4316367467964</v>
      </c>
      <c r="J151" s="18">
        <f ca="1">IF(Imóveis!$F$3="PRICE",IF(AND(Dados!$A151&gt;=Imóveis!$Q$3,Dados!$A151&lt;=Imóveis!$T$3),Imóveis!$U$3,0),IF((IF(AND(Dados!$A151&gt;=Imóveis!$Q$3,Dados!$A151&lt;=Imóveis!$T$3),Imóveis!$S$3-(DATEDIF(Imóveis!$Q$3,Dados!$A151,"m")),0))=0,0,((Imóveis!$N$3/Imóveis!$S$3)+((Imóveis!$N$3-((Imóveis!$S$3-(IF(AND(Dados!$A151&gt;=Imóveis!$Q$3,Dados!$A151&lt;=Imóveis!$T$3),Imóveis!$S$3-(DATEDIF(Imóveis!$Q$3,Dados!$A151,"m")),)))*(Imóveis!$N$3/Imóveis!$S$3)))*Imóveis!$P$3))))*IF(AND(Imóveis!$E$3&gt;0,Dados!$A151&gt;Imóveis!$E$3),0,1)</f>
        <v>0</v>
      </c>
      <c r="K151" s="18">
        <f>IF(Imóveis!$F$4="PRICE",IF(AND(Dados!$A151&gt;=Imóveis!$Q$4,Dados!$A151&lt;=Imóveis!$T$4),Imóveis!$U$4,0),IF((IF(AND(Dados!$A151&gt;=Imóveis!$Q$4,Dados!$A151&lt;=Imóveis!$T$4),Imóveis!$S$4-(DATEDIF(Imóveis!$Q$4,Dados!$A151,"m")),0))=0,0,((Imóveis!$N$4/Imóveis!$S$4)+((Imóveis!$N$4-((Imóveis!$S$4-(IF(AND(Dados!$A151&gt;=Imóveis!$Q$4,Dados!$A151&lt;=Imóveis!$T$4),Imóveis!$S$4-(DATEDIF(Imóveis!$Q$4,Dados!$A151,"m")),)))*(Imóveis!$N$4/Imóveis!$S$4)))*Imóveis!$P$4))))*IF(AND(Imóveis!$E$4&gt;0,Dados!$A151&gt;Imóveis!$E$4),0,1)</f>
        <v>0</v>
      </c>
      <c r="L151" s="18">
        <f>IF(Imóveis!$F$5="PRICE",IF(AND(Dados!$A151&gt;=Imóveis!$Q$5,Dados!$A151&lt;=Imóveis!$T$5),Imóveis!$U$5,0),IF((IF(AND(Dados!$A151&gt;=Imóveis!$Q$5,Dados!$A151&lt;=Imóveis!$T$5),Imóveis!$S$5-(DATEDIF(Imóveis!$Q$5,Dados!$A151,"m")),0))=0,0,((Imóveis!$N$5/Imóveis!$S$5)+((Imóveis!$N$5-((Imóveis!$S$5-(IF(AND(Dados!$A151 &gt;=Imóveis!$Q$5,Dados!$A151&lt;=Imóveis!$T$5),Imóveis!$S$5-(DATEDIF(Imóveis!$Q$5,Dados!$A151,"m")),)))*(Imóveis!$N$5/Imóveis!$S$5)))*Imóveis!$P$5))))*IF(AND(Imóveis!$E$5&gt;0,Dados!$A151&gt;Imóveis!$E$5),0,1)*Imóveis!$I$5</f>
        <v>0</v>
      </c>
      <c r="M151" s="18">
        <f>IF(Imóveis!$F$6="PRICE",IF(AND(Dados!$A151&gt;=Imóveis!$Q$6,Dados!$A151&lt;=Imóveis!$T$6),Imóveis!$U$6,0),IF((IF(AND(Dados!$A151&gt;=Imóveis!$Q$6,Dados!$A151&lt;=Imóveis!$T$6),Imóveis!$S$6-(DATEDIF(Imóveis!$Q$6,Dados!$A151,"m")),0))=0,0,((Imóveis!$N$6/Imóveis!$S$6)+((Imóveis!$N$6-((Imóveis!$S$6-(IF(AND(Dados!$A151&gt;=Imóveis!$Q$6,Dados!$A151&lt;=Imóveis!$T$6),Imóveis!$S$6-(DATEDIF(Imóveis!$Q$6,Dados!$A151,"m")),)))*(Imóveis!$N$6/Imóveis!$S$6)))*Imóveis!$P$6))))*IF(AND(Imóveis!$E$6&gt;0,Dados!$A151&gt;Imóveis!$E$6),0,1)*Imóveis!$I$6</f>
        <v>0</v>
      </c>
      <c r="N151" s="18">
        <f t="shared" ca="1" si="21"/>
        <v>53700.431636746798</v>
      </c>
      <c r="O151" s="18">
        <f>SUMIFS(Receitas!$F:$F,Receitas!$J:$J,"&lt;="&amp;$A151,Receitas!$L:$L,"&gt;="&amp;$A151,Receitas!$C:$C,O$1,Receitas!$M:$M,"Mensal")+SUMIFS(Receitas!$F:$F,Receitas!$J:$J,"&lt;="&amp;$A151,Receitas!$L:$L,"&gt;="&amp;$A151,Receitas!$C:$C,O$1,Receitas!$M:$M,$B151)</f>
        <v>50000</v>
      </c>
      <c r="P151" s="18">
        <f>SUMIFS(Receitas!$F:$F,Receitas!$J:$J,"&lt;="&amp;$A151,Receitas!$L:$L,"&gt;="&amp;$A151,Receitas!$C:$C,P$1,Receitas!$M:$M,"Mensal")+SUMIFS(Receitas!$F:$F,Receitas!$J:$J,"&lt;="&amp;$A151,Receitas!$L:$L,"&gt;="&amp;$A151,Receitas!$C:$C,P$1,Receitas!$M:$M,$B151)</f>
        <v>20000</v>
      </c>
      <c r="Q151" s="18">
        <f>SUMIFS(Receitas!$F:$F,Receitas!$J:$J,"&lt;="&amp;$A151,Receitas!$L:$L,"&gt;="&amp;$A151,Receitas!$C:$C,Q$1,Receitas!$M:$M,"Mensal")+SUMIFS(Receitas!$F:$F,Receitas!$J:$J,"&lt;="&amp;$A151,Receitas!$L:$L,"&gt;="&amp;$A151,Receitas!$C:$C,Q$1,Receitas!$M:$M,$B151)</f>
        <v>0</v>
      </c>
      <c r="R151" s="18" cm="1">
        <f t="array" ref="R151">(IF(AND(Membros!$F$2="Sim",A151&lt;=MAX(Membros!$E$2:$E$5)),Membros!K$2,IF(AND(A151&gt;=Membros!J$2,A151&lt;=MAX(Membros!$E$2:$E$5)),Membros!K$2,0))+IF(AND(Membros!$F$3="Sim",A151&lt;=MAX(Membros!$E$2:$E$5)),Membros!K$3,IF(AND(A151&gt;=Membros!J$3,A151&lt;=MAX(Membros!$E$2:$E$5)),Membros!K$3,0)))*IF(AND(COUNTIFS(Tabela3[Tipo],"Provedor",Tabela3[Simulação Seguro],"Sim")=2,A151&gt;=MAX(IF(Tabela3[Tipo]="Dependente",Tabela3[Expectativa de Vida (Data)]))),0,1)</f>
        <v>0</v>
      </c>
      <c r="S151" s="18">
        <f t="shared" si="22"/>
        <v>70000</v>
      </c>
      <c r="U151" s="18">
        <f t="shared" ca="1" si="25"/>
        <v>8302421.5487036938</v>
      </c>
      <c r="V151" s="18">
        <f>SUMIF(Imóveis!E:E,Dados!A:A,Imóveis!Z:Z)-SUMIF(Imóveis!E:E,Dados!A:A,Imóveis!Y:Y)</f>
        <v>0</v>
      </c>
      <c r="W151" s="18">
        <f>-SUMIF(Projetos!N:N,A151,Projetos!F:F)</f>
        <v>0</v>
      </c>
      <c r="X151" s="18">
        <f t="shared" ca="1" si="19"/>
        <v>16299.568363253202</v>
      </c>
      <c r="Y151" s="26">
        <f ca="1">(U151*((Indicadores_Economicos!D$2+1)^(1/12)-1))</f>
        <v>27179.967712576803</v>
      </c>
      <c r="Z151" s="18">
        <f t="shared" ca="1" si="23"/>
        <v>8345901.0847795233</v>
      </c>
      <c r="AA151" s="18">
        <f ca="1">Auxiliar_Projetos!E151</f>
        <v>84094.853454642405</v>
      </c>
      <c r="AB151" s="18">
        <f ca="1">Auxiliar_Projetos!K151</f>
        <v>468887.67440704646</v>
      </c>
      <c r="AC151" s="18">
        <f ca="1">IF(Z151-AA151-AB151&gt;Investimentos!$C$14,Investimentos!$C$14,IF(Z151-AA151-AB151&lt;Investimentos!$C$14,Z151-AA151-AB151,0))</f>
        <v>300000</v>
      </c>
      <c r="AD151" s="18">
        <f t="shared" ca="1" si="24"/>
        <v>7492918.556917835</v>
      </c>
      <c r="AE151" s="18"/>
    </row>
    <row r="152" spans="1:31" x14ac:dyDescent="0.2">
      <c r="A152" s="4">
        <v>50222</v>
      </c>
      <c r="B152" s="5" t="str">
        <f t="shared" si="20"/>
        <v>julho</v>
      </c>
      <c r="C152" s="5" t="str">
        <f t="shared" ref="C152:C215" si="26">TEXT(A152,"AAAA")</f>
        <v>2037</v>
      </c>
      <c r="D152" s="5">
        <f>SUMIFS(Despesas!$F:$F,Despesas!$J:$J,"&lt;="&amp;$A152,Despesas!$L:$L,"&gt;="&amp;$A152,Despesas!$C:$C,D$1,Despesas!$M:$M,"Mensal")+SUMIFS(Despesas!$F:$F,Despesas!$J:$J,"&lt;="&amp;$A152,Despesas!$L:$L,"&gt;="&amp;$A152,Despesas!$C:$C,D$1,Despesas!$M:$M,$B152)</f>
        <v>23000</v>
      </c>
      <c r="E152" s="18">
        <f>SUMIFS(Despesas!$F:$F,Despesas!$J:$J,"&lt;="&amp;$A152,Despesas!$L:$L,"&gt;="&amp;$A152,Despesas!$C:$C,E$1,Despesas!$M:$M,"Mensal")+SUMIFS(Despesas!$F:$F,Despesas!$J:$J,"&lt;="&amp;$A152,Despesas!$L:$L,"&gt;="&amp;$A152,Despesas!$C:$C,E$1,Despesas!$M:$M,$B152)</f>
        <v>7000</v>
      </c>
      <c r="F152" s="5">
        <f>SUMIFS(Despesas!$F:$F,Despesas!$J:$J,"&lt;="&amp;$A152,Despesas!$L:$L,"&gt;="&amp;$A152,Despesas!$C:$C,F$1,Despesas!$M:$M,"Mensal")+SUMIFS(Despesas!$F:$F,Despesas!$J:$J,"&lt;="&amp;$A152,Despesas!$L:$L,"&gt;="&amp;$A152,Despesas!$C:$C,F$1,Despesas!$M:$M,$B152)</f>
        <v>13000</v>
      </c>
      <c r="G152" s="5">
        <f ca="1">SUMIFS(Despesas!$F:$F,Despesas!$J:$J,"&lt;="&amp;$A152,Despesas!$L:$L,"&gt;="&amp;$A152,Despesas!$C:$C,G$1,Despesas!$M:$M,"Mensal")+SUMIFS(Despesas!$F:$F,Despesas!$J:$J,"&lt;="&amp;$A152,Despesas!$L:$L,"&gt;="&amp;$A152,Despesas!$C:$C,G$1,Despesas!$M:$M,$B152)</f>
        <v>55757</v>
      </c>
      <c r="H152" s="18">
        <f>SUMIFS(Despesas!$F:$F,Despesas!$J:$J,"&lt;="&amp;$A152,Despesas!$L:$L,"&gt;="&amp;$A152,Despesas!$C:$C,H$1,Despesas!$M:$M,"Mensal")+SUMIFS(Despesas!$F:$F,Despesas!$J:$J,"&lt;="&amp;$A152,Despesas!$L:$L,"&gt;="&amp;$A152,Despesas!$C:$C,H$1,Despesas!$M:$M,$B152)</f>
        <v>1000</v>
      </c>
      <c r="I152" s="18">
        <f>IF(Imóveis!$F$2="PRICE",IF(AND(Dados!$A152&gt;=Imóveis!$Q$2,Dados!$A152&lt;=Imóveis!$T$2),Imóveis!$U$2,0),IF((IF(AND(Dados!$A152&gt;=Imóveis!$Q$2,Dados!$A152&lt;=Imóveis!$T$2),Imóveis!$S$2-(DATEDIF(Imóveis!$Q$2,Dados!$A152,"m")),0))=0,0,((Imóveis!$N$2/Imóveis!$S$2)+((Imóveis!$N$2-((Imóveis!$S$2-(IF(AND(Dados!$A152&gt;=Imóveis!$Q$2,Dados!$A152&lt;=Imóveis!$T$2),Imóveis!$S$2-(DATEDIF(Imóveis!$Q$2,Dados!$A152,"m")),)))*(Imóveis!$N$2/Imóveis!$S$2)))*Imóveis!$P$2))))*IF(AND(Imóveis!$E$2&gt;0,Dados!$A152&gt;Imóveis!$E$2),0,1)</f>
        <v>9638.4105445219902</v>
      </c>
      <c r="J152" s="18">
        <f ca="1">IF(Imóveis!$F$3="PRICE",IF(AND(Dados!$A152&gt;=Imóveis!$Q$3,Dados!$A152&lt;=Imóveis!$T$3),Imóveis!$U$3,0),IF((IF(AND(Dados!$A152&gt;=Imóveis!$Q$3,Dados!$A152&lt;=Imóveis!$T$3),Imóveis!$S$3-(DATEDIF(Imóveis!$Q$3,Dados!$A152,"m")),0))=0,0,((Imóveis!$N$3/Imóveis!$S$3)+((Imóveis!$N$3-((Imóveis!$S$3-(IF(AND(Dados!$A152&gt;=Imóveis!$Q$3,Dados!$A152&lt;=Imóveis!$T$3),Imóveis!$S$3-(DATEDIF(Imóveis!$Q$3,Dados!$A152,"m")),)))*(Imóveis!$N$3/Imóveis!$S$3)))*Imóveis!$P$3))))*IF(AND(Imóveis!$E$3&gt;0,Dados!$A152&gt;Imóveis!$E$3),0,1)</f>
        <v>0</v>
      </c>
      <c r="K152" s="18">
        <f>IF(Imóveis!$F$4="PRICE",IF(AND(Dados!$A152&gt;=Imóveis!$Q$4,Dados!$A152&lt;=Imóveis!$T$4),Imóveis!$U$4,0),IF((IF(AND(Dados!$A152&gt;=Imóveis!$Q$4,Dados!$A152&lt;=Imóveis!$T$4),Imóveis!$S$4-(DATEDIF(Imóveis!$Q$4,Dados!$A152,"m")),0))=0,0,((Imóveis!$N$4/Imóveis!$S$4)+((Imóveis!$N$4-((Imóveis!$S$4-(IF(AND(Dados!$A152&gt;=Imóveis!$Q$4,Dados!$A152&lt;=Imóveis!$T$4),Imóveis!$S$4-(DATEDIF(Imóveis!$Q$4,Dados!$A152,"m")),)))*(Imóveis!$N$4/Imóveis!$S$4)))*Imóveis!$P$4))))*IF(AND(Imóveis!$E$4&gt;0,Dados!$A152&gt;Imóveis!$E$4),0,1)</f>
        <v>0</v>
      </c>
      <c r="L152" s="18">
        <f>IF(Imóveis!$F$5="PRICE",IF(AND(Dados!$A152&gt;=Imóveis!$Q$5,Dados!$A152&lt;=Imóveis!$T$5),Imóveis!$U$5,0),IF((IF(AND(Dados!$A152&gt;=Imóveis!$Q$5,Dados!$A152&lt;=Imóveis!$T$5),Imóveis!$S$5-(DATEDIF(Imóveis!$Q$5,Dados!$A152,"m")),0))=0,0,((Imóveis!$N$5/Imóveis!$S$5)+((Imóveis!$N$5-((Imóveis!$S$5-(IF(AND(Dados!$A152 &gt;=Imóveis!$Q$5,Dados!$A152&lt;=Imóveis!$T$5),Imóveis!$S$5-(DATEDIF(Imóveis!$Q$5,Dados!$A152,"m")),)))*(Imóveis!$N$5/Imóveis!$S$5)))*Imóveis!$P$5))))*IF(AND(Imóveis!$E$5&gt;0,Dados!$A152&gt;Imóveis!$E$5),0,1)*Imóveis!$I$5</f>
        <v>0</v>
      </c>
      <c r="M152" s="18">
        <f>IF(Imóveis!$F$6="PRICE",IF(AND(Dados!$A152&gt;=Imóveis!$Q$6,Dados!$A152&lt;=Imóveis!$T$6),Imóveis!$U$6,0),IF((IF(AND(Dados!$A152&gt;=Imóveis!$Q$6,Dados!$A152&lt;=Imóveis!$T$6),Imóveis!$S$6-(DATEDIF(Imóveis!$Q$6,Dados!$A152,"m")),0))=0,0,((Imóveis!$N$6/Imóveis!$S$6)+((Imóveis!$N$6-((Imóveis!$S$6-(IF(AND(Dados!$A152&gt;=Imóveis!$Q$6,Dados!$A152&lt;=Imóveis!$T$6),Imóveis!$S$6-(DATEDIF(Imóveis!$Q$6,Dados!$A152,"m")),)))*(Imóveis!$N$6/Imóveis!$S$6)))*Imóveis!$P$6))))*IF(AND(Imóveis!$E$6&gt;0,Dados!$A152&gt;Imóveis!$E$6),0,1)*Imóveis!$I$6</f>
        <v>0</v>
      </c>
      <c r="N152" s="18">
        <f t="shared" ca="1" si="21"/>
        <v>109395.41054452199</v>
      </c>
      <c r="O152" s="18">
        <f>SUMIFS(Receitas!$F:$F,Receitas!$J:$J,"&lt;="&amp;$A152,Receitas!$L:$L,"&gt;="&amp;$A152,Receitas!$C:$C,O$1,Receitas!$M:$M,"Mensal")+SUMIFS(Receitas!$F:$F,Receitas!$J:$J,"&lt;="&amp;$A152,Receitas!$L:$L,"&gt;="&amp;$A152,Receitas!$C:$C,O$1,Receitas!$M:$M,$B152)</f>
        <v>50000</v>
      </c>
      <c r="P152" s="18">
        <f>SUMIFS(Receitas!$F:$F,Receitas!$J:$J,"&lt;="&amp;$A152,Receitas!$L:$L,"&gt;="&amp;$A152,Receitas!$C:$C,P$1,Receitas!$M:$M,"Mensal")+SUMIFS(Receitas!$F:$F,Receitas!$J:$J,"&lt;="&amp;$A152,Receitas!$L:$L,"&gt;="&amp;$A152,Receitas!$C:$C,P$1,Receitas!$M:$M,$B152)</f>
        <v>20000</v>
      </c>
      <c r="Q152" s="18">
        <f>SUMIFS(Receitas!$F:$F,Receitas!$J:$J,"&lt;="&amp;$A152,Receitas!$L:$L,"&gt;="&amp;$A152,Receitas!$C:$C,Q$1,Receitas!$M:$M,"Mensal")+SUMIFS(Receitas!$F:$F,Receitas!$J:$J,"&lt;="&amp;$A152,Receitas!$L:$L,"&gt;="&amp;$A152,Receitas!$C:$C,Q$1,Receitas!$M:$M,$B152)</f>
        <v>0</v>
      </c>
      <c r="R152" s="18" cm="1">
        <f t="array" ref="R152">(IF(AND(Membros!$F$2="Sim",A152&lt;=MAX(Membros!$E$2:$E$5)),Membros!K$2,IF(AND(A152&gt;=Membros!J$2,A152&lt;=MAX(Membros!$E$2:$E$5)),Membros!K$2,0))+IF(AND(Membros!$F$3="Sim",A152&lt;=MAX(Membros!$E$2:$E$5)),Membros!K$3,IF(AND(A152&gt;=Membros!J$3,A152&lt;=MAX(Membros!$E$2:$E$5)),Membros!K$3,0)))*IF(AND(COUNTIFS(Tabela3[Tipo],"Provedor",Tabela3[Simulação Seguro],"Sim")=2,A152&gt;=MAX(IF(Tabela3[Tipo]="Dependente",Tabela3[Expectativa de Vida (Data)]))),0,1)</f>
        <v>0</v>
      </c>
      <c r="S152" s="18">
        <f t="shared" si="22"/>
        <v>70000</v>
      </c>
      <c r="U152" s="18">
        <f t="shared" ca="1" si="25"/>
        <v>8345901.0847795233</v>
      </c>
      <c r="V152" s="18">
        <f>SUMIF(Imóveis!E:E,Dados!A:A,Imóveis!Z:Z)-SUMIF(Imóveis!E:E,Dados!A:A,Imóveis!Y:Y)</f>
        <v>0</v>
      </c>
      <c r="W152" s="18">
        <f>-SUMIF(Projetos!N:N,A152,Projetos!F:F)</f>
        <v>0</v>
      </c>
      <c r="X152" s="18">
        <f t="shared" ca="1" si="19"/>
        <v>-39395.41054452199</v>
      </c>
      <c r="Y152" s="26">
        <f ca="1">(U152*((Indicadores_Economicos!D$2+1)^(1/12)-1))</f>
        <v>27322.308399539801</v>
      </c>
      <c r="Z152" s="18">
        <f t="shared" ca="1" si="23"/>
        <v>8333827.9826345406</v>
      </c>
      <c r="AA152" s="18">
        <f ca="1">Auxiliar_Projetos!E152</f>
        <v>84370.158121875051</v>
      </c>
      <c r="AB152" s="18">
        <f ca="1">Auxiliar_Projetos!K152</f>
        <v>470422.69064013555</v>
      </c>
      <c r="AC152" s="18">
        <f ca="1">IF(Z152-AA152-AB152&gt;Investimentos!$C$14,Investimentos!$C$14,IF(Z152-AA152-AB152&lt;Investimentos!$C$14,Z152-AA152-AB152,0))</f>
        <v>300000</v>
      </c>
      <c r="AD152" s="18">
        <f t="shared" ca="1" si="24"/>
        <v>7479035.1338725295</v>
      </c>
      <c r="AE152" s="18"/>
    </row>
    <row r="153" spans="1:31" x14ac:dyDescent="0.2">
      <c r="A153" s="4">
        <v>50253</v>
      </c>
      <c r="B153" s="5" t="str">
        <f t="shared" si="20"/>
        <v>agosto</v>
      </c>
      <c r="C153" s="5" t="str">
        <f t="shared" si="26"/>
        <v>2037</v>
      </c>
      <c r="D153" s="5">
        <f>SUMIFS(Despesas!$F:$F,Despesas!$J:$J,"&lt;="&amp;$A153,Despesas!$L:$L,"&gt;="&amp;$A153,Despesas!$C:$C,D$1,Despesas!$M:$M,"Mensal")+SUMIFS(Despesas!$F:$F,Despesas!$J:$J,"&lt;="&amp;$A153,Despesas!$L:$L,"&gt;="&amp;$A153,Despesas!$C:$C,D$1,Despesas!$M:$M,$B153)</f>
        <v>23000</v>
      </c>
      <c r="E153" s="18">
        <f>SUMIFS(Despesas!$F:$F,Despesas!$J:$J,"&lt;="&amp;$A153,Despesas!$L:$L,"&gt;="&amp;$A153,Despesas!$C:$C,E$1,Despesas!$M:$M,"Mensal")+SUMIFS(Despesas!$F:$F,Despesas!$J:$J,"&lt;="&amp;$A153,Despesas!$L:$L,"&gt;="&amp;$A153,Despesas!$C:$C,E$1,Despesas!$M:$M,$B153)</f>
        <v>7000</v>
      </c>
      <c r="F153" s="5">
        <f>SUMIFS(Despesas!$F:$F,Despesas!$J:$J,"&lt;="&amp;$A153,Despesas!$L:$L,"&gt;="&amp;$A153,Despesas!$C:$C,F$1,Despesas!$M:$M,"Mensal")+SUMIFS(Despesas!$F:$F,Despesas!$J:$J,"&lt;="&amp;$A153,Despesas!$L:$L,"&gt;="&amp;$A153,Despesas!$C:$C,F$1,Despesas!$M:$M,$B153)</f>
        <v>13000</v>
      </c>
      <c r="G153" s="5">
        <f>SUMIFS(Despesas!$F:$F,Despesas!$J:$J,"&lt;="&amp;$A153,Despesas!$L:$L,"&gt;="&amp;$A153,Despesas!$C:$C,G$1,Despesas!$M:$M,"Mensal")+SUMIFS(Despesas!$F:$F,Despesas!$J:$J,"&lt;="&amp;$A153,Despesas!$L:$L,"&gt;="&amp;$A153,Despesas!$C:$C,G$1,Despesas!$M:$M,$B153)</f>
        <v>0</v>
      </c>
      <c r="H153" s="18">
        <f>SUMIFS(Despesas!$F:$F,Despesas!$J:$J,"&lt;="&amp;$A153,Despesas!$L:$L,"&gt;="&amp;$A153,Despesas!$C:$C,H$1,Despesas!$M:$M,"Mensal")+SUMIFS(Despesas!$F:$F,Despesas!$J:$J,"&lt;="&amp;$A153,Despesas!$L:$L,"&gt;="&amp;$A153,Despesas!$C:$C,H$1,Despesas!$M:$M,$B153)</f>
        <v>1000</v>
      </c>
      <c r="I153" s="18">
        <f>IF(Imóveis!$F$2="PRICE",IF(AND(Dados!$A153&gt;=Imóveis!$Q$2,Dados!$A153&lt;=Imóveis!$T$2),Imóveis!$U$2,0),IF((IF(AND(Dados!$A153&gt;=Imóveis!$Q$2,Dados!$A153&lt;=Imóveis!$T$2),Imóveis!$S$2-(DATEDIF(Imóveis!$Q$2,Dados!$A153,"m")),0))=0,0,((Imóveis!$N$2/Imóveis!$S$2)+((Imóveis!$N$2-((Imóveis!$S$2-(IF(AND(Dados!$A153&gt;=Imóveis!$Q$2,Dados!$A153&lt;=Imóveis!$T$2),Imóveis!$S$2-(DATEDIF(Imóveis!$Q$2,Dados!$A153,"m")),)))*(Imóveis!$N$2/Imóveis!$S$2)))*Imóveis!$P$2))))*IF(AND(Imóveis!$E$2&gt;0,Dados!$A153&gt;Imóveis!$E$2),0,1)</f>
        <v>9576.3894522971823</v>
      </c>
      <c r="J153" s="18">
        <f ca="1">IF(Imóveis!$F$3="PRICE",IF(AND(Dados!$A153&gt;=Imóveis!$Q$3,Dados!$A153&lt;=Imóveis!$T$3),Imóveis!$U$3,0),IF((IF(AND(Dados!$A153&gt;=Imóveis!$Q$3,Dados!$A153&lt;=Imóveis!$T$3),Imóveis!$S$3-(DATEDIF(Imóveis!$Q$3,Dados!$A153,"m")),0))=0,0,((Imóveis!$N$3/Imóveis!$S$3)+((Imóveis!$N$3-((Imóveis!$S$3-(IF(AND(Dados!$A153&gt;=Imóveis!$Q$3,Dados!$A153&lt;=Imóveis!$T$3),Imóveis!$S$3-(DATEDIF(Imóveis!$Q$3,Dados!$A153,"m")),)))*(Imóveis!$N$3/Imóveis!$S$3)))*Imóveis!$P$3))))*IF(AND(Imóveis!$E$3&gt;0,Dados!$A153&gt;Imóveis!$E$3),0,1)</f>
        <v>0</v>
      </c>
      <c r="K153" s="18">
        <f>IF(Imóveis!$F$4="PRICE",IF(AND(Dados!$A153&gt;=Imóveis!$Q$4,Dados!$A153&lt;=Imóveis!$T$4),Imóveis!$U$4,0),IF((IF(AND(Dados!$A153&gt;=Imóveis!$Q$4,Dados!$A153&lt;=Imóveis!$T$4),Imóveis!$S$4-(DATEDIF(Imóveis!$Q$4,Dados!$A153,"m")),0))=0,0,((Imóveis!$N$4/Imóveis!$S$4)+((Imóveis!$N$4-((Imóveis!$S$4-(IF(AND(Dados!$A153&gt;=Imóveis!$Q$4,Dados!$A153&lt;=Imóveis!$T$4),Imóveis!$S$4-(DATEDIF(Imóveis!$Q$4,Dados!$A153,"m")),)))*(Imóveis!$N$4/Imóveis!$S$4)))*Imóveis!$P$4))))*IF(AND(Imóveis!$E$4&gt;0,Dados!$A153&gt;Imóveis!$E$4),0,1)</f>
        <v>0</v>
      </c>
      <c r="L153" s="18">
        <f>IF(Imóveis!$F$5="PRICE",IF(AND(Dados!$A153&gt;=Imóveis!$Q$5,Dados!$A153&lt;=Imóveis!$T$5),Imóveis!$U$5,0),IF((IF(AND(Dados!$A153&gt;=Imóveis!$Q$5,Dados!$A153&lt;=Imóveis!$T$5),Imóveis!$S$5-(DATEDIF(Imóveis!$Q$5,Dados!$A153,"m")),0))=0,0,((Imóveis!$N$5/Imóveis!$S$5)+((Imóveis!$N$5-((Imóveis!$S$5-(IF(AND(Dados!$A153 &gt;=Imóveis!$Q$5,Dados!$A153&lt;=Imóveis!$T$5),Imóveis!$S$5-(DATEDIF(Imóveis!$Q$5,Dados!$A153,"m")),)))*(Imóveis!$N$5/Imóveis!$S$5)))*Imóveis!$P$5))))*IF(AND(Imóveis!$E$5&gt;0,Dados!$A153&gt;Imóveis!$E$5),0,1)*Imóveis!$I$5</f>
        <v>0</v>
      </c>
      <c r="M153" s="18">
        <f>IF(Imóveis!$F$6="PRICE",IF(AND(Dados!$A153&gt;=Imóveis!$Q$6,Dados!$A153&lt;=Imóveis!$T$6),Imóveis!$U$6,0),IF((IF(AND(Dados!$A153&gt;=Imóveis!$Q$6,Dados!$A153&lt;=Imóveis!$T$6),Imóveis!$S$6-(DATEDIF(Imóveis!$Q$6,Dados!$A153,"m")),0))=0,0,((Imóveis!$N$6/Imóveis!$S$6)+((Imóveis!$N$6-((Imóveis!$S$6-(IF(AND(Dados!$A153&gt;=Imóveis!$Q$6,Dados!$A153&lt;=Imóveis!$T$6),Imóveis!$S$6-(DATEDIF(Imóveis!$Q$6,Dados!$A153,"m")),)))*(Imóveis!$N$6/Imóveis!$S$6)))*Imóveis!$P$6))))*IF(AND(Imóveis!$E$6&gt;0,Dados!$A153&gt;Imóveis!$E$6),0,1)*Imóveis!$I$6</f>
        <v>0</v>
      </c>
      <c r="N153" s="18">
        <f t="shared" ca="1" si="21"/>
        <v>53576.389452297182</v>
      </c>
      <c r="O153" s="18">
        <f>SUMIFS(Receitas!$F:$F,Receitas!$J:$J,"&lt;="&amp;$A153,Receitas!$L:$L,"&gt;="&amp;$A153,Receitas!$C:$C,O$1,Receitas!$M:$M,"Mensal")+SUMIFS(Receitas!$F:$F,Receitas!$J:$J,"&lt;="&amp;$A153,Receitas!$L:$L,"&gt;="&amp;$A153,Receitas!$C:$C,O$1,Receitas!$M:$M,$B153)</f>
        <v>50000</v>
      </c>
      <c r="P153" s="18">
        <f>SUMIFS(Receitas!$F:$F,Receitas!$J:$J,"&lt;="&amp;$A153,Receitas!$L:$L,"&gt;="&amp;$A153,Receitas!$C:$C,P$1,Receitas!$M:$M,"Mensal")+SUMIFS(Receitas!$F:$F,Receitas!$J:$J,"&lt;="&amp;$A153,Receitas!$L:$L,"&gt;="&amp;$A153,Receitas!$C:$C,P$1,Receitas!$M:$M,$B153)</f>
        <v>20000</v>
      </c>
      <c r="Q153" s="18">
        <f>SUMIFS(Receitas!$F:$F,Receitas!$J:$J,"&lt;="&amp;$A153,Receitas!$L:$L,"&gt;="&amp;$A153,Receitas!$C:$C,Q$1,Receitas!$M:$M,"Mensal")+SUMIFS(Receitas!$F:$F,Receitas!$J:$J,"&lt;="&amp;$A153,Receitas!$L:$L,"&gt;="&amp;$A153,Receitas!$C:$C,Q$1,Receitas!$M:$M,$B153)</f>
        <v>0</v>
      </c>
      <c r="R153" s="18" cm="1">
        <f t="array" ref="R153">(IF(AND(Membros!$F$2="Sim",A153&lt;=MAX(Membros!$E$2:$E$5)),Membros!K$2,IF(AND(A153&gt;=Membros!J$2,A153&lt;=MAX(Membros!$E$2:$E$5)),Membros!K$2,0))+IF(AND(Membros!$F$3="Sim",A153&lt;=MAX(Membros!$E$2:$E$5)),Membros!K$3,IF(AND(A153&gt;=Membros!J$3,A153&lt;=MAX(Membros!$E$2:$E$5)),Membros!K$3,0)))*IF(AND(COUNTIFS(Tabela3[Tipo],"Provedor",Tabela3[Simulação Seguro],"Sim")=2,A153&gt;=MAX(IF(Tabela3[Tipo]="Dependente",Tabela3[Expectativa de Vida (Data)]))),0,1)</f>
        <v>0</v>
      </c>
      <c r="S153" s="18">
        <f t="shared" si="22"/>
        <v>70000</v>
      </c>
      <c r="U153" s="18">
        <f t="shared" ca="1" si="25"/>
        <v>8333827.9826345406</v>
      </c>
      <c r="V153" s="18">
        <f>SUMIF(Imóveis!E:E,Dados!A:A,Imóveis!Z:Z)-SUMIF(Imóveis!E:E,Dados!A:A,Imóveis!Y:Y)</f>
        <v>0</v>
      </c>
      <c r="W153" s="18">
        <f>-SUMIF(Projetos!N:N,A153,Projetos!F:F)</f>
        <v>0</v>
      </c>
      <c r="X153" s="18">
        <f t="shared" ca="1" si="19"/>
        <v>16423.610547702818</v>
      </c>
      <c r="Y153" s="26">
        <f ca="1">(U153*((Indicadores_Economicos!D$2+1)^(1/12)-1))</f>
        <v>27282.784204753221</v>
      </c>
      <c r="Z153" s="18">
        <f t="shared" ca="1" si="23"/>
        <v>8377534.3773869965</v>
      </c>
      <c r="AA153" s="18">
        <f ca="1">Auxiliar_Projetos!E153</f>
        <v>84646.364064949041</v>
      </c>
      <c r="AB153" s="18">
        <f ca="1">Auxiliar_Projetos!K153</f>
        <v>471962.73211693321</v>
      </c>
      <c r="AC153" s="18">
        <f ca="1">IF(Z153-AA153-AB153&gt;Investimentos!$C$14,Investimentos!$C$14,IF(Z153-AA153-AB153&lt;Investimentos!$C$14,Z153-AA153-AB153,0))</f>
        <v>300000</v>
      </c>
      <c r="AD153" s="18">
        <f t="shared" ca="1" si="24"/>
        <v>7520925.2812051149</v>
      </c>
      <c r="AE153" s="18"/>
    </row>
    <row r="154" spans="1:31" x14ac:dyDescent="0.2">
      <c r="A154" s="4">
        <v>50284</v>
      </c>
      <c r="B154" s="5" t="str">
        <f t="shared" si="20"/>
        <v>setembro</v>
      </c>
      <c r="C154" s="5" t="str">
        <f t="shared" si="26"/>
        <v>2037</v>
      </c>
      <c r="D154" s="5">
        <f>SUMIFS(Despesas!$F:$F,Despesas!$J:$J,"&lt;="&amp;$A154,Despesas!$L:$L,"&gt;="&amp;$A154,Despesas!$C:$C,D$1,Despesas!$M:$M,"Mensal")+SUMIFS(Despesas!$F:$F,Despesas!$J:$J,"&lt;="&amp;$A154,Despesas!$L:$L,"&gt;="&amp;$A154,Despesas!$C:$C,D$1,Despesas!$M:$M,$B154)</f>
        <v>23000</v>
      </c>
      <c r="E154" s="18">
        <f>SUMIFS(Despesas!$F:$F,Despesas!$J:$J,"&lt;="&amp;$A154,Despesas!$L:$L,"&gt;="&amp;$A154,Despesas!$C:$C,E$1,Despesas!$M:$M,"Mensal")+SUMIFS(Despesas!$F:$F,Despesas!$J:$J,"&lt;="&amp;$A154,Despesas!$L:$L,"&gt;="&amp;$A154,Despesas!$C:$C,E$1,Despesas!$M:$M,$B154)</f>
        <v>7000</v>
      </c>
      <c r="F154" s="5">
        <f>SUMIFS(Despesas!$F:$F,Despesas!$J:$J,"&lt;="&amp;$A154,Despesas!$L:$L,"&gt;="&amp;$A154,Despesas!$C:$C,F$1,Despesas!$M:$M,"Mensal")+SUMIFS(Despesas!$F:$F,Despesas!$J:$J,"&lt;="&amp;$A154,Despesas!$L:$L,"&gt;="&amp;$A154,Despesas!$C:$C,F$1,Despesas!$M:$M,$B154)</f>
        <v>13000</v>
      </c>
      <c r="G154" s="5">
        <f>SUMIFS(Despesas!$F:$F,Despesas!$J:$J,"&lt;="&amp;$A154,Despesas!$L:$L,"&gt;="&amp;$A154,Despesas!$C:$C,G$1,Despesas!$M:$M,"Mensal")+SUMIFS(Despesas!$F:$F,Despesas!$J:$J,"&lt;="&amp;$A154,Despesas!$L:$L,"&gt;="&amp;$A154,Despesas!$C:$C,G$1,Despesas!$M:$M,$B154)</f>
        <v>0</v>
      </c>
      <c r="H154" s="18">
        <f>SUMIFS(Despesas!$F:$F,Despesas!$J:$J,"&lt;="&amp;$A154,Despesas!$L:$L,"&gt;="&amp;$A154,Despesas!$C:$C,H$1,Despesas!$M:$M,"Mensal")+SUMIFS(Despesas!$F:$F,Despesas!$J:$J,"&lt;="&amp;$A154,Despesas!$L:$L,"&gt;="&amp;$A154,Despesas!$C:$C,H$1,Despesas!$M:$M,$B154)</f>
        <v>1000</v>
      </c>
      <c r="I154" s="18">
        <f>IF(Imóveis!$F$2="PRICE",IF(AND(Dados!$A154&gt;=Imóveis!$Q$2,Dados!$A154&lt;=Imóveis!$T$2),Imóveis!$U$2,0),IF((IF(AND(Dados!$A154&gt;=Imóveis!$Q$2,Dados!$A154&lt;=Imóveis!$T$2),Imóveis!$S$2-(DATEDIF(Imóveis!$Q$2,Dados!$A154,"m")),0))=0,0,((Imóveis!$N$2/Imóveis!$S$2)+((Imóveis!$N$2-((Imóveis!$S$2-(IF(AND(Dados!$A154&gt;=Imóveis!$Q$2,Dados!$A154&lt;=Imóveis!$T$2),Imóveis!$S$2-(DATEDIF(Imóveis!$Q$2,Dados!$A154,"m")),)))*(Imóveis!$N$2/Imóveis!$S$2)))*Imóveis!$P$2))))*IF(AND(Imóveis!$E$2&gt;0,Dados!$A154&gt;Imóveis!$E$2),0,1)</f>
        <v>9514.3683600723743</v>
      </c>
      <c r="J154" s="18">
        <f ca="1">IF(Imóveis!$F$3="PRICE",IF(AND(Dados!$A154&gt;=Imóveis!$Q$3,Dados!$A154&lt;=Imóveis!$T$3),Imóveis!$U$3,0),IF((IF(AND(Dados!$A154&gt;=Imóveis!$Q$3,Dados!$A154&lt;=Imóveis!$T$3),Imóveis!$S$3-(DATEDIF(Imóveis!$Q$3,Dados!$A154,"m")),0))=0,0,((Imóveis!$N$3/Imóveis!$S$3)+((Imóveis!$N$3-((Imóveis!$S$3-(IF(AND(Dados!$A154&gt;=Imóveis!$Q$3,Dados!$A154&lt;=Imóveis!$T$3),Imóveis!$S$3-(DATEDIF(Imóveis!$Q$3,Dados!$A154,"m")),)))*(Imóveis!$N$3/Imóveis!$S$3)))*Imóveis!$P$3))))*IF(AND(Imóveis!$E$3&gt;0,Dados!$A154&gt;Imóveis!$E$3),0,1)</f>
        <v>0</v>
      </c>
      <c r="K154" s="18">
        <f>IF(Imóveis!$F$4="PRICE",IF(AND(Dados!$A154&gt;=Imóveis!$Q$4,Dados!$A154&lt;=Imóveis!$T$4),Imóveis!$U$4,0),IF((IF(AND(Dados!$A154&gt;=Imóveis!$Q$4,Dados!$A154&lt;=Imóveis!$T$4),Imóveis!$S$4-(DATEDIF(Imóveis!$Q$4,Dados!$A154,"m")),0))=0,0,((Imóveis!$N$4/Imóveis!$S$4)+((Imóveis!$N$4-((Imóveis!$S$4-(IF(AND(Dados!$A154&gt;=Imóveis!$Q$4,Dados!$A154&lt;=Imóveis!$T$4),Imóveis!$S$4-(DATEDIF(Imóveis!$Q$4,Dados!$A154,"m")),)))*(Imóveis!$N$4/Imóveis!$S$4)))*Imóveis!$P$4))))*IF(AND(Imóveis!$E$4&gt;0,Dados!$A154&gt;Imóveis!$E$4),0,1)</f>
        <v>0</v>
      </c>
      <c r="L154" s="18">
        <f>IF(Imóveis!$F$5="PRICE",IF(AND(Dados!$A154&gt;=Imóveis!$Q$5,Dados!$A154&lt;=Imóveis!$T$5),Imóveis!$U$5,0),IF((IF(AND(Dados!$A154&gt;=Imóveis!$Q$5,Dados!$A154&lt;=Imóveis!$T$5),Imóveis!$S$5-(DATEDIF(Imóveis!$Q$5,Dados!$A154,"m")),0))=0,0,((Imóveis!$N$5/Imóveis!$S$5)+((Imóveis!$N$5-((Imóveis!$S$5-(IF(AND(Dados!$A154 &gt;=Imóveis!$Q$5,Dados!$A154&lt;=Imóveis!$T$5),Imóveis!$S$5-(DATEDIF(Imóveis!$Q$5,Dados!$A154,"m")),)))*(Imóveis!$N$5/Imóveis!$S$5)))*Imóveis!$P$5))))*IF(AND(Imóveis!$E$5&gt;0,Dados!$A154&gt;Imóveis!$E$5),0,1)*Imóveis!$I$5</f>
        <v>0</v>
      </c>
      <c r="M154" s="18">
        <f>IF(Imóveis!$F$6="PRICE",IF(AND(Dados!$A154&gt;=Imóveis!$Q$6,Dados!$A154&lt;=Imóveis!$T$6),Imóveis!$U$6,0),IF((IF(AND(Dados!$A154&gt;=Imóveis!$Q$6,Dados!$A154&lt;=Imóveis!$T$6),Imóveis!$S$6-(DATEDIF(Imóveis!$Q$6,Dados!$A154,"m")),0))=0,0,((Imóveis!$N$6/Imóveis!$S$6)+((Imóveis!$N$6-((Imóveis!$S$6-(IF(AND(Dados!$A154&gt;=Imóveis!$Q$6,Dados!$A154&lt;=Imóveis!$T$6),Imóveis!$S$6-(DATEDIF(Imóveis!$Q$6,Dados!$A154,"m")),)))*(Imóveis!$N$6/Imóveis!$S$6)))*Imóveis!$P$6))))*IF(AND(Imóveis!$E$6&gt;0,Dados!$A154&gt;Imóveis!$E$6),0,1)*Imóveis!$I$6</f>
        <v>0</v>
      </c>
      <c r="N154" s="18">
        <f t="shared" ca="1" si="21"/>
        <v>53514.368360072374</v>
      </c>
      <c r="O154" s="18">
        <f>SUMIFS(Receitas!$F:$F,Receitas!$J:$J,"&lt;="&amp;$A154,Receitas!$L:$L,"&gt;="&amp;$A154,Receitas!$C:$C,O$1,Receitas!$M:$M,"Mensal")+SUMIFS(Receitas!$F:$F,Receitas!$J:$J,"&lt;="&amp;$A154,Receitas!$L:$L,"&gt;="&amp;$A154,Receitas!$C:$C,O$1,Receitas!$M:$M,$B154)</f>
        <v>50000</v>
      </c>
      <c r="P154" s="18">
        <f>SUMIFS(Receitas!$F:$F,Receitas!$J:$J,"&lt;="&amp;$A154,Receitas!$L:$L,"&gt;="&amp;$A154,Receitas!$C:$C,P$1,Receitas!$M:$M,"Mensal")+SUMIFS(Receitas!$F:$F,Receitas!$J:$J,"&lt;="&amp;$A154,Receitas!$L:$L,"&gt;="&amp;$A154,Receitas!$C:$C,P$1,Receitas!$M:$M,$B154)</f>
        <v>20000</v>
      </c>
      <c r="Q154" s="18">
        <f>SUMIFS(Receitas!$F:$F,Receitas!$J:$J,"&lt;="&amp;$A154,Receitas!$L:$L,"&gt;="&amp;$A154,Receitas!$C:$C,Q$1,Receitas!$M:$M,"Mensal")+SUMIFS(Receitas!$F:$F,Receitas!$J:$J,"&lt;="&amp;$A154,Receitas!$L:$L,"&gt;="&amp;$A154,Receitas!$C:$C,Q$1,Receitas!$M:$M,$B154)</f>
        <v>0</v>
      </c>
      <c r="R154" s="18" cm="1">
        <f t="array" ref="R154">(IF(AND(Membros!$F$2="Sim",A154&lt;=MAX(Membros!$E$2:$E$5)),Membros!K$2,IF(AND(A154&gt;=Membros!J$2,A154&lt;=MAX(Membros!$E$2:$E$5)),Membros!K$2,0))+IF(AND(Membros!$F$3="Sim",A154&lt;=MAX(Membros!$E$2:$E$5)),Membros!K$3,IF(AND(A154&gt;=Membros!J$3,A154&lt;=MAX(Membros!$E$2:$E$5)),Membros!K$3,0)))*IF(AND(COUNTIFS(Tabela3[Tipo],"Provedor",Tabela3[Simulação Seguro],"Sim")=2,A154&gt;=MAX(IF(Tabela3[Tipo]="Dependente",Tabela3[Expectativa de Vida (Data)]))),0,1)</f>
        <v>0</v>
      </c>
      <c r="S154" s="18">
        <f t="shared" si="22"/>
        <v>70000</v>
      </c>
      <c r="U154" s="18">
        <f t="shared" ca="1" si="25"/>
        <v>8377534.3773869965</v>
      </c>
      <c r="V154" s="18">
        <f>SUMIF(Imóveis!E:E,Dados!A:A,Imóveis!Z:Z)-SUMIF(Imóveis!E:E,Dados!A:A,Imóveis!Y:Y)</f>
        <v>0</v>
      </c>
      <c r="W154" s="18">
        <f>-SUMIF(Projetos!N:N,A154,Projetos!F:F)</f>
        <v>0</v>
      </c>
      <c r="X154" s="18">
        <f t="shared" ca="1" si="19"/>
        <v>16485.631639927626</v>
      </c>
      <c r="Y154" s="26">
        <f ca="1">(U154*((Indicadores_Economicos!D$2+1)^(1/12)-1))</f>
        <v>27425.867567990823</v>
      </c>
      <c r="Z154" s="18">
        <f t="shared" ca="1" si="23"/>
        <v>8421445.8765949141</v>
      </c>
      <c r="AA154" s="18">
        <f ca="1">Auxiliar_Projetos!E154</f>
        <v>84923.474234406953</v>
      </c>
      <c r="AB154" s="18">
        <f ca="1">Auxiliar_Projetos!K154</f>
        <v>473507.81528877973</v>
      </c>
      <c r="AC154" s="18">
        <f ca="1">IF(Z154-AA154-AB154&gt;Investimentos!$C$14,Investimentos!$C$14,IF(Z154-AA154-AB154&lt;Investimentos!$C$14,Z154-AA154-AB154,0))</f>
        <v>300000</v>
      </c>
      <c r="AD154" s="18">
        <f t="shared" ca="1" si="24"/>
        <v>7563014.587071728</v>
      </c>
      <c r="AE154" s="18"/>
    </row>
    <row r="155" spans="1:31" x14ac:dyDescent="0.2">
      <c r="A155" s="4">
        <v>50314</v>
      </c>
      <c r="B155" s="5" t="str">
        <f t="shared" si="20"/>
        <v>outubro</v>
      </c>
      <c r="C155" s="5" t="str">
        <f t="shared" si="26"/>
        <v>2037</v>
      </c>
      <c r="D155" s="5">
        <f>SUMIFS(Despesas!$F:$F,Despesas!$J:$J,"&lt;="&amp;$A155,Despesas!$L:$L,"&gt;="&amp;$A155,Despesas!$C:$C,D$1,Despesas!$M:$M,"Mensal")+SUMIFS(Despesas!$F:$F,Despesas!$J:$J,"&lt;="&amp;$A155,Despesas!$L:$L,"&gt;="&amp;$A155,Despesas!$C:$C,D$1,Despesas!$M:$M,$B155)</f>
        <v>23000</v>
      </c>
      <c r="E155" s="18">
        <f>SUMIFS(Despesas!$F:$F,Despesas!$J:$J,"&lt;="&amp;$A155,Despesas!$L:$L,"&gt;="&amp;$A155,Despesas!$C:$C,E$1,Despesas!$M:$M,"Mensal")+SUMIFS(Despesas!$F:$F,Despesas!$J:$J,"&lt;="&amp;$A155,Despesas!$L:$L,"&gt;="&amp;$A155,Despesas!$C:$C,E$1,Despesas!$M:$M,$B155)</f>
        <v>7000</v>
      </c>
      <c r="F155" s="5">
        <f>SUMIFS(Despesas!$F:$F,Despesas!$J:$J,"&lt;="&amp;$A155,Despesas!$L:$L,"&gt;="&amp;$A155,Despesas!$C:$C,F$1,Despesas!$M:$M,"Mensal")+SUMIFS(Despesas!$F:$F,Despesas!$J:$J,"&lt;="&amp;$A155,Despesas!$L:$L,"&gt;="&amp;$A155,Despesas!$C:$C,F$1,Despesas!$M:$M,$B155)</f>
        <v>13000</v>
      </c>
      <c r="G155" s="5">
        <f>SUMIFS(Despesas!$F:$F,Despesas!$J:$J,"&lt;="&amp;$A155,Despesas!$L:$L,"&gt;="&amp;$A155,Despesas!$C:$C,G$1,Despesas!$M:$M,"Mensal")+SUMIFS(Despesas!$F:$F,Despesas!$J:$J,"&lt;="&amp;$A155,Despesas!$L:$L,"&gt;="&amp;$A155,Despesas!$C:$C,G$1,Despesas!$M:$M,$B155)</f>
        <v>0</v>
      </c>
      <c r="H155" s="18">
        <f>SUMIFS(Despesas!$F:$F,Despesas!$J:$J,"&lt;="&amp;$A155,Despesas!$L:$L,"&gt;="&amp;$A155,Despesas!$C:$C,H$1,Despesas!$M:$M,"Mensal")+SUMIFS(Despesas!$F:$F,Despesas!$J:$J,"&lt;="&amp;$A155,Despesas!$L:$L,"&gt;="&amp;$A155,Despesas!$C:$C,H$1,Despesas!$M:$M,$B155)</f>
        <v>1000</v>
      </c>
      <c r="I155" s="18">
        <f>IF(Imóveis!$F$2="PRICE",IF(AND(Dados!$A155&gt;=Imóveis!$Q$2,Dados!$A155&lt;=Imóveis!$T$2),Imóveis!$U$2,0),IF((IF(AND(Dados!$A155&gt;=Imóveis!$Q$2,Dados!$A155&lt;=Imóveis!$T$2),Imóveis!$S$2-(DATEDIF(Imóveis!$Q$2,Dados!$A155,"m")),0))=0,0,((Imóveis!$N$2/Imóveis!$S$2)+((Imóveis!$N$2-((Imóveis!$S$2-(IF(AND(Dados!$A155&gt;=Imóveis!$Q$2,Dados!$A155&lt;=Imóveis!$T$2),Imóveis!$S$2-(DATEDIF(Imóveis!$Q$2,Dados!$A155,"m")),)))*(Imóveis!$N$2/Imóveis!$S$2)))*Imóveis!$P$2))))*IF(AND(Imóveis!$E$2&gt;0,Dados!$A155&gt;Imóveis!$E$2),0,1)</f>
        <v>9452.3472678475682</v>
      </c>
      <c r="J155" s="18">
        <f ca="1">IF(Imóveis!$F$3="PRICE",IF(AND(Dados!$A155&gt;=Imóveis!$Q$3,Dados!$A155&lt;=Imóveis!$T$3),Imóveis!$U$3,0),IF((IF(AND(Dados!$A155&gt;=Imóveis!$Q$3,Dados!$A155&lt;=Imóveis!$T$3),Imóveis!$S$3-(DATEDIF(Imóveis!$Q$3,Dados!$A155,"m")),0))=0,0,((Imóveis!$N$3/Imóveis!$S$3)+((Imóveis!$N$3-((Imóveis!$S$3-(IF(AND(Dados!$A155&gt;=Imóveis!$Q$3,Dados!$A155&lt;=Imóveis!$T$3),Imóveis!$S$3-(DATEDIF(Imóveis!$Q$3,Dados!$A155,"m")),)))*(Imóveis!$N$3/Imóveis!$S$3)))*Imóveis!$P$3))))*IF(AND(Imóveis!$E$3&gt;0,Dados!$A155&gt;Imóveis!$E$3),0,1)</f>
        <v>0</v>
      </c>
      <c r="K155" s="18">
        <f>IF(Imóveis!$F$4="PRICE",IF(AND(Dados!$A155&gt;=Imóveis!$Q$4,Dados!$A155&lt;=Imóveis!$T$4),Imóveis!$U$4,0),IF((IF(AND(Dados!$A155&gt;=Imóveis!$Q$4,Dados!$A155&lt;=Imóveis!$T$4),Imóveis!$S$4-(DATEDIF(Imóveis!$Q$4,Dados!$A155,"m")),0))=0,0,((Imóveis!$N$4/Imóveis!$S$4)+((Imóveis!$N$4-((Imóveis!$S$4-(IF(AND(Dados!$A155&gt;=Imóveis!$Q$4,Dados!$A155&lt;=Imóveis!$T$4),Imóveis!$S$4-(DATEDIF(Imóveis!$Q$4,Dados!$A155,"m")),)))*(Imóveis!$N$4/Imóveis!$S$4)))*Imóveis!$P$4))))*IF(AND(Imóveis!$E$4&gt;0,Dados!$A155&gt;Imóveis!$E$4),0,1)</f>
        <v>0</v>
      </c>
      <c r="L155" s="18">
        <f>IF(Imóveis!$F$5="PRICE",IF(AND(Dados!$A155&gt;=Imóveis!$Q$5,Dados!$A155&lt;=Imóveis!$T$5),Imóveis!$U$5,0),IF((IF(AND(Dados!$A155&gt;=Imóveis!$Q$5,Dados!$A155&lt;=Imóveis!$T$5),Imóveis!$S$5-(DATEDIF(Imóveis!$Q$5,Dados!$A155,"m")),0))=0,0,((Imóveis!$N$5/Imóveis!$S$5)+((Imóveis!$N$5-((Imóveis!$S$5-(IF(AND(Dados!$A155 &gt;=Imóveis!$Q$5,Dados!$A155&lt;=Imóveis!$T$5),Imóveis!$S$5-(DATEDIF(Imóveis!$Q$5,Dados!$A155,"m")),)))*(Imóveis!$N$5/Imóveis!$S$5)))*Imóveis!$P$5))))*IF(AND(Imóveis!$E$5&gt;0,Dados!$A155&gt;Imóveis!$E$5),0,1)*Imóveis!$I$5</f>
        <v>0</v>
      </c>
      <c r="M155" s="18">
        <f>IF(Imóveis!$F$6="PRICE",IF(AND(Dados!$A155&gt;=Imóveis!$Q$6,Dados!$A155&lt;=Imóveis!$T$6),Imóveis!$U$6,0),IF((IF(AND(Dados!$A155&gt;=Imóveis!$Q$6,Dados!$A155&lt;=Imóveis!$T$6),Imóveis!$S$6-(DATEDIF(Imóveis!$Q$6,Dados!$A155,"m")),0))=0,0,((Imóveis!$N$6/Imóveis!$S$6)+((Imóveis!$N$6-((Imóveis!$S$6-(IF(AND(Dados!$A155&gt;=Imóveis!$Q$6,Dados!$A155&lt;=Imóveis!$T$6),Imóveis!$S$6-(DATEDIF(Imóveis!$Q$6,Dados!$A155,"m")),)))*(Imóveis!$N$6/Imóveis!$S$6)))*Imóveis!$P$6))))*IF(AND(Imóveis!$E$6&gt;0,Dados!$A155&gt;Imóveis!$E$6),0,1)*Imóveis!$I$6</f>
        <v>0</v>
      </c>
      <c r="N155" s="18">
        <f t="shared" ca="1" si="21"/>
        <v>53452.347267847566</v>
      </c>
      <c r="O155" s="18">
        <f>SUMIFS(Receitas!$F:$F,Receitas!$J:$J,"&lt;="&amp;$A155,Receitas!$L:$L,"&gt;="&amp;$A155,Receitas!$C:$C,O$1,Receitas!$M:$M,"Mensal")+SUMIFS(Receitas!$F:$F,Receitas!$J:$J,"&lt;="&amp;$A155,Receitas!$L:$L,"&gt;="&amp;$A155,Receitas!$C:$C,O$1,Receitas!$M:$M,$B155)</f>
        <v>50000</v>
      </c>
      <c r="P155" s="18">
        <f>SUMIFS(Receitas!$F:$F,Receitas!$J:$J,"&lt;="&amp;$A155,Receitas!$L:$L,"&gt;="&amp;$A155,Receitas!$C:$C,P$1,Receitas!$M:$M,"Mensal")+SUMIFS(Receitas!$F:$F,Receitas!$J:$J,"&lt;="&amp;$A155,Receitas!$L:$L,"&gt;="&amp;$A155,Receitas!$C:$C,P$1,Receitas!$M:$M,$B155)</f>
        <v>20000</v>
      </c>
      <c r="Q155" s="18">
        <f>SUMIFS(Receitas!$F:$F,Receitas!$J:$J,"&lt;="&amp;$A155,Receitas!$L:$L,"&gt;="&amp;$A155,Receitas!$C:$C,Q$1,Receitas!$M:$M,"Mensal")+SUMIFS(Receitas!$F:$F,Receitas!$J:$J,"&lt;="&amp;$A155,Receitas!$L:$L,"&gt;="&amp;$A155,Receitas!$C:$C,Q$1,Receitas!$M:$M,$B155)</f>
        <v>0</v>
      </c>
      <c r="R155" s="18" cm="1">
        <f t="array" ref="R155">(IF(AND(Membros!$F$2="Sim",A155&lt;=MAX(Membros!$E$2:$E$5)),Membros!K$2,IF(AND(A155&gt;=Membros!J$2,A155&lt;=MAX(Membros!$E$2:$E$5)),Membros!K$2,0))+IF(AND(Membros!$F$3="Sim",A155&lt;=MAX(Membros!$E$2:$E$5)),Membros!K$3,IF(AND(A155&gt;=Membros!J$3,A155&lt;=MAX(Membros!$E$2:$E$5)),Membros!K$3,0)))*IF(AND(COUNTIFS(Tabela3[Tipo],"Provedor",Tabela3[Simulação Seguro],"Sim")=2,A155&gt;=MAX(IF(Tabela3[Tipo]="Dependente",Tabela3[Expectativa de Vida (Data)]))),0,1)</f>
        <v>0</v>
      </c>
      <c r="S155" s="18">
        <f t="shared" si="22"/>
        <v>70000</v>
      </c>
      <c r="U155" s="18">
        <f t="shared" ca="1" si="25"/>
        <v>8421445.8765949141</v>
      </c>
      <c r="V155" s="18">
        <f>SUMIF(Imóveis!E:E,Dados!A:A,Imóveis!Z:Z)-SUMIF(Imóveis!E:E,Dados!A:A,Imóveis!Y:Y)</f>
        <v>0</v>
      </c>
      <c r="W155" s="18">
        <f>-SUMIF(Projetos!N:N,A155,Projetos!F:F)</f>
        <v>0</v>
      </c>
      <c r="X155" s="18">
        <f t="shared" ca="1" si="19"/>
        <v>16547.652732152434</v>
      </c>
      <c r="Y155" s="26">
        <f ca="1">(U155*((Indicadores_Economicos!D$2+1)^(1/12)-1))</f>
        <v>27569.622389843782</v>
      </c>
      <c r="Z155" s="18">
        <f t="shared" ca="1" si="23"/>
        <v>8465563.1517169103</v>
      </c>
      <c r="AA155" s="18">
        <f ca="1">Auxiliar_Projetos!E155</f>
        <v>85201.491590450678</v>
      </c>
      <c r="AB155" s="18">
        <f ca="1">Auxiliar_Projetos!K155</f>
        <v>475057.95666087273</v>
      </c>
      <c r="AC155" s="18">
        <f ca="1">IF(Z155-AA155-AB155&gt;Investimentos!$C$14,Investimentos!$C$14,IF(Z155-AA155-AB155&lt;Investimentos!$C$14,Z155-AA155-AB155,0))</f>
        <v>300000</v>
      </c>
      <c r="AD155" s="18">
        <f t="shared" ca="1" si="24"/>
        <v>7605303.7034655875</v>
      </c>
      <c r="AE155" s="18"/>
    </row>
    <row r="156" spans="1:31" x14ac:dyDescent="0.2">
      <c r="A156" s="4">
        <v>50345</v>
      </c>
      <c r="B156" s="5" t="str">
        <f t="shared" si="20"/>
        <v>novembro</v>
      </c>
      <c r="C156" s="5" t="str">
        <f t="shared" si="26"/>
        <v>2037</v>
      </c>
      <c r="D156" s="5">
        <f>SUMIFS(Despesas!$F:$F,Despesas!$J:$J,"&lt;="&amp;$A156,Despesas!$L:$L,"&gt;="&amp;$A156,Despesas!$C:$C,D$1,Despesas!$M:$M,"Mensal")+SUMIFS(Despesas!$F:$F,Despesas!$J:$J,"&lt;="&amp;$A156,Despesas!$L:$L,"&gt;="&amp;$A156,Despesas!$C:$C,D$1,Despesas!$M:$M,$B156)</f>
        <v>23000</v>
      </c>
      <c r="E156" s="18">
        <f>SUMIFS(Despesas!$F:$F,Despesas!$J:$J,"&lt;="&amp;$A156,Despesas!$L:$L,"&gt;="&amp;$A156,Despesas!$C:$C,E$1,Despesas!$M:$M,"Mensal")+SUMIFS(Despesas!$F:$F,Despesas!$J:$J,"&lt;="&amp;$A156,Despesas!$L:$L,"&gt;="&amp;$A156,Despesas!$C:$C,E$1,Despesas!$M:$M,$B156)</f>
        <v>7000</v>
      </c>
      <c r="F156" s="5">
        <f>SUMIFS(Despesas!$F:$F,Despesas!$J:$J,"&lt;="&amp;$A156,Despesas!$L:$L,"&gt;="&amp;$A156,Despesas!$C:$C,F$1,Despesas!$M:$M,"Mensal")+SUMIFS(Despesas!$F:$F,Despesas!$J:$J,"&lt;="&amp;$A156,Despesas!$L:$L,"&gt;="&amp;$A156,Despesas!$C:$C,F$1,Despesas!$M:$M,$B156)</f>
        <v>13000</v>
      </c>
      <c r="G156" s="5">
        <f>SUMIFS(Despesas!$F:$F,Despesas!$J:$J,"&lt;="&amp;$A156,Despesas!$L:$L,"&gt;="&amp;$A156,Despesas!$C:$C,G$1,Despesas!$M:$M,"Mensal")+SUMIFS(Despesas!$F:$F,Despesas!$J:$J,"&lt;="&amp;$A156,Despesas!$L:$L,"&gt;="&amp;$A156,Despesas!$C:$C,G$1,Despesas!$M:$M,$B156)</f>
        <v>0</v>
      </c>
      <c r="H156" s="18">
        <f>SUMIFS(Despesas!$F:$F,Despesas!$J:$J,"&lt;="&amp;$A156,Despesas!$L:$L,"&gt;="&amp;$A156,Despesas!$C:$C,H$1,Despesas!$M:$M,"Mensal")+SUMIFS(Despesas!$F:$F,Despesas!$J:$J,"&lt;="&amp;$A156,Despesas!$L:$L,"&gt;="&amp;$A156,Despesas!$C:$C,H$1,Despesas!$M:$M,$B156)</f>
        <v>1000</v>
      </c>
      <c r="I156" s="18">
        <f>IF(Imóveis!$F$2="PRICE",IF(AND(Dados!$A156&gt;=Imóveis!$Q$2,Dados!$A156&lt;=Imóveis!$T$2),Imóveis!$U$2,0),IF((IF(AND(Dados!$A156&gt;=Imóveis!$Q$2,Dados!$A156&lt;=Imóveis!$T$2),Imóveis!$S$2-(DATEDIF(Imóveis!$Q$2,Dados!$A156,"m")),0))=0,0,((Imóveis!$N$2/Imóveis!$S$2)+((Imóveis!$N$2-((Imóveis!$S$2-(IF(AND(Dados!$A156&gt;=Imóveis!$Q$2,Dados!$A156&lt;=Imóveis!$T$2),Imóveis!$S$2-(DATEDIF(Imóveis!$Q$2,Dados!$A156,"m")),)))*(Imóveis!$N$2/Imóveis!$S$2)))*Imóveis!$P$2))))*IF(AND(Imóveis!$E$2&gt;0,Dados!$A156&gt;Imóveis!$E$2),0,1)</f>
        <v>9390.3261756227603</v>
      </c>
      <c r="J156" s="18">
        <f ca="1">IF(Imóveis!$F$3="PRICE",IF(AND(Dados!$A156&gt;=Imóveis!$Q$3,Dados!$A156&lt;=Imóveis!$T$3),Imóveis!$U$3,0),IF((IF(AND(Dados!$A156&gt;=Imóveis!$Q$3,Dados!$A156&lt;=Imóveis!$T$3),Imóveis!$S$3-(DATEDIF(Imóveis!$Q$3,Dados!$A156,"m")),0))=0,0,((Imóveis!$N$3/Imóveis!$S$3)+((Imóveis!$N$3-((Imóveis!$S$3-(IF(AND(Dados!$A156&gt;=Imóveis!$Q$3,Dados!$A156&lt;=Imóveis!$T$3),Imóveis!$S$3-(DATEDIF(Imóveis!$Q$3,Dados!$A156,"m")),)))*(Imóveis!$N$3/Imóveis!$S$3)))*Imóveis!$P$3))))*IF(AND(Imóveis!$E$3&gt;0,Dados!$A156&gt;Imóveis!$E$3),0,1)</f>
        <v>0</v>
      </c>
      <c r="K156" s="18">
        <f>IF(Imóveis!$F$4="PRICE",IF(AND(Dados!$A156&gt;=Imóveis!$Q$4,Dados!$A156&lt;=Imóveis!$T$4),Imóveis!$U$4,0),IF((IF(AND(Dados!$A156&gt;=Imóveis!$Q$4,Dados!$A156&lt;=Imóveis!$T$4),Imóveis!$S$4-(DATEDIF(Imóveis!$Q$4,Dados!$A156,"m")),0))=0,0,((Imóveis!$N$4/Imóveis!$S$4)+((Imóveis!$N$4-((Imóveis!$S$4-(IF(AND(Dados!$A156&gt;=Imóveis!$Q$4,Dados!$A156&lt;=Imóveis!$T$4),Imóveis!$S$4-(DATEDIF(Imóveis!$Q$4,Dados!$A156,"m")),)))*(Imóveis!$N$4/Imóveis!$S$4)))*Imóveis!$P$4))))*IF(AND(Imóveis!$E$4&gt;0,Dados!$A156&gt;Imóveis!$E$4),0,1)</f>
        <v>0</v>
      </c>
      <c r="L156" s="18">
        <f>IF(Imóveis!$F$5="PRICE",IF(AND(Dados!$A156&gt;=Imóveis!$Q$5,Dados!$A156&lt;=Imóveis!$T$5),Imóveis!$U$5,0),IF((IF(AND(Dados!$A156&gt;=Imóveis!$Q$5,Dados!$A156&lt;=Imóveis!$T$5),Imóveis!$S$5-(DATEDIF(Imóveis!$Q$5,Dados!$A156,"m")),0))=0,0,((Imóveis!$N$5/Imóveis!$S$5)+((Imóveis!$N$5-((Imóveis!$S$5-(IF(AND(Dados!$A156 &gt;=Imóveis!$Q$5,Dados!$A156&lt;=Imóveis!$T$5),Imóveis!$S$5-(DATEDIF(Imóveis!$Q$5,Dados!$A156,"m")),)))*(Imóveis!$N$5/Imóveis!$S$5)))*Imóveis!$P$5))))*IF(AND(Imóveis!$E$5&gt;0,Dados!$A156&gt;Imóveis!$E$5),0,1)*Imóveis!$I$5</f>
        <v>0</v>
      </c>
      <c r="M156" s="18">
        <f>IF(Imóveis!$F$6="PRICE",IF(AND(Dados!$A156&gt;=Imóveis!$Q$6,Dados!$A156&lt;=Imóveis!$T$6),Imóveis!$U$6,0),IF((IF(AND(Dados!$A156&gt;=Imóveis!$Q$6,Dados!$A156&lt;=Imóveis!$T$6),Imóveis!$S$6-(DATEDIF(Imóveis!$Q$6,Dados!$A156,"m")),0))=0,0,((Imóveis!$N$6/Imóveis!$S$6)+((Imóveis!$N$6-((Imóveis!$S$6-(IF(AND(Dados!$A156&gt;=Imóveis!$Q$6,Dados!$A156&lt;=Imóveis!$T$6),Imóveis!$S$6-(DATEDIF(Imóveis!$Q$6,Dados!$A156,"m")),)))*(Imóveis!$N$6/Imóveis!$S$6)))*Imóveis!$P$6))))*IF(AND(Imóveis!$E$6&gt;0,Dados!$A156&gt;Imóveis!$E$6),0,1)*Imóveis!$I$6</f>
        <v>0</v>
      </c>
      <c r="N156" s="18">
        <f t="shared" ca="1" si="21"/>
        <v>53390.326175622758</v>
      </c>
      <c r="O156" s="18">
        <f>SUMIFS(Receitas!$F:$F,Receitas!$J:$J,"&lt;="&amp;$A156,Receitas!$L:$L,"&gt;="&amp;$A156,Receitas!$C:$C,O$1,Receitas!$M:$M,"Mensal")+SUMIFS(Receitas!$F:$F,Receitas!$J:$J,"&lt;="&amp;$A156,Receitas!$L:$L,"&gt;="&amp;$A156,Receitas!$C:$C,O$1,Receitas!$M:$M,$B156)</f>
        <v>50000</v>
      </c>
      <c r="P156" s="18">
        <f>SUMIFS(Receitas!$F:$F,Receitas!$J:$J,"&lt;="&amp;$A156,Receitas!$L:$L,"&gt;="&amp;$A156,Receitas!$C:$C,P$1,Receitas!$M:$M,"Mensal")+SUMIFS(Receitas!$F:$F,Receitas!$J:$J,"&lt;="&amp;$A156,Receitas!$L:$L,"&gt;="&amp;$A156,Receitas!$C:$C,P$1,Receitas!$M:$M,$B156)</f>
        <v>86666.666666666672</v>
      </c>
      <c r="Q156" s="18">
        <f>SUMIFS(Receitas!$F:$F,Receitas!$J:$J,"&lt;="&amp;$A156,Receitas!$L:$L,"&gt;="&amp;$A156,Receitas!$C:$C,Q$1,Receitas!$M:$M,"Mensal")+SUMIFS(Receitas!$F:$F,Receitas!$J:$J,"&lt;="&amp;$A156,Receitas!$L:$L,"&gt;="&amp;$A156,Receitas!$C:$C,Q$1,Receitas!$M:$M,$B156)</f>
        <v>0</v>
      </c>
      <c r="R156" s="18" cm="1">
        <f t="array" ref="R156">(IF(AND(Membros!$F$2="Sim",A156&lt;=MAX(Membros!$E$2:$E$5)),Membros!K$2,IF(AND(A156&gt;=Membros!J$2,A156&lt;=MAX(Membros!$E$2:$E$5)),Membros!K$2,0))+IF(AND(Membros!$F$3="Sim",A156&lt;=MAX(Membros!$E$2:$E$5)),Membros!K$3,IF(AND(A156&gt;=Membros!J$3,A156&lt;=MAX(Membros!$E$2:$E$5)),Membros!K$3,0)))*IF(AND(COUNTIFS(Tabela3[Tipo],"Provedor",Tabela3[Simulação Seguro],"Sim")=2,A156&gt;=MAX(IF(Tabela3[Tipo]="Dependente",Tabela3[Expectativa de Vida (Data)]))),0,1)</f>
        <v>0</v>
      </c>
      <c r="S156" s="18">
        <f t="shared" si="22"/>
        <v>136666.66666666669</v>
      </c>
      <c r="U156" s="18">
        <f t="shared" ca="1" si="25"/>
        <v>8465563.1517169103</v>
      </c>
      <c r="V156" s="18">
        <f>SUMIF(Imóveis!E:E,Dados!A:A,Imóveis!Z:Z)-SUMIF(Imóveis!E:E,Dados!A:A,Imóveis!Y:Y)</f>
        <v>0</v>
      </c>
      <c r="W156" s="18">
        <f>-SUMIF(Projetos!N:N,A156,Projetos!F:F)</f>
        <v>0</v>
      </c>
      <c r="X156" s="18">
        <f t="shared" ca="1" si="19"/>
        <v>83276.340491043928</v>
      </c>
      <c r="Y156" s="26">
        <f ca="1">(U156*((Indicadores_Economicos!D$2+1)^(1/12)-1))</f>
        <v>27714.050868492875</v>
      </c>
      <c r="Z156" s="18">
        <f t="shared" ca="1" si="23"/>
        <v>8576553.5430764463</v>
      </c>
      <c r="AA156" s="18">
        <f ca="1">Auxiliar_Projetos!E156</f>
        <v>85480.419102973028</v>
      </c>
      <c r="AB156" s="18">
        <f ca="1">Auxiliar_Projetos!K156</f>
        <v>476613.17279244354</v>
      </c>
      <c r="AC156" s="18">
        <f ca="1">IF(Z156-AA156-AB156&gt;Investimentos!$C$14,Investimentos!$C$14,IF(Z156-AA156-AB156&lt;Investimentos!$C$14,Z156-AA156-AB156,0))</f>
        <v>300000</v>
      </c>
      <c r="AD156" s="18">
        <f t="shared" ca="1" si="24"/>
        <v>7714459.9511810299</v>
      </c>
      <c r="AE156" s="18"/>
    </row>
    <row r="157" spans="1:31" x14ac:dyDescent="0.2">
      <c r="A157" s="4">
        <v>50375</v>
      </c>
      <c r="B157" s="5" t="str">
        <f t="shared" si="20"/>
        <v>dezembro</v>
      </c>
      <c r="C157" s="5" t="str">
        <f t="shared" si="26"/>
        <v>2037</v>
      </c>
      <c r="D157" s="5">
        <f>SUMIFS(Despesas!$F:$F,Despesas!$J:$J,"&lt;="&amp;$A157,Despesas!$L:$L,"&gt;="&amp;$A157,Despesas!$C:$C,D$1,Despesas!$M:$M,"Mensal")+SUMIFS(Despesas!$F:$F,Despesas!$J:$J,"&lt;="&amp;$A157,Despesas!$L:$L,"&gt;="&amp;$A157,Despesas!$C:$C,D$1,Despesas!$M:$M,$B157)</f>
        <v>23000</v>
      </c>
      <c r="E157" s="18">
        <f>SUMIFS(Despesas!$F:$F,Despesas!$J:$J,"&lt;="&amp;$A157,Despesas!$L:$L,"&gt;="&amp;$A157,Despesas!$C:$C,E$1,Despesas!$M:$M,"Mensal")+SUMIFS(Despesas!$F:$F,Despesas!$J:$J,"&lt;="&amp;$A157,Despesas!$L:$L,"&gt;="&amp;$A157,Despesas!$C:$C,E$1,Despesas!$M:$M,$B157)</f>
        <v>7000</v>
      </c>
      <c r="F157" s="5">
        <f>SUMIFS(Despesas!$F:$F,Despesas!$J:$J,"&lt;="&amp;$A157,Despesas!$L:$L,"&gt;="&amp;$A157,Despesas!$C:$C,F$1,Despesas!$M:$M,"Mensal")+SUMIFS(Despesas!$F:$F,Despesas!$J:$J,"&lt;="&amp;$A157,Despesas!$L:$L,"&gt;="&amp;$A157,Despesas!$C:$C,F$1,Despesas!$M:$M,$B157)</f>
        <v>13000</v>
      </c>
      <c r="G157" s="5">
        <f ca="1">SUMIFS(Despesas!$F:$F,Despesas!$J:$J,"&lt;="&amp;$A157,Despesas!$L:$L,"&gt;="&amp;$A157,Despesas!$C:$C,G$1,Despesas!$M:$M,"Mensal")+SUMIFS(Despesas!$F:$F,Despesas!$J:$J,"&lt;="&amp;$A157,Despesas!$L:$L,"&gt;="&amp;$A157,Despesas!$C:$C,G$1,Despesas!$M:$M,$B157)</f>
        <v>55757</v>
      </c>
      <c r="H157" s="18">
        <f>SUMIFS(Despesas!$F:$F,Despesas!$J:$J,"&lt;="&amp;$A157,Despesas!$L:$L,"&gt;="&amp;$A157,Despesas!$C:$C,H$1,Despesas!$M:$M,"Mensal")+SUMIFS(Despesas!$F:$F,Despesas!$J:$J,"&lt;="&amp;$A157,Despesas!$L:$L,"&gt;="&amp;$A157,Despesas!$C:$C,H$1,Despesas!$M:$M,$B157)</f>
        <v>1000</v>
      </c>
      <c r="I157" s="18">
        <f>IF(Imóveis!$F$2="PRICE",IF(AND(Dados!$A157&gt;=Imóveis!$Q$2,Dados!$A157&lt;=Imóveis!$T$2),Imóveis!$U$2,0),IF((IF(AND(Dados!$A157&gt;=Imóveis!$Q$2,Dados!$A157&lt;=Imóveis!$T$2),Imóveis!$S$2-(DATEDIF(Imóveis!$Q$2,Dados!$A157,"m")),0))=0,0,((Imóveis!$N$2/Imóveis!$S$2)+((Imóveis!$N$2-((Imóveis!$S$2-(IF(AND(Dados!$A157&gt;=Imóveis!$Q$2,Dados!$A157&lt;=Imóveis!$T$2),Imóveis!$S$2-(DATEDIF(Imóveis!$Q$2,Dados!$A157,"m")),)))*(Imóveis!$N$2/Imóveis!$S$2)))*Imóveis!$P$2))))*IF(AND(Imóveis!$E$2&gt;0,Dados!$A157&gt;Imóveis!$E$2),0,1)</f>
        <v>9328.3050833979541</v>
      </c>
      <c r="J157" s="18">
        <f ca="1">IF(Imóveis!$F$3="PRICE",IF(AND(Dados!$A157&gt;=Imóveis!$Q$3,Dados!$A157&lt;=Imóveis!$T$3),Imóveis!$U$3,0),IF((IF(AND(Dados!$A157&gt;=Imóveis!$Q$3,Dados!$A157&lt;=Imóveis!$T$3),Imóveis!$S$3-(DATEDIF(Imóveis!$Q$3,Dados!$A157,"m")),0))=0,0,((Imóveis!$N$3/Imóveis!$S$3)+((Imóveis!$N$3-((Imóveis!$S$3-(IF(AND(Dados!$A157&gt;=Imóveis!$Q$3,Dados!$A157&lt;=Imóveis!$T$3),Imóveis!$S$3-(DATEDIF(Imóveis!$Q$3,Dados!$A157,"m")),)))*(Imóveis!$N$3/Imóveis!$S$3)))*Imóveis!$P$3))))*IF(AND(Imóveis!$E$3&gt;0,Dados!$A157&gt;Imóveis!$E$3),0,1)</f>
        <v>0</v>
      </c>
      <c r="K157" s="18">
        <f>IF(Imóveis!$F$4="PRICE",IF(AND(Dados!$A157&gt;=Imóveis!$Q$4,Dados!$A157&lt;=Imóveis!$T$4),Imóveis!$U$4,0),IF((IF(AND(Dados!$A157&gt;=Imóveis!$Q$4,Dados!$A157&lt;=Imóveis!$T$4),Imóveis!$S$4-(DATEDIF(Imóveis!$Q$4,Dados!$A157,"m")),0))=0,0,((Imóveis!$N$4/Imóveis!$S$4)+((Imóveis!$N$4-((Imóveis!$S$4-(IF(AND(Dados!$A157&gt;=Imóveis!$Q$4,Dados!$A157&lt;=Imóveis!$T$4),Imóveis!$S$4-(DATEDIF(Imóveis!$Q$4,Dados!$A157,"m")),)))*(Imóveis!$N$4/Imóveis!$S$4)))*Imóveis!$P$4))))*IF(AND(Imóveis!$E$4&gt;0,Dados!$A157&gt;Imóveis!$E$4),0,1)</f>
        <v>0</v>
      </c>
      <c r="L157" s="18">
        <f>IF(Imóveis!$F$5="PRICE",IF(AND(Dados!$A157&gt;=Imóveis!$Q$5,Dados!$A157&lt;=Imóveis!$T$5),Imóveis!$U$5,0),IF((IF(AND(Dados!$A157&gt;=Imóveis!$Q$5,Dados!$A157&lt;=Imóveis!$T$5),Imóveis!$S$5-(DATEDIF(Imóveis!$Q$5,Dados!$A157,"m")),0))=0,0,((Imóveis!$N$5/Imóveis!$S$5)+((Imóveis!$N$5-((Imóveis!$S$5-(IF(AND(Dados!$A157 &gt;=Imóveis!$Q$5,Dados!$A157&lt;=Imóveis!$T$5),Imóveis!$S$5-(DATEDIF(Imóveis!$Q$5,Dados!$A157,"m")),)))*(Imóveis!$N$5/Imóveis!$S$5)))*Imóveis!$P$5))))*IF(AND(Imóveis!$E$5&gt;0,Dados!$A157&gt;Imóveis!$E$5),0,1)*Imóveis!$I$5</f>
        <v>0</v>
      </c>
      <c r="M157" s="18">
        <f>IF(Imóveis!$F$6="PRICE",IF(AND(Dados!$A157&gt;=Imóveis!$Q$6,Dados!$A157&lt;=Imóveis!$T$6),Imóveis!$U$6,0),IF((IF(AND(Dados!$A157&gt;=Imóveis!$Q$6,Dados!$A157&lt;=Imóveis!$T$6),Imóveis!$S$6-(DATEDIF(Imóveis!$Q$6,Dados!$A157,"m")),0))=0,0,((Imóveis!$N$6/Imóveis!$S$6)+((Imóveis!$N$6-((Imóveis!$S$6-(IF(AND(Dados!$A157&gt;=Imóveis!$Q$6,Dados!$A157&lt;=Imóveis!$T$6),Imóveis!$S$6-(DATEDIF(Imóveis!$Q$6,Dados!$A157,"m")),)))*(Imóveis!$N$6/Imóveis!$S$6)))*Imóveis!$P$6))))*IF(AND(Imóveis!$E$6&gt;0,Dados!$A157&gt;Imóveis!$E$6),0,1)*Imóveis!$I$6</f>
        <v>0</v>
      </c>
      <c r="N157" s="18">
        <f t="shared" ca="1" si="21"/>
        <v>109085.30508339795</v>
      </c>
      <c r="O157" s="18">
        <f>SUMIFS(Receitas!$F:$F,Receitas!$J:$J,"&lt;="&amp;$A157,Receitas!$L:$L,"&gt;="&amp;$A157,Receitas!$C:$C,O$1,Receitas!$M:$M,"Mensal")+SUMIFS(Receitas!$F:$F,Receitas!$J:$J,"&lt;="&amp;$A157,Receitas!$L:$L,"&gt;="&amp;$A157,Receitas!$C:$C,O$1,Receitas!$M:$M,$B157)</f>
        <v>50000</v>
      </c>
      <c r="P157" s="18">
        <f>SUMIFS(Receitas!$F:$F,Receitas!$J:$J,"&lt;="&amp;$A157,Receitas!$L:$L,"&gt;="&amp;$A157,Receitas!$C:$C,P$1,Receitas!$M:$M,"Mensal")+SUMIFS(Receitas!$F:$F,Receitas!$J:$J,"&lt;="&amp;$A157,Receitas!$L:$L,"&gt;="&amp;$A157,Receitas!$C:$C,P$1,Receitas!$M:$M,$B157)</f>
        <v>20000</v>
      </c>
      <c r="Q157" s="18">
        <f>SUMIFS(Receitas!$F:$F,Receitas!$J:$J,"&lt;="&amp;$A157,Receitas!$L:$L,"&gt;="&amp;$A157,Receitas!$C:$C,Q$1,Receitas!$M:$M,"Mensal")+SUMIFS(Receitas!$F:$F,Receitas!$J:$J,"&lt;="&amp;$A157,Receitas!$L:$L,"&gt;="&amp;$A157,Receitas!$C:$C,Q$1,Receitas!$M:$M,$B157)</f>
        <v>0</v>
      </c>
      <c r="R157" s="18" cm="1">
        <f t="array" ref="R157">(IF(AND(Membros!$F$2="Sim",A157&lt;=MAX(Membros!$E$2:$E$5)),Membros!K$2,IF(AND(A157&gt;=Membros!J$2,A157&lt;=MAX(Membros!$E$2:$E$5)),Membros!K$2,0))+IF(AND(Membros!$F$3="Sim",A157&lt;=MAX(Membros!$E$2:$E$5)),Membros!K$3,IF(AND(A157&gt;=Membros!J$3,A157&lt;=MAX(Membros!$E$2:$E$5)),Membros!K$3,0)))*IF(AND(COUNTIFS(Tabela3[Tipo],"Provedor",Tabela3[Simulação Seguro],"Sim")=2,A157&gt;=MAX(IF(Tabela3[Tipo]="Dependente",Tabela3[Expectativa de Vida (Data)]))),0,1)</f>
        <v>0</v>
      </c>
      <c r="S157" s="18">
        <f t="shared" si="22"/>
        <v>70000</v>
      </c>
      <c r="U157" s="18">
        <f t="shared" ca="1" si="25"/>
        <v>8576553.5430764463</v>
      </c>
      <c r="V157" s="18">
        <f>SUMIF(Imóveis!E:E,Dados!A:A,Imóveis!Z:Z)-SUMIF(Imóveis!E:E,Dados!A:A,Imóveis!Y:Y)</f>
        <v>0</v>
      </c>
      <c r="W157" s="18">
        <f>-SUMIF(Projetos!N:N,A157,Projetos!F:F)</f>
        <v>0</v>
      </c>
      <c r="X157" s="18">
        <f t="shared" ca="1" si="19"/>
        <v>-39085.305083397951</v>
      </c>
      <c r="Y157" s="26">
        <f ca="1">(U157*((Indicadores_Economicos!D$2+1)^(1/12)-1))</f>
        <v>28077.404528128412</v>
      </c>
      <c r="Z157" s="18">
        <f t="shared" ca="1" si="23"/>
        <v>8565545.6425211765</v>
      </c>
      <c r="AA157" s="18">
        <f ca="1">Auxiliar_Projetos!E157</f>
        <v>85760.259751589474</v>
      </c>
      <c r="AB157" s="18">
        <f ca="1">Auxiliar_Projetos!K157</f>
        <v>478173.4802969342</v>
      </c>
      <c r="AC157" s="18">
        <f ca="1">IF(Z157-AA157-AB157&gt;Investimentos!$C$14,Investimentos!$C$14,IF(Z157-AA157-AB157&lt;Investimentos!$C$14,Z157-AA157-AB157,0))</f>
        <v>300000</v>
      </c>
      <c r="AD157" s="18">
        <f t="shared" ca="1" si="24"/>
        <v>7701611.9024726525</v>
      </c>
      <c r="AE157" s="18"/>
    </row>
    <row r="158" spans="1:31" x14ac:dyDescent="0.2">
      <c r="A158" s="4">
        <v>50406</v>
      </c>
      <c r="B158" s="5" t="str">
        <f t="shared" si="20"/>
        <v>janeiro</v>
      </c>
      <c r="C158" s="5" t="str">
        <f t="shared" si="26"/>
        <v>2038</v>
      </c>
      <c r="D158" s="5">
        <f>SUMIFS(Despesas!$F:$F,Despesas!$J:$J,"&lt;="&amp;$A158,Despesas!$L:$L,"&gt;="&amp;$A158,Despesas!$C:$C,D$1,Despesas!$M:$M,"Mensal")+SUMIFS(Despesas!$F:$F,Despesas!$J:$J,"&lt;="&amp;$A158,Despesas!$L:$L,"&gt;="&amp;$A158,Despesas!$C:$C,D$1,Despesas!$M:$M,$B158)</f>
        <v>23000</v>
      </c>
      <c r="E158" s="18">
        <f ca="1">SUMIFS(Despesas!$F:$F,Despesas!$J:$J,"&lt;="&amp;$A158,Despesas!$L:$L,"&gt;="&amp;$A158,Despesas!$C:$C,E$1,Despesas!$M:$M,"Mensal")+SUMIFS(Despesas!$F:$F,Despesas!$J:$J,"&lt;="&amp;$A158,Despesas!$L:$L,"&gt;="&amp;$A158,Despesas!$C:$C,E$1,Despesas!$M:$M,$B158)</f>
        <v>13151.400000000001</v>
      </c>
      <c r="F158" s="5">
        <f>SUMIFS(Despesas!$F:$F,Despesas!$J:$J,"&lt;="&amp;$A158,Despesas!$L:$L,"&gt;="&amp;$A158,Despesas!$C:$C,F$1,Despesas!$M:$M,"Mensal")+SUMIFS(Despesas!$F:$F,Despesas!$J:$J,"&lt;="&amp;$A158,Despesas!$L:$L,"&gt;="&amp;$A158,Despesas!$C:$C,F$1,Despesas!$M:$M,$B158)</f>
        <v>13000</v>
      </c>
      <c r="G158" s="5">
        <f>SUMIFS(Despesas!$F:$F,Despesas!$J:$J,"&lt;="&amp;$A158,Despesas!$L:$L,"&gt;="&amp;$A158,Despesas!$C:$C,G$1,Despesas!$M:$M,"Mensal")+SUMIFS(Despesas!$F:$F,Despesas!$J:$J,"&lt;="&amp;$A158,Despesas!$L:$L,"&gt;="&amp;$A158,Despesas!$C:$C,G$1,Despesas!$M:$M,$B158)</f>
        <v>0</v>
      </c>
      <c r="H158" s="18">
        <f>SUMIFS(Despesas!$F:$F,Despesas!$J:$J,"&lt;="&amp;$A158,Despesas!$L:$L,"&gt;="&amp;$A158,Despesas!$C:$C,H$1,Despesas!$M:$M,"Mensal")+SUMIFS(Despesas!$F:$F,Despesas!$J:$J,"&lt;="&amp;$A158,Despesas!$L:$L,"&gt;="&amp;$A158,Despesas!$C:$C,H$1,Despesas!$M:$M,$B158)</f>
        <v>1000</v>
      </c>
      <c r="I158" s="18">
        <f>IF(Imóveis!$F$2="PRICE",IF(AND(Dados!$A158&gt;=Imóveis!$Q$2,Dados!$A158&lt;=Imóveis!$T$2),Imóveis!$U$2,0),IF((IF(AND(Dados!$A158&gt;=Imóveis!$Q$2,Dados!$A158&lt;=Imóveis!$T$2),Imóveis!$S$2-(DATEDIF(Imóveis!$Q$2,Dados!$A158,"m")),0))=0,0,((Imóveis!$N$2/Imóveis!$S$2)+((Imóveis!$N$2-((Imóveis!$S$2-(IF(AND(Dados!$A158&gt;=Imóveis!$Q$2,Dados!$A158&lt;=Imóveis!$T$2),Imóveis!$S$2-(DATEDIF(Imóveis!$Q$2,Dados!$A158,"m")),)))*(Imóveis!$N$2/Imóveis!$S$2)))*Imóveis!$P$2))))*IF(AND(Imóveis!$E$2&gt;0,Dados!$A158&gt;Imóveis!$E$2),0,1)</f>
        <v>9266.283991173148</v>
      </c>
      <c r="J158" s="18">
        <f ca="1">IF(Imóveis!$F$3="PRICE",IF(AND(Dados!$A158&gt;=Imóveis!$Q$3,Dados!$A158&lt;=Imóveis!$T$3),Imóveis!$U$3,0),IF((IF(AND(Dados!$A158&gt;=Imóveis!$Q$3,Dados!$A158&lt;=Imóveis!$T$3),Imóveis!$S$3-(DATEDIF(Imóveis!$Q$3,Dados!$A158,"m")),0))=0,0,((Imóveis!$N$3/Imóveis!$S$3)+((Imóveis!$N$3-((Imóveis!$S$3-(IF(AND(Dados!$A158&gt;=Imóveis!$Q$3,Dados!$A158&lt;=Imóveis!$T$3),Imóveis!$S$3-(DATEDIF(Imóveis!$Q$3,Dados!$A158,"m")),)))*(Imóveis!$N$3/Imóveis!$S$3)))*Imóveis!$P$3))))*IF(AND(Imóveis!$E$3&gt;0,Dados!$A158&gt;Imóveis!$E$3),0,1)</f>
        <v>0</v>
      </c>
      <c r="K158" s="18">
        <f>IF(Imóveis!$F$4="PRICE",IF(AND(Dados!$A158&gt;=Imóveis!$Q$4,Dados!$A158&lt;=Imóveis!$T$4),Imóveis!$U$4,0),IF((IF(AND(Dados!$A158&gt;=Imóveis!$Q$4,Dados!$A158&lt;=Imóveis!$T$4),Imóveis!$S$4-(DATEDIF(Imóveis!$Q$4,Dados!$A158,"m")),0))=0,0,((Imóveis!$N$4/Imóveis!$S$4)+((Imóveis!$N$4-((Imóveis!$S$4-(IF(AND(Dados!$A158&gt;=Imóveis!$Q$4,Dados!$A158&lt;=Imóveis!$T$4),Imóveis!$S$4-(DATEDIF(Imóveis!$Q$4,Dados!$A158,"m")),)))*(Imóveis!$N$4/Imóveis!$S$4)))*Imóveis!$P$4))))*IF(AND(Imóveis!$E$4&gt;0,Dados!$A158&gt;Imóveis!$E$4),0,1)</f>
        <v>0</v>
      </c>
      <c r="L158" s="18">
        <f>IF(Imóveis!$F$5="PRICE",IF(AND(Dados!$A158&gt;=Imóveis!$Q$5,Dados!$A158&lt;=Imóveis!$T$5),Imóveis!$U$5,0),IF((IF(AND(Dados!$A158&gt;=Imóveis!$Q$5,Dados!$A158&lt;=Imóveis!$T$5),Imóveis!$S$5-(DATEDIF(Imóveis!$Q$5,Dados!$A158,"m")),0))=0,0,((Imóveis!$N$5/Imóveis!$S$5)+((Imóveis!$N$5-((Imóveis!$S$5-(IF(AND(Dados!$A158 &gt;=Imóveis!$Q$5,Dados!$A158&lt;=Imóveis!$T$5),Imóveis!$S$5-(DATEDIF(Imóveis!$Q$5,Dados!$A158,"m")),)))*(Imóveis!$N$5/Imóveis!$S$5)))*Imóveis!$P$5))))*IF(AND(Imóveis!$E$5&gt;0,Dados!$A158&gt;Imóveis!$E$5),0,1)*Imóveis!$I$5</f>
        <v>0</v>
      </c>
      <c r="M158" s="18">
        <f>IF(Imóveis!$F$6="PRICE",IF(AND(Dados!$A158&gt;=Imóveis!$Q$6,Dados!$A158&lt;=Imóveis!$T$6),Imóveis!$U$6,0),IF((IF(AND(Dados!$A158&gt;=Imóveis!$Q$6,Dados!$A158&lt;=Imóveis!$T$6),Imóveis!$S$6-(DATEDIF(Imóveis!$Q$6,Dados!$A158,"m")),0))=0,0,((Imóveis!$N$6/Imóveis!$S$6)+((Imóveis!$N$6-((Imóveis!$S$6-(IF(AND(Dados!$A158&gt;=Imóveis!$Q$6,Dados!$A158&lt;=Imóveis!$T$6),Imóveis!$S$6-(DATEDIF(Imóveis!$Q$6,Dados!$A158,"m")),)))*(Imóveis!$N$6/Imóveis!$S$6)))*Imóveis!$P$6))))*IF(AND(Imóveis!$E$6&gt;0,Dados!$A158&gt;Imóveis!$E$6),0,1)*Imóveis!$I$6</f>
        <v>0</v>
      </c>
      <c r="N158" s="18">
        <f t="shared" ca="1" si="21"/>
        <v>59417.683991173151</v>
      </c>
      <c r="O158" s="18">
        <f>SUMIFS(Receitas!$F:$F,Receitas!$J:$J,"&lt;="&amp;$A158,Receitas!$L:$L,"&gt;="&amp;$A158,Receitas!$C:$C,O$1,Receitas!$M:$M,"Mensal")+SUMIFS(Receitas!$F:$F,Receitas!$J:$J,"&lt;="&amp;$A158,Receitas!$L:$L,"&gt;="&amp;$A158,Receitas!$C:$C,O$1,Receitas!$M:$M,$B158)</f>
        <v>50000</v>
      </c>
      <c r="P158" s="18">
        <f>SUMIFS(Receitas!$F:$F,Receitas!$J:$J,"&lt;="&amp;$A158,Receitas!$L:$L,"&gt;="&amp;$A158,Receitas!$C:$C,P$1,Receitas!$M:$M,"Mensal")+SUMIFS(Receitas!$F:$F,Receitas!$J:$J,"&lt;="&amp;$A158,Receitas!$L:$L,"&gt;="&amp;$A158,Receitas!$C:$C,P$1,Receitas!$M:$M,$B158)</f>
        <v>20000</v>
      </c>
      <c r="Q158" s="18">
        <f>SUMIFS(Receitas!$F:$F,Receitas!$J:$J,"&lt;="&amp;$A158,Receitas!$L:$L,"&gt;="&amp;$A158,Receitas!$C:$C,Q$1,Receitas!$M:$M,"Mensal")+SUMIFS(Receitas!$F:$F,Receitas!$J:$J,"&lt;="&amp;$A158,Receitas!$L:$L,"&gt;="&amp;$A158,Receitas!$C:$C,Q$1,Receitas!$M:$M,$B158)</f>
        <v>0</v>
      </c>
      <c r="R158" s="18" cm="1">
        <f t="array" ref="R158">(IF(AND(Membros!$F$2="Sim",A158&lt;=MAX(Membros!$E$2:$E$5)),Membros!K$2,IF(AND(A158&gt;=Membros!J$2,A158&lt;=MAX(Membros!$E$2:$E$5)),Membros!K$2,0))+IF(AND(Membros!$F$3="Sim",A158&lt;=MAX(Membros!$E$2:$E$5)),Membros!K$3,IF(AND(A158&gt;=Membros!J$3,A158&lt;=MAX(Membros!$E$2:$E$5)),Membros!K$3,0)))*IF(AND(COUNTIFS(Tabela3[Tipo],"Provedor",Tabela3[Simulação Seguro],"Sim")=2,A158&gt;=MAX(IF(Tabela3[Tipo]="Dependente",Tabela3[Expectativa de Vida (Data)]))),0,1)</f>
        <v>0</v>
      </c>
      <c r="S158" s="18">
        <f t="shared" si="22"/>
        <v>70000</v>
      </c>
      <c r="U158" s="18">
        <f t="shared" ca="1" si="25"/>
        <v>8565545.6425211765</v>
      </c>
      <c r="V158" s="18">
        <f>SUMIF(Imóveis!E:E,Dados!A:A,Imóveis!Z:Z)-SUMIF(Imóveis!E:E,Dados!A:A,Imóveis!Y:Y)</f>
        <v>0</v>
      </c>
      <c r="W158" s="18">
        <f>-SUMIF(Projetos!N:N,A158,Projetos!F:F)</f>
        <v>0</v>
      </c>
      <c r="X158" s="18">
        <f t="shared" ca="1" si="19"/>
        <v>10582.316008826849</v>
      </c>
      <c r="Y158" s="26">
        <f ca="1">(U158*((Indicadores_Economicos!D$2+1)^(1/12)-1))</f>
        <v>28041.367526162136</v>
      </c>
      <c r="Z158" s="18">
        <f t="shared" ca="1" si="23"/>
        <v>8604169.3260561656</v>
      </c>
      <c r="AA158" s="18">
        <f ca="1">Auxiliar_Projetos!E158</f>
        <v>86041.016525669969</v>
      </c>
      <c r="AB158" s="18">
        <f ca="1">Auxiliar_Projetos!K158</f>
        <v>479738.89584217477</v>
      </c>
      <c r="AC158" s="18">
        <f ca="1">IF(Z158-AA158-AB158&gt;Investimentos!$C$14,Investimentos!$C$14,IF(Z158-AA158-AB158&lt;Investimentos!$C$14,Z158-AA158-AB158,0))</f>
        <v>300000</v>
      </c>
      <c r="AD158" s="18">
        <f t="shared" ca="1" si="24"/>
        <v>7738389.4136883197</v>
      </c>
      <c r="AE158" s="18"/>
    </row>
    <row r="159" spans="1:31" x14ac:dyDescent="0.2">
      <c r="A159" s="4">
        <v>50437</v>
      </c>
      <c r="B159" s="5" t="str">
        <f t="shared" si="20"/>
        <v>fevereiro</v>
      </c>
      <c r="C159" s="5" t="str">
        <f t="shared" si="26"/>
        <v>2038</v>
      </c>
      <c r="D159" s="5">
        <f>SUMIFS(Despesas!$F:$F,Despesas!$J:$J,"&lt;="&amp;$A159,Despesas!$L:$L,"&gt;="&amp;$A159,Despesas!$C:$C,D$1,Despesas!$M:$M,"Mensal")+SUMIFS(Despesas!$F:$F,Despesas!$J:$J,"&lt;="&amp;$A159,Despesas!$L:$L,"&gt;="&amp;$A159,Despesas!$C:$C,D$1,Despesas!$M:$M,$B159)</f>
        <v>23000</v>
      </c>
      <c r="E159" s="18">
        <f ca="1">SUMIFS(Despesas!$F:$F,Despesas!$J:$J,"&lt;="&amp;$A159,Despesas!$L:$L,"&gt;="&amp;$A159,Despesas!$C:$C,E$1,Despesas!$M:$M,"Mensal")+SUMIFS(Despesas!$F:$F,Despesas!$J:$J,"&lt;="&amp;$A159,Despesas!$L:$L,"&gt;="&amp;$A159,Despesas!$C:$C,E$1,Despesas!$M:$M,$B159)</f>
        <v>13151.400000000001</v>
      </c>
      <c r="F159" s="5">
        <f>SUMIFS(Despesas!$F:$F,Despesas!$J:$J,"&lt;="&amp;$A159,Despesas!$L:$L,"&gt;="&amp;$A159,Despesas!$C:$C,F$1,Despesas!$M:$M,"Mensal")+SUMIFS(Despesas!$F:$F,Despesas!$J:$J,"&lt;="&amp;$A159,Despesas!$L:$L,"&gt;="&amp;$A159,Despesas!$C:$C,F$1,Despesas!$M:$M,$B159)</f>
        <v>13000</v>
      </c>
      <c r="G159" s="5">
        <f>SUMIFS(Despesas!$F:$F,Despesas!$J:$J,"&lt;="&amp;$A159,Despesas!$L:$L,"&gt;="&amp;$A159,Despesas!$C:$C,G$1,Despesas!$M:$M,"Mensal")+SUMIFS(Despesas!$F:$F,Despesas!$J:$J,"&lt;="&amp;$A159,Despesas!$L:$L,"&gt;="&amp;$A159,Despesas!$C:$C,G$1,Despesas!$M:$M,$B159)</f>
        <v>0</v>
      </c>
      <c r="H159" s="18">
        <f>SUMIFS(Despesas!$F:$F,Despesas!$J:$J,"&lt;="&amp;$A159,Despesas!$L:$L,"&gt;="&amp;$A159,Despesas!$C:$C,H$1,Despesas!$M:$M,"Mensal")+SUMIFS(Despesas!$F:$F,Despesas!$J:$J,"&lt;="&amp;$A159,Despesas!$L:$L,"&gt;="&amp;$A159,Despesas!$C:$C,H$1,Despesas!$M:$M,$B159)</f>
        <v>2200</v>
      </c>
      <c r="I159" s="18">
        <f>IF(Imóveis!$F$2="PRICE",IF(AND(Dados!$A159&gt;=Imóveis!$Q$2,Dados!$A159&lt;=Imóveis!$T$2),Imóveis!$U$2,0),IF((IF(AND(Dados!$A159&gt;=Imóveis!$Q$2,Dados!$A159&lt;=Imóveis!$T$2),Imóveis!$S$2-(DATEDIF(Imóveis!$Q$2,Dados!$A159,"m")),0))=0,0,((Imóveis!$N$2/Imóveis!$S$2)+((Imóveis!$N$2-((Imóveis!$S$2-(IF(AND(Dados!$A159&gt;=Imóveis!$Q$2,Dados!$A159&lt;=Imóveis!$T$2),Imóveis!$S$2-(DATEDIF(Imóveis!$Q$2,Dados!$A159,"m")),)))*(Imóveis!$N$2/Imóveis!$S$2)))*Imóveis!$P$2))))*IF(AND(Imóveis!$E$2&gt;0,Dados!$A159&gt;Imóveis!$E$2),0,1)</f>
        <v>9204.2628989483401</v>
      </c>
      <c r="J159" s="18">
        <f ca="1">IF(Imóveis!$F$3="PRICE",IF(AND(Dados!$A159&gt;=Imóveis!$Q$3,Dados!$A159&lt;=Imóveis!$T$3),Imóveis!$U$3,0),IF((IF(AND(Dados!$A159&gt;=Imóveis!$Q$3,Dados!$A159&lt;=Imóveis!$T$3),Imóveis!$S$3-(DATEDIF(Imóveis!$Q$3,Dados!$A159,"m")),0))=0,0,((Imóveis!$N$3/Imóveis!$S$3)+((Imóveis!$N$3-((Imóveis!$S$3-(IF(AND(Dados!$A159&gt;=Imóveis!$Q$3,Dados!$A159&lt;=Imóveis!$T$3),Imóveis!$S$3-(DATEDIF(Imóveis!$Q$3,Dados!$A159,"m")),)))*(Imóveis!$N$3/Imóveis!$S$3)))*Imóveis!$P$3))))*IF(AND(Imóveis!$E$3&gt;0,Dados!$A159&gt;Imóveis!$E$3),0,1)</f>
        <v>0</v>
      </c>
      <c r="K159" s="18">
        <f>IF(Imóveis!$F$4="PRICE",IF(AND(Dados!$A159&gt;=Imóveis!$Q$4,Dados!$A159&lt;=Imóveis!$T$4),Imóveis!$U$4,0),IF((IF(AND(Dados!$A159&gt;=Imóveis!$Q$4,Dados!$A159&lt;=Imóveis!$T$4),Imóveis!$S$4-(DATEDIF(Imóveis!$Q$4,Dados!$A159,"m")),0))=0,0,((Imóveis!$N$4/Imóveis!$S$4)+((Imóveis!$N$4-((Imóveis!$S$4-(IF(AND(Dados!$A159&gt;=Imóveis!$Q$4,Dados!$A159&lt;=Imóveis!$T$4),Imóveis!$S$4-(DATEDIF(Imóveis!$Q$4,Dados!$A159,"m")),)))*(Imóveis!$N$4/Imóveis!$S$4)))*Imóveis!$P$4))))*IF(AND(Imóveis!$E$4&gt;0,Dados!$A159&gt;Imóveis!$E$4),0,1)</f>
        <v>0</v>
      </c>
      <c r="L159" s="18">
        <f>IF(Imóveis!$F$5="PRICE",IF(AND(Dados!$A159&gt;=Imóveis!$Q$5,Dados!$A159&lt;=Imóveis!$T$5),Imóveis!$U$5,0),IF((IF(AND(Dados!$A159&gt;=Imóveis!$Q$5,Dados!$A159&lt;=Imóveis!$T$5),Imóveis!$S$5-(DATEDIF(Imóveis!$Q$5,Dados!$A159,"m")),0))=0,0,((Imóveis!$N$5/Imóveis!$S$5)+((Imóveis!$N$5-((Imóveis!$S$5-(IF(AND(Dados!$A159 &gt;=Imóveis!$Q$5,Dados!$A159&lt;=Imóveis!$T$5),Imóveis!$S$5-(DATEDIF(Imóveis!$Q$5,Dados!$A159,"m")),)))*(Imóveis!$N$5/Imóveis!$S$5)))*Imóveis!$P$5))))*IF(AND(Imóveis!$E$5&gt;0,Dados!$A159&gt;Imóveis!$E$5),0,1)*Imóveis!$I$5</f>
        <v>0</v>
      </c>
      <c r="M159" s="18">
        <f>IF(Imóveis!$F$6="PRICE",IF(AND(Dados!$A159&gt;=Imóveis!$Q$6,Dados!$A159&lt;=Imóveis!$T$6),Imóveis!$U$6,0),IF((IF(AND(Dados!$A159&gt;=Imóveis!$Q$6,Dados!$A159&lt;=Imóveis!$T$6),Imóveis!$S$6-(DATEDIF(Imóveis!$Q$6,Dados!$A159,"m")),0))=0,0,((Imóveis!$N$6/Imóveis!$S$6)+((Imóveis!$N$6-((Imóveis!$S$6-(IF(AND(Dados!$A159&gt;=Imóveis!$Q$6,Dados!$A159&lt;=Imóveis!$T$6),Imóveis!$S$6-(DATEDIF(Imóveis!$Q$6,Dados!$A159,"m")),)))*(Imóveis!$N$6/Imóveis!$S$6)))*Imóveis!$P$6))))*IF(AND(Imóveis!$E$6&gt;0,Dados!$A159&gt;Imóveis!$E$6),0,1)*Imóveis!$I$6</f>
        <v>0</v>
      </c>
      <c r="N159" s="18">
        <f t="shared" ca="1" si="21"/>
        <v>60555.662898948343</v>
      </c>
      <c r="O159" s="18">
        <f>SUMIFS(Receitas!$F:$F,Receitas!$J:$J,"&lt;="&amp;$A159,Receitas!$L:$L,"&gt;="&amp;$A159,Receitas!$C:$C,O$1,Receitas!$M:$M,"Mensal")+SUMIFS(Receitas!$F:$F,Receitas!$J:$J,"&lt;="&amp;$A159,Receitas!$L:$L,"&gt;="&amp;$A159,Receitas!$C:$C,O$1,Receitas!$M:$M,$B159)</f>
        <v>50000</v>
      </c>
      <c r="P159" s="18">
        <f>SUMIFS(Receitas!$F:$F,Receitas!$J:$J,"&lt;="&amp;$A159,Receitas!$L:$L,"&gt;="&amp;$A159,Receitas!$C:$C,P$1,Receitas!$M:$M,"Mensal")+SUMIFS(Receitas!$F:$F,Receitas!$J:$J,"&lt;="&amp;$A159,Receitas!$L:$L,"&gt;="&amp;$A159,Receitas!$C:$C,P$1,Receitas!$M:$M,$B159)</f>
        <v>20000</v>
      </c>
      <c r="Q159" s="18">
        <f>SUMIFS(Receitas!$F:$F,Receitas!$J:$J,"&lt;="&amp;$A159,Receitas!$L:$L,"&gt;="&amp;$A159,Receitas!$C:$C,Q$1,Receitas!$M:$M,"Mensal")+SUMIFS(Receitas!$F:$F,Receitas!$J:$J,"&lt;="&amp;$A159,Receitas!$L:$L,"&gt;="&amp;$A159,Receitas!$C:$C,Q$1,Receitas!$M:$M,$B159)</f>
        <v>0</v>
      </c>
      <c r="R159" s="18" cm="1">
        <f t="array" ref="R159">(IF(AND(Membros!$F$2="Sim",A159&lt;=MAX(Membros!$E$2:$E$5)),Membros!K$2,IF(AND(A159&gt;=Membros!J$2,A159&lt;=MAX(Membros!$E$2:$E$5)),Membros!K$2,0))+IF(AND(Membros!$F$3="Sim",A159&lt;=MAX(Membros!$E$2:$E$5)),Membros!K$3,IF(AND(A159&gt;=Membros!J$3,A159&lt;=MAX(Membros!$E$2:$E$5)),Membros!K$3,0)))*IF(AND(COUNTIFS(Tabela3[Tipo],"Provedor",Tabela3[Simulação Seguro],"Sim")=2,A159&gt;=MAX(IF(Tabela3[Tipo]="Dependente",Tabela3[Expectativa de Vida (Data)]))),0,1)</f>
        <v>0</v>
      </c>
      <c r="S159" s="18">
        <f t="shared" si="22"/>
        <v>70000</v>
      </c>
      <c r="U159" s="18">
        <f t="shared" ca="1" si="25"/>
        <v>8604169.3260561656</v>
      </c>
      <c r="V159" s="18">
        <f>SUMIF(Imóveis!E:E,Dados!A:A,Imóveis!Z:Z)-SUMIF(Imóveis!E:E,Dados!A:A,Imóveis!Y:Y)</f>
        <v>0</v>
      </c>
      <c r="W159" s="18">
        <f>-SUMIF(Projetos!N:N,A159,Projetos!F:F)</f>
        <v>0</v>
      </c>
      <c r="X159" s="18">
        <f t="shared" ca="1" si="19"/>
        <v>9444.3371010516566</v>
      </c>
      <c r="Y159" s="26">
        <f ca="1">(U159*((Indicadores_Economicos!D$2+1)^(1/12)-1))</f>
        <v>28167.811415485692</v>
      </c>
      <c r="Z159" s="18">
        <f t="shared" ca="1" si="23"/>
        <v>8641781.4745727032</v>
      </c>
      <c r="AA159" s="18">
        <f ca="1">Auxiliar_Projetos!E159</f>
        <v>86322.692424370893</v>
      </c>
      <c r="AB159" s="18">
        <f ca="1">Auxiliar_Projetos!K159</f>
        <v>481309.43615056149</v>
      </c>
      <c r="AC159" s="18">
        <f ca="1">IF(Z159-AA159-AB159&gt;Investimentos!$C$14,Investimentos!$C$14,IF(Z159-AA159-AB159&lt;Investimentos!$C$14,Z159-AA159-AB159,0))</f>
        <v>300000</v>
      </c>
      <c r="AD159" s="18">
        <f t="shared" ca="1" si="24"/>
        <v>7774149.3459977722</v>
      </c>
      <c r="AE159" s="18"/>
    </row>
    <row r="160" spans="1:31" x14ac:dyDescent="0.2">
      <c r="A160" s="4">
        <v>50465</v>
      </c>
      <c r="B160" s="5" t="str">
        <f t="shared" si="20"/>
        <v>março</v>
      </c>
      <c r="C160" s="5" t="str">
        <f t="shared" si="26"/>
        <v>2038</v>
      </c>
      <c r="D160" s="5">
        <f>SUMIFS(Despesas!$F:$F,Despesas!$J:$J,"&lt;="&amp;$A160,Despesas!$L:$L,"&gt;="&amp;$A160,Despesas!$C:$C,D$1,Despesas!$M:$M,"Mensal")+SUMIFS(Despesas!$F:$F,Despesas!$J:$J,"&lt;="&amp;$A160,Despesas!$L:$L,"&gt;="&amp;$A160,Despesas!$C:$C,D$1,Despesas!$M:$M,$B160)</f>
        <v>23000</v>
      </c>
      <c r="E160" s="18">
        <f ca="1">SUMIFS(Despesas!$F:$F,Despesas!$J:$J,"&lt;="&amp;$A160,Despesas!$L:$L,"&gt;="&amp;$A160,Despesas!$C:$C,E$1,Despesas!$M:$M,"Mensal")+SUMIFS(Despesas!$F:$F,Despesas!$J:$J,"&lt;="&amp;$A160,Despesas!$L:$L,"&gt;="&amp;$A160,Despesas!$C:$C,E$1,Despesas!$M:$M,$B160)</f>
        <v>13151.400000000001</v>
      </c>
      <c r="F160" s="5">
        <f>SUMIFS(Despesas!$F:$F,Despesas!$J:$J,"&lt;="&amp;$A160,Despesas!$L:$L,"&gt;="&amp;$A160,Despesas!$C:$C,F$1,Despesas!$M:$M,"Mensal")+SUMIFS(Despesas!$F:$F,Despesas!$J:$J,"&lt;="&amp;$A160,Despesas!$L:$L,"&gt;="&amp;$A160,Despesas!$C:$C,F$1,Despesas!$M:$M,$B160)</f>
        <v>13000</v>
      </c>
      <c r="G160" s="5">
        <f>SUMIFS(Despesas!$F:$F,Despesas!$J:$J,"&lt;="&amp;$A160,Despesas!$L:$L,"&gt;="&amp;$A160,Despesas!$C:$C,G$1,Despesas!$M:$M,"Mensal")+SUMIFS(Despesas!$F:$F,Despesas!$J:$J,"&lt;="&amp;$A160,Despesas!$L:$L,"&gt;="&amp;$A160,Despesas!$C:$C,G$1,Despesas!$M:$M,$B160)</f>
        <v>0</v>
      </c>
      <c r="H160" s="18">
        <f>SUMIFS(Despesas!$F:$F,Despesas!$J:$J,"&lt;="&amp;$A160,Despesas!$L:$L,"&gt;="&amp;$A160,Despesas!$C:$C,H$1,Despesas!$M:$M,"Mensal")+SUMIFS(Despesas!$F:$F,Despesas!$J:$J,"&lt;="&amp;$A160,Despesas!$L:$L,"&gt;="&amp;$A160,Despesas!$C:$C,H$1,Despesas!$M:$M,$B160)</f>
        <v>1000</v>
      </c>
      <c r="I160" s="18">
        <f>IF(Imóveis!$F$2="PRICE",IF(AND(Dados!$A160&gt;=Imóveis!$Q$2,Dados!$A160&lt;=Imóveis!$T$2),Imóveis!$U$2,0),IF((IF(AND(Dados!$A160&gt;=Imóveis!$Q$2,Dados!$A160&lt;=Imóveis!$T$2),Imóveis!$S$2-(DATEDIF(Imóveis!$Q$2,Dados!$A160,"m")),0))=0,0,((Imóveis!$N$2/Imóveis!$S$2)+((Imóveis!$N$2-((Imóveis!$S$2-(IF(AND(Dados!$A160&gt;=Imóveis!$Q$2,Dados!$A160&lt;=Imóveis!$T$2),Imóveis!$S$2-(DATEDIF(Imóveis!$Q$2,Dados!$A160,"m")),)))*(Imóveis!$N$2/Imóveis!$S$2)))*Imóveis!$P$2))))*IF(AND(Imóveis!$E$2&gt;0,Dados!$A160&gt;Imóveis!$E$2),0,1)</f>
        <v>9142.241806723534</v>
      </c>
      <c r="J160" s="18">
        <f ca="1">IF(Imóveis!$F$3="PRICE",IF(AND(Dados!$A160&gt;=Imóveis!$Q$3,Dados!$A160&lt;=Imóveis!$T$3),Imóveis!$U$3,0),IF((IF(AND(Dados!$A160&gt;=Imóveis!$Q$3,Dados!$A160&lt;=Imóveis!$T$3),Imóveis!$S$3-(DATEDIF(Imóveis!$Q$3,Dados!$A160,"m")),0))=0,0,((Imóveis!$N$3/Imóveis!$S$3)+((Imóveis!$N$3-((Imóveis!$S$3-(IF(AND(Dados!$A160&gt;=Imóveis!$Q$3,Dados!$A160&lt;=Imóveis!$T$3),Imóveis!$S$3-(DATEDIF(Imóveis!$Q$3,Dados!$A160,"m")),)))*(Imóveis!$N$3/Imóveis!$S$3)))*Imóveis!$P$3))))*IF(AND(Imóveis!$E$3&gt;0,Dados!$A160&gt;Imóveis!$E$3),0,1)</f>
        <v>0</v>
      </c>
      <c r="K160" s="18">
        <f>IF(Imóveis!$F$4="PRICE",IF(AND(Dados!$A160&gt;=Imóveis!$Q$4,Dados!$A160&lt;=Imóveis!$T$4),Imóveis!$U$4,0),IF((IF(AND(Dados!$A160&gt;=Imóveis!$Q$4,Dados!$A160&lt;=Imóveis!$T$4),Imóveis!$S$4-(DATEDIF(Imóveis!$Q$4,Dados!$A160,"m")),0))=0,0,((Imóveis!$N$4/Imóveis!$S$4)+((Imóveis!$N$4-((Imóveis!$S$4-(IF(AND(Dados!$A160&gt;=Imóveis!$Q$4,Dados!$A160&lt;=Imóveis!$T$4),Imóveis!$S$4-(DATEDIF(Imóveis!$Q$4,Dados!$A160,"m")),)))*(Imóveis!$N$4/Imóveis!$S$4)))*Imóveis!$P$4))))*IF(AND(Imóveis!$E$4&gt;0,Dados!$A160&gt;Imóveis!$E$4),0,1)</f>
        <v>0</v>
      </c>
      <c r="L160" s="18">
        <f>IF(Imóveis!$F$5="PRICE",IF(AND(Dados!$A160&gt;=Imóveis!$Q$5,Dados!$A160&lt;=Imóveis!$T$5),Imóveis!$U$5,0),IF((IF(AND(Dados!$A160&gt;=Imóveis!$Q$5,Dados!$A160&lt;=Imóveis!$T$5),Imóveis!$S$5-(DATEDIF(Imóveis!$Q$5,Dados!$A160,"m")),0))=0,0,((Imóveis!$N$5/Imóveis!$S$5)+((Imóveis!$N$5-((Imóveis!$S$5-(IF(AND(Dados!$A160 &gt;=Imóveis!$Q$5,Dados!$A160&lt;=Imóveis!$T$5),Imóveis!$S$5-(DATEDIF(Imóveis!$Q$5,Dados!$A160,"m")),)))*(Imóveis!$N$5/Imóveis!$S$5)))*Imóveis!$P$5))))*IF(AND(Imóveis!$E$5&gt;0,Dados!$A160&gt;Imóveis!$E$5),0,1)*Imóveis!$I$5</f>
        <v>0</v>
      </c>
      <c r="M160" s="18">
        <f>IF(Imóveis!$F$6="PRICE",IF(AND(Dados!$A160&gt;=Imóveis!$Q$6,Dados!$A160&lt;=Imóveis!$T$6),Imóveis!$U$6,0),IF((IF(AND(Dados!$A160&gt;=Imóveis!$Q$6,Dados!$A160&lt;=Imóveis!$T$6),Imóveis!$S$6-(DATEDIF(Imóveis!$Q$6,Dados!$A160,"m")),0))=0,0,((Imóveis!$N$6/Imóveis!$S$6)+((Imóveis!$N$6-((Imóveis!$S$6-(IF(AND(Dados!$A160&gt;=Imóveis!$Q$6,Dados!$A160&lt;=Imóveis!$T$6),Imóveis!$S$6-(DATEDIF(Imóveis!$Q$6,Dados!$A160,"m")),)))*(Imóveis!$N$6/Imóveis!$S$6)))*Imóveis!$P$6))))*IF(AND(Imóveis!$E$6&gt;0,Dados!$A160&gt;Imóveis!$E$6),0,1)*Imóveis!$I$6</f>
        <v>0</v>
      </c>
      <c r="N160" s="18">
        <f t="shared" ca="1" si="21"/>
        <v>59293.641806723535</v>
      </c>
      <c r="O160" s="18">
        <f>SUMIFS(Receitas!$F:$F,Receitas!$J:$J,"&lt;="&amp;$A160,Receitas!$L:$L,"&gt;="&amp;$A160,Receitas!$C:$C,O$1,Receitas!$M:$M,"Mensal")+SUMIFS(Receitas!$F:$F,Receitas!$J:$J,"&lt;="&amp;$A160,Receitas!$L:$L,"&gt;="&amp;$A160,Receitas!$C:$C,O$1,Receitas!$M:$M,$B160)</f>
        <v>50000</v>
      </c>
      <c r="P160" s="18">
        <f>SUMIFS(Receitas!$F:$F,Receitas!$J:$J,"&lt;="&amp;$A160,Receitas!$L:$L,"&gt;="&amp;$A160,Receitas!$C:$C,P$1,Receitas!$M:$M,"Mensal")+SUMIFS(Receitas!$F:$F,Receitas!$J:$J,"&lt;="&amp;$A160,Receitas!$L:$L,"&gt;="&amp;$A160,Receitas!$C:$C,P$1,Receitas!$M:$M,$B160)</f>
        <v>20000</v>
      </c>
      <c r="Q160" s="18">
        <f>SUMIFS(Receitas!$F:$F,Receitas!$J:$J,"&lt;="&amp;$A160,Receitas!$L:$L,"&gt;="&amp;$A160,Receitas!$C:$C,Q$1,Receitas!$M:$M,"Mensal")+SUMIFS(Receitas!$F:$F,Receitas!$J:$J,"&lt;="&amp;$A160,Receitas!$L:$L,"&gt;="&amp;$A160,Receitas!$C:$C,Q$1,Receitas!$M:$M,$B160)</f>
        <v>0</v>
      </c>
      <c r="R160" s="18" cm="1">
        <f t="array" ref="R160">(IF(AND(Membros!$F$2="Sim",A160&lt;=MAX(Membros!$E$2:$E$5)),Membros!K$2,IF(AND(A160&gt;=Membros!J$2,A160&lt;=MAX(Membros!$E$2:$E$5)),Membros!K$2,0))+IF(AND(Membros!$F$3="Sim",A160&lt;=MAX(Membros!$E$2:$E$5)),Membros!K$3,IF(AND(A160&gt;=Membros!J$3,A160&lt;=MAX(Membros!$E$2:$E$5)),Membros!K$3,0)))*IF(AND(COUNTIFS(Tabela3[Tipo],"Provedor",Tabela3[Simulação Seguro],"Sim")=2,A160&gt;=MAX(IF(Tabela3[Tipo]="Dependente",Tabela3[Expectativa de Vida (Data)]))),0,1)</f>
        <v>0</v>
      </c>
      <c r="S160" s="18">
        <f t="shared" si="22"/>
        <v>70000</v>
      </c>
      <c r="U160" s="18">
        <f t="shared" ca="1" si="25"/>
        <v>8641781.4745727032</v>
      </c>
      <c r="V160" s="18">
        <f>SUMIF(Imóveis!E:E,Dados!A:A,Imóveis!Z:Z)-SUMIF(Imóveis!E:E,Dados!A:A,Imóveis!Y:Y)</f>
        <v>0</v>
      </c>
      <c r="W160" s="18">
        <f>-SUMIF(Projetos!N:N,A160,Projetos!F:F)</f>
        <v>0</v>
      </c>
      <c r="X160" s="18">
        <f t="shared" ca="1" si="19"/>
        <v>10706.358193276465</v>
      </c>
      <c r="Y160" s="26">
        <f ca="1">(U160*((Indicadores_Economicos!D$2+1)^(1/12)-1))</f>
        <v>28290.943802378257</v>
      </c>
      <c r="Z160" s="18">
        <f t="shared" ca="1" si="23"/>
        <v>8680778.7765683588</v>
      </c>
      <c r="AA160" s="18">
        <f ca="1">Auxiliar_Projetos!E160</f>
        <v>86605.290456667077</v>
      </c>
      <c r="AB160" s="18">
        <f ca="1">Auxiliar_Projetos!K160</f>
        <v>482885.11799923534</v>
      </c>
      <c r="AC160" s="18">
        <f ca="1">IF(Z160-AA160-AB160&gt;Investimentos!$C$14,Investimentos!$C$14,IF(Z160-AA160-AB160&lt;Investimentos!$C$14,Z160-AA160-AB160,0))</f>
        <v>300000</v>
      </c>
      <c r="AD160" s="18">
        <f t="shared" ca="1" si="24"/>
        <v>7811288.3681124561</v>
      </c>
      <c r="AE160" s="18"/>
    </row>
    <row r="161" spans="1:31" x14ac:dyDescent="0.2">
      <c r="A161" s="4">
        <v>50496</v>
      </c>
      <c r="B161" s="5" t="str">
        <f t="shared" si="20"/>
        <v>abril</v>
      </c>
      <c r="C161" s="5" t="str">
        <f t="shared" si="26"/>
        <v>2038</v>
      </c>
      <c r="D161" s="5">
        <f>SUMIFS(Despesas!$F:$F,Despesas!$J:$J,"&lt;="&amp;$A161,Despesas!$L:$L,"&gt;="&amp;$A161,Despesas!$C:$C,D$1,Despesas!$M:$M,"Mensal")+SUMIFS(Despesas!$F:$F,Despesas!$J:$J,"&lt;="&amp;$A161,Despesas!$L:$L,"&gt;="&amp;$A161,Despesas!$C:$C,D$1,Despesas!$M:$M,$B161)</f>
        <v>23000</v>
      </c>
      <c r="E161" s="18">
        <f ca="1">SUMIFS(Despesas!$F:$F,Despesas!$J:$J,"&lt;="&amp;$A161,Despesas!$L:$L,"&gt;="&amp;$A161,Despesas!$C:$C,E$1,Despesas!$M:$M,"Mensal")+SUMIFS(Despesas!$F:$F,Despesas!$J:$J,"&lt;="&amp;$A161,Despesas!$L:$L,"&gt;="&amp;$A161,Despesas!$C:$C,E$1,Despesas!$M:$M,$B161)</f>
        <v>13151.400000000001</v>
      </c>
      <c r="F161" s="5">
        <f>SUMIFS(Despesas!$F:$F,Despesas!$J:$J,"&lt;="&amp;$A161,Despesas!$L:$L,"&gt;="&amp;$A161,Despesas!$C:$C,F$1,Despesas!$M:$M,"Mensal")+SUMIFS(Despesas!$F:$F,Despesas!$J:$J,"&lt;="&amp;$A161,Despesas!$L:$L,"&gt;="&amp;$A161,Despesas!$C:$C,F$1,Despesas!$M:$M,$B161)</f>
        <v>13000</v>
      </c>
      <c r="G161" s="5">
        <f>SUMIFS(Despesas!$F:$F,Despesas!$J:$J,"&lt;="&amp;$A161,Despesas!$L:$L,"&gt;="&amp;$A161,Despesas!$C:$C,G$1,Despesas!$M:$M,"Mensal")+SUMIFS(Despesas!$F:$F,Despesas!$J:$J,"&lt;="&amp;$A161,Despesas!$L:$L,"&gt;="&amp;$A161,Despesas!$C:$C,G$1,Despesas!$M:$M,$B161)</f>
        <v>0</v>
      </c>
      <c r="H161" s="18">
        <f>SUMIFS(Despesas!$F:$F,Despesas!$J:$J,"&lt;="&amp;$A161,Despesas!$L:$L,"&gt;="&amp;$A161,Despesas!$C:$C,H$1,Despesas!$M:$M,"Mensal")+SUMIFS(Despesas!$F:$F,Despesas!$J:$J,"&lt;="&amp;$A161,Despesas!$L:$L,"&gt;="&amp;$A161,Despesas!$C:$C,H$1,Despesas!$M:$M,$B161)</f>
        <v>1000</v>
      </c>
      <c r="I161" s="18">
        <f>IF(Imóveis!$F$2="PRICE",IF(AND(Dados!$A161&gt;=Imóveis!$Q$2,Dados!$A161&lt;=Imóveis!$T$2),Imóveis!$U$2,0),IF((IF(AND(Dados!$A161&gt;=Imóveis!$Q$2,Dados!$A161&lt;=Imóveis!$T$2),Imóveis!$S$2-(DATEDIF(Imóveis!$Q$2,Dados!$A161,"m")),0))=0,0,((Imóveis!$N$2/Imóveis!$S$2)+((Imóveis!$N$2-((Imóveis!$S$2-(IF(AND(Dados!$A161&gt;=Imóveis!$Q$2,Dados!$A161&lt;=Imóveis!$T$2),Imóveis!$S$2-(DATEDIF(Imóveis!$Q$2,Dados!$A161,"m")),)))*(Imóveis!$N$2/Imóveis!$S$2)))*Imóveis!$P$2))))*IF(AND(Imóveis!$E$2&gt;0,Dados!$A161&gt;Imóveis!$E$2),0,1)</f>
        <v>9080.220714498726</v>
      </c>
      <c r="J161" s="18">
        <f ca="1">IF(Imóveis!$F$3="PRICE",IF(AND(Dados!$A161&gt;=Imóveis!$Q$3,Dados!$A161&lt;=Imóveis!$T$3),Imóveis!$U$3,0),IF((IF(AND(Dados!$A161&gt;=Imóveis!$Q$3,Dados!$A161&lt;=Imóveis!$T$3),Imóveis!$S$3-(DATEDIF(Imóveis!$Q$3,Dados!$A161,"m")),0))=0,0,((Imóveis!$N$3/Imóveis!$S$3)+((Imóveis!$N$3-((Imóveis!$S$3-(IF(AND(Dados!$A161&gt;=Imóveis!$Q$3,Dados!$A161&lt;=Imóveis!$T$3),Imóveis!$S$3-(DATEDIF(Imóveis!$Q$3,Dados!$A161,"m")),)))*(Imóveis!$N$3/Imóveis!$S$3)))*Imóveis!$P$3))))*IF(AND(Imóveis!$E$3&gt;0,Dados!$A161&gt;Imóveis!$E$3),0,1)</f>
        <v>0</v>
      </c>
      <c r="K161" s="18">
        <f>IF(Imóveis!$F$4="PRICE",IF(AND(Dados!$A161&gt;=Imóveis!$Q$4,Dados!$A161&lt;=Imóveis!$T$4),Imóveis!$U$4,0),IF((IF(AND(Dados!$A161&gt;=Imóveis!$Q$4,Dados!$A161&lt;=Imóveis!$T$4),Imóveis!$S$4-(DATEDIF(Imóveis!$Q$4,Dados!$A161,"m")),0))=0,0,((Imóveis!$N$4/Imóveis!$S$4)+((Imóveis!$N$4-((Imóveis!$S$4-(IF(AND(Dados!$A161&gt;=Imóveis!$Q$4,Dados!$A161&lt;=Imóveis!$T$4),Imóveis!$S$4-(DATEDIF(Imóveis!$Q$4,Dados!$A161,"m")),)))*(Imóveis!$N$4/Imóveis!$S$4)))*Imóveis!$P$4))))*IF(AND(Imóveis!$E$4&gt;0,Dados!$A161&gt;Imóveis!$E$4),0,1)</f>
        <v>0</v>
      </c>
      <c r="L161" s="18">
        <f>IF(Imóveis!$F$5="PRICE",IF(AND(Dados!$A161&gt;=Imóveis!$Q$5,Dados!$A161&lt;=Imóveis!$T$5),Imóveis!$U$5,0),IF((IF(AND(Dados!$A161&gt;=Imóveis!$Q$5,Dados!$A161&lt;=Imóveis!$T$5),Imóveis!$S$5-(DATEDIF(Imóveis!$Q$5,Dados!$A161,"m")),0))=0,0,((Imóveis!$N$5/Imóveis!$S$5)+((Imóveis!$N$5-((Imóveis!$S$5-(IF(AND(Dados!$A161 &gt;=Imóveis!$Q$5,Dados!$A161&lt;=Imóveis!$T$5),Imóveis!$S$5-(DATEDIF(Imóveis!$Q$5,Dados!$A161,"m")),)))*(Imóveis!$N$5/Imóveis!$S$5)))*Imóveis!$P$5))))*IF(AND(Imóveis!$E$5&gt;0,Dados!$A161&gt;Imóveis!$E$5),0,1)*Imóveis!$I$5</f>
        <v>0</v>
      </c>
      <c r="M161" s="18">
        <f>IF(Imóveis!$F$6="PRICE",IF(AND(Dados!$A161&gt;=Imóveis!$Q$6,Dados!$A161&lt;=Imóveis!$T$6),Imóveis!$U$6,0),IF((IF(AND(Dados!$A161&gt;=Imóveis!$Q$6,Dados!$A161&lt;=Imóveis!$T$6),Imóveis!$S$6-(DATEDIF(Imóveis!$Q$6,Dados!$A161,"m")),0))=0,0,((Imóveis!$N$6/Imóveis!$S$6)+((Imóveis!$N$6-((Imóveis!$S$6-(IF(AND(Dados!$A161&gt;=Imóveis!$Q$6,Dados!$A161&lt;=Imóveis!$T$6),Imóveis!$S$6-(DATEDIF(Imóveis!$Q$6,Dados!$A161,"m")),)))*(Imóveis!$N$6/Imóveis!$S$6)))*Imóveis!$P$6))))*IF(AND(Imóveis!$E$6&gt;0,Dados!$A161&gt;Imóveis!$E$6),0,1)*Imóveis!$I$6</f>
        <v>0</v>
      </c>
      <c r="N161" s="18">
        <f t="shared" ca="1" si="21"/>
        <v>59231.620714498727</v>
      </c>
      <c r="O161" s="18">
        <f>SUMIFS(Receitas!$F:$F,Receitas!$J:$J,"&lt;="&amp;$A161,Receitas!$L:$L,"&gt;="&amp;$A161,Receitas!$C:$C,O$1,Receitas!$M:$M,"Mensal")+SUMIFS(Receitas!$F:$F,Receitas!$J:$J,"&lt;="&amp;$A161,Receitas!$L:$L,"&gt;="&amp;$A161,Receitas!$C:$C,O$1,Receitas!$M:$M,$B161)</f>
        <v>50000</v>
      </c>
      <c r="P161" s="18">
        <f>SUMIFS(Receitas!$F:$F,Receitas!$J:$J,"&lt;="&amp;$A161,Receitas!$L:$L,"&gt;="&amp;$A161,Receitas!$C:$C,P$1,Receitas!$M:$M,"Mensal")+SUMIFS(Receitas!$F:$F,Receitas!$J:$J,"&lt;="&amp;$A161,Receitas!$L:$L,"&gt;="&amp;$A161,Receitas!$C:$C,P$1,Receitas!$M:$M,$B161)</f>
        <v>85000</v>
      </c>
      <c r="Q161" s="18">
        <f>SUMIFS(Receitas!$F:$F,Receitas!$J:$J,"&lt;="&amp;$A161,Receitas!$L:$L,"&gt;="&amp;$A161,Receitas!$C:$C,Q$1,Receitas!$M:$M,"Mensal")+SUMIFS(Receitas!$F:$F,Receitas!$J:$J,"&lt;="&amp;$A161,Receitas!$L:$L,"&gt;="&amp;$A161,Receitas!$C:$C,Q$1,Receitas!$M:$M,$B161)</f>
        <v>0</v>
      </c>
      <c r="R161" s="18" cm="1">
        <f t="array" ref="R161">(IF(AND(Membros!$F$2="Sim",A161&lt;=MAX(Membros!$E$2:$E$5)),Membros!K$2,IF(AND(A161&gt;=Membros!J$2,A161&lt;=MAX(Membros!$E$2:$E$5)),Membros!K$2,0))+IF(AND(Membros!$F$3="Sim",A161&lt;=MAX(Membros!$E$2:$E$5)),Membros!K$3,IF(AND(A161&gt;=Membros!J$3,A161&lt;=MAX(Membros!$E$2:$E$5)),Membros!K$3,0)))*IF(AND(COUNTIFS(Tabela3[Tipo],"Provedor",Tabela3[Simulação Seguro],"Sim")=2,A161&gt;=MAX(IF(Tabela3[Tipo]="Dependente",Tabela3[Expectativa de Vida (Data)]))),0,1)</f>
        <v>0</v>
      </c>
      <c r="S161" s="18">
        <f t="shared" si="22"/>
        <v>135000</v>
      </c>
      <c r="U161" s="18">
        <f t="shared" ca="1" si="25"/>
        <v>8680778.7765683588</v>
      </c>
      <c r="V161" s="18">
        <f>SUMIF(Imóveis!E:E,Dados!A:A,Imóveis!Z:Z)-SUMIF(Imóveis!E:E,Dados!A:A,Imóveis!Y:Y)</f>
        <v>0</v>
      </c>
      <c r="W161" s="18">
        <f>-SUMIF(Projetos!N:N,A161,Projetos!F:F)</f>
        <v>0</v>
      </c>
      <c r="X161" s="18">
        <f t="shared" ca="1" si="19"/>
        <v>75768.379285501273</v>
      </c>
      <c r="Y161" s="26">
        <f ca="1">(U161*((Indicadores_Economicos!D$2+1)^(1/12)-1))</f>
        <v>28418.610821319857</v>
      </c>
      <c r="Z161" s="18">
        <f t="shared" ca="1" si="23"/>
        <v>8784965.7666751798</v>
      </c>
      <c r="AA161" s="18">
        <f ca="1">Auxiliar_Projetos!E161</f>
        <v>86888.813641383953</v>
      </c>
      <c r="AB161" s="18">
        <f ca="1">Auxiliar_Projetos!K161</f>
        <v>484465.95822026127</v>
      </c>
      <c r="AC161" s="18">
        <f ca="1">IF(Z161-AA161-AB161&gt;Investimentos!$C$14,Investimentos!$C$14,IF(Z161-AA161-AB161&lt;Investimentos!$C$14,Z161-AA161-AB161,0))</f>
        <v>300000</v>
      </c>
      <c r="AD161" s="18">
        <f t="shared" ca="1" si="24"/>
        <v>7913610.9948135344</v>
      </c>
      <c r="AE161" s="18"/>
    </row>
    <row r="162" spans="1:31" x14ac:dyDescent="0.2">
      <c r="A162" s="4">
        <v>50526</v>
      </c>
      <c r="B162" s="5" t="str">
        <f t="shared" si="20"/>
        <v>maio</v>
      </c>
      <c r="C162" s="5" t="str">
        <f t="shared" si="26"/>
        <v>2038</v>
      </c>
      <c r="D162" s="5">
        <f>SUMIFS(Despesas!$F:$F,Despesas!$J:$J,"&lt;="&amp;$A162,Despesas!$L:$L,"&gt;="&amp;$A162,Despesas!$C:$C,D$1,Despesas!$M:$M,"Mensal")+SUMIFS(Despesas!$F:$F,Despesas!$J:$J,"&lt;="&amp;$A162,Despesas!$L:$L,"&gt;="&amp;$A162,Despesas!$C:$C,D$1,Despesas!$M:$M,$B162)</f>
        <v>23000</v>
      </c>
      <c r="E162" s="18">
        <f ca="1">SUMIFS(Despesas!$F:$F,Despesas!$J:$J,"&lt;="&amp;$A162,Despesas!$L:$L,"&gt;="&amp;$A162,Despesas!$C:$C,E$1,Despesas!$M:$M,"Mensal")+SUMIFS(Despesas!$F:$F,Despesas!$J:$J,"&lt;="&amp;$A162,Despesas!$L:$L,"&gt;="&amp;$A162,Despesas!$C:$C,E$1,Despesas!$M:$M,$B162)</f>
        <v>13151.400000000001</v>
      </c>
      <c r="F162" s="5">
        <f>SUMIFS(Despesas!$F:$F,Despesas!$J:$J,"&lt;="&amp;$A162,Despesas!$L:$L,"&gt;="&amp;$A162,Despesas!$C:$C,F$1,Despesas!$M:$M,"Mensal")+SUMIFS(Despesas!$F:$F,Despesas!$J:$J,"&lt;="&amp;$A162,Despesas!$L:$L,"&gt;="&amp;$A162,Despesas!$C:$C,F$1,Despesas!$M:$M,$B162)</f>
        <v>13000</v>
      </c>
      <c r="G162" s="5">
        <f>SUMIFS(Despesas!$F:$F,Despesas!$J:$J,"&lt;="&amp;$A162,Despesas!$L:$L,"&gt;="&amp;$A162,Despesas!$C:$C,G$1,Despesas!$M:$M,"Mensal")+SUMIFS(Despesas!$F:$F,Despesas!$J:$J,"&lt;="&amp;$A162,Despesas!$L:$L,"&gt;="&amp;$A162,Despesas!$C:$C,G$1,Despesas!$M:$M,$B162)</f>
        <v>0</v>
      </c>
      <c r="H162" s="18">
        <f>SUMIFS(Despesas!$F:$F,Despesas!$J:$J,"&lt;="&amp;$A162,Despesas!$L:$L,"&gt;="&amp;$A162,Despesas!$C:$C,H$1,Despesas!$M:$M,"Mensal")+SUMIFS(Despesas!$F:$F,Despesas!$J:$J,"&lt;="&amp;$A162,Despesas!$L:$L,"&gt;="&amp;$A162,Despesas!$C:$C,H$1,Despesas!$M:$M,$B162)</f>
        <v>1000</v>
      </c>
      <c r="I162" s="18">
        <f>IF(Imóveis!$F$2="PRICE",IF(AND(Dados!$A162&gt;=Imóveis!$Q$2,Dados!$A162&lt;=Imóveis!$T$2),Imóveis!$U$2,0),IF((IF(AND(Dados!$A162&gt;=Imóveis!$Q$2,Dados!$A162&lt;=Imóveis!$T$2),Imóveis!$S$2-(DATEDIF(Imóveis!$Q$2,Dados!$A162,"m")),0))=0,0,((Imóveis!$N$2/Imóveis!$S$2)+((Imóveis!$N$2-((Imóveis!$S$2-(IF(AND(Dados!$A162&gt;=Imóveis!$Q$2,Dados!$A162&lt;=Imóveis!$T$2),Imóveis!$S$2-(DATEDIF(Imóveis!$Q$2,Dados!$A162,"m")),)))*(Imóveis!$N$2/Imóveis!$S$2)))*Imóveis!$P$2))))*IF(AND(Imóveis!$E$2&gt;0,Dados!$A162&gt;Imóveis!$E$2),0,1)</f>
        <v>9018.1996222739181</v>
      </c>
      <c r="J162" s="18">
        <f ca="1">IF(Imóveis!$F$3="PRICE",IF(AND(Dados!$A162&gt;=Imóveis!$Q$3,Dados!$A162&lt;=Imóveis!$T$3),Imóveis!$U$3,0),IF((IF(AND(Dados!$A162&gt;=Imóveis!$Q$3,Dados!$A162&lt;=Imóveis!$T$3),Imóveis!$S$3-(DATEDIF(Imóveis!$Q$3,Dados!$A162,"m")),0))=0,0,((Imóveis!$N$3/Imóveis!$S$3)+((Imóveis!$N$3-((Imóveis!$S$3-(IF(AND(Dados!$A162&gt;=Imóveis!$Q$3,Dados!$A162&lt;=Imóveis!$T$3),Imóveis!$S$3-(DATEDIF(Imóveis!$Q$3,Dados!$A162,"m")),)))*(Imóveis!$N$3/Imóveis!$S$3)))*Imóveis!$P$3))))*IF(AND(Imóveis!$E$3&gt;0,Dados!$A162&gt;Imóveis!$E$3),0,1)</f>
        <v>0</v>
      </c>
      <c r="K162" s="18">
        <f>IF(Imóveis!$F$4="PRICE",IF(AND(Dados!$A162&gt;=Imóveis!$Q$4,Dados!$A162&lt;=Imóveis!$T$4),Imóveis!$U$4,0),IF((IF(AND(Dados!$A162&gt;=Imóveis!$Q$4,Dados!$A162&lt;=Imóveis!$T$4),Imóveis!$S$4-(DATEDIF(Imóveis!$Q$4,Dados!$A162,"m")),0))=0,0,((Imóveis!$N$4/Imóveis!$S$4)+((Imóveis!$N$4-((Imóveis!$S$4-(IF(AND(Dados!$A162&gt;=Imóveis!$Q$4,Dados!$A162&lt;=Imóveis!$T$4),Imóveis!$S$4-(DATEDIF(Imóveis!$Q$4,Dados!$A162,"m")),)))*(Imóveis!$N$4/Imóveis!$S$4)))*Imóveis!$P$4))))*IF(AND(Imóveis!$E$4&gt;0,Dados!$A162&gt;Imóveis!$E$4),0,1)</f>
        <v>0</v>
      </c>
      <c r="L162" s="18">
        <f>IF(Imóveis!$F$5="PRICE",IF(AND(Dados!$A162&gt;=Imóveis!$Q$5,Dados!$A162&lt;=Imóveis!$T$5),Imóveis!$U$5,0),IF((IF(AND(Dados!$A162&gt;=Imóveis!$Q$5,Dados!$A162&lt;=Imóveis!$T$5),Imóveis!$S$5-(DATEDIF(Imóveis!$Q$5,Dados!$A162,"m")),0))=0,0,((Imóveis!$N$5/Imóveis!$S$5)+((Imóveis!$N$5-((Imóveis!$S$5-(IF(AND(Dados!$A162 &gt;=Imóveis!$Q$5,Dados!$A162&lt;=Imóveis!$T$5),Imóveis!$S$5-(DATEDIF(Imóveis!$Q$5,Dados!$A162,"m")),)))*(Imóveis!$N$5/Imóveis!$S$5)))*Imóveis!$P$5))))*IF(AND(Imóveis!$E$5&gt;0,Dados!$A162&gt;Imóveis!$E$5),0,1)*Imóveis!$I$5</f>
        <v>0</v>
      </c>
      <c r="M162" s="18">
        <f>IF(Imóveis!$F$6="PRICE",IF(AND(Dados!$A162&gt;=Imóveis!$Q$6,Dados!$A162&lt;=Imóveis!$T$6),Imóveis!$U$6,0),IF((IF(AND(Dados!$A162&gt;=Imóveis!$Q$6,Dados!$A162&lt;=Imóveis!$T$6),Imóveis!$S$6-(DATEDIF(Imóveis!$Q$6,Dados!$A162,"m")),0))=0,0,((Imóveis!$N$6/Imóveis!$S$6)+((Imóveis!$N$6-((Imóveis!$S$6-(IF(AND(Dados!$A162&gt;=Imóveis!$Q$6,Dados!$A162&lt;=Imóveis!$T$6),Imóveis!$S$6-(DATEDIF(Imóveis!$Q$6,Dados!$A162,"m")),)))*(Imóveis!$N$6/Imóveis!$S$6)))*Imóveis!$P$6))))*IF(AND(Imóveis!$E$6&gt;0,Dados!$A162&gt;Imóveis!$E$6),0,1)*Imóveis!$I$6</f>
        <v>0</v>
      </c>
      <c r="N162" s="18">
        <f t="shared" ca="1" si="21"/>
        <v>59169.59962227392</v>
      </c>
      <c r="O162" s="18">
        <f>SUMIFS(Receitas!$F:$F,Receitas!$J:$J,"&lt;="&amp;$A162,Receitas!$L:$L,"&gt;="&amp;$A162,Receitas!$C:$C,O$1,Receitas!$M:$M,"Mensal")+SUMIFS(Receitas!$F:$F,Receitas!$J:$J,"&lt;="&amp;$A162,Receitas!$L:$L,"&gt;="&amp;$A162,Receitas!$C:$C,O$1,Receitas!$M:$M,$B162)</f>
        <v>50000</v>
      </c>
      <c r="P162" s="18">
        <f>SUMIFS(Receitas!$F:$F,Receitas!$J:$J,"&lt;="&amp;$A162,Receitas!$L:$L,"&gt;="&amp;$A162,Receitas!$C:$C,P$1,Receitas!$M:$M,"Mensal")+SUMIFS(Receitas!$F:$F,Receitas!$J:$J,"&lt;="&amp;$A162,Receitas!$L:$L,"&gt;="&amp;$A162,Receitas!$C:$C,P$1,Receitas!$M:$M,$B162)</f>
        <v>20000</v>
      </c>
      <c r="Q162" s="18">
        <f>SUMIFS(Receitas!$F:$F,Receitas!$J:$J,"&lt;="&amp;$A162,Receitas!$L:$L,"&gt;="&amp;$A162,Receitas!$C:$C,Q$1,Receitas!$M:$M,"Mensal")+SUMIFS(Receitas!$F:$F,Receitas!$J:$J,"&lt;="&amp;$A162,Receitas!$L:$L,"&gt;="&amp;$A162,Receitas!$C:$C,Q$1,Receitas!$M:$M,$B162)</f>
        <v>0</v>
      </c>
      <c r="R162" s="18" cm="1">
        <f t="array" ref="R162">(IF(AND(Membros!$F$2="Sim",A162&lt;=MAX(Membros!$E$2:$E$5)),Membros!K$2,IF(AND(A162&gt;=Membros!J$2,A162&lt;=MAX(Membros!$E$2:$E$5)),Membros!K$2,0))+IF(AND(Membros!$F$3="Sim",A162&lt;=MAX(Membros!$E$2:$E$5)),Membros!K$3,IF(AND(A162&gt;=Membros!J$3,A162&lt;=MAX(Membros!$E$2:$E$5)),Membros!K$3,0)))*IF(AND(COUNTIFS(Tabela3[Tipo],"Provedor",Tabela3[Simulação Seguro],"Sim")=2,A162&gt;=MAX(IF(Tabela3[Tipo]="Dependente",Tabela3[Expectativa de Vida (Data)]))),0,1)</f>
        <v>0</v>
      </c>
      <c r="S162" s="18">
        <f t="shared" si="22"/>
        <v>70000</v>
      </c>
      <c r="U162" s="18">
        <f t="shared" ca="1" si="25"/>
        <v>8784965.7666751798</v>
      </c>
      <c r="V162" s="18">
        <f>SUMIF(Imóveis!E:E,Dados!A:A,Imóveis!Z:Z)-SUMIF(Imóveis!E:E,Dados!A:A,Imóveis!Y:Y)</f>
        <v>0</v>
      </c>
      <c r="W162" s="18">
        <f>-SUMIF(Projetos!N:N,A162,Projetos!F:F)</f>
        <v>0</v>
      </c>
      <c r="X162" s="18">
        <f t="shared" ca="1" si="19"/>
        <v>10830.40037772608</v>
      </c>
      <c r="Y162" s="26">
        <f ca="1">(U162*((Indicadores_Economicos!D$2+1)^(1/12)-1))</f>
        <v>28759.691915620122</v>
      </c>
      <c r="Z162" s="18">
        <f t="shared" ca="1" si="23"/>
        <v>8824555.8589685261</v>
      </c>
      <c r="AA162" s="18">
        <f ca="1">Auxiliar_Projetos!E162</f>
        <v>87173.265007229813</v>
      </c>
      <c r="AB162" s="18">
        <f ca="1">Auxiliar_Projetos!K162</f>
        <v>486051.97370080807</v>
      </c>
      <c r="AC162" s="18">
        <f ca="1">IF(Z162-AA162-AB162&gt;Investimentos!$C$14,Investimentos!$C$14,IF(Z162-AA162-AB162&lt;Investimentos!$C$14,Z162-AA162-AB162,0))</f>
        <v>300000</v>
      </c>
      <c r="AD162" s="18">
        <f t="shared" ca="1" si="24"/>
        <v>7951330.6202604882</v>
      </c>
      <c r="AE162" s="18"/>
    </row>
    <row r="163" spans="1:31" x14ac:dyDescent="0.2">
      <c r="A163" s="4">
        <v>50557</v>
      </c>
      <c r="B163" s="5" t="str">
        <f t="shared" si="20"/>
        <v>junho</v>
      </c>
      <c r="C163" s="5" t="str">
        <f t="shared" si="26"/>
        <v>2038</v>
      </c>
      <c r="D163" s="5">
        <f>SUMIFS(Despesas!$F:$F,Despesas!$J:$J,"&lt;="&amp;$A163,Despesas!$L:$L,"&gt;="&amp;$A163,Despesas!$C:$C,D$1,Despesas!$M:$M,"Mensal")+SUMIFS(Despesas!$F:$F,Despesas!$J:$J,"&lt;="&amp;$A163,Despesas!$L:$L,"&gt;="&amp;$A163,Despesas!$C:$C,D$1,Despesas!$M:$M,$B163)</f>
        <v>23000</v>
      </c>
      <c r="E163" s="18">
        <f ca="1">SUMIFS(Despesas!$F:$F,Despesas!$J:$J,"&lt;="&amp;$A163,Despesas!$L:$L,"&gt;="&amp;$A163,Despesas!$C:$C,E$1,Despesas!$M:$M,"Mensal")+SUMIFS(Despesas!$F:$F,Despesas!$J:$J,"&lt;="&amp;$A163,Despesas!$L:$L,"&gt;="&amp;$A163,Despesas!$C:$C,E$1,Despesas!$M:$M,$B163)</f>
        <v>13151.400000000001</v>
      </c>
      <c r="F163" s="5">
        <f>SUMIFS(Despesas!$F:$F,Despesas!$J:$J,"&lt;="&amp;$A163,Despesas!$L:$L,"&gt;="&amp;$A163,Despesas!$C:$C,F$1,Despesas!$M:$M,"Mensal")+SUMIFS(Despesas!$F:$F,Despesas!$J:$J,"&lt;="&amp;$A163,Despesas!$L:$L,"&gt;="&amp;$A163,Despesas!$C:$C,F$1,Despesas!$M:$M,$B163)</f>
        <v>13000</v>
      </c>
      <c r="G163" s="5">
        <f>SUMIFS(Despesas!$F:$F,Despesas!$J:$J,"&lt;="&amp;$A163,Despesas!$L:$L,"&gt;="&amp;$A163,Despesas!$C:$C,G$1,Despesas!$M:$M,"Mensal")+SUMIFS(Despesas!$F:$F,Despesas!$J:$J,"&lt;="&amp;$A163,Despesas!$L:$L,"&gt;="&amp;$A163,Despesas!$C:$C,G$1,Despesas!$M:$M,$B163)</f>
        <v>0</v>
      </c>
      <c r="H163" s="18">
        <f>SUMIFS(Despesas!$F:$F,Despesas!$J:$J,"&lt;="&amp;$A163,Despesas!$L:$L,"&gt;="&amp;$A163,Despesas!$C:$C,H$1,Despesas!$M:$M,"Mensal")+SUMIFS(Despesas!$F:$F,Despesas!$J:$J,"&lt;="&amp;$A163,Despesas!$L:$L,"&gt;="&amp;$A163,Despesas!$C:$C,H$1,Despesas!$M:$M,$B163)</f>
        <v>1000</v>
      </c>
      <c r="I163" s="18">
        <f>IF(Imóveis!$F$2="PRICE",IF(AND(Dados!$A163&gt;=Imóveis!$Q$2,Dados!$A163&lt;=Imóveis!$T$2),Imóveis!$U$2,0),IF((IF(AND(Dados!$A163&gt;=Imóveis!$Q$2,Dados!$A163&lt;=Imóveis!$T$2),Imóveis!$S$2-(DATEDIF(Imóveis!$Q$2,Dados!$A163,"m")),0))=0,0,((Imóveis!$N$2/Imóveis!$S$2)+((Imóveis!$N$2-((Imóveis!$S$2-(IF(AND(Dados!$A163&gt;=Imóveis!$Q$2,Dados!$A163&lt;=Imóveis!$T$2),Imóveis!$S$2-(DATEDIF(Imóveis!$Q$2,Dados!$A163,"m")),)))*(Imóveis!$N$2/Imóveis!$S$2)))*Imóveis!$P$2))))*IF(AND(Imóveis!$E$2&gt;0,Dados!$A163&gt;Imóveis!$E$2),0,1)</f>
        <v>8956.1785300491119</v>
      </c>
      <c r="J163" s="18">
        <f ca="1">IF(Imóveis!$F$3="PRICE",IF(AND(Dados!$A163&gt;=Imóveis!$Q$3,Dados!$A163&lt;=Imóveis!$T$3),Imóveis!$U$3,0),IF((IF(AND(Dados!$A163&gt;=Imóveis!$Q$3,Dados!$A163&lt;=Imóveis!$T$3),Imóveis!$S$3-(DATEDIF(Imóveis!$Q$3,Dados!$A163,"m")),0))=0,0,((Imóveis!$N$3/Imóveis!$S$3)+((Imóveis!$N$3-((Imóveis!$S$3-(IF(AND(Dados!$A163&gt;=Imóveis!$Q$3,Dados!$A163&lt;=Imóveis!$T$3),Imóveis!$S$3-(DATEDIF(Imóveis!$Q$3,Dados!$A163,"m")),)))*(Imóveis!$N$3/Imóveis!$S$3)))*Imóveis!$P$3))))*IF(AND(Imóveis!$E$3&gt;0,Dados!$A163&gt;Imóveis!$E$3),0,1)</f>
        <v>0</v>
      </c>
      <c r="K163" s="18">
        <f>IF(Imóveis!$F$4="PRICE",IF(AND(Dados!$A163&gt;=Imóveis!$Q$4,Dados!$A163&lt;=Imóveis!$T$4),Imóveis!$U$4,0),IF((IF(AND(Dados!$A163&gt;=Imóveis!$Q$4,Dados!$A163&lt;=Imóveis!$T$4),Imóveis!$S$4-(DATEDIF(Imóveis!$Q$4,Dados!$A163,"m")),0))=0,0,((Imóveis!$N$4/Imóveis!$S$4)+((Imóveis!$N$4-((Imóveis!$S$4-(IF(AND(Dados!$A163&gt;=Imóveis!$Q$4,Dados!$A163&lt;=Imóveis!$T$4),Imóveis!$S$4-(DATEDIF(Imóveis!$Q$4,Dados!$A163,"m")),)))*(Imóveis!$N$4/Imóveis!$S$4)))*Imóveis!$P$4))))*IF(AND(Imóveis!$E$4&gt;0,Dados!$A163&gt;Imóveis!$E$4),0,1)</f>
        <v>0</v>
      </c>
      <c r="L163" s="18">
        <f>IF(Imóveis!$F$5="PRICE",IF(AND(Dados!$A163&gt;=Imóveis!$Q$5,Dados!$A163&lt;=Imóveis!$T$5),Imóveis!$U$5,0),IF((IF(AND(Dados!$A163&gt;=Imóveis!$Q$5,Dados!$A163&lt;=Imóveis!$T$5),Imóveis!$S$5-(DATEDIF(Imóveis!$Q$5,Dados!$A163,"m")),0))=0,0,((Imóveis!$N$5/Imóveis!$S$5)+((Imóveis!$N$5-((Imóveis!$S$5-(IF(AND(Dados!$A163 &gt;=Imóveis!$Q$5,Dados!$A163&lt;=Imóveis!$T$5),Imóveis!$S$5-(DATEDIF(Imóveis!$Q$5,Dados!$A163,"m")),)))*(Imóveis!$N$5/Imóveis!$S$5)))*Imóveis!$P$5))))*IF(AND(Imóveis!$E$5&gt;0,Dados!$A163&gt;Imóveis!$E$5),0,1)*Imóveis!$I$5</f>
        <v>0</v>
      </c>
      <c r="M163" s="18">
        <f>IF(Imóveis!$F$6="PRICE",IF(AND(Dados!$A163&gt;=Imóveis!$Q$6,Dados!$A163&lt;=Imóveis!$T$6),Imóveis!$U$6,0),IF((IF(AND(Dados!$A163&gt;=Imóveis!$Q$6,Dados!$A163&lt;=Imóveis!$T$6),Imóveis!$S$6-(DATEDIF(Imóveis!$Q$6,Dados!$A163,"m")),0))=0,0,((Imóveis!$N$6/Imóveis!$S$6)+((Imóveis!$N$6-((Imóveis!$S$6-(IF(AND(Dados!$A163&gt;=Imóveis!$Q$6,Dados!$A163&lt;=Imóveis!$T$6),Imóveis!$S$6-(DATEDIF(Imóveis!$Q$6,Dados!$A163,"m")),)))*(Imóveis!$N$6/Imóveis!$S$6)))*Imóveis!$P$6))))*IF(AND(Imóveis!$E$6&gt;0,Dados!$A163&gt;Imóveis!$E$6),0,1)*Imóveis!$I$6</f>
        <v>0</v>
      </c>
      <c r="N163" s="18">
        <f t="shared" ca="1" si="21"/>
        <v>59107.578530049112</v>
      </c>
      <c r="O163" s="18">
        <f>SUMIFS(Receitas!$F:$F,Receitas!$J:$J,"&lt;="&amp;$A163,Receitas!$L:$L,"&gt;="&amp;$A163,Receitas!$C:$C,O$1,Receitas!$M:$M,"Mensal")+SUMIFS(Receitas!$F:$F,Receitas!$J:$J,"&lt;="&amp;$A163,Receitas!$L:$L,"&gt;="&amp;$A163,Receitas!$C:$C,O$1,Receitas!$M:$M,$B163)</f>
        <v>50000</v>
      </c>
      <c r="P163" s="18">
        <f>SUMIFS(Receitas!$F:$F,Receitas!$J:$J,"&lt;="&amp;$A163,Receitas!$L:$L,"&gt;="&amp;$A163,Receitas!$C:$C,P$1,Receitas!$M:$M,"Mensal")+SUMIFS(Receitas!$F:$F,Receitas!$J:$J,"&lt;="&amp;$A163,Receitas!$L:$L,"&gt;="&amp;$A163,Receitas!$C:$C,P$1,Receitas!$M:$M,$B163)</f>
        <v>20000</v>
      </c>
      <c r="Q163" s="18">
        <f>SUMIFS(Receitas!$F:$F,Receitas!$J:$J,"&lt;="&amp;$A163,Receitas!$L:$L,"&gt;="&amp;$A163,Receitas!$C:$C,Q$1,Receitas!$M:$M,"Mensal")+SUMIFS(Receitas!$F:$F,Receitas!$J:$J,"&lt;="&amp;$A163,Receitas!$L:$L,"&gt;="&amp;$A163,Receitas!$C:$C,Q$1,Receitas!$M:$M,$B163)</f>
        <v>0</v>
      </c>
      <c r="R163" s="18" cm="1">
        <f t="array" ref="R163">(IF(AND(Membros!$F$2="Sim",A163&lt;=MAX(Membros!$E$2:$E$5)),Membros!K$2,IF(AND(A163&gt;=Membros!J$2,A163&lt;=MAX(Membros!$E$2:$E$5)),Membros!K$2,0))+IF(AND(Membros!$F$3="Sim",A163&lt;=MAX(Membros!$E$2:$E$5)),Membros!K$3,IF(AND(A163&gt;=Membros!J$3,A163&lt;=MAX(Membros!$E$2:$E$5)),Membros!K$3,0)))*IF(AND(COUNTIFS(Tabela3[Tipo],"Provedor",Tabela3[Simulação Seguro],"Sim")=2,A163&gt;=MAX(IF(Tabela3[Tipo]="Dependente",Tabela3[Expectativa de Vida (Data)]))),0,1)</f>
        <v>0</v>
      </c>
      <c r="S163" s="18">
        <f t="shared" si="22"/>
        <v>70000</v>
      </c>
      <c r="U163" s="18">
        <f t="shared" ca="1" si="25"/>
        <v>8824555.8589685261</v>
      </c>
      <c r="V163" s="18">
        <f>SUMIF(Imóveis!E:E,Dados!A:A,Imóveis!Z:Z)-SUMIF(Imóveis!E:E,Dados!A:A,Imóveis!Y:Y)</f>
        <v>0</v>
      </c>
      <c r="W163" s="18">
        <f>-SUMIF(Projetos!N:N,A163,Projetos!F:F)</f>
        <v>0</v>
      </c>
      <c r="X163" s="18">
        <f t="shared" ca="1" si="19"/>
        <v>10892.421469950888</v>
      </c>
      <c r="Y163" s="26">
        <f ca="1">(U163*((Indicadores_Economicos!D$2+1)^(1/12)-1))</f>
        <v>28889.299575741778</v>
      </c>
      <c r="Z163" s="18">
        <f t="shared" ca="1" si="23"/>
        <v>8864337.5800142195</v>
      </c>
      <c r="AA163" s="18">
        <f ca="1">Auxiliar_Projetos!E163</f>
        <v>87458.647592828143</v>
      </c>
      <c r="AB163" s="18">
        <f ca="1">Auxiliar_Projetos!K163</f>
        <v>487643.18138332869</v>
      </c>
      <c r="AC163" s="18">
        <f ca="1">IF(Z163-AA163-AB163&gt;Investimentos!$C$14,Investimentos!$C$14,IF(Z163-AA163-AB163&lt;Investimentos!$C$14,Z163-AA163-AB163,0))</f>
        <v>300000</v>
      </c>
      <c r="AD163" s="18">
        <f t="shared" ca="1" si="24"/>
        <v>7989235.7510380633</v>
      </c>
      <c r="AE163" s="18"/>
    </row>
    <row r="164" spans="1:31" x14ac:dyDescent="0.2">
      <c r="A164" s="4">
        <v>50587</v>
      </c>
      <c r="B164" s="5" t="str">
        <f t="shared" si="20"/>
        <v>julho</v>
      </c>
      <c r="C164" s="5" t="str">
        <f t="shared" si="26"/>
        <v>2038</v>
      </c>
      <c r="D164" s="5">
        <f>SUMIFS(Despesas!$F:$F,Despesas!$J:$J,"&lt;="&amp;$A164,Despesas!$L:$L,"&gt;="&amp;$A164,Despesas!$C:$C,D$1,Despesas!$M:$M,"Mensal")+SUMIFS(Despesas!$F:$F,Despesas!$J:$J,"&lt;="&amp;$A164,Despesas!$L:$L,"&gt;="&amp;$A164,Despesas!$C:$C,D$1,Despesas!$M:$M,$B164)</f>
        <v>23000</v>
      </c>
      <c r="E164" s="18">
        <f ca="1">SUMIFS(Despesas!$F:$F,Despesas!$J:$J,"&lt;="&amp;$A164,Despesas!$L:$L,"&gt;="&amp;$A164,Despesas!$C:$C,E$1,Despesas!$M:$M,"Mensal")+SUMIFS(Despesas!$F:$F,Despesas!$J:$J,"&lt;="&amp;$A164,Despesas!$L:$L,"&gt;="&amp;$A164,Despesas!$C:$C,E$1,Despesas!$M:$M,$B164)</f>
        <v>13151.400000000001</v>
      </c>
      <c r="F164" s="5">
        <f>SUMIFS(Despesas!$F:$F,Despesas!$J:$J,"&lt;="&amp;$A164,Despesas!$L:$L,"&gt;="&amp;$A164,Despesas!$C:$C,F$1,Despesas!$M:$M,"Mensal")+SUMIFS(Despesas!$F:$F,Despesas!$J:$J,"&lt;="&amp;$A164,Despesas!$L:$L,"&gt;="&amp;$A164,Despesas!$C:$C,F$1,Despesas!$M:$M,$B164)</f>
        <v>13000</v>
      </c>
      <c r="G164" s="5">
        <f ca="1">SUMIFS(Despesas!$F:$F,Despesas!$J:$J,"&lt;="&amp;$A164,Despesas!$L:$L,"&gt;="&amp;$A164,Despesas!$C:$C,G$1,Despesas!$M:$M,"Mensal")+SUMIFS(Despesas!$F:$F,Despesas!$J:$J,"&lt;="&amp;$A164,Despesas!$L:$L,"&gt;="&amp;$A164,Despesas!$C:$C,G$1,Despesas!$M:$M,$B164)</f>
        <v>55757</v>
      </c>
      <c r="H164" s="18">
        <f>SUMIFS(Despesas!$F:$F,Despesas!$J:$J,"&lt;="&amp;$A164,Despesas!$L:$L,"&gt;="&amp;$A164,Despesas!$C:$C,H$1,Despesas!$M:$M,"Mensal")+SUMIFS(Despesas!$F:$F,Despesas!$J:$J,"&lt;="&amp;$A164,Despesas!$L:$L,"&gt;="&amp;$A164,Despesas!$C:$C,H$1,Despesas!$M:$M,$B164)</f>
        <v>1000</v>
      </c>
      <c r="I164" s="18">
        <f>IF(Imóveis!$F$2="PRICE",IF(AND(Dados!$A164&gt;=Imóveis!$Q$2,Dados!$A164&lt;=Imóveis!$T$2),Imóveis!$U$2,0),IF((IF(AND(Dados!$A164&gt;=Imóveis!$Q$2,Dados!$A164&lt;=Imóveis!$T$2),Imóveis!$S$2-(DATEDIF(Imóveis!$Q$2,Dados!$A164,"m")),0))=0,0,((Imóveis!$N$2/Imóveis!$S$2)+((Imóveis!$N$2-((Imóveis!$S$2-(IF(AND(Dados!$A164&gt;=Imóveis!$Q$2,Dados!$A164&lt;=Imóveis!$T$2),Imóveis!$S$2-(DATEDIF(Imóveis!$Q$2,Dados!$A164,"m")),)))*(Imóveis!$N$2/Imóveis!$S$2)))*Imóveis!$P$2))))*IF(AND(Imóveis!$E$2&gt;0,Dados!$A164&gt;Imóveis!$E$2),0,1)</f>
        <v>8894.157437824304</v>
      </c>
      <c r="J164" s="18">
        <f ca="1">IF(Imóveis!$F$3="PRICE",IF(AND(Dados!$A164&gt;=Imóveis!$Q$3,Dados!$A164&lt;=Imóveis!$T$3),Imóveis!$U$3,0),IF((IF(AND(Dados!$A164&gt;=Imóveis!$Q$3,Dados!$A164&lt;=Imóveis!$T$3),Imóveis!$S$3-(DATEDIF(Imóveis!$Q$3,Dados!$A164,"m")),0))=0,0,((Imóveis!$N$3/Imóveis!$S$3)+((Imóveis!$N$3-((Imóveis!$S$3-(IF(AND(Dados!$A164&gt;=Imóveis!$Q$3,Dados!$A164&lt;=Imóveis!$T$3),Imóveis!$S$3-(DATEDIF(Imóveis!$Q$3,Dados!$A164,"m")),)))*(Imóveis!$N$3/Imóveis!$S$3)))*Imóveis!$P$3))))*IF(AND(Imóveis!$E$3&gt;0,Dados!$A164&gt;Imóveis!$E$3),0,1)</f>
        <v>0</v>
      </c>
      <c r="K164" s="18">
        <f>IF(Imóveis!$F$4="PRICE",IF(AND(Dados!$A164&gt;=Imóveis!$Q$4,Dados!$A164&lt;=Imóveis!$T$4),Imóveis!$U$4,0),IF((IF(AND(Dados!$A164&gt;=Imóveis!$Q$4,Dados!$A164&lt;=Imóveis!$T$4),Imóveis!$S$4-(DATEDIF(Imóveis!$Q$4,Dados!$A164,"m")),0))=0,0,((Imóveis!$N$4/Imóveis!$S$4)+((Imóveis!$N$4-((Imóveis!$S$4-(IF(AND(Dados!$A164&gt;=Imóveis!$Q$4,Dados!$A164&lt;=Imóveis!$T$4),Imóveis!$S$4-(DATEDIF(Imóveis!$Q$4,Dados!$A164,"m")),)))*(Imóveis!$N$4/Imóveis!$S$4)))*Imóveis!$P$4))))*IF(AND(Imóveis!$E$4&gt;0,Dados!$A164&gt;Imóveis!$E$4),0,1)</f>
        <v>0</v>
      </c>
      <c r="L164" s="18">
        <f>IF(Imóveis!$F$5="PRICE",IF(AND(Dados!$A164&gt;=Imóveis!$Q$5,Dados!$A164&lt;=Imóveis!$T$5),Imóveis!$U$5,0),IF((IF(AND(Dados!$A164&gt;=Imóveis!$Q$5,Dados!$A164&lt;=Imóveis!$T$5),Imóveis!$S$5-(DATEDIF(Imóveis!$Q$5,Dados!$A164,"m")),0))=0,0,((Imóveis!$N$5/Imóveis!$S$5)+((Imóveis!$N$5-((Imóveis!$S$5-(IF(AND(Dados!$A164 &gt;=Imóveis!$Q$5,Dados!$A164&lt;=Imóveis!$T$5),Imóveis!$S$5-(DATEDIF(Imóveis!$Q$5,Dados!$A164,"m")),)))*(Imóveis!$N$5/Imóveis!$S$5)))*Imóveis!$P$5))))*IF(AND(Imóveis!$E$5&gt;0,Dados!$A164&gt;Imóveis!$E$5),0,1)*Imóveis!$I$5</f>
        <v>0</v>
      </c>
      <c r="M164" s="18">
        <f>IF(Imóveis!$F$6="PRICE",IF(AND(Dados!$A164&gt;=Imóveis!$Q$6,Dados!$A164&lt;=Imóveis!$T$6),Imóveis!$U$6,0),IF((IF(AND(Dados!$A164&gt;=Imóveis!$Q$6,Dados!$A164&lt;=Imóveis!$T$6),Imóveis!$S$6-(DATEDIF(Imóveis!$Q$6,Dados!$A164,"m")),0))=0,0,((Imóveis!$N$6/Imóveis!$S$6)+((Imóveis!$N$6-((Imóveis!$S$6-(IF(AND(Dados!$A164&gt;=Imóveis!$Q$6,Dados!$A164&lt;=Imóveis!$T$6),Imóveis!$S$6-(DATEDIF(Imóveis!$Q$6,Dados!$A164,"m")),)))*(Imóveis!$N$6/Imóveis!$S$6)))*Imóveis!$P$6))))*IF(AND(Imóveis!$E$6&gt;0,Dados!$A164&gt;Imóveis!$E$6),0,1)*Imóveis!$I$6</f>
        <v>0</v>
      </c>
      <c r="N164" s="18">
        <f t="shared" ca="1" si="21"/>
        <v>114802.5574378243</v>
      </c>
      <c r="O164" s="18">
        <f>SUMIFS(Receitas!$F:$F,Receitas!$J:$J,"&lt;="&amp;$A164,Receitas!$L:$L,"&gt;="&amp;$A164,Receitas!$C:$C,O$1,Receitas!$M:$M,"Mensal")+SUMIFS(Receitas!$F:$F,Receitas!$J:$J,"&lt;="&amp;$A164,Receitas!$L:$L,"&gt;="&amp;$A164,Receitas!$C:$C,O$1,Receitas!$M:$M,$B164)</f>
        <v>50000</v>
      </c>
      <c r="P164" s="18">
        <f>SUMIFS(Receitas!$F:$F,Receitas!$J:$J,"&lt;="&amp;$A164,Receitas!$L:$L,"&gt;="&amp;$A164,Receitas!$C:$C,P$1,Receitas!$M:$M,"Mensal")+SUMIFS(Receitas!$F:$F,Receitas!$J:$J,"&lt;="&amp;$A164,Receitas!$L:$L,"&gt;="&amp;$A164,Receitas!$C:$C,P$1,Receitas!$M:$M,$B164)</f>
        <v>20000</v>
      </c>
      <c r="Q164" s="18">
        <f>SUMIFS(Receitas!$F:$F,Receitas!$J:$J,"&lt;="&amp;$A164,Receitas!$L:$L,"&gt;="&amp;$A164,Receitas!$C:$C,Q$1,Receitas!$M:$M,"Mensal")+SUMIFS(Receitas!$F:$F,Receitas!$J:$J,"&lt;="&amp;$A164,Receitas!$L:$L,"&gt;="&amp;$A164,Receitas!$C:$C,Q$1,Receitas!$M:$M,$B164)</f>
        <v>0</v>
      </c>
      <c r="R164" s="18" cm="1">
        <f t="array" ref="R164">(IF(AND(Membros!$F$2="Sim",A164&lt;=MAX(Membros!$E$2:$E$5)),Membros!K$2,IF(AND(A164&gt;=Membros!J$2,A164&lt;=MAX(Membros!$E$2:$E$5)),Membros!K$2,0))+IF(AND(Membros!$F$3="Sim",A164&lt;=MAX(Membros!$E$2:$E$5)),Membros!K$3,IF(AND(A164&gt;=Membros!J$3,A164&lt;=MAX(Membros!$E$2:$E$5)),Membros!K$3,0)))*IF(AND(COUNTIFS(Tabela3[Tipo],"Provedor",Tabela3[Simulação Seguro],"Sim")=2,A164&gt;=MAX(IF(Tabela3[Tipo]="Dependente",Tabela3[Expectativa de Vida (Data)]))),0,1)</f>
        <v>0</v>
      </c>
      <c r="S164" s="18">
        <f t="shared" si="22"/>
        <v>70000</v>
      </c>
      <c r="U164" s="18">
        <f t="shared" ca="1" si="25"/>
        <v>8864337.5800142195</v>
      </c>
      <c r="V164" s="18">
        <f>SUMIF(Imóveis!E:E,Dados!A:A,Imóveis!Z:Z)-SUMIF(Imóveis!E:E,Dados!A:A,Imóveis!Y:Y)</f>
        <v>0</v>
      </c>
      <c r="W164" s="18">
        <f>-SUMIF(Projetos!N:N,A164,Projetos!F:F)</f>
        <v>0</v>
      </c>
      <c r="X164" s="18">
        <f t="shared" ca="1" si="19"/>
        <v>-44802.557437824304</v>
      </c>
      <c r="Y164" s="26">
        <f ca="1">(U164*((Indicadores_Economicos!D$2+1)^(1/12)-1))</f>
        <v>29019.534578533403</v>
      </c>
      <c r="Z164" s="18">
        <f t="shared" ca="1" si="23"/>
        <v>8848554.5571549293</v>
      </c>
      <c r="AA164" s="18">
        <f ca="1">Auxiliar_Projetos!E164</f>
        <v>87744.964446750106</v>
      </c>
      <c r="AB164" s="18">
        <f ca="1">Auxiliar_Projetos!K164</f>
        <v>489239.59826574131</v>
      </c>
      <c r="AC164" s="18">
        <f ca="1">IF(Z164-AA164-AB164&gt;Investimentos!$C$14,Investimentos!$C$14,IF(Z164-AA164-AB164&lt;Investimentos!$C$14,Z164-AA164-AB164,0))</f>
        <v>300000</v>
      </c>
      <c r="AD164" s="18">
        <f t="shared" ca="1" si="24"/>
        <v>7971569.9944424387</v>
      </c>
      <c r="AE164" s="18"/>
    </row>
    <row r="165" spans="1:31" x14ac:dyDescent="0.2">
      <c r="A165" s="4">
        <v>50618</v>
      </c>
      <c r="B165" s="5" t="str">
        <f t="shared" si="20"/>
        <v>agosto</v>
      </c>
      <c r="C165" s="5" t="str">
        <f t="shared" si="26"/>
        <v>2038</v>
      </c>
      <c r="D165" s="5">
        <f>SUMIFS(Despesas!$F:$F,Despesas!$J:$J,"&lt;="&amp;$A165,Despesas!$L:$L,"&gt;="&amp;$A165,Despesas!$C:$C,D$1,Despesas!$M:$M,"Mensal")+SUMIFS(Despesas!$F:$F,Despesas!$J:$J,"&lt;="&amp;$A165,Despesas!$L:$L,"&gt;="&amp;$A165,Despesas!$C:$C,D$1,Despesas!$M:$M,$B165)</f>
        <v>23000</v>
      </c>
      <c r="E165" s="18">
        <f ca="1">SUMIFS(Despesas!$F:$F,Despesas!$J:$J,"&lt;="&amp;$A165,Despesas!$L:$L,"&gt;="&amp;$A165,Despesas!$C:$C,E$1,Despesas!$M:$M,"Mensal")+SUMIFS(Despesas!$F:$F,Despesas!$J:$J,"&lt;="&amp;$A165,Despesas!$L:$L,"&gt;="&amp;$A165,Despesas!$C:$C,E$1,Despesas!$M:$M,$B165)</f>
        <v>13151.400000000001</v>
      </c>
      <c r="F165" s="5">
        <f>SUMIFS(Despesas!$F:$F,Despesas!$J:$J,"&lt;="&amp;$A165,Despesas!$L:$L,"&gt;="&amp;$A165,Despesas!$C:$C,F$1,Despesas!$M:$M,"Mensal")+SUMIFS(Despesas!$F:$F,Despesas!$J:$J,"&lt;="&amp;$A165,Despesas!$L:$L,"&gt;="&amp;$A165,Despesas!$C:$C,F$1,Despesas!$M:$M,$B165)</f>
        <v>13000</v>
      </c>
      <c r="G165" s="5">
        <f>SUMIFS(Despesas!$F:$F,Despesas!$J:$J,"&lt;="&amp;$A165,Despesas!$L:$L,"&gt;="&amp;$A165,Despesas!$C:$C,G$1,Despesas!$M:$M,"Mensal")+SUMIFS(Despesas!$F:$F,Despesas!$J:$J,"&lt;="&amp;$A165,Despesas!$L:$L,"&gt;="&amp;$A165,Despesas!$C:$C,G$1,Despesas!$M:$M,$B165)</f>
        <v>0</v>
      </c>
      <c r="H165" s="18">
        <f>SUMIFS(Despesas!$F:$F,Despesas!$J:$J,"&lt;="&amp;$A165,Despesas!$L:$L,"&gt;="&amp;$A165,Despesas!$C:$C,H$1,Despesas!$M:$M,"Mensal")+SUMIFS(Despesas!$F:$F,Despesas!$J:$J,"&lt;="&amp;$A165,Despesas!$L:$L,"&gt;="&amp;$A165,Despesas!$C:$C,H$1,Despesas!$M:$M,$B165)</f>
        <v>1000</v>
      </c>
      <c r="I165" s="18">
        <f>IF(Imóveis!$F$2="PRICE",IF(AND(Dados!$A165&gt;=Imóveis!$Q$2,Dados!$A165&lt;=Imóveis!$T$2),Imóveis!$U$2,0),IF((IF(AND(Dados!$A165&gt;=Imóveis!$Q$2,Dados!$A165&lt;=Imóveis!$T$2),Imóveis!$S$2-(DATEDIF(Imóveis!$Q$2,Dados!$A165,"m")),0))=0,0,((Imóveis!$N$2/Imóveis!$S$2)+((Imóveis!$N$2-((Imóveis!$S$2-(IF(AND(Dados!$A165&gt;=Imóveis!$Q$2,Dados!$A165&lt;=Imóveis!$T$2),Imóveis!$S$2-(DATEDIF(Imóveis!$Q$2,Dados!$A165,"m")),)))*(Imóveis!$N$2/Imóveis!$S$2)))*Imóveis!$P$2))))*IF(AND(Imóveis!$E$2&gt;0,Dados!$A165&gt;Imóveis!$E$2),0,1)</f>
        <v>8832.1363455994979</v>
      </c>
      <c r="J165" s="18">
        <f ca="1">IF(Imóveis!$F$3="PRICE",IF(AND(Dados!$A165&gt;=Imóveis!$Q$3,Dados!$A165&lt;=Imóveis!$T$3),Imóveis!$U$3,0),IF((IF(AND(Dados!$A165&gt;=Imóveis!$Q$3,Dados!$A165&lt;=Imóveis!$T$3),Imóveis!$S$3-(DATEDIF(Imóveis!$Q$3,Dados!$A165,"m")),0))=0,0,((Imóveis!$N$3/Imóveis!$S$3)+((Imóveis!$N$3-((Imóveis!$S$3-(IF(AND(Dados!$A165&gt;=Imóveis!$Q$3,Dados!$A165&lt;=Imóveis!$T$3),Imóveis!$S$3-(DATEDIF(Imóveis!$Q$3,Dados!$A165,"m")),)))*(Imóveis!$N$3/Imóveis!$S$3)))*Imóveis!$P$3))))*IF(AND(Imóveis!$E$3&gt;0,Dados!$A165&gt;Imóveis!$E$3),0,1)</f>
        <v>0</v>
      </c>
      <c r="K165" s="18">
        <f>IF(Imóveis!$F$4="PRICE",IF(AND(Dados!$A165&gt;=Imóveis!$Q$4,Dados!$A165&lt;=Imóveis!$T$4),Imóveis!$U$4,0),IF((IF(AND(Dados!$A165&gt;=Imóveis!$Q$4,Dados!$A165&lt;=Imóveis!$T$4),Imóveis!$S$4-(DATEDIF(Imóveis!$Q$4,Dados!$A165,"m")),0))=0,0,((Imóveis!$N$4/Imóveis!$S$4)+((Imóveis!$N$4-((Imóveis!$S$4-(IF(AND(Dados!$A165&gt;=Imóveis!$Q$4,Dados!$A165&lt;=Imóveis!$T$4),Imóveis!$S$4-(DATEDIF(Imóveis!$Q$4,Dados!$A165,"m")),)))*(Imóveis!$N$4/Imóveis!$S$4)))*Imóveis!$P$4))))*IF(AND(Imóveis!$E$4&gt;0,Dados!$A165&gt;Imóveis!$E$4),0,1)</f>
        <v>0</v>
      </c>
      <c r="L165" s="18">
        <f>IF(Imóveis!$F$5="PRICE",IF(AND(Dados!$A165&gt;=Imóveis!$Q$5,Dados!$A165&lt;=Imóveis!$T$5),Imóveis!$U$5,0),IF((IF(AND(Dados!$A165&gt;=Imóveis!$Q$5,Dados!$A165&lt;=Imóveis!$T$5),Imóveis!$S$5-(DATEDIF(Imóveis!$Q$5,Dados!$A165,"m")),0))=0,0,((Imóveis!$N$5/Imóveis!$S$5)+((Imóveis!$N$5-((Imóveis!$S$5-(IF(AND(Dados!$A165 &gt;=Imóveis!$Q$5,Dados!$A165&lt;=Imóveis!$T$5),Imóveis!$S$5-(DATEDIF(Imóveis!$Q$5,Dados!$A165,"m")),)))*(Imóveis!$N$5/Imóveis!$S$5)))*Imóveis!$P$5))))*IF(AND(Imóveis!$E$5&gt;0,Dados!$A165&gt;Imóveis!$E$5),0,1)*Imóveis!$I$5</f>
        <v>0</v>
      </c>
      <c r="M165" s="18">
        <f>IF(Imóveis!$F$6="PRICE",IF(AND(Dados!$A165&gt;=Imóveis!$Q$6,Dados!$A165&lt;=Imóveis!$T$6),Imóveis!$U$6,0),IF((IF(AND(Dados!$A165&gt;=Imóveis!$Q$6,Dados!$A165&lt;=Imóveis!$T$6),Imóveis!$S$6-(DATEDIF(Imóveis!$Q$6,Dados!$A165,"m")),0))=0,0,((Imóveis!$N$6/Imóveis!$S$6)+((Imóveis!$N$6-((Imóveis!$S$6-(IF(AND(Dados!$A165&gt;=Imóveis!$Q$6,Dados!$A165&lt;=Imóveis!$T$6),Imóveis!$S$6-(DATEDIF(Imóveis!$Q$6,Dados!$A165,"m")),)))*(Imóveis!$N$6/Imóveis!$S$6)))*Imóveis!$P$6))))*IF(AND(Imóveis!$E$6&gt;0,Dados!$A165&gt;Imóveis!$E$6),0,1)*Imóveis!$I$6</f>
        <v>0</v>
      </c>
      <c r="N165" s="18">
        <f t="shared" ca="1" si="21"/>
        <v>58983.536345599496</v>
      </c>
      <c r="O165" s="18">
        <f>SUMIFS(Receitas!$F:$F,Receitas!$J:$J,"&lt;="&amp;$A165,Receitas!$L:$L,"&gt;="&amp;$A165,Receitas!$C:$C,O$1,Receitas!$M:$M,"Mensal")+SUMIFS(Receitas!$F:$F,Receitas!$J:$J,"&lt;="&amp;$A165,Receitas!$L:$L,"&gt;="&amp;$A165,Receitas!$C:$C,O$1,Receitas!$M:$M,$B165)</f>
        <v>50000</v>
      </c>
      <c r="P165" s="18">
        <f>SUMIFS(Receitas!$F:$F,Receitas!$J:$J,"&lt;="&amp;$A165,Receitas!$L:$L,"&gt;="&amp;$A165,Receitas!$C:$C,P$1,Receitas!$M:$M,"Mensal")+SUMIFS(Receitas!$F:$F,Receitas!$J:$J,"&lt;="&amp;$A165,Receitas!$L:$L,"&gt;="&amp;$A165,Receitas!$C:$C,P$1,Receitas!$M:$M,$B165)</f>
        <v>20000</v>
      </c>
      <c r="Q165" s="18">
        <f>SUMIFS(Receitas!$F:$F,Receitas!$J:$J,"&lt;="&amp;$A165,Receitas!$L:$L,"&gt;="&amp;$A165,Receitas!$C:$C,Q$1,Receitas!$M:$M,"Mensal")+SUMIFS(Receitas!$F:$F,Receitas!$J:$J,"&lt;="&amp;$A165,Receitas!$L:$L,"&gt;="&amp;$A165,Receitas!$C:$C,Q$1,Receitas!$M:$M,$B165)</f>
        <v>0</v>
      </c>
      <c r="R165" s="18" cm="1">
        <f t="array" ref="R165">(IF(AND(Membros!$F$2="Sim",A165&lt;=MAX(Membros!$E$2:$E$5)),Membros!K$2,IF(AND(A165&gt;=Membros!J$2,A165&lt;=MAX(Membros!$E$2:$E$5)),Membros!K$2,0))+IF(AND(Membros!$F$3="Sim",A165&lt;=MAX(Membros!$E$2:$E$5)),Membros!K$3,IF(AND(A165&gt;=Membros!J$3,A165&lt;=MAX(Membros!$E$2:$E$5)),Membros!K$3,0)))*IF(AND(COUNTIFS(Tabela3[Tipo],"Provedor",Tabela3[Simulação Seguro],"Sim")=2,A165&gt;=MAX(IF(Tabela3[Tipo]="Dependente",Tabela3[Expectativa de Vida (Data)]))),0,1)</f>
        <v>0</v>
      </c>
      <c r="S165" s="18">
        <f t="shared" si="22"/>
        <v>70000</v>
      </c>
      <c r="U165" s="18">
        <f t="shared" ca="1" si="25"/>
        <v>8848554.5571549293</v>
      </c>
      <c r="V165" s="18">
        <f>SUMIF(Imóveis!E:E,Dados!A:A,Imóveis!Z:Z)-SUMIF(Imóveis!E:E,Dados!A:A,Imóveis!Y:Y)</f>
        <v>0</v>
      </c>
      <c r="W165" s="18">
        <f>-SUMIF(Projetos!N:N,A165,Projetos!F:F)</f>
        <v>0</v>
      </c>
      <c r="X165" s="18">
        <f t="shared" ca="1" si="19"/>
        <v>11016.463654400504</v>
      </c>
      <c r="Y165" s="26">
        <f ca="1">(U165*((Indicadores_Economicos!D$2+1)^(1/12)-1))</f>
        <v>28967.86506871559</v>
      </c>
      <c r="Z165" s="18">
        <f t="shared" ca="1" si="23"/>
        <v>8888538.8858780451</v>
      </c>
      <c r="AA165" s="18">
        <f ca="1">Auxiliar_Projetos!E165</f>
        <v>88032.218627547059</v>
      </c>
      <c r="AB165" s="18">
        <f ca="1">Auxiliar_Projetos!K165</f>
        <v>490841.2414016109</v>
      </c>
      <c r="AC165" s="18">
        <f ca="1">IF(Z165-AA165-AB165&gt;Investimentos!$C$14,Investimentos!$C$14,IF(Z165-AA165-AB165&lt;Investimentos!$C$14,Z165-AA165-AB165,0))</f>
        <v>300000</v>
      </c>
      <c r="AD165" s="18">
        <f t="shared" ca="1" si="24"/>
        <v>8009665.4258488864</v>
      </c>
      <c r="AE165" s="18"/>
    </row>
    <row r="166" spans="1:31" x14ac:dyDescent="0.2">
      <c r="A166" s="4">
        <v>50649</v>
      </c>
      <c r="B166" s="5" t="str">
        <f t="shared" si="20"/>
        <v>setembro</v>
      </c>
      <c r="C166" s="5" t="str">
        <f t="shared" si="26"/>
        <v>2038</v>
      </c>
      <c r="D166" s="5">
        <f>SUMIFS(Despesas!$F:$F,Despesas!$J:$J,"&lt;="&amp;$A166,Despesas!$L:$L,"&gt;="&amp;$A166,Despesas!$C:$C,D$1,Despesas!$M:$M,"Mensal")+SUMIFS(Despesas!$F:$F,Despesas!$J:$J,"&lt;="&amp;$A166,Despesas!$L:$L,"&gt;="&amp;$A166,Despesas!$C:$C,D$1,Despesas!$M:$M,$B166)</f>
        <v>23000</v>
      </c>
      <c r="E166" s="18">
        <f ca="1">SUMIFS(Despesas!$F:$F,Despesas!$J:$J,"&lt;="&amp;$A166,Despesas!$L:$L,"&gt;="&amp;$A166,Despesas!$C:$C,E$1,Despesas!$M:$M,"Mensal")+SUMIFS(Despesas!$F:$F,Despesas!$J:$J,"&lt;="&amp;$A166,Despesas!$L:$L,"&gt;="&amp;$A166,Despesas!$C:$C,E$1,Despesas!$M:$M,$B166)</f>
        <v>13151.400000000001</v>
      </c>
      <c r="F166" s="5">
        <f>SUMIFS(Despesas!$F:$F,Despesas!$J:$J,"&lt;="&amp;$A166,Despesas!$L:$L,"&gt;="&amp;$A166,Despesas!$C:$C,F$1,Despesas!$M:$M,"Mensal")+SUMIFS(Despesas!$F:$F,Despesas!$J:$J,"&lt;="&amp;$A166,Despesas!$L:$L,"&gt;="&amp;$A166,Despesas!$C:$C,F$1,Despesas!$M:$M,$B166)</f>
        <v>13000</v>
      </c>
      <c r="G166" s="5">
        <f>SUMIFS(Despesas!$F:$F,Despesas!$J:$J,"&lt;="&amp;$A166,Despesas!$L:$L,"&gt;="&amp;$A166,Despesas!$C:$C,G$1,Despesas!$M:$M,"Mensal")+SUMIFS(Despesas!$F:$F,Despesas!$J:$J,"&lt;="&amp;$A166,Despesas!$L:$L,"&gt;="&amp;$A166,Despesas!$C:$C,G$1,Despesas!$M:$M,$B166)</f>
        <v>0</v>
      </c>
      <c r="H166" s="18">
        <f>SUMIFS(Despesas!$F:$F,Despesas!$J:$J,"&lt;="&amp;$A166,Despesas!$L:$L,"&gt;="&amp;$A166,Despesas!$C:$C,H$1,Despesas!$M:$M,"Mensal")+SUMIFS(Despesas!$F:$F,Despesas!$J:$J,"&lt;="&amp;$A166,Despesas!$L:$L,"&gt;="&amp;$A166,Despesas!$C:$C,H$1,Despesas!$M:$M,$B166)</f>
        <v>1000</v>
      </c>
      <c r="I166" s="18">
        <f>IF(Imóveis!$F$2="PRICE",IF(AND(Dados!$A166&gt;=Imóveis!$Q$2,Dados!$A166&lt;=Imóveis!$T$2),Imóveis!$U$2,0),IF((IF(AND(Dados!$A166&gt;=Imóveis!$Q$2,Dados!$A166&lt;=Imóveis!$T$2),Imóveis!$S$2-(DATEDIF(Imóveis!$Q$2,Dados!$A166,"m")),0))=0,0,((Imóveis!$N$2/Imóveis!$S$2)+((Imóveis!$N$2-((Imóveis!$S$2-(IF(AND(Dados!$A166&gt;=Imóveis!$Q$2,Dados!$A166&lt;=Imóveis!$T$2),Imóveis!$S$2-(DATEDIF(Imóveis!$Q$2,Dados!$A166,"m")),)))*(Imóveis!$N$2/Imóveis!$S$2)))*Imóveis!$P$2))))*IF(AND(Imóveis!$E$2&gt;0,Dados!$A166&gt;Imóveis!$E$2),0,1)</f>
        <v>8770.1152533746899</v>
      </c>
      <c r="J166" s="18">
        <f ca="1">IF(Imóveis!$F$3="PRICE",IF(AND(Dados!$A166&gt;=Imóveis!$Q$3,Dados!$A166&lt;=Imóveis!$T$3),Imóveis!$U$3,0),IF((IF(AND(Dados!$A166&gt;=Imóveis!$Q$3,Dados!$A166&lt;=Imóveis!$T$3),Imóveis!$S$3-(DATEDIF(Imóveis!$Q$3,Dados!$A166,"m")),0))=0,0,((Imóveis!$N$3/Imóveis!$S$3)+((Imóveis!$N$3-((Imóveis!$S$3-(IF(AND(Dados!$A166&gt;=Imóveis!$Q$3,Dados!$A166&lt;=Imóveis!$T$3),Imóveis!$S$3-(DATEDIF(Imóveis!$Q$3,Dados!$A166,"m")),)))*(Imóveis!$N$3/Imóveis!$S$3)))*Imóveis!$P$3))))*IF(AND(Imóveis!$E$3&gt;0,Dados!$A166&gt;Imóveis!$E$3),0,1)</f>
        <v>0</v>
      </c>
      <c r="K166" s="18">
        <f>IF(Imóveis!$F$4="PRICE",IF(AND(Dados!$A166&gt;=Imóveis!$Q$4,Dados!$A166&lt;=Imóveis!$T$4),Imóveis!$U$4,0),IF((IF(AND(Dados!$A166&gt;=Imóveis!$Q$4,Dados!$A166&lt;=Imóveis!$T$4),Imóveis!$S$4-(DATEDIF(Imóveis!$Q$4,Dados!$A166,"m")),0))=0,0,((Imóveis!$N$4/Imóveis!$S$4)+((Imóveis!$N$4-((Imóveis!$S$4-(IF(AND(Dados!$A166&gt;=Imóveis!$Q$4,Dados!$A166&lt;=Imóveis!$T$4),Imóveis!$S$4-(DATEDIF(Imóveis!$Q$4,Dados!$A166,"m")),)))*(Imóveis!$N$4/Imóveis!$S$4)))*Imóveis!$P$4))))*IF(AND(Imóveis!$E$4&gt;0,Dados!$A166&gt;Imóveis!$E$4),0,1)</f>
        <v>0</v>
      </c>
      <c r="L166" s="18">
        <f>IF(Imóveis!$F$5="PRICE",IF(AND(Dados!$A166&gt;=Imóveis!$Q$5,Dados!$A166&lt;=Imóveis!$T$5),Imóveis!$U$5,0),IF((IF(AND(Dados!$A166&gt;=Imóveis!$Q$5,Dados!$A166&lt;=Imóveis!$T$5),Imóveis!$S$5-(DATEDIF(Imóveis!$Q$5,Dados!$A166,"m")),0))=0,0,((Imóveis!$N$5/Imóveis!$S$5)+((Imóveis!$N$5-((Imóveis!$S$5-(IF(AND(Dados!$A166 &gt;=Imóveis!$Q$5,Dados!$A166&lt;=Imóveis!$T$5),Imóveis!$S$5-(DATEDIF(Imóveis!$Q$5,Dados!$A166,"m")),)))*(Imóveis!$N$5/Imóveis!$S$5)))*Imóveis!$P$5))))*IF(AND(Imóveis!$E$5&gt;0,Dados!$A166&gt;Imóveis!$E$5),0,1)*Imóveis!$I$5</f>
        <v>0</v>
      </c>
      <c r="M166" s="18">
        <f>IF(Imóveis!$F$6="PRICE",IF(AND(Dados!$A166&gt;=Imóveis!$Q$6,Dados!$A166&lt;=Imóveis!$T$6),Imóveis!$U$6,0),IF((IF(AND(Dados!$A166&gt;=Imóveis!$Q$6,Dados!$A166&lt;=Imóveis!$T$6),Imóveis!$S$6-(DATEDIF(Imóveis!$Q$6,Dados!$A166,"m")),0))=0,0,((Imóveis!$N$6/Imóveis!$S$6)+((Imóveis!$N$6-((Imóveis!$S$6-(IF(AND(Dados!$A166&gt;=Imóveis!$Q$6,Dados!$A166&lt;=Imóveis!$T$6),Imóveis!$S$6-(DATEDIF(Imóveis!$Q$6,Dados!$A166,"m")),)))*(Imóveis!$N$6/Imóveis!$S$6)))*Imóveis!$P$6))))*IF(AND(Imóveis!$E$6&gt;0,Dados!$A166&gt;Imóveis!$E$6),0,1)*Imóveis!$I$6</f>
        <v>0</v>
      </c>
      <c r="N166" s="18">
        <f t="shared" ca="1" si="21"/>
        <v>58921.515253374688</v>
      </c>
      <c r="O166" s="18">
        <f>SUMIFS(Receitas!$F:$F,Receitas!$J:$J,"&lt;="&amp;$A166,Receitas!$L:$L,"&gt;="&amp;$A166,Receitas!$C:$C,O$1,Receitas!$M:$M,"Mensal")+SUMIFS(Receitas!$F:$F,Receitas!$J:$J,"&lt;="&amp;$A166,Receitas!$L:$L,"&gt;="&amp;$A166,Receitas!$C:$C,O$1,Receitas!$M:$M,$B166)</f>
        <v>50000</v>
      </c>
      <c r="P166" s="18">
        <f>SUMIFS(Receitas!$F:$F,Receitas!$J:$J,"&lt;="&amp;$A166,Receitas!$L:$L,"&gt;="&amp;$A166,Receitas!$C:$C,P$1,Receitas!$M:$M,"Mensal")+SUMIFS(Receitas!$F:$F,Receitas!$J:$J,"&lt;="&amp;$A166,Receitas!$L:$L,"&gt;="&amp;$A166,Receitas!$C:$C,P$1,Receitas!$M:$M,$B166)</f>
        <v>20000</v>
      </c>
      <c r="Q166" s="18">
        <f>SUMIFS(Receitas!$F:$F,Receitas!$J:$J,"&lt;="&amp;$A166,Receitas!$L:$L,"&gt;="&amp;$A166,Receitas!$C:$C,Q$1,Receitas!$M:$M,"Mensal")+SUMIFS(Receitas!$F:$F,Receitas!$J:$J,"&lt;="&amp;$A166,Receitas!$L:$L,"&gt;="&amp;$A166,Receitas!$C:$C,Q$1,Receitas!$M:$M,$B166)</f>
        <v>0</v>
      </c>
      <c r="R166" s="18" cm="1">
        <f t="array" ref="R166">(IF(AND(Membros!$F$2="Sim",A166&lt;=MAX(Membros!$E$2:$E$5)),Membros!K$2,IF(AND(A166&gt;=Membros!J$2,A166&lt;=MAX(Membros!$E$2:$E$5)),Membros!K$2,0))+IF(AND(Membros!$F$3="Sim",A166&lt;=MAX(Membros!$E$2:$E$5)),Membros!K$3,IF(AND(A166&gt;=Membros!J$3,A166&lt;=MAX(Membros!$E$2:$E$5)),Membros!K$3,0)))*IF(AND(COUNTIFS(Tabela3[Tipo],"Provedor",Tabela3[Simulação Seguro],"Sim")=2,A166&gt;=MAX(IF(Tabela3[Tipo]="Dependente",Tabela3[Expectativa de Vida (Data)]))),0,1)</f>
        <v>0</v>
      </c>
      <c r="S166" s="18">
        <f t="shared" si="22"/>
        <v>70000</v>
      </c>
      <c r="U166" s="18">
        <f t="shared" ca="1" si="25"/>
        <v>8888538.8858780451</v>
      </c>
      <c r="V166" s="18">
        <f>SUMIF(Imóveis!E:E,Dados!A:A,Imóveis!Z:Z)-SUMIF(Imóveis!E:E,Dados!A:A,Imóveis!Y:Y)</f>
        <v>0</v>
      </c>
      <c r="W166" s="18">
        <f>-SUMIF(Projetos!N:N,A166,Projetos!F:F)</f>
        <v>0</v>
      </c>
      <c r="X166" s="18">
        <f t="shared" ca="1" si="19"/>
        <v>11078.484746625312</v>
      </c>
      <c r="Y166" s="26">
        <f ca="1">(U166*((Indicadores_Economicos!D$2+1)^(1/12)-1))</f>
        <v>29098.763356320975</v>
      </c>
      <c r="Z166" s="18">
        <f t="shared" ca="1" si="23"/>
        <v>8928716.1339809913</v>
      </c>
      <c r="AA166" s="18">
        <f ca="1">Auxiliar_Projetos!E166</f>
        <v>88320.41320378329</v>
      </c>
      <c r="AB166" s="18">
        <f ca="1">Auxiliar_Projetos!K166</f>
        <v>492448.12790033122</v>
      </c>
      <c r="AC166" s="18">
        <f ca="1">IF(Z166-AA166-AB166&gt;Investimentos!$C$14,Investimentos!$C$14,IF(Z166-AA166-AB166&lt;Investimentos!$C$14,Z166-AA166-AB166,0))</f>
        <v>300000</v>
      </c>
      <c r="AD166" s="18">
        <f t="shared" ca="1" si="24"/>
        <v>8047947.5928768767</v>
      </c>
      <c r="AE166" s="18"/>
    </row>
    <row r="167" spans="1:31" x14ac:dyDescent="0.2">
      <c r="A167" s="4">
        <v>50679</v>
      </c>
      <c r="B167" s="5" t="str">
        <f t="shared" si="20"/>
        <v>outubro</v>
      </c>
      <c r="C167" s="5" t="str">
        <f t="shared" si="26"/>
        <v>2038</v>
      </c>
      <c r="D167" s="5">
        <f>SUMIFS(Despesas!$F:$F,Despesas!$J:$J,"&lt;="&amp;$A167,Despesas!$L:$L,"&gt;="&amp;$A167,Despesas!$C:$C,D$1,Despesas!$M:$M,"Mensal")+SUMIFS(Despesas!$F:$F,Despesas!$J:$J,"&lt;="&amp;$A167,Despesas!$L:$L,"&gt;="&amp;$A167,Despesas!$C:$C,D$1,Despesas!$M:$M,$B167)</f>
        <v>23000</v>
      </c>
      <c r="E167" s="18">
        <f ca="1">SUMIFS(Despesas!$F:$F,Despesas!$J:$J,"&lt;="&amp;$A167,Despesas!$L:$L,"&gt;="&amp;$A167,Despesas!$C:$C,E$1,Despesas!$M:$M,"Mensal")+SUMIFS(Despesas!$F:$F,Despesas!$J:$J,"&lt;="&amp;$A167,Despesas!$L:$L,"&gt;="&amp;$A167,Despesas!$C:$C,E$1,Despesas!$M:$M,$B167)</f>
        <v>13151.400000000001</v>
      </c>
      <c r="F167" s="5">
        <f>SUMIFS(Despesas!$F:$F,Despesas!$J:$J,"&lt;="&amp;$A167,Despesas!$L:$L,"&gt;="&amp;$A167,Despesas!$C:$C,F$1,Despesas!$M:$M,"Mensal")+SUMIFS(Despesas!$F:$F,Despesas!$J:$J,"&lt;="&amp;$A167,Despesas!$L:$L,"&gt;="&amp;$A167,Despesas!$C:$C,F$1,Despesas!$M:$M,$B167)</f>
        <v>13000</v>
      </c>
      <c r="G167" s="5">
        <f>SUMIFS(Despesas!$F:$F,Despesas!$J:$J,"&lt;="&amp;$A167,Despesas!$L:$L,"&gt;="&amp;$A167,Despesas!$C:$C,G$1,Despesas!$M:$M,"Mensal")+SUMIFS(Despesas!$F:$F,Despesas!$J:$J,"&lt;="&amp;$A167,Despesas!$L:$L,"&gt;="&amp;$A167,Despesas!$C:$C,G$1,Despesas!$M:$M,$B167)</f>
        <v>0</v>
      </c>
      <c r="H167" s="18">
        <f>SUMIFS(Despesas!$F:$F,Despesas!$J:$J,"&lt;="&amp;$A167,Despesas!$L:$L,"&gt;="&amp;$A167,Despesas!$C:$C,H$1,Despesas!$M:$M,"Mensal")+SUMIFS(Despesas!$F:$F,Despesas!$J:$J,"&lt;="&amp;$A167,Despesas!$L:$L,"&gt;="&amp;$A167,Despesas!$C:$C,H$1,Despesas!$M:$M,$B167)</f>
        <v>1000</v>
      </c>
      <c r="I167" s="18">
        <f>IF(Imóveis!$F$2="PRICE",IF(AND(Dados!$A167&gt;=Imóveis!$Q$2,Dados!$A167&lt;=Imóveis!$T$2),Imóveis!$U$2,0),IF((IF(AND(Dados!$A167&gt;=Imóveis!$Q$2,Dados!$A167&lt;=Imóveis!$T$2),Imóveis!$S$2-(DATEDIF(Imóveis!$Q$2,Dados!$A167,"m")),0))=0,0,((Imóveis!$N$2/Imóveis!$S$2)+((Imóveis!$N$2-((Imóveis!$S$2-(IF(AND(Dados!$A167&gt;=Imóveis!$Q$2,Dados!$A167&lt;=Imóveis!$T$2),Imóveis!$S$2-(DATEDIF(Imóveis!$Q$2,Dados!$A167,"m")),)))*(Imóveis!$N$2/Imóveis!$S$2)))*Imóveis!$P$2))))*IF(AND(Imóveis!$E$2&gt;0,Dados!$A167&gt;Imóveis!$E$2),0,1)</f>
        <v>8708.0941611498838</v>
      </c>
      <c r="J167" s="18">
        <f ca="1">IF(Imóveis!$F$3="PRICE",IF(AND(Dados!$A167&gt;=Imóveis!$Q$3,Dados!$A167&lt;=Imóveis!$T$3),Imóveis!$U$3,0),IF((IF(AND(Dados!$A167&gt;=Imóveis!$Q$3,Dados!$A167&lt;=Imóveis!$T$3),Imóveis!$S$3-(DATEDIF(Imóveis!$Q$3,Dados!$A167,"m")),0))=0,0,((Imóveis!$N$3/Imóveis!$S$3)+((Imóveis!$N$3-((Imóveis!$S$3-(IF(AND(Dados!$A167&gt;=Imóveis!$Q$3,Dados!$A167&lt;=Imóveis!$T$3),Imóveis!$S$3-(DATEDIF(Imóveis!$Q$3,Dados!$A167,"m")),)))*(Imóveis!$N$3/Imóveis!$S$3)))*Imóveis!$P$3))))*IF(AND(Imóveis!$E$3&gt;0,Dados!$A167&gt;Imóveis!$E$3),0,1)</f>
        <v>0</v>
      </c>
      <c r="K167" s="18">
        <f>IF(Imóveis!$F$4="PRICE",IF(AND(Dados!$A167&gt;=Imóveis!$Q$4,Dados!$A167&lt;=Imóveis!$T$4),Imóveis!$U$4,0),IF((IF(AND(Dados!$A167&gt;=Imóveis!$Q$4,Dados!$A167&lt;=Imóveis!$T$4),Imóveis!$S$4-(DATEDIF(Imóveis!$Q$4,Dados!$A167,"m")),0))=0,0,((Imóveis!$N$4/Imóveis!$S$4)+((Imóveis!$N$4-((Imóveis!$S$4-(IF(AND(Dados!$A167&gt;=Imóveis!$Q$4,Dados!$A167&lt;=Imóveis!$T$4),Imóveis!$S$4-(DATEDIF(Imóveis!$Q$4,Dados!$A167,"m")),)))*(Imóveis!$N$4/Imóveis!$S$4)))*Imóveis!$P$4))))*IF(AND(Imóveis!$E$4&gt;0,Dados!$A167&gt;Imóveis!$E$4),0,1)</f>
        <v>0</v>
      </c>
      <c r="L167" s="18">
        <f>IF(Imóveis!$F$5="PRICE",IF(AND(Dados!$A167&gt;=Imóveis!$Q$5,Dados!$A167&lt;=Imóveis!$T$5),Imóveis!$U$5,0),IF((IF(AND(Dados!$A167&gt;=Imóveis!$Q$5,Dados!$A167&lt;=Imóveis!$T$5),Imóveis!$S$5-(DATEDIF(Imóveis!$Q$5,Dados!$A167,"m")),0))=0,0,((Imóveis!$N$5/Imóveis!$S$5)+((Imóveis!$N$5-((Imóveis!$S$5-(IF(AND(Dados!$A167 &gt;=Imóveis!$Q$5,Dados!$A167&lt;=Imóveis!$T$5),Imóveis!$S$5-(DATEDIF(Imóveis!$Q$5,Dados!$A167,"m")),)))*(Imóveis!$N$5/Imóveis!$S$5)))*Imóveis!$P$5))))*IF(AND(Imóveis!$E$5&gt;0,Dados!$A167&gt;Imóveis!$E$5),0,1)*Imóveis!$I$5</f>
        <v>0</v>
      </c>
      <c r="M167" s="18">
        <f>IF(Imóveis!$F$6="PRICE",IF(AND(Dados!$A167&gt;=Imóveis!$Q$6,Dados!$A167&lt;=Imóveis!$T$6),Imóveis!$U$6,0),IF((IF(AND(Dados!$A167&gt;=Imóveis!$Q$6,Dados!$A167&lt;=Imóveis!$T$6),Imóveis!$S$6-(DATEDIF(Imóveis!$Q$6,Dados!$A167,"m")),0))=0,0,((Imóveis!$N$6/Imóveis!$S$6)+((Imóveis!$N$6-((Imóveis!$S$6-(IF(AND(Dados!$A167&gt;=Imóveis!$Q$6,Dados!$A167&lt;=Imóveis!$T$6),Imóveis!$S$6-(DATEDIF(Imóveis!$Q$6,Dados!$A167,"m")),)))*(Imóveis!$N$6/Imóveis!$S$6)))*Imóveis!$P$6))))*IF(AND(Imóveis!$E$6&gt;0,Dados!$A167&gt;Imóveis!$E$6),0,1)*Imóveis!$I$6</f>
        <v>0</v>
      </c>
      <c r="N167" s="18">
        <f t="shared" ca="1" si="21"/>
        <v>58859.494161149887</v>
      </c>
      <c r="O167" s="18">
        <f>SUMIFS(Receitas!$F:$F,Receitas!$J:$J,"&lt;="&amp;$A167,Receitas!$L:$L,"&gt;="&amp;$A167,Receitas!$C:$C,O$1,Receitas!$M:$M,"Mensal")+SUMIFS(Receitas!$F:$F,Receitas!$J:$J,"&lt;="&amp;$A167,Receitas!$L:$L,"&gt;="&amp;$A167,Receitas!$C:$C,O$1,Receitas!$M:$M,$B167)</f>
        <v>50000</v>
      </c>
      <c r="P167" s="18">
        <f>SUMIFS(Receitas!$F:$F,Receitas!$J:$J,"&lt;="&amp;$A167,Receitas!$L:$L,"&gt;="&amp;$A167,Receitas!$C:$C,P$1,Receitas!$M:$M,"Mensal")+SUMIFS(Receitas!$F:$F,Receitas!$J:$J,"&lt;="&amp;$A167,Receitas!$L:$L,"&gt;="&amp;$A167,Receitas!$C:$C,P$1,Receitas!$M:$M,$B167)</f>
        <v>20000</v>
      </c>
      <c r="Q167" s="18">
        <f>SUMIFS(Receitas!$F:$F,Receitas!$J:$J,"&lt;="&amp;$A167,Receitas!$L:$L,"&gt;="&amp;$A167,Receitas!$C:$C,Q$1,Receitas!$M:$M,"Mensal")+SUMIFS(Receitas!$F:$F,Receitas!$J:$J,"&lt;="&amp;$A167,Receitas!$L:$L,"&gt;="&amp;$A167,Receitas!$C:$C,Q$1,Receitas!$M:$M,$B167)</f>
        <v>0</v>
      </c>
      <c r="R167" s="18" cm="1">
        <f t="array" ref="R167">(IF(AND(Membros!$F$2="Sim",A167&lt;=MAX(Membros!$E$2:$E$5)),Membros!K$2,IF(AND(A167&gt;=Membros!J$2,A167&lt;=MAX(Membros!$E$2:$E$5)),Membros!K$2,0))+IF(AND(Membros!$F$3="Sim",A167&lt;=MAX(Membros!$E$2:$E$5)),Membros!K$3,IF(AND(A167&gt;=Membros!J$3,A167&lt;=MAX(Membros!$E$2:$E$5)),Membros!K$3,0)))*IF(AND(COUNTIFS(Tabela3[Tipo],"Provedor",Tabela3[Simulação Seguro],"Sim")=2,A167&gt;=MAX(IF(Tabela3[Tipo]="Dependente",Tabela3[Expectativa de Vida (Data)]))),0,1)</f>
        <v>0</v>
      </c>
      <c r="S167" s="18">
        <f t="shared" si="22"/>
        <v>70000</v>
      </c>
      <c r="U167" s="18">
        <f t="shared" ca="1" si="25"/>
        <v>8928716.1339809913</v>
      </c>
      <c r="V167" s="18">
        <f>SUMIF(Imóveis!E:E,Dados!A:A,Imóveis!Z:Z)-SUMIF(Imóveis!E:E,Dados!A:A,Imóveis!Y:Y)</f>
        <v>0</v>
      </c>
      <c r="W167" s="18">
        <f>-SUMIF(Projetos!N:N,A167,Projetos!F:F)</f>
        <v>0</v>
      </c>
      <c r="X167" s="18">
        <f t="shared" ca="1" si="19"/>
        <v>11140.505838850113</v>
      </c>
      <c r="Y167" s="26">
        <f ca="1">(U167*((Indicadores_Economicos!D$2+1)^(1/12)-1))</f>
        <v>29230.293211774864</v>
      </c>
      <c r="Z167" s="18">
        <f t="shared" ca="1" si="23"/>
        <v>8969086.9330316167</v>
      </c>
      <c r="AA167" s="18">
        <f ca="1">Auxiliar_Projetos!E167</f>
        <v>88609.551254068763</v>
      </c>
      <c r="AB167" s="18">
        <f ca="1">Auxiliar_Projetos!K167</f>
        <v>494060.27492730791</v>
      </c>
      <c r="AC167" s="18">
        <f ca="1">IF(Z167-AA167-AB167&gt;Investimentos!$C$14,Investimentos!$C$14,IF(Z167-AA167-AB167&lt;Investimentos!$C$14,Z167-AA167-AB167,0))</f>
        <v>300000</v>
      </c>
      <c r="AD167" s="18">
        <f t="shared" ca="1" si="24"/>
        <v>8086417.1068502394</v>
      </c>
      <c r="AE167" s="18"/>
    </row>
    <row r="168" spans="1:31" x14ac:dyDescent="0.2">
      <c r="A168" s="4">
        <v>50710</v>
      </c>
      <c r="B168" s="5" t="str">
        <f t="shared" si="20"/>
        <v>novembro</v>
      </c>
      <c r="C168" s="5" t="str">
        <f t="shared" si="26"/>
        <v>2038</v>
      </c>
      <c r="D168" s="5">
        <f>SUMIFS(Despesas!$F:$F,Despesas!$J:$J,"&lt;="&amp;$A168,Despesas!$L:$L,"&gt;="&amp;$A168,Despesas!$C:$C,D$1,Despesas!$M:$M,"Mensal")+SUMIFS(Despesas!$F:$F,Despesas!$J:$J,"&lt;="&amp;$A168,Despesas!$L:$L,"&gt;="&amp;$A168,Despesas!$C:$C,D$1,Despesas!$M:$M,$B168)</f>
        <v>23000</v>
      </c>
      <c r="E168" s="18">
        <f ca="1">SUMIFS(Despesas!$F:$F,Despesas!$J:$J,"&lt;="&amp;$A168,Despesas!$L:$L,"&gt;="&amp;$A168,Despesas!$C:$C,E$1,Despesas!$M:$M,"Mensal")+SUMIFS(Despesas!$F:$F,Despesas!$J:$J,"&lt;="&amp;$A168,Despesas!$L:$L,"&gt;="&amp;$A168,Despesas!$C:$C,E$1,Despesas!$M:$M,$B168)</f>
        <v>13151.400000000001</v>
      </c>
      <c r="F168" s="5">
        <f>SUMIFS(Despesas!$F:$F,Despesas!$J:$J,"&lt;="&amp;$A168,Despesas!$L:$L,"&gt;="&amp;$A168,Despesas!$C:$C,F$1,Despesas!$M:$M,"Mensal")+SUMIFS(Despesas!$F:$F,Despesas!$J:$J,"&lt;="&amp;$A168,Despesas!$L:$L,"&gt;="&amp;$A168,Despesas!$C:$C,F$1,Despesas!$M:$M,$B168)</f>
        <v>13000</v>
      </c>
      <c r="G168" s="5">
        <f>SUMIFS(Despesas!$F:$F,Despesas!$J:$J,"&lt;="&amp;$A168,Despesas!$L:$L,"&gt;="&amp;$A168,Despesas!$C:$C,G$1,Despesas!$M:$M,"Mensal")+SUMIFS(Despesas!$F:$F,Despesas!$J:$J,"&lt;="&amp;$A168,Despesas!$L:$L,"&gt;="&amp;$A168,Despesas!$C:$C,G$1,Despesas!$M:$M,$B168)</f>
        <v>0</v>
      </c>
      <c r="H168" s="18">
        <f>SUMIFS(Despesas!$F:$F,Despesas!$J:$J,"&lt;="&amp;$A168,Despesas!$L:$L,"&gt;="&amp;$A168,Despesas!$C:$C,H$1,Despesas!$M:$M,"Mensal")+SUMIFS(Despesas!$F:$F,Despesas!$J:$J,"&lt;="&amp;$A168,Despesas!$L:$L,"&gt;="&amp;$A168,Despesas!$C:$C,H$1,Despesas!$M:$M,$B168)</f>
        <v>1000</v>
      </c>
      <c r="I168" s="18">
        <f>IF(Imóveis!$F$2="PRICE",IF(AND(Dados!$A168&gt;=Imóveis!$Q$2,Dados!$A168&lt;=Imóveis!$T$2),Imóveis!$U$2,0),IF((IF(AND(Dados!$A168&gt;=Imóveis!$Q$2,Dados!$A168&lt;=Imóveis!$T$2),Imóveis!$S$2-(DATEDIF(Imóveis!$Q$2,Dados!$A168,"m")),0))=0,0,((Imóveis!$N$2/Imóveis!$S$2)+((Imóveis!$N$2-((Imóveis!$S$2-(IF(AND(Dados!$A168&gt;=Imóveis!$Q$2,Dados!$A168&lt;=Imóveis!$T$2),Imóveis!$S$2-(DATEDIF(Imóveis!$Q$2,Dados!$A168,"m")),)))*(Imóveis!$N$2/Imóveis!$S$2)))*Imóveis!$P$2))))*IF(AND(Imóveis!$E$2&gt;0,Dados!$A168&gt;Imóveis!$E$2),0,1)</f>
        <v>8646.0730689250777</v>
      </c>
      <c r="J168" s="18">
        <f ca="1">IF(Imóveis!$F$3="PRICE",IF(AND(Dados!$A168&gt;=Imóveis!$Q$3,Dados!$A168&lt;=Imóveis!$T$3),Imóveis!$U$3,0),IF((IF(AND(Dados!$A168&gt;=Imóveis!$Q$3,Dados!$A168&lt;=Imóveis!$T$3),Imóveis!$S$3-(DATEDIF(Imóveis!$Q$3,Dados!$A168,"m")),0))=0,0,((Imóveis!$N$3/Imóveis!$S$3)+((Imóveis!$N$3-((Imóveis!$S$3-(IF(AND(Dados!$A168&gt;=Imóveis!$Q$3,Dados!$A168&lt;=Imóveis!$T$3),Imóveis!$S$3-(DATEDIF(Imóveis!$Q$3,Dados!$A168,"m")),)))*(Imóveis!$N$3/Imóveis!$S$3)))*Imóveis!$P$3))))*IF(AND(Imóveis!$E$3&gt;0,Dados!$A168&gt;Imóveis!$E$3),0,1)</f>
        <v>0</v>
      </c>
      <c r="K168" s="18">
        <f>IF(Imóveis!$F$4="PRICE",IF(AND(Dados!$A168&gt;=Imóveis!$Q$4,Dados!$A168&lt;=Imóveis!$T$4),Imóveis!$U$4,0),IF((IF(AND(Dados!$A168&gt;=Imóveis!$Q$4,Dados!$A168&lt;=Imóveis!$T$4),Imóveis!$S$4-(DATEDIF(Imóveis!$Q$4,Dados!$A168,"m")),0))=0,0,((Imóveis!$N$4/Imóveis!$S$4)+((Imóveis!$N$4-((Imóveis!$S$4-(IF(AND(Dados!$A168&gt;=Imóveis!$Q$4,Dados!$A168&lt;=Imóveis!$T$4),Imóveis!$S$4-(DATEDIF(Imóveis!$Q$4,Dados!$A168,"m")),)))*(Imóveis!$N$4/Imóveis!$S$4)))*Imóveis!$P$4))))*IF(AND(Imóveis!$E$4&gt;0,Dados!$A168&gt;Imóveis!$E$4),0,1)</f>
        <v>0</v>
      </c>
      <c r="L168" s="18">
        <f>IF(Imóveis!$F$5="PRICE",IF(AND(Dados!$A168&gt;=Imóveis!$Q$5,Dados!$A168&lt;=Imóveis!$T$5),Imóveis!$U$5,0),IF((IF(AND(Dados!$A168&gt;=Imóveis!$Q$5,Dados!$A168&lt;=Imóveis!$T$5),Imóveis!$S$5-(DATEDIF(Imóveis!$Q$5,Dados!$A168,"m")),0))=0,0,((Imóveis!$N$5/Imóveis!$S$5)+((Imóveis!$N$5-((Imóveis!$S$5-(IF(AND(Dados!$A168 &gt;=Imóveis!$Q$5,Dados!$A168&lt;=Imóveis!$T$5),Imóveis!$S$5-(DATEDIF(Imóveis!$Q$5,Dados!$A168,"m")),)))*(Imóveis!$N$5/Imóveis!$S$5)))*Imóveis!$P$5))))*IF(AND(Imóveis!$E$5&gt;0,Dados!$A168&gt;Imóveis!$E$5),0,1)*Imóveis!$I$5</f>
        <v>0</v>
      </c>
      <c r="M168" s="18">
        <f>IF(Imóveis!$F$6="PRICE",IF(AND(Dados!$A168&gt;=Imóveis!$Q$6,Dados!$A168&lt;=Imóveis!$T$6),Imóveis!$U$6,0),IF((IF(AND(Dados!$A168&gt;=Imóveis!$Q$6,Dados!$A168&lt;=Imóveis!$T$6),Imóveis!$S$6-(DATEDIF(Imóveis!$Q$6,Dados!$A168,"m")),0))=0,0,((Imóveis!$N$6/Imóveis!$S$6)+((Imóveis!$N$6-((Imóveis!$S$6-(IF(AND(Dados!$A168&gt;=Imóveis!$Q$6,Dados!$A168&lt;=Imóveis!$T$6),Imóveis!$S$6-(DATEDIF(Imóveis!$Q$6,Dados!$A168,"m")),)))*(Imóveis!$N$6/Imóveis!$S$6)))*Imóveis!$P$6))))*IF(AND(Imóveis!$E$6&gt;0,Dados!$A168&gt;Imóveis!$E$6),0,1)*Imóveis!$I$6</f>
        <v>0</v>
      </c>
      <c r="N168" s="18">
        <f t="shared" ca="1" si="21"/>
        <v>58797.473068925079</v>
      </c>
      <c r="O168" s="18">
        <f>SUMIFS(Receitas!$F:$F,Receitas!$J:$J,"&lt;="&amp;$A168,Receitas!$L:$L,"&gt;="&amp;$A168,Receitas!$C:$C,O$1,Receitas!$M:$M,"Mensal")+SUMIFS(Receitas!$F:$F,Receitas!$J:$J,"&lt;="&amp;$A168,Receitas!$L:$L,"&gt;="&amp;$A168,Receitas!$C:$C,O$1,Receitas!$M:$M,$B168)</f>
        <v>50000</v>
      </c>
      <c r="P168" s="18">
        <f>SUMIFS(Receitas!$F:$F,Receitas!$J:$J,"&lt;="&amp;$A168,Receitas!$L:$L,"&gt;="&amp;$A168,Receitas!$C:$C,P$1,Receitas!$M:$M,"Mensal")+SUMIFS(Receitas!$F:$F,Receitas!$J:$J,"&lt;="&amp;$A168,Receitas!$L:$L,"&gt;="&amp;$A168,Receitas!$C:$C,P$1,Receitas!$M:$M,$B168)</f>
        <v>86666.666666666672</v>
      </c>
      <c r="Q168" s="18">
        <f>SUMIFS(Receitas!$F:$F,Receitas!$J:$J,"&lt;="&amp;$A168,Receitas!$L:$L,"&gt;="&amp;$A168,Receitas!$C:$C,Q$1,Receitas!$M:$M,"Mensal")+SUMIFS(Receitas!$F:$F,Receitas!$J:$J,"&lt;="&amp;$A168,Receitas!$L:$L,"&gt;="&amp;$A168,Receitas!$C:$C,Q$1,Receitas!$M:$M,$B168)</f>
        <v>0</v>
      </c>
      <c r="R168" s="18" cm="1">
        <f t="array" ref="R168">(IF(AND(Membros!$F$2="Sim",A168&lt;=MAX(Membros!$E$2:$E$5)),Membros!K$2,IF(AND(A168&gt;=Membros!J$2,A168&lt;=MAX(Membros!$E$2:$E$5)),Membros!K$2,0))+IF(AND(Membros!$F$3="Sim",A168&lt;=MAX(Membros!$E$2:$E$5)),Membros!K$3,IF(AND(A168&gt;=Membros!J$3,A168&lt;=MAX(Membros!$E$2:$E$5)),Membros!K$3,0)))*IF(AND(COUNTIFS(Tabela3[Tipo],"Provedor",Tabela3[Simulação Seguro],"Sim")=2,A168&gt;=MAX(IF(Tabela3[Tipo]="Dependente",Tabela3[Expectativa de Vida (Data)]))),0,1)</f>
        <v>0</v>
      </c>
      <c r="S168" s="18">
        <f t="shared" si="22"/>
        <v>136666.66666666669</v>
      </c>
      <c r="U168" s="18">
        <f t="shared" ca="1" si="25"/>
        <v>8969086.9330316167</v>
      </c>
      <c r="V168" s="18">
        <f>SUMIF(Imóveis!E:E,Dados!A:A,Imóveis!Z:Z)-SUMIF(Imóveis!E:E,Dados!A:A,Imóveis!Y:Y)</f>
        <v>0</v>
      </c>
      <c r="W168" s="18">
        <f>-SUMIF(Projetos!N:N,A168,Projetos!F:F)</f>
        <v>0</v>
      </c>
      <c r="X168" s="18">
        <f t="shared" ca="1" si="19"/>
        <v>77869.1935977416</v>
      </c>
      <c r="Y168" s="26">
        <f ca="1">(U168*((Indicadores_Economicos!D$2+1)^(1/12)-1))</f>
        <v>29362.456702666055</v>
      </c>
      <c r="Z168" s="18">
        <f t="shared" ca="1" si="23"/>
        <v>9076318.5833320245</v>
      </c>
      <c r="AA168" s="18">
        <f ca="1">Auxiliar_Projetos!E168</f>
        <v>88899.635867092002</v>
      </c>
      <c r="AB168" s="18">
        <f ca="1">Auxiliar_Projetos!K168</f>
        <v>495677.69970414159</v>
      </c>
      <c r="AC168" s="18">
        <f ca="1">IF(Z168-AA168-AB168&gt;Investimentos!$C$14,Investimentos!$C$14,IF(Z168-AA168-AB168&lt;Investimentos!$C$14,Z168-AA168-AB168,0))</f>
        <v>300000</v>
      </c>
      <c r="AD168" s="18">
        <f t="shared" ca="1" si="24"/>
        <v>8191741.2477607895</v>
      </c>
      <c r="AE168" s="18"/>
    </row>
    <row r="169" spans="1:31" x14ac:dyDescent="0.2">
      <c r="A169" s="4">
        <v>50740</v>
      </c>
      <c r="B169" s="5" t="str">
        <f t="shared" si="20"/>
        <v>dezembro</v>
      </c>
      <c r="C169" s="5" t="str">
        <f t="shared" si="26"/>
        <v>2038</v>
      </c>
      <c r="D169" s="5">
        <f>SUMIFS(Despesas!$F:$F,Despesas!$J:$J,"&lt;="&amp;$A169,Despesas!$L:$L,"&gt;="&amp;$A169,Despesas!$C:$C,D$1,Despesas!$M:$M,"Mensal")+SUMIFS(Despesas!$F:$F,Despesas!$J:$J,"&lt;="&amp;$A169,Despesas!$L:$L,"&gt;="&amp;$A169,Despesas!$C:$C,D$1,Despesas!$M:$M,$B169)</f>
        <v>23000</v>
      </c>
      <c r="E169" s="18">
        <f ca="1">SUMIFS(Despesas!$F:$F,Despesas!$J:$J,"&lt;="&amp;$A169,Despesas!$L:$L,"&gt;="&amp;$A169,Despesas!$C:$C,E$1,Despesas!$M:$M,"Mensal")+SUMIFS(Despesas!$F:$F,Despesas!$J:$J,"&lt;="&amp;$A169,Despesas!$L:$L,"&gt;="&amp;$A169,Despesas!$C:$C,E$1,Despesas!$M:$M,$B169)</f>
        <v>13151.400000000001</v>
      </c>
      <c r="F169" s="5">
        <f>SUMIFS(Despesas!$F:$F,Despesas!$J:$J,"&lt;="&amp;$A169,Despesas!$L:$L,"&gt;="&amp;$A169,Despesas!$C:$C,F$1,Despesas!$M:$M,"Mensal")+SUMIFS(Despesas!$F:$F,Despesas!$J:$J,"&lt;="&amp;$A169,Despesas!$L:$L,"&gt;="&amp;$A169,Despesas!$C:$C,F$1,Despesas!$M:$M,$B169)</f>
        <v>13000</v>
      </c>
      <c r="G169" s="5">
        <f ca="1">SUMIFS(Despesas!$F:$F,Despesas!$J:$J,"&lt;="&amp;$A169,Despesas!$L:$L,"&gt;="&amp;$A169,Despesas!$C:$C,G$1,Despesas!$M:$M,"Mensal")+SUMIFS(Despesas!$F:$F,Despesas!$J:$J,"&lt;="&amp;$A169,Despesas!$L:$L,"&gt;="&amp;$A169,Despesas!$C:$C,G$1,Despesas!$M:$M,$B169)</f>
        <v>55757</v>
      </c>
      <c r="H169" s="18">
        <f>SUMIFS(Despesas!$F:$F,Despesas!$J:$J,"&lt;="&amp;$A169,Despesas!$L:$L,"&gt;="&amp;$A169,Despesas!$C:$C,H$1,Despesas!$M:$M,"Mensal")+SUMIFS(Despesas!$F:$F,Despesas!$J:$J,"&lt;="&amp;$A169,Despesas!$L:$L,"&gt;="&amp;$A169,Despesas!$C:$C,H$1,Despesas!$M:$M,$B169)</f>
        <v>1000</v>
      </c>
      <c r="I169" s="18">
        <f>IF(Imóveis!$F$2="PRICE",IF(AND(Dados!$A169&gt;=Imóveis!$Q$2,Dados!$A169&lt;=Imóveis!$T$2),Imóveis!$U$2,0),IF((IF(AND(Dados!$A169&gt;=Imóveis!$Q$2,Dados!$A169&lt;=Imóveis!$T$2),Imóveis!$S$2-(DATEDIF(Imóveis!$Q$2,Dados!$A169,"m")),0))=0,0,((Imóveis!$N$2/Imóveis!$S$2)+((Imóveis!$N$2-((Imóveis!$S$2-(IF(AND(Dados!$A169&gt;=Imóveis!$Q$2,Dados!$A169&lt;=Imóveis!$T$2),Imóveis!$S$2-(DATEDIF(Imóveis!$Q$2,Dados!$A169,"m")),)))*(Imóveis!$N$2/Imóveis!$S$2)))*Imóveis!$P$2))))*IF(AND(Imóveis!$E$2&gt;0,Dados!$A169&gt;Imóveis!$E$2),0,1)</f>
        <v>8584.0519767002697</v>
      </c>
      <c r="J169" s="18">
        <f ca="1">IF(Imóveis!$F$3="PRICE",IF(AND(Dados!$A169&gt;=Imóveis!$Q$3,Dados!$A169&lt;=Imóveis!$T$3),Imóveis!$U$3,0),IF((IF(AND(Dados!$A169&gt;=Imóveis!$Q$3,Dados!$A169&lt;=Imóveis!$T$3),Imóveis!$S$3-(DATEDIF(Imóveis!$Q$3,Dados!$A169,"m")),0))=0,0,((Imóveis!$N$3/Imóveis!$S$3)+((Imóveis!$N$3-((Imóveis!$S$3-(IF(AND(Dados!$A169&gt;=Imóveis!$Q$3,Dados!$A169&lt;=Imóveis!$T$3),Imóveis!$S$3-(DATEDIF(Imóveis!$Q$3,Dados!$A169,"m")),)))*(Imóveis!$N$3/Imóveis!$S$3)))*Imóveis!$P$3))))*IF(AND(Imóveis!$E$3&gt;0,Dados!$A169&gt;Imóveis!$E$3),0,1)</f>
        <v>0</v>
      </c>
      <c r="K169" s="18">
        <f>IF(Imóveis!$F$4="PRICE",IF(AND(Dados!$A169&gt;=Imóveis!$Q$4,Dados!$A169&lt;=Imóveis!$T$4),Imóveis!$U$4,0),IF((IF(AND(Dados!$A169&gt;=Imóveis!$Q$4,Dados!$A169&lt;=Imóveis!$T$4),Imóveis!$S$4-(DATEDIF(Imóveis!$Q$4,Dados!$A169,"m")),0))=0,0,((Imóveis!$N$4/Imóveis!$S$4)+((Imóveis!$N$4-((Imóveis!$S$4-(IF(AND(Dados!$A169&gt;=Imóveis!$Q$4,Dados!$A169&lt;=Imóveis!$T$4),Imóveis!$S$4-(DATEDIF(Imóveis!$Q$4,Dados!$A169,"m")),)))*(Imóveis!$N$4/Imóveis!$S$4)))*Imóveis!$P$4))))*IF(AND(Imóveis!$E$4&gt;0,Dados!$A169&gt;Imóveis!$E$4),0,1)</f>
        <v>0</v>
      </c>
      <c r="L169" s="18">
        <f>IF(Imóveis!$F$5="PRICE",IF(AND(Dados!$A169&gt;=Imóveis!$Q$5,Dados!$A169&lt;=Imóveis!$T$5),Imóveis!$U$5,0),IF((IF(AND(Dados!$A169&gt;=Imóveis!$Q$5,Dados!$A169&lt;=Imóveis!$T$5),Imóveis!$S$5-(DATEDIF(Imóveis!$Q$5,Dados!$A169,"m")),0))=0,0,((Imóveis!$N$5/Imóveis!$S$5)+((Imóveis!$N$5-((Imóveis!$S$5-(IF(AND(Dados!$A169 &gt;=Imóveis!$Q$5,Dados!$A169&lt;=Imóveis!$T$5),Imóveis!$S$5-(DATEDIF(Imóveis!$Q$5,Dados!$A169,"m")),)))*(Imóveis!$N$5/Imóveis!$S$5)))*Imóveis!$P$5))))*IF(AND(Imóveis!$E$5&gt;0,Dados!$A169&gt;Imóveis!$E$5),0,1)*Imóveis!$I$5</f>
        <v>0</v>
      </c>
      <c r="M169" s="18">
        <f>IF(Imóveis!$F$6="PRICE",IF(AND(Dados!$A169&gt;=Imóveis!$Q$6,Dados!$A169&lt;=Imóveis!$T$6),Imóveis!$U$6,0),IF((IF(AND(Dados!$A169&gt;=Imóveis!$Q$6,Dados!$A169&lt;=Imóveis!$T$6),Imóveis!$S$6-(DATEDIF(Imóveis!$Q$6,Dados!$A169,"m")),0))=0,0,((Imóveis!$N$6/Imóveis!$S$6)+((Imóveis!$N$6-((Imóveis!$S$6-(IF(AND(Dados!$A169&gt;=Imóveis!$Q$6,Dados!$A169&lt;=Imóveis!$T$6),Imóveis!$S$6-(DATEDIF(Imóveis!$Q$6,Dados!$A169,"m")),)))*(Imóveis!$N$6/Imóveis!$S$6)))*Imóveis!$P$6))))*IF(AND(Imóveis!$E$6&gt;0,Dados!$A169&gt;Imóveis!$E$6),0,1)*Imóveis!$I$6</f>
        <v>0</v>
      </c>
      <c r="N169" s="18">
        <f t="shared" ca="1" si="21"/>
        <v>114492.45197670026</v>
      </c>
      <c r="O169" s="18">
        <f>SUMIFS(Receitas!$F:$F,Receitas!$J:$J,"&lt;="&amp;$A169,Receitas!$L:$L,"&gt;="&amp;$A169,Receitas!$C:$C,O$1,Receitas!$M:$M,"Mensal")+SUMIFS(Receitas!$F:$F,Receitas!$J:$J,"&lt;="&amp;$A169,Receitas!$L:$L,"&gt;="&amp;$A169,Receitas!$C:$C,O$1,Receitas!$M:$M,$B169)</f>
        <v>50000</v>
      </c>
      <c r="P169" s="18">
        <f>SUMIFS(Receitas!$F:$F,Receitas!$J:$J,"&lt;="&amp;$A169,Receitas!$L:$L,"&gt;="&amp;$A169,Receitas!$C:$C,P$1,Receitas!$M:$M,"Mensal")+SUMIFS(Receitas!$F:$F,Receitas!$J:$J,"&lt;="&amp;$A169,Receitas!$L:$L,"&gt;="&amp;$A169,Receitas!$C:$C,P$1,Receitas!$M:$M,$B169)</f>
        <v>20000</v>
      </c>
      <c r="Q169" s="18">
        <f>SUMIFS(Receitas!$F:$F,Receitas!$J:$J,"&lt;="&amp;$A169,Receitas!$L:$L,"&gt;="&amp;$A169,Receitas!$C:$C,Q$1,Receitas!$M:$M,"Mensal")+SUMIFS(Receitas!$F:$F,Receitas!$J:$J,"&lt;="&amp;$A169,Receitas!$L:$L,"&gt;="&amp;$A169,Receitas!$C:$C,Q$1,Receitas!$M:$M,$B169)</f>
        <v>0</v>
      </c>
      <c r="R169" s="18" cm="1">
        <f t="array" ref="R169">(IF(AND(Membros!$F$2="Sim",A169&lt;=MAX(Membros!$E$2:$E$5)),Membros!K$2,IF(AND(A169&gt;=Membros!J$2,A169&lt;=MAX(Membros!$E$2:$E$5)),Membros!K$2,0))+IF(AND(Membros!$F$3="Sim",A169&lt;=MAX(Membros!$E$2:$E$5)),Membros!K$3,IF(AND(A169&gt;=Membros!J$3,A169&lt;=MAX(Membros!$E$2:$E$5)),Membros!K$3,0)))*IF(AND(COUNTIFS(Tabela3[Tipo],"Provedor",Tabela3[Simulação Seguro],"Sim")=2,A169&gt;=MAX(IF(Tabela3[Tipo]="Dependente",Tabela3[Expectativa de Vida (Data)]))),0,1)</f>
        <v>0</v>
      </c>
      <c r="S169" s="18">
        <f t="shared" si="22"/>
        <v>70000</v>
      </c>
      <c r="U169" s="18">
        <f t="shared" ca="1" si="25"/>
        <v>9076318.5833320245</v>
      </c>
      <c r="V169" s="18">
        <f>SUMIF(Imóveis!E:E,Dados!A:A,Imóveis!Z:Z)-SUMIF(Imóveis!E:E,Dados!A:A,Imóveis!Y:Y)</f>
        <v>0</v>
      </c>
      <c r="W169" s="18">
        <f>-SUMIF(Projetos!N:N,A169,Projetos!F:F)</f>
        <v>0</v>
      </c>
      <c r="X169" s="18">
        <f t="shared" ca="1" si="19"/>
        <v>-44492.451976700264</v>
      </c>
      <c r="Y169" s="26">
        <f ca="1">(U169*((Indicadores_Economicos!D$2+1)^(1/12)-1))</f>
        <v>29713.505222165342</v>
      </c>
      <c r="Z169" s="18">
        <f t="shared" ca="1" si="23"/>
        <v>9061539.6365774907</v>
      </c>
      <c r="AA169" s="18">
        <f ca="1">Auxiliar_Projetos!E169</f>
        <v>89190.6701416531</v>
      </c>
      <c r="AB169" s="18">
        <f ca="1">Auxiliar_Projetos!K169</f>
        <v>497300.4195088119</v>
      </c>
      <c r="AC169" s="18">
        <f ca="1">IF(Z169-AA169-AB169&gt;Investimentos!$C$14,Investimentos!$C$14,IF(Z169-AA169-AB169&lt;Investimentos!$C$14,Z169-AA169-AB169,0))</f>
        <v>300000</v>
      </c>
      <c r="AD169" s="18">
        <f t="shared" ca="1" si="24"/>
        <v>8175048.5469270274</v>
      </c>
      <c r="AE169" s="18"/>
    </row>
    <row r="170" spans="1:31" x14ac:dyDescent="0.2">
      <c r="A170" s="4">
        <v>50771</v>
      </c>
      <c r="B170" s="5" t="str">
        <f t="shared" si="20"/>
        <v>janeiro</v>
      </c>
      <c r="C170" s="5" t="str">
        <f t="shared" si="26"/>
        <v>2039</v>
      </c>
      <c r="D170" s="5">
        <f>SUMIFS(Despesas!$F:$F,Despesas!$J:$J,"&lt;="&amp;$A170,Despesas!$L:$L,"&gt;="&amp;$A170,Despesas!$C:$C,D$1,Despesas!$M:$M,"Mensal")+SUMIFS(Despesas!$F:$F,Despesas!$J:$J,"&lt;="&amp;$A170,Despesas!$L:$L,"&gt;="&amp;$A170,Despesas!$C:$C,D$1,Despesas!$M:$M,$B170)</f>
        <v>23000</v>
      </c>
      <c r="E170" s="18">
        <f>SUMIFS(Despesas!$F:$F,Despesas!$J:$J,"&lt;="&amp;$A170,Despesas!$L:$L,"&gt;="&amp;$A170,Despesas!$C:$C,E$1,Despesas!$M:$M,"Mensal")+SUMIFS(Despesas!$F:$F,Despesas!$J:$J,"&lt;="&amp;$A170,Despesas!$L:$L,"&gt;="&amp;$A170,Despesas!$C:$C,E$1,Despesas!$M:$M,$B170)</f>
        <v>6000</v>
      </c>
      <c r="F170" s="5">
        <f>SUMIFS(Despesas!$F:$F,Despesas!$J:$J,"&lt;="&amp;$A170,Despesas!$L:$L,"&gt;="&amp;$A170,Despesas!$C:$C,F$1,Despesas!$M:$M,"Mensal")+SUMIFS(Despesas!$F:$F,Despesas!$J:$J,"&lt;="&amp;$A170,Despesas!$L:$L,"&gt;="&amp;$A170,Despesas!$C:$C,F$1,Despesas!$M:$M,$B170)</f>
        <v>13000</v>
      </c>
      <c r="G170" s="5">
        <f>SUMIFS(Despesas!$F:$F,Despesas!$J:$J,"&lt;="&amp;$A170,Despesas!$L:$L,"&gt;="&amp;$A170,Despesas!$C:$C,G$1,Despesas!$M:$M,"Mensal")+SUMIFS(Despesas!$F:$F,Despesas!$J:$J,"&lt;="&amp;$A170,Despesas!$L:$L,"&gt;="&amp;$A170,Despesas!$C:$C,G$1,Despesas!$M:$M,$B170)</f>
        <v>0</v>
      </c>
      <c r="H170" s="18">
        <f>SUMIFS(Despesas!$F:$F,Despesas!$J:$J,"&lt;="&amp;$A170,Despesas!$L:$L,"&gt;="&amp;$A170,Despesas!$C:$C,H$1,Despesas!$M:$M,"Mensal")+SUMIFS(Despesas!$F:$F,Despesas!$J:$J,"&lt;="&amp;$A170,Despesas!$L:$L,"&gt;="&amp;$A170,Despesas!$C:$C,H$1,Despesas!$M:$M,$B170)</f>
        <v>1000</v>
      </c>
      <c r="I170" s="18">
        <f>IF(Imóveis!$F$2="PRICE",IF(AND(Dados!$A170&gt;=Imóveis!$Q$2,Dados!$A170&lt;=Imóveis!$T$2),Imóveis!$U$2,0),IF((IF(AND(Dados!$A170&gt;=Imóveis!$Q$2,Dados!$A170&lt;=Imóveis!$T$2),Imóveis!$S$2-(DATEDIF(Imóveis!$Q$2,Dados!$A170,"m")),0))=0,0,((Imóveis!$N$2/Imóveis!$S$2)+((Imóveis!$N$2-((Imóveis!$S$2-(IF(AND(Dados!$A170&gt;=Imóveis!$Q$2,Dados!$A170&lt;=Imóveis!$T$2),Imóveis!$S$2-(DATEDIF(Imóveis!$Q$2,Dados!$A170,"m")),)))*(Imóveis!$N$2/Imóveis!$S$2)))*Imóveis!$P$2))))*IF(AND(Imóveis!$E$2&gt;0,Dados!$A170&gt;Imóveis!$E$2),0,1)</f>
        <v>8522.0308844754636</v>
      </c>
      <c r="J170" s="18">
        <f ca="1">IF(Imóveis!$F$3="PRICE",IF(AND(Dados!$A170&gt;=Imóveis!$Q$3,Dados!$A170&lt;=Imóveis!$T$3),Imóveis!$U$3,0),IF((IF(AND(Dados!$A170&gt;=Imóveis!$Q$3,Dados!$A170&lt;=Imóveis!$T$3),Imóveis!$S$3-(DATEDIF(Imóveis!$Q$3,Dados!$A170,"m")),0))=0,0,((Imóveis!$N$3/Imóveis!$S$3)+((Imóveis!$N$3-((Imóveis!$S$3-(IF(AND(Dados!$A170&gt;=Imóveis!$Q$3,Dados!$A170&lt;=Imóveis!$T$3),Imóveis!$S$3-(DATEDIF(Imóveis!$Q$3,Dados!$A170,"m")),)))*(Imóveis!$N$3/Imóveis!$S$3)))*Imóveis!$P$3))))*IF(AND(Imóveis!$E$3&gt;0,Dados!$A170&gt;Imóveis!$E$3),0,1)</f>
        <v>0</v>
      </c>
      <c r="K170" s="18">
        <f>IF(Imóveis!$F$4="PRICE",IF(AND(Dados!$A170&gt;=Imóveis!$Q$4,Dados!$A170&lt;=Imóveis!$T$4),Imóveis!$U$4,0),IF((IF(AND(Dados!$A170&gt;=Imóveis!$Q$4,Dados!$A170&lt;=Imóveis!$T$4),Imóveis!$S$4-(DATEDIF(Imóveis!$Q$4,Dados!$A170,"m")),0))=0,0,((Imóveis!$N$4/Imóveis!$S$4)+((Imóveis!$N$4-((Imóveis!$S$4-(IF(AND(Dados!$A170&gt;=Imóveis!$Q$4,Dados!$A170&lt;=Imóveis!$T$4),Imóveis!$S$4-(DATEDIF(Imóveis!$Q$4,Dados!$A170,"m")),)))*(Imóveis!$N$4/Imóveis!$S$4)))*Imóveis!$P$4))))*IF(AND(Imóveis!$E$4&gt;0,Dados!$A170&gt;Imóveis!$E$4),0,1)</f>
        <v>0</v>
      </c>
      <c r="L170" s="18">
        <f>IF(Imóveis!$F$5="PRICE",IF(AND(Dados!$A170&gt;=Imóveis!$Q$5,Dados!$A170&lt;=Imóveis!$T$5),Imóveis!$U$5,0),IF((IF(AND(Dados!$A170&gt;=Imóveis!$Q$5,Dados!$A170&lt;=Imóveis!$T$5),Imóveis!$S$5-(DATEDIF(Imóveis!$Q$5,Dados!$A170,"m")),0))=0,0,((Imóveis!$N$5/Imóveis!$S$5)+((Imóveis!$N$5-((Imóveis!$S$5-(IF(AND(Dados!$A170 &gt;=Imóveis!$Q$5,Dados!$A170&lt;=Imóveis!$T$5),Imóveis!$S$5-(DATEDIF(Imóveis!$Q$5,Dados!$A170,"m")),)))*(Imóveis!$N$5/Imóveis!$S$5)))*Imóveis!$P$5))))*IF(AND(Imóveis!$E$5&gt;0,Dados!$A170&gt;Imóveis!$E$5),0,1)*Imóveis!$I$5</f>
        <v>0</v>
      </c>
      <c r="M170" s="18">
        <f>IF(Imóveis!$F$6="PRICE",IF(AND(Dados!$A170&gt;=Imóveis!$Q$6,Dados!$A170&lt;=Imóveis!$T$6),Imóveis!$U$6,0),IF((IF(AND(Dados!$A170&gt;=Imóveis!$Q$6,Dados!$A170&lt;=Imóveis!$T$6),Imóveis!$S$6-(DATEDIF(Imóveis!$Q$6,Dados!$A170,"m")),0))=0,0,((Imóveis!$N$6/Imóveis!$S$6)+((Imóveis!$N$6-((Imóveis!$S$6-(IF(AND(Dados!$A170&gt;=Imóveis!$Q$6,Dados!$A170&lt;=Imóveis!$T$6),Imóveis!$S$6-(DATEDIF(Imóveis!$Q$6,Dados!$A170,"m")),)))*(Imóveis!$N$6/Imóveis!$S$6)))*Imóveis!$P$6))))*IF(AND(Imóveis!$E$6&gt;0,Dados!$A170&gt;Imóveis!$E$6),0,1)*Imóveis!$I$6</f>
        <v>0</v>
      </c>
      <c r="N170" s="18">
        <f t="shared" ca="1" si="21"/>
        <v>51522.030884475462</v>
      </c>
      <c r="O170" s="18">
        <f>SUMIFS(Receitas!$F:$F,Receitas!$J:$J,"&lt;="&amp;$A170,Receitas!$L:$L,"&gt;="&amp;$A170,Receitas!$C:$C,O$1,Receitas!$M:$M,"Mensal")+SUMIFS(Receitas!$F:$F,Receitas!$J:$J,"&lt;="&amp;$A170,Receitas!$L:$L,"&gt;="&amp;$A170,Receitas!$C:$C,O$1,Receitas!$M:$M,$B170)</f>
        <v>50000</v>
      </c>
      <c r="P170" s="18">
        <f>SUMIFS(Receitas!$F:$F,Receitas!$J:$J,"&lt;="&amp;$A170,Receitas!$L:$L,"&gt;="&amp;$A170,Receitas!$C:$C,P$1,Receitas!$M:$M,"Mensal")+SUMIFS(Receitas!$F:$F,Receitas!$J:$J,"&lt;="&amp;$A170,Receitas!$L:$L,"&gt;="&amp;$A170,Receitas!$C:$C,P$1,Receitas!$M:$M,$B170)</f>
        <v>20000</v>
      </c>
      <c r="Q170" s="18">
        <f>SUMIFS(Receitas!$F:$F,Receitas!$J:$J,"&lt;="&amp;$A170,Receitas!$L:$L,"&gt;="&amp;$A170,Receitas!$C:$C,Q$1,Receitas!$M:$M,"Mensal")+SUMIFS(Receitas!$F:$F,Receitas!$J:$J,"&lt;="&amp;$A170,Receitas!$L:$L,"&gt;="&amp;$A170,Receitas!$C:$C,Q$1,Receitas!$M:$M,$B170)</f>
        <v>0</v>
      </c>
      <c r="R170" s="18" cm="1">
        <f t="array" ref="R170">(IF(AND(Membros!$F$2="Sim",A170&lt;=MAX(Membros!$E$2:$E$5)),Membros!K$2,IF(AND(A170&gt;=Membros!J$2,A170&lt;=MAX(Membros!$E$2:$E$5)),Membros!K$2,0))+IF(AND(Membros!$F$3="Sim",A170&lt;=MAX(Membros!$E$2:$E$5)),Membros!K$3,IF(AND(A170&gt;=Membros!J$3,A170&lt;=MAX(Membros!$E$2:$E$5)),Membros!K$3,0)))*IF(AND(COUNTIFS(Tabela3[Tipo],"Provedor",Tabela3[Simulação Seguro],"Sim")=2,A170&gt;=MAX(IF(Tabela3[Tipo]="Dependente",Tabela3[Expectativa de Vida (Data)]))),0,1)</f>
        <v>0</v>
      </c>
      <c r="S170" s="18">
        <f t="shared" si="22"/>
        <v>70000</v>
      </c>
      <c r="U170" s="18">
        <f t="shared" ca="1" si="25"/>
        <v>9061539.6365774907</v>
      </c>
      <c r="V170" s="18">
        <f>SUMIF(Imóveis!E:E,Dados!A:A,Imóveis!Z:Z)-SUMIF(Imóveis!E:E,Dados!A:A,Imóveis!Y:Y)</f>
        <v>0</v>
      </c>
      <c r="W170" s="18">
        <f>-SUMIF(Projetos!N:N,A170,Projetos!F:F)</f>
        <v>0</v>
      </c>
      <c r="X170" s="18">
        <f t="shared" ca="1" si="19"/>
        <v>18477.969115524538</v>
      </c>
      <c r="Y170" s="26">
        <f ca="1">(U170*((Indicadores_Economicos!D$2+1)^(1/12)-1))</f>
        <v>29665.122796236024</v>
      </c>
      <c r="Z170" s="18">
        <f t="shared" ca="1" si="23"/>
        <v>9109682.7284892499</v>
      </c>
      <c r="AA170" s="18">
        <f ca="1">Auxiliar_Projetos!E170</f>
        <v>89482.657186696815</v>
      </c>
      <c r="AB170" s="18">
        <f ca="1">Auxiliar_Projetos!K170</f>
        <v>498928.45167586213</v>
      </c>
      <c r="AC170" s="18">
        <f ca="1">IF(Z170-AA170-AB170&gt;Investimentos!$C$14,Investimentos!$C$14,IF(Z170-AA170-AB170&lt;Investimentos!$C$14,Z170-AA170-AB170,0))</f>
        <v>300000</v>
      </c>
      <c r="AD170" s="18">
        <f t="shared" ca="1" si="24"/>
        <v>8221271.6196266916</v>
      </c>
      <c r="AE170" s="18"/>
    </row>
    <row r="171" spans="1:31" x14ac:dyDescent="0.2">
      <c r="A171" s="4">
        <v>50802</v>
      </c>
      <c r="B171" s="5" t="str">
        <f t="shared" si="20"/>
        <v>fevereiro</v>
      </c>
      <c r="C171" s="5" t="str">
        <f t="shared" si="26"/>
        <v>2039</v>
      </c>
      <c r="D171" s="5">
        <f>SUMIFS(Despesas!$F:$F,Despesas!$J:$J,"&lt;="&amp;$A171,Despesas!$L:$L,"&gt;="&amp;$A171,Despesas!$C:$C,D$1,Despesas!$M:$M,"Mensal")+SUMIFS(Despesas!$F:$F,Despesas!$J:$J,"&lt;="&amp;$A171,Despesas!$L:$L,"&gt;="&amp;$A171,Despesas!$C:$C,D$1,Despesas!$M:$M,$B171)</f>
        <v>23000</v>
      </c>
      <c r="E171" s="18">
        <f>SUMIFS(Despesas!$F:$F,Despesas!$J:$J,"&lt;="&amp;$A171,Despesas!$L:$L,"&gt;="&amp;$A171,Despesas!$C:$C,E$1,Despesas!$M:$M,"Mensal")+SUMIFS(Despesas!$F:$F,Despesas!$J:$J,"&lt;="&amp;$A171,Despesas!$L:$L,"&gt;="&amp;$A171,Despesas!$C:$C,E$1,Despesas!$M:$M,$B171)</f>
        <v>6000</v>
      </c>
      <c r="F171" s="5">
        <f>SUMIFS(Despesas!$F:$F,Despesas!$J:$J,"&lt;="&amp;$A171,Despesas!$L:$L,"&gt;="&amp;$A171,Despesas!$C:$C,F$1,Despesas!$M:$M,"Mensal")+SUMIFS(Despesas!$F:$F,Despesas!$J:$J,"&lt;="&amp;$A171,Despesas!$L:$L,"&gt;="&amp;$A171,Despesas!$C:$C,F$1,Despesas!$M:$M,$B171)</f>
        <v>13000</v>
      </c>
      <c r="G171" s="5">
        <f>SUMIFS(Despesas!$F:$F,Despesas!$J:$J,"&lt;="&amp;$A171,Despesas!$L:$L,"&gt;="&amp;$A171,Despesas!$C:$C,G$1,Despesas!$M:$M,"Mensal")+SUMIFS(Despesas!$F:$F,Despesas!$J:$J,"&lt;="&amp;$A171,Despesas!$L:$L,"&gt;="&amp;$A171,Despesas!$C:$C,G$1,Despesas!$M:$M,$B171)</f>
        <v>0</v>
      </c>
      <c r="H171" s="18">
        <f>SUMIFS(Despesas!$F:$F,Despesas!$J:$J,"&lt;="&amp;$A171,Despesas!$L:$L,"&gt;="&amp;$A171,Despesas!$C:$C,H$1,Despesas!$M:$M,"Mensal")+SUMIFS(Despesas!$F:$F,Despesas!$J:$J,"&lt;="&amp;$A171,Despesas!$L:$L,"&gt;="&amp;$A171,Despesas!$C:$C,H$1,Despesas!$M:$M,$B171)</f>
        <v>2200</v>
      </c>
      <c r="I171" s="18">
        <f>IF(Imóveis!$F$2="PRICE",IF(AND(Dados!$A171&gt;=Imóveis!$Q$2,Dados!$A171&lt;=Imóveis!$T$2),Imóveis!$U$2,0),IF((IF(AND(Dados!$A171&gt;=Imóveis!$Q$2,Dados!$A171&lt;=Imóveis!$T$2),Imóveis!$S$2-(DATEDIF(Imóveis!$Q$2,Dados!$A171,"m")),0))=0,0,((Imóveis!$N$2/Imóveis!$S$2)+((Imóveis!$N$2-((Imóveis!$S$2-(IF(AND(Dados!$A171&gt;=Imóveis!$Q$2,Dados!$A171&lt;=Imóveis!$T$2),Imóveis!$S$2-(DATEDIF(Imóveis!$Q$2,Dados!$A171,"m")),)))*(Imóveis!$N$2/Imóveis!$S$2)))*Imóveis!$P$2))))*IF(AND(Imóveis!$E$2&gt;0,Dados!$A171&gt;Imóveis!$E$2),0,1)</f>
        <v>8460.0097922506557</v>
      </c>
      <c r="J171" s="18">
        <f ca="1">IF(Imóveis!$F$3="PRICE",IF(AND(Dados!$A171&gt;=Imóveis!$Q$3,Dados!$A171&lt;=Imóveis!$T$3),Imóveis!$U$3,0),IF((IF(AND(Dados!$A171&gt;=Imóveis!$Q$3,Dados!$A171&lt;=Imóveis!$T$3),Imóveis!$S$3-(DATEDIF(Imóveis!$Q$3,Dados!$A171,"m")),0))=0,0,((Imóveis!$N$3/Imóveis!$S$3)+((Imóveis!$N$3-((Imóveis!$S$3-(IF(AND(Dados!$A171&gt;=Imóveis!$Q$3,Dados!$A171&lt;=Imóveis!$T$3),Imóveis!$S$3-(DATEDIF(Imóveis!$Q$3,Dados!$A171,"m")),)))*(Imóveis!$N$3/Imóveis!$S$3)))*Imóveis!$P$3))))*IF(AND(Imóveis!$E$3&gt;0,Dados!$A171&gt;Imóveis!$E$3),0,1)</f>
        <v>0</v>
      </c>
      <c r="K171" s="18">
        <f>IF(Imóveis!$F$4="PRICE",IF(AND(Dados!$A171&gt;=Imóveis!$Q$4,Dados!$A171&lt;=Imóveis!$T$4),Imóveis!$U$4,0),IF((IF(AND(Dados!$A171&gt;=Imóveis!$Q$4,Dados!$A171&lt;=Imóveis!$T$4),Imóveis!$S$4-(DATEDIF(Imóveis!$Q$4,Dados!$A171,"m")),0))=0,0,((Imóveis!$N$4/Imóveis!$S$4)+((Imóveis!$N$4-((Imóveis!$S$4-(IF(AND(Dados!$A171&gt;=Imóveis!$Q$4,Dados!$A171&lt;=Imóveis!$T$4),Imóveis!$S$4-(DATEDIF(Imóveis!$Q$4,Dados!$A171,"m")),)))*(Imóveis!$N$4/Imóveis!$S$4)))*Imóveis!$P$4))))*IF(AND(Imóveis!$E$4&gt;0,Dados!$A171&gt;Imóveis!$E$4),0,1)</f>
        <v>0</v>
      </c>
      <c r="L171" s="18">
        <f>IF(Imóveis!$F$5="PRICE",IF(AND(Dados!$A171&gt;=Imóveis!$Q$5,Dados!$A171&lt;=Imóveis!$T$5),Imóveis!$U$5,0),IF((IF(AND(Dados!$A171&gt;=Imóveis!$Q$5,Dados!$A171&lt;=Imóveis!$T$5),Imóveis!$S$5-(DATEDIF(Imóveis!$Q$5,Dados!$A171,"m")),0))=0,0,((Imóveis!$N$5/Imóveis!$S$5)+((Imóveis!$N$5-((Imóveis!$S$5-(IF(AND(Dados!$A171 &gt;=Imóveis!$Q$5,Dados!$A171&lt;=Imóveis!$T$5),Imóveis!$S$5-(DATEDIF(Imóveis!$Q$5,Dados!$A171,"m")),)))*(Imóveis!$N$5/Imóveis!$S$5)))*Imóveis!$P$5))))*IF(AND(Imóveis!$E$5&gt;0,Dados!$A171&gt;Imóveis!$E$5),0,1)*Imóveis!$I$5</f>
        <v>0</v>
      </c>
      <c r="M171" s="18">
        <f>IF(Imóveis!$F$6="PRICE",IF(AND(Dados!$A171&gt;=Imóveis!$Q$6,Dados!$A171&lt;=Imóveis!$T$6),Imóveis!$U$6,0),IF((IF(AND(Dados!$A171&gt;=Imóveis!$Q$6,Dados!$A171&lt;=Imóveis!$T$6),Imóveis!$S$6-(DATEDIF(Imóveis!$Q$6,Dados!$A171,"m")),0))=0,0,((Imóveis!$N$6/Imóveis!$S$6)+((Imóveis!$N$6-((Imóveis!$S$6-(IF(AND(Dados!$A171&gt;=Imóveis!$Q$6,Dados!$A171&lt;=Imóveis!$T$6),Imóveis!$S$6-(DATEDIF(Imóveis!$Q$6,Dados!$A171,"m")),)))*(Imóveis!$N$6/Imóveis!$S$6)))*Imóveis!$P$6))))*IF(AND(Imóveis!$E$6&gt;0,Dados!$A171&gt;Imóveis!$E$6),0,1)*Imóveis!$I$6</f>
        <v>0</v>
      </c>
      <c r="N171" s="18">
        <f t="shared" ca="1" si="21"/>
        <v>52660.009792250654</v>
      </c>
      <c r="O171" s="18">
        <f>SUMIFS(Receitas!$F:$F,Receitas!$J:$J,"&lt;="&amp;$A171,Receitas!$L:$L,"&gt;="&amp;$A171,Receitas!$C:$C,O$1,Receitas!$M:$M,"Mensal")+SUMIFS(Receitas!$F:$F,Receitas!$J:$J,"&lt;="&amp;$A171,Receitas!$L:$L,"&gt;="&amp;$A171,Receitas!$C:$C,O$1,Receitas!$M:$M,$B171)</f>
        <v>50000</v>
      </c>
      <c r="P171" s="18">
        <f>SUMIFS(Receitas!$F:$F,Receitas!$J:$J,"&lt;="&amp;$A171,Receitas!$L:$L,"&gt;="&amp;$A171,Receitas!$C:$C,P$1,Receitas!$M:$M,"Mensal")+SUMIFS(Receitas!$F:$F,Receitas!$J:$J,"&lt;="&amp;$A171,Receitas!$L:$L,"&gt;="&amp;$A171,Receitas!$C:$C,P$1,Receitas!$M:$M,$B171)</f>
        <v>20000</v>
      </c>
      <c r="Q171" s="18">
        <f>SUMIFS(Receitas!$F:$F,Receitas!$J:$J,"&lt;="&amp;$A171,Receitas!$L:$L,"&gt;="&amp;$A171,Receitas!$C:$C,Q$1,Receitas!$M:$M,"Mensal")+SUMIFS(Receitas!$F:$F,Receitas!$J:$J,"&lt;="&amp;$A171,Receitas!$L:$L,"&gt;="&amp;$A171,Receitas!$C:$C,Q$1,Receitas!$M:$M,$B171)</f>
        <v>0</v>
      </c>
      <c r="R171" s="18" cm="1">
        <f t="array" ref="R171">(IF(AND(Membros!$F$2="Sim",A171&lt;=MAX(Membros!$E$2:$E$5)),Membros!K$2,IF(AND(A171&gt;=Membros!J$2,A171&lt;=MAX(Membros!$E$2:$E$5)),Membros!K$2,0))+IF(AND(Membros!$F$3="Sim",A171&lt;=MAX(Membros!$E$2:$E$5)),Membros!K$3,IF(AND(A171&gt;=Membros!J$3,A171&lt;=MAX(Membros!$E$2:$E$5)),Membros!K$3,0)))*IF(AND(COUNTIFS(Tabela3[Tipo],"Provedor",Tabela3[Simulação Seguro],"Sim")=2,A171&gt;=MAX(IF(Tabela3[Tipo]="Dependente",Tabela3[Expectativa de Vida (Data)]))),0,1)</f>
        <v>0</v>
      </c>
      <c r="S171" s="18">
        <f t="shared" si="22"/>
        <v>70000</v>
      </c>
      <c r="U171" s="18">
        <f t="shared" ca="1" si="25"/>
        <v>9109682.7284892499</v>
      </c>
      <c r="V171" s="18">
        <f>SUMIF(Imóveis!E:E,Dados!A:A,Imóveis!Z:Z)-SUMIF(Imóveis!E:E,Dados!A:A,Imóveis!Y:Y)</f>
        <v>0</v>
      </c>
      <c r="W171" s="18">
        <f>-SUMIF(Projetos!N:N,A171,Projetos!F:F)</f>
        <v>0</v>
      </c>
      <c r="X171" s="18">
        <f t="shared" ca="1" si="19"/>
        <v>17339.990207749346</v>
      </c>
      <c r="Y171" s="26">
        <f ca="1">(U171*((Indicadores_Economicos!D$2+1)^(1/12)-1))</f>
        <v>29822.73075146561</v>
      </c>
      <c r="Z171" s="18">
        <f t="shared" ca="1" si="23"/>
        <v>9156845.4494484644</v>
      </c>
      <c r="AA171" s="18">
        <f ca="1">Auxiliar_Projetos!E171</f>
        <v>89775.600121345778</v>
      </c>
      <c r="AB171" s="18">
        <f ca="1">Auxiliar_Projetos!K171</f>
        <v>500561.81359658431</v>
      </c>
      <c r="AC171" s="18">
        <f ca="1">IF(Z171-AA171-AB171&gt;Investimentos!$C$14,Investimentos!$C$14,IF(Z171-AA171-AB171&lt;Investimentos!$C$14,Z171-AA171-AB171,0))</f>
        <v>300000</v>
      </c>
      <c r="AD171" s="18">
        <f t="shared" ca="1" si="24"/>
        <v>8266508.0357305352</v>
      </c>
      <c r="AE171" s="18"/>
    </row>
    <row r="172" spans="1:31" x14ac:dyDescent="0.2">
      <c r="A172" s="4">
        <v>50830</v>
      </c>
      <c r="B172" s="5" t="str">
        <f t="shared" si="20"/>
        <v>março</v>
      </c>
      <c r="C172" s="5" t="str">
        <f t="shared" si="26"/>
        <v>2039</v>
      </c>
      <c r="D172" s="5">
        <f>SUMIFS(Despesas!$F:$F,Despesas!$J:$J,"&lt;="&amp;$A172,Despesas!$L:$L,"&gt;="&amp;$A172,Despesas!$C:$C,D$1,Despesas!$M:$M,"Mensal")+SUMIFS(Despesas!$F:$F,Despesas!$J:$J,"&lt;="&amp;$A172,Despesas!$L:$L,"&gt;="&amp;$A172,Despesas!$C:$C,D$1,Despesas!$M:$M,$B172)</f>
        <v>23000</v>
      </c>
      <c r="E172" s="18">
        <f>SUMIFS(Despesas!$F:$F,Despesas!$J:$J,"&lt;="&amp;$A172,Despesas!$L:$L,"&gt;="&amp;$A172,Despesas!$C:$C,E$1,Despesas!$M:$M,"Mensal")+SUMIFS(Despesas!$F:$F,Despesas!$J:$J,"&lt;="&amp;$A172,Despesas!$L:$L,"&gt;="&amp;$A172,Despesas!$C:$C,E$1,Despesas!$M:$M,$B172)</f>
        <v>6000</v>
      </c>
      <c r="F172" s="5">
        <f>SUMIFS(Despesas!$F:$F,Despesas!$J:$J,"&lt;="&amp;$A172,Despesas!$L:$L,"&gt;="&amp;$A172,Despesas!$C:$C,F$1,Despesas!$M:$M,"Mensal")+SUMIFS(Despesas!$F:$F,Despesas!$J:$J,"&lt;="&amp;$A172,Despesas!$L:$L,"&gt;="&amp;$A172,Despesas!$C:$C,F$1,Despesas!$M:$M,$B172)</f>
        <v>13000</v>
      </c>
      <c r="G172" s="5">
        <f>SUMIFS(Despesas!$F:$F,Despesas!$J:$J,"&lt;="&amp;$A172,Despesas!$L:$L,"&gt;="&amp;$A172,Despesas!$C:$C,G$1,Despesas!$M:$M,"Mensal")+SUMIFS(Despesas!$F:$F,Despesas!$J:$J,"&lt;="&amp;$A172,Despesas!$L:$L,"&gt;="&amp;$A172,Despesas!$C:$C,G$1,Despesas!$M:$M,$B172)</f>
        <v>0</v>
      </c>
      <c r="H172" s="18">
        <f>SUMIFS(Despesas!$F:$F,Despesas!$J:$J,"&lt;="&amp;$A172,Despesas!$L:$L,"&gt;="&amp;$A172,Despesas!$C:$C,H$1,Despesas!$M:$M,"Mensal")+SUMIFS(Despesas!$F:$F,Despesas!$J:$J,"&lt;="&amp;$A172,Despesas!$L:$L,"&gt;="&amp;$A172,Despesas!$C:$C,H$1,Despesas!$M:$M,$B172)</f>
        <v>1000</v>
      </c>
      <c r="I172" s="18">
        <f>IF(Imóveis!$F$2="PRICE",IF(AND(Dados!$A172&gt;=Imóveis!$Q$2,Dados!$A172&lt;=Imóveis!$T$2),Imóveis!$U$2,0),IF((IF(AND(Dados!$A172&gt;=Imóveis!$Q$2,Dados!$A172&lt;=Imóveis!$T$2),Imóveis!$S$2-(DATEDIF(Imóveis!$Q$2,Dados!$A172,"m")),0))=0,0,((Imóveis!$N$2/Imóveis!$S$2)+((Imóveis!$N$2-((Imóveis!$S$2-(IF(AND(Dados!$A172&gt;=Imóveis!$Q$2,Dados!$A172&lt;=Imóveis!$T$2),Imóveis!$S$2-(DATEDIF(Imóveis!$Q$2,Dados!$A172,"m")),)))*(Imóveis!$N$2/Imóveis!$S$2)))*Imóveis!$P$2))))*IF(AND(Imóveis!$E$2&gt;0,Dados!$A172&gt;Imóveis!$E$2),0,1)</f>
        <v>8397.9887000258477</v>
      </c>
      <c r="J172" s="18">
        <f ca="1">IF(Imóveis!$F$3="PRICE",IF(AND(Dados!$A172&gt;=Imóveis!$Q$3,Dados!$A172&lt;=Imóveis!$T$3),Imóveis!$U$3,0),IF((IF(AND(Dados!$A172&gt;=Imóveis!$Q$3,Dados!$A172&lt;=Imóveis!$T$3),Imóveis!$S$3-(DATEDIF(Imóveis!$Q$3,Dados!$A172,"m")),0))=0,0,((Imóveis!$N$3/Imóveis!$S$3)+((Imóveis!$N$3-((Imóveis!$S$3-(IF(AND(Dados!$A172&gt;=Imóveis!$Q$3,Dados!$A172&lt;=Imóveis!$T$3),Imóveis!$S$3-(DATEDIF(Imóveis!$Q$3,Dados!$A172,"m")),)))*(Imóveis!$N$3/Imóveis!$S$3)))*Imóveis!$P$3))))*IF(AND(Imóveis!$E$3&gt;0,Dados!$A172&gt;Imóveis!$E$3),0,1)</f>
        <v>0</v>
      </c>
      <c r="K172" s="18">
        <f>IF(Imóveis!$F$4="PRICE",IF(AND(Dados!$A172&gt;=Imóveis!$Q$4,Dados!$A172&lt;=Imóveis!$T$4),Imóveis!$U$4,0),IF((IF(AND(Dados!$A172&gt;=Imóveis!$Q$4,Dados!$A172&lt;=Imóveis!$T$4),Imóveis!$S$4-(DATEDIF(Imóveis!$Q$4,Dados!$A172,"m")),0))=0,0,((Imóveis!$N$4/Imóveis!$S$4)+((Imóveis!$N$4-((Imóveis!$S$4-(IF(AND(Dados!$A172&gt;=Imóveis!$Q$4,Dados!$A172&lt;=Imóveis!$T$4),Imóveis!$S$4-(DATEDIF(Imóveis!$Q$4,Dados!$A172,"m")),)))*(Imóveis!$N$4/Imóveis!$S$4)))*Imóveis!$P$4))))*IF(AND(Imóveis!$E$4&gt;0,Dados!$A172&gt;Imóveis!$E$4),0,1)</f>
        <v>0</v>
      </c>
      <c r="L172" s="18">
        <f>IF(Imóveis!$F$5="PRICE",IF(AND(Dados!$A172&gt;=Imóveis!$Q$5,Dados!$A172&lt;=Imóveis!$T$5),Imóveis!$U$5,0),IF((IF(AND(Dados!$A172&gt;=Imóveis!$Q$5,Dados!$A172&lt;=Imóveis!$T$5),Imóveis!$S$5-(DATEDIF(Imóveis!$Q$5,Dados!$A172,"m")),0))=0,0,((Imóveis!$N$5/Imóveis!$S$5)+((Imóveis!$N$5-((Imóveis!$S$5-(IF(AND(Dados!$A172 &gt;=Imóveis!$Q$5,Dados!$A172&lt;=Imóveis!$T$5),Imóveis!$S$5-(DATEDIF(Imóveis!$Q$5,Dados!$A172,"m")),)))*(Imóveis!$N$5/Imóveis!$S$5)))*Imóveis!$P$5))))*IF(AND(Imóveis!$E$5&gt;0,Dados!$A172&gt;Imóveis!$E$5),0,1)*Imóveis!$I$5</f>
        <v>0</v>
      </c>
      <c r="M172" s="18">
        <f>IF(Imóveis!$F$6="PRICE",IF(AND(Dados!$A172&gt;=Imóveis!$Q$6,Dados!$A172&lt;=Imóveis!$T$6),Imóveis!$U$6,0),IF((IF(AND(Dados!$A172&gt;=Imóveis!$Q$6,Dados!$A172&lt;=Imóveis!$T$6),Imóveis!$S$6-(DATEDIF(Imóveis!$Q$6,Dados!$A172,"m")),0))=0,0,((Imóveis!$N$6/Imóveis!$S$6)+((Imóveis!$N$6-((Imóveis!$S$6-(IF(AND(Dados!$A172&gt;=Imóveis!$Q$6,Dados!$A172&lt;=Imóveis!$T$6),Imóveis!$S$6-(DATEDIF(Imóveis!$Q$6,Dados!$A172,"m")),)))*(Imóveis!$N$6/Imóveis!$S$6)))*Imóveis!$P$6))))*IF(AND(Imóveis!$E$6&gt;0,Dados!$A172&gt;Imóveis!$E$6),0,1)*Imóveis!$I$6</f>
        <v>0</v>
      </c>
      <c r="N172" s="18">
        <f t="shared" ca="1" si="21"/>
        <v>51397.988700025846</v>
      </c>
      <c r="O172" s="18">
        <f>SUMIFS(Receitas!$F:$F,Receitas!$J:$J,"&lt;="&amp;$A172,Receitas!$L:$L,"&gt;="&amp;$A172,Receitas!$C:$C,O$1,Receitas!$M:$M,"Mensal")+SUMIFS(Receitas!$F:$F,Receitas!$J:$J,"&lt;="&amp;$A172,Receitas!$L:$L,"&gt;="&amp;$A172,Receitas!$C:$C,O$1,Receitas!$M:$M,$B172)</f>
        <v>50000</v>
      </c>
      <c r="P172" s="18">
        <f>SUMIFS(Receitas!$F:$F,Receitas!$J:$J,"&lt;="&amp;$A172,Receitas!$L:$L,"&gt;="&amp;$A172,Receitas!$C:$C,P$1,Receitas!$M:$M,"Mensal")+SUMIFS(Receitas!$F:$F,Receitas!$J:$J,"&lt;="&amp;$A172,Receitas!$L:$L,"&gt;="&amp;$A172,Receitas!$C:$C,P$1,Receitas!$M:$M,$B172)</f>
        <v>20000</v>
      </c>
      <c r="Q172" s="18">
        <f>SUMIFS(Receitas!$F:$F,Receitas!$J:$J,"&lt;="&amp;$A172,Receitas!$L:$L,"&gt;="&amp;$A172,Receitas!$C:$C,Q$1,Receitas!$M:$M,"Mensal")+SUMIFS(Receitas!$F:$F,Receitas!$J:$J,"&lt;="&amp;$A172,Receitas!$L:$L,"&gt;="&amp;$A172,Receitas!$C:$C,Q$1,Receitas!$M:$M,$B172)</f>
        <v>0</v>
      </c>
      <c r="R172" s="18" cm="1">
        <f t="array" ref="R172">(IF(AND(Membros!$F$2="Sim",A172&lt;=MAX(Membros!$E$2:$E$5)),Membros!K$2,IF(AND(A172&gt;=Membros!J$2,A172&lt;=MAX(Membros!$E$2:$E$5)),Membros!K$2,0))+IF(AND(Membros!$F$3="Sim",A172&lt;=MAX(Membros!$E$2:$E$5)),Membros!K$3,IF(AND(A172&gt;=Membros!J$3,A172&lt;=MAX(Membros!$E$2:$E$5)),Membros!K$3,0)))*IF(AND(COUNTIFS(Tabela3[Tipo],"Provedor",Tabela3[Simulação Seguro],"Sim")=2,A172&gt;=MAX(IF(Tabela3[Tipo]="Dependente",Tabela3[Expectativa de Vida (Data)]))),0,1)</f>
        <v>0</v>
      </c>
      <c r="S172" s="18">
        <f t="shared" si="22"/>
        <v>70000</v>
      </c>
      <c r="U172" s="18">
        <f t="shared" ca="1" si="25"/>
        <v>9156845.4494484644</v>
      </c>
      <c r="V172" s="18">
        <f>SUMIF(Imóveis!E:E,Dados!A:A,Imóveis!Z:Z)-SUMIF(Imóveis!E:E,Dados!A:A,Imóveis!Y:Y)</f>
        <v>0</v>
      </c>
      <c r="W172" s="18">
        <f>-SUMIF(Projetos!N:N,A172,Projetos!F:F)</f>
        <v>0</v>
      </c>
      <c r="X172" s="18">
        <f t="shared" ca="1" si="19"/>
        <v>18602.011299974154</v>
      </c>
      <c r="Y172" s="26">
        <f ca="1">(U172*((Indicadores_Economicos!D$2+1)^(1/12)-1))</f>
        <v>29977.129227306537</v>
      </c>
      <c r="Z172" s="18">
        <f t="shared" ca="1" si="23"/>
        <v>9205424.5899757445</v>
      </c>
      <c r="AA172" s="18">
        <f ca="1">Auxiliar_Projetos!E172</f>
        <v>90069.502074933815</v>
      </c>
      <c r="AB172" s="18">
        <f ca="1">Auxiliar_Projetos!K172</f>
        <v>502200.52271920507</v>
      </c>
      <c r="AC172" s="18">
        <f ca="1">IF(Z172-AA172-AB172&gt;Investimentos!$C$14,Investimentos!$C$14,IF(Z172-AA172-AB172&lt;Investimentos!$C$14,Z172-AA172-AB172,0))</f>
        <v>300000</v>
      </c>
      <c r="AD172" s="18">
        <f t="shared" ca="1" si="24"/>
        <v>8313154.5651816055</v>
      </c>
      <c r="AE172" s="18"/>
    </row>
    <row r="173" spans="1:31" x14ac:dyDescent="0.2">
      <c r="A173" s="4">
        <v>50861</v>
      </c>
      <c r="B173" s="5" t="str">
        <f t="shared" si="20"/>
        <v>abril</v>
      </c>
      <c r="C173" s="5" t="str">
        <f t="shared" si="26"/>
        <v>2039</v>
      </c>
      <c r="D173" s="5">
        <f>SUMIFS(Despesas!$F:$F,Despesas!$J:$J,"&lt;="&amp;$A173,Despesas!$L:$L,"&gt;="&amp;$A173,Despesas!$C:$C,D$1,Despesas!$M:$M,"Mensal")+SUMIFS(Despesas!$F:$F,Despesas!$J:$J,"&lt;="&amp;$A173,Despesas!$L:$L,"&gt;="&amp;$A173,Despesas!$C:$C,D$1,Despesas!$M:$M,$B173)</f>
        <v>23000</v>
      </c>
      <c r="E173" s="18">
        <f>SUMIFS(Despesas!$F:$F,Despesas!$J:$J,"&lt;="&amp;$A173,Despesas!$L:$L,"&gt;="&amp;$A173,Despesas!$C:$C,E$1,Despesas!$M:$M,"Mensal")+SUMIFS(Despesas!$F:$F,Despesas!$J:$J,"&lt;="&amp;$A173,Despesas!$L:$L,"&gt;="&amp;$A173,Despesas!$C:$C,E$1,Despesas!$M:$M,$B173)</f>
        <v>6000</v>
      </c>
      <c r="F173" s="5">
        <f>SUMIFS(Despesas!$F:$F,Despesas!$J:$J,"&lt;="&amp;$A173,Despesas!$L:$L,"&gt;="&amp;$A173,Despesas!$C:$C,F$1,Despesas!$M:$M,"Mensal")+SUMIFS(Despesas!$F:$F,Despesas!$J:$J,"&lt;="&amp;$A173,Despesas!$L:$L,"&gt;="&amp;$A173,Despesas!$C:$C,F$1,Despesas!$M:$M,$B173)</f>
        <v>13000</v>
      </c>
      <c r="G173" s="5">
        <f>SUMIFS(Despesas!$F:$F,Despesas!$J:$J,"&lt;="&amp;$A173,Despesas!$L:$L,"&gt;="&amp;$A173,Despesas!$C:$C,G$1,Despesas!$M:$M,"Mensal")+SUMIFS(Despesas!$F:$F,Despesas!$J:$J,"&lt;="&amp;$A173,Despesas!$L:$L,"&gt;="&amp;$A173,Despesas!$C:$C,G$1,Despesas!$M:$M,$B173)</f>
        <v>0</v>
      </c>
      <c r="H173" s="18">
        <f>SUMIFS(Despesas!$F:$F,Despesas!$J:$J,"&lt;="&amp;$A173,Despesas!$L:$L,"&gt;="&amp;$A173,Despesas!$C:$C,H$1,Despesas!$M:$M,"Mensal")+SUMIFS(Despesas!$F:$F,Despesas!$J:$J,"&lt;="&amp;$A173,Despesas!$L:$L,"&gt;="&amp;$A173,Despesas!$C:$C,H$1,Despesas!$M:$M,$B173)</f>
        <v>1000</v>
      </c>
      <c r="I173" s="18">
        <f>IF(Imóveis!$F$2="PRICE",IF(AND(Dados!$A173&gt;=Imóveis!$Q$2,Dados!$A173&lt;=Imóveis!$T$2),Imóveis!$U$2,0),IF((IF(AND(Dados!$A173&gt;=Imóveis!$Q$2,Dados!$A173&lt;=Imóveis!$T$2),Imóveis!$S$2-(DATEDIF(Imóveis!$Q$2,Dados!$A173,"m")),0))=0,0,((Imóveis!$N$2/Imóveis!$S$2)+((Imóveis!$N$2-((Imóveis!$S$2-(IF(AND(Dados!$A173&gt;=Imóveis!$Q$2,Dados!$A173&lt;=Imóveis!$T$2),Imóveis!$S$2-(DATEDIF(Imóveis!$Q$2,Dados!$A173,"m")),)))*(Imóveis!$N$2/Imóveis!$S$2)))*Imóveis!$P$2))))*IF(AND(Imóveis!$E$2&gt;0,Dados!$A173&gt;Imóveis!$E$2),0,1)</f>
        <v>8335.9676078010416</v>
      </c>
      <c r="J173" s="18">
        <f ca="1">IF(Imóveis!$F$3="PRICE",IF(AND(Dados!$A173&gt;=Imóveis!$Q$3,Dados!$A173&lt;=Imóveis!$T$3),Imóveis!$U$3,0),IF((IF(AND(Dados!$A173&gt;=Imóveis!$Q$3,Dados!$A173&lt;=Imóveis!$T$3),Imóveis!$S$3-(DATEDIF(Imóveis!$Q$3,Dados!$A173,"m")),0))=0,0,((Imóveis!$N$3/Imóveis!$S$3)+((Imóveis!$N$3-((Imóveis!$S$3-(IF(AND(Dados!$A173&gt;=Imóveis!$Q$3,Dados!$A173&lt;=Imóveis!$T$3),Imóveis!$S$3-(DATEDIF(Imóveis!$Q$3,Dados!$A173,"m")),)))*(Imóveis!$N$3/Imóveis!$S$3)))*Imóveis!$P$3))))*IF(AND(Imóveis!$E$3&gt;0,Dados!$A173&gt;Imóveis!$E$3),0,1)</f>
        <v>0</v>
      </c>
      <c r="K173" s="18">
        <f>IF(Imóveis!$F$4="PRICE",IF(AND(Dados!$A173&gt;=Imóveis!$Q$4,Dados!$A173&lt;=Imóveis!$T$4),Imóveis!$U$4,0),IF((IF(AND(Dados!$A173&gt;=Imóveis!$Q$4,Dados!$A173&lt;=Imóveis!$T$4),Imóveis!$S$4-(DATEDIF(Imóveis!$Q$4,Dados!$A173,"m")),0))=0,0,((Imóveis!$N$4/Imóveis!$S$4)+((Imóveis!$N$4-((Imóveis!$S$4-(IF(AND(Dados!$A173&gt;=Imóveis!$Q$4,Dados!$A173&lt;=Imóveis!$T$4),Imóveis!$S$4-(DATEDIF(Imóveis!$Q$4,Dados!$A173,"m")),)))*(Imóveis!$N$4/Imóveis!$S$4)))*Imóveis!$P$4))))*IF(AND(Imóveis!$E$4&gt;0,Dados!$A173&gt;Imóveis!$E$4),0,1)</f>
        <v>0</v>
      </c>
      <c r="L173" s="18">
        <f>IF(Imóveis!$F$5="PRICE",IF(AND(Dados!$A173&gt;=Imóveis!$Q$5,Dados!$A173&lt;=Imóveis!$T$5),Imóveis!$U$5,0),IF((IF(AND(Dados!$A173&gt;=Imóveis!$Q$5,Dados!$A173&lt;=Imóveis!$T$5),Imóveis!$S$5-(DATEDIF(Imóveis!$Q$5,Dados!$A173,"m")),0))=0,0,((Imóveis!$N$5/Imóveis!$S$5)+((Imóveis!$N$5-((Imóveis!$S$5-(IF(AND(Dados!$A173 &gt;=Imóveis!$Q$5,Dados!$A173&lt;=Imóveis!$T$5),Imóveis!$S$5-(DATEDIF(Imóveis!$Q$5,Dados!$A173,"m")),)))*(Imóveis!$N$5/Imóveis!$S$5)))*Imóveis!$P$5))))*IF(AND(Imóveis!$E$5&gt;0,Dados!$A173&gt;Imóveis!$E$5),0,1)*Imóveis!$I$5</f>
        <v>0</v>
      </c>
      <c r="M173" s="18">
        <f>IF(Imóveis!$F$6="PRICE",IF(AND(Dados!$A173&gt;=Imóveis!$Q$6,Dados!$A173&lt;=Imóveis!$T$6),Imóveis!$U$6,0),IF((IF(AND(Dados!$A173&gt;=Imóveis!$Q$6,Dados!$A173&lt;=Imóveis!$T$6),Imóveis!$S$6-(DATEDIF(Imóveis!$Q$6,Dados!$A173,"m")),0))=0,0,((Imóveis!$N$6/Imóveis!$S$6)+((Imóveis!$N$6-((Imóveis!$S$6-(IF(AND(Dados!$A173&gt;=Imóveis!$Q$6,Dados!$A173&lt;=Imóveis!$T$6),Imóveis!$S$6-(DATEDIF(Imóveis!$Q$6,Dados!$A173,"m")),)))*(Imóveis!$N$6/Imóveis!$S$6)))*Imóveis!$P$6))))*IF(AND(Imóveis!$E$6&gt;0,Dados!$A173&gt;Imóveis!$E$6),0,1)*Imóveis!$I$6</f>
        <v>0</v>
      </c>
      <c r="N173" s="18">
        <f t="shared" ca="1" si="21"/>
        <v>51335.967607801038</v>
      </c>
      <c r="O173" s="18">
        <f>SUMIFS(Receitas!$F:$F,Receitas!$J:$J,"&lt;="&amp;$A173,Receitas!$L:$L,"&gt;="&amp;$A173,Receitas!$C:$C,O$1,Receitas!$M:$M,"Mensal")+SUMIFS(Receitas!$F:$F,Receitas!$J:$J,"&lt;="&amp;$A173,Receitas!$L:$L,"&gt;="&amp;$A173,Receitas!$C:$C,O$1,Receitas!$M:$M,$B173)</f>
        <v>50000</v>
      </c>
      <c r="P173" s="18">
        <f>SUMIFS(Receitas!$F:$F,Receitas!$J:$J,"&lt;="&amp;$A173,Receitas!$L:$L,"&gt;="&amp;$A173,Receitas!$C:$C,P$1,Receitas!$M:$M,"Mensal")+SUMIFS(Receitas!$F:$F,Receitas!$J:$J,"&lt;="&amp;$A173,Receitas!$L:$L,"&gt;="&amp;$A173,Receitas!$C:$C,P$1,Receitas!$M:$M,$B173)</f>
        <v>85000</v>
      </c>
      <c r="Q173" s="18">
        <f>SUMIFS(Receitas!$F:$F,Receitas!$J:$J,"&lt;="&amp;$A173,Receitas!$L:$L,"&gt;="&amp;$A173,Receitas!$C:$C,Q$1,Receitas!$M:$M,"Mensal")+SUMIFS(Receitas!$F:$F,Receitas!$J:$J,"&lt;="&amp;$A173,Receitas!$L:$L,"&gt;="&amp;$A173,Receitas!$C:$C,Q$1,Receitas!$M:$M,$B173)</f>
        <v>0</v>
      </c>
      <c r="R173" s="18" cm="1">
        <f t="array" ref="R173">(IF(AND(Membros!$F$2="Sim",A173&lt;=MAX(Membros!$E$2:$E$5)),Membros!K$2,IF(AND(A173&gt;=Membros!J$2,A173&lt;=MAX(Membros!$E$2:$E$5)),Membros!K$2,0))+IF(AND(Membros!$F$3="Sim",A173&lt;=MAX(Membros!$E$2:$E$5)),Membros!K$3,IF(AND(A173&gt;=Membros!J$3,A173&lt;=MAX(Membros!$E$2:$E$5)),Membros!K$3,0)))*IF(AND(COUNTIFS(Tabela3[Tipo],"Provedor",Tabela3[Simulação Seguro],"Sim")=2,A173&gt;=MAX(IF(Tabela3[Tipo]="Dependente",Tabela3[Expectativa de Vida (Data)]))),0,1)</f>
        <v>0</v>
      </c>
      <c r="S173" s="18">
        <f t="shared" si="22"/>
        <v>135000</v>
      </c>
      <c r="U173" s="18">
        <f t="shared" ca="1" si="25"/>
        <v>9205424.5899757445</v>
      </c>
      <c r="V173" s="18">
        <f>SUMIF(Imóveis!E:E,Dados!A:A,Imóveis!Z:Z)-SUMIF(Imóveis!E:E,Dados!A:A,Imóveis!Y:Y)</f>
        <v>0</v>
      </c>
      <c r="W173" s="18">
        <f>-SUMIF(Projetos!N:N,A173,Projetos!F:F)</f>
        <v>0</v>
      </c>
      <c r="X173" s="18">
        <f t="shared" ca="1" si="19"/>
        <v>83664.032392198962</v>
      </c>
      <c r="Y173" s="26">
        <f ca="1">(U173*((Indicadores_Economicos!D$2+1)^(1/12)-1))</f>
        <v>30136.164692235725</v>
      </c>
      <c r="Z173" s="18">
        <f t="shared" ca="1" si="23"/>
        <v>9319224.7870601788</v>
      </c>
      <c r="AA173" s="18">
        <f ca="1">Auxiliar_Projetos!E173</f>
        <v>90364.36618703937</v>
      </c>
      <c r="AB173" s="18">
        <f ca="1">Auxiliar_Projetos!K173</f>
        <v>503844.59654907201</v>
      </c>
      <c r="AC173" s="18">
        <f ca="1">IF(Z173-AA173-AB173&gt;Investimentos!$C$14,Investimentos!$C$14,IF(Z173-AA173-AB173&lt;Investimentos!$C$14,Z173-AA173-AB173,0))</f>
        <v>300000</v>
      </c>
      <c r="AD173" s="18">
        <f t="shared" ca="1" si="24"/>
        <v>8425015.8243240677</v>
      </c>
      <c r="AE173" s="18"/>
    </row>
    <row r="174" spans="1:31" x14ac:dyDescent="0.2">
      <c r="A174" s="4">
        <v>50891</v>
      </c>
      <c r="B174" s="5" t="str">
        <f t="shared" si="20"/>
        <v>maio</v>
      </c>
      <c r="C174" s="5" t="str">
        <f t="shared" si="26"/>
        <v>2039</v>
      </c>
      <c r="D174" s="5">
        <f>SUMIFS(Despesas!$F:$F,Despesas!$J:$J,"&lt;="&amp;$A174,Despesas!$L:$L,"&gt;="&amp;$A174,Despesas!$C:$C,D$1,Despesas!$M:$M,"Mensal")+SUMIFS(Despesas!$F:$F,Despesas!$J:$J,"&lt;="&amp;$A174,Despesas!$L:$L,"&gt;="&amp;$A174,Despesas!$C:$C,D$1,Despesas!$M:$M,$B174)</f>
        <v>23000</v>
      </c>
      <c r="E174" s="18">
        <f>SUMIFS(Despesas!$F:$F,Despesas!$J:$J,"&lt;="&amp;$A174,Despesas!$L:$L,"&gt;="&amp;$A174,Despesas!$C:$C,E$1,Despesas!$M:$M,"Mensal")+SUMIFS(Despesas!$F:$F,Despesas!$J:$J,"&lt;="&amp;$A174,Despesas!$L:$L,"&gt;="&amp;$A174,Despesas!$C:$C,E$1,Despesas!$M:$M,$B174)</f>
        <v>6000</v>
      </c>
      <c r="F174" s="5">
        <f>SUMIFS(Despesas!$F:$F,Despesas!$J:$J,"&lt;="&amp;$A174,Despesas!$L:$L,"&gt;="&amp;$A174,Despesas!$C:$C,F$1,Despesas!$M:$M,"Mensal")+SUMIFS(Despesas!$F:$F,Despesas!$J:$J,"&lt;="&amp;$A174,Despesas!$L:$L,"&gt;="&amp;$A174,Despesas!$C:$C,F$1,Despesas!$M:$M,$B174)</f>
        <v>13000</v>
      </c>
      <c r="G174" s="5">
        <f>SUMIFS(Despesas!$F:$F,Despesas!$J:$J,"&lt;="&amp;$A174,Despesas!$L:$L,"&gt;="&amp;$A174,Despesas!$C:$C,G$1,Despesas!$M:$M,"Mensal")+SUMIFS(Despesas!$F:$F,Despesas!$J:$J,"&lt;="&amp;$A174,Despesas!$L:$L,"&gt;="&amp;$A174,Despesas!$C:$C,G$1,Despesas!$M:$M,$B174)</f>
        <v>0</v>
      </c>
      <c r="H174" s="18">
        <f>SUMIFS(Despesas!$F:$F,Despesas!$J:$J,"&lt;="&amp;$A174,Despesas!$L:$L,"&gt;="&amp;$A174,Despesas!$C:$C,H$1,Despesas!$M:$M,"Mensal")+SUMIFS(Despesas!$F:$F,Despesas!$J:$J,"&lt;="&amp;$A174,Despesas!$L:$L,"&gt;="&amp;$A174,Despesas!$C:$C,H$1,Despesas!$M:$M,$B174)</f>
        <v>1000</v>
      </c>
      <c r="I174" s="18">
        <f>IF(Imóveis!$F$2="PRICE",IF(AND(Dados!$A174&gt;=Imóveis!$Q$2,Dados!$A174&lt;=Imóveis!$T$2),Imóveis!$U$2,0),IF((IF(AND(Dados!$A174&gt;=Imóveis!$Q$2,Dados!$A174&lt;=Imóveis!$T$2),Imóveis!$S$2-(DATEDIF(Imóveis!$Q$2,Dados!$A174,"m")),0))=0,0,((Imóveis!$N$2/Imóveis!$S$2)+((Imóveis!$N$2-((Imóveis!$S$2-(IF(AND(Dados!$A174&gt;=Imóveis!$Q$2,Dados!$A174&lt;=Imóveis!$T$2),Imóveis!$S$2-(DATEDIF(Imóveis!$Q$2,Dados!$A174,"m")),)))*(Imóveis!$N$2/Imóveis!$S$2)))*Imóveis!$P$2))))*IF(AND(Imóveis!$E$2&gt;0,Dados!$A174&gt;Imóveis!$E$2),0,1)</f>
        <v>8273.9465155762337</v>
      </c>
      <c r="J174" s="18">
        <f ca="1">IF(Imóveis!$F$3="PRICE",IF(AND(Dados!$A174&gt;=Imóveis!$Q$3,Dados!$A174&lt;=Imóveis!$T$3),Imóveis!$U$3,0),IF((IF(AND(Dados!$A174&gt;=Imóveis!$Q$3,Dados!$A174&lt;=Imóveis!$T$3),Imóveis!$S$3-(DATEDIF(Imóveis!$Q$3,Dados!$A174,"m")),0))=0,0,((Imóveis!$N$3/Imóveis!$S$3)+((Imóveis!$N$3-((Imóveis!$S$3-(IF(AND(Dados!$A174&gt;=Imóveis!$Q$3,Dados!$A174&lt;=Imóveis!$T$3),Imóveis!$S$3-(DATEDIF(Imóveis!$Q$3,Dados!$A174,"m")),)))*(Imóveis!$N$3/Imóveis!$S$3)))*Imóveis!$P$3))))*IF(AND(Imóveis!$E$3&gt;0,Dados!$A174&gt;Imóveis!$E$3),0,1)</f>
        <v>0</v>
      </c>
      <c r="K174" s="18">
        <f>IF(Imóveis!$F$4="PRICE",IF(AND(Dados!$A174&gt;=Imóveis!$Q$4,Dados!$A174&lt;=Imóveis!$T$4),Imóveis!$U$4,0),IF((IF(AND(Dados!$A174&gt;=Imóveis!$Q$4,Dados!$A174&lt;=Imóveis!$T$4),Imóveis!$S$4-(DATEDIF(Imóveis!$Q$4,Dados!$A174,"m")),0))=0,0,((Imóveis!$N$4/Imóveis!$S$4)+((Imóveis!$N$4-((Imóveis!$S$4-(IF(AND(Dados!$A174&gt;=Imóveis!$Q$4,Dados!$A174&lt;=Imóveis!$T$4),Imóveis!$S$4-(DATEDIF(Imóveis!$Q$4,Dados!$A174,"m")),)))*(Imóveis!$N$4/Imóveis!$S$4)))*Imóveis!$P$4))))*IF(AND(Imóveis!$E$4&gt;0,Dados!$A174&gt;Imóveis!$E$4),0,1)</f>
        <v>0</v>
      </c>
      <c r="L174" s="18">
        <f>IF(Imóveis!$F$5="PRICE",IF(AND(Dados!$A174&gt;=Imóveis!$Q$5,Dados!$A174&lt;=Imóveis!$T$5),Imóveis!$U$5,0),IF((IF(AND(Dados!$A174&gt;=Imóveis!$Q$5,Dados!$A174&lt;=Imóveis!$T$5),Imóveis!$S$5-(DATEDIF(Imóveis!$Q$5,Dados!$A174,"m")),0))=0,0,((Imóveis!$N$5/Imóveis!$S$5)+((Imóveis!$N$5-((Imóveis!$S$5-(IF(AND(Dados!$A174 &gt;=Imóveis!$Q$5,Dados!$A174&lt;=Imóveis!$T$5),Imóveis!$S$5-(DATEDIF(Imóveis!$Q$5,Dados!$A174,"m")),)))*(Imóveis!$N$5/Imóveis!$S$5)))*Imóveis!$P$5))))*IF(AND(Imóveis!$E$5&gt;0,Dados!$A174&gt;Imóveis!$E$5),0,1)*Imóveis!$I$5</f>
        <v>0</v>
      </c>
      <c r="M174" s="18">
        <f>IF(Imóveis!$F$6="PRICE",IF(AND(Dados!$A174&gt;=Imóveis!$Q$6,Dados!$A174&lt;=Imóveis!$T$6),Imóveis!$U$6,0),IF((IF(AND(Dados!$A174&gt;=Imóveis!$Q$6,Dados!$A174&lt;=Imóveis!$T$6),Imóveis!$S$6-(DATEDIF(Imóveis!$Q$6,Dados!$A174,"m")),0))=0,0,((Imóveis!$N$6/Imóveis!$S$6)+((Imóveis!$N$6-((Imóveis!$S$6-(IF(AND(Dados!$A174&gt;=Imóveis!$Q$6,Dados!$A174&lt;=Imóveis!$T$6),Imóveis!$S$6-(DATEDIF(Imóveis!$Q$6,Dados!$A174,"m")),)))*(Imóveis!$N$6/Imóveis!$S$6)))*Imóveis!$P$6))))*IF(AND(Imóveis!$E$6&gt;0,Dados!$A174&gt;Imóveis!$E$6),0,1)*Imóveis!$I$6</f>
        <v>0</v>
      </c>
      <c r="N174" s="18">
        <f t="shared" ca="1" si="21"/>
        <v>51273.94651557623</v>
      </c>
      <c r="O174" s="18">
        <f>SUMIFS(Receitas!$F:$F,Receitas!$J:$J,"&lt;="&amp;$A174,Receitas!$L:$L,"&gt;="&amp;$A174,Receitas!$C:$C,O$1,Receitas!$M:$M,"Mensal")+SUMIFS(Receitas!$F:$F,Receitas!$J:$J,"&lt;="&amp;$A174,Receitas!$L:$L,"&gt;="&amp;$A174,Receitas!$C:$C,O$1,Receitas!$M:$M,$B174)</f>
        <v>50000</v>
      </c>
      <c r="P174" s="18">
        <f>SUMIFS(Receitas!$F:$F,Receitas!$J:$J,"&lt;="&amp;$A174,Receitas!$L:$L,"&gt;="&amp;$A174,Receitas!$C:$C,P$1,Receitas!$M:$M,"Mensal")+SUMIFS(Receitas!$F:$F,Receitas!$J:$J,"&lt;="&amp;$A174,Receitas!$L:$L,"&gt;="&amp;$A174,Receitas!$C:$C,P$1,Receitas!$M:$M,$B174)</f>
        <v>20000</v>
      </c>
      <c r="Q174" s="18">
        <f>SUMIFS(Receitas!$F:$F,Receitas!$J:$J,"&lt;="&amp;$A174,Receitas!$L:$L,"&gt;="&amp;$A174,Receitas!$C:$C,Q$1,Receitas!$M:$M,"Mensal")+SUMIFS(Receitas!$F:$F,Receitas!$J:$J,"&lt;="&amp;$A174,Receitas!$L:$L,"&gt;="&amp;$A174,Receitas!$C:$C,Q$1,Receitas!$M:$M,$B174)</f>
        <v>0</v>
      </c>
      <c r="R174" s="18" cm="1">
        <f t="array" ref="R174">(IF(AND(Membros!$F$2="Sim",A174&lt;=MAX(Membros!$E$2:$E$5)),Membros!K$2,IF(AND(A174&gt;=Membros!J$2,A174&lt;=MAX(Membros!$E$2:$E$5)),Membros!K$2,0))+IF(AND(Membros!$F$3="Sim",A174&lt;=MAX(Membros!$E$2:$E$5)),Membros!K$3,IF(AND(A174&gt;=Membros!J$3,A174&lt;=MAX(Membros!$E$2:$E$5)),Membros!K$3,0)))*IF(AND(COUNTIFS(Tabela3[Tipo],"Provedor",Tabela3[Simulação Seguro],"Sim")=2,A174&gt;=MAX(IF(Tabela3[Tipo]="Dependente",Tabela3[Expectativa de Vida (Data)]))),0,1)</f>
        <v>0</v>
      </c>
      <c r="S174" s="18">
        <f t="shared" si="22"/>
        <v>70000</v>
      </c>
      <c r="U174" s="18">
        <f t="shared" ca="1" si="25"/>
        <v>9319224.7870601788</v>
      </c>
      <c r="V174" s="18">
        <f>SUMIF(Imóveis!E:E,Dados!A:A,Imóveis!Z:Z)-SUMIF(Imóveis!E:E,Dados!A:A,Imóveis!Y:Y)</f>
        <v>0</v>
      </c>
      <c r="W174" s="18">
        <f>-SUMIF(Projetos!N:N,A174,Projetos!F:F)</f>
        <v>0</v>
      </c>
      <c r="X174" s="18">
        <f t="shared" ca="1" si="19"/>
        <v>18726.05348442377</v>
      </c>
      <c r="Y174" s="26">
        <f ca="1">(U174*((Indicadores_Economicos!D$2+1)^(1/12)-1))</f>
        <v>30508.716924653116</v>
      </c>
      <c r="Z174" s="18">
        <f t="shared" ca="1" si="23"/>
        <v>9368459.5574692544</v>
      </c>
      <c r="AA174" s="18">
        <f ca="1">Auxiliar_Projetos!E174</f>
        <v>90660.195607519068</v>
      </c>
      <c r="AB174" s="18">
        <f ca="1">Auxiliar_Projetos!K174</f>
        <v>505494.05264884065</v>
      </c>
      <c r="AC174" s="18">
        <f ca="1">IF(Z174-AA174-AB174&gt;Investimentos!$C$14,Investimentos!$C$14,IF(Z174-AA174-AB174&lt;Investimentos!$C$14,Z174-AA174-AB174,0))</f>
        <v>300000</v>
      </c>
      <c r="AD174" s="18">
        <f t="shared" ca="1" si="24"/>
        <v>8472305.3092128951</v>
      </c>
      <c r="AE174" s="18"/>
    </row>
    <row r="175" spans="1:31" x14ac:dyDescent="0.2">
      <c r="A175" s="4">
        <v>50922</v>
      </c>
      <c r="B175" s="5" t="str">
        <f t="shared" si="20"/>
        <v>junho</v>
      </c>
      <c r="C175" s="5" t="str">
        <f t="shared" si="26"/>
        <v>2039</v>
      </c>
      <c r="D175" s="5">
        <f>SUMIFS(Despesas!$F:$F,Despesas!$J:$J,"&lt;="&amp;$A175,Despesas!$L:$L,"&gt;="&amp;$A175,Despesas!$C:$C,D$1,Despesas!$M:$M,"Mensal")+SUMIFS(Despesas!$F:$F,Despesas!$J:$J,"&lt;="&amp;$A175,Despesas!$L:$L,"&gt;="&amp;$A175,Despesas!$C:$C,D$1,Despesas!$M:$M,$B175)</f>
        <v>23000</v>
      </c>
      <c r="E175" s="18">
        <f>SUMIFS(Despesas!$F:$F,Despesas!$J:$J,"&lt;="&amp;$A175,Despesas!$L:$L,"&gt;="&amp;$A175,Despesas!$C:$C,E$1,Despesas!$M:$M,"Mensal")+SUMIFS(Despesas!$F:$F,Despesas!$J:$J,"&lt;="&amp;$A175,Despesas!$L:$L,"&gt;="&amp;$A175,Despesas!$C:$C,E$1,Despesas!$M:$M,$B175)</f>
        <v>6000</v>
      </c>
      <c r="F175" s="5">
        <f>SUMIFS(Despesas!$F:$F,Despesas!$J:$J,"&lt;="&amp;$A175,Despesas!$L:$L,"&gt;="&amp;$A175,Despesas!$C:$C,F$1,Despesas!$M:$M,"Mensal")+SUMIFS(Despesas!$F:$F,Despesas!$J:$J,"&lt;="&amp;$A175,Despesas!$L:$L,"&gt;="&amp;$A175,Despesas!$C:$C,F$1,Despesas!$M:$M,$B175)</f>
        <v>13000</v>
      </c>
      <c r="G175" s="5">
        <f>SUMIFS(Despesas!$F:$F,Despesas!$J:$J,"&lt;="&amp;$A175,Despesas!$L:$L,"&gt;="&amp;$A175,Despesas!$C:$C,G$1,Despesas!$M:$M,"Mensal")+SUMIFS(Despesas!$F:$F,Despesas!$J:$J,"&lt;="&amp;$A175,Despesas!$L:$L,"&gt;="&amp;$A175,Despesas!$C:$C,G$1,Despesas!$M:$M,$B175)</f>
        <v>0</v>
      </c>
      <c r="H175" s="18">
        <f>SUMIFS(Despesas!$F:$F,Despesas!$J:$J,"&lt;="&amp;$A175,Despesas!$L:$L,"&gt;="&amp;$A175,Despesas!$C:$C,H$1,Despesas!$M:$M,"Mensal")+SUMIFS(Despesas!$F:$F,Despesas!$J:$J,"&lt;="&amp;$A175,Despesas!$L:$L,"&gt;="&amp;$A175,Despesas!$C:$C,H$1,Despesas!$M:$M,$B175)</f>
        <v>1000</v>
      </c>
      <c r="I175" s="18">
        <f>IF(Imóveis!$F$2="PRICE",IF(AND(Dados!$A175&gt;=Imóveis!$Q$2,Dados!$A175&lt;=Imóveis!$T$2),Imóveis!$U$2,0),IF((IF(AND(Dados!$A175&gt;=Imóveis!$Q$2,Dados!$A175&lt;=Imóveis!$T$2),Imóveis!$S$2-(DATEDIF(Imóveis!$Q$2,Dados!$A175,"m")),0))=0,0,((Imóveis!$N$2/Imóveis!$S$2)+((Imóveis!$N$2-((Imóveis!$S$2-(IF(AND(Dados!$A175&gt;=Imóveis!$Q$2,Dados!$A175&lt;=Imóveis!$T$2),Imóveis!$S$2-(DATEDIF(Imóveis!$Q$2,Dados!$A175,"m")),)))*(Imóveis!$N$2/Imóveis!$S$2)))*Imóveis!$P$2))))*IF(AND(Imóveis!$E$2&gt;0,Dados!$A175&gt;Imóveis!$E$2),0,1)</f>
        <v>8211.9254233514275</v>
      </c>
      <c r="J175" s="18">
        <f ca="1">IF(Imóveis!$F$3="PRICE",IF(AND(Dados!$A175&gt;=Imóveis!$Q$3,Dados!$A175&lt;=Imóveis!$T$3),Imóveis!$U$3,0),IF((IF(AND(Dados!$A175&gt;=Imóveis!$Q$3,Dados!$A175&lt;=Imóveis!$T$3),Imóveis!$S$3-(DATEDIF(Imóveis!$Q$3,Dados!$A175,"m")),0))=0,0,((Imóveis!$N$3/Imóveis!$S$3)+((Imóveis!$N$3-((Imóveis!$S$3-(IF(AND(Dados!$A175&gt;=Imóveis!$Q$3,Dados!$A175&lt;=Imóveis!$T$3),Imóveis!$S$3-(DATEDIF(Imóveis!$Q$3,Dados!$A175,"m")),)))*(Imóveis!$N$3/Imóveis!$S$3)))*Imóveis!$P$3))))*IF(AND(Imóveis!$E$3&gt;0,Dados!$A175&gt;Imóveis!$E$3),0,1)</f>
        <v>0</v>
      </c>
      <c r="K175" s="18">
        <f>IF(Imóveis!$F$4="PRICE",IF(AND(Dados!$A175&gt;=Imóveis!$Q$4,Dados!$A175&lt;=Imóveis!$T$4),Imóveis!$U$4,0),IF((IF(AND(Dados!$A175&gt;=Imóveis!$Q$4,Dados!$A175&lt;=Imóveis!$T$4),Imóveis!$S$4-(DATEDIF(Imóveis!$Q$4,Dados!$A175,"m")),0))=0,0,((Imóveis!$N$4/Imóveis!$S$4)+((Imóveis!$N$4-((Imóveis!$S$4-(IF(AND(Dados!$A175&gt;=Imóveis!$Q$4,Dados!$A175&lt;=Imóveis!$T$4),Imóveis!$S$4-(DATEDIF(Imóveis!$Q$4,Dados!$A175,"m")),)))*(Imóveis!$N$4/Imóveis!$S$4)))*Imóveis!$P$4))))*IF(AND(Imóveis!$E$4&gt;0,Dados!$A175&gt;Imóveis!$E$4),0,1)</f>
        <v>0</v>
      </c>
      <c r="L175" s="18">
        <f>IF(Imóveis!$F$5="PRICE",IF(AND(Dados!$A175&gt;=Imóveis!$Q$5,Dados!$A175&lt;=Imóveis!$T$5),Imóveis!$U$5,0),IF((IF(AND(Dados!$A175&gt;=Imóveis!$Q$5,Dados!$A175&lt;=Imóveis!$T$5),Imóveis!$S$5-(DATEDIF(Imóveis!$Q$5,Dados!$A175,"m")),0))=0,0,((Imóveis!$N$5/Imóveis!$S$5)+((Imóveis!$N$5-((Imóveis!$S$5-(IF(AND(Dados!$A175 &gt;=Imóveis!$Q$5,Dados!$A175&lt;=Imóveis!$T$5),Imóveis!$S$5-(DATEDIF(Imóveis!$Q$5,Dados!$A175,"m")),)))*(Imóveis!$N$5/Imóveis!$S$5)))*Imóveis!$P$5))))*IF(AND(Imóveis!$E$5&gt;0,Dados!$A175&gt;Imóveis!$E$5),0,1)*Imóveis!$I$5</f>
        <v>0</v>
      </c>
      <c r="M175" s="18">
        <f>IF(Imóveis!$F$6="PRICE",IF(AND(Dados!$A175&gt;=Imóveis!$Q$6,Dados!$A175&lt;=Imóveis!$T$6),Imóveis!$U$6,0),IF((IF(AND(Dados!$A175&gt;=Imóveis!$Q$6,Dados!$A175&lt;=Imóveis!$T$6),Imóveis!$S$6-(DATEDIF(Imóveis!$Q$6,Dados!$A175,"m")),0))=0,0,((Imóveis!$N$6/Imóveis!$S$6)+((Imóveis!$N$6-((Imóveis!$S$6-(IF(AND(Dados!$A175&gt;=Imóveis!$Q$6,Dados!$A175&lt;=Imóveis!$T$6),Imóveis!$S$6-(DATEDIF(Imóveis!$Q$6,Dados!$A175,"m")),)))*(Imóveis!$N$6/Imóveis!$S$6)))*Imóveis!$P$6))))*IF(AND(Imóveis!$E$6&gt;0,Dados!$A175&gt;Imóveis!$E$6),0,1)*Imóveis!$I$6</f>
        <v>0</v>
      </c>
      <c r="N175" s="18">
        <f t="shared" ca="1" si="21"/>
        <v>51211.925423351429</v>
      </c>
      <c r="O175" s="18">
        <f>SUMIFS(Receitas!$F:$F,Receitas!$J:$J,"&lt;="&amp;$A175,Receitas!$L:$L,"&gt;="&amp;$A175,Receitas!$C:$C,O$1,Receitas!$M:$M,"Mensal")+SUMIFS(Receitas!$F:$F,Receitas!$J:$J,"&lt;="&amp;$A175,Receitas!$L:$L,"&gt;="&amp;$A175,Receitas!$C:$C,O$1,Receitas!$M:$M,$B175)</f>
        <v>50000</v>
      </c>
      <c r="P175" s="18">
        <f>SUMIFS(Receitas!$F:$F,Receitas!$J:$J,"&lt;="&amp;$A175,Receitas!$L:$L,"&gt;="&amp;$A175,Receitas!$C:$C,P$1,Receitas!$M:$M,"Mensal")+SUMIFS(Receitas!$F:$F,Receitas!$J:$J,"&lt;="&amp;$A175,Receitas!$L:$L,"&gt;="&amp;$A175,Receitas!$C:$C,P$1,Receitas!$M:$M,$B175)</f>
        <v>20000</v>
      </c>
      <c r="Q175" s="18">
        <f>SUMIFS(Receitas!$F:$F,Receitas!$J:$J,"&lt;="&amp;$A175,Receitas!$L:$L,"&gt;="&amp;$A175,Receitas!$C:$C,Q$1,Receitas!$M:$M,"Mensal")+SUMIFS(Receitas!$F:$F,Receitas!$J:$J,"&lt;="&amp;$A175,Receitas!$L:$L,"&gt;="&amp;$A175,Receitas!$C:$C,Q$1,Receitas!$M:$M,$B175)</f>
        <v>0</v>
      </c>
      <c r="R175" s="18" cm="1">
        <f t="array" ref="R175">(IF(AND(Membros!$F$2="Sim",A175&lt;=MAX(Membros!$E$2:$E$5)),Membros!K$2,IF(AND(A175&gt;=Membros!J$2,A175&lt;=MAX(Membros!$E$2:$E$5)),Membros!K$2,0))+IF(AND(Membros!$F$3="Sim",A175&lt;=MAX(Membros!$E$2:$E$5)),Membros!K$3,IF(AND(A175&gt;=Membros!J$3,A175&lt;=MAX(Membros!$E$2:$E$5)),Membros!K$3,0)))*IF(AND(COUNTIFS(Tabela3[Tipo],"Provedor",Tabela3[Simulação Seguro],"Sim")=2,A175&gt;=MAX(IF(Tabela3[Tipo]="Dependente",Tabela3[Expectativa de Vida (Data)]))),0,1)</f>
        <v>0</v>
      </c>
      <c r="S175" s="18">
        <f t="shared" si="22"/>
        <v>70000</v>
      </c>
      <c r="U175" s="18">
        <f t="shared" ca="1" si="25"/>
        <v>9368459.5574692544</v>
      </c>
      <c r="V175" s="18">
        <f>SUMIF(Imóveis!E:E,Dados!A:A,Imóveis!Z:Z)-SUMIF(Imóveis!E:E,Dados!A:A,Imóveis!Y:Y)</f>
        <v>0</v>
      </c>
      <c r="W175" s="18">
        <f>-SUMIF(Projetos!N:N,A175,Projetos!F:F)</f>
        <v>0</v>
      </c>
      <c r="X175" s="18">
        <f t="shared" ca="1" si="19"/>
        <v>18788.074576648571</v>
      </c>
      <c r="Y175" s="26">
        <f ca="1">(U175*((Indicadores_Economicos!D$2+1)^(1/12)-1))</f>
        <v>30669.898751208737</v>
      </c>
      <c r="Z175" s="18">
        <f t="shared" ca="1" si="23"/>
        <v>9417917.5307971109</v>
      </c>
      <c r="AA175" s="18">
        <f ca="1">Auxiliar_Projetos!E175</f>
        <v>90956.993496541341</v>
      </c>
      <c r="AB175" s="18">
        <f ca="1">Auxiliar_Projetos!K175</f>
        <v>507148.90863866213</v>
      </c>
      <c r="AC175" s="18">
        <f ca="1">IF(Z175-AA175-AB175&gt;Investimentos!$C$14,Investimentos!$C$14,IF(Z175-AA175-AB175&lt;Investimentos!$C$14,Z175-AA175-AB175,0))</f>
        <v>300000</v>
      </c>
      <c r="AD175" s="18">
        <f t="shared" ca="1" si="24"/>
        <v>8519811.6286619082</v>
      </c>
      <c r="AE175" s="18"/>
    </row>
    <row r="176" spans="1:31" x14ac:dyDescent="0.2">
      <c r="A176" s="4">
        <v>50952</v>
      </c>
      <c r="B176" s="5" t="str">
        <f t="shared" si="20"/>
        <v>julho</v>
      </c>
      <c r="C176" s="5" t="str">
        <f t="shared" si="26"/>
        <v>2039</v>
      </c>
      <c r="D176" s="5">
        <f>SUMIFS(Despesas!$F:$F,Despesas!$J:$J,"&lt;="&amp;$A176,Despesas!$L:$L,"&gt;="&amp;$A176,Despesas!$C:$C,D$1,Despesas!$M:$M,"Mensal")+SUMIFS(Despesas!$F:$F,Despesas!$J:$J,"&lt;="&amp;$A176,Despesas!$L:$L,"&gt;="&amp;$A176,Despesas!$C:$C,D$1,Despesas!$M:$M,$B176)</f>
        <v>23000</v>
      </c>
      <c r="E176" s="18">
        <f>SUMIFS(Despesas!$F:$F,Despesas!$J:$J,"&lt;="&amp;$A176,Despesas!$L:$L,"&gt;="&amp;$A176,Despesas!$C:$C,E$1,Despesas!$M:$M,"Mensal")+SUMIFS(Despesas!$F:$F,Despesas!$J:$J,"&lt;="&amp;$A176,Despesas!$L:$L,"&gt;="&amp;$A176,Despesas!$C:$C,E$1,Despesas!$M:$M,$B176)</f>
        <v>6000</v>
      </c>
      <c r="F176" s="5">
        <f>SUMIFS(Despesas!$F:$F,Despesas!$J:$J,"&lt;="&amp;$A176,Despesas!$L:$L,"&gt;="&amp;$A176,Despesas!$C:$C,F$1,Despesas!$M:$M,"Mensal")+SUMIFS(Despesas!$F:$F,Despesas!$J:$J,"&lt;="&amp;$A176,Despesas!$L:$L,"&gt;="&amp;$A176,Despesas!$C:$C,F$1,Despesas!$M:$M,$B176)</f>
        <v>13000</v>
      </c>
      <c r="G176" s="5">
        <f ca="1">SUMIFS(Despesas!$F:$F,Despesas!$J:$J,"&lt;="&amp;$A176,Despesas!$L:$L,"&gt;="&amp;$A176,Despesas!$C:$C,G$1,Despesas!$M:$M,"Mensal")+SUMIFS(Despesas!$F:$F,Despesas!$J:$J,"&lt;="&amp;$A176,Despesas!$L:$L,"&gt;="&amp;$A176,Despesas!$C:$C,G$1,Despesas!$M:$M,$B176)</f>
        <v>55757</v>
      </c>
      <c r="H176" s="18">
        <f>SUMIFS(Despesas!$F:$F,Despesas!$J:$J,"&lt;="&amp;$A176,Despesas!$L:$L,"&gt;="&amp;$A176,Despesas!$C:$C,H$1,Despesas!$M:$M,"Mensal")+SUMIFS(Despesas!$F:$F,Despesas!$J:$J,"&lt;="&amp;$A176,Despesas!$L:$L,"&gt;="&amp;$A176,Despesas!$C:$C,H$1,Despesas!$M:$M,$B176)</f>
        <v>1000</v>
      </c>
      <c r="I176" s="18">
        <f>IF(Imóveis!$F$2="PRICE",IF(AND(Dados!$A176&gt;=Imóveis!$Q$2,Dados!$A176&lt;=Imóveis!$T$2),Imóveis!$U$2,0),IF((IF(AND(Dados!$A176&gt;=Imóveis!$Q$2,Dados!$A176&lt;=Imóveis!$T$2),Imóveis!$S$2-(DATEDIF(Imóveis!$Q$2,Dados!$A176,"m")),0))=0,0,((Imóveis!$N$2/Imóveis!$S$2)+((Imóveis!$N$2-((Imóveis!$S$2-(IF(AND(Dados!$A176&gt;=Imóveis!$Q$2,Dados!$A176&lt;=Imóveis!$T$2),Imóveis!$S$2-(DATEDIF(Imóveis!$Q$2,Dados!$A176,"m")),)))*(Imóveis!$N$2/Imóveis!$S$2)))*Imóveis!$P$2))))*IF(AND(Imóveis!$E$2&gt;0,Dados!$A176&gt;Imóveis!$E$2),0,1)</f>
        <v>8149.9043311266205</v>
      </c>
      <c r="J176" s="18">
        <f ca="1">IF(Imóveis!$F$3="PRICE",IF(AND(Dados!$A176&gt;=Imóveis!$Q$3,Dados!$A176&lt;=Imóveis!$T$3),Imóveis!$U$3,0),IF((IF(AND(Dados!$A176&gt;=Imóveis!$Q$3,Dados!$A176&lt;=Imóveis!$T$3),Imóveis!$S$3-(DATEDIF(Imóveis!$Q$3,Dados!$A176,"m")),0))=0,0,((Imóveis!$N$3/Imóveis!$S$3)+((Imóveis!$N$3-((Imóveis!$S$3-(IF(AND(Dados!$A176&gt;=Imóveis!$Q$3,Dados!$A176&lt;=Imóveis!$T$3),Imóveis!$S$3-(DATEDIF(Imóveis!$Q$3,Dados!$A176,"m")),)))*(Imóveis!$N$3/Imóveis!$S$3)))*Imóveis!$P$3))))*IF(AND(Imóveis!$E$3&gt;0,Dados!$A176&gt;Imóveis!$E$3),0,1)</f>
        <v>0</v>
      </c>
      <c r="K176" s="18">
        <f>IF(Imóveis!$F$4="PRICE",IF(AND(Dados!$A176&gt;=Imóveis!$Q$4,Dados!$A176&lt;=Imóveis!$T$4),Imóveis!$U$4,0),IF((IF(AND(Dados!$A176&gt;=Imóveis!$Q$4,Dados!$A176&lt;=Imóveis!$T$4),Imóveis!$S$4-(DATEDIF(Imóveis!$Q$4,Dados!$A176,"m")),0))=0,0,((Imóveis!$N$4/Imóveis!$S$4)+((Imóveis!$N$4-((Imóveis!$S$4-(IF(AND(Dados!$A176&gt;=Imóveis!$Q$4,Dados!$A176&lt;=Imóveis!$T$4),Imóveis!$S$4-(DATEDIF(Imóveis!$Q$4,Dados!$A176,"m")),)))*(Imóveis!$N$4/Imóveis!$S$4)))*Imóveis!$P$4))))*IF(AND(Imóveis!$E$4&gt;0,Dados!$A176&gt;Imóveis!$E$4),0,1)</f>
        <v>0</v>
      </c>
      <c r="L176" s="18">
        <f>IF(Imóveis!$F$5="PRICE",IF(AND(Dados!$A176&gt;=Imóveis!$Q$5,Dados!$A176&lt;=Imóveis!$T$5),Imóveis!$U$5,0),IF((IF(AND(Dados!$A176&gt;=Imóveis!$Q$5,Dados!$A176&lt;=Imóveis!$T$5),Imóveis!$S$5-(DATEDIF(Imóveis!$Q$5,Dados!$A176,"m")),0))=0,0,((Imóveis!$N$5/Imóveis!$S$5)+((Imóveis!$N$5-((Imóveis!$S$5-(IF(AND(Dados!$A176 &gt;=Imóveis!$Q$5,Dados!$A176&lt;=Imóveis!$T$5),Imóveis!$S$5-(DATEDIF(Imóveis!$Q$5,Dados!$A176,"m")),)))*(Imóveis!$N$5/Imóveis!$S$5)))*Imóveis!$P$5))))*IF(AND(Imóveis!$E$5&gt;0,Dados!$A176&gt;Imóveis!$E$5),0,1)*Imóveis!$I$5</f>
        <v>0</v>
      </c>
      <c r="M176" s="18">
        <f>IF(Imóveis!$F$6="PRICE",IF(AND(Dados!$A176&gt;=Imóveis!$Q$6,Dados!$A176&lt;=Imóveis!$T$6),Imóveis!$U$6,0),IF((IF(AND(Dados!$A176&gt;=Imóveis!$Q$6,Dados!$A176&lt;=Imóveis!$T$6),Imóveis!$S$6-(DATEDIF(Imóveis!$Q$6,Dados!$A176,"m")),0))=0,0,((Imóveis!$N$6/Imóveis!$S$6)+((Imóveis!$N$6-((Imóveis!$S$6-(IF(AND(Dados!$A176&gt;=Imóveis!$Q$6,Dados!$A176&lt;=Imóveis!$T$6),Imóveis!$S$6-(DATEDIF(Imóveis!$Q$6,Dados!$A176,"m")),)))*(Imóveis!$N$6/Imóveis!$S$6)))*Imóveis!$P$6))))*IF(AND(Imóveis!$E$6&gt;0,Dados!$A176&gt;Imóveis!$E$6),0,1)*Imóveis!$I$6</f>
        <v>0</v>
      </c>
      <c r="N176" s="18">
        <f t="shared" ca="1" si="21"/>
        <v>106906.90433112661</v>
      </c>
      <c r="O176" s="18">
        <f>SUMIFS(Receitas!$F:$F,Receitas!$J:$J,"&lt;="&amp;$A176,Receitas!$L:$L,"&gt;="&amp;$A176,Receitas!$C:$C,O$1,Receitas!$M:$M,"Mensal")+SUMIFS(Receitas!$F:$F,Receitas!$J:$J,"&lt;="&amp;$A176,Receitas!$L:$L,"&gt;="&amp;$A176,Receitas!$C:$C,O$1,Receitas!$M:$M,$B176)</f>
        <v>50000</v>
      </c>
      <c r="P176" s="18">
        <f>SUMIFS(Receitas!$F:$F,Receitas!$J:$J,"&lt;="&amp;$A176,Receitas!$L:$L,"&gt;="&amp;$A176,Receitas!$C:$C,P$1,Receitas!$M:$M,"Mensal")+SUMIFS(Receitas!$F:$F,Receitas!$J:$J,"&lt;="&amp;$A176,Receitas!$L:$L,"&gt;="&amp;$A176,Receitas!$C:$C,P$1,Receitas!$M:$M,$B176)</f>
        <v>20000</v>
      </c>
      <c r="Q176" s="18">
        <f>SUMIFS(Receitas!$F:$F,Receitas!$J:$J,"&lt;="&amp;$A176,Receitas!$L:$L,"&gt;="&amp;$A176,Receitas!$C:$C,Q$1,Receitas!$M:$M,"Mensal")+SUMIFS(Receitas!$F:$F,Receitas!$J:$J,"&lt;="&amp;$A176,Receitas!$L:$L,"&gt;="&amp;$A176,Receitas!$C:$C,Q$1,Receitas!$M:$M,$B176)</f>
        <v>0</v>
      </c>
      <c r="R176" s="18" cm="1">
        <f t="array" ref="R176">(IF(AND(Membros!$F$2="Sim",A176&lt;=MAX(Membros!$E$2:$E$5)),Membros!K$2,IF(AND(A176&gt;=Membros!J$2,A176&lt;=MAX(Membros!$E$2:$E$5)),Membros!K$2,0))+IF(AND(Membros!$F$3="Sim",A176&lt;=MAX(Membros!$E$2:$E$5)),Membros!K$3,IF(AND(A176&gt;=Membros!J$3,A176&lt;=MAX(Membros!$E$2:$E$5)),Membros!K$3,0)))*IF(AND(COUNTIFS(Tabela3[Tipo],"Provedor",Tabela3[Simulação Seguro],"Sim")=2,A176&gt;=MAX(IF(Tabela3[Tipo]="Dependente",Tabela3[Expectativa de Vida (Data)]))),0,1)</f>
        <v>0</v>
      </c>
      <c r="S176" s="18">
        <f t="shared" si="22"/>
        <v>70000</v>
      </c>
      <c r="U176" s="18">
        <f t="shared" ca="1" si="25"/>
        <v>9417917.5307971109</v>
      </c>
      <c r="V176" s="18">
        <f>SUMIF(Imóveis!E:E,Dados!A:A,Imóveis!Z:Z)-SUMIF(Imóveis!E:E,Dados!A:A,Imóveis!Y:Y)</f>
        <v>0</v>
      </c>
      <c r="W176" s="18">
        <f>-SUMIF(Projetos!N:N,A176,Projetos!F:F)</f>
        <v>0</v>
      </c>
      <c r="X176" s="18">
        <f t="shared" ca="1" si="19"/>
        <v>-36906.904331126614</v>
      </c>
      <c r="Y176" s="26">
        <f ca="1">(U176*((Indicadores_Economicos!D$2+1)^(1/12)-1))</f>
        <v>30831.811286039072</v>
      </c>
      <c r="Z176" s="18">
        <f t="shared" ca="1" si="23"/>
        <v>9411842.4377520233</v>
      </c>
      <c r="AA176" s="18">
        <f ca="1">Auxiliar_Projetos!E176</f>
        <v>91254.763024620173</v>
      </c>
      <c r="AB176" s="18">
        <f ca="1">Auxiliar_Projetos!K176</f>
        <v>508809.18219637126</v>
      </c>
      <c r="AC176" s="18">
        <f ca="1">IF(Z176-AA176-AB176&gt;Investimentos!$C$14,Investimentos!$C$14,IF(Z176-AA176-AB176&lt;Investimentos!$C$14,Z176-AA176-AB176,0))</f>
        <v>300000</v>
      </c>
      <c r="AD176" s="18">
        <f t="shared" ca="1" si="24"/>
        <v>8511778.4925310314</v>
      </c>
      <c r="AE176" s="18"/>
    </row>
    <row r="177" spans="1:31" x14ac:dyDescent="0.2">
      <c r="A177" s="4">
        <v>50983</v>
      </c>
      <c r="B177" s="5" t="str">
        <f t="shared" si="20"/>
        <v>agosto</v>
      </c>
      <c r="C177" s="5" t="str">
        <f t="shared" si="26"/>
        <v>2039</v>
      </c>
      <c r="D177" s="5">
        <f>SUMIFS(Despesas!$F:$F,Despesas!$J:$J,"&lt;="&amp;$A177,Despesas!$L:$L,"&gt;="&amp;$A177,Despesas!$C:$C,D$1,Despesas!$M:$M,"Mensal")+SUMIFS(Despesas!$F:$F,Despesas!$J:$J,"&lt;="&amp;$A177,Despesas!$L:$L,"&gt;="&amp;$A177,Despesas!$C:$C,D$1,Despesas!$M:$M,$B177)</f>
        <v>23000</v>
      </c>
      <c r="E177" s="18">
        <f>SUMIFS(Despesas!$F:$F,Despesas!$J:$J,"&lt;="&amp;$A177,Despesas!$L:$L,"&gt;="&amp;$A177,Despesas!$C:$C,E$1,Despesas!$M:$M,"Mensal")+SUMIFS(Despesas!$F:$F,Despesas!$J:$J,"&lt;="&amp;$A177,Despesas!$L:$L,"&gt;="&amp;$A177,Despesas!$C:$C,E$1,Despesas!$M:$M,$B177)</f>
        <v>6000</v>
      </c>
      <c r="F177" s="5">
        <f>SUMIFS(Despesas!$F:$F,Despesas!$J:$J,"&lt;="&amp;$A177,Despesas!$L:$L,"&gt;="&amp;$A177,Despesas!$C:$C,F$1,Despesas!$M:$M,"Mensal")+SUMIFS(Despesas!$F:$F,Despesas!$J:$J,"&lt;="&amp;$A177,Despesas!$L:$L,"&gt;="&amp;$A177,Despesas!$C:$C,F$1,Despesas!$M:$M,$B177)</f>
        <v>13000</v>
      </c>
      <c r="G177" s="5">
        <f>SUMIFS(Despesas!$F:$F,Despesas!$J:$J,"&lt;="&amp;$A177,Despesas!$L:$L,"&gt;="&amp;$A177,Despesas!$C:$C,G$1,Despesas!$M:$M,"Mensal")+SUMIFS(Despesas!$F:$F,Despesas!$J:$J,"&lt;="&amp;$A177,Despesas!$L:$L,"&gt;="&amp;$A177,Despesas!$C:$C,G$1,Despesas!$M:$M,$B177)</f>
        <v>0</v>
      </c>
      <c r="H177" s="18">
        <f>SUMIFS(Despesas!$F:$F,Despesas!$J:$J,"&lt;="&amp;$A177,Despesas!$L:$L,"&gt;="&amp;$A177,Despesas!$C:$C,H$1,Despesas!$M:$M,"Mensal")+SUMIFS(Despesas!$F:$F,Despesas!$J:$J,"&lt;="&amp;$A177,Despesas!$L:$L,"&gt;="&amp;$A177,Despesas!$C:$C,H$1,Despesas!$M:$M,$B177)</f>
        <v>1000</v>
      </c>
      <c r="I177" s="18">
        <f>IF(Imóveis!$F$2="PRICE",IF(AND(Dados!$A177&gt;=Imóveis!$Q$2,Dados!$A177&lt;=Imóveis!$T$2),Imóveis!$U$2,0),IF((IF(AND(Dados!$A177&gt;=Imóveis!$Q$2,Dados!$A177&lt;=Imóveis!$T$2),Imóveis!$S$2-(DATEDIF(Imóveis!$Q$2,Dados!$A177,"m")),0))=0,0,((Imóveis!$N$2/Imóveis!$S$2)+((Imóveis!$N$2-((Imóveis!$S$2-(IF(AND(Dados!$A177&gt;=Imóveis!$Q$2,Dados!$A177&lt;=Imóveis!$T$2),Imóveis!$S$2-(DATEDIF(Imóveis!$Q$2,Dados!$A177,"m")),)))*(Imóveis!$N$2/Imóveis!$S$2)))*Imóveis!$P$2))))*IF(AND(Imóveis!$E$2&gt;0,Dados!$A177&gt;Imóveis!$E$2),0,1)</f>
        <v>8087.8832389018135</v>
      </c>
      <c r="J177" s="18">
        <f ca="1">IF(Imóveis!$F$3="PRICE",IF(AND(Dados!$A177&gt;=Imóveis!$Q$3,Dados!$A177&lt;=Imóveis!$T$3),Imóveis!$U$3,0),IF((IF(AND(Dados!$A177&gt;=Imóveis!$Q$3,Dados!$A177&lt;=Imóveis!$T$3),Imóveis!$S$3-(DATEDIF(Imóveis!$Q$3,Dados!$A177,"m")),0))=0,0,((Imóveis!$N$3/Imóveis!$S$3)+((Imóveis!$N$3-((Imóveis!$S$3-(IF(AND(Dados!$A177&gt;=Imóveis!$Q$3,Dados!$A177&lt;=Imóveis!$T$3),Imóveis!$S$3-(DATEDIF(Imóveis!$Q$3,Dados!$A177,"m")),)))*(Imóveis!$N$3/Imóveis!$S$3)))*Imóveis!$P$3))))*IF(AND(Imóveis!$E$3&gt;0,Dados!$A177&gt;Imóveis!$E$3),0,1)</f>
        <v>0</v>
      </c>
      <c r="K177" s="18">
        <f>IF(Imóveis!$F$4="PRICE",IF(AND(Dados!$A177&gt;=Imóveis!$Q$4,Dados!$A177&lt;=Imóveis!$T$4),Imóveis!$U$4,0),IF((IF(AND(Dados!$A177&gt;=Imóveis!$Q$4,Dados!$A177&lt;=Imóveis!$T$4),Imóveis!$S$4-(DATEDIF(Imóveis!$Q$4,Dados!$A177,"m")),0))=0,0,((Imóveis!$N$4/Imóveis!$S$4)+((Imóveis!$N$4-((Imóveis!$S$4-(IF(AND(Dados!$A177&gt;=Imóveis!$Q$4,Dados!$A177&lt;=Imóveis!$T$4),Imóveis!$S$4-(DATEDIF(Imóveis!$Q$4,Dados!$A177,"m")),)))*(Imóveis!$N$4/Imóveis!$S$4)))*Imóveis!$P$4))))*IF(AND(Imóveis!$E$4&gt;0,Dados!$A177&gt;Imóveis!$E$4),0,1)</f>
        <v>0</v>
      </c>
      <c r="L177" s="18">
        <f>IF(Imóveis!$F$5="PRICE",IF(AND(Dados!$A177&gt;=Imóveis!$Q$5,Dados!$A177&lt;=Imóveis!$T$5),Imóveis!$U$5,0),IF((IF(AND(Dados!$A177&gt;=Imóveis!$Q$5,Dados!$A177&lt;=Imóveis!$T$5),Imóveis!$S$5-(DATEDIF(Imóveis!$Q$5,Dados!$A177,"m")),0))=0,0,((Imóveis!$N$5/Imóveis!$S$5)+((Imóveis!$N$5-((Imóveis!$S$5-(IF(AND(Dados!$A177 &gt;=Imóveis!$Q$5,Dados!$A177&lt;=Imóveis!$T$5),Imóveis!$S$5-(DATEDIF(Imóveis!$Q$5,Dados!$A177,"m")),)))*(Imóveis!$N$5/Imóveis!$S$5)))*Imóveis!$P$5))))*IF(AND(Imóveis!$E$5&gt;0,Dados!$A177&gt;Imóveis!$E$5),0,1)*Imóveis!$I$5</f>
        <v>0</v>
      </c>
      <c r="M177" s="18">
        <f>IF(Imóveis!$F$6="PRICE",IF(AND(Dados!$A177&gt;=Imóveis!$Q$6,Dados!$A177&lt;=Imóveis!$T$6),Imóveis!$U$6,0),IF((IF(AND(Dados!$A177&gt;=Imóveis!$Q$6,Dados!$A177&lt;=Imóveis!$T$6),Imóveis!$S$6-(DATEDIF(Imóveis!$Q$6,Dados!$A177,"m")),0))=0,0,((Imóveis!$N$6/Imóveis!$S$6)+((Imóveis!$N$6-((Imóveis!$S$6-(IF(AND(Dados!$A177&gt;=Imóveis!$Q$6,Dados!$A177&lt;=Imóveis!$T$6),Imóveis!$S$6-(DATEDIF(Imóveis!$Q$6,Dados!$A177,"m")),)))*(Imóveis!$N$6/Imóveis!$S$6)))*Imóveis!$P$6))))*IF(AND(Imóveis!$E$6&gt;0,Dados!$A177&gt;Imóveis!$E$6),0,1)*Imóveis!$I$6</f>
        <v>0</v>
      </c>
      <c r="N177" s="18">
        <f t="shared" ca="1" si="21"/>
        <v>51087.883238901813</v>
      </c>
      <c r="O177" s="18">
        <f>SUMIFS(Receitas!$F:$F,Receitas!$J:$J,"&lt;="&amp;$A177,Receitas!$L:$L,"&gt;="&amp;$A177,Receitas!$C:$C,O$1,Receitas!$M:$M,"Mensal")+SUMIFS(Receitas!$F:$F,Receitas!$J:$J,"&lt;="&amp;$A177,Receitas!$L:$L,"&gt;="&amp;$A177,Receitas!$C:$C,O$1,Receitas!$M:$M,$B177)</f>
        <v>50000</v>
      </c>
      <c r="P177" s="18">
        <f>SUMIFS(Receitas!$F:$F,Receitas!$J:$J,"&lt;="&amp;$A177,Receitas!$L:$L,"&gt;="&amp;$A177,Receitas!$C:$C,P$1,Receitas!$M:$M,"Mensal")+SUMIFS(Receitas!$F:$F,Receitas!$J:$J,"&lt;="&amp;$A177,Receitas!$L:$L,"&gt;="&amp;$A177,Receitas!$C:$C,P$1,Receitas!$M:$M,$B177)</f>
        <v>20000</v>
      </c>
      <c r="Q177" s="18">
        <f>SUMIFS(Receitas!$F:$F,Receitas!$J:$J,"&lt;="&amp;$A177,Receitas!$L:$L,"&gt;="&amp;$A177,Receitas!$C:$C,Q$1,Receitas!$M:$M,"Mensal")+SUMIFS(Receitas!$F:$F,Receitas!$J:$J,"&lt;="&amp;$A177,Receitas!$L:$L,"&gt;="&amp;$A177,Receitas!$C:$C,Q$1,Receitas!$M:$M,$B177)</f>
        <v>0</v>
      </c>
      <c r="R177" s="18" cm="1">
        <f t="array" ref="R177">(IF(AND(Membros!$F$2="Sim",A177&lt;=MAX(Membros!$E$2:$E$5)),Membros!K$2,IF(AND(A177&gt;=Membros!J$2,A177&lt;=MAX(Membros!$E$2:$E$5)),Membros!K$2,0))+IF(AND(Membros!$F$3="Sim",A177&lt;=MAX(Membros!$E$2:$E$5)),Membros!K$3,IF(AND(A177&gt;=Membros!J$3,A177&lt;=MAX(Membros!$E$2:$E$5)),Membros!K$3,0)))*IF(AND(COUNTIFS(Tabela3[Tipo],"Provedor",Tabela3[Simulação Seguro],"Sim")=2,A177&gt;=MAX(IF(Tabela3[Tipo]="Dependente",Tabela3[Expectativa de Vida (Data)]))),0,1)</f>
        <v>0</v>
      </c>
      <c r="S177" s="18">
        <f t="shared" si="22"/>
        <v>70000</v>
      </c>
      <c r="U177" s="18">
        <f t="shared" ca="1" si="25"/>
        <v>9411842.4377520233</v>
      </c>
      <c r="V177" s="18">
        <f>SUMIF(Imóveis!E:E,Dados!A:A,Imóveis!Z:Z)-SUMIF(Imóveis!E:E,Dados!A:A,Imóveis!Y:Y)</f>
        <v>0</v>
      </c>
      <c r="W177" s="18">
        <f>-SUMIF(Projetos!N:N,A177,Projetos!F:F)</f>
        <v>0</v>
      </c>
      <c r="X177" s="18">
        <f t="shared" ca="1" si="19"/>
        <v>18912.116761098187</v>
      </c>
      <c r="Y177" s="26">
        <f ca="1">(U177*((Indicadores_Economicos!D$2+1)^(1/12)-1))</f>
        <v>30811.923012256808</v>
      </c>
      <c r="Z177" s="18">
        <f t="shared" ca="1" si="23"/>
        <v>9461566.4775253776</v>
      </c>
      <c r="AA177" s="18">
        <f ca="1">Auxiliar_Projetos!E177</f>
        <v>91553.507372649008</v>
      </c>
      <c r="AB177" s="18">
        <f ca="1">Auxiliar_Projetos!K177</f>
        <v>510474.89105767559</v>
      </c>
      <c r="AC177" s="18">
        <f ca="1">IF(Z177-AA177-AB177&gt;Investimentos!$C$14,Investimentos!$C$14,IF(Z177-AA177-AB177&lt;Investimentos!$C$14,Z177-AA177-AB177,0))</f>
        <v>300000</v>
      </c>
      <c r="AD177" s="18">
        <f t="shared" ca="1" si="24"/>
        <v>8559538.0790950526</v>
      </c>
      <c r="AE177" s="18"/>
    </row>
    <row r="178" spans="1:31" x14ac:dyDescent="0.2">
      <c r="A178" s="4">
        <v>51014</v>
      </c>
      <c r="B178" s="5" t="str">
        <f t="shared" si="20"/>
        <v>setembro</v>
      </c>
      <c r="C178" s="5" t="str">
        <f t="shared" si="26"/>
        <v>2039</v>
      </c>
      <c r="D178" s="5">
        <f>SUMIFS(Despesas!$F:$F,Despesas!$J:$J,"&lt;="&amp;$A178,Despesas!$L:$L,"&gt;="&amp;$A178,Despesas!$C:$C,D$1,Despesas!$M:$M,"Mensal")+SUMIFS(Despesas!$F:$F,Despesas!$J:$J,"&lt;="&amp;$A178,Despesas!$L:$L,"&gt;="&amp;$A178,Despesas!$C:$C,D$1,Despesas!$M:$M,$B178)</f>
        <v>23000</v>
      </c>
      <c r="E178" s="18">
        <f>SUMIFS(Despesas!$F:$F,Despesas!$J:$J,"&lt;="&amp;$A178,Despesas!$L:$L,"&gt;="&amp;$A178,Despesas!$C:$C,E$1,Despesas!$M:$M,"Mensal")+SUMIFS(Despesas!$F:$F,Despesas!$J:$J,"&lt;="&amp;$A178,Despesas!$L:$L,"&gt;="&amp;$A178,Despesas!$C:$C,E$1,Despesas!$M:$M,$B178)</f>
        <v>6000</v>
      </c>
      <c r="F178" s="5">
        <f>SUMIFS(Despesas!$F:$F,Despesas!$J:$J,"&lt;="&amp;$A178,Despesas!$L:$L,"&gt;="&amp;$A178,Despesas!$C:$C,F$1,Despesas!$M:$M,"Mensal")+SUMIFS(Despesas!$F:$F,Despesas!$J:$J,"&lt;="&amp;$A178,Despesas!$L:$L,"&gt;="&amp;$A178,Despesas!$C:$C,F$1,Despesas!$M:$M,$B178)</f>
        <v>13000</v>
      </c>
      <c r="G178" s="5">
        <f>SUMIFS(Despesas!$F:$F,Despesas!$J:$J,"&lt;="&amp;$A178,Despesas!$L:$L,"&gt;="&amp;$A178,Despesas!$C:$C,G$1,Despesas!$M:$M,"Mensal")+SUMIFS(Despesas!$F:$F,Despesas!$J:$J,"&lt;="&amp;$A178,Despesas!$L:$L,"&gt;="&amp;$A178,Despesas!$C:$C,G$1,Despesas!$M:$M,$B178)</f>
        <v>0</v>
      </c>
      <c r="H178" s="18">
        <f>SUMIFS(Despesas!$F:$F,Despesas!$J:$J,"&lt;="&amp;$A178,Despesas!$L:$L,"&gt;="&amp;$A178,Despesas!$C:$C,H$1,Despesas!$M:$M,"Mensal")+SUMIFS(Despesas!$F:$F,Despesas!$J:$J,"&lt;="&amp;$A178,Despesas!$L:$L,"&gt;="&amp;$A178,Despesas!$C:$C,H$1,Despesas!$M:$M,$B178)</f>
        <v>1000</v>
      </c>
      <c r="I178" s="18">
        <f>IF(Imóveis!$F$2="PRICE",IF(AND(Dados!$A178&gt;=Imóveis!$Q$2,Dados!$A178&lt;=Imóveis!$T$2),Imóveis!$U$2,0),IF((IF(AND(Dados!$A178&gt;=Imóveis!$Q$2,Dados!$A178&lt;=Imóveis!$T$2),Imóveis!$S$2-(DATEDIF(Imóveis!$Q$2,Dados!$A178,"m")),0))=0,0,((Imóveis!$N$2/Imóveis!$S$2)+((Imóveis!$N$2-((Imóveis!$S$2-(IF(AND(Dados!$A178&gt;=Imóveis!$Q$2,Dados!$A178&lt;=Imóveis!$T$2),Imóveis!$S$2-(DATEDIF(Imóveis!$Q$2,Dados!$A178,"m")),)))*(Imóveis!$N$2/Imóveis!$S$2)))*Imóveis!$P$2))))*IF(AND(Imóveis!$E$2&gt;0,Dados!$A178&gt;Imóveis!$E$2),0,1)</f>
        <v>8025.8621466770064</v>
      </c>
      <c r="J178" s="18">
        <f ca="1">IF(Imóveis!$F$3="PRICE",IF(AND(Dados!$A178&gt;=Imóveis!$Q$3,Dados!$A178&lt;=Imóveis!$T$3),Imóveis!$U$3,0),IF((IF(AND(Dados!$A178&gt;=Imóveis!$Q$3,Dados!$A178&lt;=Imóveis!$T$3),Imóveis!$S$3-(DATEDIF(Imóveis!$Q$3,Dados!$A178,"m")),0))=0,0,((Imóveis!$N$3/Imóveis!$S$3)+((Imóveis!$N$3-((Imóveis!$S$3-(IF(AND(Dados!$A178&gt;=Imóveis!$Q$3,Dados!$A178&lt;=Imóveis!$T$3),Imóveis!$S$3-(DATEDIF(Imóveis!$Q$3,Dados!$A178,"m")),)))*(Imóveis!$N$3/Imóveis!$S$3)))*Imóveis!$P$3))))*IF(AND(Imóveis!$E$3&gt;0,Dados!$A178&gt;Imóveis!$E$3),0,1)</f>
        <v>0</v>
      </c>
      <c r="K178" s="18">
        <f>IF(Imóveis!$F$4="PRICE",IF(AND(Dados!$A178&gt;=Imóveis!$Q$4,Dados!$A178&lt;=Imóveis!$T$4),Imóveis!$U$4,0),IF((IF(AND(Dados!$A178&gt;=Imóveis!$Q$4,Dados!$A178&lt;=Imóveis!$T$4),Imóveis!$S$4-(DATEDIF(Imóveis!$Q$4,Dados!$A178,"m")),0))=0,0,((Imóveis!$N$4/Imóveis!$S$4)+((Imóveis!$N$4-((Imóveis!$S$4-(IF(AND(Dados!$A178&gt;=Imóveis!$Q$4,Dados!$A178&lt;=Imóveis!$T$4),Imóveis!$S$4-(DATEDIF(Imóveis!$Q$4,Dados!$A178,"m")),)))*(Imóveis!$N$4/Imóveis!$S$4)))*Imóveis!$P$4))))*IF(AND(Imóveis!$E$4&gt;0,Dados!$A178&gt;Imóveis!$E$4),0,1)</f>
        <v>0</v>
      </c>
      <c r="L178" s="18">
        <f>IF(Imóveis!$F$5="PRICE",IF(AND(Dados!$A178&gt;=Imóveis!$Q$5,Dados!$A178&lt;=Imóveis!$T$5),Imóveis!$U$5,0),IF((IF(AND(Dados!$A178&gt;=Imóveis!$Q$5,Dados!$A178&lt;=Imóveis!$T$5),Imóveis!$S$5-(DATEDIF(Imóveis!$Q$5,Dados!$A178,"m")),0))=0,0,((Imóveis!$N$5/Imóveis!$S$5)+((Imóveis!$N$5-((Imóveis!$S$5-(IF(AND(Dados!$A178 &gt;=Imóveis!$Q$5,Dados!$A178&lt;=Imóveis!$T$5),Imóveis!$S$5-(DATEDIF(Imóveis!$Q$5,Dados!$A178,"m")),)))*(Imóveis!$N$5/Imóveis!$S$5)))*Imóveis!$P$5))))*IF(AND(Imóveis!$E$5&gt;0,Dados!$A178&gt;Imóveis!$E$5),0,1)*Imóveis!$I$5</f>
        <v>0</v>
      </c>
      <c r="M178" s="18">
        <f>IF(Imóveis!$F$6="PRICE",IF(AND(Dados!$A178&gt;=Imóveis!$Q$6,Dados!$A178&lt;=Imóveis!$T$6),Imóveis!$U$6,0),IF((IF(AND(Dados!$A178&gt;=Imóveis!$Q$6,Dados!$A178&lt;=Imóveis!$T$6),Imóveis!$S$6-(DATEDIF(Imóveis!$Q$6,Dados!$A178,"m")),0))=0,0,((Imóveis!$N$6/Imóveis!$S$6)+((Imóveis!$N$6-((Imóveis!$S$6-(IF(AND(Dados!$A178&gt;=Imóveis!$Q$6,Dados!$A178&lt;=Imóveis!$T$6),Imóveis!$S$6-(DATEDIF(Imóveis!$Q$6,Dados!$A178,"m")),)))*(Imóveis!$N$6/Imóveis!$S$6)))*Imóveis!$P$6))))*IF(AND(Imóveis!$E$6&gt;0,Dados!$A178&gt;Imóveis!$E$6),0,1)*Imóveis!$I$6</f>
        <v>0</v>
      </c>
      <c r="N178" s="18">
        <f t="shared" ca="1" si="21"/>
        <v>51025.862146677006</v>
      </c>
      <c r="O178" s="18">
        <f>SUMIFS(Receitas!$F:$F,Receitas!$J:$J,"&lt;="&amp;$A178,Receitas!$L:$L,"&gt;="&amp;$A178,Receitas!$C:$C,O$1,Receitas!$M:$M,"Mensal")+SUMIFS(Receitas!$F:$F,Receitas!$J:$J,"&lt;="&amp;$A178,Receitas!$L:$L,"&gt;="&amp;$A178,Receitas!$C:$C,O$1,Receitas!$M:$M,$B178)</f>
        <v>50000</v>
      </c>
      <c r="P178" s="18">
        <f>SUMIFS(Receitas!$F:$F,Receitas!$J:$J,"&lt;="&amp;$A178,Receitas!$L:$L,"&gt;="&amp;$A178,Receitas!$C:$C,P$1,Receitas!$M:$M,"Mensal")+SUMIFS(Receitas!$F:$F,Receitas!$J:$J,"&lt;="&amp;$A178,Receitas!$L:$L,"&gt;="&amp;$A178,Receitas!$C:$C,P$1,Receitas!$M:$M,$B178)</f>
        <v>20000</v>
      </c>
      <c r="Q178" s="18">
        <f>SUMIFS(Receitas!$F:$F,Receitas!$J:$J,"&lt;="&amp;$A178,Receitas!$L:$L,"&gt;="&amp;$A178,Receitas!$C:$C,Q$1,Receitas!$M:$M,"Mensal")+SUMIFS(Receitas!$F:$F,Receitas!$J:$J,"&lt;="&amp;$A178,Receitas!$L:$L,"&gt;="&amp;$A178,Receitas!$C:$C,Q$1,Receitas!$M:$M,$B178)</f>
        <v>0</v>
      </c>
      <c r="R178" s="18" cm="1">
        <f t="array" ref="R178">(IF(AND(Membros!$F$2="Sim",A178&lt;=MAX(Membros!$E$2:$E$5)),Membros!K$2,IF(AND(A178&gt;=Membros!J$2,A178&lt;=MAX(Membros!$E$2:$E$5)),Membros!K$2,0))+IF(AND(Membros!$F$3="Sim",A178&lt;=MAX(Membros!$E$2:$E$5)),Membros!K$3,IF(AND(A178&gt;=Membros!J$3,A178&lt;=MAX(Membros!$E$2:$E$5)),Membros!K$3,0)))*IF(AND(COUNTIFS(Tabela3[Tipo],"Provedor",Tabela3[Simulação Seguro],"Sim")=2,A178&gt;=MAX(IF(Tabela3[Tipo]="Dependente",Tabela3[Expectativa de Vida (Data)]))),0,1)</f>
        <v>0</v>
      </c>
      <c r="S178" s="18">
        <f t="shared" si="22"/>
        <v>70000</v>
      </c>
      <c r="U178" s="18">
        <f t="shared" ca="1" si="25"/>
        <v>9461566.4775253776</v>
      </c>
      <c r="V178" s="18">
        <f>SUMIF(Imóveis!E:E,Dados!A:A,Imóveis!Z:Z)-SUMIF(Imóveis!E:E,Dados!A:A,Imóveis!Y:Y)</f>
        <v>0</v>
      </c>
      <c r="W178" s="18">
        <f>-SUMIF(Projetos!N:N,A178,Projetos!F:F)</f>
        <v>0</v>
      </c>
      <c r="X178" s="18">
        <f t="shared" ca="1" si="19"/>
        <v>18974.137853322994</v>
      </c>
      <c r="Y178" s="26">
        <f ca="1">(U178*((Indicadores_Economicos!D$2+1)^(1/12)-1))</f>
        <v>30974.706579394482</v>
      </c>
      <c r="Z178" s="18">
        <f t="shared" ca="1" si="23"/>
        <v>9511515.3219580948</v>
      </c>
      <c r="AA178" s="18">
        <f ca="1">Auxiliar_Projetos!E178</f>
        <v>91853.229731934698</v>
      </c>
      <c r="AB178" s="18">
        <f ca="1">Auxiliar_Projetos!K178</f>
        <v>512146.05301634478</v>
      </c>
      <c r="AC178" s="18">
        <f ca="1">IF(Z178-AA178-AB178&gt;Investimentos!$C$14,Investimentos!$C$14,IF(Z178-AA178-AB178&lt;Investimentos!$C$14,Z178-AA178-AB178,0))</f>
        <v>300000</v>
      </c>
      <c r="AD178" s="18">
        <f t="shared" ca="1" si="24"/>
        <v>8607516.0392098166</v>
      </c>
      <c r="AE178" s="18"/>
    </row>
    <row r="179" spans="1:31" x14ac:dyDescent="0.2">
      <c r="A179" s="4">
        <v>51044</v>
      </c>
      <c r="B179" s="5" t="str">
        <f t="shared" si="20"/>
        <v>outubro</v>
      </c>
      <c r="C179" s="5" t="str">
        <f t="shared" si="26"/>
        <v>2039</v>
      </c>
      <c r="D179" s="5">
        <f>SUMIFS(Despesas!$F:$F,Despesas!$J:$J,"&lt;="&amp;$A179,Despesas!$L:$L,"&gt;="&amp;$A179,Despesas!$C:$C,D$1,Despesas!$M:$M,"Mensal")+SUMIFS(Despesas!$F:$F,Despesas!$J:$J,"&lt;="&amp;$A179,Despesas!$L:$L,"&gt;="&amp;$A179,Despesas!$C:$C,D$1,Despesas!$M:$M,$B179)</f>
        <v>23000</v>
      </c>
      <c r="E179" s="18">
        <f>SUMIFS(Despesas!$F:$F,Despesas!$J:$J,"&lt;="&amp;$A179,Despesas!$L:$L,"&gt;="&amp;$A179,Despesas!$C:$C,E$1,Despesas!$M:$M,"Mensal")+SUMIFS(Despesas!$F:$F,Despesas!$J:$J,"&lt;="&amp;$A179,Despesas!$L:$L,"&gt;="&amp;$A179,Despesas!$C:$C,E$1,Despesas!$M:$M,$B179)</f>
        <v>6000</v>
      </c>
      <c r="F179" s="5">
        <f>SUMIFS(Despesas!$F:$F,Despesas!$J:$J,"&lt;="&amp;$A179,Despesas!$L:$L,"&gt;="&amp;$A179,Despesas!$C:$C,F$1,Despesas!$M:$M,"Mensal")+SUMIFS(Despesas!$F:$F,Despesas!$J:$J,"&lt;="&amp;$A179,Despesas!$L:$L,"&gt;="&amp;$A179,Despesas!$C:$C,F$1,Despesas!$M:$M,$B179)</f>
        <v>13000</v>
      </c>
      <c r="G179" s="5">
        <f>SUMIFS(Despesas!$F:$F,Despesas!$J:$J,"&lt;="&amp;$A179,Despesas!$L:$L,"&gt;="&amp;$A179,Despesas!$C:$C,G$1,Despesas!$M:$M,"Mensal")+SUMIFS(Despesas!$F:$F,Despesas!$J:$J,"&lt;="&amp;$A179,Despesas!$L:$L,"&gt;="&amp;$A179,Despesas!$C:$C,G$1,Despesas!$M:$M,$B179)</f>
        <v>0</v>
      </c>
      <c r="H179" s="18">
        <f>SUMIFS(Despesas!$F:$F,Despesas!$J:$J,"&lt;="&amp;$A179,Despesas!$L:$L,"&gt;="&amp;$A179,Despesas!$C:$C,H$1,Despesas!$M:$M,"Mensal")+SUMIFS(Despesas!$F:$F,Despesas!$J:$J,"&lt;="&amp;$A179,Despesas!$L:$L,"&gt;="&amp;$A179,Despesas!$C:$C,H$1,Despesas!$M:$M,$B179)</f>
        <v>1000</v>
      </c>
      <c r="I179" s="18">
        <f>IF(Imóveis!$F$2="PRICE",IF(AND(Dados!$A179&gt;=Imóveis!$Q$2,Dados!$A179&lt;=Imóveis!$T$2),Imóveis!$U$2,0),IF((IF(AND(Dados!$A179&gt;=Imóveis!$Q$2,Dados!$A179&lt;=Imóveis!$T$2),Imóveis!$S$2-(DATEDIF(Imóveis!$Q$2,Dados!$A179,"m")),0))=0,0,((Imóveis!$N$2/Imóveis!$S$2)+((Imóveis!$N$2-((Imóveis!$S$2-(IF(AND(Dados!$A179&gt;=Imóveis!$Q$2,Dados!$A179&lt;=Imóveis!$T$2),Imóveis!$S$2-(DATEDIF(Imóveis!$Q$2,Dados!$A179,"m")),)))*(Imóveis!$N$2/Imóveis!$S$2)))*Imóveis!$P$2))))*IF(AND(Imóveis!$E$2&gt;0,Dados!$A179&gt;Imóveis!$E$2),0,1)</f>
        <v>7963.8410544521994</v>
      </c>
      <c r="J179" s="18">
        <f ca="1">IF(Imóveis!$F$3="PRICE",IF(AND(Dados!$A179&gt;=Imóveis!$Q$3,Dados!$A179&lt;=Imóveis!$T$3),Imóveis!$U$3,0),IF((IF(AND(Dados!$A179&gt;=Imóveis!$Q$3,Dados!$A179&lt;=Imóveis!$T$3),Imóveis!$S$3-(DATEDIF(Imóveis!$Q$3,Dados!$A179,"m")),0))=0,0,((Imóveis!$N$3/Imóveis!$S$3)+((Imóveis!$N$3-((Imóveis!$S$3-(IF(AND(Dados!$A179&gt;=Imóveis!$Q$3,Dados!$A179&lt;=Imóveis!$T$3),Imóveis!$S$3-(DATEDIF(Imóveis!$Q$3,Dados!$A179,"m")),)))*(Imóveis!$N$3/Imóveis!$S$3)))*Imóveis!$P$3))))*IF(AND(Imóveis!$E$3&gt;0,Dados!$A179&gt;Imóveis!$E$3),0,1)</f>
        <v>0</v>
      </c>
      <c r="K179" s="18">
        <f>IF(Imóveis!$F$4="PRICE",IF(AND(Dados!$A179&gt;=Imóveis!$Q$4,Dados!$A179&lt;=Imóveis!$T$4),Imóveis!$U$4,0),IF((IF(AND(Dados!$A179&gt;=Imóveis!$Q$4,Dados!$A179&lt;=Imóveis!$T$4),Imóveis!$S$4-(DATEDIF(Imóveis!$Q$4,Dados!$A179,"m")),0))=0,0,((Imóveis!$N$4/Imóveis!$S$4)+((Imóveis!$N$4-((Imóveis!$S$4-(IF(AND(Dados!$A179&gt;=Imóveis!$Q$4,Dados!$A179&lt;=Imóveis!$T$4),Imóveis!$S$4-(DATEDIF(Imóveis!$Q$4,Dados!$A179,"m")),)))*(Imóveis!$N$4/Imóveis!$S$4)))*Imóveis!$P$4))))*IF(AND(Imóveis!$E$4&gt;0,Dados!$A179&gt;Imóveis!$E$4),0,1)</f>
        <v>0</v>
      </c>
      <c r="L179" s="18">
        <f>IF(Imóveis!$F$5="PRICE",IF(AND(Dados!$A179&gt;=Imóveis!$Q$5,Dados!$A179&lt;=Imóveis!$T$5),Imóveis!$U$5,0),IF((IF(AND(Dados!$A179&gt;=Imóveis!$Q$5,Dados!$A179&lt;=Imóveis!$T$5),Imóveis!$S$5-(DATEDIF(Imóveis!$Q$5,Dados!$A179,"m")),0))=0,0,((Imóveis!$N$5/Imóveis!$S$5)+((Imóveis!$N$5-((Imóveis!$S$5-(IF(AND(Dados!$A179 &gt;=Imóveis!$Q$5,Dados!$A179&lt;=Imóveis!$T$5),Imóveis!$S$5-(DATEDIF(Imóveis!$Q$5,Dados!$A179,"m")),)))*(Imóveis!$N$5/Imóveis!$S$5)))*Imóveis!$P$5))))*IF(AND(Imóveis!$E$5&gt;0,Dados!$A179&gt;Imóveis!$E$5),0,1)*Imóveis!$I$5</f>
        <v>0</v>
      </c>
      <c r="M179" s="18">
        <f>IF(Imóveis!$F$6="PRICE",IF(AND(Dados!$A179&gt;=Imóveis!$Q$6,Dados!$A179&lt;=Imóveis!$T$6),Imóveis!$U$6,0),IF((IF(AND(Dados!$A179&gt;=Imóveis!$Q$6,Dados!$A179&lt;=Imóveis!$T$6),Imóveis!$S$6-(DATEDIF(Imóveis!$Q$6,Dados!$A179,"m")),0))=0,0,((Imóveis!$N$6/Imóveis!$S$6)+((Imóveis!$N$6-((Imóveis!$S$6-(IF(AND(Dados!$A179&gt;=Imóveis!$Q$6,Dados!$A179&lt;=Imóveis!$T$6),Imóveis!$S$6-(DATEDIF(Imóveis!$Q$6,Dados!$A179,"m")),)))*(Imóveis!$N$6/Imóveis!$S$6)))*Imóveis!$P$6))))*IF(AND(Imóveis!$E$6&gt;0,Dados!$A179&gt;Imóveis!$E$6),0,1)*Imóveis!$I$6</f>
        <v>0</v>
      </c>
      <c r="N179" s="18">
        <f t="shared" ca="1" si="21"/>
        <v>50963.841054452198</v>
      </c>
      <c r="O179" s="18">
        <f>SUMIFS(Receitas!$F:$F,Receitas!$J:$J,"&lt;="&amp;$A179,Receitas!$L:$L,"&gt;="&amp;$A179,Receitas!$C:$C,O$1,Receitas!$M:$M,"Mensal")+SUMIFS(Receitas!$F:$F,Receitas!$J:$J,"&lt;="&amp;$A179,Receitas!$L:$L,"&gt;="&amp;$A179,Receitas!$C:$C,O$1,Receitas!$M:$M,$B179)</f>
        <v>50000</v>
      </c>
      <c r="P179" s="18">
        <f>SUMIFS(Receitas!$F:$F,Receitas!$J:$J,"&lt;="&amp;$A179,Receitas!$L:$L,"&gt;="&amp;$A179,Receitas!$C:$C,P$1,Receitas!$M:$M,"Mensal")+SUMIFS(Receitas!$F:$F,Receitas!$J:$J,"&lt;="&amp;$A179,Receitas!$L:$L,"&gt;="&amp;$A179,Receitas!$C:$C,P$1,Receitas!$M:$M,$B179)</f>
        <v>20000</v>
      </c>
      <c r="Q179" s="18">
        <f>SUMIFS(Receitas!$F:$F,Receitas!$J:$J,"&lt;="&amp;$A179,Receitas!$L:$L,"&gt;="&amp;$A179,Receitas!$C:$C,Q$1,Receitas!$M:$M,"Mensal")+SUMIFS(Receitas!$F:$F,Receitas!$J:$J,"&lt;="&amp;$A179,Receitas!$L:$L,"&gt;="&amp;$A179,Receitas!$C:$C,Q$1,Receitas!$M:$M,$B179)</f>
        <v>0</v>
      </c>
      <c r="R179" s="18" cm="1">
        <f t="array" ref="R179">(IF(AND(Membros!$F$2="Sim",A179&lt;=MAX(Membros!$E$2:$E$5)),Membros!K$2,IF(AND(A179&gt;=Membros!J$2,A179&lt;=MAX(Membros!$E$2:$E$5)),Membros!K$2,0))+IF(AND(Membros!$F$3="Sim",A179&lt;=MAX(Membros!$E$2:$E$5)),Membros!K$3,IF(AND(A179&gt;=Membros!J$3,A179&lt;=MAX(Membros!$E$2:$E$5)),Membros!K$3,0)))*IF(AND(COUNTIFS(Tabela3[Tipo],"Provedor",Tabela3[Simulação Seguro],"Sim")=2,A179&gt;=MAX(IF(Tabela3[Tipo]="Dependente",Tabela3[Expectativa de Vida (Data)]))),0,1)</f>
        <v>0</v>
      </c>
      <c r="S179" s="18">
        <f t="shared" si="22"/>
        <v>70000</v>
      </c>
      <c r="U179" s="18">
        <f t="shared" ca="1" si="25"/>
        <v>9511515.3219580948</v>
      </c>
      <c r="V179" s="18">
        <f>SUMIF(Imóveis!E:E,Dados!A:A,Imóveis!Z:Z)-SUMIF(Imóveis!E:E,Dados!A:A,Imóveis!Y:Y)</f>
        <v>0</v>
      </c>
      <c r="W179" s="18">
        <f>-SUMIF(Projetos!N:N,A179,Projetos!F:F)</f>
        <v>0</v>
      </c>
      <c r="X179" s="18">
        <f t="shared" ca="1" si="19"/>
        <v>19036.158945547802</v>
      </c>
      <c r="Y179" s="26">
        <f ca="1">(U179*((Indicadores_Economicos!D$2+1)^(1/12)-1))</f>
        <v>31138.226098488733</v>
      </c>
      <c r="Z179" s="18">
        <f t="shared" ca="1" si="23"/>
        <v>9561689.7070021313</v>
      </c>
      <c r="AA179" s="18">
        <f ca="1">Auxiliar_Projetos!E179</f>
        <v>92153.933304231585</v>
      </c>
      <c r="AB179" s="18">
        <f ca="1">Auxiliar_Projetos!K179</f>
        <v>513822.68592440052</v>
      </c>
      <c r="AC179" s="18">
        <f ca="1">IF(Z179-AA179-AB179&gt;Investimentos!$C$14,Investimentos!$C$14,IF(Z179-AA179-AB179&lt;Investimentos!$C$14,Z179-AA179-AB179,0))</f>
        <v>300000</v>
      </c>
      <c r="AD179" s="18">
        <f t="shared" ca="1" si="24"/>
        <v>8655713.0877735</v>
      </c>
      <c r="AE179" s="18"/>
    </row>
    <row r="180" spans="1:31" x14ac:dyDescent="0.2">
      <c r="A180" s="4">
        <v>51075</v>
      </c>
      <c r="B180" s="5" t="str">
        <f t="shared" si="20"/>
        <v>novembro</v>
      </c>
      <c r="C180" s="5" t="str">
        <f t="shared" si="26"/>
        <v>2039</v>
      </c>
      <c r="D180" s="5">
        <f>SUMIFS(Despesas!$F:$F,Despesas!$J:$J,"&lt;="&amp;$A180,Despesas!$L:$L,"&gt;="&amp;$A180,Despesas!$C:$C,D$1,Despesas!$M:$M,"Mensal")+SUMIFS(Despesas!$F:$F,Despesas!$J:$J,"&lt;="&amp;$A180,Despesas!$L:$L,"&gt;="&amp;$A180,Despesas!$C:$C,D$1,Despesas!$M:$M,$B180)</f>
        <v>23000</v>
      </c>
      <c r="E180" s="18">
        <f>SUMIFS(Despesas!$F:$F,Despesas!$J:$J,"&lt;="&amp;$A180,Despesas!$L:$L,"&gt;="&amp;$A180,Despesas!$C:$C,E$1,Despesas!$M:$M,"Mensal")+SUMIFS(Despesas!$F:$F,Despesas!$J:$J,"&lt;="&amp;$A180,Despesas!$L:$L,"&gt;="&amp;$A180,Despesas!$C:$C,E$1,Despesas!$M:$M,$B180)</f>
        <v>6000</v>
      </c>
      <c r="F180" s="5">
        <f>SUMIFS(Despesas!$F:$F,Despesas!$J:$J,"&lt;="&amp;$A180,Despesas!$L:$L,"&gt;="&amp;$A180,Despesas!$C:$C,F$1,Despesas!$M:$M,"Mensal")+SUMIFS(Despesas!$F:$F,Despesas!$J:$J,"&lt;="&amp;$A180,Despesas!$L:$L,"&gt;="&amp;$A180,Despesas!$C:$C,F$1,Despesas!$M:$M,$B180)</f>
        <v>13000</v>
      </c>
      <c r="G180" s="5">
        <f>SUMIFS(Despesas!$F:$F,Despesas!$J:$J,"&lt;="&amp;$A180,Despesas!$L:$L,"&gt;="&amp;$A180,Despesas!$C:$C,G$1,Despesas!$M:$M,"Mensal")+SUMIFS(Despesas!$F:$F,Despesas!$J:$J,"&lt;="&amp;$A180,Despesas!$L:$L,"&gt;="&amp;$A180,Despesas!$C:$C,G$1,Despesas!$M:$M,$B180)</f>
        <v>0</v>
      </c>
      <c r="H180" s="18">
        <f>SUMIFS(Despesas!$F:$F,Despesas!$J:$J,"&lt;="&amp;$A180,Despesas!$L:$L,"&gt;="&amp;$A180,Despesas!$C:$C,H$1,Despesas!$M:$M,"Mensal")+SUMIFS(Despesas!$F:$F,Despesas!$J:$J,"&lt;="&amp;$A180,Despesas!$L:$L,"&gt;="&amp;$A180,Despesas!$C:$C,H$1,Despesas!$M:$M,$B180)</f>
        <v>1000</v>
      </c>
      <c r="I180" s="18">
        <f>IF(Imóveis!$F$2="PRICE",IF(AND(Dados!$A180&gt;=Imóveis!$Q$2,Dados!$A180&lt;=Imóveis!$T$2),Imóveis!$U$2,0),IF((IF(AND(Dados!$A180&gt;=Imóveis!$Q$2,Dados!$A180&lt;=Imóveis!$T$2),Imóveis!$S$2-(DATEDIF(Imóveis!$Q$2,Dados!$A180,"m")),0))=0,0,((Imóveis!$N$2/Imóveis!$S$2)+((Imóveis!$N$2-((Imóveis!$S$2-(IF(AND(Dados!$A180&gt;=Imóveis!$Q$2,Dados!$A180&lt;=Imóveis!$T$2),Imóveis!$S$2-(DATEDIF(Imóveis!$Q$2,Dados!$A180,"m")),)))*(Imóveis!$N$2/Imóveis!$S$2)))*Imóveis!$P$2))))*IF(AND(Imóveis!$E$2&gt;0,Dados!$A180&gt;Imóveis!$E$2),0,1)</f>
        <v>7901.8199622273933</v>
      </c>
      <c r="J180" s="18">
        <f ca="1">IF(Imóveis!$F$3="PRICE",IF(AND(Dados!$A180&gt;=Imóveis!$Q$3,Dados!$A180&lt;=Imóveis!$T$3),Imóveis!$U$3,0),IF((IF(AND(Dados!$A180&gt;=Imóveis!$Q$3,Dados!$A180&lt;=Imóveis!$T$3),Imóveis!$S$3-(DATEDIF(Imóveis!$Q$3,Dados!$A180,"m")),0))=0,0,((Imóveis!$N$3/Imóveis!$S$3)+((Imóveis!$N$3-((Imóveis!$S$3-(IF(AND(Dados!$A180&gt;=Imóveis!$Q$3,Dados!$A180&lt;=Imóveis!$T$3),Imóveis!$S$3-(DATEDIF(Imóveis!$Q$3,Dados!$A180,"m")),)))*(Imóveis!$N$3/Imóveis!$S$3)))*Imóveis!$P$3))))*IF(AND(Imóveis!$E$3&gt;0,Dados!$A180&gt;Imóveis!$E$3),0,1)</f>
        <v>0</v>
      </c>
      <c r="K180" s="18">
        <f>IF(Imóveis!$F$4="PRICE",IF(AND(Dados!$A180&gt;=Imóveis!$Q$4,Dados!$A180&lt;=Imóveis!$T$4),Imóveis!$U$4,0),IF((IF(AND(Dados!$A180&gt;=Imóveis!$Q$4,Dados!$A180&lt;=Imóveis!$T$4),Imóveis!$S$4-(DATEDIF(Imóveis!$Q$4,Dados!$A180,"m")),0))=0,0,((Imóveis!$N$4/Imóveis!$S$4)+((Imóveis!$N$4-((Imóveis!$S$4-(IF(AND(Dados!$A180&gt;=Imóveis!$Q$4,Dados!$A180&lt;=Imóveis!$T$4),Imóveis!$S$4-(DATEDIF(Imóveis!$Q$4,Dados!$A180,"m")),)))*(Imóveis!$N$4/Imóveis!$S$4)))*Imóveis!$P$4))))*IF(AND(Imóveis!$E$4&gt;0,Dados!$A180&gt;Imóveis!$E$4),0,1)</f>
        <v>0</v>
      </c>
      <c r="L180" s="18">
        <f>IF(Imóveis!$F$5="PRICE",IF(AND(Dados!$A180&gt;=Imóveis!$Q$5,Dados!$A180&lt;=Imóveis!$T$5),Imóveis!$U$5,0),IF((IF(AND(Dados!$A180&gt;=Imóveis!$Q$5,Dados!$A180&lt;=Imóveis!$T$5),Imóveis!$S$5-(DATEDIF(Imóveis!$Q$5,Dados!$A180,"m")),0))=0,0,((Imóveis!$N$5/Imóveis!$S$5)+((Imóveis!$N$5-((Imóveis!$S$5-(IF(AND(Dados!$A180 &gt;=Imóveis!$Q$5,Dados!$A180&lt;=Imóveis!$T$5),Imóveis!$S$5-(DATEDIF(Imóveis!$Q$5,Dados!$A180,"m")),)))*(Imóveis!$N$5/Imóveis!$S$5)))*Imóveis!$P$5))))*IF(AND(Imóveis!$E$5&gt;0,Dados!$A180&gt;Imóveis!$E$5),0,1)*Imóveis!$I$5</f>
        <v>0</v>
      </c>
      <c r="M180" s="18">
        <f>IF(Imóveis!$F$6="PRICE",IF(AND(Dados!$A180&gt;=Imóveis!$Q$6,Dados!$A180&lt;=Imóveis!$T$6),Imóveis!$U$6,0),IF((IF(AND(Dados!$A180&gt;=Imóveis!$Q$6,Dados!$A180&lt;=Imóveis!$T$6),Imóveis!$S$6-(DATEDIF(Imóveis!$Q$6,Dados!$A180,"m")),0))=0,0,((Imóveis!$N$6/Imóveis!$S$6)+((Imóveis!$N$6-((Imóveis!$S$6-(IF(AND(Dados!$A180&gt;=Imóveis!$Q$6,Dados!$A180&lt;=Imóveis!$T$6),Imóveis!$S$6-(DATEDIF(Imóveis!$Q$6,Dados!$A180,"m")),)))*(Imóveis!$N$6/Imóveis!$S$6)))*Imóveis!$P$6))))*IF(AND(Imóveis!$E$6&gt;0,Dados!$A180&gt;Imóveis!$E$6),0,1)*Imóveis!$I$6</f>
        <v>0</v>
      </c>
      <c r="N180" s="18">
        <f t="shared" ca="1" si="21"/>
        <v>50901.819962227397</v>
      </c>
      <c r="O180" s="18">
        <f>SUMIFS(Receitas!$F:$F,Receitas!$J:$J,"&lt;="&amp;$A180,Receitas!$L:$L,"&gt;="&amp;$A180,Receitas!$C:$C,O$1,Receitas!$M:$M,"Mensal")+SUMIFS(Receitas!$F:$F,Receitas!$J:$J,"&lt;="&amp;$A180,Receitas!$L:$L,"&gt;="&amp;$A180,Receitas!$C:$C,O$1,Receitas!$M:$M,$B180)</f>
        <v>50000</v>
      </c>
      <c r="P180" s="18">
        <f>SUMIFS(Receitas!$F:$F,Receitas!$J:$J,"&lt;="&amp;$A180,Receitas!$L:$L,"&gt;="&amp;$A180,Receitas!$C:$C,P$1,Receitas!$M:$M,"Mensal")+SUMIFS(Receitas!$F:$F,Receitas!$J:$J,"&lt;="&amp;$A180,Receitas!$L:$L,"&gt;="&amp;$A180,Receitas!$C:$C,P$1,Receitas!$M:$M,$B180)</f>
        <v>86666.666666666672</v>
      </c>
      <c r="Q180" s="18">
        <f>SUMIFS(Receitas!$F:$F,Receitas!$J:$J,"&lt;="&amp;$A180,Receitas!$L:$L,"&gt;="&amp;$A180,Receitas!$C:$C,Q$1,Receitas!$M:$M,"Mensal")+SUMIFS(Receitas!$F:$F,Receitas!$J:$J,"&lt;="&amp;$A180,Receitas!$L:$L,"&gt;="&amp;$A180,Receitas!$C:$C,Q$1,Receitas!$M:$M,$B180)</f>
        <v>0</v>
      </c>
      <c r="R180" s="18" cm="1">
        <f t="array" ref="R180">(IF(AND(Membros!$F$2="Sim",A180&lt;=MAX(Membros!$E$2:$E$5)),Membros!K$2,IF(AND(A180&gt;=Membros!J$2,A180&lt;=MAX(Membros!$E$2:$E$5)),Membros!K$2,0))+IF(AND(Membros!$F$3="Sim",A180&lt;=MAX(Membros!$E$2:$E$5)),Membros!K$3,IF(AND(A180&gt;=Membros!J$3,A180&lt;=MAX(Membros!$E$2:$E$5)),Membros!K$3,0)))*IF(AND(COUNTIFS(Tabela3[Tipo],"Provedor",Tabela3[Simulação Seguro],"Sim")=2,A180&gt;=MAX(IF(Tabela3[Tipo]="Dependente",Tabela3[Expectativa de Vida (Data)]))),0,1)</f>
        <v>0</v>
      </c>
      <c r="S180" s="18">
        <f t="shared" si="22"/>
        <v>136666.66666666669</v>
      </c>
      <c r="U180" s="18">
        <f t="shared" ca="1" si="25"/>
        <v>9561689.7070021313</v>
      </c>
      <c r="V180" s="18">
        <f>SUMIF(Imóveis!E:E,Dados!A:A,Imóveis!Z:Z)-SUMIF(Imóveis!E:E,Dados!A:A,Imóveis!Y:Y)</f>
        <v>0</v>
      </c>
      <c r="W180" s="18">
        <f>-SUMIF(Projetos!N:N,A180,Projetos!F:F)</f>
        <v>0</v>
      </c>
      <c r="X180" s="18">
        <f t="shared" ca="1" si="19"/>
        <v>85764.846704439289</v>
      </c>
      <c r="Y180" s="26">
        <f ca="1">(U180*((Indicadores_Economicos!D$2+1)^(1/12)-1))</f>
        <v>31302.483978854758</v>
      </c>
      <c r="Z180" s="18">
        <f t="shared" ca="1" si="23"/>
        <v>9678757.037685426</v>
      </c>
      <c r="AA180" s="18">
        <f ca="1">Auxiliar_Projetos!E180</f>
        <v>92455.621301775755</v>
      </c>
      <c r="AB180" s="18">
        <f ca="1">Auxiliar_Projetos!K180</f>
        <v>515504.80769230751</v>
      </c>
      <c r="AC180" s="18">
        <f ca="1">IF(Z180-AA180-AB180&gt;Investimentos!$C$14,Investimentos!$C$14,IF(Z180-AA180-AB180&lt;Investimentos!$C$14,Z180-AA180-AB180,0))</f>
        <v>300000</v>
      </c>
      <c r="AD180" s="18">
        <f t="shared" ca="1" si="24"/>
        <v>8770796.6086913422</v>
      </c>
      <c r="AE180" s="18"/>
    </row>
    <row r="181" spans="1:31" x14ac:dyDescent="0.2">
      <c r="A181" s="4">
        <v>51105</v>
      </c>
      <c r="B181" s="5" t="str">
        <f t="shared" si="20"/>
        <v>dezembro</v>
      </c>
      <c r="C181" s="5" t="str">
        <f t="shared" si="26"/>
        <v>2039</v>
      </c>
      <c r="D181" s="5">
        <f>SUMIFS(Despesas!$F:$F,Despesas!$J:$J,"&lt;="&amp;$A181,Despesas!$L:$L,"&gt;="&amp;$A181,Despesas!$C:$C,D$1,Despesas!$M:$M,"Mensal")+SUMIFS(Despesas!$F:$F,Despesas!$J:$J,"&lt;="&amp;$A181,Despesas!$L:$L,"&gt;="&amp;$A181,Despesas!$C:$C,D$1,Despesas!$M:$M,$B181)</f>
        <v>23000</v>
      </c>
      <c r="E181" s="18">
        <f>SUMIFS(Despesas!$F:$F,Despesas!$J:$J,"&lt;="&amp;$A181,Despesas!$L:$L,"&gt;="&amp;$A181,Despesas!$C:$C,E$1,Despesas!$M:$M,"Mensal")+SUMIFS(Despesas!$F:$F,Despesas!$J:$J,"&lt;="&amp;$A181,Despesas!$L:$L,"&gt;="&amp;$A181,Despesas!$C:$C,E$1,Despesas!$M:$M,$B181)</f>
        <v>6000</v>
      </c>
      <c r="F181" s="5">
        <f>SUMIFS(Despesas!$F:$F,Despesas!$J:$J,"&lt;="&amp;$A181,Despesas!$L:$L,"&gt;="&amp;$A181,Despesas!$C:$C,F$1,Despesas!$M:$M,"Mensal")+SUMIFS(Despesas!$F:$F,Despesas!$J:$J,"&lt;="&amp;$A181,Despesas!$L:$L,"&gt;="&amp;$A181,Despesas!$C:$C,F$1,Despesas!$M:$M,$B181)</f>
        <v>13000</v>
      </c>
      <c r="G181" s="5">
        <f ca="1">SUMIFS(Despesas!$F:$F,Despesas!$J:$J,"&lt;="&amp;$A181,Despesas!$L:$L,"&gt;="&amp;$A181,Despesas!$C:$C,G$1,Despesas!$M:$M,"Mensal")+SUMIFS(Despesas!$F:$F,Despesas!$J:$J,"&lt;="&amp;$A181,Despesas!$L:$L,"&gt;="&amp;$A181,Despesas!$C:$C,G$1,Despesas!$M:$M,$B181)</f>
        <v>55757</v>
      </c>
      <c r="H181" s="18">
        <f>SUMIFS(Despesas!$F:$F,Despesas!$J:$J,"&lt;="&amp;$A181,Despesas!$L:$L,"&gt;="&amp;$A181,Despesas!$C:$C,H$1,Despesas!$M:$M,"Mensal")+SUMIFS(Despesas!$F:$F,Despesas!$J:$J,"&lt;="&amp;$A181,Despesas!$L:$L,"&gt;="&amp;$A181,Despesas!$C:$C,H$1,Despesas!$M:$M,$B181)</f>
        <v>1000</v>
      </c>
      <c r="I181" s="18">
        <f>IF(Imóveis!$F$2="PRICE",IF(AND(Dados!$A181&gt;=Imóveis!$Q$2,Dados!$A181&lt;=Imóveis!$T$2),Imóveis!$U$2,0),IF((IF(AND(Dados!$A181&gt;=Imóveis!$Q$2,Dados!$A181&lt;=Imóveis!$T$2),Imóveis!$S$2-(DATEDIF(Imóveis!$Q$2,Dados!$A181,"m")),0))=0,0,((Imóveis!$N$2/Imóveis!$S$2)+((Imóveis!$N$2-((Imóveis!$S$2-(IF(AND(Dados!$A181&gt;=Imóveis!$Q$2,Dados!$A181&lt;=Imóveis!$T$2),Imóveis!$S$2-(DATEDIF(Imóveis!$Q$2,Dados!$A181,"m")),)))*(Imóveis!$N$2/Imóveis!$S$2)))*Imóveis!$P$2))))*IF(AND(Imóveis!$E$2&gt;0,Dados!$A181&gt;Imóveis!$E$2),0,1)</f>
        <v>7839.7988700025844</v>
      </c>
      <c r="J181" s="18">
        <f ca="1">IF(Imóveis!$F$3="PRICE",IF(AND(Dados!$A181&gt;=Imóveis!$Q$3,Dados!$A181&lt;=Imóveis!$T$3),Imóveis!$U$3,0),IF((IF(AND(Dados!$A181&gt;=Imóveis!$Q$3,Dados!$A181&lt;=Imóveis!$T$3),Imóveis!$S$3-(DATEDIF(Imóveis!$Q$3,Dados!$A181,"m")),0))=0,0,((Imóveis!$N$3/Imóveis!$S$3)+((Imóveis!$N$3-((Imóveis!$S$3-(IF(AND(Dados!$A181&gt;=Imóveis!$Q$3,Dados!$A181&lt;=Imóveis!$T$3),Imóveis!$S$3-(DATEDIF(Imóveis!$Q$3,Dados!$A181,"m")),)))*(Imóveis!$N$3/Imóveis!$S$3)))*Imóveis!$P$3))))*IF(AND(Imóveis!$E$3&gt;0,Dados!$A181&gt;Imóveis!$E$3),0,1)</f>
        <v>0</v>
      </c>
      <c r="K181" s="18">
        <f>IF(Imóveis!$F$4="PRICE",IF(AND(Dados!$A181&gt;=Imóveis!$Q$4,Dados!$A181&lt;=Imóveis!$T$4),Imóveis!$U$4,0),IF((IF(AND(Dados!$A181&gt;=Imóveis!$Q$4,Dados!$A181&lt;=Imóveis!$T$4),Imóveis!$S$4-(DATEDIF(Imóveis!$Q$4,Dados!$A181,"m")),0))=0,0,((Imóveis!$N$4/Imóveis!$S$4)+((Imóveis!$N$4-((Imóveis!$S$4-(IF(AND(Dados!$A181&gt;=Imóveis!$Q$4,Dados!$A181&lt;=Imóveis!$T$4),Imóveis!$S$4-(DATEDIF(Imóveis!$Q$4,Dados!$A181,"m")),)))*(Imóveis!$N$4/Imóveis!$S$4)))*Imóveis!$P$4))))*IF(AND(Imóveis!$E$4&gt;0,Dados!$A181&gt;Imóveis!$E$4),0,1)</f>
        <v>0</v>
      </c>
      <c r="L181" s="18">
        <f>IF(Imóveis!$F$5="PRICE",IF(AND(Dados!$A181&gt;=Imóveis!$Q$5,Dados!$A181&lt;=Imóveis!$T$5),Imóveis!$U$5,0),IF((IF(AND(Dados!$A181&gt;=Imóveis!$Q$5,Dados!$A181&lt;=Imóveis!$T$5),Imóveis!$S$5-(DATEDIF(Imóveis!$Q$5,Dados!$A181,"m")),0))=0,0,((Imóveis!$N$5/Imóveis!$S$5)+((Imóveis!$N$5-((Imóveis!$S$5-(IF(AND(Dados!$A181 &gt;=Imóveis!$Q$5,Dados!$A181&lt;=Imóveis!$T$5),Imóveis!$S$5-(DATEDIF(Imóveis!$Q$5,Dados!$A181,"m")),)))*(Imóveis!$N$5/Imóveis!$S$5)))*Imóveis!$P$5))))*IF(AND(Imóveis!$E$5&gt;0,Dados!$A181&gt;Imóveis!$E$5),0,1)*Imóveis!$I$5</f>
        <v>0</v>
      </c>
      <c r="M181" s="18">
        <f>IF(Imóveis!$F$6="PRICE",IF(AND(Dados!$A181&gt;=Imóveis!$Q$6,Dados!$A181&lt;=Imóveis!$T$6),Imóveis!$U$6,0),IF((IF(AND(Dados!$A181&gt;=Imóveis!$Q$6,Dados!$A181&lt;=Imóveis!$T$6),Imóveis!$S$6-(DATEDIF(Imóveis!$Q$6,Dados!$A181,"m")),0))=0,0,((Imóveis!$N$6/Imóveis!$S$6)+((Imóveis!$N$6-((Imóveis!$S$6-(IF(AND(Dados!$A181&gt;=Imóveis!$Q$6,Dados!$A181&lt;=Imóveis!$T$6),Imóveis!$S$6-(DATEDIF(Imóveis!$Q$6,Dados!$A181,"m")),)))*(Imóveis!$N$6/Imóveis!$S$6)))*Imóveis!$P$6))))*IF(AND(Imóveis!$E$6&gt;0,Dados!$A181&gt;Imóveis!$E$6),0,1)*Imóveis!$I$6</f>
        <v>0</v>
      </c>
      <c r="N181" s="18">
        <f t="shared" ca="1" si="21"/>
        <v>106596.79887000259</v>
      </c>
      <c r="O181" s="18">
        <f>SUMIFS(Receitas!$F:$F,Receitas!$J:$J,"&lt;="&amp;$A181,Receitas!$L:$L,"&gt;="&amp;$A181,Receitas!$C:$C,O$1,Receitas!$M:$M,"Mensal")+SUMIFS(Receitas!$F:$F,Receitas!$J:$J,"&lt;="&amp;$A181,Receitas!$L:$L,"&gt;="&amp;$A181,Receitas!$C:$C,O$1,Receitas!$M:$M,$B181)</f>
        <v>50000</v>
      </c>
      <c r="P181" s="18">
        <f>SUMIFS(Receitas!$F:$F,Receitas!$J:$J,"&lt;="&amp;$A181,Receitas!$L:$L,"&gt;="&amp;$A181,Receitas!$C:$C,P$1,Receitas!$M:$M,"Mensal")+SUMIFS(Receitas!$F:$F,Receitas!$J:$J,"&lt;="&amp;$A181,Receitas!$L:$L,"&gt;="&amp;$A181,Receitas!$C:$C,P$1,Receitas!$M:$M,$B181)</f>
        <v>20000</v>
      </c>
      <c r="Q181" s="18">
        <f>SUMIFS(Receitas!$F:$F,Receitas!$J:$J,"&lt;="&amp;$A181,Receitas!$L:$L,"&gt;="&amp;$A181,Receitas!$C:$C,Q$1,Receitas!$M:$M,"Mensal")+SUMIFS(Receitas!$F:$F,Receitas!$J:$J,"&lt;="&amp;$A181,Receitas!$L:$L,"&gt;="&amp;$A181,Receitas!$C:$C,Q$1,Receitas!$M:$M,$B181)</f>
        <v>0</v>
      </c>
      <c r="R181" s="18" cm="1">
        <f t="array" ref="R181">(IF(AND(Membros!$F$2="Sim",A181&lt;=MAX(Membros!$E$2:$E$5)),Membros!K$2,IF(AND(A181&gt;=Membros!J$2,A181&lt;=MAX(Membros!$E$2:$E$5)),Membros!K$2,0))+IF(AND(Membros!$F$3="Sim",A181&lt;=MAX(Membros!$E$2:$E$5)),Membros!K$3,IF(AND(A181&gt;=Membros!J$3,A181&lt;=MAX(Membros!$E$2:$E$5)),Membros!K$3,0)))*IF(AND(COUNTIFS(Tabela3[Tipo],"Provedor",Tabela3[Simulação Seguro],"Sim")=2,A181&gt;=MAX(IF(Tabela3[Tipo]="Dependente",Tabela3[Expectativa de Vida (Data)]))),0,1)</f>
        <v>0</v>
      </c>
      <c r="S181" s="18">
        <f t="shared" si="22"/>
        <v>70000</v>
      </c>
      <c r="U181" s="18">
        <f t="shared" ca="1" si="25"/>
        <v>9678757.037685426</v>
      </c>
      <c r="V181" s="18">
        <f>SUMIF(Imóveis!E:E,Dados!A:A,Imóveis!Z:Z)-SUMIF(Imóveis!E:E,Dados!A:A,Imóveis!Y:Y)</f>
        <v>0</v>
      </c>
      <c r="W181" s="18">
        <f>-SUMIF(Projetos!N:N,A181,Projetos!F:F)</f>
        <v>0</v>
      </c>
      <c r="X181" s="18">
        <f t="shared" ca="1" si="19"/>
        <v>-36596.798870002589</v>
      </c>
      <c r="Y181" s="26">
        <f ca="1">(U181*((Indicadores_Economicos!D$2+1)^(1/12)-1))</f>
        <v>31685.731956508498</v>
      </c>
      <c r="Z181" s="18">
        <f t="shared" ca="1" si="23"/>
        <v>9673845.9707719311</v>
      </c>
      <c r="AA181" s="18">
        <f ca="1">Auxiliar_Projetos!E181</f>
        <v>92758.296947319293</v>
      </c>
      <c r="AB181" s="18">
        <f ca="1">Auxiliar_Projetos!K181</f>
        <v>517192.43628916465</v>
      </c>
      <c r="AC181" s="18">
        <f ca="1">IF(Z181-AA181-AB181&gt;Investimentos!$C$14,Investimentos!$C$14,IF(Z181-AA181-AB181&lt;Investimentos!$C$14,Z181-AA181-AB181,0))</f>
        <v>300000</v>
      </c>
      <c r="AD181" s="18">
        <f t="shared" ca="1" si="24"/>
        <v>8763895.2375354469</v>
      </c>
      <c r="AE181" s="18"/>
    </row>
    <row r="182" spans="1:31" x14ac:dyDescent="0.2">
      <c r="A182" s="4">
        <v>51136</v>
      </c>
      <c r="B182" s="5" t="str">
        <f t="shared" si="20"/>
        <v>janeiro</v>
      </c>
      <c r="C182" s="5" t="str">
        <f t="shared" si="26"/>
        <v>2040</v>
      </c>
      <c r="D182" s="5">
        <f>SUMIFS(Despesas!$F:$F,Despesas!$J:$J,"&lt;="&amp;$A182,Despesas!$L:$L,"&gt;="&amp;$A182,Despesas!$C:$C,D$1,Despesas!$M:$M,"Mensal")+SUMIFS(Despesas!$F:$F,Despesas!$J:$J,"&lt;="&amp;$A182,Despesas!$L:$L,"&gt;="&amp;$A182,Despesas!$C:$C,D$1,Despesas!$M:$M,$B182)</f>
        <v>23000</v>
      </c>
      <c r="E182" s="18">
        <f>SUMIFS(Despesas!$F:$F,Despesas!$J:$J,"&lt;="&amp;$A182,Despesas!$L:$L,"&gt;="&amp;$A182,Despesas!$C:$C,E$1,Despesas!$M:$M,"Mensal")+SUMIFS(Despesas!$F:$F,Despesas!$J:$J,"&lt;="&amp;$A182,Despesas!$L:$L,"&gt;="&amp;$A182,Despesas!$C:$C,E$1,Despesas!$M:$M,$B182)</f>
        <v>6000</v>
      </c>
      <c r="F182" s="5">
        <f>SUMIFS(Despesas!$F:$F,Despesas!$J:$J,"&lt;="&amp;$A182,Despesas!$L:$L,"&gt;="&amp;$A182,Despesas!$C:$C,F$1,Despesas!$M:$M,"Mensal")+SUMIFS(Despesas!$F:$F,Despesas!$J:$J,"&lt;="&amp;$A182,Despesas!$L:$L,"&gt;="&amp;$A182,Despesas!$C:$C,F$1,Despesas!$M:$M,$B182)</f>
        <v>13000</v>
      </c>
      <c r="G182" s="5">
        <f>SUMIFS(Despesas!$F:$F,Despesas!$J:$J,"&lt;="&amp;$A182,Despesas!$L:$L,"&gt;="&amp;$A182,Despesas!$C:$C,G$1,Despesas!$M:$M,"Mensal")+SUMIFS(Despesas!$F:$F,Despesas!$J:$J,"&lt;="&amp;$A182,Despesas!$L:$L,"&gt;="&amp;$A182,Despesas!$C:$C,G$1,Despesas!$M:$M,$B182)</f>
        <v>0</v>
      </c>
      <c r="H182" s="18">
        <f>SUMIFS(Despesas!$F:$F,Despesas!$J:$J,"&lt;="&amp;$A182,Despesas!$L:$L,"&gt;="&amp;$A182,Despesas!$C:$C,H$1,Despesas!$M:$M,"Mensal")+SUMIFS(Despesas!$F:$F,Despesas!$J:$J,"&lt;="&amp;$A182,Despesas!$L:$L,"&gt;="&amp;$A182,Despesas!$C:$C,H$1,Despesas!$M:$M,$B182)</f>
        <v>1000</v>
      </c>
      <c r="I182" s="18">
        <f>IF(Imóveis!$F$2="PRICE",IF(AND(Dados!$A182&gt;=Imóveis!$Q$2,Dados!$A182&lt;=Imóveis!$T$2),Imóveis!$U$2,0),IF((IF(AND(Dados!$A182&gt;=Imóveis!$Q$2,Dados!$A182&lt;=Imóveis!$T$2),Imóveis!$S$2-(DATEDIF(Imóveis!$Q$2,Dados!$A182,"m")),0))=0,0,((Imóveis!$N$2/Imóveis!$S$2)+((Imóveis!$N$2-((Imóveis!$S$2-(IF(AND(Dados!$A182&gt;=Imóveis!$Q$2,Dados!$A182&lt;=Imóveis!$T$2),Imóveis!$S$2-(DATEDIF(Imóveis!$Q$2,Dados!$A182,"m")),)))*(Imóveis!$N$2/Imóveis!$S$2)))*Imóveis!$P$2))))*IF(AND(Imóveis!$E$2&gt;0,Dados!$A182&gt;Imóveis!$E$2),0,1)</f>
        <v>0</v>
      </c>
      <c r="J182" s="18">
        <f ca="1">IF(Imóveis!$F$3="PRICE",IF(AND(Dados!$A182&gt;=Imóveis!$Q$3,Dados!$A182&lt;=Imóveis!$T$3),Imóveis!$U$3,0),IF((IF(AND(Dados!$A182&gt;=Imóveis!$Q$3,Dados!$A182&lt;=Imóveis!$T$3),Imóveis!$S$3-(DATEDIF(Imóveis!$Q$3,Dados!$A182,"m")),0))=0,0,((Imóveis!$N$3/Imóveis!$S$3)+((Imóveis!$N$3-((Imóveis!$S$3-(IF(AND(Dados!$A182&gt;=Imóveis!$Q$3,Dados!$A182&lt;=Imóveis!$T$3),Imóveis!$S$3-(DATEDIF(Imóveis!$Q$3,Dados!$A182,"m")),)))*(Imóveis!$N$3/Imóveis!$S$3)))*Imóveis!$P$3))))*IF(AND(Imóveis!$E$3&gt;0,Dados!$A182&gt;Imóveis!$E$3),0,1)</f>
        <v>0</v>
      </c>
      <c r="K182" s="18">
        <f>IF(Imóveis!$F$4="PRICE",IF(AND(Dados!$A182&gt;=Imóveis!$Q$4,Dados!$A182&lt;=Imóveis!$T$4),Imóveis!$U$4,0),IF((IF(AND(Dados!$A182&gt;=Imóveis!$Q$4,Dados!$A182&lt;=Imóveis!$T$4),Imóveis!$S$4-(DATEDIF(Imóveis!$Q$4,Dados!$A182,"m")),0))=0,0,((Imóveis!$N$4/Imóveis!$S$4)+((Imóveis!$N$4-((Imóveis!$S$4-(IF(AND(Dados!$A182&gt;=Imóveis!$Q$4,Dados!$A182&lt;=Imóveis!$T$4),Imóveis!$S$4-(DATEDIF(Imóveis!$Q$4,Dados!$A182,"m")),)))*(Imóveis!$N$4/Imóveis!$S$4)))*Imóveis!$P$4))))*IF(AND(Imóveis!$E$4&gt;0,Dados!$A182&gt;Imóveis!$E$4),0,1)</f>
        <v>0</v>
      </c>
      <c r="L182" s="18">
        <f>IF(Imóveis!$F$5="PRICE",IF(AND(Dados!$A182&gt;=Imóveis!$Q$5,Dados!$A182&lt;=Imóveis!$T$5),Imóveis!$U$5,0),IF((IF(AND(Dados!$A182&gt;=Imóveis!$Q$5,Dados!$A182&lt;=Imóveis!$T$5),Imóveis!$S$5-(DATEDIF(Imóveis!$Q$5,Dados!$A182,"m")),0))=0,0,((Imóveis!$N$5/Imóveis!$S$5)+((Imóveis!$N$5-((Imóveis!$S$5-(IF(AND(Dados!$A182 &gt;=Imóveis!$Q$5,Dados!$A182&lt;=Imóveis!$T$5),Imóveis!$S$5-(DATEDIF(Imóveis!$Q$5,Dados!$A182,"m")),)))*(Imóveis!$N$5/Imóveis!$S$5)))*Imóveis!$P$5))))*IF(AND(Imóveis!$E$5&gt;0,Dados!$A182&gt;Imóveis!$E$5),0,1)*Imóveis!$I$5</f>
        <v>0</v>
      </c>
      <c r="M182" s="18">
        <f>IF(Imóveis!$F$6="PRICE",IF(AND(Dados!$A182&gt;=Imóveis!$Q$6,Dados!$A182&lt;=Imóveis!$T$6),Imóveis!$U$6,0),IF((IF(AND(Dados!$A182&gt;=Imóveis!$Q$6,Dados!$A182&lt;=Imóveis!$T$6),Imóveis!$S$6-(DATEDIF(Imóveis!$Q$6,Dados!$A182,"m")),0))=0,0,((Imóveis!$N$6/Imóveis!$S$6)+((Imóveis!$N$6-((Imóveis!$S$6-(IF(AND(Dados!$A182&gt;=Imóveis!$Q$6,Dados!$A182&lt;=Imóveis!$T$6),Imóveis!$S$6-(DATEDIF(Imóveis!$Q$6,Dados!$A182,"m")),)))*(Imóveis!$N$6/Imóveis!$S$6)))*Imóveis!$P$6))))*IF(AND(Imóveis!$E$6&gt;0,Dados!$A182&gt;Imóveis!$E$6),0,1)*Imóveis!$I$6</f>
        <v>0</v>
      </c>
      <c r="N182" s="18">
        <f t="shared" ca="1" si="21"/>
        <v>43000</v>
      </c>
      <c r="O182" s="18">
        <f>SUMIFS(Receitas!$F:$F,Receitas!$J:$J,"&lt;="&amp;$A182,Receitas!$L:$L,"&gt;="&amp;$A182,Receitas!$C:$C,O$1,Receitas!$M:$M,"Mensal")+SUMIFS(Receitas!$F:$F,Receitas!$J:$J,"&lt;="&amp;$A182,Receitas!$L:$L,"&gt;="&amp;$A182,Receitas!$C:$C,O$1,Receitas!$M:$M,$B182)</f>
        <v>50000</v>
      </c>
      <c r="P182" s="18">
        <f>SUMIFS(Receitas!$F:$F,Receitas!$J:$J,"&lt;="&amp;$A182,Receitas!$L:$L,"&gt;="&amp;$A182,Receitas!$C:$C,P$1,Receitas!$M:$M,"Mensal")+SUMIFS(Receitas!$F:$F,Receitas!$J:$J,"&lt;="&amp;$A182,Receitas!$L:$L,"&gt;="&amp;$A182,Receitas!$C:$C,P$1,Receitas!$M:$M,$B182)</f>
        <v>20000</v>
      </c>
      <c r="Q182" s="18">
        <f>SUMIFS(Receitas!$F:$F,Receitas!$J:$J,"&lt;="&amp;$A182,Receitas!$L:$L,"&gt;="&amp;$A182,Receitas!$C:$C,Q$1,Receitas!$M:$M,"Mensal")+SUMIFS(Receitas!$F:$F,Receitas!$J:$J,"&lt;="&amp;$A182,Receitas!$L:$L,"&gt;="&amp;$A182,Receitas!$C:$C,Q$1,Receitas!$M:$M,$B182)</f>
        <v>0</v>
      </c>
      <c r="R182" s="18" cm="1">
        <f t="array" ref="R182">(IF(AND(Membros!$F$2="Sim",A182&lt;=MAX(Membros!$E$2:$E$5)),Membros!K$2,IF(AND(A182&gt;=Membros!J$2,A182&lt;=MAX(Membros!$E$2:$E$5)),Membros!K$2,0))+IF(AND(Membros!$F$3="Sim",A182&lt;=MAX(Membros!$E$2:$E$5)),Membros!K$3,IF(AND(A182&gt;=Membros!J$3,A182&lt;=MAX(Membros!$E$2:$E$5)),Membros!K$3,0)))*IF(AND(COUNTIFS(Tabela3[Tipo],"Provedor",Tabela3[Simulação Seguro],"Sim")=2,A182&gt;=MAX(IF(Tabela3[Tipo]="Dependente",Tabela3[Expectativa de Vida (Data)]))),0,1)</f>
        <v>0</v>
      </c>
      <c r="S182" s="18">
        <f t="shared" si="22"/>
        <v>70000</v>
      </c>
      <c r="U182" s="18">
        <f t="shared" ca="1" si="25"/>
        <v>9673845.9707719311</v>
      </c>
      <c r="V182" s="18">
        <f>SUMIF(Imóveis!E:E,Dados!A:A,Imóveis!Z:Z)-SUMIF(Imóveis!E:E,Dados!A:A,Imóveis!Y:Y)</f>
        <v>0</v>
      </c>
      <c r="W182" s="18">
        <f>-SUMIF(Projetos!N:N,A182,Projetos!F:F)</f>
        <v>0</v>
      </c>
      <c r="X182" s="18">
        <f t="shared" ca="1" si="19"/>
        <v>27000</v>
      </c>
      <c r="Y182" s="26">
        <f ca="1">(U182*((Indicadores_Economicos!D$2+1)^(1/12)-1))</f>
        <v>31669.654401380747</v>
      </c>
      <c r="Z182" s="18">
        <f t="shared" ca="1" si="23"/>
        <v>9732515.6251733117</v>
      </c>
      <c r="AA182" s="18">
        <f ca="1">Auxiliar_Projetos!E182</f>
        <v>93061.963474164746</v>
      </c>
      <c r="AB182" s="18">
        <f ca="1">Auxiliar_Projetos!K182</f>
        <v>518885.58974289685</v>
      </c>
      <c r="AC182" s="18">
        <f ca="1">IF(Z182-AA182-AB182&gt;Investimentos!$C$14,Investimentos!$C$14,IF(Z182-AA182-AB182&lt;Investimentos!$C$14,Z182-AA182-AB182,0))</f>
        <v>300000</v>
      </c>
      <c r="AD182" s="18">
        <f t="shared" ca="1" si="24"/>
        <v>8820568.071956249</v>
      </c>
      <c r="AE182" s="18"/>
    </row>
    <row r="183" spans="1:31" x14ac:dyDescent="0.2">
      <c r="A183" s="4">
        <v>51167</v>
      </c>
      <c r="B183" s="5" t="str">
        <f t="shared" si="20"/>
        <v>fevereiro</v>
      </c>
      <c r="C183" s="5" t="str">
        <f t="shared" si="26"/>
        <v>2040</v>
      </c>
      <c r="D183" s="5">
        <f>SUMIFS(Despesas!$F:$F,Despesas!$J:$J,"&lt;="&amp;$A183,Despesas!$L:$L,"&gt;="&amp;$A183,Despesas!$C:$C,D$1,Despesas!$M:$M,"Mensal")+SUMIFS(Despesas!$F:$F,Despesas!$J:$J,"&lt;="&amp;$A183,Despesas!$L:$L,"&gt;="&amp;$A183,Despesas!$C:$C,D$1,Despesas!$M:$M,$B183)</f>
        <v>23000</v>
      </c>
      <c r="E183" s="18">
        <f>SUMIFS(Despesas!$F:$F,Despesas!$J:$J,"&lt;="&amp;$A183,Despesas!$L:$L,"&gt;="&amp;$A183,Despesas!$C:$C,E$1,Despesas!$M:$M,"Mensal")+SUMIFS(Despesas!$F:$F,Despesas!$J:$J,"&lt;="&amp;$A183,Despesas!$L:$L,"&gt;="&amp;$A183,Despesas!$C:$C,E$1,Despesas!$M:$M,$B183)</f>
        <v>6000</v>
      </c>
      <c r="F183" s="5">
        <f>SUMIFS(Despesas!$F:$F,Despesas!$J:$J,"&lt;="&amp;$A183,Despesas!$L:$L,"&gt;="&amp;$A183,Despesas!$C:$C,F$1,Despesas!$M:$M,"Mensal")+SUMIFS(Despesas!$F:$F,Despesas!$J:$J,"&lt;="&amp;$A183,Despesas!$L:$L,"&gt;="&amp;$A183,Despesas!$C:$C,F$1,Despesas!$M:$M,$B183)</f>
        <v>13000</v>
      </c>
      <c r="G183" s="5">
        <f>SUMIFS(Despesas!$F:$F,Despesas!$J:$J,"&lt;="&amp;$A183,Despesas!$L:$L,"&gt;="&amp;$A183,Despesas!$C:$C,G$1,Despesas!$M:$M,"Mensal")+SUMIFS(Despesas!$F:$F,Despesas!$J:$J,"&lt;="&amp;$A183,Despesas!$L:$L,"&gt;="&amp;$A183,Despesas!$C:$C,G$1,Despesas!$M:$M,$B183)</f>
        <v>0</v>
      </c>
      <c r="H183" s="18">
        <f>SUMIFS(Despesas!$F:$F,Despesas!$J:$J,"&lt;="&amp;$A183,Despesas!$L:$L,"&gt;="&amp;$A183,Despesas!$C:$C,H$1,Despesas!$M:$M,"Mensal")+SUMIFS(Despesas!$F:$F,Despesas!$J:$J,"&lt;="&amp;$A183,Despesas!$L:$L,"&gt;="&amp;$A183,Despesas!$C:$C,H$1,Despesas!$M:$M,$B183)</f>
        <v>2200</v>
      </c>
      <c r="I183" s="18">
        <f>IF(Imóveis!$F$2="PRICE",IF(AND(Dados!$A183&gt;=Imóveis!$Q$2,Dados!$A183&lt;=Imóveis!$T$2),Imóveis!$U$2,0),IF((IF(AND(Dados!$A183&gt;=Imóveis!$Q$2,Dados!$A183&lt;=Imóveis!$T$2),Imóveis!$S$2-(DATEDIF(Imóveis!$Q$2,Dados!$A183,"m")),0))=0,0,((Imóveis!$N$2/Imóveis!$S$2)+((Imóveis!$N$2-((Imóveis!$S$2-(IF(AND(Dados!$A183&gt;=Imóveis!$Q$2,Dados!$A183&lt;=Imóveis!$T$2),Imóveis!$S$2-(DATEDIF(Imóveis!$Q$2,Dados!$A183,"m")),)))*(Imóveis!$N$2/Imóveis!$S$2)))*Imóveis!$P$2))))*IF(AND(Imóveis!$E$2&gt;0,Dados!$A183&gt;Imóveis!$E$2),0,1)</f>
        <v>0</v>
      </c>
      <c r="J183" s="18">
        <f ca="1">IF(Imóveis!$F$3="PRICE",IF(AND(Dados!$A183&gt;=Imóveis!$Q$3,Dados!$A183&lt;=Imóveis!$T$3),Imóveis!$U$3,0),IF((IF(AND(Dados!$A183&gt;=Imóveis!$Q$3,Dados!$A183&lt;=Imóveis!$T$3),Imóveis!$S$3-(DATEDIF(Imóveis!$Q$3,Dados!$A183,"m")),0))=0,0,((Imóveis!$N$3/Imóveis!$S$3)+((Imóveis!$N$3-((Imóveis!$S$3-(IF(AND(Dados!$A183&gt;=Imóveis!$Q$3,Dados!$A183&lt;=Imóveis!$T$3),Imóveis!$S$3-(DATEDIF(Imóveis!$Q$3,Dados!$A183,"m")),)))*(Imóveis!$N$3/Imóveis!$S$3)))*Imóveis!$P$3))))*IF(AND(Imóveis!$E$3&gt;0,Dados!$A183&gt;Imóveis!$E$3),0,1)</f>
        <v>0</v>
      </c>
      <c r="K183" s="18">
        <f>IF(Imóveis!$F$4="PRICE",IF(AND(Dados!$A183&gt;=Imóveis!$Q$4,Dados!$A183&lt;=Imóveis!$T$4),Imóveis!$U$4,0),IF((IF(AND(Dados!$A183&gt;=Imóveis!$Q$4,Dados!$A183&lt;=Imóveis!$T$4),Imóveis!$S$4-(DATEDIF(Imóveis!$Q$4,Dados!$A183,"m")),0))=0,0,((Imóveis!$N$4/Imóveis!$S$4)+((Imóveis!$N$4-((Imóveis!$S$4-(IF(AND(Dados!$A183&gt;=Imóveis!$Q$4,Dados!$A183&lt;=Imóveis!$T$4),Imóveis!$S$4-(DATEDIF(Imóveis!$Q$4,Dados!$A183,"m")),)))*(Imóveis!$N$4/Imóveis!$S$4)))*Imóveis!$P$4))))*IF(AND(Imóveis!$E$4&gt;0,Dados!$A183&gt;Imóveis!$E$4),0,1)</f>
        <v>0</v>
      </c>
      <c r="L183" s="18">
        <f>IF(Imóveis!$F$5="PRICE",IF(AND(Dados!$A183&gt;=Imóveis!$Q$5,Dados!$A183&lt;=Imóveis!$T$5),Imóveis!$U$5,0),IF((IF(AND(Dados!$A183&gt;=Imóveis!$Q$5,Dados!$A183&lt;=Imóveis!$T$5),Imóveis!$S$5-(DATEDIF(Imóveis!$Q$5,Dados!$A183,"m")),0))=0,0,((Imóveis!$N$5/Imóveis!$S$5)+((Imóveis!$N$5-((Imóveis!$S$5-(IF(AND(Dados!$A183 &gt;=Imóveis!$Q$5,Dados!$A183&lt;=Imóveis!$T$5),Imóveis!$S$5-(DATEDIF(Imóveis!$Q$5,Dados!$A183,"m")),)))*(Imóveis!$N$5/Imóveis!$S$5)))*Imóveis!$P$5))))*IF(AND(Imóveis!$E$5&gt;0,Dados!$A183&gt;Imóveis!$E$5),0,1)*Imóveis!$I$5</f>
        <v>0</v>
      </c>
      <c r="M183" s="18">
        <f>IF(Imóveis!$F$6="PRICE",IF(AND(Dados!$A183&gt;=Imóveis!$Q$6,Dados!$A183&lt;=Imóveis!$T$6),Imóveis!$U$6,0),IF((IF(AND(Dados!$A183&gt;=Imóveis!$Q$6,Dados!$A183&lt;=Imóveis!$T$6),Imóveis!$S$6-(DATEDIF(Imóveis!$Q$6,Dados!$A183,"m")),0))=0,0,((Imóveis!$N$6/Imóveis!$S$6)+((Imóveis!$N$6-((Imóveis!$S$6-(IF(AND(Dados!$A183&gt;=Imóveis!$Q$6,Dados!$A183&lt;=Imóveis!$T$6),Imóveis!$S$6-(DATEDIF(Imóveis!$Q$6,Dados!$A183,"m")),)))*(Imóveis!$N$6/Imóveis!$S$6)))*Imóveis!$P$6))))*IF(AND(Imóveis!$E$6&gt;0,Dados!$A183&gt;Imóveis!$E$6),0,1)*Imóveis!$I$6</f>
        <v>0</v>
      </c>
      <c r="N183" s="18">
        <f t="shared" ca="1" si="21"/>
        <v>44200</v>
      </c>
      <c r="O183" s="18">
        <f>SUMIFS(Receitas!$F:$F,Receitas!$J:$J,"&lt;="&amp;$A183,Receitas!$L:$L,"&gt;="&amp;$A183,Receitas!$C:$C,O$1,Receitas!$M:$M,"Mensal")+SUMIFS(Receitas!$F:$F,Receitas!$J:$J,"&lt;="&amp;$A183,Receitas!$L:$L,"&gt;="&amp;$A183,Receitas!$C:$C,O$1,Receitas!$M:$M,$B183)</f>
        <v>50000</v>
      </c>
      <c r="P183" s="18">
        <f>SUMIFS(Receitas!$F:$F,Receitas!$J:$J,"&lt;="&amp;$A183,Receitas!$L:$L,"&gt;="&amp;$A183,Receitas!$C:$C,P$1,Receitas!$M:$M,"Mensal")+SUMIFS(Receitas!$F:$F,Receitas!$J:$J,"&lt;="&amp;$A183,Receitas!$L:$L,"&gt;="&amp;$A183,Receitas!$C:$C,P$1,Receitas!$M:$M,$B183)</f>
        <v>20000</v>
      </c>
      <c r="Q183" s="18">
        <f>SUMIFS(Receitas!$F:$F,Receitas!$J:$J,"&lt;="&amp;$A183,Receitas!$L:$L,"&gt;="&amp;$A183,Receitas!$C:$C,Q$1,Receitas!$M:$M,"Mensal")+SUMIFS(Receitas!$F:$F,Receitas!$J:$J,"&lt;="&amp;$A183,Receitas!$L:$L,"&gt;="&amp;$A183,Receitas!$C:$C,Q$1,Receitas!$M:$M,$B183)</f>
        <v>0</v>
      </c>
      <c r="R183" s="18" cm="1">
        <f t="array" ref="R183">(IF(AND(Membros!$F$2="Sim",A183&lt;=MAX(Membros!$E$2:$E$5)),Membros!K$2,IF(AND(A183&gt;=Membros!J$2,A183&lt;=MAX(Membros!$E$2:$E$5)),Membros!K$2,0))+IF(AND(Membros!$F$3="Sim",A183&lt;=MAX(Membros!$E$2:$E$5)),Membros!K$3,IF(AND(A183&gt;=Membros!J$3,A183&lt;=MAX(Membros!$E$2:$E$5)),Membros!K$3,0)))*IF(AND(COUNTIFS(Tabela3[Tipo],"Provedor",Tabela3[Simulação Seguro],"Sim")=2,A183&gt;=MAX(IF(Tabela3[Tipo]="Dependente",Tabela3[Expectativa de Vida (Data)]))),0,1)</f>
        <v>0</v>
      </c>
      <c r="S183" s="18">
        <f t="shared" si="22"/>
        <v>70000</v>
      </c>
      <c r="U183" s="18">
        <f t="shared" ca="1" si="25"/>
        <v>9732515.6251733117</v>
      </c>
      <c r="V183" s="18">
        <f>SUMIF(Imóveis!E:E,Dados!A:A,Imóveis!Z:Z)-SUMIF(Imóveis!E:E,Dados!A:A,Imóveis!Y:Y)</f>
        <v>0</v>
      </c>
      <c r="W183" s="18">
        <f>-SUMIF(Projetos!N:N,A183,Projetos!F:F)</f>
        <v>0</v>
      </c>
      <c r="X183" s="18">
        <f t="shared" ca="1" si="19"/>
        <v>25800</v>
      </c>
      <c r="Y183" s="26">
        <f ca="1">(U183*((Indicadores_Economicos!D$2+1)^(1/12)-1))</f>
        <v>31861.723583002411</v>
      </c>
      <c r="Z183" s="18">
        <f t="shared" ca="1" si="23"/>
        <v>9790177.3487563133</v>
      </c>
      <c r="AA183" s="18">
        <f ca="1">Auxiliar_Projetos!E183</f>
        <v>93366.624126199662</v>
      </c>
      <c r="AB183" s="18">
        <f ca="1">Auxiliar_Projetos!K183</f>
        <v>520584.28614044789</v>
      </c>
      <c r="AC183" s="18">
        <f ca="1">IF(Z183-AA183-AB183&gt;Investimentos!$C$14,Investimentos!$C$14,IF(Z183-AA183-AB183&lt;Investimentos!$C$14,Z183-AA183-AB183,0))</f>
        <v>300000</v>
      </c>
      <c r="AD183" s="18">
        <f t="shared" ca="1" si="24"/>
        <v>8876226.4384896662</v>
      </c>
      <c r="AE183" s="18"/>
    </row>
    <row r="184" spans="1:31" x14ac:dyDescent="0.2">
      <c r="A184" s="4">
        <v>51196</v>
      </c>
      <c r="B184" s="5" t="str">
        <f t="shared" si="20"/>
        <v>março</v>
      </c>
      <c r="C184" s="5" t="str">
        <f t="shared" si="26"/>
        <v>2040</v>
      </c>
      <c r="D184" s="5">
        <f>SUMIFS(Despesas!$F:$F,Despesas!$J:$J,"&lt;="&amp;$A184,Despesas!$L:$L,"&gt;="&amp;$A184,Despesas!$C:$C,D$1,Despesas!$M:$M,"Mensal")+SUMIFS(Despesas!$F:$F,Despesas!$J:$J,"&lt;="&amp;$A184,Despesas!$L:$L,"&gt;="&amp;$A184,Despesas!$C:$C,D$1,Despesas!$M:$M,$B184)</f>
        <v>23000</v>
      </c>
      <c r="E184" s="18">
        <f>SUMIFS(Despesas!$F:$F,Despesas!$J:$J,"&lt;="&amp;$A184,Despesas!$L:$L,"&gt;="&amp;$A184,Despesas!$C:$C,E$1,Despesas!$M:$M,"Mensal")+SUMIFS(Despesas!$F:$F,Despesas!$J:$J,"&lt;="&amp;$A184,Despesas!$L:$L,"&gt;="&amp;$A184,Despesas!$C:$C,E$1,Despesas!$M:$M,$B184)</f>
        <v>6000</v>
      </c>
      <c r="F184" s="5">
        <f>SUMIFS(Despesas!$F:$F,Despesas!$J:$J,"&lt;="&amp;$A184,Despesas!$L:$L,"&gt;="&amp;$A184,Despesas!$C:$C,F$1,Despesas!$M:$M,"Mensal")+SUMIFS(Despesas!$F:$F,Despesas!$J:$J,"&lt;="&amp;$A184,Despesas!$L:$L,"&gt;="&amp;$A184,Despesas!$C:$C,F$1,Despesas!$M:$M,$B184)</f>
        <v>13000</v>
      </c>
      <c r="G184" s="5">
        <f>SUMIFS(Despesas!$F:$F,Despesas!$J:$J,"&lt;="&amp;$A184,Despesas!$L:$L,"&gt;="&amp;$A184,Despesas!$C:$C,G$1,Despesas!$M:$M,"Mensal")+SUMIFS(Despesas!$F:$F,Despesas!$J:$J,"&lt;="&amp;$A184,Despesas!$L:$L,"&gt;="&amp;$A184,Despesas!$C:$C,G$1,Despesas!$M:$M,$B184)</f>
        <v>0</v>
      </c>
      <c r="H184" s="18">
        <f>SUMIFS(Despesas!$F:$F,Despesas!$J:$J,"&lt;="&amp;$A184,Despesas!$L:$L,"&gt;="&amp;$A184,Despesas!$C:$C,H$1,Despesas!$M:$M,"Mensal")+SUMIFS(Despesas!$F:$F,Despesas!$J:$J,"&lt;="&amp;$A184,Despesas!$L:$L,"&gt;="&amp;$A184,Despesas!$C:$C,H$1,Despesas!$M:$M,$B184)</f>
        <v>1000</v>
      </c>
      <c r="I184" s="18">
        <f>IF(Imóveis!$F$2="PRICE",IF(AND(Dados!$A184&gt;=Imóveis!$Q$2,Dados!$A184&lt;=Imóveis!$T$2),Imóveis!$U$2,0),IF((IF(AND(Dados!$A184&gt;=Imóveis!$Q$2,Dados!$A184&lt;=Imóveis!$T$2),Imóveis!$S$2-(DATEDIF(Imóveis!$Q$2,Dados!$A184,"m")),0))=0,0,((Imóveis!$N$2/Imóveis!$S$2)+((Imóveis!$N$2-((Imóveis!$S$2-(IF(AND(Dados!$A184&gt;=Imóveis!$Q$2,Dados!$A184&lt;=Imóveis!$T$2),Imóveis!$S$2-(DATEDIF(Imóveis!$Q$2,Dados!$A184,"m")),)))*(Imóveis!$N$2/Imóveis!$S$2)))*Imóveis!$P$2))))*IF(AND(Imóveis!$E$2&gt;0,Dados!$A184&gt;Imóveis!$E$2),0,1)</f>
        <v>0</v>
      </c>
      <c r="J184" s="18">
        <f ca="1">IF(Imóveis!$F$3="PRICE",IF(AND(Dados!$A184&gt;=Imóveis!$Q$3,Dados!$A184&lt;=Imóveis!$T$3),Imóveis!$U$3,0),IF((IF(AND(Dados!$A184&gt;=Imóveis!$Q$3,Dados!$A184&lt;=Imóveis!$T$3),Imóveis!$S$3-(DATEDIF(Imóveis!$Q$3,Dados!$A184,"m")),0))=0,0,((Imóveis!$N$3/Imóveis!$S$3)+((Imóveis!$N$3-((Imóveis!$S$3-(IF(AND(Dados!$A184&gt;=Imóveis!$Q$3,Dados!$A184&lt;=Imóveis!$T$3),Imóveis!$S$3-(DATEDIF(Imóveis!$Q$3,Dados!$A184,"m")),)))*(Imóveis!$N$3/Imóveis!$S$3)))*Imóveis!$P$3))))*IF(AND(Imóveis!$E$3&gt;0,Dados!$A184&gt;Imóveis!$E$3),0,1)</f>
        <v>0</v>
      </c>
      <c r="K184" s="18">
        <f>IF(Imóveis!$F$4="PRICE",IF(AND(Dados!$A184&gt;=Imóveis!$Q$4,Dados!$A184&lt;=Imóveis!$T$4),Imóveis!$U$4,0),IF((IF(AND(Dados!$A184&gt;=Imóveis!$Q$4,Dados!$A184&lt;=Imóveis!$T$4),Imóveis!$S$4-(DATEDIF(Imóveis!$Q$4,Dados!$A184,"m")),0))=0,0,((Imóveis!$N$4/Imóveis!$S$4)+((Imóveis!$N$4-((Imóveis!$S$4-(IF(AND(Dados!$A184&gt;=Imóveis!$Q$4,Dados!$A184&lt;=Imóveis!$T$4),Imóveis!$S$4-(DATEDIF(Imóveis!$Q$4,Dados!$A184,"m")),)))*(Imóveis!$N$4/Imóveis!$S$4)))*Imóveis!$P$4))))*IF(AND(Imóveis!$E$4&gt;0,Dados!$A184&gt;Imóveis!$E$4),0,1)</f>
        <v>0</v>
      </c>
      <c r="L184" s="18">
        <f>IF(Imóveis!$F$5="PRICE",IF(AND(Dados!$A184&gt;=Imóveis!$Q$5,Dados!$A184&lt;=Imóveis!$T$5),Imóveis!$U$5,0),IF((IF(AND(Dados!$A184&gt;=Imóveis!$Q$5,Dados!$A184&lt;=Imóveis!$T$5),Imóveis!$S$5-(DATEDIF(Imóveis!$Q$5,Dados!$A184,"m")),0))=0,0,((Imóveis!$N$5/Imóveis!$S$5)+((Imóveis!$N$5-((Imóveis!$S$5-(IF(AND(Dados!$A184 &gt;=Imóveis!$Q$5,Dados!$A184&lt;=Imóveis!$T$5),Imóveis!$S$5-(DATEDIF(Imóveis!$Q$5,Dados!$A184,"m")),)))*(Imóveis!$N$5/Imóveis!$S$5)))*Imóveis!$P$5))))*IF(AND(Imóveis!$E$5&gt;0,Dados!$A184&gt;Imóveis!$E$5),0,1)*Imóveis!$I$5</f>
        <v>0</v>
      </c>
      <c r="M184" s="18">
        <f>IF(Imóveis!$F$6="PRICE",IF(AND(Dados!$A184&gt;=Imóveis!$Q$6,Dados!$A184&lt;=Imóveis!$T$6),Imóveis!$U$6,0),IF((IF(AND(Dados!$A184&gt;=Imóveis!$Q$6,Dados!$A184&lt;=Imóveis!$T$6),Imóveis!$S$6-(DATEDIF(Imóveis!$Q$6,Dados!$A184,"m")),0))=0,0,((Imóveis!$N$6/Imóveis!$S$6)+((Imóveis!$N$6-((Imóveis!$S$6-(IF(AND(Dados!$A184&gt;=Imóveis!$Q$6,Dados!$A184&lt;=Imóveis!$T$6),Imóveis!$S$6-(DATEDIF(Imóveis!$Q$6,Dados!$A184,"m")),)))*(Imóveis!$N$6/Imóveis!$S$6)))*Imóveis!$P$6))))*IF(AND(Imóveis!$E$6&gt;0,Dados!$A184&gt;Imóveis!$E$6),0,1)*Imóveis!$I$6</f>
        <v>0</v>
      </c>
      <c r="N184" s="18">
        <f t="shared" ca="1" si="21"/>
        <v>43000</v>
      </c>
      <c r="O184" s="18">
        <f>SUMIFS(Receitas!$F:$F,Receitas!$J:$J,"&lt;="&amp;$A184,Receitas!$L:$L,"&gt;="&amp;$A184,Receitas!$C:$C,O$1,Receitas!$M:$M,"Mensal")+SUMIFS(Receitas!$F:$F,Receitas!$J:$J,"&lt;="&amp;$A184,Receitas!$L:$L,"&gt;="&amp;$A184,Receitas!$C:$C,O$1,Receitas!$M:$M,$B184)</f>
        <v>50000</v>
      </c>
      <c r="P184" s="18">
        <f>SUMIFS(Receitas!$F:$F,Receitas!$J:$J,"&lt;="&amp;$A184,Receitas!$L:$L,"&gt;="&amp;$A184,Receitas!$C:$C,P$1,Receitas!$M:$M,"Mensal")+SUMIFS(Receitas!$F:$F,Receitas!$J:$J,"&lt;="&amp;$A184,Receitas!$L:$L,"&gt;="&amp;$A184,Receitas!$C:$C,P$1,Receitas!$M:$M,$B184)</f>
        <v>20000</v>
      </c>
      <c r="Q184" s="18">
        <f>SUMIFS(Receitas!$F:$F,Receitas!$J:$J,"&lt;="&amp;$A184,Receitas!$L:$L,"&gt;="&amp;$A184,Receitas!$C:$C,Q$1,Receitas!$M:$M,"Mensal")+SUMIFS(Receitas!$F:$F,Receitas!$J:$J,"&lt;="&amp;$A184,Receitas!$L:$L,"&gt;="&amp;$A184,Receitas!$C:$C,Q$1,Receitas!$M:$M,$B184)</f>
        <v>0</v>
      </c>
      <c r="R184" s="18" cm="1">
        <f t="array" ref="R184">(IF(AND(Membros!$F$2="Sim",A184&lt;=MAX(Membros!$E$2:$E$5)),Membros!K$2,IF(AND(A184&gt;=Membros!J$2,A184&lt;=MAX(Membros!$E$2:$E$5)),Membros!K$2,0))+IF(AND(Membros!$F$3="Sim",A184&lt;=MAX(Membros!$E$2:$E$5)),Membros!K$3,IF(AND(A184&gt;=Membros!J$3,A184&lt;=MAX(Membros!$E$2:$E$5)),Membros!K$3,0)))*IF(AND(COUNTIFS(Tabela3[Tipo],"Provedor",Tabela3[Simulação Seguro],"Sim")=2,A184&gt;=MAX(IF(Tabela3[Tipo]="Dependente",Tabela3[Expectativa de Vida (Data)]))),0,1)</f>
        <v>0</v>
      </c>
      <c r="S184" s="18">
        <f t="shared" si="22"/>
        <v>70000</v>
      </c>
      <c r="U184" s="18">
        <f t="shared" ca="1" si="25"/>
        <v>9790177.3487563133</v>
      </c>
      <c r="V184" s="18">
        <f>SUMIF(Imóveis!E:E,Dados!A:A,Imóveis!Z:Z)-SUMIF(Imóveis!E:E,Dados!A:A,Imóveis!Y:Y)</f>
        <v>0</v>
      </c>
      <c r="W184" s="18">
        <f>-SUMIF(Projetos!N:N,A184,Projetos!F:F)</f>
        <v>0</v>
      </c>
      <c r="X184" s="18">
        <f t="shared" ca="1" si="19"/>
        <v>27000</v>
      </c>
      <c r="Y184" s="26">
        <f ca="1">(U184*((Indicadores_Economicos!D$2+1)^(1/12)-1))</f>
        <v>32050.49306140624</v>
      </c>
      <c r="Z184" s="18">
        <f t="shared" ca="1" si="23"/>
        <v>9849227.8418177199</v>
      </c>
      <c r="AA184" s="18">
        <f ca="1">Auxiliar_Projetos!E184</f>
        <v>93672.282157931215</v>
      </c>
      <c r="AB184" s="18">
        <f ca="1">Auxiliar_Projetos!K184</f>
        <v>522288.54362797347</v>
      </c>
      <c r="AC184" s="18">
        <f ca="1">IF(Z184-AA184-AB184&gt;Investimentos!$C$14,Investimentos!$C$14,IF(Z184-AA184-AB184&lt;Investimentos!$C$14,Z184-AA184-AB184,0))</f>
        <v>300000</v>
      </c>
      <c r="AD184" s="18">
        <f t="shared" ca="1" si="24"/>
        <v>8933267.0160318147</v>
      </c>
      <c r="AE184" s="18"/>
    </row>
    <row r="185" spans="1:31" x14ac:dyDescent="0.2">
      <c r="A185" s="4">
        <v>51227</v>
      </c>
      <c r="B185" s="5" t="str">
        <f t="shared" si="20"/>
        <v>abril</v>
      </c>
      <c r="C185" s="5" t="str">
        <f t="shared" si="26"/>
        <v>2040</v>
      </c>
      <c r="D185" s="5">
        <f>SUMIFS(Despesas!$F:$F,Despesas!$J:$J,"&lt;="&amp;$A185,Despesas!$L:$L,"&gt;="&amp;$A185,Despesas!$C:$C,D$1,Despesas!$M:$M,"Mensal")+SUMIFS(Despesas!$F:$F,Despesas!$J:$J,"&lt;="&amp;$A185,Despesas!$L:$L,"&gt;="&amp;$A185,Despesas!$C:$C,D$1,Despesas!$M:$M,$B185)</f>
        <v>23000</v>
      </c>
      <c r="E185" s="18">
        <f>SUMIFS(Despesas!$F:$F,Despesas!$J:$J,"&lt;="&amp;$A185,Despesas!$L:$L,"&gt;="&amp;$A185,Despesas!$C:$C,E$1,Despesas!$M:$M,"Mensal")+SUMIFS(Despesas!$F:$F,Despesas!$J:$J,"&lt;="&amp;$A185,Despesas!$L:$L,"&gt;="&amp;$A185,Despesas!$C:$C,E$1,Despesas!$M:$M,$B185)</f>
        <v>6000</v>
      </c>
      <c r="F185" s="5">
        <f>SUMIFS(Despesas!$F:$F,Despesas!$J:$J,"&lt;="&amp;$A185,Despesas!$L:$L,"&gt;="&amp;$A185,Despesas!$C:$C,F$1,Despesas!$M:$M,"Mensal")+SUMIFS(Despesas!$F:$F,Despesas!$J:$J,"&lt;="&amp;$A185,Despesas!$L:$L,"&gt;="&amp;$A185,Despesas!$C:$C,F$1,Despesas!$M:$M,$B185)</f>
        <v>13000</v>
      </c>
      <c r="G185" s="5">
        <f>SUMIFS(Despesas!$F:$F,Despesas!$J:$J,"&lt;="&amp;$A185,Despesas!$L:$L,"&gt;="&amp;$A185,Despesas!$C:$C,G$1,Despesas!$M:$M,"Mensal")+SUMIFS(Despesas!$F:$F,Despesas!$J:$J,"&lt;="&amp;$A185,Despesas!$L:$L,"&gt;="&amp;$A185,Despesas!$C:$C,G$1,Despesas!$M:$M,$B185)</f>
        <v>0</v>
      </c>
      <c r="H185" s="18">
        <f>SUMIFS(Despesas!$F:$F,Despesas!$J:$J,"&lt;="&amp;$A185,Despesas!$L:$L,"&gt;="&amp;$A185,Despesas!$C:$C,H$1,Despesas!$M:$M,"Mensal")+SUMIFS(Despesas!$F:$F,Despesas!$J:$J,"&lt;="&amp;$A185,Despesas!$L:$L,"&gt;="&amp;$A185,Despesas!$C:$C,H$1,Despesas!$M:$M,$B185)</f>
        <v>1000</v>
      </c>
      <c r="I185" s="18">
        <f>IF(Imóveis!$F$2="PRICE",IF(AND(Dados!$A185&gt;=Imóveis!$Q$2,Dados!$A185&lt;=Imóveis!$T$2),Imóveis!$U$2,0),IF((IF(AND(Dados!$A185&gt;=Imóveis!$Q$2,Dados!$A185&lt;=Imóveis!$T$2),Imóveis!$S$2-(DATEDIF(Imóveis!$Q$2,Dados!$A185,"m")),0))=0,0,((Imóveis!$N$2/Imóveis!$S$2)+((Imóveis!$N$2-((Imóveis!$S$2-(IF(AND(Dados!$A185&gt;=Imóveis!$Q$2,Dados!$A185&lt;=Imóveis!$T$2),Imóveis!$S$2-(DATEDIF(Imóveis!$Q$2,Dados!$A185,"m")),)))*(Imóveis!$N$2/Imóveis!$S$2)))*Imóveis!$P$2))))*IF(AND(Imóveis!$E$2&gt;0,Dados!$A185&gt;Imóveis!$E$2),0,1)</f>
        <v>0</v>
      </c>
      <c r="J185" s="18">
        <f ca="1">IF(Imóveis!$F$3="PRICE",IF(AND(Dados!$A185&gt;=Imóveis!$Q$3,Dados!$A185&lt;=Imóveis!$T$3),Imóveis!$U$3,0),IF((IF(AND(Dados!$A185&gt;=Imóveis!$Q$3,Dados!$A185&lt;=Imóveis!$T$3),Imóveis!$S$3-(DATEDIF(Imóveis!$Q$3,Dados!$A185,"m")),0))=0,0,((Imóveis!$N$3/Imóveis!$S$3)+((Imóveis!$N$3-((Imóveis!$S$3-(IF(AND(Dados!$A185&gt;=Imóveis!$Q$3,Dados!$A185&lt;=Imóveis!$T$3),Imóveis!$S$3-(DATEDIF(Imóveis!$Q$3,Dados!$A185,"m")),)))*(Imóveis!$N$3/Imóveis!$S$3)))*Imóveis!$P$3))))*IF(AND(Imóveis!$E$3&gt;0,Dados!$A185&gt;Imóveis!$E$3),0,1)</f>
        <v>0</v>
      </c>
      <c r="K185" s="18">
        <f>IF(Imóveis!$F$4="PRICE",IF(AND(Dados!$A185&gt;=Imóveis!$Q$4,Dados!$A185&lt;=Imóveis!$T$4),Imóveis!$U$4,0),IF((IF(AND(Dados!$A185&gt;=Imóveis!$Q$4,Dados!$A185&lt;=Imóveis!$T$4),Imóveis!$S$4-(DATEDIF(Imóveis!$Q$4,Dados!$A185,"m")),0))=0,0,((Imóveis!$N$4/Imóveis!$S$4)+((Imóveis!$N$4-((Imóveis!$S$4-(IF(AND(Dados!$A185&gt;=Imóveis!$Q$4,Dados!$A185&lt;=Imóveis!$T$4),Imóveis!$S$4-(DATEDIF(Imóveis!$Q$4,Dados!$A185,"m")),)))*(Imóveis!$N$4/Imóveis!$S$4)))*Imóveis!$P$4))))*IF(AND(Imóveis!$E$4&gt;0,Dados!$A185&gt;Imóveis!$E$4),0,1)</f>
        <v>0</v>
      </c>
      <c r="L185" s="18">
        <f>IF(Imóveis!$F$5="PRICE",IF(AND(Dados!$A185&gt;=Imóveis!$Q$5,Dados!$A185&lt;=Imóveis!$T$5),Imóveis!$U$5,0),IF((IF(AND(Dados!$A185&gt;=Imóveis!$Q$5,Dados!$A185&lt;=Imóveis!$T$5),Imóveis!$S$5-(DATEDIF(Imóveis!$Q$5,Dados!$A185,"m")),0))=0,0,((Imóveis!$N$5/Imóveis!$S$5)+((Imóveis!$N$5-((Imóveis!$S$5-(IF(AND(Dados!$A185 &gt;=Imóveis!$Q$5,Dados!$A185&lt;=Imóveis!$T$5),Imóveis!$S$5-(DATEDIF(Imóveis!$Q$5,Dados!$A185,"m")),)))*(Imóveis!$N$5/Imóveis!$S$5)))*Imóveis!$P$5))))*IF(AND(Imóveis!$E$5&gt;0,Dados!$A185&gt;Imóveis!$E$5),0,1)*Imóveis!$I$5</f>
        <v>0</v>
      </c>
      <c r="M185" s="18">
        <f>IF(Imóveis!$F$6="PRICE",IF(AND(Dados!$A185&gt;=Imóveis!$Q$6,Dados!$A185&lt;=Imóveis!$T$6),Imóveis!$U$6,0),IF((IF(AND(Dados!$A185&gt;=Imóveis!$Q$6,Dados!$A185&lt;=Imóveis!$T$6),Imóveis!$S$6-(DATEDIF(Imóveis!$Q$6,Dados!$A185,"m")),0))=0,0,((Imóveis!$N$6/Imóveis!$S$6)+((Imóveis!$N$6-((Imóveis!$S$6-(IF(AND(Dados!$A185&gt;=Imóveis!$Q$6,Dados!$A185&lt;=Imóveis!$T$6),Imóveis!$S$6-(DATEDIF(Imóveis!$Q$6,Dados!$A185,"m")),)))*(Imóveis!$N$6/Imóveis!$S$6)))*Imóveis!$P$6))))*IF(AND(Imóveis!$E$6&gt;0,Dados!$A185&gt;Imóveis!$E$6),0,1)*Imóveis!$I$6</f>
        <v>0</v>
      </c>
      <c r="N185" s="18">
        <f t="shared" ca="1" si="21"/>
        <v>43000</v>
      </c>
      <c r="O185" s="18">
        <f>SUMIFS(Receitas!$F:$F,Receitas!$J:$J,"&lt;="&amp;$A185,Receitas!$L:$L,"&gt;="&amp;$A185,Receitas!$C:$C,O$1,Receitas!$M:$M,"Mensal")+SUMIFS(Receitas!$F:$F,Receitas!$J:$J,"&lt;="&amp;$A185,Receitas!$L:$L,"&gt;="&amp;$A185,Receitas!$C:$C,O$1,Receitas!$M:$M,$B185)</f>
        <v>50000</v>
      </c>
      <c r="P185" s="18">
        <f>SUMIFS(Receitas!$F:$F,Receitas!$J:$J,"&lt;="&amp;$A185,Receitas!$L:$L,"&gt;="&amp;$A185,Receitas!$C:$C,P$1,Receitas!$M:$M,"Mensal")+SUMIFS(Receitas!$F:$F,Receitas!$J:$J,"&lt;="&amp;$A185,Receitas!$L:$L,"&gt;="&amp;$A185,Receitas!$C:$C,P$1,Receitas!$M:$M,$B185)</f>
        <v>85000</v>
      </c>
      <c r="Q185" s="18">
        <f>SUMIFS(Receitas!$F:$F,Receitas!$J:$J,"&lt;="&amp;$A185,Receitas!$L:$L,"&gt;="&amp;$A185,Receitas!$C:$C,Q$1,Receitas!$M:$M,"Mensal")+SUMIFS(Receitas!$F:$F,Receitas!$J:$J,"&lt;="&amp;$A185,Receitas!$L:$L,"&gt;="&amp;$A185,Receitas!$C:$C,Q$1,Receitas!$M:$M,$B185)</f>
        <v>0</v>
      </c>
      <c r="R185" s="18" cm="1">
        <f t="array" ref="R185">(IF(AND(Membros!$F$2="Sim",A185&lt;=MAX(Membros!$E$2:$E$5)),Membros!K$2,IF(AND(A185&gt;=Membros!J$2,A185&lt;=MAX(Membros!$E$2:$E$5)),Membros!K$2,0))+IF(AND(Membros!$F$3="Sim",A185&lt;=MAX(Membros!$E$2:$E$5)),Membros!K$3,IF(AND(A185&gt;=Membros!J$3,A185&lt;=MAX(Membros!$E$2:$E$5)),Membros!K$3,0)))*IF(AND(COUNTIFS(Tabela3[Tipo],"Provedor",Tabela3[Simulação Seguro],"Sim")=2,A185&gt;=MAX(IF(Tabela3[Tipo]="Dependente",Tabela3[Expectativa de Vida (Data)]))),0,1)</f>
        <v>0</v>
      </c>
      <c r="S185" s="18">
        <f t="shared" si="22"/>
        <v>135000</v>
      </c>
      <c r="U185" s="18">
        <f t="shared" ca="1" si="25"/>
        <v>9849227.8418177199</v>
      </c>
      <c r="V185" s="18">
        <f>SUMIF(Imóveis!E:E,Dados!A:A,Imóveis!Z:Z)-SUMIF(Imóveis!E:E,Dados!A:A,Imóveis!Y:Y)</f>
        <v>0</v>
      </c>
      <c r="W185" s="18">
        <f>-SUMIF(Projetos!N:N,A185,Projetos!F:F)</f>
        <v>0</v>
      </c>
      <c r="X185" s="18">
        <f t="shared" ca="1" si="19"/>
        <v>92000</v>
      </c>
      <c r="Y185" s="26">
        <f ca="1">(U185*((Indicadores_Economicos!D$2+1)^(1/12)-1))</f>
        <v>32243.809009699828</v>
      </c>
      <c r="Z185" s="18">
        <f t="shared" ca="1" si="23"/>
        <v>9973471.650827419</v>
      </c>
      <c r="AA185" s="18">
        <f ca="1">Auxiliar_Projetos!E185</f>
        <v>93978.940834520996</v>
      </c>
      <c r="AB185" s="18">
        <f ca="1">Auxiliar_Projetos!K185</f>
        <v>523998.38041103509</v>
      </c>
      <c r="AC185" s="18">
        <f ca="1">IF(Z185-AA185-AB185&gt;Investimentos!$C$14,Investimentos!$C$14,IF(Z185-AA185-AB185&lt;Investimentos!$C$14,Z185-AA185-AB185,0))</f>
        <v>300000</v>
      </c>
      <c r="AD185" s="18">
        <f t="shared" ca="1" si="24"/>
        <v>9055494.3295818642</v>
      </c>
      <c r="AE185" s="18"/>
    </row>
    <row r="186" spans="1:31" x14ac:dyDescent="0.2">
      <c r="A186" s="4">
        <v>51257</v>
      </c>
      <c r="B186" s="5" t="str">
        <f t="shared" si="20"/>
        <v>maio</v>
      </c>
      <c r="C186" s="5" t="str">
        <f t="shared" si="26"/>
        <v>2040</v>
      </c>
      <c r="D186" s="5">
        <f>SUMIFS(Despesas!$F:$F,Despesas!$J:$J,"&lt;="&amp;$A186,Despesas!$L:$L,"&gt;="&amp;$A186,Despesas!$C:$C,D$1,Despesas!$M:$M,"Mensal")+SUMIFS(Despesas!$F:$F,Despesas!$J:$J,"&lt;="&amp;$A186,Despesas!$L:$L,"&gt;="&amp;$A186,Despesas!$C:$C,D$1,Despesas!$M:$M,$B186)</f>
        <v>23000</v>
      </c>
      <c r="E186" s="18">
        <f>SUMIFS(Despesas!$F:$F,Despesas!$J:$J,"&lt;="&amp;$A186,Despesas!$L:$L,"&gt;="&amp;$A186,Despesas!$C:$C,E$1,Despesas!$M:$M,"Mensal")+SUMIFS(Despesas!$F:$F,Despesas!$J:$J,"&lt;="&amp;$A186,Despesas!$L:$L,"&gt;="&amp;$A186,Despesas!$C:$C,E$1,Despesas!$M:$M,$B186)</f>
        <v>6000</v>
      </c>
      <c r="F186" s="5">
        <f>SUMIFS(Despesas!$F:$F,Despesas!$J:$J,"&lt;="&amp;$A186,Despesas!$L:$L,"&gt;="&amp;$A186,Despesas!$C:$C,F$1,Despesas!$M:$M,"Mensal")+SUMIFS(Despesas!$F:$F,Despesas!$J:$J,"&lt;="&amp;$A186,Despesas!$L:$L,"&gt;="&amp;$A186,Despesas!$C:$C,F$1,Despesas!$M:$M,$B186)</f>
        <v>13000</v>
      </c>
      <c r="G186" s="5">
        <f>SUMIFS(Despesas!$F:$F,Despesas!$J:$J,"&lt;="&amp;$A186,Despesas!$L:$L,"&gt;="&amp;$A186,Despesas!$C:$C,G$1,Despesas!$M:$M,"Mensal")+SUMIFS(Despesas!$F:$F,Despesas!$J:$J,"&lt;="&amp;$A186,Despesas!$L:$L,"&gt;="&amp;$A186,Despesas!$C:$C,G$1,Despesas!$M:$M,$B186)</f>
        <v>0</v>
      </c>
      <c r="H186" s="18">
        <f>SUMIFS(Despesas!$F:$F,Despesas!$J:$J,"&lt;="&amp;$A186,Despesas!$L:$L,"&gt;="&amp;$A186,Despesas!$C:$C,H$1,Despesas!$M:$M,"Mensal")+SUMIFS(Despesas!$F:$F,Despesas!$J:$J,"&lt;="&amp;$A186,Despesas!$L:$L,"&gt;="&amp;$A186,Despesas!$C:$C,H$1,Despesas!$M:$M,$B186)</f>
        <v>1000</v>
      </c>
      <c r="I186" s="18">
        <f>IF(Imóveis!$F$2="PRICE",IF(AND(Dados!$A186&gt;=Imóveis!$Q$2,Dados!$A186&lt;=Imóveis!$T$2),Imóveis!$U$2,0),IF((IF(AND(Dados!$A186&gt;=Imóveis!$Q$2,Dados!$A186&lt;=Imóveis!$T$2),Imóveis!$S$2-(DATEDIF(Imóveis!$Q$2,Dados!$A186,"m")),0))=0,0,((Imóveis!$N$2/Imóveis!$S$2)+((Imóveis!$N$2-((Imóveis!$S$2-(IF(AND(Dados!$A186&gt;=Imóveis!$Q$2,Dados!$A186&lt;=Imóveis!$T$2),Imóveis!$S$2-(DATEDIF(Imóveis!$Q$2,Dados!$A186,"m")),)))*(Imóveis!$N$2/Imóveis!$S$2)))*Imóveis!$P$2))))*IF(AND(Imóveis!$E$2&gt;0,Dados!$A186&gt;Imóveis!$E$2),0,1)</f>
        <v>0</v>
      </c>
      <c r="J186" s="18">
        <f ca="1">IF(Imóveis!$F$3="PRICE",IF(AND(Dados!$A186&gt;=Imóveis!$Q$3,Dados!$A186&lt;=Imóveis!$T$3),Imóveis!$U$3,0),IF((IF(AND(Dados!$A186&gt;=Imóveis!$Q$3,Dados!$A186&lt;=Imóveis!$T$3),Imóveis!$S$3-(DATEDIF(Imóveis!$Q$3,Dados!$A186,"m")),0))=0,0,((Imóveis!$N$3/Imóveis!$S$3)+((Imóveis!$N$3-((Imóveis!$S$3-(IF(AND(Dados!$A186&gt;=Imóveis!$Q$3,Dados!$A186&lt;=Imóveis!$T$3),Imóveis!$S$3-(DATEDIF(Imóveis!$Q$3,Dados!$A186,"m")),)))*(Imóveis!$N$3/Imóveis!$S$3)))*Imóveis!$P$3))))*IF(AND(Imóveis!$E$3&gt;0,Dados!$A186&gt;Imóveis!$E$3),0,1)</f>
        <v>0</v>
      </c>
      <c r="K186" s="18">
        <f>IF(Imóveis!$F$4="PRICE",IF(AND(Dados!$A186&gt;=Imóveis!$Q$4,Dados!$A186&lt;=Imóveis!$T$4),Imóveis!$U$4,0),IF((IF(AND(Dados!$A186&gt;=Imóveis!$Q$4,Dados!$A186&lt;=Imóveis!$T$4),Imóveis!$S$4-(DATEDIF(Imóveis!$Q$4,Dados!$A186,"m")),0))=0,0,((Imóveis!$N$4/Imóveis!$S$4)+((Imóveis!$N$4-((Imóveis!$S$4-(IF(AND(Dados!$A186&gt;=Imóveis!$Q$4,Dados!$A186&lt;=Imóveis!$T$4),Imóveis!$S$4-(DATEDIF(Imóveis!$Q$4,Dados!$A186,"m")),)))*(Imóveis!$N$4/Imóveis!$S$4)))*Imóveis!$P$4))))*IF(AND(Imóveis!$E$4&gt;0,Dados!$A186&gt;Imóveis!$E$4),0,1)</f>
        <v>0</v>
      </c>
      <c r="L186" s="18">
        <f>IF(Imóveis!$F$5="PRICE",IF(AND(Dados!$A186&gt;=Imóveis!$Q$5,Dados!$A186&lt;=Imóveis!$T$5),Imóveis!$U$5,0),IF((IF(AND(Dados!$A186&gt;=Imóveis!$Q$5,Dados!$A186&lt;=Imóveis!$T$5),Imóveis!$S$5-(DATEDIF(Imóveis!$Q$5,Dados!$A186,"m")),0))=0,0,((Imóveis!$N$5/Imóveis!$S$5)+((Imóveis!$N$5-((Imóveis!$S$5-(IF(AND(Dados!$A186 &gt;=Imóveis!$Q$5,Dados!$A186&lt;=Imóveis!$T$5),Imóveis!$S$5-(DATEDIF(Imóveis!$Q$5,Dados!$A186,"m")),)))*(Imóveis!$N$5/Imóveis!$S$5)))*Imóveis!$P$5))))*IF(AND(Imóveis!$E$5&gt;0,Dados!$A186&gt;Imóveis!$E$5),0,1)*Imóveis!$I$5</f>
        <v>0</v>
      </c>
      <c r="M186" s="18">
        <f>IF(Imóveis!$F$6="PRICE",IF(AND(Dados!$A186&gt;=Imóveis!$Q$6,Dados!$A186&lt;=Imóveis!$T$6),Imóveis!$U$6,0),IF((IF(AND(Dados!$A186&gt;=Imóveis!$Q$6,Dados!$A186&lt;=Imóveis!$T$6),Imóveis!$S$6-(DATEDIF(Imóveis!$Q$6,Dados!$A186,"m")),0))=0,0,((Imóveis!$N$6/Imóveis!$S$6)+((Imóveis!$N$6-((Imóveis!$S$6-(IF(AND(Dados!$A186&gt;=Imóveis!$Q$6,Dados!$A186&lt;=Imóveis!$T$6),Imóveis!$S$6-(DATEDIF(Imóveis!$Q$6,Dados!$A186,"m")),)))*(Imóveis!$N$6/Imóveis!$S$6)))*Imóveis!$P$6))))*IF(AND(Imóveis!$E$6&gt;0,Dados!$A186&gt;Imóveis!$E$6),0,1)*Imóveis!$I$6</f>
        <v>0</v>
      </c>
      <c r="N186" s="18">
        <f t="shared" ca="1" si="21"/>
        <v>43000</v>
      </c>
      <c r="O186" s="18">
        <f>SUMIFS(Receitas!$F:$F,Receitas!$J:$J,"&lt;="&amp;$A186,Receitas!$L:$L,"&gt;="&amp;$A186,Receitas!$C:$C,O$1,Receitas!$M:$M,"Mensal")+SUMIFS(Receitas!$F:$F,Receitas!$J:$J,"&lt;="&amp;$A186,Receitas!$L:$L,"&gt;="&amp;$A186,Receitas!$C:$C,O$1,Receitas!$M:$M,$B186)</f>
        <v>50000</v>
      </c>
      <c r="P186" s="18">
        <f>SUMIFS(Receitas!$F:$F,Receitas!$J:$J,"&lt;="&amp;$A186,Receitas!$L:$L,"&gt;="&amp;$A186,Receitas!$C:$C,P$1,Receitas!$M:$M,"Mensal")+SUMIFS(Receitas!$F:$F,Receitas!$J:$J,"&lt;="&amp;$A186,Receitas!$L:$L,"&gt;="&amp;$A186,Receitas!$C:$C,P$1,Receitas!$M:$M,$B186)</f>
        <v>20000</v>
      </c>
      <c r="Q186" s="18">
        <f>SUMIFS(Receitas!$F:$F,Receitas!$J:$J,"&lt;="&amp;$A186,Receitas!$L:$L,"&gt;="&amp;$A186,Receitas!$C:$C,Q$1,Receitas!$M:$M,"Mensal")+SUMIFS(Receitas!$F:$F,Receitas!$J:$J,"&lt;="&amp;$A186,Receitas!$L:$L,"&gt;="&amp;$A186,Receitas!$C:$C,Q$1,Receitas!$M:$M,$B186)</f>
        <v>0</v>
      </c>
      <c r="R186" s="18" cm="1">
        <f t="array" ref="R186">(IF(AND(Membros!$F$2="Sim",A186&lt;=MAX(Membros!$E$2:$E$5)),Membros!K$2,IF(AND(A186&gt;=Membros!J$2,A186&lt;=MAX(Membros!$E$2:$E$5)),Membros!K$2,0))+IF(AND(Membros!$F$3="Sim",A186&lt;=MAX(Membros!$E$2:$E$5)),Membros!K$3,IF(AND(A186&gt;=Membros!J$3,A186&lt;=MAX(Membros!$E$2:$E$5)),Membros!K$3,0)))*IF(AND(COUNTIFS(Tabela3[Tipo],"Provedor",Tabela3[Simulação Seguro],"Sim")=2,A186&gt;=MAX(IF(Tabela3[Tipo]="Dependente",Tabela3[Expectativa de Vida (Data)]))),0,1)</f>
        <v>0</v>
      </c>
      <c r="S186" s="18">
        <f t="shared" si="22"/>
        <v>70000</v>
      </c>
      <c r="U186" s="18">
        <f t="shared" ca="1" si="25"/>
        <v>9973471.650827419</v>
      </c>
      <c r="V186" s="18">
        <f>SUMIF(Imóveis!E:E,Dados!A:A,Imóveis!Z:Z)-SUMIF(Imóveis!E:E,Dados!A:A,Imóveis!Y:Y)</f>
        <v>0</v>
      </c>
      <c r="W186" s="18">
        <f>-SUMIF(Projetos!N:N,A186,Projetos!F:F)</f>
        <v>0</v>
      </c>
      <c r="X186" s="18">
        <f t="shared" ca="1" si="19"/>
        <v>27000</v>
      </c>
      <c r="Y186" s="26">
        <f ca="1">(U186*((Indicadores_Economicos!D$2+1)^(1/12)-1))</f>
        <v>32650.550909946804</v>
      </c>
      <c r="Z186" s="18">
        <f t="shared" ca="1" si="23"/>
        <v>10033122.201737367</v>
      </c>
      <c r="AA186" s="18">
        <f ca="1">Auxiliar_Projetos!E186</f>
        <v>94286.60343181988</v>
      </c>
      <c r="AB186" s="18">
        <f ca="1">Auxiliar_Projetos!K186</f>
        <v>525713.81475479447</v>
      </c>
      <c r="AC186" s="18">
        <f ca="1">IF(Z186-AA186-AB186&gt;Investimentos!$C$14,Investimentos!$C$14,IF(Z186-AA186-AB186&lt;Investimentos!$C$14,Z186-AA186-AB186,0))</f>
        <v>300000</v>
      </c>
      <c r="AD186" s="18">
        <f t="shared" ca="1" si="24"/>
        <v>9113121.7835507523</v>
      </c>
      <c r="AE186" s="18"/>
    </row>
    <row r="187" spans="1:31" x14ac:dyDescent="0.2">
      <c r="A187" s="4">
        <v>51288</v>
      </c>
      <c r="B187" s="5" t="str">
        <f t="shared" si="20"/>
        <v>junho</v>
      </c>
      <c r="C187" s="5" t="str">
        <f t="shared" si="26"/>
        <v>2040</v>
      </c>
      <c r="D187" s="5">
        <f>SUMIFS(Despesas!$F:$F,Despesas!$J:$J,"&lt;="&amp;$A187,Despesas!$L:$L,"&gt;="&amp;$A187,Despesas!$C:$C,D$1,Despesas!$M:$M,"Mensal")+SUMIFS(Despesas!$F:$F,Despesas!$J:$J,"&lt;="&amp;$A187,Despesas!$L:$L,"&gt;="&amp;$A187,Despesas!$C:$C,D$1,Despesas!$M:$M,$B187)</f>
        <v>23000</v>
      </c>
      <c r="E187" s="18">
        <f>SUMIFS(Despesas!$F:$F,Despesas!$J:$J,"&lt;="&amp;$A187,Despesas!$L:$L,"&gt;="&amp;$A187,Despesas!$C:$C,E$1,Despesas!$M:$M,"Mensal")+SUMIFS(Despesas!$F:$F,Despesas!$J:$J,"&lt;="&amp;$A187,Despesas!$L:$L,"&gt;="&amp;$A187,Despesas!$C:$C,E$1,Despesas!$M:$M,$B187)</f>
        <v>6000</v>
      </c>
      <c r="F187" s="5">
        <f>SUMIFS(Despesas!$F:$F,Despesas!$J:$J,"&lt;="&amp;$A187,Despesas!$L:$L,"&gt;="&amp;$A187,Despesas!$C:$C,F$1,Despesas!$M:$M,"Mensal")+SUMIFS(Despesas!$F:$F,Despesas!$J:$J,"&lt;="&amp;$A187,Despesas!$L:$L,"&gt;="&amp;$A187,Despesas!$C:$C,F$1,Despesas!$M:$M,$B187)</f>
        <v>13000</v>
      </c>
      <c r="G187" s="5">
        <f>SUMIFS(Despesas!$F:$F,Despesas!$J:$J,"&lt;="&amp;$A187,Despesas!$L:$L,"&gt;="&amp;$A187,Despesas!$C:$C,G$1,Despesas!$M:$M,"Mensal")+SUMIFS(Despesas!$F:$F,Despesas!$J:$J,"&lt;="&amp;$A187,Despesas!$L:$L,"&gt;="&amp;$A187,Despesas!$C:$C,G$1,Despesas!$M:$M,$B187)</f>
        <v>0</v>
      </c>
      <c r="H187" s="18">
        <f>SUMIFS(Despesas!$F:$F,Despesas!$J:$J,"&lt;="&amp;$A187,Despesas!$L:$L,"&gt;="&amp;$A187,Despesas!$C:$C,H$1,Despesas!$M:$M,"Mensal")+SUMIFS(Despesas!$F:$F,Despesas!$J:$J,"&lt;="&amp;$A187,Despesas!$L:$L,"&gt;="&amp;$A187,Despesas!$C:$C,H$1,Despesas!$M:$M,$B187)</f>
        <v>1000</v>
      </c>
      <c r="I187" s="18">
        <f>IF(Imóveis!$F$2="PRICE",IF(AND(Dados!$A187&gt;=Imóveis!$Q$2,Dados!$A187&lt;=Imóveis!$T$2),Imóveis!$U$2,0),IF((IF(AND(Dados!$A187&gt;=Imóveis!$Q$2,Dados!$A187&lt;=Imóveis!$T$2),Imóveis!$S$2-(DATEDIF(Imóveis!$Q$2,Dados!$A187,"m")),0))=0,0,((Imóveis!$N$2/Imóveis!$S$2)+((Imóveis!$N$2-((Imóveis!$S$2-(IF(AND(Dados!$A187&gt;=Imóveis!$Q$2,Dados!$A187&lt;=Imóveis!$T$2),Imóveis!$S$2-(DATEDIF(Imóveis!$Q$2,Dados!$A187,"m")),)))*(Imóveis!$N$2/Imóveis!$S$2)))*Imóveis!$P$2))))*IF(AND(Imóveis!$E$2&gt;0,Dados!$A187&gt;Imóveis!$E$2),0,1)</f>
        <v>0</v>
      </c>
      <c r="J187" s="18">
        <f ca="1">IF(Imóveis!$F$3="PRICE",IF(AND(Dados!$A187&gt;=Imóveis!$Q$3,Dados!$A187&lt;=Imóveis!$T$3),Imóveis!$U$3,0),IF((IF(AND(Dados!$A187&gt;=Imóveis!$Q$3,Dados!$A187&lt;=Imóveis!$T$3),Imóveis!$S$3-(DATEDIF(Imóveis!$Q$3,Dados!$A187,"m")),0))=0,0,((Imóveis!$N$3/Imóveis!$S$3)+((Imóveis!$N$3-((Imóveis!$S$3-(IF(AND(Dados!$A187&gt;=Imóveis!$Q$3,Dados!$A187&lt;=Imóveis!$T$3),Imóveis!$S$3-(DATEDIF(Imóveis!$Q$3,Dados!$A187,"m")),)))*(Imóveis!$N$3/Imóveis!$S$3)))*Imóveis!$P$3))))*IF(AND(Imóveis!$E$3&gt;0,Dados!$A187&gt;Imóveis!$E$3),0,1)</f>
        <v>0</v>
      </c>
      <c r="K187" s="18">
        <f>IF(Imóveis!$F$4="PRICE",IF(AND(Dados!$A187&gt;=Imóveis!$Q$4,Dados!$A187&lt;=Imóveis!$T$4),Imóveis!$U$4,0),IF((IF(AND(Dados!$A187&gt;=Imóveis!$Q$4,Dados!$A187&lt;=Imóveis!$T$4),Imóveis!$S$4-(DATEDIF(Imóveis!$Q$4,Dados!$A187,"m")),0))=0,0,((Imóveis!$N$4/Imóveis!$S$4)+((Imóveis!$N$4-((Imóveis!$S$4-(IF(AND(Dados!$A187&gt;=Imóveis!$Q$4,Dados!$A187&lt;=Imóveis!$T$4),Imóveis!$S$4-(DATEDIF(Imóveis!$Q$4,Dados!$A187,"m")),)))*(Imóveis!$N$4/Imóveis!$S$4)))*Imóveis!$P$4))))*IF(AND(Imóveis!$E$4&gt;0,Dados!$A187&gt;Imóveis!$E$4),0,1)</f>
        <v>0</v>
      </c>
      <c r="L187" s="18">
        <f>IF(Imóveis!$F$5="PRICE",IF(AND(Dados!$A187&gt;=Imóveis!$Q$5,Dados!$A187&lt;=Imóveis!$T$5),Imóveis!$U$5,0),IF((IF(AND(Dados!$A187&gt;=Imóveis!$Q$5,Dados!$A187&lt;=Imóveis!$T$5),Imóveis!$S$5-(DATEDIF(Imóveis!$Q$5,Dados!$A187,"m")),0))=0,0,((Imóveis!$N$5/Imóveis!$S$5)+((Imóveis!$N$5-((Imóveis!$S$5-(IF(AND(Dados!$A187 &gt;=Imóveis!$Q$5,Dados!$A187&lt;=Imóveis!$T$5),Imóveis!$S$5-(DATEDIF(Imóveis!$Q$5,Dados!$A187,"m")),)))*(Imóveis!$N$5/Imóveis!$S$5)))*Imóveis!$P$5))))*IF(AND(Imóveis!$E$5&gt;0,Dados!$A187&gt;Imóveis!$E$5),0,1)*Imóveis!$I$5</f>
        <v>0</v>
      </c>
      <c r="M187" s="18">
        <f>IF(Imóveis!$F$6="PRICE",IF(AND(Dados!$A187&gt;=Imóveis!$Q$6,Dados!$A187&lt;=Imóveis!$T$6),Imóveis!$U$6,0),IF((IF(AND(Dados!$A187&gt;=Imóveis!$Q$6,Dados!$A187&lt;=Imóveis!$T$6),Imóveis!$S$6-(DATEDIF(Imóveis!$Q$6,Dados!$A187,"m")),0))=0,0,((Imóveis!$N$6/Imóveis!$S$6)+((Imóveis!$N$6-((Imóveis!$S$6-(IF(AND(Dados!$A187&gt;=Imóveis!$Q$6,Dados!$A187&lt;=Imóveis!$T$6),Imóveis!$S$6-(DATEDIF(Imóveis!$Q$6,Dados!$A187,"m")),)))*(Imóveis!$N$6/Imóveis!$S$6)))*Imóveis!$P$6))))*IF(AND(Imóveis!$E$6&gt;0,Dados!$A187&gt;Imóveis!$E$6),0,1)*Imóveis!$I$6</f>
        <v>0</v>
      </c>
      <c r="N187" s="18">
        <f t="shared" ca="1" si="21"/>
        <v>43000</v>
      </c>
      <c r="O187" s="18">
        <f>SUMIFS(Receitas!$F:$F,Receitas!$J:$J,"&lt;="&amp;$A187,Receitas!$L:$L,"&gt;="&amp;$A187,Receitas!$C:$C,O$1,Receitas!$M:$M,"Mensal")+SUMIFS(Receitas!$F:$F,Receitas!$J:$J,"&lt;="&amp;$A187,Receitas!$L:$L,"&gt;="&amp;$A187,Receitas!$C:$C,O$1,Receitas!$M:$M,$B187)</f>
        <v>50000</v>
      </c>
      <c r="P187" s="18">
        <f>SUMIFS(Receitas!$F:$F,Receitas!$J:$J,"&lt;="&amp;$A187,Receitas!$L:$L,"&gt;="&amp;$A187,Receitas!$C:$C,P$1,Receitas!$M:$M,"Mensal")+SUMIFS(Receitas!$F:$F,Receitas!$J:$J,"&lt;="&amp;$A187,Receitas!$L:$L,"&gt;="&amp;$A187,Receitas!$C:$C,P$1,Receitas!$M:$M,$B187)</f>
        <v>20000</v>
      </c>
      <c r="Q187" s="18">
        <f>SUMIFS(Receitas!$F:$F,Receitas!$J:$J,"&lt;="&amp;$A187,Receitas!$L:$L,"&gt;="&amp;$A187,Receitas!$C:$C,Q$1,Receitas!$M:$M,"Mensal")+SUMIFS(Receitas!$F:$F,Receitas!$J:$J,"&lt;="&amp;$A187,Receitas!$L:$L,"&gt;="&amp;$A187,Receitas!$C:$C,Q$1,Receitas!$M:$M,$B187)</f>
        <v>0</v>
      </c>
      <c r="R187" s="18" cm="1">
        <f t="array" ref="R187">(IF(AND(Membros!$F$2="Sim",A187&lt;=MAX(Membros!$E$2:$E$5)),Membros!K$2,IF(AND(A187&gt;=Membros!J$2,A187&lt;=MAX(Membros!$E$2:$E$5)),Membros!K$2,0))+IF(AND(Membros!$F$3="Sim",A187&lt;=MAX(Membros!$E$2:$E$5)),Membros!K$3,IF(AND(A187&gt;=Membros!J$3,A187&lt;=MAX(Membros!$E$2:$E$5)),Membros!K$3,0)))*IF(AND(COUNTIFS(Tabela3[Tipo],"Provedor",Tabela3[Simulação Seguro],"Sim")=2,A187&gt;=MAX(IF(Tabela3[Tipo]="Dependente",Tabela3[Expectativa de Vida (Data)]))),0,1)</f>
        <v>0</v>
      </c>
      <c r="S187" s="18">
        <f t="shared" si="22"/>
        <v>70000</v>
      </c>
      <c r="U187" s="18">
        <f t="shared" ca="1" si="25"/>
        <v>10033122.201737367</v>
      </c>
      <c r="V187" s="18">
        <f>SUMIF(Imóveis!E:E,Dados!A:A,Imóveis!Z:Z)-SUMIF(Imóveis!E:E,Dados!A:A,Imóveis!Y:Y)</f>
        <v>0</v>
      </c>
      <c r="W187" s="18">
        <f>-SUMIF(Projetos!N:N,A187,Projetos!F:F)</f>
        <v>0</v>
      </c>
      <c r="X187" s="18">
        <f t="shared" ca="1" si="19"/>
        <v>27000</v>
      </c>
      <c r="Y187" s="26">
        <f ca="1">(U187*((Indicadores_Economicos!D$2+1)^(1/12)-1))</f>
        <v>32845.83129149078</v>
      </c>
      <c r="Z187" s="18">
        <f t="shared" ca="1" si="23"/>
        <v>10092968.033028858</v>
      </c>
      <c r="AA187" s="18">
        <f ca="1">Auxiliar_Projetos!E187</f>
        <v>94595.273236403038</v>
      </c>
      <c r="AB187" s="18">
        <f ca="1">Auxiliar_Projetos!K187</f>
        <v>527434.86498420883</v>
      </c>
      <c r="AC187" s="18">
        <f ca="1">IF(Z187-AA187-AB187&gt;Investimentos!$C$14,Investimentos!$C$14,IF(Z187-AA187-AB187&lt;Investimentos!$C$14,Z187-AA187-AB187,0))</f>
        <v>300000</v>
      </c>
      <c r="AD187" s="18">
        <f t="shared" ca="1" si="24"/>
        <v>9170937.8948082458</v>
      </c>
      <c r="AE187" s="18"/>
    </row>
    <row r="188" spans="1:31" x14ac:dyDescent="0.2">
      <c r="A188" s="4">
        <v>51318</v>
      </c>
      <c r="B188" s="5" t="str">
        <f t="shared" si="20"/>
        <v>julho</v>
      </c>
      <c r="C188" s="5" t="str">
        <f t="shared" si="26"/>
        <v>2040</v>
      </c>
      <c r="D188" s="5">
        <f>SUMIFS(Despesas!$F:$F,Despesas!$J:$J,"&lt;="&amp;$A188,Despesas!$L:$L,"&gt;="&amp;$A188,Despesas!$C:$C,D$1,Despesas!$M:$M,"Mensal")+SUMIFS(Despesas!$F:$F,Despesas!$J:$J,"&lt;="&amp;$A188,Despesas!$L:$L,"&gt;="&amp;$A188,Despesas!$C:$C,D$1,Despesas!$M:$M,$B188)</f>
        <v>23000</v>
      </c>
      <c r="E188" s="18">
        <f>SUMIFS(Despesas!$F:$F,Despesas!$J:$J,"&lt;="&amp;$A188,Despesas!$L:$L,"&gt;="&amp;$A188,Despesas!$C:$C,E$1,Despesas!$M:$M,"Mensal")+SUMIFS(Despesas!$F:$F,Despesas!$J:$J,"&lt;="&amp;$A188,Despesas!$L:$L,"&gt;="&amp;$A188,Despesas!$C:$C,E$1,Despesas!$M:$M,$B188)</f>
        <v>6000</v>
      </c>
      <c r="F188" s="5">
        <f>SUMIFS(Despesas!$F:$F,Despesas!$J:$J,"&lt;="&amp;$A188,Despesas!$L:$L,"&gt;="&amp;$A188,Despesas!$C:$C,F$1,Despesas!$M:$M,"Mensal")+SUMIFS(Despesas!$F:$F,Despesas!$J:$J,"&lt;="&amp;$A188,Despesas!$L:$L,"&gt;="&amp;$A188,Despesas!$C:$C,F$1,Despesas!$M:$M,$B188)</f>
        <v>13000</v>
      </c>
      <c r="G188" s="5">
        <f ca="1">SUMIFS(Despesas!$F:$F,Despesas!$J:$J,"&lt;="&amp;$A188,Despesas!$L:$L,"&gt;="&amp;$A188,Despesas!$C:$C,G$1,Despesas!$M:$M,"Mensal")+SUMIFS(Despesas!$F:$F,Despesas!$J:$J,"&lt;="&amp;$A188,Despesas!$L:$L,"&gt;="&amp;$A188,Despesas!$C:$C,G$1,Despesas!$M:$M,$B188)</f>
        <v>55757</v>
      </c>
      <c r="H188" s="18">
        <f>SUMIFS(Despesas!$F:$F,Despesas!$J:$J,"&lt;="&amp;$A188,Despesas!$L:$L,"&gt;="&amp;$A188,Despesas!$C:$C,H$1,Despesas!$M:$M,"Mensal")+SUMIFS(Despesas!$F:$F,Despesas!$J:$J,"&lt;="&amp;$A188,Despesas!$L:$L,"&gt;="&amp;$A188,Despesas!$C:$C,H$1,Despesas!$M:$M,$B188)</f>
        <v>1000</v>
      </c>
      <c r="I188" s="18">
        <f>IF(Imóveis!$F$2="PRICE",IF(AND(Dados!$A188&gt;=Imóveis!$Q$2,Dados!$A188&lt;=Imóveis!$T$2),Imóveis!$U$2,0),IF((IF(AND(Dados!$A188&gt;=Imóveis!$Q$2,Dados!$A188&lt;=Imóveis!$T$2),Imóveis!$S$2-(DATEDIF(Imóveis!$Q$2,Dados!$A188,"m")),0))=0,0,((Imóveis!$N$2/Imóveis!$S$2)+((Imóveis!$N$2-((Imóveis!$S$2-(IF(AND(Dados!$A188&gt;=Imóveis!$Q$2,Dados!$A188&lt;=Imóveis!$T$2),Imóveis!$S$2-(DATEDIF(Imóveis!$Q$2,Dados!$A188,"m")),)))*(Imóveis!$N$2/Imóveis!$S$2)))*Imóveis!$P$2))))*IF(AND(Imóveis!$E$2&gt;0,Dados!$A188&gt;Imóveis!$E$2),0,1)</f>
        <v>0</v>
      </c>
      <c r="J188" s="18">
        <f ca="1">IF(Imóveis!$F$3="PRICE",IF(AND(Dados!$A188&gt;=Imóveis!$Q$3,Dados!$A188&lt;=Imóveis!$T$3),Imóveis!$U$3,0),IF((IF(AND(Dados!$A188&gt;=Imóveis!$Q$3,Dados!$A188&lt;=Imóveis!$T$3),Imóveis!$S$3-(DATEDIF(Imóveis!$Q$3,Dados!$A188,"m")),0))=0,0,((Imóveis!$N$3/Imóveis!$S$3)+((Imóveis!$N$3-((Imóveis!$S$3-(IF(AND(Dados!$A188&gt;=Imóveis!$Q$3,Dados!$A188&lt;=Imóveis!$T$3),Imóveis!$S$3-(DATEDIF(Imóveis!$Q$3,Dados!$A188,"m")),)))*(Imóveis!$N$3/Imóveis!$S$3)))*Imóveis!$P$3))))*IF(AND(Imóveis!$E$3&gt;0,Dados!$A188&gt;Imóveis!$E$3),0,1)</f>
        <v>0</v>
      </c>
      <c r="K188" s="18">
        <f>IF(Imóveis!$F$4="PRICE",IF(AND(Dados!$A188&gt;=Imóveis!$Q$4,Dados!$A188&lt;=Imóveis!$T$4),Imóveis!$U$4,0),IF((IF(AND(Dados!$A188&gt;=Imóveis!$Q$4,Dados!$A188&lt;=Imóveis!$T$4),Imóveis!$S$4-(DATEDIF(Imóveis!$Q$4,Dados!$A188,"m")),0))=0,0,((Imóveis!$N$4/Imóveis!$S$4)+((Imóveis!$N$4-((Imóveis!$S$4-(IF(AND(Dados!$A188&gt;=Imóveis!$Q$4,Dados!$A188&lt;=Imóveis!$T$4),Imóveis!$S$4-(DATEDIF(Imóveis!$Q$4,Dados!$A188,"m")),)))*(Imóveis!$N$4/Imóveis!$S$4)))*Imóveis!$P$4))))*IF(AND(Imóveis!$E$4&gt;0,Dados!$A188&gt;Imóveis!$E$4),0,1)</f>
        <v>0</v>
      </c>
      <c r="L188" s="18">
        <f>IF(Imóveis!$F$5="PRICE",IF(AND(Dados!$A188&gt;=Imóveis!$Q$5,Dados!$A188&lt;=Imóveis!$T$5),Imóveis!$U$5,0),IF((IF(AND(Dados!$A188&gt;=Imóveis!$Q$5,Dados!$A188&lt;=Imóveis!$T$5),Imóveis!$S$5-(DATEDIF(Imóveis!$Q$5,Dados!$A188,"m")),0))=0,0,((Imóveis!$N$5/Imóveis!$S$5)+((Imóveis!$N$5-((Imóveis!$S$5-(IF(AND(Dados!$A188 &gt;=Imóveis!$Q$5,Dados!$A188&lt;=Imóveis!$T$5),Imóveis!$S$5-(DATEDIF(Imóveis!$Q$5,Dados!$A188,"m")),)))*(Imóveis!$N$5/Imóveis!$S$5)))*Imóveis!$P$5))))*IF(AND(Imóveis!$E$5&gt;0,Dados!$A188&gt;Imóveis!$E$5),0,1)*Imóveis!$I$5</f>
        <v>0</v>
      </c>
      <c r="M188" s="18">
        <f>IF(Imóveis!$F$6="PRICE",IF(AND(Dados!$A188&gt;=Imóveis!$Q$6,Dados!$A188&lt;=Imóveis!$T$6),Imóveis!$U$6,0),IF((IF(AND(Dados!$A188&gt;=Imóveis!$Q$6,Dados!$A188&lt;=Imóveis!$T$6),Imóveis!$S$6-(DATEDIF(Imóveis!$Q$6,Dados!$A188,"m")),0))=0,0,((Imóveis!$N$6/Imóveis!$S$6)+((Imóveis!$N$6-((Imóveis!$S$6-(IF(AND(Dados!$A188&gt;=Imóveis!$Q$6,Dados!$A188&lt;=Imóveis!$T$6),Imóveis!$S$6-(DATEDIF(Imóveis!$Q$6,Dados!$A188,"m")),)))*(Imóveis!$N$6/Imóveis!$S$6)))*Imóveis!$P$6))))*IF(AND(Imóveis!$E$6&gt;0,Dados!$A188&gt;Imóveis!$E$6),0,1)*Imóveis!$I$6</f>
        <v>0</v>
      </c>
      <c r="N188" s="18">
        <f t="shared" ca="1" si="21"/>
        <v>98757</v>
      </c>
      <c r="O188" s="18">
        <f>SUMIFS(Receitas!$F:$F,Receitas!$J:$J,"&lt;="&amp;$A188,Receitas!$L:$L,"&gt;="&amp;$A188,Receitas!$C:$C,O$1,Receitas!$M:$M,"Mensal")+SUMIFS(Receitas!$F:$F,Receitas!$J:$J,"&lt;="&amp;$A188,Receitas!$L:$L,"&gt;="&amp;$A188,Receitas!$C:$C,O$1,Receitas!$M:$M,$B188)</f>
        <v>50000</v>
      </c>
      <c r="P188" s="18">
        <f>SUMIFS(Receitas!$F:$F,Receitas!$J:$J,"&lt;="&amp;$A188,Receitas!$L:$L,"&gt;="&amp;$A188,Receitas!$C:$C,P$1,Receitas!$M:$M,"Mensal")+SUMIFS(Receitas!$F:$F,Receitas!$J:$J,"&lt;="&amp;$A188,Receitas!$L:$L,"&gt;="&amp;$A188,Receitas!$C:$C,P$1,Receitas!$M:$M,$B188)</f>
        <v>20000</v>
      </c>
      <c r="Q188" s="18">
        <f>SUMIFS(Receitas!$F:$F,Receitas!$J:$J,"&lt;="&amp;$A188,Receitas!$L:$L,"&gt;="&amp;$A188,Receitas!$C:$C,Q$1,Receitas!$M:$M,"Mensal")+SUMIFS(Receitas!$F:$F,Receitas!$J:$J,"&lt;="&amp;$A188,Receitas!$L:$L,"&gt;="&amp;$A188,Receitas!$C:$C,Q$1,Receitas!$M:$M,$B188)</f>
        <v>0</v>
      </c>
      <c r="R188" s="18" cm="1">
        <f t="array" ref="R188">(IF(AND(Membros!$F$2="Sim",A188&lt;=MAX(Membros!$E$2:$E$5)),Membros!K$2,IF(AND(A188&gt;=Membros!J$2,A188&lt;=MAX(Membros!$E$2:$E$5)),Membros!K$2,0))+IF(AND(Membros!$F$3="Sim",A188&lt;=MAX(Membros!$E$2:$E$5)),Membros!K$3,IF(AND(A188&gt;=Membros!J$3,A188&lt;=MAX(Membros!$E$2:$E$5)),Membros!K$3,0)))*IF(AND(COUNTIFS(Tabela3[Tipo],"Provedor",Tabela3[Simulação Seguro],"Sim")=2,A188&gt;=MAX(IF(Tabela3[Tipo]="Dependente",Tabela3[Expectativa de Vida (Data)]))),0,1)</f>
        <v>0</v>
      </c>
      <c r="S188" s="18">
        <f t="shared" si="22"/>
        <v>70000</v>
      </c>
      <c r="U188" s="18">
        <f t="shared" ca="1" si="25"/>
        <v>10092968.033028858</v>
      </c>
      <c r="V188" s="18">
        <f>SUMIF(Imóveis!E:E,Dados!A:A,Imóveis!Z:Z)-SUMIF(Imóveis!E:E,Dados!A:A,Imóveis!Y:Y)</f>
        <v>0</v>
      </c>
      <c r="W188" s="18">
        <f>-SUMIF(Projetos!N:N,A188,Projetos!F:F)</f>
        <v>0</v>
      </c>
      <c r="X188" s="18">
        <f t="shared" ca="1" si="19"/>
        <v>-28757</v>
      </c>
      <c r="Y188" s="26">
        <f ca="1">(U188*((Indicadores_Economicos!D$2+1)^(1/12)-1))</f>
        <v>33041.750970188499</v>
      </c>
      <c r="Z188" s="18">
        <f t="shared" ca="1" si="23"/>
        <v>10097252.783999046</v>
      </c>
      <c r="AA188" s="18">
        <f ca="1">Auxiliar_Projetos!E188</f>
        <v>94904.953545605022</v>
      </c>
      <c r="AB188" s="18">
        <f ca="1">Auxiliar_Projetos!K188</f>
        <v>529161.54948422639</v>
      </c>
      <c r="AC188" s="18">
        <f ca="1">IF(Z188-AA188-AB188&gt;Investimentos!$C$14,Investimentos!$C$14,IF(Z188-AA188-AB188&lt;Investimentos!$C$14,Z188-AA188-AB188,0))</f>
        <v>300000</v>
      </c>
      <c r="AD188" s="18">
        <f t="shared" ca="1" si="24"/>
        <v>9173186.2809692137</v>
      </c>
      <c r="AE188" s="18"/>
    </row>
    <row r="189" spans="1:31" x14ac:dyDescent="0.2">
      <c r="A189" s="4">
        <v>51349</v>
      </c>
      <c r="B189" s="5" t="str">
        <f t="shared" si="20"/>
        <v>agosto</v>
      </c>
      <c r="C189" s="5" t="str">
        <f t="shared" si="26"/>
        <v>2040</v>
      </c>
      <c r="D189" s="5">
        <f>SUMIFS(Despesas!$F:$F,Despesas!$J:$J,"&lt;="&amp;$A189,Despesas!$L:$L,"&gt;="&amp;$A189,Despesas!$C:$C,D$1,Despesas!$M:$M,"Mensal")+SUMIFS(Despesas!$F:$F,Despesas!$J:$J,"&lt;="&amp;$A189,Despesas!$L:$L,"&gt;="&amp;$A189,Despesas!$C:$C,D$1,Despesas!$M:$M,$B189)</f>
        <v>23000</v>
      </c>
      <c r="E189" s="18">
        <f>SUMIFS(Despesas!$F:$F,Despesas!$J:$J,"&lt;="&amp;$A189,Despesas!$L:$L,"&gt;="&amp;$A189,Despesas!$C:$C,E$1,Despesas!$M:$M,"Mensal")+SUMIFS(Despesas!$F:$F,Despesas!$J:$J,"&lt;="&amp;$A189,Despesas!$L:$L,"&gt;="&amp;$A189,Despesas!$C:$C,E$1,Despesas!$M:$M,$B189)</f>
        <v>6000</v>
      </c>
      <c r="F189" s="5">
        <f>SUMIFS(Despesas!$F:$F,Despesas!$J:$J,"&lt;="&amp;$A189,Despesas!$L:$L,"&gt;="&amp;$A189,Despesas!$C:$C,F$1,Despesas!$M:$M,"Mensal")+SUMIFS(Despesas!$F:$F,Despesas!$J:$J,"&lt;="&amp;$A189,Despesas!$L:$L,"&gt;="&amp;$A189,Despesas!$C:$C,F$1,Despesas!$M:$M,$B189)</f>
        <v>13000</v>
      </c>
      <c r="G189" s="5">
        <f>SUMIFS(Despesas!$F:$F,Despesas!$J:$J,"&lt;="&amp;$A189,Despesas!$L:$L,"&gt;="&amp;$A189,Despesas!$C:$C,G$1,Despesas!$M:$M,"Mensal")+SUMIFS(Despesas!$F:$F,Despesas!$J:$J,"&lt;="&amp;$A189,Despesas!$L:$L,"&gt;="&amp;$A189,Despesas!$C:$C,G$1,Despesas!$M:$M,$B189)</f>
        <v>0</v>
      </c>
      <c r="H189" s="18">
        <f>SUMIFS(Despesas!$F:$F,Despesas!$J:$J,"&lt;="&amp;$A189,Despesas!$L:$L,"&gt;="&amp;$A189,Despesas!$C:$C,H$1,Despesas!$M:$M,"Mensal")+SUMIFS(Despesas!$F:$F,Despesas!$J:$J,"&lt;="&amp;$A189,Despesas!$L:$L,"&gt;="&amp;$A189,Despesas!$C:$C,H$1,Despesas!$M:$M,$B189)</f>
        <v>1000</v>
      </c>
      <c r="I189" s="18">
        <f>IF(Imóveis!$F$2="PRICE",IF(AND(Dados!$A189&gt;=Imóveis!$Q$2,Dados!$A189&lt;=Imóveis!$T$2),Imóveis!$U$2,0),IF((IF(AND(Dados!$A189&gt;=Imóveis!$Q$2,Dados!$A189&lt;=Imóveis!$T$2),Imóveis!$S$2-(DATEDIF(Imóveis!$Q$2,Dados!$A189,"m")),0))=0,0,((Imóveis!$N$2/Imóveis!$S$2)+((Imóveis!$N$2-((Imóveis!$S$2-(IF(AND(Dados!$A189&gt;=Imóveis!$Q$2,Dados!$A189&lt;=Imóveis!$T$2),Imóveis!$S$2-(DATEDIF(Imóveis!$Q$2,Dados!$A189,"m")),)))*(Imóveis!$N$2/Imóveis!$S$2)))*Imóveis!$P$2))))*IF(AND(Imóveis!$E$2&gt;0,Dados!$A189&gt;Imóveis!$E$2),0,1)</f>
        <v>0</v>
      </c>
      <c r="J189" s="18">
        <f ca="1">IF(Imóveis!$F$3="PRICE",IF(AND(Dados!$A189&gt;=Imóveis!$Q$3,Dados!$A189&lt;=Imóveis!$T$3),Imóveis!$U$3,0),IF((IF(AND(Dados!$A189&gt;=Imóveis!$Q$3,Dados!$A189&lt;=Imóveis!$T$3),Imóveis!$S$3-(DATEDIF(Imóveis!$Q$3,Dados!$A189,"m")),0))=0,0,((Imóveis!$N$3/Imóveis!$S$3)+((Imóveis!$N$3-((Imóveis!$S$3-(IF(AND(Dados!$A189&gt;=Imóveis!$Q$3,Dados!$A189&lt;=Imóveis!$T$3),Imóveis!$S$3-(DATEDIF(Imóveis!$Q$3,Dados!$A189,"m")),)))*(Imóveis!$N$3/Imóveis!$S$3)))*Imóveis!$P$3))))*IF(AND(Imóveis!$E$3&gt;0,Dados!$A189&gt;Imóveis!$E$3),0,1)</f>
        <v>0</v>
      </c>
      <c r="K189" s="18">
        <f>IF(Imóveis!$F$4="PRICE",IF(AND(Dados!$A189&gt;=Imóveis!$Q$4,Dados!$A189&lt;=Imóveis!$T$4),Imóveis!$U$4,0),IF((IF(AND(Dados!$A189&gt;=Imóveis!$Q$4,Dados!$A189&lt;=Imóveis!$T$4),Imóveis!$S$4-(DATEDIF(Imóveis!$Q$4,Dados!$A189,"m")),0))=0,0,((Imóveis!$N$4/Imóveis!$S$4)+((Imóveis!$N$4-((Imóveis!$S$4-(IF(AND(Dados!$A189&gt;=Imóveis!$Q$4,Dados!$A189&lt;=Imóveis!$T$4),Imóveis!$S$4-(DATEDIF(Imóveis!$Q$4,Dados!$A189,"m")),)))*(Imóveis!$N$4/Imóveis!$S$4)))*Imóveis!$P$4))))*IF(AND(Imóveis!$E$4&gt;0,Dados!$A189&gt;Imóveis!$E$4),0,1)</f>
        <v>0</v>
      </c>
      <c r="L189" s="18">
        <f>IF(Imóveis!$F$5="PRICE",IF(AND(Dados!$A189&gt;=Imóveis!$Q$5,Dados!$A189&lt;=Imóveis!$T$5),Imóveis!$U$5,0),IF((IF(AND(Dados!$A189&gt;=Imóveis!$Q$5,Dados!$A189&lt;=Imóveis!$T$5),Imóveis!$S$5-(DATEDIF(Imóveis!$Q$5,Dados!$A189,"m")),0))=0,0,((Imóveis!$N$5/Imóveis!$S$5)+((Imóveis!$N$5-((Imóveis!$S$5-(IF(AND(Dados!$A189 &gt;=Imóveis!$Q$5,Dados!$A189&lt;=Imóveis!$T$5),Imóveis!$S$5-(DATEDIF(Imóveis!$Q$5,Dados!$A189,"m")),)))*(Imóveis!$N$5/Imóveis!$S$5)))*Imóveis!$P$5))))*IF(AND(Imóveis!$E$5&gt;0,Dados!$A189&gt;Imóveis!$E$5),0,1)*Imóveis!$I$5</f>
        <v>0</v>
      </c>
      <c r="M189" s="18">
        <f>IF(Imóveis!$F$6="PRICE",IF(AND(Dados!$A189&gt;=Imóveis!$Q$6,Dados!$A189&lt;=Imóveis!$T$6),Imóveis!$U$6,0),IF((IF(AND(Dados!$A189&gt;=Imóveis!$Q$6,Dados!$A189&lt;=Imóveis!$T$6),Imóveis!$S$6-(DATEDIF(Imóveis!$Q$6,Dados!$A189,"m")),0))=0,0,((Imóveis!$N$6/Imóveis!$S$6)+((Imóveis!$N$6-((Imóveis!$S$6-(IF(AND(Dados!$A189&gt;=Imóveis!$Q$6,Dados!$A189&lt;=Imóveis!$T$6),Imóveis!$S$6-(DATEDIF(Imóveis!$Q$6,Dados!$A189,"m")),)))*(Imóveis!$N$6/Imóveis!$S$6)))*Imóveis!$P$6))))*IF(AND(Imóveis!$E$6&gt;0,Dados!$A189&gt;Imóveis!$E$6),0,1)*Imóveis!$I$6</f>
        <v>0</v>
      </c>
      <c r="N189" s="18">
        <f t="shared" ca="1" si="21"/>
        <v>43000</v>
      </c>
      <c r="O189" s="18">
        <f>SUMIFS(Receitas!$F:$F,Receitas!$J:$J,"&lt;="&amp;$A189,Receitas!$L:$L,"&gt;="&amp;$A189,Receitas!$C:$C,O$1,Receitas!$M:$M,"Mensal")+SUMIFS(Receitas!$F:$F,Receitas!$J:$J,"&lt;="&amp;$A189,Receitas!$L:$L,"&gt;="&amp;$A189,Receitas!$C:$C,O$1,Receitas!$M:$M,$B189)</f>
        <v>50000</v>
      </c>
      <c r="P189" s="18">
        <f>SUMIFS(Receitas!$F:$F,Receitas!$J:$J,"&lt;="&amp;$A189,Receitas!$L:$L,"&gt;="&amp;$A189,Receitas!$C:$C,P$1,Receitas!$M:$M,"Mensal")+SUMIFS(Receitas!$F:$F,Receitas!$J:$J,"&lt;="&amp;$A189,Receitas!$L:$L,"&gt;="&amp;$A189,Receitas!$C:$C,P$1,Receitas!$M:$M,$B189)</f>
        <v>20000</v>
      </c>
      <c r="Q189" s="18">
        <f>SUMIFS(Receitas!$F:$F,Receitas!$J:$J,"&lt;="&amp;$A189,Receitas!$L:$L,"&gt;="&amp;$A189,Receitas!$C:$C,Q$1,Receitas!$M:$M,"Mensal")+SUMIFS(Receitas!$F:$F,Receitas!$J:$J,"&lt;="&amp;$A189,Receitas!$L:$L,"&gt;="&amp;$A189,Receitas!$C:$C,Q$1,Receitas!$M:$M,$B189)</f>
        <v>0</v>
      </c>
      <c r="R189" s="18" cm="1">
        <f t="array" ref="R189">(IF(AND(Membros!$F$2="Sim",A189&lt;=MAX(Membros!$E$2:$E$5)),Membros!K$2,IF(AND(A189&gt;=Membros!J$2,A189&lt;=MAX(Membros!$E$2:$E$5)),Membros!K$2,0))+IF(AND(Membros!$F$3="Sim",A189&lt;=MAX(Membros!$E$2:$E$5)),Membros!K$3,IF(AND(A189&gt;=Membros!J$3,A189&lt;=MAX(Membros!$E$2:$E$5)),Membros!K$3,0)))*IF(AND(COUNTIFS(Tabela3[Tipo],"Provedor",Tabela3[Simulação Seguro],"Sim")=2,A189&gt;=MAX(IF(Tabela3[Tipo]="Dependente",Tabela3[Expectativa de Vida (Data)]))),0,1)</f>
        <v>0</v>
      </c>
      <c r="S189" s="18">
        <f t="shared" si="22"/>
        <v>70000</v>
      </c>
      <c r="U189" s="18">
        <f t="shared" ca="1" si="25"/>
        <v>10097252.783999046</v>
      </c>
      <c r="V189" s="18">
        <f>SUMIF(Imóveis!E:E,Dados!A:A,Imóveis!Z:Z)-SUMIF(Imóveis!E:E,Dados!A:A,Imóveis!Y:Y)</f>
        <v>0</v>
      </c>
      <c r="W189" s="18">
        <f>-SUMIF(Projetos!N:N,A189,Projetos!F:F)</f>
        <v>0</v>
      </c>
      <c r="X189" s="18">
        <f t="shared" ca="1" si="19"/>
        <v>27000</v>
      </c>
      <c r="Y189" s="26">
        <f ca="1">(U189*((Indicadores_Economicos!D$2+1)^(1/12)-1))</f>
        <v>33055.778129896418</v>
      </c>
      <c r="Z189" s="18">
        <f t="shared" ca="1" si="23"/>
        <v>10157308.562128942</v>
      </c>
      <c r="AA189" s="18">
        <f ca="1">Auxiliar_Projetos!E189</f>
        <v>95215.647667555008</v>
      </c>
      <c r="AB189" s="18">
        <f ca="1">Auxiliar_Projetos!K189</f>
        <v>530893.88669998292</v>
      </c>
      <c r="AC189" s="18">
        <f ca="1">IF(Z189-AA189-AB189&gt;Investimentos!$C$14,Investimentos!$C$14,IF(Z189-AA189-AB189&lt;Investimentos!$C$14,Z189-AA189-AB189,0))</f>
        <v>300000</v>
      </c>
      <c r="AD189" s="18">
        <f t="shared" ca="1" si="24"/>
        <v>9231199.0277614035</v>
      </c>
      <c r="AE189" s="18"/>
    </row>
    <row r="190" spans="1:31" x14ac:dyDescent="0.2">
      <c r="A190" s="4">
        <v>51380</v>
      </c>
      <c r="B190" s="5" t="str">
        <f t="shared" si="20"/>
        <v>setembro</v>
      </c>
      <c r="C190" s="5" t="str">
        <f t="shared" si="26"/>
        <v>2040</v>
      </c>
      <c r="D190" s="5">
        <f>SUMIFS(Despesas!$F:$F,Despesas!$J:$J,"&lt;="&amp;$A190,Despesas!$L:$L,"&gt;="&amp;$A190,Despesas!$C:$C,D$1,Despesas!$M:$M,"Mensal")+SUMIFS(Despesas!$F:$F,Despesas!$J:$J,"&lt;="&amp;$A190,Despesas!$L:$L,"&gt;="&amp;$A190,Despesas!$C:$C,D$1,Despesas!$M:$M,$B190)</f>
        <v>23000</v>
      </c>
      <c r="E190" s="18">
        <f>SUMIFS(Despesas!$F:$F,Despesas!$J:$J,"&lt;="&amp;$A190,Despesas!$L:$L,"&gt;="&amp;$A190,Despesas!$C:$C,E$1,Despesas!$M:$M,"Mensal")+SUMIFS(Despesas!$F:$F,Despesas!$J:$J,"&lt;="&amp;$A190,Despesas!$L:$L,"&gt;="&amp;$A190,Despesas!$C:$C,E$1,Despesas!$M:$M,$B190)</f>
        <v>6000</v>
      </c>
      <c r="F190" s="5">
        <f>SUMIFS(Despesas!$F:$F,Despesas!$J:$J,"&lt;="&amp;$A190,Despesas!$L:$L,"&gt;="&amp;$A190,Despesas!$C:$C,F$1,Despesas!$M:$M,"Mensal")+SUMIFS(Despesas!$F:$F,Despesas!$J:$J,"&lt;="&amp;$A190,Despesas!$L:$L,"&gt;="&amp;$A190,Despesas!$C:$C,F$1,Despesas!$M:$M,$B190)</f>
        <v>13000</v>
      </c>
      <c r="G190" s="5">
        <f>SUMIFS(Despesas!$F:$F,Despesas!$J:$J,"&lt;="&amp;$A190,Despesas!$L:$L,"&gt;="&amp;$A190,Despesas!$C:$C,G$1,Despesas!$M:$M,"Mensal")+SUMIFS(Despesas!$F:$F,Despesas!$J:$J,"&lt;="&amp;$A190,Despesas!$L:$L,"&gt;="&amp;$A190,Despesas!$C:$C,G$1,Despesas!$M:$M,$B190)</f>
        <v>0</v>
      </c>
      <c r="H190" s="18">
        <f>SUMIFS(Despesas!$F:$F,Despesas!$J:$J,"&lt;="&amp;$A190,Despesas!$L:$L,"&gt;="&amp;$A190,Despesas!$C:$C,H$1,Despesas!$M:$M,"Mensal")+SUMIFS(Despesas!$F:$F,Despesas!$J:$J,"&lt;="&amp;$A190,Despesas!$L:$L,"&gt;="&amp;$A190,Despesas!$C:$C,H$1,Despesas!$M:$M,$B190)</f>
        <v>1000</v>
      </c>
      <c r="I190" s="18">
        <f>IF(Imóveis!$F$2="PRICE",IF(AND(Dados!$A190&gt;=Imóveis!$Q$2,Dados!$A190&lt;=Imóveis!$T$2),Imóveis!$U$2,0),IF((IF(AND(Dados!$A190&gt;=Imóveis!$Q$2,Dados!$A190&lt;=Imóveis!$T$2),Imóveis!$S$2-(DATEDIF(Imóveis!$Q$2,Dados!$A190,"m")),0))=0,0,((Imóveis!$N$2/Imóveis!$S$2)+((Imóveis!$N$2-((Imóveis!$S$2-(IF(AND(Dados!$A190&gt;=Imóveis!$Q$2,Dados!$A190&lt;=Imóveis!$T$2),Imóveis!$S$2-(DATEDIF(Imóveis!$Q$2,Dados!$A190,"m")),)))*(Imóveis!$N$2/Imóveis!$S$2)))*Imóveis!$P$2))))*IF(AND(Imóveis!$E$2&gt;0,Dados!$A190&gt;Imóveis!$E$2),0,1)</f>
        <v>0</v>
      </c>
      <c r="J190" s="18">
        <f ca="1">IF(Imóveis!$F$3="PRICE",IF(AND(Dados!$A190&gt;=Imóveis!$Q$3,Dados!$A190&lt;=Imóveis!$T$3),Imóveis!$U$3,0),IF((IF(AND(Dados!$A190&gt;=Imóveis!$Q$3,Dados!$A190&lt;=Imóveis!$T$3),Imóveis!$S$3-(DATEDIF(Imóveis!$Q$3,Dados!$A190,"m")),0))=0,0,((Imóveis!$N$3/Imóveis!$S$3)+((Imóveis!$N$3-((Imóveis!$S$3-(IF(AND(Dados!$A190&gt;=Imóveis!$Q$3,Dados!$A190&lt;=Imóveis!$T$3),Imóveis!$S$3-(DATEDIF(Imóveis!$Q$3,Dados!$A190,"m")),)))*(Imóveis!$N$3/Imóveis!$S$3)))*Imóveis!$P$3))))*IF(AND(Imóveis!$E$3&gt;0,Dados!$A190&gt;Imóveis!$E$3),0,1)</f>
        <v>0</v>
      </c>
      <c r="K190" s="18">
        <f>IF(Imóveis!$F$4="PRICE",IF(AND(Dados!$A190&gt;=Imóveis!$Q$4,Dados!$A190&lt;=Imóveis!$T$4),Imóveis!$U$4,0),IF((IF(AND(Dados!$A190&gt;=Imóveis!$Q$4,Dados!$A190&lt;=Imóveis!$T$4),Imóveis!$S$4-(DATEDIF(Imóveis!$Q$4,Dados!$A190,"m")),0))=0,0,((Imóveis!$N$4/Imóveis!$S$4)+((Imóveis!$N$4-((Imóveis!$S$4-(IF(AND(Dados!$A190&gt;=Imóveis!$Q$4,Dados!$A190&lt;=Imóveis!$T$4),Imóveis!$S$4-(DATEDIF(Imóveis!$Q$4,Dados!$A190,"m")),)))*(Imóveis!$N$4/Imóveis!$S$4)))*Imóveis!$P$4))))*IF(AND(Imóveis!$E$4&gt;0,Dados!$A190&gt;Imóveis!$E$4),0,1)</f>
        <v>0</v>
      </c>
      <c r="L190" s="18">
        <f>IF(Imóveis!$F$5="PRICE",IF(AND(Dados!$A190&gt;=Imóveis!$Q$5,Dados!$A190&lt;=Imóveis!$T$5),Imóveis!$U$5,0),IF((IF(AND(Dados!$A190&gt;=Imóveis!$Q$5,Dados!$A190&lt;=Imóveis!$T$5),Imóveis!$S$5-(DATEDIF(Imóveis!$Q$5,Dados!$A190,"m")),0))=0,0,((Imóveis!$N$5/Imóveis!$S$5)+((Imóveis!$N$5-((Imóveis!$S$5-(IF(AND(Dados!$A190 &gt;=Imóveis!$Q$5,Dados!$A190&lt;=Imóveis!$T$5),Imóveis!$S$5-(DATEDIF(Imóveis!$Q$5,Dados!$A190,"m")),)))*(Imóveis!$N$5/Imóveis!$S$5)))*Imóveis!$P$5))))*IF(AND(Imóveis!$E$5&gt;0,Dados!$A190&gt;Imóveis!$E$5),0,1)*Imóveis!$I$5</f>
        <v>0</v>
      </c>
      <c r="M190" s="18">
        <f>IF(Imóveis!$F$6="PRICE",IF(AND(Dados!$A190&gt;=Imóveis!$Q$6,Dados!$A190&lt;=Imóveis!$T$6),Imóveis!$U$6,0),IF((IF(AND(Dados!$A190&gt;=Imóveis!$Q$6,Dados!$A190&lt;=Imóveis!$T$6),Imóveis!$S$6-(DATEDIF(Imóveis!$Q$6,Dados!$A190,"m")),0))=0,0,((Imóveis!$N$6/Imóveis!$S$6)+((Imóveis!$N$6-((Imóveis!$S$6-(IF(AND(Dados!$A190&gt;=Imóveis!$Q$6,Dados!$A190&lt;=Imóveis!$T$6),Imóveis!$S$6-(DATEDIF(Imóveis!$Q$6,Dados!$A190,"m")),)))*(Imóveis!$N$6/Imóveis!$S$6)))*Imóveis!$P$6))))*IF(AND(Imóveis!$E$6&gt;0,Dados!$A190&gt;Imóveis!$E$6),0,1)*Imóveis!$I$6</f>
        <v>0</v>
      </c>
      <c r="N190" s="18">
        <f t="shared" ca="1" si="21"/>
        <v>43000</v>
      </c>
      <c r="O190" s="18">
        <f>SUMIFS(Receitas!$F:$F,Receitas!$J:$J,"&lt;="&amp;$A190,Receitas!$L:$L,"&gt;="&amp;$A190,Receitas!$C:$C,O$1,Receitas!$M:$M,"Mensal")+SUMIFS(Receitas!$F:$F,Receitas!$J:$J,"&lt;="&amp;$A190,Receitas!$L:$L,"&gt;="&amp;$A190,Receitas!$C:$C,O$1,Receitas!$M:$M,$B190)</f>
        <v>50000</v>
      </c>
      <c r="P190" s="18">
        <f>SUMIFS(Receitas!$F:$F,Receitas!$J:$J,"&lt;="&amp;$A190,Receitas!$L:$L,"&gt;="&amp;$A190,Receitas!$C:$C,P$1,Receitas!$M:$M,"Mensal")+SUMIFS(Receitas!$F:$F,Receitas!$J:$J,"&lt;="&amp;$A190,Receitas!$L:$L,"&gt;="&amp;$A190,Receitas!$C:$C,P$1,Receitas!$M:$M,$B190)</f>
        <v>20000</v>
      </c>
      <c r="Q190" s="18">
        <f>SUMIFS(Receitas!$F:$F,Receitas!$J:$J,"&lt;="&amp;$A190,Receitas!$L:$L,"&gt;="&amp;$A190,Receitas!$C:$C,Q$1,Receitas!$M:$M,"Mensal")+SUMIFS(Receitas!$F:$F,Receitas!$J:$J,"&lt;="&amp;$A190,Receitas!$L:$L,"&gt;="&amp;$A190,Receitas!$C:$C,Q$1,Receitas!$M:$M,$B190)</f>
        <v>0</v>
      </c>
      <c r="R190" s="18" cm="1">
        <f t="array" ref="R190">(IF(AND(Membros!$F$2="Sim",A190&lt;=MAX(Membros!$E$2:$E$5)),Membros!K$2,IF(AND(A190&gt;=Membros!J$2,A190&lt;=MAX(Membros!$E$2:$E$5)),Membros!K$2,0))+IF(AND(Membros!$F$3="Sim",A190&lt;=MAX(Membros!$E$2:$E$5)),Membros!K$3,IF(AND(A190&gt;=Membros!J$3,A190&lt;=MAX(Membros!$E$2:$E$5)),Membros!K$3,0)))*IF(AND(COUNTIFS(Tabela3[Tipo],"Provedor",Tabela3[Simulação Seguro],"Sim")=2,A190&gt;=MAX(IF(Tabela3[Tipo]="Dependente",Tabela3[Expectativa de Vida (Data)]))),0,1)</f>
        <v>0</v>
      </c>
      <c r="S190" s="18">
        <f t="shared" si="22"/>
        <v>70000</v>
      </c>
      <c r="U190" s="18">
        <f t="shared" ca="1" si="25"/>
        <v>10157308.562128942</v>
      </c>
      <c r="V190" s="18">
        <f>SUMIF(Imóveis!E:E,Dados!A:A,Imóveis!Z:Z)-SUMIF(Imóveis!E:E,Dados!A:A,Imóveis!Y:Y)</f>
        <v>0</v>
      </c>
      <c r="W190" s="18">
        <f>-SUMIF(Projetos!N:N,A190,Projetos!F:F)</f>
        <v>0</v>
      </c>
      <c r="X190" s="18">
        <f t="shared" ca="1" si="19"/>
        <v>27000</v>
      </c>
      <c r="Y190" s="26">
        <f ca="1">(U190*((Indicadores_Economicos!D$2+1)^(1/12)-1))</f>
        <v>33252.385119911174</v>
      </c>
      <c r="Z190" s="18">
        <f t="shared" ca="1" si="23"/>
        <v>10217560.947248854</v>
      </c>
      <c r="AA190" s="18">
        <f ca="1">Auxiliar_Projetos!E190</f>
        <v>95527.358921212115</v>
      </c>
      <c r="AB190" s="18">
        <f ca="1">Auxiliar_Projetos!K190</f>
        <v>532631.89513699885</v>
      </c>
      <c r="AC190" s="18">
        <f ca="1">IF(Z190-AA190-AB190&gt;Investimentos!$C$14,Investimentos!$C$14,IF(Z190-AA190-AB190&lt;Investimentos!$C$14,Z190-AA190-AB190,0))</f>
        <v>300000</v>
      </c>
      <c r="AD190" s="18">
        <f t="shared" ca="1" si="24"/>
        <v>9289401.6931906436</v>
      </c>
      <c r="AE190" s="18"/>
    </row>
    <row r="191" spans="1:31" x14ac:dyDescent="0.2">
      <c r="A191" s="4">
        <v>51410</v>
      </c>
      <c r="B191" s="5" t="str">
        <f t="shared" si="20"/>
        <v>outubro</v>
      </c>
      <c r="C191" s="5" t="str">
        <f t="shared" si="26"/>
        <v>2040</v>
      </c>
      <c r="D191" s="5">
        <f>SUMIFS(Despesas!$F:$F,Despesas!$J:$J,"&lt;="&amp;$A191,Despesas!$L:$L,"&gt;="&amp;$A191,Despesas!$C:$C,D$1,Despesas!$M:$M,"Mensal")+SUMIFS(Despesas!$F:$F,Despesas!$J:$J,"&lt;="&amp;$A191,Despesas!$L:$L,"&gt;="&amp;$A191,Despesas!$C:$C,D$1,Despesas!$M:$M,$B191)</f>
        <v>23000</v>
      </c>
      <c r="E191" s="18">
        <f>SUMIFS(Despesas!$F:$F,Despesas!$J:$J,"&lt;="&amp;$A191,Despesas!$L:$L,"&gt;="&amp;$A191,Despesas!$C:$C,E$1,Despesas!$M:$M,"Mensal")+SUMIFS(Despesas!$F:$F,Despesas!$J:$J,"&lt;="&amp;$A191,Despesas!$L:$L,"&gt;="&amp;$A191,Despesas!$C:$C,E$1,Despesas!$M:$M,$B191)</f>
        <v>6000</v>
      </c>
      <c r="F191" s="5">
        <f>SUMIFS(Despesas!$F:$F,Despesas!$J:$J,"&lt;="&amp;$A191,Despesas!$L:$L,"&gt;="&amp;$A191,Despesas!$C:$C,F$1,Despesas!$M:$M,"Mensal")+SUMIFS(Despesas!$F:$F,Despesas!$J:$J,"&lt;="&amp;$A191,Despesas!$L:$L,"&gt;="&amp;$A191,Despesas!$C:$C,F$1,Despesas!$M:$M,$B191)</f>
        <v>13000</v>
      </c>
      <c r="G191" s="5">
        <f>SUMIFS(Despesas!$F:$F,Despesas!$J:$J,"&lt;="&amp;$A191,Despesas!$L:$L,"&gt;="&amp;$A191,Despesas!$C:$C,G$1,Despesas!$M:$M,"Mensal")+SUMIFS(Despesas!$F:$F,Despesas!$J:$J,"&lt;="&amp;$A191,Despesas!$L:$L,"&gt;="&amp;$A191,Despesas!$C:$C,G$1,Despesas!$M:$M,$B191)</f>
        <v>0</v>
      </c>
      <c r="H191" s="18">
        <f>SUMIFS(Despesas!$F:$F,Despesas!$J:$J,"&lt;="&amp;$A191,Despesas!$L:$L,"&gt;="&amp;$A191,Despesas!$C:$C,H$1,Despesas!$M:$M,"Mensal")+SUMIFS(Despesas!$F:$F,Despesas!$J:$J,"&lt;="&amp;$A191,Despesas!$L:$L,"&gt;="&amp;$A191,Despesas!$C:$C,H$1,Despesas!$M:$M,$B191)</f>
        <v>1000</v>
      </c>
      <c r="I191" s="18">
        <f>IF(Imóveis!$F$2="PRICE",IF(AND(Dados!$A191&gt;=Imóveis!$Q$2,Dados!$A191&lt;=Imóveis!$T$2),Imóveis!$U$2,0),IF((IF(AND(Dados!$A191&gt;=Imóveis!$Q$2,Dados!$A191&lt;=Imóveis!$T$2),Imóveis!$S$2-(DATEDIF(Imóveis!$Q$2,Dados!$A191,"m")),0))=0,0,((Imóveis!$N$2/Imóveis!$S$2)+((Imóveis!$N$2-((Imóveis!$S$2-(IF(AND(Dados!$A191&gt;=Imóveis!$Q$2,Dados!$A191&lt;=Imóveis!$T$2),Imóveis!$S$2-(DATEDIF(Imóveis!$Q$2,Dados!$A191,"m")),)))*(Imóveis!$N$2/Imóveis!$S$2)))*Imóveis!$P$2))))*IF(AND(Imóveis!$E$2&gt;0,Dados!$A191&gt;Imóveis!$E$2),0,1)</f>
        <v>0</v>
      </c>
      <c r="J191" s="18">
        <f ca="1">IF(Imóveis!$F$3="PRICE",IF(AND(Dados!$A191&gt;=Imóveis!$Q$3,Dados!$A191&lt;=Imóveis!$T$3),Imóveis!$U$3,0),IF((IF(AND(Dados!$A191&gt;=Imóveis!$Q$3,Dados!$A191&lt;=Imóveis!$T$3),Imóveis!$S$3-(DATEDIF(Imóveis!$Q$3,Dados!$A191,"m")),0))=0,0,((Imóveis!$N$3/Imóveis!$S$3)+((Imóveis!$N$3-((Imóveis!$S$3-(IF(AND(Dados!$A191&gt;=Imóveis!$Q$3,Dados!$A191&lt;=Imóveis!$T$3),Imóveis!$S$3-(DATEDIF(Imóveis!$Q$3,Dados!$A191,"m")),)))*(Imóveis!$N$3/Imóveis!$S$3)))*Imóveis!$P$3))))*IF(AND(Imóveis!$E$3&gt;0,Dados!$A191&gt;Imóveis!$E$3),0,1)</f>
        <v>0</v>
      </c>
      <c r="K191" s="18">
        <f>IF(Imóveis!$F$4="PRICE",IF(AND(Dados!$A191&gt;=Imóveis!$Q$4,Dados!$A191&lt;=Imóveis!$T$4),Imóveis!$U$4,0),IF((IF(AND(Dados!$A191&gt;=Imóveis!$Q$4,Dados!$A191&lt;=Imóveis!$T$4),Imóveis!$S$4-(DATEDIF(Imóveis!$Q$4,Dados!$A191,"m")),0))=0,0,((Imóveis!$N$4/Imóveis!$S$4)+((Imóveis!$N$4-((Imóveis!$S$4-(IF(AND(Dados!$A191&gt;=Imóveis!$Q$4,Dados!$A191&lt;=Imóveis!$T$4),Imóveis!$S$4-(DATEDIF(Imóveis!$Q$4,Dados!$A191,"m")),)))*(Imóveis!$N$4/Imóveis!$S$4)))*Imóveis!$P$4))))*IF(AND(Imóveis!$E$4&gt;0,Dados!$A191&gt;Imóveis!$E$4),0,1)</f>
        <v>0</v>
      </c>
      <c r="L191" s="18">
        <f>IF(Imóveis!$F$5="PRICE",IF(AND(Dados!$A191&gt;=Imóveis!$Q$5,Dados!$A191&lt;=Imóveis!$T$5),Imóveis!$U$5,0),IF((IF(AND(Dados!$A191&gt;=Imóveis!$Q$5,Dados!$A191&lt;=Imóveis!$T$5),Imóveis!$S$5-(DATEDIF(Imóveis!$Q$5,Dados!$A191,"m")),0))=0,0,((Imóveis!$N$5/Imóveis!$S$5)+((Imóveis!$N$5-((Imóveis!$S$5-(IF(AND(Dados!$A191 &gt;=Imóveis!$Q$5,Dados!$A191&lt;=Imóveis!$T$5),Imóveis!$S$5-(DATEDIF(Imóveis!$Q$5,Dados!$A191,"m")),)))*(Imóveis!$N$5/Imóveis!$S$5)))*Imóveis!$P$5))))*IF(AND(Imóveis!$E$5&gt;0,Dados!$A191&gt;Imóveis!$E$5),0,1)*Imóveis!$I$5</f>
        <v>0</v>
      </c>
      <c r="M191" s="18">
        <f>IF(Imóveis!$F$6="PRICE",IF(AND(Dados!$A191&gt;=Imóveis!$Q$6,Dados!$A191&lt;=Imóveis!$T$6),Imóveis!$U$6,0),IF((IF(AND(Dados!$A191&gt;=Imóveis!$Q$6,Dados!$A191&lt;=Imóveis!$T$6),Imóveis!$S$6-(DATEDIF(Imóveis!$Q$6,Dados!$A191,"m")),0))=0,0,((Imóveis!$N$6/Imóveis!$S$6)+((Imóveis!$N$6-((Imóveis!$S$6-(IF(AND(Dados!$A191&gt;=Imóveis!$Q$6,Dados!$A191&lt;=Imóveis!$T$6),Imóveis!$S$6-(DATEDIF(Imóveis!$Q$6,Dados!$A191,"m")),)))*(Imóveis!$N$6/Imóveis!$S$6)))*Imóveis!$P$6))))*IF(AND(Imóveis!$E$6&gt;0,Dados!$A191&gt;Imóveis!$E$6),0,1)*Imóveis!$I$6</f>
        <v>0</v>
      </c>
      <c r="N191" s="18">
        <f t="shared" ca="1" si="21"/>
        <v>43000</v>
      </c>
      <c r="O191" s="18">
        <f>SUMIFS(Receitas!$F:$F,Receitas!$J:$J,"&lt;="&amp;$A191,Receitas!$L:$L,"&gt;="&amp;$A191,Receitas!$C:$C,O$1,Receitas!$M:$M,"Mensal")+SUMIFS(Receitas!$F:$F,Receitas!$J:$J,"&lt;="&amp;$A191,Receitas!$L:$L,"&gt;="&amp;$A191,Receitas!$C:$C,O$1,Receitas!$M:$M,$B191)</f>
        <v>50000</v>
      </c>
      <c r="P191" s="18">
        <f>SUMIFS(Receitas!$F:$F,Receitas!$J:$J,"&lt;="&amp;$A191,Receitas!$L:$L,"&gt;="&amp;$A191,Receitas!$C:$C,P$1,Receitas!$M:$M,"Mensal")+SUMIFS(Receitas!$F:$F,Receitas!$J:$J,"&lt;="&amp;$A191,Receitas!$L:$L,"&gt;="&amp;$A191,Receitas!$C:$C,P$1,Receitas!$M:$M,$B191)</f>
        <v>20000</v>
      </c>
      <c r="Q191" s="18">
        <f>SUMIFS(Receitas!$F:$F,Receitas!$J:$J,"&lt;="&amp;$A191,Receitas!$L:$L,"&gt;="&amp;$A191,Receitas!$C:$C,Q$1,Receitas!$M:$M,"Mensal")+SUMIFS(Receitas!$F:$F,Receitas!$J:$J,"&lt;="&amp;$A191,Receitas!$L:$L,"&gt;="&amp;$A191,Receitas!$C:$C,Q$1,Receitas!$M:$M,$B191)</f>
        <v>0</v>
      </c>
      <c r="R191" s="18" cm="1">
        <f t="array" ref="R191">(IF(AND(Membros!$F$2="Sim",A191&lt;=MAX(Membros!$E$2:$E$5)),Membros!K$2,IF(AND(A191&gt;=Membros!J$2,A191&lt;=MAX(Membros!$E$2:$E$5)),Membros!K$2,0))+IF(AND(Membros!$F$3="Sim",A191&lt;=MAX(Membros!$E$2:$E$5)),Membros!K$3,IF(AND(A191&gt;=Membros!J$3,A191&lt;=MAX(Membros!$E$2:$E$5)),Membros!K$3,0)))*IF(AND(COUNTIFS(Tabela3[Tipo],"Provedor",Tabela3[Simulação Seguro],"Sim")=2,A191&gt;=MAX(IF(Tabela3[Tipo]="Dependente",Tabela3[Expectativa de Vida (Data)]))),0,1)</f>
        <v>0</v>
      </c>
      <c r="S191" s="18">
        <f t="shared" si="22"/>
        <v>70000</v>
      </c>
      <c r="U191" s="18">
        <f t="shared" ca="1" si="25"/>
        <v>10217560.947248854</v>
      </c>
      <c r="V191" s="18">
        <f>SUMIF(Imóveis!E:E,Dados!A:A,Imóveis!Z:Z)-SUMIF(Imóveis!E:E,Dados!A:A,Imóveis!Y:Y)</f>
        <v>0</v>
      </c>
      <c r="W191" s="18">
        <f>-SUMIF(Projetos!N:N,A191,Projetos!F:F)</f>
        <v>0</v>
      </c>
      <c r="X191" s="18">
        <f t="shared" ca="1" si="19"/>
        <v>27000</v>
      </c>
      <c r="Y191" s="26">
        <f ca="1">(U191*((Indicadores_Economicos!D$2+1)^(1/12)-1))</f>
        <v>33449.635750050598</v>
      </c>
      <c r="Z191" s="18">
        <f t="shared" ca="1" si="23"/>
        <v>10278010.582998903</v>
      </c>
      <c r="AA191" s="18">
        <f ca="1">Auxiliar_Projetos!E191</f>
        <v>95840.090636400884</v>
      </c>
      <c r="AB191" s="18">
        <f ca="1">Auxiliar_Projetos!K191</f>
        <v>534375.5933613769</v>
      </c>
      <c r="AC191" s="18">
        <f ca="1">IF(Z191-AA191-AB191&gt;Investimentos!$C$14,Investimentos!$C$14,IF(Z191-AA191-AB191&lt;Investimentos!$C$14,Z191-AA191-AB191,0))</f>
        <v>300000</v>
      </c>
      <c r="AD191" s="18">
        <f t="shared" ca="1" si="24"/>
        <v>9347794.8990011252</v>
      </c>
      <c r="AE191" s="18"/>
    </row>
    <row r="192" spans="1:31" x14ac:dyDescent="0.2">
      <c r="A192" s="4">
        <v>51441</v>
      </c>
      <c r="B192" s="5" t="str">
        <f t="shared" si="20"/>
        <v>novembro</v>
      </c>
      <c r="C192" s="5" t="str">
        <f t="shared" si="26"/>
        <v>2040</v>
      </c>
      <c r="D192" s="5">
        <f>SUMIFS(Despesas!$F:$F,Despesas!$J:$J,"&lt;="&amp;$A192,Despesas!$L:$L,"&gt;="&amp;$A192,Despesas!$C:$C,D$1,Despesas!$M:$M,"Mensal")+SUMIFS(Despesas!$F:$F,Despesas!$J:$J,"&lt;="&amp;$A192,Despesas!$L:$L,"&gt;="&amp;$A192,Despesas!$C:$C,D$1,Despesas!$M:$M,$B192)</f>
        <v>23000</v>
      </c>
      <c r="E192" s="18">
        <f>SUMIFS(Despesas!$F:$F,Despesas!$J:$J,"&lt;="&amp;$A192,Despesas!$L:$L,"&gt;="&amp;$A192,Despesas!$C:$C,E$1,Despesas!$M:$M,"Mensal")+SUMIFS(Despesas!$F:$F,Despesas!$J:$J,"&lt;="&amp;$A192,Despesas!$L:$L,"&gt;="&amp;$A192,Despesas!$C:$C,E$1,Despesas!$M:$M,$B192)</f>
        <v>6000</v>
      </c>
      <c r="F192" s="5">
        <f>SUMIFS(Despesas!$F:$F,Despesas!$J:$J,"&lt;="&amp;$A192,Despesas!$L:$L,"&gt;="&amp;$A192,Despesas!$C:$C,F$1,Despesas!$M:$M,"Mensal")+SUMIFS(Despesas!$F:$F,Despesas!$J:$J,"&lt;="&amp;$A192,Despesas!$L:$L,"&gt;="&amp;$A192,Despesas!$C:$C,F$1,Despesas!$M:$M,$B192)</f>
        <v>13000</v>
      </c>
      <c r="G192" s="5">
        <f>SUMIFS(Despesas!$F:$F,Despesas!$J:$J,"&lt;="&amp;$A192,Despesas!$L:$L,"&gt;="&amp;$A192,Despesas!$C:$C,G$1,Despesas!$M:$M,"Mensal")+SUMIFS(Despesas!$F:$F,Despesas!$J:$J,"&lt;="&amp;$A192,Despesas!$L:$L,"&gt;="&amp;$A192,Despesas!$C:$C,G$1,Despesas!$M:$M,$B192)</f>
        <v>0</v>
      </c>
      <c r="H192" s="18">
        <f>SUMIFS(Despesas!$F:$F,Despesas!$J:$J,"&lt;="&amp;$A192,Despesas!$L:$L,"&gt;="&amp;$A192,Despesas!$C:$C,H$1,Despesas!$M:$M,"Mensal")+SUMIFS(Despesas!$F:$F,Despesas!$J:$J,"&lt;="&amp;$A192,Despesas!$L:$L,"&gt;="&amp;$A192,Despesas!$C:$C,H$1,Despesas!$M:$M,$B192)</f>
        <v>1000</v>
      </c>
      <c r="I192" s="18">
        <f>IF(Imóveis!$F$2="PRICE",IF(AND(Dados!$A192&gt;=Imóveis!$Q$2,Dados!$A192&lt;=Imóveis!$T$2),Imóveis!$U$2,0),IF((IF(AND(Dados!$A192&gt;=Imóveis!$Q$2,Dados!$A192&lt;=Imóveis!$T$2),Imóveis!$S$2-(DATEDIF(Imóveis!$Q$2,Dados!$A192,"m")),0))=0,0,((Imóveis!$N$2/Imóveis!$S$2)+((Imóveis!$N$2-((Imóveis!$S$2-(IF(AND(Dados!$A192&gt;=Imóveis!$Q$2,Dados!$A192&lt;=Imóveis!$T$2),Imóveis!$S$2-(DATEDIF(Imóveis!$Q$2,Dados!$A192,"m")),)))*(Imóveis!$N$2/Imóveis!$S$2)))*Imóveis!$P$2))))*IF(AND(Imóveis!$E$2&gt;0,Dados!$A192&gt;Imóveis!$E$2),0,1)</f>
        <v>0</v>
      </c>
      <c r="J192" s="18">
        <f ca="1">IF(Imóveis!$F$3="PRICE",IF(AND(Dados!$A192&gt;=Imóveis!$Q$3,Dados!$A192&lt;=Imóveis!$T$3),Imóveis!$U$3,0),IF((IF(AND(Dados!$A192&gt;=Imóveis!$Q$3,Dados!$A192&lt;=Imóveis!$T$3),Imóveis!$S$3-(DATEDIF(Imóveis!$Q$3,Dados!$A192,"m")),0))=0,0,((Imóveis!$N$3/Imóveis!$S$3)+((Imóveis!$N$3-((Imóveis!$S$3-(IF(AND(Dados!$A192&gt;=Imóveis!$Q$3,Dados!$A192&lt;=Imóveis!$T$3),Imóveis!$S$3-(DATEDIF(Imóveis!$Q$3,Dados!$A192,"m")),)))*(Imóveis!$N$3/Imóveis!$S$3)))*Imóveis!$P$3))))*IF(AND(Imóveis!$E$3&gt;0,Dados!$A192&gt;Imóveis!$E$3),0,1)</f>
        <v>0</v>
      </c>
      <c r="K192" s="18">
        <f>IF(Imóveis!$F$4="PRICE",IF(AND(Dados!$A192&gt;=Imóveis!$Q$4,Dados!$A192&lt;=Imóveis!$T$4),Imóveis!$U$4,0),IF((IF(AND(Dados!$A192&gt;=Imóveis!$Q$4,Dados!$A192&lt;=Imóveis!$T$4),Imóveis!$S$4-(DATEDIF(Imóveis!$Q$4,Dados!$A192,"m")),0))=0,0,((Imóveis!$N$4/Imóveis!$S$4)+((Imóveis!$N$4-((Imóveis!$S$4-(IF(AND(Dados!$A192&gt;=Imóveis!$Q$4,Dados!$A192&lt;=Imóveis!$T$4),Imóveis!$S$4-(DATEDIF(Imóveis!$Q$4,Dados!$A192,"m")),)))*(Imóveis!$N$4/Imóveis!$S$4)))*Imóveis!$P$4))))*IF(AND(Imóveis!$E$4&gt;0,Dados!$A192&gt;Imóveis!$E$4),0,1)</f>
        <v>0</v>
      </c>
      <c r="L192" s="18">
        <f>IF(Imóveis!$F$5="PRICE",IF(AND(Dados!$A192&gt;=Imóveis!$Q$5,Dados!$A192&lt;=Imóveis!$T$5),Imóveis!$U$5,0),IF((IF(AND(Dados!$A192&gt;=Imóveis!$Q$5,Dados!$A192&lt;=Imóveis!$T$5),Imóveis!$S$5-(DATEDIF(Imóveis!$Q$5,Dados!$A192,"m")),0))=0,0,((Imóveis!$N$5/Imóveis!$S$5)+((Imóveis!$N$5-((Imóveis!$S$5-(IF(AND(Dados!$A192 &gt;=Imóveis!$Q$5,Dados!$A192&lt;=Imóveis!$T$5),Imóveis!$S$5-(DATEDIF(Imóveis!$Q$5,Dados!$A192,"m")),)))*(Imóveis!$N$5/Imóveis!$S$5)))*Imóveis!$P$5))))*IF(AND(Imóveis!$E$5&gt;0,Dados!$A192&gt;Imóveis!$E$5),0,1)*Imóveis!$I$5</f>
        <v>0</v>
      </c>
      <c r="M192" s="18">
        <f>IF(Imóveis!$F$6="PRICE",IF(AND(Dados!$A192&gt;=Imóveis!$Q$6,Dados!$A192&lt;=Imóveis!$T$6),Imóveis!$U$6,0),IF((IF(AND(Dados!$A192&gt;=Imóveis!$Q$6,Dados!$A192&lt;=Imóveis!$T$6),Imóveis!$S$6-(DATEDIF(Imóveis!$Q$6,Dados!$A192,"m")),0))=0,0,((Imóveis!$N$6/Imóveis!$S$6)+((Imóveis!$N$6-((Imóveis!$S$6-(IF(AND(Dados!$A192&gt;=Imóveis!$Q$6,Dados!$A192&lt;=Imóveis!$T$6),Imóveis!$S$6-(DATEDIF(Imóveis!$Q$6,Dados!$A192,"m")),)))*(Imóveis!$N$6/Imóveis!$S$6)))*Imóveis!$P$6))))*IF(AND(Imóveis!$E$6&gt;0,Dados!$A192&gt;Imóveis!$E$6),0,1)*Imóveis!$I$6</f>
        <v>0</v>
      </c>
      <c r="N192" s="18">
        <f t="shared" ca="1" si="21"/>
        <v>43000</v>
      </c>
      <c r="O192" s="18">
        <f>SUMIFS(Receitas!$F:$F,Receitas!$J:$J,"&lt;="&amp;$A192,Receitas!$L:$L,"&gt;="&amp;$A192,Receitas!$C:$C,O$1,Receitas!$M:$M,"Mensal")+SUMIFS(Receitas!$F:$F,Receitas!$J:$J,"&lt;="&amp;$A192,Receitas!$L:$L,"&gt;="&amp;$A192,Receitas!$C:$C,O$1,Receitas!$M:$M,$B192)</f>
        <v>50000</v>
      </c>
      <c r="P192" s="18">
        <f>SUMIFS(Receitas!$F:$F,Receitas!$J:$J,"&lt;="&amp;$A192,Receitas!$L:$L,"&gt;="&amp;$A192,Receitas!$C:$C,P$1,Receitas!$M:$M,"Mensal")+SUMIFS(Receitas!$F:$F,Receitas!$J:$J,"&lt;="&amp;$A192,Receitas!$L:$L,"&gt;="&amp;$A192,Receitas!$C:$C,P$1,Receitas!$M:$M,$B192)</f>
        <v>86666.666666666672</v>
      </c>
      <c r="Q192" s="18">
        <f>SUMIFS(Receitas!$F:$F,Receitas!$J:$J,"&lt;="&amp;$A192,Receitas!$L:$L,"&gt;="&amp;$A192,Receitas!$C:$C,Q$1,Receitas!$M:$M,"Mensal")+SUMIFS(Receitas!$F:$F,Receitas!$J:$J,"&lt;="&amp;$A192,Receitas!$L:$L,"&gt;="&amp;$A192,Receitas!$C:$C,Q$1,Receitas!$M:$M,$B192)</f>
        <v>0</v>
      </c>
      <c r="R192" s="18" cm="1">
        <f t="array" ref="R192">(IF(AND(Membros!$F$2="Sim",A192&lt;=MAX(Membros!$E$2:$E$5)),Membros!K$2,IF(AND(A192&gt;=Membros!J$2,A192&lt;=MAX(Membros!$E$2:$E$5)),Membros!K$2,0))+IF(AND(Membros!$F$3="Sim",A192&lt;=MAX(Membros!$E$2:$E$5)),Membros!K$3,IF(AND(A192&gt;=Membros!J$3,A192&lt;=MAX(Membros!$E$2:$E$5)),Membros!K$3,0)))*IF(AND(COUNTIFS(Tabela3[Tipo],"Provedor",Tabela3[Simulação Seguro],"Sim")=2,A192&gt;=MAX(IF(Tabela3[Tipo]="Dependente",Tabela3[Expectativa de Vida (Data)]))),0,1)</f>
        <v>0</v>
      </c>
      <c r="S192" s="18">
        <f t="shared" si="22"/>
        <v>136666.66666666669</v>
      </c>
      <c r="U192" s="18">
        <f t="shared" ca="1" si="25"/>
        <v>10278010.582998903</v>
      </c>
      <c r="V192" s="18">
        <f>SUMIF(Imóveis!E:E,Dados!A:A,Imóveis!Z:Z)-SUMIF(Imóveis!E:E,Dados!A:A,Imóveis!Y:Y)</f>
        <v>0</v>
      </c>
      <c r="W192" s="18">
        <f>-SUMIF(Projetos!N:N,A192,Projetos!F:F)</f>
        <v>0</v>
      </c>
      <c r="X192" s="18">
        <f t="shared" ca="1" si="19"/>
        <v>93666.666666666686</v>
      </c>
      <c r="Y192" s="26">
        <f ca="1">(U192*((Indicadores_Economicos!D$2+1)^(1/12)-1))</f>
        <v>33647.532127424965</v>
      </c>
      <c r="Z192" s="18">
        <f t="shared" ca="1" si="23"/>
        <v>10405324.781792995</v>
      </c>
      <c r="AA192" s="18">
        <f ca="1">Auxiliar_Projetos!E192</f>
        <v>96153.846153846825</v>
      </c>
      <c r="AB192" s="18">
        <f ca="1">Auxiliar_Projetos!K192</f>
        <v>536125.00000000023</v>
      </c>
      <c r="AC192" s="18">
        <f ca="1">IF(Z192-AA192-AB192&gt;Investimentos!$C$14,Investimentos!$C$14,IF(Z192-AA192-AB192&lt;Investimentos!$C$14,Z192-AA192-AB192,0))</f>
        <v>300000</v>
      </c>
      <c r="AD192" s="18">
        <f t="shared" ca="1" si="24"/>
        <v>9473045.9356391486</v>
      </c>
      <c r="AE192" s="18"/>
    </row>
    <row r="193" spans="1:31" x14ac:dyDescent="0.2">
      <c r="A193" s="4">
        <v>51471</v>
      </c>
      <c r="B193" s="5" t="str">
        <f t="shared" si="20"/>
        <v>dezembro</v>
      </c>
      <c r="C193" s="5" t="str">
        <f t="shared" si="26"/>
        <v>2040</v>
      </c>
      <c r="D193" s="5">
        <f>SUMIFS(Despesas!$F:$F,Despesas!$J:$J,"&lt;="&amp;$A193,Despesas!$L:$L,"&gt;="&amp;$A193,Despesas!$C:$C,D$1,Despesas!$M:$M,"Mensal")+SUMIFS(Despesas!$F:$F,Despesas!$J:$J,"&lt;="&amp;$A193,Despesas!$L:$L,"&gt;="&amp;$A193,Despesas!$C:$C,D$1,Despesas!$M:$M,$B193)</f>
        <v>23000</v>
      </c>
      <c r="E193" s="18">
        <f>SUMIFS(Despesas!$F:$F,Despesas!$J:$J,"&lt;="&amp;$A193,Despesas!$L:$L,"&gt;="&amp;$A193,Despesas!$C:$C,E$1,Despesas!$M:$M,"Mensal")+SUMIFS(Despesas!$F:$F,Despesas!$J:$J,"&lt;="&amp;$A193,Despesas!$L:$L,"&gt;="&amp;$A193,Despesas!$C:$C,E$1,Despesas!$M:$M,$B193)</f>
        <v>6000</v>
      </c>
      <c r="F193" s="5">
        <f>SUMIFS(Despesas!$F:$F,Despesas!$J:$J,"&lt;="&amp;$A193,Despesas!$L:$L,"&gt;="&amp;$A193,Despesas!$C:$C,F$1,Despesas!$M:$M,"Mensal")+SUMIFS(Despesas!$F:$F,Despesas!$J:$J,"&lt;="&amp;$A193,Despesas!$L:$L,"&gt;="&amp;$A193,Despesas!$C:$C,F$1,Despesas!$M:$M,$B193)</f>
        <v>13000</v>
      </c>
      <c r="G193" s="5">
        <f ca="1">SUMIFS(Despesas!$F:$F,Despesas!$J:$J,"&lt;="&amp;$A193,Despesas!$L:$L,"&gt;="&amp;$A193,Despesas!$C:$C,G$1,Despesas!$M:$M,"Mensal")+SUMIFS(Despesas!$F:$F,Despesas!$J:$J,"&lt;="&amp;$A193,Despesas!$L:$L,"&gt;="&amp;$A193,Despesas!$C:$C,G$1,Despesas!$M:$M,$B193)</f>
        <v>55757</v>
      </c>
      <c r="H193" s="18">
        <f>SUMIFS(Despesas!$F:$F,Despesas!$J:$J,"&lt;="&amp;$A193,Despesas!$L:$L,"&gt;="&amp;$A193,Despesas!$C:$C,H$1,Despesas!$M:$M,"Mensal")+SUMIFS(Despesas!$F:$F,Despesas!$J:$J,"&lt;="&amp;$A193,Despesas!$L:$L,"&gt;="&amp;$A193,Despesas!$C:$C,H$1,Despesas!$M:$M,$B193)</f>
        <v>1000</v>
      </c>
      <c r="I193" s="18">
        <f>IF(Imóveis!$F$2="PRICE",IF(AND(Dados!$A193&gt;=Imóveis!$Q$2,Dados!$A193&lt;=Imóveis!$T$2),Imóveis!$U$2,0),IF((IF(AND(Dados!$A193&gt;=Imóveis!$Q$2,Dados!$A193&lt;=Imóveis!$T$2),Imóveis!$S$2-(DATEDIF(Imóveis!$Q$2,Dados!$A193,"m")),0))=0,0,((Imóveis!$N$2/Imóveis!$S$2)+((Imóveis!$N$2-((Imóveis!$S$2-(IF(AND(Dados!$A193&gt;=Imóveis!$Q$2,Dados!$A193&lt;=Imóveis!$T$2),Imóveis!$S$2-(DATEDIF(Imóveis!$Q$2,Dados!$A193,"m")),)))*(Imóveis!$N$2/Imóveis!$S$2)))*Imóveis!$P$2))))*IF(AND(Imóveis!$E$2&gt;0,Dados!$A193&gt;Imóveis!$E$2),0,1)</f>
        <v>0</v>
      </c>
      <c r="J193" s="18">
        <f ca="1">IF(Imóveis!$F$3="PRICE",IF(AND(Dados!$A193&gt;=Imóveis!$Q$3,Dados!$A193&lt;=Imóveis!$T$3),Imóveis!$U$3,0),IF((IF(AND(Dados!$A193&gt;=Imóveis!$Q$3,Dados!$A193&lt;=Imóveis!$T$3),Imóveis!$S$3-(DATEDIF(Imóveis!$Q$3,Dados!$A193,"m")),0))=0,0,((Imóveis!$N$3/Imóveis!$S$3)+((Imóveis!$N$3-((Imóveis!$S$3-(IF(AND(Dados!$A193&gt;=Imóveis!$Q$3,Dados!$A193&lt;=Imóveis!$T$3),Imóveis!$S$3-(DATEDIF(Imóveis!$Q$3,Dados!$A193,"m")),)))*(Imóveis!$N$3/Imóveis!$S$3)))*Imóveis!$P$3))))*IF(AND(Imóveis!$E$3&gt;0,Dados!$A193&gt;Imóveis!$E$3),0,1)</f>
        <v>0</v>
      </c>
      <c r="K193" s="18">
        <f>IF(Imóveis!$F$4="PRICE",IF(AND(Dados!$A193&gt;=Imóveis!$Q$4,Dados!$A193&lt;=Imóveis!$T$4),Imóveis!$U$4,0),IF((IF(AND(Dados!$A193&gt;=Imóveis!$Q$4,Dados!$A193&lt;=Imóveis!$T$4),Imóveis!$S$4-(DATEDIF(Imóveis!$Q$4,Dados!$A193,"m")),0))=0,0,((Imóveis!$N$4/Imóveis!$S$4)+((Imóveis!$N$4-((Imóveis!$S$4-(IF(AND(Dados!$A193&gt;=Imóveis!$Q$4,Dados!$A193&lt;=Imóveis!$T$4),Imóveis!$S$4-(DATEDIF(Imóveis!$Q$4,Dados!$A193,"m")),)))*(Imóveis!$N$4/Imóveis!$S$4)))*Imóveis!$P$4))))*IF(AND(Imóveis!$E$4&gt;0,Dados!$A193&gt;Imóveis!$E$4),0,1)</f>
        <v>0</v>
      </c>
      <c r="L193" s="18">
        <f>IF(Imóveis!$F$5="PRICE",IF(AND(Dados!$A193&gt;=Imóveis!$Q$5,Dados!$A193&lt;=Imóveis!$T$5),Imóveis!$U$5,0),IF((IF(AND(Dados!$A193&gt;=Imóveis!$Q$5,Dados!$A193&lt;=Imóveis!$T$5),Imóveis!$S$5-(DATEDIF(Imóveis!$Q$5,Dados!$A193,"m")),0))=0,0,((Imóveis!$N$5/Imóveis!$S$5)+((Imóveis!$N$5-((Imóveis!$S$5-(IF(AND(Dados!$A193 &gt;=Imóveis!$Q$5,Dados!$A193&lt;=Imóveis!$T$5),Imóveis!$S$5-(DATEDIF(Imóveis!$Q$5,Dados!$A193,"m")),)))*(Imóveis!$N$5/Imóveis!$S$5)))*Imóveis!$P$5))))*IF(AND(Imóveis!$E$5&gt;0,Dados!$A193&gt;Imóveis!$E$5),0,1)*Imóveis!$I$5</f>
        <v>0</v>
      </c>
      <c r="M193" s="18">
        <f>IF(Imóveis!$F$6="PRICE",IF(AND(Dados!$A193&gt;=Imóveis!$Q$6,Dados!$A193&lt;=Imóveis!$T$6),Imóveis!$U$6,0),IF((IF(AND(Dados!$A193&gt;=Imóveis!$Q$6,Dados!$A193&lt;=Imóveis!$T$6),Imóveis!$S$6-(DATEDIF(Imóveis!$Q$6,Dados!$A193,"m")),0))=0,0,((Imóveis!$N$6/Imóveis!$S$6)+((Imóveis!$N$6-((Imóveis!$S$6-(IF(AND(Dados!$A193&gt;=Imóveis!$Q$6,Dados!$A193&lt;=Imóveis!$T$6),Imóveis!$S$6-(DATEDIF(Imóveis!$Q$6,Dados!$A193,"m")),)))*(Imóveis!$N$6/Imóveis!$S$6)))*Imóveis!$P$6))))*IF(AND(Imóveis!$E$6&gt;0,Dados!$A193&gt;Imóveis!$E$6),0,1)*Imóveis!$I$6</f>
        <v>0</v>
      </c>
      <c r="N193" s="18">
        <f t="shared" ca="1" si="21"/>
        <v>98757</v>
      </c>
      <c r="O193" s="18">
        <f>SUMIFS(Receitas!$F:$F,Receitas!$J:$J,"&lt;="&amp;$A193,Receitas!$L:$L,"&gt;="&amp;$A193,Receitas!$C:$C,O$1,Receitas!$M:$M,"Mensal")+SUMIFS(Receitas!$F:$F,Receitas!$J:$J,"&lt;="&amp;$A193,Receitas!$L:$L,"&gt;="&amp;$A193,Receitas!$C:$C,O$1,Receitas!$M:$M,$B193)</f>
        <v>50000</v>
      </c>
      <c r="P193" s="18">
        <f>SUMIFS(Receitas!$F:$F,Receitas!$J:$J,"&lt;="&amp;$A193,Receitas!$L:$L,"&gt;="&amp;$A193,Receitas!$C:$C,P$1,Receitas!$M:$M,"Mensal")+SUMIFS(Receitas!$F:$F,Receitas!$J:$J,"&lt;="&amp;$A193,Receitas!$L:$L,"&gt;="&amp;$A193,Receitas!$C:$C,P$1,Receitas!$M:$M,$B193)</f>
        <v>20000</v>
      </c>
      <c r="Q193" s="18">
        <f>SUMIFS(Receitas!$F:$F,Receitas!$J:$J,"&lt;="&amp;$A193,Receitas!$L:$L,"&gt;="&amp;$A193,Receitas!$C:$C,Q$1,Receitas!$M:$M,"Mensal")+SUMIFS(Receitas!$F:$F,Receitas!$J:$J,"&lt;="&amp;$A193,Receitas!$L:$L,"&gt;="&amp;$A193,Receitas!$C:$C,Q$1,Receitas!$M:$M,$B193)</f>
        <v>0</v>
      </c>
      <c r="R193" s="18" cm="1">
        <f t="array" ref="R193">(IF(AND(Membros!$F$2="Sim",A193&lt;=MAX(Membros!$E$2:$E$5)),Membros!K$2,IF(AND(A193&gt;=Membros!J$2,A193&lt;=MAX(Membros!$E$2:$E$5)),Membros!K$2,0))+IF(AND(Membros!$F$3="Sim",A193&lt;=MAX(Membros!$E$2:$E$5)),Membros!K$3,IF(AND(A193&gt;=Membros!J$3,A193&lt;=MAX(Membros!$E$2:$E$5)),Membros!K$3,0)))*IF(AND(COUNTIFS(Tabela3[Tipo],"Provedor",Tabela3[Simulação Seguro],"Sim")=2,A193&gt;=MAX(IF(Tabela3[Tipo]="Dependente",Tabela3[Expectativa de Vida (Data)]))),0,1)</f>
        <v>0</v>
      </c>
      <c r="S193" s="18">
        <f t="shared" si="22"/>
        <v>70000</v>
      </c>
      <c r="U193" s="18">
        <f t="shared" ca="1" si="25"/>
        <v>10405324.781792995</v>
      </c>
      <c r="V193" s="18">
        <f>SUMIF(Imóveis!E:E,Dados!A:A,Imóveis!Z:Z)-SUMIF(Imóveis!E:E,Dados!A:A,Imóveis!Y:Y)</f>
        <v>0</v>
      </c>
      <c r="W193" s="18">
        <f>-SUMIF(Projetos!N:N,A193,Projetos!F:F)</f>
        <v>0</v>
      </c>
      <c r="X193" s="18">
        <f t="shared" ca="1" si="19"/>
        <v>-28757</v>
      </c>
      <c r="Y193" s="26">
        <f ca="1">(U193*((Indicadores_Economicos!D$2+1)^(1/12)-1))</f>
        <v>34064.325684855969</v>
      </c>
      <c r="Z193" s="18">
        <f t="shared" ca="1" si="23"/>
        <v>10410632.107477851</v>
      </c>
      <c r="AA193" s="18">
        <f ca="1">Auxiliar_Projetos!E193</f>
        <v>96468.628825212101</v>
      </c>
      <c r="AB193" s="18">
        <f ca="1">Auxiliar_Projetos!K193</f>
        <v>537880.13374073163</v>
      </c>
      <c r="AC193" s="18">
        <f ca="1">IF(Z193-AA193-AB193&gt;Investimentos!$C$14,Investimentos!$C$14,IF(Z193-AA193-AB193&lt;Investimentos!$C$14,Z193-AA193-AB193,0))</f>
        <v>300000</v>
      </c>
      <c r="AD193" s="18">
        <f t="shared" ca="1" si="24"/>
        <v>9476283.3449119069</v>
      </c>
      <c r="AE193" s="18"/>
    </row>
    <row r="194" spans="1:31" x14ac:dyDescent="0.2">
      <c r="A194" s="4">
        <v>51502</v>
      </c>
      <c r="B194" s="5" t="str">
        <f t="shared" si="20"/>
        <v>janeiro</v>
      </c>
      <c r="C194" s="5" t="str">
        <f t="shared" si="26"/>
        <v>2041</v>
      </c>
      <c r="D194" s="5">
        <f>SUMIFS(Despesas!$F:$F,Despesas!$J:$J,"&lt;="&amp;$A194,Despesas!$L:$L,"&gt;="&amp;$A194,Despesas!$C:$C,D$1,Despesas!$M:$M,"Mensal")+SUMIFS(Despesas!$F:$F,Despesas!$J:$J,"&lt;="&amp;$A194,Despesas!$L:$L,"&gt;="&amp;$A194,Despesas!$C:$C,D$1,Despesas!$M:$M,$B194)</f>
        <v>23000</v>
      </c>
      <c r="E194" s="18">
        <f>SUMIFS(Despesas!$F:$F,Despesas!$J:$J,"&lt;="&amp;$A194,Despesas!$L:$L,"&gt;="&amp;$A194,Despesas!$C:$C,E$1,Despesas!$M:$M,"Mensal")+SUMIFS(Despesas!$F:$F,Despesas!$J:$J,"&lt;="&amp;$A194,Despesas!$L:$L,"&gt;="&amp;$A194,Despesas!$C:$C,E$1,Despesas!$M:$M,$B194)</f>
        <v>6000</v>
      </c>
      <c r="F194" s="5">
        <f>SUMIFS(Despesas!$F:$F,Despesas!$J:$J,"&lt;="&amp;$A194,Despesas!$L:$L,"&gt;="&amp;$A194,Despesas!$C:$C,F$1,Despesas!$M:$M,"Mensal")+SUMIFS(Despesas!$F:$F,Despesas!$J:$J,"&lt;="&amp;$A194,Despesas!$L:$L,"&gt;="&amp;$A194,Despesas!$C:$C,F$1,Despesas!$M:$M,$B194)</f>
        <v>13000</v>
      </c>
      <c r="G194" s="5">
        <f>SUMIFS(Despesas!$F:$F,Despesas!$J:$J,"&lt;="&amp;$A194,Despesas!$L:$L,"&gt;="&amp;$A194,Despesas!$C:$C,G$1,Despesas!$M:$M,"Mensal")+SUMIFS(Despesas!$F:$F,Despesas!$J:$J,"&lt;="&amp;$A194,Despesas!$L:$L,"&gt;="&amp;$A194,Despesas!$C:$C,G$1,Despesas!$M:$M,$B194)</f>
        <v>0</v>
      </c>
      <c r="H194" s="18">
        <f>SUMIFS(Despesas!$F:$F,Despesas!$J:$J,"&lt;="&amp;$A194,Despesas!$L:$L,"&gt;="&amp;$A194,Despesas!$C:$C,H$1,Despesas!$M:$M,"Mensal")+SUMIFS(Despesas!$F:$F,Despesas!$J:$J,"&lt;="&amp;$A194,Despesas!$L:$L,"&gt;="&amp;$A194,Despesas!$C:$C,H$1,Despesas!$M:$M,$B194)</f>
        <v>1000</v>
      </c>
      <c r="I194" s="18">
        <f>IF(Imóveis!$F$2="PRICE",IF(AND(Dados!$A194&gt;=Imóveis!$Q$2,Dados!$A194&lt;=Imóveis!$T$2),Imóveis!$U$2,0),IF((IF(AND(Dados!$A194&gt;=Imóveis!$Q$2,Dados!$A194&lt;=Imóveis!$T$2),Imóveis!$S$2-(DATEDIF(Imóveis!$Q$2,Dados!$A194,"m")),0))=0,0,((Imóveis!$N$2/Imóveis!$S$2)+((Imóveis!$N$2-((Imóveis!$S$2-(IF(AND(Dados!$A194&gt;=Imóveis!$Q$2,Dados!$A194&lt;=Imóveis!$T$2),Imóveis!$S$2-(DATEDIF(Imóveis!$Q$2,Dados!$A194,"m")),)))*(Imóveis!$N$2/Imóveis!$S$2)))*Imóveis!$P$2))))*IF(AND(Imóveis!$E$2&gt;0,Dados!$A194&gt;Imóveis!$E$2),0,1)</f>
        <v>0</v>
      </c>
      <c r="J194" s="18">
        <f>IF(Imóveis!$F$3="PRICE",IF(AND(Dados!$A194&gt;=Imóveis!$Q$3,Dados!$A194&lt;=Imóveis!$T$3),Imóveis!$U$3,0),IF((IF(AND(Dados!$A194&gt;=Imóveis!$Q$3,Dados!$A194&lt;=Imóveis!$T$3),Imóveis!$S$3-(DATEDIF(Imóveis!$Q$3,Dados!$A194,"m")),0))=0,0,((Imóveis!$N$3/Imóveis!$S$3)+((Imóveis!$N$3-((Imóveis!$S$3-(IF(AND(Dados!$A194&gt;=Imóveis!$Q$3,Dados!$A194&lt;=Imóveis!$T$3),Imóveis!$S$3-(DATEDIF(Imóveis!$Q$3,Dados!$A194,"m")),)))*(Imóveis!$N$3/Imóveis!$S$3)))*Imóveis!$P$3))))*IF(AND(Imóveis!$E$3&gt;0,Dados!$A194&gt;Imóveis!$E$3),0,1)</f>
        <v>0</v>
      </c>
      <c r="K194" s="18">
        <f>IF(Imóveis!$F$4="PRICE",IF(AND(Dados!$A194&gt;=Imóveis!$Q$4,Dados!$A194&lt;=Imóveis!$T$4),Imóveis!$U$4,0),IF((IF(AND(Dados!$A194&gt;=Imóveis!$Q$4,Dados!$A194&lt;=Imóveis!$T$4),Imóveis!$S$4-(DATEDIF(Imóveis!$Q$4,Dados!$A194,"m")),0))=0,0,((Imóveis!$N$4/Imóveis!$S$4)+((Imóveis!$N$4-((Imóveis!$S$4-(IF(AND(Dados!$A194&gt;=Imóveis!$Q$4,Dados!$A194&lt;=Imóveis!$T$4),Imóveis!$S$4-(DATEDIF(Imóveis!$Q$4,Dados!$A194,"m")),)))*(Imóveis!$N$4/Imóveis!$S$4)))*Imóveis!$P$4))))*IF(AND(Imóveis!$E$4&gt;0,Dados!$A194&gt;Imóveis!$E$4),0,1)</f>
        <v>0</v>
      </c>
      <c r="L194" s="18">
        <f>IF(Imóveis!$F$5="PRICE",IF(AND(Dados!$A194&gt;=Imóveis!$Q$5,Dados!$A194&lt;=Imóveis!$T$5),Imóveis!$U$5,0),IF((IF(AND(Dados!$A194&gt;=Imóveis!$Q$5,Dados!$A194&lt;=Imóveis!$T$5),Imóveis!$S$5-(DATEDIF(Imóveis!$Q$5,Dados!$A194,"m")),0))=0,0,((Imóveis!$N$5/Imóveis!$S$5)+((Imóveis!$N$5-((Imóveis!$S$5-(IF(AND(Dados!$A194 &gt;=Imóveis!$Q$5,Dados!$A194&lt;=Imóveis!$T$5),Imóveis!$S$5-(DATEDIF(Imóveis!$Q$5,Dados!$A194,"m")),)))*(Imóveis!$N$5/Imóveis!$S$5)))*Imóveis!$P$5))))*IF(AND(Imóveis!$E$5&gt;0,Dados!$A194&gt;Imóveis!$E$5),0,1)*Imóveis!$I$5</f>
        <v>0</v>
      </c>
      <c r="M194" s="18">
        <f>IF(Imóveis!$F$6="PRICE",IF(AND(Dados!$A194&gt;=Imóveis!$Q$6,Dados!$A194&lt;=Imóveis!$T$6),Imóveis!$U$6,0),IF((IF(AND(Dados!$A194&gt;=Imóveis!$Q$6,Dados!$A194&lt;=Imóveis!$T$6),Imóveis!$S$6-(DATEDIF(Imóveis!$Q$6,Dados!$A194,"m")),0))=0,0,((Imóveis!$N$6/Imóveis!$S$6)+((Imóveis!$N$6-((Imóveis!$S$6-(IF(AND(Dados!$A194&gt;=Imóveis!$Q$6,Dados!$A194&lt;=Imóveis!$T$6),Imóveis!$S$6-(DATEDIF(Imóveis!$Q$6,Dados!$A194,"m")),)))*(Imóveis!$N$6/Imóveis!$S$6)))*Imóveis!$P$6))))*IF(AND(Imóveis!$E$6&gt;0,Dados!$A194&gt;Imóveis!$E$6),0,1)*Imóveis!$I$6</f>
        <v>0</v>
      </c>
      <c r="N194" s="18">
        <f t="shared" si="21"/>
        <v>43000</v>
      </c>
      <c r="O194" s="18">
        <f>SUMIFS(Receitas!$F:$F,Receitas!$J:$J,"&lt;="&amp;$A194,Receitas!$L:$L,"&gt;="&amp;$A194,Receitas!$C:$C,O$1,Receitas!$M:$M,"Mensal")+SUMIFS(Receitas!$F:$F,Receitas!$J:$J,"&lt;="&amp;$A194,Receitas!$L:$L,"&gt;="&amp;$A194,Receitas!$C:$C,O$1,Receitas!$M:$M,$B194)</f>
        <v>50000</v>
      </c>
      <c r="P194" s="18">
        <f>SUMIFS(Receitas!$F:$F,Receitas!$J:$J,"&lt;="&amp;$A194,Receitas!$L:$L,"&gt;="&amp;$A194,Receitas!$C:$C,P$1,Receitas!$M:$M,"Mensal")+SUMIFS(Receitas!$F:$F,Receitas!$J:$J,"&lt;="&amp;$A194,Receitas!$L:$L,"&gt;="&amp;$A194,Receitas!$C:$C,P$1,Receitas!$M:$M,$B194)</f>
        <v>20000</v>
      </c>
      <c r="Q194" s="18">
        <f>SUMIFS(Receitas!$F:$F,Receitas!$J:$J,"&lt;="&amp;$A194,Receitas!$L:$L,"&gt;="&amp;$A194,Receitas!$C:$C,Q$1,Receitas!$M:$M,"Mensal")+SUMIFS(Receitas!$F:$F,Receitas!$J:$J,"&lt;="&amp;$A194,Receitas!$L:$L,"&gt;="&amp;$A194,Receitas!$C:$C,Q$1,Receitas!$M:$M,$B194)</f>
        <v>0</v>
      </c>
      <c r="R194" s="18" cm="1">
        <f t="array" ref="R194">(IF(AND(Membros!$F$2="Sim",A194&lt;=MAX(Membros!$E$2:$E$5)),Membros!K$2,IF(AND(A194&gt;=Membros!J$2,A194&lt;=MAX(Membros!$E$2:$E$5)),Membros!K$2,0))+IF(AND(Membros!$F$3="Sim",A194&lt;=MAX(Membros!$E$2:$E$5)),Membros!K$3,IF(AND(A194&gt;=Membros!J$3,A194&lt;=MAX(Membros!$E$2:$E$5)),Membros!K$3,0)))*IF(AND(COUNTIFS(Tabela3[Tipo],"Provedor",Tabela3[Simulação Seguro],"Sim")=2,A194&gt;=MAX(IF(Tabela3[Tipo]="Dependente",Tabela3[Expectativa de Vida (Data)]))),0,1)</f>
        <v>0</v>
      </c>
      <c r="S194" s="18">
        <f t="shared" si="22"/>
        <v>70000</v>
      </c>
      <c r="U194" s="18">
        <f t="shared" ca="1" si="25"/>
        <v>10410632.107477851</v>
      </c>
      <c r="V194" s="18">
        <f>SUMIF(Imóveis!E:E,Dados!A:A,Imóveis!Z:Z)-SUMIF(Imóveis!E:E,Dados!A:A,Imóveis!Y:Y)</f>
        <v>0</v>
      </c>
      <c r="W194" s="18">
        <f>-SUMIF(Projetos!N:N,A194,Projetos!F:F)</f>
        <v>0</v>
      </c>
      <c r="X194" s="18">
        <f t="shared" ref="X194:X257" si="27">(S194-N194)</f>
        <v>27000</v>
      </c>
      <c r="Y194" s="26">
        <f ca="1">(U194*((Indicadores_Economicos!D$2+1)^(1/12)-1))</f>
        <v>34081.700488087568</v>
      </c>
      <c r="Z194" s="18">
        <f t="shared" ca="1" si="23"/>
        <v>10471713.807965938</v>
      </c>
      <c r="AA194" s="18">
        <f ca="1">Auxiliar_Projetos!E194</f>
        <v>96784.442013131382</v>
      </c>
      <c r="AB194" s="18">
        <f ca="1">Auxiliar_Projetos!K194</f>
        <v>539641.01333261316</v>
      </c>
      <c r="AC194" s="18">
        <f ca="1">IF(Z194-AA194-AB194&gt;Investimentos!$C$14,Investimentos!$C$14,IF(Z194-AA194-AB194&lt;Investimentos!$C$14,Z194-AA194-AB194,0))</f>
        <v>300000</v>
      </c>
      <c r="AD194" s="18">
        <f t="shared" ca="1" si="24"/>
        <v>9535288.3526201937</v>
      </c>
      <c r="AE194" s="18"/>
    </row>
    <row r="195" spans="1:31" x14ac:dyDescent="0.2">
      <c r="A195" s="4">
        <v>51533</v>
      </c>
      <c r="B195" s="5" t="str">
        <f t="shared" ref="B195:B258" si="28">TEXT(A195,"MMMM")</f>
        <v>fevereiro</v>
      </c>
      <c r="C195" s="5" t="str">
        <f t="shared" si="26"/>
        <v>2041</v>
      </c>
      <c r="D195" s="5">
        <f>SUMIFS(Despesas!$F:$F,Despesas!$J:$J,"&lt;="&amp;$A195,Despesas!$L:$L,"&gt;="&amp;$A195,Despesas!$C:$C,D$1,Despesas!$M:$M,"Mensal")+SUMIFS(Despesas!$F:$F,Despesas!$J:$J,"&lt;="&amp;$A195,Despesas!$L:$L,"&gt;="&amp;$A195,Despesas!$C:$C,D$1,Despesas!$M:$M,$B195)</f>
        <v>23000</v>
      </c>
      <c r="E195" s="18">
        <f>SUMIFS(Despesas!$F:$F,Despesas!$J:$J,"&lt;="&amp;$A195,Despesas!$L:$L,"&gt;="&amp;$A195,Despesas!$C:$C,E$1,Despesas!$M:$M,"Mensal")+SUMIFS(Despesas!$F:$F,Despesas!$J:$J,"&lt;="&amp;$A195,Despesas!$L:$L,"&gt;="&amp;$A195,Despesas!$C:$C,E$1,Despesas!$M:$M,$B195)</f>
        <v>6000</v>
      </c>
      <c r="F195" s="5">
        <f>SUMIFS(Despesas!$F:$F,Despesas!$J:$J,"&lt;="&amp;$A195,Despesas!$L:$L,"&gt;="&amp;$A195,Despesas!$C:$C,F$1,Despesas!$M:$M,"Mensal")+SUMIFS(Despesas!$F:$F,Despesas!$J:$J,"&lt;="&amp;$A195,Despesas!$L:$L,"&gt;="&amp;$A195,Despesas!$C:$C,F$1,Despesas!$M:$M,$B195)</f>
        <v>13000</v>
      </c>
      <c r="G195" s="5">
        <f>SUMIFS(Despesas!$F:$F,Despesas!$J:$J,"&lt;="&amp;$A195,Despesas!$L:$L,"&gt;="&amp;$A195,Despesas!$C:$C,G$1,Despesas!$M:$M,"Mensal")+SUMIFS(Despesas!$F:$F,Despesas!$J:$J,"&lt;="&amp;$A195,Despesas!$L:$L,"&gt;="&amp;$A195,Despesas!$C:$C,G$1,Despesas!$M:$M,$B195)</f>
        <v>0</v>
      </c>
      <c r="H195" s="18">
        <f>SUMIFS(Despesas!$F:$F,Despesas!$J:$J,"&lt;="&amp;$A195,Despesas!$L:$L,"&gt;="&amp;$A195,Despesas!$C:$C,H$1,Despesas!$M:$M,"Mensal")+SUMIFS(Despesas!$F:$F,Despesas!$J:$J,"&lt;="&amp;$A195,Despesas!$L:$L,"&gt;="&amp;$A195,Despesas!$C:$C,H$1,Despesas!$M:$M,$B195)</f>
        <v>2200</v>
      </c>
      <c r="I195" s="18">
        <f>IF(Imóveis!$F$2="PRICE",IF(AND(Dados!$A195&gt;=Imóveis!$Q$2,Dados!$A195&lt;=Imóveis!$T$2),Imóveis!$U$2,0),IF((IF(AND(Dados!$A195&gt;=Imóveis!$Q$2,Dados!$A195&lt;=Imóveis!$T$2),Imóveis!$S$2-(DATEDIF(Imóveis!$Q$2,Dados!$A195,"m")),0))=0,0,((Imóveis!$N$2/Imóveis!$S$2)+((Imóveis!$N$2-((Imóveis!$S$2-(IF(AND(Dados!$A195&gt;=Imóveis!$Q$2,Dados!$A195&lt;=Imóveis!$T$2),Imóveis!$S$2-(DATEDIF(Imóveis!$Q$2,Dados!$A195,"m")),)))*(Imóveis!$N$2/Imóveis!$S$2)))*Imóveis!$P$2))))*IF(AND(Imóveis!$E$2&gt;0,Dados!$A195&gt;Imóveis!$E$2),0,1)</f>
        <v>0</v>
      </c>
      <c r="J195" s="18">
        <f>IF(Imóveis!$F$3="PRICE",IF(AND(Dados!$A195&gt;=Imóveis!$Q$3,Dados!$A195&lt;=Imóveis!$T$3),Imóveis!$U$3,0),IF((IF(AND(Dados!$A195&gt;=Imóveis!$Q$3,Dados!$A195&lt;=Imóveis!$T$3),Imóveis!$S$3-(DATEDIF(Imóveis!$Q$3,Dados!$A195,"m")),0))=0,0,((Imóveis!$N$3/Imóveis!$S$3)+((Imóveis!$N$3-((Imóveis!$S$3-(IF(AND(Dados!$A195&gt;=Imóveis!$Q$3,Dados!$A195&lt;=Imóveis!$T$3),Imóveis!$S$3-(DATEDIF(Imóveis!$Q$3,Dados!$A195,"m")),)))*(Imóveis!$N$3/Imóveis!$S$3)))*Imóveis!$P$3))))*IF(AND(Imóveis!$E$3&gt;0,Dados!$A195&gt;Imóveis!$E$3),0,1)</f>
        <v>0</v>
      </c>
      <c r="K195" s="18">
        <f>IF(Imóveis!$F$4="PRICE",IF(AND(Dados!$A195&gt;=Imóveis!$Q$4,Dados!$A195&lt;=Imóveis!$T$4),Imóveis!$U$4,0),IF((IF(AND(Dados!$A195&gt;=Imóveis!$Q$4,Dados!$A195&lt;=Imóveis!$T$4),Imóveis!$S$4-(DATEDIF(Imóveis!$Q$4,Dados!$A195,"m")),0))=0,0,((Imóveis!$N$4/Imóveis!$S$4)+((Imóveis!$N$4-((Imóveis!$S$4-(IF(AND(Dados!$A195&gt;=Imóveis!$Q$4,Dados!$A195&lt;=Imóveis!$T$4),Imóveis!$S$4-(DATEDIF(Imóveis!$Q$4,Dados!$A195,"m")),)))*(Imóveis!$N$4/Imóveis!$S$4)))*Imóveis!$P$4))))*IF(AND(Imóveis!$E$4&gt;0,Dados!$A195&gt;Imóveis!$E$4),0,1)</f>
        <v>0</v>
      </c>
      <c r="L195" s="18">
        <f>IF(Imóveis!$F$5="PRICE",IF(AND(Dados!$A195&gt;=Imóveis!$Q$5,Dados!$A195&lt;=Imóveis!$T$5),Imóveis!$U$5,0),IF((IF(AND(Dados!$A195&gt;=Imóveis!$Q$5,Dados!$A195&lt;=Imóveis!$T$5),Imóveis!$S$5-(DATEDIF(Imóveis!$Q$5,Dados!$A195,"m")),0))=0,0,((Imóveis!$N$5/Imóveis!$S$5)+((Imóveis!$N$5-((Imóveis!$S$5-(IF(AND(Dados!$A195 &gt;=Imóveis!$Q$5,Dados!$A195&lt;=Imóveis!$T$5),Imóveis!$S$5-(DATEDIF(Imóveis!$Q$5,Dados!$A195,"m")),)))*(Imóveis!$N$5/Imóveis!$S$5)))*Imóveis!$P$5))))*IF(AND(Imóveis!$E$5&gt;0,Dados!$A195&gt;Imóveis!$E$5),0,1)*Imóveis!$I$5</f>
        <v>0</v>
      </c>
      <c r="M195" s="18">
        <f>IF(Imóveis!$F$6="PRICE",IF(AND(Dados!$A195&gt;=Imóveis!$Q$6,Dados!$A195&lt;=Imóveis!$T$6),Imóveis!$U$6,0),IF((IF(AND(Dados!$A195&gt;=Imóveis!$Q$6,Dados!$A195&lt;=Imóveis!$T$6),Imóveis!$S$6-(DATEDIF(Imóveis!$Q$6,Dados!$A195,"m")),0))=0,0,((Imóveis!$N$6/Imóveis!$S$6)+((Imóveis!$N$6-((Imóveis!$S$6-(IF(AND(Dados!$A195&gt;=Imóveis!$Q$6,Dados!$A195&lt;=Imóveis!$T$6),Imóveis!$S$6-(DATEDIF(Imóveis!$Q$6,Dados!$A195,"m")),)))*(Imóveis!$N$6/Imóveis!$S$6)))*Imóveis!$P$6))))*IF(AND(Imóveis!$E$6&gt;0,Dados!$A195&gt;Imóveis!$E$6),0,1)*Imóveis!$I$6</f>
        <v>0</v>
      </c>
      <c r="N195" s="18">
        <f t="shared" ref="N195:N258" si="29">SUM(D195:M195)</f>
        <v>44200</v>
      </c>
      <c r="O195" s="18">
        <f>SUMIFS(Receitas!$F:$F,Receitas!$J:$J,"&lt;="&amp;$A195,Receitas!$L:$L,"&gt;="&amp;$A195,Receitas!$C:$C,O$1,Receitas!$M:$M,"Mensal")+SUMIFS(Receitas!$F:$F,Receitas!$J:$J,"&lt;="&amp;$A195,Receitas!$L:$L,"&gt;="&amp;$A195,Receitas!$C:$C,O$1,Receitas!$M:$M,$B195)</f>
        <v>50000</v>
      </c>
      <c r="P195" s="18">
        <f>SUMIFS(Receitas!$F:$F,Receitas!$J:$J,"&lt;="&amp;$A195,Receitas!$L:$L,"&gt;="&amp;$A195,Receitas!$C:$C,P$1,Receitas!$M:$M,"Mensal")+SUMIFS(Receitas!$F:$F,Receitas!$J:$J,"&lt;="&amp;$A195,Receitas!$L:$L,"&gt;="&amp;$A195,Receitas!$C:$C,P$1,Receitas!$M:$M,$B195)</f>
        <v>20000</v>
      </c>
      <c r="Q195" s="18">
        <f>SUMIFS(Receitas!$F:$F,Receitas!$J:$J,"&lt;="&amp;$A195,Receitas!$L:$L,"&gt;="&amp;$A195,Receitas!$C:$C,Q$1,Receitas!$M:$M,"Mensal")+SUMIFS(Receitas!$F:$F,Receitas!$J:$J,"&lt;="&amp;$A195,Receitas!$L:$L,"&gt;="&amp;$A195,Receitas!$C:$C,Q$1,Receitas!$M:$M,$B195)</f>
        <v>0</v>
      </c>
      <c r="R195" s="18" cm="1">
        <f t="array" ref="R195">(IF(AND(Membros!$F$2="Sim",A195&lt;=MAX(Membros!$E$2:$E$5)),Membros!K$2,IF(AND(A195&gt;=Membros!J$2,A195&lt;=MAX(Membros!$E$2:$E$5)),Membros!K$2,0))+IF(AND(Membros!$F$3="Sim",A195&lt;=MAX(Membros!$E$2:$E$5)),Membros!K$3,IF(AND(A195&gt;=Membros!J$3,A195&lt;=MAX(Membros!$E$2:$E$5)),Membros!K$3,0)))*IF(AND(COUNTIFS(Tabela3[Tipo],"Provedor",Tabela3[Simulação Seguro],"Sim")=2,A195&gt;=MAX(IF(Tabela3[Tipo]="Dependente",Tabela3[Expectativa de Vida (Data)]))),0,1)</f>
        <v>0</v>
      </c>
      <c r="S195" s="18">
        <f t="shared" ref="S195:S258" si="30">O195+P195+Q195+R195</f>
        <v>70000</v>
      </c>
      <c r="U195" s="18">
        <f t="shared" ca="1" si="25"/>
        <v>10471713.807965938</v>
      </c>
      <c r="V195" s="18">
        <f>SUMIF(Imóveis!E:E,Dados!A:A,Imóveis!Z:Z)-SUMIF(Imóveis!E:E,Dados!A:A,Imóveis!Y:Y)</f>
        <v>0</v>
      </c>
      <c r="W195" s="18">
        <f>-SUMIF(Projetos!N:N,A195,Projetos!F:F)</f>
        <v>0</v>
      </c>
      <c r="X195" s="18">
        <f t="shared" si="27"/>
        <v>25800</v>
      </c>
      <c r="Y195" s="26">
        <f ca="1">(U195*((Indicadores_Economicos!D$2+1)^(1/12)-1))</f>
        <v>34281.666080939773</v>
      </c>
      <c r="Z195" s="18">
        <f t="shared" ref="Z195:Z258" ca="1" si="31">U195+V195+W195+X195+Y195</f>
        <v>10531795.474046879</v>
      </c>
      <c r="AA195" s="18">
        <f ca="1">Auxiliar_Projetos!E195</f>
        <v>97101.289091247687</v>
      </c>
      <c r="AB195" s="18">
        <f ca="1">Auxiliar_Projetos!K195</f>
        <v>541407.65758606629</v>
      </c>
      <c r="AC195" s="18">
        <f ca="1">IF(Z195-AA195-AB195&gt;Investimentos!$C$14,Investimentos!$C$14,IF(Z195-AA195-AB195&lt;Investimentos!$C$14,Z195-AA195-AB195,0))</f>
        <v>300000</v>
      </c>
      <c r="AD195" s="18">
        <f t="shared" ref="AD195:AD258" ca="1" si="32">Z195-AA195-AB195-AC195</f>
        <v>9593286.5273695644</v>
      </c>
      <c r="AE195" s="18"/>
    </row>
    <row r="196" spans="1:31" x14ac:dyDescent="0.2">
      <c r="A196" s="4">
        <v>51561</v>
      </c>
      <c r="B196" s="5" t="str">
        <f t="shared" si="28"/>
        <v>março</v>
      </c>
      <c r="C196" s="5" t="str">
        <f t="shared" si="26"/>
        <v>2041</v>
      </c>
      <c r="D196" s="5">
        <f>SUMIFS(Despesas!$F:$F,Despesas!$J:$J,"&lt;="&amp;$A196,Despesas!$L:$L,"&gt;="&amp;$A196,Despesas!$C:$C,D$1,Despesas!$M:$M,"Mensal")+SUMIFS(Despesas!$F:$F,Despesas!$J:$J,"&lt;="&amp;$A196,Despesas!$L:$L,"&gt;="&amp;$A196,Despesas!$C:$C,D$1,Despesas!$M:$M,$B196)</f>
        <v>23000</v>
      </c>
      <c r="E196" s="18">
        <f>SUMIFS(Despesas!$F:$F,Despesas!$J:$J,"&lt;="&amp;$A196,Despesas!$L:$L,"&gt;="&amp;$A196,Despesas!$C:$C,E$1,Despesas!$M:$M,"Mensal")+SUMIFS(Despesas!$F:$F,Despesas!$J:$J,"&lt;="&amp;$A196,Despesas!$L:$L,"&gt;="&amp;$A196,Despesas!$C:$C,E$1,Despesas!$M:$M,$B196)</f>
        <v>6000</v>
      </c>
      <c r="F196" s="5">
        <f>SUMIFS(Despesas!$F:$F,Despesas!$J:$J,"&lt;="&amp;$A196,Despesas!$L:$L,"&gt;="&amp;$A196,Despesas!$C:$C,F$1,Despesas!$M:$M,"Mensal")+SUMIFS(Despesas!$F:$F,Despesas!$J:$J,"&lt;="&amp;$A196,Despesas!$L:$L,"&gt;="&amp;$A196,Despesas!$C:$C,F$1,Despesas!$M:$M,$B196)</f>
        <v>13000</v>
      </c>
      <c r="G196" s="5">
        <f>SUMIFS(Despesas!$F:$F,Despesas!$J:$J,"&lt;="&amp;$A196,Despesas!$L:$L,"&gt;="&amp;$A196,Despesas!$C:$C,G$1,Despesas!$M:$M,"Mensal")+SUMIFS(Despesas!$F:$F,Despesas!$J:$J,"&lt;="&amp;$A196,Despesas!$L:$L,"&gt;="&amp;$A196,Despesas!$C:$C,G$1,Despesas!$M:$M,$B196)</f>
        <v>0</v>
      </c>
      <c r="H196" s="18">
        <f>SUMIFS(Despesas!$F:$F,Despesas!$J:$J,"&lt;="&amp;$A196,Despesas!$L:$L,"&gt;="&amp;$A196,Despesas!$C:$C,H$1,Despesas!$M:$M,"Mensal")+SUMIFS(Despesas!$F:$F,Despesas!$J:$J,"&lt;="&amp;$A196,Despesas!$L:$L,"&gt;="&amp;$A196,Despesas!$C:$C,H$1,Despesas!$M:$M,$B196)</f>
        <v>1000</v>
      </c>
      <c r="I196" s="18">
        <f>IF(Imóveis!$F$2="PRICE",IF(AND(Dados!$A196&gt;=Imóveis!$Q$2,Dados!$A196&lt;=Imóveis!$T$2),Imóveis!$U$2,0),IF((IF(AND(Dados!$A196&gt;=Imóveis!$Q$2,Dados!$A196&lt;=Imóveis!$T$2),Imóveis!$S$2-(DATEDIF(Imóveis!$Q$2,Dados!$A196,"m")),0))=0,0,((Imóveis!$N$2/Imóveis!$S$2)+((Imóveis!$N$2-((Imóveis!$S$2-(IF(AND(Dados!$A196&gt;=Imóveis!$Q$2,Dados!$A196&lt;=Imóveis!$T$2),Imóveis!$S$2-(DATEDIF(Imóveis!$Q$2,Dados!$A196,"m")),)))*(Imóveis!$N$2/Imóveis!$S$2)))*Imóveis!$P$2))))*IF(AND(Imóveis!$E$2&gt;0,Dados!$A196&gt;Imóveis!$E$2),0,1)</f>
        <v>0</v>
      </c>
      <c r="J196" s="18">
        <f>IF(Imóveis!$F$3="PRICE",IF(AND(Dados!$A196&gt;=Imóveis!$Q$3,Dados!$A196&lt;=Imóveis!$T$3),Imóveis!$U$3,0),IF((IF(AND(Dados!$A196&gt;=Imóveis!$Q$3,Dados!$A196&lt;=Imóveis!$T$3),Imóveis!$S$3-(DATEDIF(Imóveis!$Q$3,Dados!$A196,"m")),0))=0,0,((Imóveis!$N$3/Imóveis!$S$3)+((Imóveis!$N$3-((Imóveis!$S$3-(IF(AND(Dados!$A196&gt;=Imóveis!$Q$3,Dados!$A196&lt;=Imóveis!$T$3),Imóveis!$S$3-(DATEDIF(Imóveis!$Q$3,Dados!$A196,"m")),)))*(Imóveis!$N$3/Imóveis!$S$3)))*Imóveis!$P$3))))*IF(AND(Imóveis!$E$3&gt;0,Dados!$A196&gt;Imóveis!$E$3),0,1)</f>
        <v>0</v>
      </c>
      <c r="K196" s="18">
        <f>IF(Imóveis!$F$4="PRICE",IF(AND(Dados!$A196&gt;=Imóveis!$Q$4,Dados!$A196&lt;=Imóveis!$T$4),Imóveis!$U$4,0),IF((IF(AND(Dados!$A196&gt;=Imóveis!$Q$4,Dados!$A196&lt;=Imóveis!$T$4),Imóveis!$S$4-(DATEDIF(Imóveis!$Q$4,Dados!$A196,"m")),0))=0,0,((Imóveis!$N$4/Imóveis!$S$4)+((Imóveis!$N$4-((Imóveis!$S$4-(IF(AND(Dados!$A196&gt;=Imóveis!$Q$4,Dados!$A196&lt;=Imóveis!$T$4),Imóveis!$S$4-(DATEDIF(Imóveis!$Q$4,Dados!$A196,"m")),)))*(Imóveis!$N$4/Imóveis!$S$4)))*Imóveis!$P$4))))*IF(AND(Imóveis!$E$4&gt;0,Dados!$A196&gt;Imóveis!$E$4),0,1)</f>
        <v>0</v>
      </c>
      <c r="L196" s="18">
        <f>IF(Imóveis!$F$5="PRICE",IF(AND(Dados!$A196&gt;=Imóveis!$Q$5,Dados!$A196&lt;=Imóveis!$T$5),Imóveis!$U$5,0),IF((IF(AND(Dados!$A196&gt;=Imóveis!$Q$5,Dados!$A196&lt;=Imóveis!$T$5),Imóveis!$S$5-(DATEDIF(Imóveis!$Q$5,Dados!$A196,"m")),0))=0,0,((Imóveis!$N$5/Imóveis!$S$5)+((Imóveis!$N$5-((Imóveis!$S$5-(IF(AND(Dados!$A196 &gt;=Imóveis!$Q$5,Dados!$A196&lt;=Imóveis!$T$5),Imóveis!$S$5-(DATEDIF(Imóveis!$Q$5,Dados!$A196,"m")),)))*(Imóveis!$N$5/Imóveis!$S$5)))*Imóveis!$P$5))))*IF(AND(Imóveis!$E$5&gt;0,Dados!$A196&gt;Imóveis!$E$5),0,1)*Imóveis!$I$5</f>
        <v>0</v>
      </c>
      <c r="M196" s="18">
        <f>IF(Imóveis!$F$6="PRICE",IF(AND(Dados!$A196&gt;=Imóveis!$Q$6,Dados!$A196&lt;=Imóveis!$T$6),Imóveis!$U$6,0),IF((IF(AND(Dados!$A196&gt;=Imóveis!$Q$6,Dados!$A196&lt;=Imóveis!$T$6),Imóveis!$S$6-(DATEDIF(Imóveis!$Q$6,Dados!$A196,"m")),0))=0,0,((Imóveis!$N$6/Imóveis!$S$6)+((Imóveis!$N$6-((Imóveis!$S$6-(IF(AND(Dados!$A196&gt;=Imóveis!$Q$6,Dados!$A196&lt;=Imóveis!$T$6),Imóveis!$S$6-(DATEDIF(Imóveis!$Q$6,Dados!$A196,"m")),)))*(Imóveis!$N$6/Imóveis!$S$6)))*Imóveis!$P$6))))*IF(AND(Imóveis!$E$6&gt;0,Dados!$A196&gt;Imóveis!$E$6),0,1)*Imóveis!$I$6</f>
        <v>0</v>
      </c>
      <c r="N196" s="18">
        <f t="shared" si="29"/>
        <v>43000</v>
      </c>
      <c r="O196" s="18">
        <f>SUMIFS(Receitas!$F:$F,Receitas!$J:$J,"&lt;="&amp;$A196,Receitas!$L:$L,"&gt;="&amp;$A196,Receitas!$C:$C,O$1,Receitas!$M:$M,"Mensal")+SUMIFS(Receitas!$F:$F,Receitas!$J:$J,"&lt;="&amp;$A196,Receitas!$L:$L,"&gt;="&amp;$A196,Receitas!$C:$C,O$1,Receitas!$M:$M,$B196)</f>
        <v>50000</v>
      </c>
      <c r="P196" s="18">
        <f>SUMIFS(Receitas!$F:$F,Receitas!$J:$J,"&lt;="&amp;$A196,Receitas!$L:$L,"&gt;="&amp;$A196,Receitas!$C:$C,P$1,Receitas!$M:$M,"Mensal")+SUMIFS(Receitas!$F:$F,Receitas!$J:$J,"&lt;="&amp;$A196,Receitas!$L:$L,"&gt;="&amp;$A196,Receitas!$C:$C,P$1,Receitas!$M:$M,$B196)</f>
        <v>20000</v>
      </c>
      <c r="Q196" s="18">
        <f>SUMIFS(Receitas!$F:$F,Receitas!$J:$J,"&lt;="&amp;$A196,Receitas!$L:$L,"&gt;="&amp;$A196,Receitas!$C:$C,Q$1,Receitas!$M:$M,"Mensal")+SUMIFS(Receitas!$F:$F,Receitas!$J:$J,"&lt;="&amp;$A196,Receitas!$L:$L,"&gt;="&amp;$A196,Receitas!$C:$C,Q$1,Receitas!$M:$M,$B196)</f>
        <v>0</v>
      </c>
      <c r="R196" s="18" cm="1">
        <f t="array" ref="R196">(IF(AND(Membros!$F$2="Sim",A196&lt;=MAX(Membros!$E$2:$E$5)),Membros!K$2,IF(AND(A196&gt;=Membros!J$2,A196&lt;=MAX(Membros!$E$2:$E$5)),Membros!K$2,0))+IF(AND(Membros!$F$3="Sim",A196&lt;=MAX(Membros!$E$2:$E$5)),Membros!K$3,IF(AND(A196&gt;=Membros!J$3,A196&lt;=MAX(Membros!$E$2:$E$5)),Membros!K$3,0)))*IF(AND(COUNTIFS(Tabela3[Tipo],"Provedor",Tabela3[Simulação Seguro],"Sim")=2,A196&gt;=MAX(IF(Tabela3[Tipo]="Dependente",Tabela3[Expectativa de Vida (Data)]))),0,1)</f>
        <v>0</v>
      </c>
      <c r="S196" s="18">
        <f t="shared" si="30"/>
        <v>70000</v>
      </c>
      <c r="U196" s="18">
        <f t="shared" ref="U196:U259" ca="1" si="33">Z195</f>
        <v>10531795.474046879</v>
      </c>
      <c r="V196" s="18">
        <f>SUMIF(Imóveis!E:E,Dados!A:A,Imóveis!Z:Z)-SUMIF(Imóveis!E:E,Dados!A:A,Imóveis!Y:Y)</f>
        <v>0</v>
      </c>
      <c r="W196" s="18">
        <f>-SUMIF(Projetos!N:N,A196,Projetos!F:F)</f>
        <v>0</v>
      </c>
      <c r="X196" s="18">
        <f t="shared" si="27"/>
        <v>27000</v>
      </c>
      <c r="Y196" s="26">
        <f ca="1">(U196*((Indicadores_Economicos!D$2+1)^(1/12)-1))</f>
        <v>34478.35782136974</v>
      </c>
      <c r="Z196" s="18">
        <f t="shared" ca="1" si="31"/>
        <v>10593273.831868248</v>
      </c>
      <c r="AA196" s="18">
        <f ca="1">Auxiliar_Projetos!E196</f>
        <v>97419.173444248503</v>
      </c>
      <c r="AB196" s="18">
        <f ca="1">Auxiliar_Projetos!K196</f>
        <v>543180.08537309291</v>
      </c>
      <c r="AC196" s="18">
        <f ca="1">IF(Z196-AA196-AB196&gt;Investimentos!$C$14,Investimentos!$C$14,IF(Z196-AA196-AB196&lt;Investimentos!$C$14,Z196-AA196-AB196,0))</f>
        <v>300000</v>
      </c>
      <c r="AD196" s="18">
        <f t="shared" ca="1" si="32"/>
        <v>9652674.5730509069</v>
      </c>
      <c r="AE196" s="18"/>
    </row>
    <row r="197" spans="1:31" x14ac:dyDescent="0.2">
      <c r="A197" s="4">
        <v>51592</v>
      </c>
      <c r="B197" s="5" t="str">
        <f t="shared" si="28"/>
        <v>abril</v>
      </c>
      <c r="C197" s="5" t="str">
        <f t="shared" si="26"/>
        <v>2041</v>
      </c>
      <c r="D197" s="5">
        <f>SUMIFS(Despesas!$F:$F,Despesas!$J:$J,"&lt;="&amp;$A197,Despesas!$L:$L,"&gt;="&amp;$A197,Despesas!$C:$C,D$1,Despesas!$M:$M,"Mensal")+SUMIFS(Despesas!$F:$F,Despesas!$J:$J,"&lt;="&amp;$A197,Despesas!$L:$L,"&gt;="&amp;$A197,Despesas!$C:$C,D$1,Despesas!$M:$M,$B197)</f>
        <v>23000</v>
      </c>
      <c r="E197" s="18">
        <f>SUMIFS(Despesas!$F:$F,Despesas!$J:$J,"&lt;="&amp;$A197,Despesas!$L:$L,"&gt;="&amp;$A197,Despesas!$C:$C,E$1,Despesas!$M:$M,"Mensal")+SUMIFS(Despesas!$F:$F,Despesas!$J:$J,"&lt;="&amp;$A197,Despesas!$L:$L,"&gt;="&amp;$A197,Despesas!$C:$C,E$1,Despesas!$M:$M,$B197)</f>
        <v>6000</v>
      </c>
      <c r="F197" s="5">
        <f>SUMIFS(Despesas!$F:$F,Despesas!$J:$J,"&lt;="&amp;$A197,Despesas!$L:$L,"&gt;="&amp;$A197,Despesas!$C:$C,F$1,Despesas!$M:$M,"Mensal")+SUMIFS(Despesas!$F:$F,Despesas!$J:$J,"&lt;="&amp;$A197,Despesas!$L:$L,"&gt;="&amp;$A197,Despesas!$C:$C,F$1,Despesas!$M:$M,$B197)</f>
        <v>13000</v>
      </c>
      <c r="G197" s="5">
        <f>SUMIFS(Despesas!$F:$F,Despesas!$J:$J,"&lt;="&amp;$A197,Despesas!$L:$L,"&gt;="&amp;$A197,Despesas!$C:$C,G$1,Despesas!$M:$M,"Mensal")+SUMIFS(Despesas!$F:$F,Despesas!$J:$J,"&lt;="&amp;$A197,Despesas!$L:$L,"&gt;="&amp;$A197,Despesas!$C:$C,G$1,Despesas!$M:$M,$B197)</f>
        <v>0</v>
      </c>
      <c r="H197" s="18">
        <f>SUMIFS(Despesas!$F:$F,Despesas!$J:$J,"&lt;="&amp;$A197,Despesas!$L:$L,"&gt;="&amp;$A197,Despesas!$C:$C,H$1,Despesas!$M:$M,"Mensal")+SUMIFS(Despesas!$F:$F,Despesas!$J:$J,"&lt;="&amp;$A197,Despesas!$L:$L,"&gt;="&amp;$A197,Despesas!$C:$C,H$1,Despesas!$M:$M,$B197)</f>
        <v>1000</v>
      </c>
      <c r="I197" s="18">
        <f>IF(Imóveis!$F$2="PRICE",IF(AND(Dados!$A197&gt;=Imóveis!$Q$2,Dados!$A197&lt;=Imóveis!$T$2),Imóveis!$U$2,0),IF((IF(AND(Dados!$A197&gt;=Imóveis!$Q$2,Dados!$A197&lt;=Imóveis!$T$2),Imóveis!$S$2-(DATEDIF(Imóveis!$Q$2,Dados!$A197,"m")),0))=0,0,((Imóveis!$N$2/Imóveis!$S$2)+((Imóveis!$N$2-((Imóveis!$S$2-(IF(AND(Dados!$A197&gt;=Imóveis!$Q$2,Dados!$A197&lt;=Imóveis!$T$2),Imóveis!$S$2-(DATEDIF(Imóveis!$Q$2,Dados!$A197,"m")),)))*(Imóveis!$N$2/Imóveis!$S$2)))*Imóveis!$P$2))))*IF(AND(Imóveis!$E$2&gt;0,Dados!$A197&gt;Imóveis!$E$2),0,1)</f>
        <v>0</v>
      </c>
      <c r="J197" s="18">
        <f>IF(Imóveis!$F$3="PRICE",IF(AND(Dados!$A197&gt;=Imóveis!$Q$3,Dados!$A197&lt;=Imóveis!$T$3),Imóveis!$U$3,0),IF((IF(AND(Dados!$A197&gt;=Imóveis!$Q$3,Dados!$A197&lt;=Imóveis!$T$3),Imóveis!$S$3-(DATEDIF(Imóveis!$Q$3,Dados!$A197,"m")),0))=0,0,((Imóveis!$N$3/Imóveis!$S$3)+((Imóveis!$N$3-((Imóveis!$S$3-(IF(AND(Dados!$A197&gt;=Imóveis!$Q$3,Dados!$A197&lt;=Imóveis!$T$3),Imóveis!$S$3-(DATEDIF(Imóveis!$Q$3,Dados!$A197,"m")),)))*(Imóveis!$N$3/Imóveis!$S$3)))*Imóveis!$P$3))))*IF(AND(Imóveis!$E$3&gt;0,Dados!$A197&gt;Imóveis!$E$3),0,1)</f>
        <v>0</v>
      </c>
      <c r="K197" s="18">
        <f>IF(Imóveis!$F$4="PRICE",IF(AND(Dados!$A197&gt;=Imóveis!$Q$4,Dados!$A197&lt;=Imóveis!$T$4),Imóveis!$U$4,0),IF((IF(AND(Dados!$A197&gt;=Imóveis!$Q$4,Dados!$A197&lt;=Imóveis!$T$4),Imóveis!$S$4-(DATEDIF(Imóveis!$Q$4,Dados!$A197,"m")),0))=0,0,((Imóveis!$N$4/Imóveis!$S$4)+((Imóveis!$N$4-((Imóveis!$S$4-(IF(AND(Dados!$A197&gt;=Imóveis!$Q$4,Dados!$A197&lt;=Imóveis!$T$4),Imóveis!$S$4-(DATEDIF(Imóveis!$Q$4,Dados!$A197,"m")),)))*(Imóveis!$N$4/Imóveis!$S$4)))*Imóveis!$P$4))))*IF(AND(Imóveis!$E$4&gt;0,Dados!$A197&gt;Imóveis!$E$4),0,1)</f>
        <v>0</v>
      </c>
      <c r="L197" s="18">
        <f>IF(Imóveis!$F$5="PRICE",IF(AND(Dados!$A197&gt;=Imóveis!$Q$5,Dados!$A197&lt;=Imóveis!$T$5),Imóveis!$U$5,0),IF((IF(AND(Dados!$A197&gt;=Imóveis!$Q$5,Dados!$A197&lt;=Imóveis!$T$5),Imóveis!$S$5-(DATEDIF(Imóveis!$Q$5,Dados!$A197,"m")),0))=0,0,((Imóveis!$N$5/Imóveis!$S$5)+((Imóveis!$N$5-((Imóveis!$S$5-(IF(AND(Dados!$A197 &gt;=Imóveis!$Q$5,Dados!$A197&lt;=Imóveis!$T$5),Imóveis!$S$5-(DATEDIF(Imóveis!$Q$5,Dados!$A197,"m")),)))*(Imóveis!$N$5/Imóveis!$S$5)))*Imóveis!$P$5))))*IF(AND(Imóveis!$E$5&gt;0,Dados!$A197&gt;Imóveis!$E$5),0,1)*Imóveis!$I$5</f>
        <v>0</v>
      </c>
      <c r="M197" s="18">
        <f>IF(Imóveis!$F$6="PRICE",IF(AND(Dados!$A197&gt;=Imóveis!$Q$6,Dados!$A197&lt;=Imóveis!$T$6),Imóveis!$U$6,0),IF((IF(AND(Dados!$A197&gt;=Imóveis!$Q$6,Dados!$A197&lt;=Imóveis!$T$6),Imóveis!$S$6-(DATEDIF(Imóveis!$Q$6,Dados!$A197,"m")),0))=0,0,((Imóveis!$N$6/Imóveis!$S$6)+((Imóveis!$N$6-((Imóveis!$S$6-(IF(AND(Dados!$A197&gt;=Imóveis!$Q$6,Dados!$A197&lt;=Imóveis!$T$6),Imóveis!$S$6-(DATEDIF(Imóveis!$Q$6,Dados!$A197,"m")),)))*(Imóveis!$N$6/Imóveis!$S$6)))*Imóveis!$P$6))))*IF(AND(Imóveis!$E$6&gt;0,Dados!$A197&gt;Imóveis!$E$6),0,1)*Imóveis!$I$6</f>
        <v>0</v>
      </c>
      <c r="N197" s="18">
        <f t="shared" si="29"/>
        <v>43000</v>
      </c>
      <c r="O197" s="18">
        <f>SUMIFS(Receitas!$F:$F,Receitas!$J:$J,"&lt;="&amp;$A197,Receitas!$L:$L,"&gt;="&amp;$A197,Receitas!$C:$C,O$1,Receitas!$M:$M,"Mensal")+SUMIFS(Receitas!$F:$F,Receitas!$J:$J,"&lt;="&amp;$A197,Receitas!$L:$L,"&gt;="&amp;$A197,Receitas!$C:$C,O$1,Receitas!$M:$M,$B197)</f>
        <v>50000</v>
      </c>
      <c r="P197" s="18">
        <f>SUMIFS(Receitas!$F:$F,Receitas!$J:$J,"&lt;="&amp;$A197,Receitas!$L:$L,"&gt;="&amp;$A197,Receitas!$C:$C,P$1,Receitas!$M:$M,"Mensal")+SUMIFS(Receitas!$F:$F,Receitas!$J:$J,"&lt;="&amp;$A197,Receitas!$L:$L,"&gt;="&amp;$A197,Receitas!$C:$C,P$1,Receitas!$M:$M,$B197)</f>
        <v>85000</v>
      </c>
      <c r="Q197" s="18">
        <f>SUMIFS(Receitas!$F:$F,Receitas!$J:$J,"&lt;="&amp;$A197,Receitas!$L:$L,"&gt;="&amp;$A197,Receitas!$C:$C,Q$1,Receitas!$M:$M,"Mensal")+SUMIFS(Receitas!$F:$F,Receitas!$J:$J,"&lt;="&amp;$A197,Receitas!$L:$L,"&gt;="&amp;$A197,Receitas!$C:$C,Q$1,Receitas!$M:$M,$B197)</f>
        <v>0</v>
      </c>
      <c r="R197" s="18" cm="1">
        <f t="array" ref="R197">(IF(AND(Membros!$F$2="Sim",A197&lt;=MAX(Membros!$E$2:$E$5)),Membros!K$2,IF(AND(A197&gt;=Membros!J$2,A197&lt;=MAX(Membros!$E$2:$E$5)),Membros!K$2,0))+IF(AND(Membros!$F$3="Sim",A197&lt;=MAX(Membros!$E$2:$E$5)),Membros!K$3,IF(AND(A197&gt;=Membros!J$3,A197&lt;=MAX(Membros!$E$2:$E$5)),Membros!K$3,0)))*IF(AND(COUNTIFS(Tabela3[Tipo],"Provedor",Tabela3[Simulação Seguro],"Sim")=2,A197&gt;=MAX(IF(Tabela3[Tipo]="Dependente",Tabela3[Expectativa de Vida (Data)]))),0,1)</f>
        <v>0</v>
      </c>
      <c r="S197" s="18">
        <f t="shared" si="30"/>
        <v>135000</v>
      </c>
      <c r="U197" s="18">
        <f t="shared" ca="1" si="33"/>
        <v>10593273.831868248</v>
      </c>
      <c r="V197" s="18">
        <f>SUMIF(Imóveis!E:E,Dados!A:A,Imóveis!Z:Z)-SUMIF(Imóveis!E:E,Dados!A:A,Imóveis!Y:Y)</f>
        <v>0</v>
      </c>
      <c r="W197" s="18">
        <f>-SUMIF(Projetos!N:N,A197,Projetos!F:F)</f>
        <v>0</v>
      </c>
      <c r="X197" s="18">
        <f t="shared" si="27"/>
        <v>92000</v>
      </c>
      <c r="Y197" s="26">
        <f ca="1">(U197*((Indicadores_Economicos!D$2+1)^(1/12)-1))</f>
        <v>34679.621967113817</v>
      </c>
      <c r="Z197" s="18">
        <f t="shared" ca="1" si="31"/>
        <v>10719953.453835363</v>
      </c>
      <c r="AA197" s="18">
        <f ca="1">Auxiliar_Projetos!E197</f>
        <v>97738.098467901873</v>
      </c>
      <c r="AB197" s="18">
        <f ca="1">Auxiliar_Projetos!K197</f>
        <v>544958.31562747702</v>
      </c>
      <c r="AC197" s="18">
        <f ca="1">IF(Z197-AA197-AB197&gt;Investimentos!$C$14,Investimentos!$C$14,IF(Z197-AA197-AB197&lt;Investimentos!$C$14,Z197-AA197-AB197,0))</f>
        <v>300000</v>
      </c>
      <c r="AD197" s="18">
        <f t="shared" ca="1" si="32"/>
        <v>9777257.039739985</v>
      </c>
      <c r="AE197" s="18"/>
    </row>
    <row r="198" spans="1:31" x14ac:dyDescent="0.2">
      <c r="A198" s="4">
        <v>51622</v>
      </c>
      <c r="B198" s="5" t="str">
        <f t="shared" si="28"/>
        <v>maio</v>
      </c>
      <c r="C198" s="5" t="str">
        <f t="shared" si="26"/>
        <v>2041</v>
      </c>
      <c r="D198" s="5">
        <f>SUMIFS(Despesas!$F:$F,Despesas!$J:$J,"&lt;="&amp;$A198,Despesas!$L:$L,"&gt;="&amp;$A198,Despesas!$C:$C,D$1,Despesas!$M:$M,"Mensal")+SUMIFS(Despesas!$F:$F,Despesas!$J:$J,"&lt;="&amp;$A198,Despesas!$L:$L,"&gt;="&amp;$A198,Despesas!$C:$C,D$1,Despesas!$M:$M,$B198)</f>
        <v>23000</v>
      </c>
      <c r="E198" s="18">
        <f>SUMIFS(Despesas!$F:$F,Despesas!$J:$J,"&lt;="&amp;$A198,Despesas!$L:$L,"&gt;="&amp;$A198,Despesas!$C:$C,E$1,Despesas!$M:$M,"Mensal")+SUMIFS(Despesas!$F:$F,Despesas!$J:$J,"&lt;="&amp;$A198,Despesas!$L:$L,"&gt;="&amp;$A198,Despesas!$C:$C,E$1,Despesas!$M:$M,$B198)</f>
        <v>6000</v>
      </c>
      <c r="F198" s="5">
        <f>SUMIFS(Despesas!$F:$F,Despesas!$J:$J,"&lt;="&amp;$A198,Despesas!$L:$L,"&gt;="&amp;$A198,Despesas!$C:$C,F$1,Despesas!$M:$M,"Mensal")+SUMIFS(Despesas!$F:$F,Despesas!$J:$J,"&lt;="&amp;$A198,Despesas!$L:$L,"&gt;="&amp;$A198,Despesas!$C:$C,F$1,Despesas!$M:$M,$B198)</f>
        <v>13000</v>
      </c>
      <c r="G198" s="5">
        <f>SUMIFS(Despesas!$F:$F,Despesas!$J:$J,"&lt;="&amp;$A198,Despesas!$L:$L,"&gt;="&amp;$A198,Despesas!$C:$C,G$1,Despesas!$M:$M,"Mensal")+SUMIFS(Despesas!$F:$F,Despesas!$J:$J,"&lt;="&amp;$A198,Despesas!$L:$L,"&gt;="&amp;$A198,Despesas!$C:$C,G$1,Despesas!$M:$M,$B198)</f>
        <v>0</v>
      </c>
      <c r="H198" s="18">
        <f>SUMIFS(Despesas!$F:$F,Despesas!$J:$J,"&lt;="&amp;$A198,Despesas!$L:$L,"&gt;="&amp;$A198,Despesas!$C:$C,H$1,Despesas!$M:$M,"Mensal")+SUMIFS(Despesas!$F:$F,Despesas!$J:$J,"&lt;="&amp;$A198,Despesas!$L:$L,"&gt;="&amp;$A198,Despesas!$C:$C,H$1,Despesas!$M:$M,$B198)</f>
        <v>1000</v>
      </c>
      <c r="I198" s="18">
        <f>IF(Imóveis!$F$2="PRICE",IF(AND(Dados!$A198&gt;=Imóveis!$Q$2,Dados!$A198&lt;=Imóveis!$T$2),Imóveis!$U$2,0),IF((IF(AND(Dados!$A198&gt;=Imóveis!$Q$2,Dados!$A198&lt;=Imóveis!$T$2),Imóveis!$S$2-(DATEDIF(Imóveis!$Q$2,Dados!$A198,"m")),0))=0,0,((Imóveis!$N$2/Imóveis!$S$2)+((Imóveis!$N$2-((Imóveis!$S$2-(IF(AND(Dados!$A198&gt;=Imóveis!$Q$2,Dados!$A198&lt;=Imóveis!$T$2),Imóveis!$S$2-(DATEDIF(Imóveis!$Q$2,Dados!$A198,"m")),)))*(Imóveis!$N$2/Imóveis!$S$2)))*Imóveis!$P$2))))*IF(AND(Imóveis!$E$2&gt;0,Dados!$A198&gt;Imóveis!$E$2),0,1)</f>
        <v>0</v>
      </c>
      <c r="J198" s="18">
        <f>IF(Imóveis!$F$3="PRICE",IF(AND(Dados!$A198&gt;=Imóveis!$Q$3,Dados!$A198&lt;=Imóveis!$T$3),Imóveis!$U$3,0),IF((IF(AND(Dados!$A198&gt;=Imóveis!$Q$3,Dados!$A198&lt;=Imóveis!$T$3),Imóveis!$S$3-(DATEDIF(Imóveis!$Q$3,Dados!$A198,"m")),0))=0,0,((Imóveis!$N$3/Imóveis!$S$3)+((Imóveis!$N$3-((Imóveis!$S$3-(IF(AND(Dados!$A198&gt;=Imóveis!$Q$3,Dados!$A198&lt;=Imóveis!$T$3),Imóveis!$S$3-(DATEDIF(Imóveis!$Q$3,Dados!$A198,"m")),)))*(Imóveis!$N$3/Imóveis!$S$3)))*Imóveis!$P$3))))*IF(AND(Imóveis!$E$3&gt;0,Dados!$A198&gt;Imóveis!$E$3),0,1)</f>
        <v>0</v>
      </c>
      <c r="K198" s="18">
        <f>IF(Imóveis!$F$4="PRICE",IF(AND(Dados!$A198&gt;=Imóveis!$Q$4,Dados!$A198&lt;=Imóveis!$T$4),Imóveis!$U$4,0),IF((IF(AND(Dados!$A198&gt;=Imóveis!$Q$4,Dados!$A198&lt;=Imóveis!$T$4),Imóveis!$S$4-(DATEDIF(Imóveis!$Q$4,Dados!$A198,"m")),0))=0,0,((Imóveis!$N$4/Imóveis!$S$4)+((Imóveis!$N$4-((Imóveis!$S$4-(IF(AND(Dados!$A198&gt;=Imóveis!$Q$4,Dados!$A198&lt;=Imóveis!$T$4),Imóveis!$S$4-(DATEDIF(Imóveis!$Q$4,Dados!$A198,"m")),)))*(Imóveis!$N$4/Imóveis!$S$4)))*Imóveis!$P$4))))*IF(AND(Imóveis!$E$4&gt;0,Dados!$A198&gt;Imóveis!$E$4),0,1)</f>
        <v>0</v>
      </c>
      <c r="L198" s="18">
        <f>IF(Imóveis!$F$5="PRICE",IF(AND(Dados!$A198&gt;=Imóveis!$Q$5,Dados!$A198&lt;=Imóveis!$T$5),Imóveis!$U$5,0),IF((IF(AND(Dados!$A198&gt;=Imóveis!$Q$5,Dados!$A198&lt;=Imóveis!$T$5),Imóveis!$S$5-(DATEDIF(Imóveis!$Q$5,Dados!$A198,"m")),0))=0,0,((Imóveis!$N$5/Imóveis!$S$5)+((Imóveis!$N$5-((Imóveis!$S$5-(IF(AND(Dados!$A198 &gt;=Imóveis!$Q$5,Dados!$A198&lt;=Imóveis!$T$5),Imóveis!$S$5-(DATEDIF(Imóveis!$Q$5,Dados!$A198,"m")),)))*(Imóveis!$N$5/Imóveis!$S$5)))*Imóveis!$P$5))))*IF(AND(Imóveis!$E$5&gt;0,Dados!$A198&gt;Imóveis!$E$5),0,1)*Imóveis!$I$5</f>
        <v>0</v>
      </c>
      <c r="M198" s="18">
        <f>IF(Imóveis!$F$6="PRICE",IF(AND(Dados!$A198&gt;=Imóveis!$Q$6,Dados!$A198&lt;=Imóveis!$T$6),Imóveis!$U$6,0),IF((IF(AND(Dados!$A198&gt;=Imóveis!$Q$6,Dados!$A198&lt;=Imóveis!$T$6),Imóveis!$S$6-(DATEDIF(Imóveis!$Q$6,Dados!$A198,"m")),0))=0,0,((Imóveis!$N$6/Imóveis!$S$6)+((Imóveis!$N$6-((Imóveis!$S$6-(IF(AND(Dados!$A198&gt;=Imóveis!$Q$6,Dados!$A198&lt;=Imóveis!$T$6),Imóveis!$S$6-(DATEDIF(Imóveis!$Q$6,Dados!$A198,"m")),)))*(Imóveis!$N$6/Imóveis!$S$6)))*Imóveis!$P$6))))*IF(AND(Imóveis!$E$6&gt;0,Dados!$A198&gt;Imóveis!$E$6),0,1)*Imóveis!$I$6</f>
        <v>0</v>
      </c>
      <c r="N198" s="18">
        <f t="shared" si="29"/>
        <v>43000</v>
      </c>
      <c r="O198" s="18">
        <f>SUMIFS(Receitas!$F:$F,Receitas!$J:$J,"&lt;="&amp;$A198,Receitas!$L:$L,"&gt;="&amp;$A198,Receitas!$C:$C,O$1,Receitas!$M:$M,"Mensal")+SUMIFS(Receitas!$F:$F,Receitas!$J:$J,"&lt;="&amp;$A198,Receitas!$L:$L,"&gt;="&amp;$A198,Receitas!$C:$C,O$1,Receitas!$M:$M,$B198)</f>
        <v>50000</v>
      </c>
      <c r="P198" s="18">
        <f>SUMIFS(Receitas!$F:$F,Receitas!$J:$J,"&lt;="&amp;$A198,Receitas!$L:$L,"&gt;="&amp;$A198,Receitas!$C:$C,P$1,Receitas!$M:$M,"Mensal")+SUMIFS(Receitas!$F:$F,Receitas!$J:$J,"&lt;="&amp;$A198,Receitas!$L:$L,"&gt;="&amp;$A198,Receitas!$C:$C,P$1,Receitas!$M:$M,$B198)</f>
        <v>20000</v>
      </c>
      <c r="Q198" s="18">
        <f>SUMIFS(Receitas!$F:$F,Receitas!$J:$J,"&lt;="&amp;$A198,Receitas!$L:$L,"&gt;="&amp;$A198,Receitas!$C:$C,Q$1,Receitas!$M:$M,"Mensal")+SUMIFS(Receitas!$F:$F,Receitas!$J:$J,"&lt;="&amp;$A198,Receitas!$L:$L,"&gt;="&amp;$A198,Receitas!$C:$C,Q$1,Receitas!$M:$M,$B198)</f>
        <v>0</v>
      </c>
      <c r="R198" s="18" cm="1">
        <f t="array" ref="R198">(IF(AND(Membros!$F$2="Sim",A198&lt;=MAX(Membros!$E$2:$E$5)),Membros!K$2,IF(AND(A198&gt;=Membros!J$2,A198&lt;=MAX(Membros!$E$2:$E$5)),Membros!K$2,0))+IF(AND(Membros!$F$3="Sim",A198&lt;=MAX(Membros!$E$2:$E$5)),Membros!K$3,IF(AND(A198&gt;=Membros!J$3,A198&lt;=MAX(Membros!$E$2:$E$5)),Membros!K$3,0)))*IF(AND(COUNTIFS(Tabela3[Tipo],"Provedor",Tabela3[Simulação Seguro],"Sim")=2,A198&gt;=MAX(IF(Tabela3[Tipo]="Dependente",Tabela3[Expectativa de Vida (Data)]))),0,1)</f>
        <v>0</v>
      </c>
      <c r="S198" s="18">
        <f t="shared" si="30"/>
        <v>70000</v>
      </c>
      <c r="U198" s="18">
        <f t="shared" ca="1" si="33"/>
        <v>10719953.453835363</v>
      </c>
      <c r="V198" s="18">
        <f>SUMIF(Imóveis!E:E,Dados!A:A,Imóveis!Z:Z)-SUMIF(Imóveis!E:E,Dados!A:A,Imóveis!Y:Y)</f>
        <v>0</v>
      </c>
      <c r="W198" s="18">
        <f>-SUMIF(Projetos!N:N,A198,Projetos!F:F)</f>
        <v>0</v>
      </c>
      <c r="X198" s="18">
        <f t="shared" si="27"/>
        <v>27000</v>
      </c>
      <c r="Y198" s="26">
        <f ca="1">(U198*((Indicadores_Economicos!D$2+1)^(1/12)-1))</f>
        <v>35094.338085141484</v>
      </c>
      <c r="Z198" s="18">
        <f t="shared" ca="1" si="31"/>
        <v>10782047.791920504</v>
      </c>
      <c r="AA198" s="18">
        <f ca="1">Auxiliar_Projetos!E198</f>
        <v>98058.067569092716</v>
      </c>
      <c r="AB198" s="18">
        <f ca="1">Auxiliar_Projetos!K198</f>
        <v>546742.36734498676</v>
      </c>
      <c r="AC198" s="18">
        <f ca="1">IF(Z198-AA198-AB198&gt;Investimentos!$C$14,Investimentos!$C$14,IF(Z198-AA198-AB198&lt;Investimentos!$C$14,Z198-AA198-AB198,0))</f>
        <v>300000</v>
      </c>
      <c r="AD198" s="18">
        <f t="shared" ca="1" si="32"/>
        <v>9837247.357006425</v>
      </c>
      <c r="AE198" s="18"/>
    </row>
    <row r="199" spans="1:31" x14ac:dyDescent="0.2">
      <c r="A199" s="4">
        <v>51653</v>
      </c>
      <c r="B199" s="5" t="str">
        <f t="shared" si="28"/>
        <v>junho</v>
      </c>
      <c r="C199" s="5" t="str">
        <f t="shared" si="26"/>
        <v>2041</v>
      </c>
      <c r="D199" s="5">
        <f>SUMIFS(Despesas!$F:$F,Despesas!$J:$J,"&lt;="&amp;$A199,Despesas!$L:$L,"&gt;="&amp;$A199,Despesas!$C:$C,D$1,Despesas!$M:$M,"Mensal")+SUMIFS(Despesas!$F:$F,Despesas!$J:$J,"&lt;="&amp;$A199,Despesas!$L:$L,"&gt;="&amp;$A199,Despesas!$C:$C,D$1,Despesas!$M:$M,$B199)</f>
        <v>23000</v>
      </c>
      <c r="E199" s="18">
        <f>SUMIFS(Despesas!$F:$F,Despesas!$J:$J,"&lt;="&amp;$A199,Despesas!$L:$L,"&gt;="&amp;$A199,Despesas!$C:$C,E$1,Despesas!$M:$M,"Mensal")+SUMIFS(Despesas!$F:$F,Despesas!$J:$J,"&lt;="&amp;$A199,Despesas!$L:$L,"&gt;="&amp;$A199,Despesas!$C:$C,E$1,Despesas!$M:$M,$B199)</f>
        <v>6000</v>
      </c>
      <c r="F199" s="5">
        <f>SUMIFS(Despesas!$F:$F,Despesas!$J:$J,"&lt;="&amp;$A199,Despesas!$L:$L,"&gt;="&amp;$A199,Despesas!$C:$C,F$1,Despesas!$M:$M,"Mensal")+SUMIFS(Despesas!$F:$F,Despesas!$J:$J,"&lt;="&amp;$A199,Despesas!$L:$L,"&gt;="&amp;$A199,Despesas!$C:$C,F$1,Despesas!$M:$M,$B199)</f>
        <v>13000</v>
      </c>
      <c r="G199" s="5">
        <f>SUMIFS(Despesas!$F:$F,Despesas!$J:$J,"&lt;="&amp;$A199,Despesas!$L:$L,"&gt;="&amp;$A199,Despesas!$C:$C,G$1,Despesas!$M:$M,"Mensal")+SUMIFS(Despesas!$F:$F,Despesas!$J:$J,"&lt;="&amp;$A199,Despesas!$L:$L,"&gt;="&amp;$A199,Despesas!$C:$C,G$1,Despesas!$M:$M,$B199)</f>
        <v>0</v>
      </c>
      <c r="H199" s="18">
        <f>SUMIFS(Despesas!$F:$F,Despesas!$J:$J,"&lt;="&amp;$A199,Despesas!$L:$L,"&gt;="&amp;$A199,Despesas!$C:$C,H$1,Despesas!$M:$M,"Mensal")+SUMIFS(Despesas!$F:$F,Despesas!$J:$J,"&lt;="&amp;$A199,Despesas!$L:$L,"&gt;="&amp;$A199,Despesas!$C:$C,H$1,Despesas!$M:$M,$B199)</f>
        <v>1000</v>
      </c>
      <c r="I199" s="18">
        <f>IF(Imóveis!$F$2="PRICE",IF(AND(Dados!$A199&gt;=Imóveis!$Q$2,Dados!$A199&lt;=Imóveis!$T$2),Imóveis!$U$2,0),IF((IF(AND(Dados!$A199&gt;=Imóveis!$Q$2,Dados!$A199&lt;=Imóveis!$T$2),Imóveis!$S$2-(DATEDIF(Imóveis!$Q$2,Dados!$A199,"m")),0))=0,0,((Imóveis!$N$2/Imóveis!$S$2)+((Imóveis!$N$2-((Imóveis!$S$2-(IF(AND(Dados!$A199&gt;=Imóveis!$Q$2,Dados!$A199&lt;=Imóveis!$T$2),Imóveis!$S$2-(DATEDIF(Imóveis!$Q$2,Dados!$A199,"m")),)))*(Imóveis!$N$2/Imóveis!$S$2)))*Imóveis!$P$2))))*IF(AND(Imóveis!$E$2&gt;0,Dados!$A199&gt;Imóveis!$E$2),0,1)</f>
        <v>0</v>
      </c>
      <c r="J199" s="18">
        <f>IF(Imóveis!$F$3="PRICE",IF(AND(Dados!$A199&gt;=Imóveis!$Q$3,Dados!$A199&lt;=Imóveis!$T$3),Imóveis!$U$3,0),IF((IF(AND(Dados!$A199&gt;=Imóveis!$Q$3,Dados!$A199&lt;=Imóveis!$T$3),Imóveis!$S$3-(DATEDIF(Imóveis!$Q$3,Dados!$A199,"m")),0))=0,0,((Imóveis!$N$3/Imóveis!$S$3)+((Imóveis!$N$3-((Imóveis!$S$3-(IF(AND(Dados!$A199&gt;=Imóveis!$Q$3,Dados!$A199&lt;=Imóveis!$T$3),Imóveis!$S$3-(DATEDIF(Imóveis!$Q$3,Dados!$A199,"m")),)))*(Imóveis!$N$3/Imóveis!$S$3)))*Imóveis!$P$3))))*IF(AND(Imóveis!$E$3&gt;0,Dados!$A199&gt;Imóveis!$E$3),0,1)</f>
        <v>0</v>
      </c>
      <c r="K199" s="18">
        <f>IF(Imóveis!$F$4="PRICE",IF(AND(Dados!$A199&gt;=Imóveis!$Q$4,Dados!$A199&lt;=Imóveis!$T$4),Imóveis!$U$4,0),IF((IF(AND(Dados!$A199&gt;=Imóveis!$Q$4,Dados!$A199&lt;=Imóveis!$T$4),Imóveis!$S$4-(DATEDIF(Imóveis!$Q$4,Dados!$A199,"m")),0))=0,0,((Imóveis!$N$4/Imóveis!$S$4)+((Imóveis!$N$4-((Imóveis!$S$4-(IF(AND(Dados!$A199&gt;=Imóveis!$Q$4,Dados!$A199&lt;=Imóveis!$T$4),Imóveis!$S$4-(DATEDIF(Imóveis!$Q$4,Dados!$A199,"m")),)))*(Imóveis!$N$4/Imóveis!$S$4)))*Imóveis!$P$4))))*IF(AND(Imóveis!$E$4&gt;0,Dados!$A199&gt;Imóveis!$E$4),0,1)</f>
        <v>0</v>
      </c>
      <c r="L199" s="18">
        <f>IF(Imóveis!$F$5="PRICE",IF(AND(Dados!$A199&gt;=Imóveis!$Q$5,Dados!$A199&lt;=Imóveis!$T$5),Imóveis!$U$5,0),IF((IF(AND(Dados!$A199&gt;=Imóveis!$Q$5,Dados!$A199&lt;=Imóveis!$T$5),Imóveis!$S$5-(DATEDIF(Imóveis!$Q$5,Dados!$A199,"m")),0))=0,0,((Imóveis!$N$5/Imóveis!$S$5)+((Imóveis!$N$5-((Imóveis!$S$5-(IF(AND(Dados!$A199 &gt;=Imóveis!$Q$5,Dados!$A199&lt;=Imóveis!$T$5),Imóveis!$S$5-(DATEDIF(Imóveis!$Q$5,Dados!$A199,"m")),)))*(Imóveis!$N$5/Imóveis!$S$5)))*Imóveis!$P$5))))*IF(AND(Imóveis!$E$5&gt;0,Dados!$A199&gt;Imóveis!$E$5),0,1)*Imóveis!$I$5</f>
        <v>0</v>
      </c>
      <c r="M199" s="18">
        <f>IF(Imóveis!$F$6="PRICE",IF(AND(Dados!$A199&gt;=Imóveis!$Q$6,Dados!$A199&lt;=Imóveis!$T$6),Imóveis!$U$6,0),IF((IF(AND(Dados!$A199&gt;=Imóveis!$Q$6,Dados!$A199&lt;=Imóveis!$T$6),Imóveis!$S$6-(DATEDIF(Imóveis!$Q$6,Dados!$A199,"m")),0))=0,0,((Imóveis!$N$6/Imóveis!$S$6)+((Imóveis!$N$6-((Imóveis!$S$6-(IF(AND(Dados!$A199&gt;=Imóveis!$Q$6,Dados!$A199&lt;=Imóveis!$T$6),Imóveis!$S$6-(DATEDIF(Imóveis!$Q$6,Dados!$A199,"m")),)))*(Imóveis!$N$6/Imóveis!$S$6)))*Imóveis!$P$6))))*IF(AND(Imóveis!$E$6&gt;0,Dados!$A199&gt;Imóveis!$E$6),0,1)*Imóveis!$I$6</f>
        <v>0</v>
      </c>
      <c r="N199" s="18">
        <f t="shared" si="29"/>
        <v>43000</v>
      </c>
      <c r="O199" s="18">
        <f>SUMIFS(Receitas!$F:$F,Receitas!$J:$J,"&lt;="&amp;$A199,Receitas!$L:$L,"&gt;="&amp;$A199,Receitas!$C:$C,O$1,Receitas!$M:$M,"Mensal")+SUMIFS(Receitas!$F:$F,Receitas!$J:$J,"&lt;="&amp;$A199,Receitas!$L:$L,"&gt;="&amp;$A199,Receitas!$C:$C,O$1,Receitas!$M:$M,$B199)</f>
        <v>50000</v>
      </c>
      <c r="P199" s="18">
        <f>SUMIFS(Receitas!$F:$F,Receitas!$J:$J,"&lt;="&amp;$A199,Receitas!$L:$L,"&gt;="&amp;$A199,Receitas!$C:$C,P$1,Receitas!$M:$M,"Mensal")+SUMIFS(Receitas!$F:$F,Receitas!$J:$J,"&lt;="&amp;$A199,Receitas!$L:$L,"&gt;="&amp;$A199,Receitas!$C:$C,P$1,Receitas!$M:$M,$B199)</f>
        <v>20000</v>
      </c>
      <c r="Q199" s="18">
        <f>SUMIFS(Receitas!$F:$F,Receitas!$J:$J,"&lt;="&amp;$A199,Receitas!$L:$L,"&gt;="&amp;$A199,Receitas!$C:$C,Q$1,Receitas!$M:$M,"Mensal")+SUMIFS(Receitas!$F:$F,Receitas!$J:$J,"&lt;="&amp;$A199,Receitas!$L:$L,"&gt;="&amp;$A199,Receitas!$C:$C,Q$1,Receitas!$M:$M,$B199)</f>
        <v>0</v>
      </c>
      <c r="R199" s="18" cm="1">
        <f t="array" ref="R199">(IF(AND(Membros!$F$2="Sim",A199&lt;=MAX(Membros!$E$2:$E$5)),Membros!K$2,IF(AND(A199&gt;=Membros!J$2,A199&lt;=MAX(Membros!$E$2:$E$5)),Membros!K$2,0))+IF(AND(Membros!$F$3="Sim",A199&lt;=MAX(Membros!$E$2:$E$5)),Membros!K$3,IF(AND(A199&gt;=Membros!J$3,A199&lt;=MAX(Membros!$E$2:$E$5)),Membros!K$3,0)))*IF(AND(COUNTIFS(Tabela3[Tipo],"Provedor",Tabela3[Simulação Seguro],"Sim")=2,A199&gt;=MAX(IF(Tabela3[Tipo]="Dependente",Tabela3[Expectativa de Vida (Data)]))),0,1)</f>
        <v>0</v>
      </c>
      <c r="S199" s="18">
        <f t="shared" si="30"/>
        <v>70000</v>
      </c>
      <c r="U199" s="18">
        <f t="shared" ca="1" si="33"/>
        <v>10782047.791920504</v>
      </c>
      <c r="V199" s="18">
        <f>SUMIF(Imóveis!E:E,Dados!A:A,Imóveis!Z:Z)-SUMIF(Imóveis!E:E,Dados!A:A,Imóveis!Y:Y)</f>
        <v>0</v>
      </c>
      <c r="W199" s="18">
        <f>-SUMIF(Projetos!N:N,A199,Projetos!F:F)</f>
        <v>0</v>
      </c>
      <c r="X199" s="18">
        <f t="shared" si="27"/>
        <v>27000</v>
      </c>
      <c r="Y199" s="26">
        <f ca="1">(U199*((Indicadores_Economicos!D$2+1)^(1/12)-1))</f>
        <v>35297.618789980115</v>
      </c>
      <c r="Z199" s="18">
        <f t="shared" ca="1" si="31"/>
        <v>10844345.410710484</v>
      </c>
      <c r="AA199" s="18">
        <f ca="1">Auxiliar_Projetos!E199</f>
        <v>98379.084165859211</v>
      </c>
      <c r="AB199" s="18">
        <f ca="1">Auxiliar_Projetos!K199</f>
        <v>548532.25958357763</v>
      </c>
      <c r="AC199" s="18">
        <f ca="1">IF(Z199-AA199-AB199&gt;Investimentos!$C$14,Investimentos!$C$14,IF(Z199-AA199-AB199&lt;Investimentos!$C$14,Z199-AA199-AB199,0))</f>
        <v>300000</v>
      </c>
      <c r="AD199" s="18">
        <f t="shared" ca="1" si="32"/>
        <v>9897434.0669610463</v>
      </c>
      <c r="AE199" s="18"/>
    </row>
    <row r="200" spans="1:31" x14ac:dyDescent="0.2">
      <c r="A200" s="4">
        <v>51683</v>
      </c>
      <c r="B200" s="5" t="str">
        <f t="shared" si="28"/>
        <v>julho</v>
      </c>
      <c r="C200" s="5" t="str">
        <f t="shared" si="26"/>
        <v>2041</v>
      </c>
      <c r="D200" s="5">
        <f>SUMIFS(Despesas!$F:$F,Despesas!$J:$J,"&lt;="&amp;$A200,Despesas!$L:$L,"&gt;="&amp;$A200,Despesas!$C:$C,D$1,Despesas!$M:$M,"Mensal")+SUMIFS(Despesas!$F:$F,Despesas!$J:$J,"&lt;="&amp;$A200,Despesas!$L:$L,"&gt;="&amp;$A200,Despesas!$C:$C,D$1,Despesas!$M:$M,$B200)</f>
        <v>23000</v>
      </c>
      <c r="E200" s="18">
        <f>SUMIFS(Despesas!$F:$F,Despesas!$J:$J,"&lt;="&amp;$A200,Despesas!$L:$L,"&gt;="&amp;$A200,Despesas!$C:$C,E$1,Despesas!$M:$M,"Mensal")+SUMIFS(Despesas!$F:$F,Despesas!$J:$J,"&lt;="&amp;$A200,Despesas!$L:$L,"&gt;="&amp;$A200,Despesas!$C:$C,E$1,Despesas!$M:$M,$B200)</f>
        <v>6000</v>
      </c>
      <c r="F200" s="5">
        <f>SUMIFS(Despesas!$F:$F,Despesas!$J:$J,"&lt;="&amp;$A200,Despesas!$L:$L,"&gt;="&amp;$A200,Despesas!$C:$C,F$1,Despesas!$M:$M,"Mensal")+SUMIFS(Despesas!$F:$F,Despesas!$J:$J,"&lt;="&amp;$A200,Despesas!$L:$L,"&gt;="&amp;$A200,Despesas!$C:$C,F$1,Despesas!$M:$M,$B200)</f>
        <v>13000</v>
      </c>
      <c r="G200" s="5">
        <f ca="1">SUMIFS(Despesas!$F:$F,Despesas!$J:$J,"&lt;="&amp;$A200,Despesas!$L:$L,"&gt;="&amp;$A200,Despesas!$C:$C,G$1,Despesas!$M:$M,"Mensal")+SUMIFS(Despesas!$F:$F,Despesas!$J:$J,"&lt;="&amp;$A200,Despesas!$L:$L,"&gt;="&amp;$A200,Despesas!$C:$C,G$1,Despesas!$M:$M,$B200)</f>
        <v>55757</v>
      </c>
      <c r="H200" s="18">
        <f>SUMIFS(Despesas!$F:$F,Despesas!$J:$J,"&lt;="&amp;$A200,Despesas!$L:$L,"&gt;="&amp;$A200,Despesas!$C:$C,H$1,Despesas!$M:$M,"Mensal")+SUMIFS(Despesas!$F:$F,Despesas!$J:$J,"&lt;="&amp;$A200,Despesas!$L:$L,"&gt;="&amp;$A200,Despesas!$C:$C,H$1,Despesas!$M:$M,$B200)</f>
        <v>1000</v>
      </c>
      <c r="I200" s="18">
        <f>IF(Imóveis!$F$2="PRICE",IF(AND(Dados!$A200&gt;=Imóveis!$Q$2,Dados!$A200&lt;=Imóveis!$T$2),Imóveis!$U$2,0),IF((IF(AND(Dados!$A200&gt;=Imóveis!$Q$2,Dados!$A200&lt;=Imóveis!$T$2),Imóveis!$S$2-(DATEDIF(Imóveis!$Q$2,Dados!$A200,"m")),0))=0,0,((Imóveis!$N$2/Imóveis!$S$2)+((Imóveis!$N$2-((Imóveis!$S$2-(IF(AND(Dados!$A200&gt;=Imóveis!$Q$2,Dados!$A200&lt;=Imóveis!$T$2),Imóveis!$S$2-(DATEDIF(Imóveis!$Q$2,Dados!$A200,"m")),)))*(Imóveis!$N$2/Imóveis!$S$2)))*Imóveis!$P$2))))*IF(AND(Imóveis!$E$2&gt;0,Dados!$A200&gt;Imóveis!$E$2),0,1)</f>
        <v>0</v>
      </c>
      <c r="J200" s="18">
        <f>IF(Imóveis!$F$3="PRICE",IF(AND(Dados!$A200&gt;=Imóveis!$Q$3,Dados!$A200&lt;=Imóveis!$T$3),Imóveis!$U$3,0),IF((IF(AND(Dados!$A200&gt;=Imóveis!$Q$3,Dados!$A200&lt;=Imóveis!$T$3),Imóveis!$S$3-(DATEDIF(Imóveis!$Q$3,Dados!$A200,"m")),0))=0,0,((Imóveis!$N$3/Imóveis!$S$3)+((Imóveis!$N$3-((Imóveis!$S$3-(IF(AND(Dados!$A200&gt;=Imóveis!$Q$3,Dados!$A200&lt;=Imóveis!$T$3),Imóveis!$S$3-(DATEDIF(Imóveis!$Q$3,Dados!$A200,"m")),)))*(Imóveis!$N$3/Imóveis!$S$3)))*Imóveis!$P$3))))*IF(AND(Imóveis!$E$3&gt;0,Dados!$A200&gt;Imóveis!$E$3),0,1)</f>
        <v>0</v>
      </c>
      <c r="K200" s="18">
        <f>IF(Imóveis!$F$4="PRICE",IF(AND(Dados!$A200&gt;=Imóveis!$Q$4,Dados!$A200&lt;=Imóveis!$T$4),Imóveis!$U$4,0),IF((IF(AND(Dados!$A200&gt;=Imóveis!$Q$4,Dados!$A200&lt;=Imóveis!$T$4),Imóveis!$S$4-(DATEDIF(Imóveis!$Q$4,Dados!$A200,"m")),0))=0,0,((Imóveis!$N$4/Imóveis!$S$4)+((Imóveis!$N$4-((Imóveis!$S$4-(IF(AND(Dados!$A200&gt;=Imóveis!$Q$4,Dados!$A200&lt;=Imóveis!$T$4),Imóveis!$S$4-(DATEDIF(Imóveis!$Q$4,Dados!$A200,"m")),)))*(Imóveis!$N$4/Imóveis!$S$4)))*Imóveis!$P$4))))*IF(AND(Imóveis!$E$4&gt;0,Dados!$A200&gt;Imóveis!$E$4),0,1)</f>
        <v>0</v>
      </c>
      <c r="L200" s="18">
        <f>IF(Imóveis!$F$5="PRICE",IF(AND(Dados!$A200&gt;=Imóveis!$Q$5,Dados!$A200&lt;=Imóveis!$T$5),Imóveis!$U$5,0),IF((IF(AND(Dados!$A200&gt;=Imóveis!$Q$5,Dados!$A200&lt;=Imóveis!$T$5),Imóveis!$S$5-(DATEDIF(Imóveis!$Q$5,Dados!$A200,"m")),0))=0,0,((Imóveis!$N$5/Imóveis!$S$5)+((Imóveis!$N$5-((Imóveis!$S$5-(IF(AND(Dados!$A200 &gt;=Imóveis!$Q$5,Dados!$A200&lt;=Imóveis!$T$5),Imóveis!$S$5-(DATEDIF(Imóveis!$Q$5,Dados!$A200,"m")),)))*(Imóveis!$N$5/Imóveis!$S$5)))*Imóveis!$P$5))))*IF(AND(Imóveis!$E$5&gt;0,Dados!$A200&gt;Imóveis!$E$5),0,1)*Imóveis!$I$5</f>
        <v>0</v>
      </c>
      <c r="M200" s="18">
        <f>IF(Imóveis!$F$6="PRICE",IF(AND(Dados!$A200&gt;=Imóveis!$Q$6,Dados!$A200&lt;=Imóveis!$T$6),Imóveis!$U$6,0),IF((IF(AND(Dados!$A200&gt;=Imóveis!$Q$6,Dados!$A200&lt;=Imóveis!$T$6),Imóveis!$S$6-(DATEDIF(Imóveis!$Q$6,Dados!$A200,"m")),0))=0,0,((Imóveis!$N$6/Imóveis!$S$6)+((Imóveis!$N$6-((Imóveis!$S$6-(IF(AND(Dados!$A200&gt;=Imóveis!$Q$6,Dados!$A200&lt;=Imóveis!$T$6),Imóveis!$S$6-(DATEDIF(Imóveis!$Q$6,Dados!$A200,"m")),)))*(Imóveis!$N$6/Imóveis!$S$6)))*Imóveis!$P$6))))*IF(AND(Imóveis!$E$6&gt;0,Dados!$A200&gt;Imóveis!$E$6),0,1)*Imóveis!$I$6</f>
        <v>0</v>
      </c>
      <c r="N200" s="18">
        <f t="shared" ca="1" si="29"/>
        <v>98757</v>
      </c>
      <c r="O200" s="18">
        <f>SUMIFS(Receitas!$F:$F,Receitas!$J:$J,"&lt;="&amp;$A200,Receitas!$L:$L,"&gt;="&amp;$A200,Receitas!$C:$C,O$1,Receitas!$M:$M,"Mensal")+SUMIFS(Receitas!$F:$F,Receitas!$J:$J,"&lt;="&amp;$A200,Receitas!$L:$L,"&gt;="&amp;$A200,Receitas!$C:$C,O$1,Receitas!$M:$M,$B200)</f>
        <v>50000</v>
      </c>
      <c r="P200" s="18">
        <f>SUMIFS(Receitas!$F:$F,Receitas!$J:$J,"&lt;="&amp;$A200,Receitas!$L:$L,"&gt;="&amp;$A200,Receitas!$C:$C,P$1,Receitas!$M:$M,"Mensal")+SUMIFS(Receitas!$F:$F,Receitas!$J:$J,"&lt;="&amp;$A200,Receitas!$L:$L,"&gt;="&amp;$A200,Receitas!$C:$C,P$1,Receitas!$M:$M,$B200)</f>
        <v>20000</v>
      </c>
      <c r="Q200" s="18">
        <f>SUMIFS(Receitas!$F:$F,Receitas!$J:$J,"&lt;="&amp;$A200,Receitas!$L:$L,"&gt;="&amp;$A200,Receitas!$C:$C,Q$1,Receitas!$M:$M,"Mensal")+SUMIFS(Receitas!$F:$F,Receitas!$J:$J,"&lt;="&amp;$A200,Receitas!$L:$L,"&gt;="&amp;$A200,Receitas!$C:$C,Q$1,Receitas!$M:$M,$B200)</f>
        <v>0</v>
      </c>
      <c r="R200" s="18" cm="1">
        <f t="array" ref="R200">(IF(AND(Membros!$F$2="Sim",A200&lt;=MAX(Membros!$E$2:$E$5)),Membros!K$2,IF(AND(A200&gt;=Membros!J$2,A200&lt;=MAX(Membros!$E$2:$E$5)),Membros!K$2,0))+IF(AND(Membros!$F$3="Sim",A200&lt;=MAX(Membros!$E$2:$E$5)),Membros!K$3,IF(AND(A200&gt;=Membros!J$3,A200&lt;=MAX(Membros!$E$2:$E$5)),Membros!K$3,0)))*IF(AND(COUNTIFS(Tabela3[Tipo],"Provedor",Tabela3[Simulação Seguro],"Sim")=2,A200&gt;=MAX(IF(Tabela3[Tipo]="Dependente",Tabela3[Expectativa de Vida (Data)]))),0,1)</f>
        <v>0</v>
      </c>
      <c r="S200" s="18">
        <f t="shared" si="30"/>
        <v>70000</v>
      </c>
      <c r="U200" s="18">
        <f t="shared" ca="1" si="33"/>
        <v>10844345.410710484</v>
      </c>
      <c r="V200" s="18">
        <f>SUMIF(Imóveis!E:E,Dados!A:A,Imóveis!Z:Z)-SUMIF(Imóveis!E:E,Dados!A:A,Imóveis!Y:Y)</f>
        <v>0</v>
      </c>
      <c r="W200" s="18">
        <f>-SUMIF(Projetos!N:N,A200,Projetos!F:F)</f>
        <v>0</v>
      </c>
      <c r="X200" s="18">
        <f t="shared" ca="1" si="27"/>
        <v>-28757</v>
      </c>
      <c r="Y200" s="26">
        <f ca="1">(U200*((Indicadores_Economicos!D$2+1)^(1/12)-1))</f>
        <v>35501.564982949138</v>
      </c>
      <c r="Z200" s="18">
        <f t="shared" ca="1" si="31"/>
        <v>10851089.975693433</v>
      </c>
      <c r="AA200" s="18">
        <f ca="1">Auxiliar_Projetos!E200</f>
        <v>98701.151687429287</v>
      </c>
      <c r="AB200" s="18">
        <f ca="1">Auxiliar_Projetos!K200</f>
        <v>550328.0114635959</v>
      </c>
      <c r="AC200" s="18">
        <f ca="1">IF(Z200-AA200-AB200&gt;Investimentos!$C$14,Investimentos!$C$14,IF(Z200-AA200-AB200&lt;Investimentos!$C$14,Z200-AA200-AB200,0))</f>
        <v>300000</v>
      </c>
      <c r="AD200" s="18">
        <f t="shared" ca="1" si="32"/>
        <v>9902060.8125424068</v>
      </c>
      <c r="AE200" s="18"/>
    </row>
    <row r="201" spans="1:31" x14ac:dyDescent="0.2">
      <c r="A201" s="4">
        <v>51714</v>
      </c>
      <c r="B201" s="5" t="str">
        <f t="shared" si="28"/>
        <v>agosto</v>
      </c>
      <c r="C201" s="5" t="str">
        <f t="shared" si="26"/>
        <v>2041</v>
      </c>
      <c r="D201" s="5">
        <f>SUMIFS(Despesas!$F:$F,Despesas!$J:$J,"&lt;="&amp;$A201,Despesas!$L:$L,"&gt;="&amp;$A201,Despesas!$C:$C,D$1,Despesas!$M:$M,"Mensal")+SUMIFS(Despesas!$F:$F,Despesas!$J:$J,"&lt;="&amp;$A201,Despesas!$L:$L,"&gt;="&amp;$A201,Despesas!$C:$C,D$1,Despesas!$M:$M,$B201)</f>
        <v>23000</v>
      </c>
      <c r="E201" s="18">
        <f>SUMIFS(Despesas!$F:$F,Despesas!$J:$J,"&lt;="&amp;$A201,Despesas!$L:$L,"&gt;="&amp;$A201,Despesas!$C:$C,E$1,Despesas!$M:$M,"Mensal")+SUMIFS(Despesas!$F:$F,Despesas!$J:$J,"&lt;="&amp;$A201,Despesas!$L:$L,"&gt;="&amp;$A201,Despesas!$C:$C,E$1,Despesas!$M:$M,$B201)</f>
        <v>6000</v>
      </c>
      <c r="F201" s="5">
        <f>SUMIFS(Despesas!$F:$F,Despesas!$J:$J,"&lt;="&amp;$A201,Despesas!$L:$L,"&gt;="&amp;$A201,Despesas!$C:$C,F$1,Despesas!$M:$M,"Mensal")+SUMIFS(Despesas!$F:$F,Despesas!$J:$J,"&lt;="&amp;$A201,Despesas!$L:$L,"&gt;="&amp;$A201,Despesas!$C:$C,F$1,Despesas!$M:$M,$B201)</f>
        <v>13000</v>
      </c>
      <c r="G201" s="5">
        <f>SUMIFS(Despesas!$F:$F,Despesas!$J:$J,"&lt;="&amp;$A201,Despesas!$L:$L,"&gt;="&amp;$A201,Despesas!$C:$C,G$1,Despesas!$M:$M,"Mensal")+SUMIFS(Despesas!$F:$F,Despesas!$J:$J,"&lt;="&amp;$A201,Despesas!$L:$L,"&gt;="&amp;$A201,Despesas!$C:$C,G$1,Despesas!$M:$M,$B201)</f>
        <v>0</v>
      </c>
      <c r="H201" s="18">
        <f>SUMIFS(Despesas!$F:$F,Despesas!$J:$J,"&lt;="&amp;$A201,Despesas!$L:$L,"&gt;="&amp;$A201,Despesas!$C:$C,H$1,Despesas!$M:$M,"Mensal")+SUMIFS(Despesas!$F:$F,Despesas!$J:$J,"&lt;="&amp;$A201,Despesas!$L:$L,"&gt;="&amp;$A201,Despesas!$C:$C,H$1,Despesas!$M:$M,$B201)</f>
        <v>1000</v>
      </c>
      <c r="I201" s="18">
        <f>IF(Imóveis!$F$2="PRICE",IF(AND(Dados!$A201&gt;=Imóveis!$Q$2,Dados!$A201&lt;=Imóveis!$T$2),Imóveis!$U$2,0),IF((IF(AND(Dados!$A201&gt;=Imóveis!$Q$2,Dados!$A201&lt;=Imóveis!$T$2),Imóveis!$S$2-(DATEDIF(Imóveis!$Q$2,Dados!$A201,"m")),0))=0,0,((Imóveis!$N$2/Imóveis!$S$2)+((Imóveis!$N$2-((Imóveis!$S$2-(IF(AND(Dados!$A201&gt;=Imóveis!$Q$2,Dados!$A201&lt;=Imóveis!$T$2),Imóveis!$S$2-(DATEDIF(Imóveis!$Q$2,Dados!$A201,"m")),)))*(Imóveis!$N$2/Imóveis!$S$2)))*Imóveis!$P$2))))*IF(AND(Imóveis!$E$2&gt;0,Dados!$A201&gt;Imóveis!$E$2),0,1)</f>
        <v>0</v>
      </c>
      <c r="J201" s="18">
        <f>IF(Imóveis!$F$3="PRICE",IF(AND(Dados!$A201&gt;=Imóveis!$Q$3,Dados!$A201&lt;=Imóveis!$T$3),Imóveis!$U$3,0),IF((IF(AND(Dados!$A201&gt;=Imóveis!$Q$3,Dados!$A201&lt;=Imóveis!$T$3),Imóveis!$S$3-(DATEDIF(Imóveis!$Q$3,Dados!$A201,"m")),0))=0,0,((Imóveis!$N$3/Imóveis!$S$3)+((Imóveis!$N$3-((Imóveis!$S$3-(IF(AND(Dados!$A201&gt;=Imóveis!$Q$3,Dados!$A201&lt;=Imóveis!$T$3),Imóveis!$S$3-(DATEDIF(Imóveis!$Q$3,Dados!$A201,"m")),)))*(Imóveis!$N$3/Imóveis!$S$3)))*Imóveis!$P$3))))*IF(AND(Imóveis!$E$3&gt;0,Dados!$A201&gt;Imóveis!$E$3),0,1)</f>
        <v>0</v>
      </c>
      <c r="K201" s="18">
        <f>IF(Imóveis!$F$4="PRICE",IF(AND(Dados!$A201&gt;=Imóveis!$Q$4,Dados!$A201&lt;=Imóveis!$T$4),Imóveis!$U$4,0),IF((IF(AND(Dados!$A201&gt;=Imóveis!$Q$4,Dados!$A201&lt;=Imóveis!$T$4),Imóveis!$S$4-(DATEDIF(Imóveis!$Q$4,Dados!$A201,"m")),0))=0,0,((Imóveis!$N$4/Imóveis!$S$4)+((Imóveis!$N$4-((Imóveis!$S$4-(IF(AND(Dados!$A201&gt;=Imóveis!$Q$4,Dados!$A201&lt;=Imóveis!$T$4),Imóveis!$S$4-(DATEDIF(Imóveis!$Q$4,Dados!$A201,"m")),)))*(Imóveis!$N$4/Imóveis!$S$4)))*Imóveis!$P$4))))*IF(AND(Imóveis!$E$4&gt;0,Dados!$A201&gt;Imóveis!$E$4),0,1)</f>
        <v>0</v>
      </c>
      <c r="L201" s="18">
        <f>IF(Imóveis!$F$5="PRICE",IF(AND(Dados!$A201&gt;=Imóveis!$Q$5,Dados!$A201&lt;=Imóveis!$T$5),Imóveis!$U$5,0),IF((IF(AND(Dados!$A201&gt;=Imóveis!$Q$5,Dados!$A201&lt;=Imóveis!$T$5),Imóveis!$S$5-(DATEDIF(Imóveis!$Q$5,Dados!$A201,"m")),0))=0,0,((Imóveis!$N$5/Imóveis!$S$5)+((Imóveis!$N$5-((Imóveis!$S$5-(IF(AND(Dados!$A201 &gt;=Imóveis!$Q$5,Dados!$A201&lt;=Imóveis!$T$5),Imóveis!$S$5-(DATEDIF(Imóveis!$Q$5,Dados!$A201,"m")),)))*(Imóveis!$N$5/Imóveis!$S$5)))*Imóveis!$P$5))))*IF(AND(Imóveis!$E$5&gt;0,Dados!$A201&gt;Imóveis!$E$5),0,1)*Imóveis!$I$5</f>
        <v>0</v>
      </c>
      <c r="M201" s="18">
        <f>IF(Imóveis!$F$6="PRICE",IF(AND(Dados!$A201&gt;=Imóveis!$Q$6,Dados!$A201&lt;=Imóveis!$T$6),Imóveis!$U$6,0),IF((IF(AND(Dados!$A201&gt;=Imóveis!$Q$6,Dados!$A201&lt;=Imóveis!$T$6),Imóveis!$S$6-(DATEDIF(Imóveis!$Q$6,Dados!$A201,"m")),0))=0,0,((Imóveis!$N$6/Imóveis!$S$6)+((Imóveis!$N$6-((Imóveis!$S$6-(IF(AND(Dados!$A201&gt;=Imóveis!$Q$6,Dados!$A201&lt;=Imóveis!$T$6),Imóveis!$S$6-(DATEDIF(Imóveis!$Q$6,Dados!$A201,"m")),)))*(Imóveis!$N$6/Imóveis!$S$6)))*Imóveis!$P$6))))*IF(AND(Imóveis!$E$6&gt;0,Dados!$A201&gt;Imóveis!$E$6),0,1)*Imóveis!$I$6</f>
        <v>0</v>
      </c>
      <c r="N201" s="18">
        <f t="shared" si="29"/>
        <v>43000</v>
      </c>
      <c r="O201" s="18">
        <f>SUMIFS(Receitas!$F:$F,Receitas!$J:$J,"&lt;="&amp;$A201,Receitas!$L:$L,"&gt;="&amp;$A201,Receitas!$C:$C,O$1,Receitas!$M:$M,"Mensal")+SUMIFS(Receitas!$F:$F,Receitas!$J:$J,"&lt;="&amp;$A201,Receitas!$L:$L,"&gt;="&amp;$A201,Receitas!$C:$C,O$1,Receitas!$M:$M,$B201)</f>
        <v>50000</v>
      </c>
      <c r="P201" s="18">
        <f>SUMIFS(Receitas!$F:$F,Receitas!$J:$J,"&lt;="&amp;$A201,Receitas!$L:$L,"&gt;="&amp;$A201,Receitas!$C:$C,P$1,Receitas!$M:$M,"Mensal")+SUMIFS(Receitas!$F:$F,Receitas!$J:$J,"&lt;="&amp;$A201,Receitas!$L:$L,"&gt;="&amp;$A201,Receitas!$C:$C,P$1,Receitas!$M:$M,$B201)</f>
        <v>20000</v>
      </c>
      <c r="Q201" s="18">
        <f>SUMIFS(Receitas!$F:$F,Receitas!$J:$J,"&lt;="&amp;$A201,Receitas!$L:$L,"&gt;="&amp;$A201,Receitas!$C:$C,Q$1,Receitas!$M:$M,"Mensal")+SUMIFS(Receitas!$F:$F,Receitas!$J:$J,"&lt;="&amp;$A201,Receitas!$L:$L,"&gt;="&amp;$A201,Receitas!$C:$C,Q$1,Receitas!$M:$M,$B201)</f>
        <v>0</v>
      </c>
      <c r="R201" s="18" cm="1">
        <f t="array" ref="R201">(IF(AND(Membros!$F$2="Sim",A201&lt;=MAX(Membros!$E$2:$E$5)),Membros!K$2,IF(AND(A201&gt;=Membros!J$2,A201&lt;=MAX(Membros!$E$2:$E$5)),Membros!K$2,0))+IF(AND(Membros!$F$3="Sim",A201&lt;=MAX(Membros!$E$2:$E$5)),Membros!K$3,IF(AND(A201&gt;=Membros!J$3,A201&lt;=MAX(Membros!$E$2:$E$5)),Membros!K$3,0)))*IF(AND(COUNTIFS(Tabela3[Tipo],"Provedor",Tabela3[Simulação Seguro],"Sim")=2,A201&gt;=MAX(IF(Tabela3[Tipo]="Dependente",Tabela3[Expectativa de Vida (Data)]))),0,1)</f>
        <v>0</v>
      </c>
      <c r="S201" s="18">
        <f t="shared" si="30"/>
        <v>70000</v>
      </c>
      <c r="U201" s="18">
        <f t="shared" ca="1" si="33"/>
        <v>10851089.975693433</v>
      </c>
      <c r="V201" s="18">
        <f>SUMIF(Imóveis!E:E,Dados!A:A,Imóveis!Z:Z)-SUMIF(Imóveis!E:E,Dados!A:A,Imóveis!Y:Y)</f>
        <v>0</v>
      </c>
      <c r="W201" s="18">
        <f>-SUMIF(Projetos!N:N,A201,Projetos!F:F)</f>
        <v>0</v>
      </c>
      <c r="X201" s="18">
        <f t="shared" si="27"/>
        <v>27000</v>
      </c>
      <c r="Y201" s="26">
        <f ca="1">(U201*((Indicadores_Economicos!D$2+1)^(1/12)-1))</f>
        <v>35523.64493364744</v>
      </c>
      <c r="Z201" s="18">
        <f t="shared" ca="1" si="31"/>
        <v>10913613.620627079</v>
      </c>
      <c r="AA201" s="18">
        <f ca="1">Auxiliar_Projetos!E201</f>
        <v>99024.27357425727</v>
      </c>
      <c r="AB201" s="18">
        <f ca="1">Auxiliar_Projetos!K201</f>
        <v>552129.64216798265</v>
      </c>
      <c r="AC201" s="18">
        <f ca="1">IF(Z201-AA201-AB201&gt;Investimentos!$C$14,Investimentos!$C$14,IF(Z201-AA201-AB201&lt;Investimentos!$C$14,Z201-AA201-AB201,0))</f>
        <v>300000</v>
      </c>
      <c r="AD201" s="18">
        <f t="shared" ca="1" si="32"/>
        <v>9962459.7048848383</v>
      </c>
      <c r="AE201" s="18"/>
    </row>
    <row r="202" spans="1:31" x14ac:dyDescent="0.2">
      <c r="A202" s="4">
        <v>51745</v>
      </c>
      <c r="B202" s="5" t="str">
        <f t="shared" si="28"/>
        <v>setembro</v>
      </c>
      <c r="C202" s="5" t="str">
        <f t="shared" si="26"/>
        <v>2041</v>
      </c>
      <c r="D202" s="5">
        <f>SUMIFS(Despesas!$F:$F,Despesas!$J:$J,"&lt;="&amp;$A202,Despesas!$L:$L,"&gt;="&amp;$A202,Despesas!$C:$C,D$1,Despesas!$M:$M,"Mensal")+SUMIFS(Despesas!$F:$F,Despesas!$J:$J,"&lt;="&amp;$A202,Despesas!$L:$L,"&gt;="&amp;$A202,Despesas!$C:$C,D$1,Despesas!$M:$M,$B202)</f>
        <v>23000</v>
      </c>
      <c r="E202" s="18">
        <f>SUMIFS(Despesas!$F:$F,Despesas!$J:$J,"&lt;="&amp;$A202,Despesas!$L:$L,"&gt;="&amp;$A202,Despesas!$C:$C,E$1,Despesas!$M:$M,"Mensal")+SUMIFS(Despesas!$F:$F,Despesas!$J:$J,"&lt;="&amp;$A202,Despesas!$L:$L,"&gt;="&amp;$A202,Despesas!$C:$C,E$1,Despesas!$M:$M,$B202)</f>
        <v>6000</v>
      </c>
      <c r="F202" s="5">
        <f>SUMIFS(Despesas!$F:$F,Despesas!$J:$J,"&lt;="&amp;$A202,Despesas!$L:$L,"&gt;="&amp;$A202,Despesas!$C:$C,F$1,Despesas!$M:$M,"Mensal")+SUMIFS(Despesas!$F:$F,Despesas!$J:$J,"&lt;="&amp;$A202,Despesas!$L:$L,"&gt;="&amp;$A202,Despesas!$C:$C,F$1,Despesas!$M:$M,$B202)</f>
        <v>13000</v>
      </c>
      <c r="G202" s="5">
        <f>SUMIFS(Despesas!$F:$F,Despesas!$J:$J,"&lt;="&amp;$A202,Despesas!$L:$L,"&gt;="&amp;$A202,Despesas!$C:$C,G$1,Despesas!$M:$M,"Mensal")+SUMIFS(Despesas!$F:$F,Despesas!$J:$J,"&lt;="&amp;$A202,Despesas!$L:$L,"&gt;="&amp;$A202,Despesas!$C:$C,G$1,Despesas!$M:$M,$B202)</f>
        <v>0</v>
      </c>
      <c r="H202" s="18">
        <f>SUMIFS(Despesas!$F:$F,Despesas!$J:$J,"&lt;="&amp;$A202,Despesas!$L:$L,"&gt;="&amp;$A202,Despesas!$C:$C,H$1,Despesas!$M:$M,"Mensal")+SUMIFS(Despesas!$F:$F,Despesas!$J:$J,"&lt;="&amp;$A202,Despesas!$L:$L,"&gt;="&amp;$A202,Despesas!$C:$C,H$1,Despesas!$M:$M,$B202)</f>
        <v>1000</v>
      </c>
      <c r="I202" s="18">
        <f>IF(Imóveis!$F$2="PRICE",IF(AND(Dados!$A202&gt;=Imóveis!$Q$2,Dados!$A202&lt;=Imóveis!$T$2),Imóveis!$U$2,0),IF((IF(AND(Dados!$A202&gt;=Imóveis!$Q$2,Dados!$A202&lt;=Imóveis!$T$2),Imóveis!$S$2-(DATEDIF(Imóveis!$Q$2,Dados!$A202,"m")),0))=0,0,((Imóveis!$N$2/Imóveis!$S$2)+((Imóveis!$N$2-((Imóveis!$S$2-(IF(AND(Dados!$A202&gt;=Imóveis!$Q$2,Dados!$A202&lt;=Imóveis!$T$2),Imóveis!$S$2-(DATEDIF(Imóveis!$Q$2,Dados!$A202,"m")),)))*(Imóveis!$N$2/Imóveis!$S$2)))*Imóveis!$P$2))))*IF(AND(Imóveis!$E$2&gt;0,Dados!$A202&gt;Imóveis!$E$2),0,1)</f>
        <v>0</v>
      </c>
      <c r="J202" s="18">
        <f>IF(Imóveis!$F$3="PRICE",IF(AND(Dados!$A202&gt;=Imóveis!$Q$3,Dados!$A202&lt;=Imóveis!$T$3),Imóveis!$U$3,0),IF((IF(AND(Dados!$A202&gt;=Imóveis!$Q$3,Dados!$A202&lt;=Imóveis!$T$3),Imóveis!$S$3-(DATEDIF(Imóveis!$Q$3,Dados!$A202,"m")),0))=0,0,((Imóveis!$N$3/Imóveis!$S$3)+((Imóveis!$N$3-((Imóveis!$S$3-(IF(AND(Dados!$A202&gt;=Imóveis!$Q$3,Dados!$A202&lt;=Imóveis!$T$3),Imóveis!$S$3-(DATEDIF(Imóveis!$Q$3,Dados!$A202,"m")),)))*(Imóveis!$N$3/Imóveis!$S$3)))*Imóveis!$P$3))))*IF(AND(Imóveis!$E$3&gt;0,Dados!$A202&gt;Imóveis!$E$3),0,1)</f>
        <v>0</v>
      </c>
      <c r="K202" s="18">
        <f>IF(Imóveis!$F$4="PRICE",IF(AND(Dados!$A202&gt;=Imóveis!$Q$4,Dados!$A202&lt;=Imóveis!$T$4),Imóveis!$U$4,0),IF((IF(AND(Dados!$A202&gt;=Imóveis!$Q$4,Dados!$A202&lt;=Imóveis!$T$4),Imóveis!$S$4-(DATEDIF(Imóveis!$Q$4,Dados!$A202,"m")),0))=0,0,((Imóveis!$N$4/Imóveis!$S$4)+((Imóveis!$N$4-((Imóveis!$S$4-(IF(AND(Dados!$A202&gt;=Imóveis!$Q$4,Dados!$A202&lt;=Imóveis!$T$4),Imóveis!$S$4-(DATEDIF(Imóveis!$Q$4,Dados!$A202,"m")),)))*(Imóveis!$N$4/Imóveis!$S$4)))*Imóveis!$P$4))))*IF(AND(Imóveis!$E$4&gt;0,Dados!$A202&gt;Imóveis!$E$4),0,1)</f>
        <v>0</v>
      </c>
      <c r="L202" s="18">
        <f>IF(Imóveis!$F$5="PRICE",IF(AND(Dados!$A202&gt;=Imóveis!$Q$5,Dados!$A202&lt;=Imóveis!$T$5),Imóveis!$U$5,0),IF((IF(AND(Dados!$A202&gt;=Imóveis!$Q$5,Dados!$A202&lt;=Imóveis!$T$5),Imóveis!$S$5-(DATEDIF(Imóveis!$Q$5,Dados!$A202,"m")),0))=0,0,((Imóveis!$N$5/Imóveis!$S$5)+((Imóveis!$N$5-((Imóveis!$S$5-(IF(AND(Dados!$A202 &gt;=Imóveis!$Q$5,Dados!$A202&lt;=Imóveis!$T$5),Imóveis!$S$5-(DATEDIF(Imóveis!$Q$5,Dados!$A202,"m")),)))*(Imóveis!$N$5/Imóveis!$S$5)))*Imóveis!$P$5))))*IF(AND(Imóveis!$E$5&gt;0,Dados!$A202&gt;Imóveis!$E$5),0,1)*Imóveis!$I$5</f>
        <v>0</v>
      </c>
      <c r="M202" s="18">
        <f>IF(Imóveis!$F$6="PRICE",IF(AND(Dados!$A202&gt;=Imóveis!$Q$6,Dados!$A202&lt;=Imóveis!$T$6),Imóveis!$U$6,0),IF((IF(AND(Dados!$A202&gt;=Imóveis!$Q$6,Dados!$A202&lt;=Imóveis!$T$6),Imóveis!$S$6-(DATEDIF(Imóveis!$Q$6,Dados!$A202,"m")),0))=0,0,((Imóveis!$N$6/Imóveis!$S$6)+((Imóveis!$N$6-((Imóveis!$S$6-(IF(AND(Dados!$A202&gt;=Imóveis!$Q$6,Dados!$A202&lt;=Imóveis!$T$6),Imóveis!$S$6-(DATEDIF(Imóveis!$Q$6,Dados!$A202,"m")),)))*(Imóveis!$N$6/Imóveis!$S$6)))*Imóveis!$P$6))))*IF(AND(Imóveis!$E$6&gt;0,Dados!$A202&gt;Imóveis!$E$6),0,1)*Imóveis!$I$6</f>
        <v>0</v>
      </c>
      <c r="N202" s="18">
        <f t="shared" si="29"/>
        <v>43000</v>
      </c>
      <c r="O202" s="18">
        <f>SUMIFS(Receitas!$F:$F,Receitas!$J:$J,"&lt;="&amp;$A202,Receitas!$L:$L,"&gt;="&amp;$A202,Receitas!$C:$C,O$1,Receitas!$M:$M,"Mensal")+SUMIFS(Receitas!$F:$F,Receitas!$J:$J,"&lt;="&amp;$A202,Receitas!$L:$L,"&gt;="&amp;$A202,Receitas!$C:$C,O$1,Receitas!$M:$M,$B202)</f>
        <v>50000</v>
      </c>
      <c r="P202" s="18">
        <f>SUMIFS(Receitas!$F:$F,Receitas!$J:$J,"&lt;="&amp;$A202,Receitas!$L:$L,"&gt;="&amp;$A202,Receitas!$C:$C,P$1,Receitas!$M:$M,"Mensal")+SUMIFS(Receitas!$F:$F,Receitas!$J:$J,"&lt;="&amp;$A202,Receitas!$L:$L,"&gt;="&amp;$A202,Receitas!$C:$C,P$1,Receitas!$M:$M,$B202)</f>
        <v>20000</v>
      </c>
      <c r="Q202" s="18">
        <f>SUMIFS(Receitas!$F:$F,Receitas!$J:$J,"&lt;="&amp;$A202,Receitas!$L:$L,"&gt;="&amp;$A202,Receitas!$C:$C,Q$1,Receitas!$M:$M,"Mensal")+SUMIFS(Receitas!$F:$F,Receitas!$J:$J,"&lt;="&amp;$A202,Receitas!$L:$L,"&gt;="&amp;$A202,Receitas!$C:$C,Q$1,Receitas!$M:$M,$B202)</f>
        <v>0</v>
      </c>
      <c r="R202" s="18" cm="1">
        <f t="array" ref="R202">(IF(AND(Membros!$F$2="Sim",A202&lt;=MAX(Membros!$E$2:$E$5)),Membros!K$2,IF(AND(A202&gt;=Membros!J$2,A202&lt;=MAX(Membros!$E$2:$E$5)),Membros!K$2,0))+IF(AND(Membros!$F$3="Sim",A202&lt;=MAX(Membros!$E$2:$E$5)),Membros!K$3,IF(AND(A202&gt;=Membros!J$3,A202&lt;=MAX(Membros!$E$2:$E$5)),Membros!K$3,0)))*IF(AND(COUNTIFS(Tabela3[Tipo],"Provedor",Tabela3[Simulação Seguro],"Sim")=2,A202&gt;=MAX(IF(Tabela3[Tipo]="Dependente",Tabela3[Expectativa de Vida (Data)]))),0,1)</f>
        <v>0</v>
      </c>
      <c r="S202" s="18">
        <f t="shared" si="30"/>
        <v>70000</v>
      </c>
      <c r="U202" s="18">
        <f t="shared" ca="1" si="33"/>
        <v>10913613.620627079</v>
      </c>
      <c r="V202" s="18">
        <f>SUMIF(Imóveis!E:E,Dados!A:A,Imóveis!Z:Z)-SUMIF(Imóveis!E:E,Dados!A:A,Imóveis!Y:Y)</f>
        <v>0</v>
      </c>
      <c r="W202" s="18">
        <f>-SUMIF(Projetos!N:N,A202,Projetos!F:F)</f>
        <v>0</v>
      </c>
      <c r="X202" s="18">
        <f t="shared" si="27"/>
        <v>27000</v>
      </c>
      <c r="Y202" s="26">
        <f ca="1">(U202*((Indicadores_Economicos!D$2+1)^(1/12)-1))</f>
        <v>35728.331077394803</v>
      </c>
      <c r="Z202" s="18">
        <f t="shared" ca="1" si="31"/>
        <v>10976341.951704474</v>
      </c>
      <c r="AA202" s="18">
        <f ca="1">Auxiliar_Projetos!E202</f>
        <v>99348.453278060668</v>
      </c>
      <c r="AB202" s="18">
        <f ca="1">Auxiliar_Projetos!K202</f>
        <v>553937.17094247928</v>
      </c>
      <c r="AC202" s="18">
        <f ca="1">IF(Z202-AA202-AB202&gt;Investimentos!$C$14,Investimentos!$C$14,IF(Z202-AA202-AB202&lt;Investimentos!$C$14,Z202-AA202-AB202,0))</f>
        <v>300000</v>
      </c>
      <c r="AD202" s="18">
        <f t="shared" ca="1" si="32"/>
        <v>10023056.327483933</v>
      </c>
      <c r="AE202" s="18"/>
    </row>
    <row r="203" spans="1:31" x14ac:dyDescent="0.2">
      <c r="A203" s="4">
        <v>51775</v>
      </c>
      <c r="B203" s="5" t="str">
        <f t="shared" si="28"/>
        <v>outubro</v>
      </c>
      <c r="C203" s="5" t="str">
        <f t="shared" si="26"/>
        <v>2041</v>
      </c>
      <c r="D203" s="5">
        <f>SUMIFS(Despesas!$F:$F,Despesas!$J:$J,"&lt;="&amp;$A203,Despesas!$L:$L,"&gt;="&amp;$A203,Despesas!$C:$C,D$1,Despesas!$M:$M,"Mensal")+SUMIFS(Despesas!$F:$F,Despesas!$J:$J,"&lt;="&amp;$A203,Despesas!$L:$L,"&gt;="&amp;$A203,Despesas!$C:$C,D$1,Despesas!$M:$M,$B203)</f>
        <v>23000</v>
      </c>
      <c r="E203" s="18">
        <f>SUMIFS(Despesas!$F:$F,Despesas!$J:$J,"&lt;="&amp;$A203,Despesas!$L:$L,"&gt;="&amp;$A203,Despesas!$C:$C,E$1,Despesas!$M:$M,"Mensal")+SUMIFS(Despesas!$F:$F,Despesas!$J:$J,"&lt;="&amp;$A203,Despesas!$L:$L,"&gt;="&amp;$A203,Despesas!$C:$C,E$1,Despesas!$M:$M,$B203)</f>
        <v>6000</v>
      </c>
      <c r="F203" s="5">
        <f>SUMIFS(Despesas!$F:$F,Despesas!$J:$J,"&lt;="&amp;$A203,Despesas!$L:$L,"&gt;="&amp;$A203,Despesas!$C:$C,F$1,Despesas!$M:$M,"Mensal")+SUMIFS(Despesas!$F:$F,Despesas!$J:$J,"&lt;="&amp;$A203,Despesas!$L:$L,"&gt;="&amp;$A203,Despesas!$C:$C,F$1,Despesas!$M:$M,$B203)</f>
        <v>13000</v>
      </c>
      <c r="G203" s="5">
        <f>SUMIFS(Despesas!$F:$F,Despesas!$J:$J,"&lt;="&amp;$A203,Despesas!$L:$L,"&gt;="&amp;$A203,Despesas!$C:$C,G$1,Despesas!$M:$M,"Mensal")+SUMIFS(Despesas!$F:$F,Despesas!$J:$J,"&lt;="&amp;$A203,Despesas!$L:$L,"&gt;="&amp;$A203,Despesas!$C:$C,G$1,Despesas!$M:$M,$B203)</f>
        <v>0</v>
      </c>
      <c r="H203" s="18">
        <f>SUMIFS(Despesas!$F:$F,Despesas!$J:$J,"&lt;="&amp;$A203,Despesas!$L:$L,"&gt;="&amp;$A203,Despesas!$C:$C,H$1,Despesas!$M:$M,"Mensal")+SUMIFS(Despesas!$F:$F,Despesas!$J:$J,"&lt;="&amp;$A203,Despesas!$L:$L,"&gt;="&amp;$A203,Despesas!$C:$C,H$1,Despesas!$M:$M,$B203)</f>
        <v>1000</v>
      </c>
      <c r="I203" s="18">
        <f>IF(Imóveis!$F$2="PRICE",IF(AND(Dados!$A203&gt;=Imóveis!$Q$2,Dados!$A203&lt;=Imóveis!$T$2),Imóveis!$U$2,0),IF((IF(AND(Dados!$A203&gt;=Imóveis!$Q$2,Dados!$A203&lt;=Imóveis!$T$2),Imóveis!$S$2-(DATEDIF(Imóveis!$Q$2,Dados!$A203,"m")),0))=0,0,((Imóveis!$N$2/Imóveis!$S$2)+((Imóveis!$N$2-((Imóveis!$S$2-(IF(AND(Dados!$A203&gt;=Imóveis!$Q$2,Dados!$A203&lt;=Imóveis!$T$2),Imóveis!$S$2-(DATEDIF(Imóveis!$Q$2,Dados!$A203,"m")),)))*(Imóveis!$N$2/Imóveis!$S$2)))*Imóveis!$P$2))))*IF(AND(Imóveis!$E$2&gt;0,Dados!$A203&gt;Imóveis!$E$2),0,1)</f>
        <v>0</v>
      </c>
      <c r="J203" s="18">
        <f>IF(Imóveis!$F$3="PRICE",IF(AND(Dados!$A203&gt;=Imóveis!$Q$3,Dados!$A203&lt;=Imóveis!$T$3),Imóveis!$U$3,0),IF((IF(AND(Dados!$A203&gt;=Imóveis!$Q$3,Dados!$A203&lt;=Imóveis!$T$3),Imóveis!$S$3-(DATEDIF(Imóveis!$Q$3,Dados!$A203,"m")),0))=0,0,((Imóveis!$N$3/Imóveis!$S$3)+((Imóveis!$N$3-((Imóveis!$S$3-(IF(AND(Dados!$A203&gt;=Imóveis!$Q$3,Dados!$A203&lt;=Imóveis!$T$3),Imóveis!$S$3-(DATEDIF(Imóveis!$Q$3,Dados!$A203,"m")),)))*(Imóveis!$N$3/Imóveis!$S$3)))*Imóveis!$P$3))))*IF(AND(Imóveis!$E$3&gt;0,Dados!$A203&gt;Imóveis!$E$3),0,1)</f>
        <v>0</v>
      </c>
      <c r="K203" s="18">
        <f>IF(Imóveis!$F$4="PRICE",IF(AND(Dados!$A203&gt;=Imóveis!$Q$4,Dados!$A203&lt;=Imóveis!$T$4),Imóveis!$U$4,0),IF((IF(AND(Dados!$A203&gt;=Imóveis!$Q$4,Dados!$A203&lt;=Imóveis!$T$4),Imóveis!$S$4-(DATEDIF(Imóveis!$Q$4,Dados!$A203,"m")),0))=0,0,((Imóveis!$N$4/Imóveis!$S$4)+((Imóveis!$N$4-((Imóveis!$S$4-(IF(AND(Dados!$A203&gt;=Imóveis!$Q$4,Dados!$A203&lt;=Imóveis!$T$4),Imóveis!$S$4-(DATEDIF(Imóveis!$Q$4,Dados!$A203,"m")),)))*(Imóveis!$N$4/Imóveis!$S$4)))*Imóveis!$P$4))))*IF(AND(Imóveis!$E$4&gt;0,Dados!$A203&gt;Imóveis!$E$4),0,1)</f>
        <v>0</v>
      </c>
      <c r="L203" s="18">
        <f>IF(Imóveis!$F$5="PRICE",IF(AND(Dados!$A203&gt;=Imóveis!$Q$5,Dados!$A203&lt;=Imóveis!$T$5),Imóveis!$U$5,0),IF((IF(AND(Dados!$A203&gt;=Imóveis!$Q$5,Dados!$A203&lt;=Imóveis!$T$5),Imóveis!$S$5-(DATEDIF(Imóveis!$Q$5,Dados!$A203,"m")),0))=0,0,((Imóveis!$N$5/Imóveis!$S$5)+((Imóveis!$N$5-((Imóveis!$S$5-(IF(AND(Dados!$A203 &gt;=Imóveis!$Q$5,Dados!$A203&lt;=Imóveis!$T$5),Imóveis!$S$5-(DATEDIF(Imóveis!$Q$5,Dados!$A203,"m")),)))*(Imóveis!$N$5/Imóveis!$S$5)))*Imóveis!$P$5))))*IF(AND(Imóveis!$E$5&gt;0,Dados!$A203&gt;Imóveis!$E$5),0,1)*Imóveis!$I$5</f>
        <v>0</v>
      </c>
      <c r="M203" s="18">
        <f>IF(Imóveis!$F$6="PRICE",IF(AND(Dados!$A203&gt;=Imóveis!$Q$6,Dados!$A203&lt;=Imóveis!$T$6),Imóveis!$U$6,0),IF((IF(AND(Dados!$A203&gt;=Imóveis!$Q$6,Dados!$A203&lt;=Imóveis!$T$6),Imóveis!$S$6-(DATEDIF(Imóveis!$Q$6,Dados!$A203,"m")),0))=0,0,((Imóveis!$N$6/Imóveis!$S$6)+((Imóveis!$N$6-((Imóveis!$S$6-(IF(AND(Dados!$A203&gt;=Imóveis!$Q$6,Dados!$A203&lt;=Imóveis!$T$6),Imóveis!$S$6-(DATEDIF(Imóveis!$Q$6,Dados!$A203,"m")),)))*(Imóveis!$N$6/Imóveis!$S$6)))*Imóveis!$P$6))))*IF(AND(Imóveis!$E$6&gt;0,Dados!$A203&gt;Imóveis!$E$6),0,1)*Imóveis!$I$6</f>
        <v>0</v>
      </c>
      <c r="N203" s="18">
        <f t="shared" si="29"/>
        <v>43000</v>
      </c>
      <c r="O203" s="18">
        <f>SUMIFS(Receitas!$F:$F,Receitas!$J:$J,"&lt;="&amp;$A203,Receitas!$L:$L,"&gt;="&amp;$A203,Receitas!$C:$C,O$1,Receitas!$M:$M,"Mensal")+SUMIFS(Receitas!$F:$F,Receitas!$J:$J,"&lt;="&amp;$A203,Receitas!$L:$L,"&gt;="&amp;$A203,Receitas!$C:$C,O$1,Receitas!$M:$M,$B203)</f>
        <v>50000</v>
      </c>
      <c r="P203" s="18">
        <f>SUMIFS(Receitas!$F:$F,Receitas!$J:$J,"&lt;="&amp;$A203,Receitas!$L:$L,"&gt;="&amp;$A203,Receitas!$C:$C,P$1,Receitas!$M:$M,"Mensal")+SUMIFS(Receitas!$F:$F,Receitas!$J:$J,"&lt;="&amp;$A203,Receitas!$L:$L,"&gt;="&amp;$A203,Receitas!$C:$C,P$1,Receitas!$M:$M,$B203)</f>
        <v>20000</v>
      </c>
      <c r="Q203" s="18">
        <f>SUMIFS(Receitas!$F:$F,Receitas!$J:$J,"&lt;="&amp;$A203,Receitas!$L:$L,"&gt;="&amp;$A203,Receitas!$C:$C,Q$1,Receitas!$M:$M,"Mensal")+SUMIFS(Receitas!$F:$F,Receitas!$J:$J,"&lt;="&amp;$A203,Receitas!$L:$L,"&gt;="&amp;$A203,Receitas!$C:$C,Q$1,Receitas!$M:$M,$B203)</f>
        <v>0</v>
      </c>
      <c r="R203" s="18" cm="1">
        <f t="array" ref="R203">(IF(AND(Membros!$F$2="Sim",A203&lt;=MAX(Membros!$E$2:$E$5)),Membros!K$2,IF(AND(A203&gt;=Membros!J$2,A203&lt;=MAX(Membros!$E$2:$E$5)),Membros!K$2,0))+IF(AND(Membros!$F$3="Sim",A203&lt;=MAX(Membros!$E$2:$E$5)),Membros!K$3,IF(AND(A203&gt;=Membros!J$3,A203&lt;=MAX(Membros!$E$2:$E$5)),Membros!K$3,0)))*IF(AND(COUNTIFS(Tabela3[Tipo],"Provedor",Tabela3[Simulação Seguro],"Sim")=2,A203&gt;=MAX(IF(Tabela3[Tipo]="Dependente",Tabela3[Expectativa de Vida (Data)]))),0,1)</f>
        <v>0</v>
      </c>
      <c r="S203" s="18">
        <f t="shared" si="30"/>
        <v>70000</v>
      </c>
      <c r="U203" s="18">
        <f t="shared" ca="1" si="33"/>
        <v>10976341.951704474</v>
      </c>
      <c r="V203" s="18">
        <f>SUMIF(Imóveis!E:E,Dados!A:A,Imóveis!Z:Z)-SUMIF(Imóveis!E:E,Dados!A:A,Imóveis!Y:Y)</f>
        <v>0</v>
      </c>
      <c r="W203" s="18">
        <f>-SUMIF(Projetos!N:N,A203,Projetos!F:F)</f>
        <v>0</v>
      </c>
      <c r="X203" s="18">
        <f t="shared" si="27"/>
        <v>27000</v>
      </c>
      <c r="Y203" s="26">
        <f ca="1">(U203*((Indicadores_Economicos!D$2+1)^(1/12)-1))</f>
        <v>35933.687310313813</v>
      </c>
      <c r="Z203" s="18">
        <f t="shared" ca="1" si="31"/>
        <v>11039275.639014788</v>
      </c>
      <c r="AA203" s="18">
        <f ca="1">Auxiliar_Projetos!E203</f>
        <v>99673.694261856988</v>
      </c>
      <c r="AB203" s="18">
        <f ca="1">Auxiliar_Projetos!K203</f>
        <v>555750.61709583236</v>
      </c>
      <c r="AC203" s="18">
        <f ca="1">IF(Z203-AA203-AB203&gt;Investimentos!$C$14,Investimentos!$C$14,IF(Z203-AA203-AB203&lt;Investimentos!$C$14,Z203-AA203-AB203,0))</f>
        <v>300000</v>
      </c>
      <c r="AD203" s="18">
        <f t="shared" ca="1" si="32"/>
        <v>10083851.3276571</v>
      </c>
      <c r="AE203" s="18"/>
    </row>
    <row r="204" spans="1:31" x14ac:dyDescent="0.2">
      <c r="A204" s="4">
        <v>51806</v>
      </c>
      <c r="B204" s="5" t="str">
        <f t="shared" si="28"/>
        <v>novembro</v>
      </c>
      <c r="C204" s="5" t="str">
        <f t="shared" si="26"/>
        <v>2041</v>
      </c>
      <c r="D204" s="5">
        <f>SUMIFS(Despesas!$F:$F,Despesas!$J:$J,"&lt;="&amp;$A204,Despesas!$L:$L,"&gt;="&amp;$A204,Despesas!$C:$C,D$1,Despesas!$M:$M,"Mensal")+SUMIFS(Despesas!$F:$F,Despesas!$J:$J,"&lt;="&amp;$A204,Despesas!$L:$L,"&gt;="&amp;$A204,Despesas!$C:$C,D$1,Despesas!$M:$M,$B204)</f>
        <v>23000</v>
      </c>
      <c r="E204" s="18">
        <f>SUMIFS(Despesas!$F:$F,Despesas!$J:$J,"&lt;="&amp;$A204,Despesas!$L:$L,"&gt;="&amp;$A204,Despesas!$C:$C,E$1,Despesas!$M:$M,"Mensal")+SUMIFS(Despesas!$F:$F,Despesas!$J:$J,"&lt;="&amp;$A204,Despesas!$L:$L,"&gt;="&amp;$A204,Despesas!$C:$C,E$1,Despesas!$M:$M,$B204)</f>
        <v>6000</v>
      </c>
      <c r="F204" s="5">
        <f>SUMIFS(Despesas!$F:$F,Despesas!$J:$J,"&lt;="&amp;$A204,Despesas!$L:$L,"&gt;="&amp;$A204,Despesas!$C:$C,F$1,Despesas!$M:$M,"Mensal")+SUMIFS(Despesas!$F:$F,Despesas!$J:$J,"&lt;="&amp;$A204,Despesas!$L:$L,"&gt;="&amp;$A204,Despesas!$C:$C,F$1,Despesas!$M:$M,$B204)</f>
        <v>13000</v>
      </c>
      <c r="G204" s="5">
        <f>SUMIFS(Despesas!$F:$F,Despesas!$J:$J,"&lt;="&amp;$A204,Despesas!$L:$L,"&gt;="&amp;$A204,Despesas!$C:$C,G$1,Despesas!$M:$M,"Mensal")+SUMIFS(Despesas!$F:$F,Despesas!$J:$J,"&lt;="&amp;$A204,Despesas!$L:$L,"&gt;="&amp;$A204,Despesas!$C:$C,G$1,Despesas!$M:$M,$B204)</f>
        <v>0</v>
      </c>
      <c r="H204" s="18">
        <f>SUMIFS(Despesas!$F:$F,Despesas!$J:$J,"&lt;="&amp;$A204,Despesas!$L:$L,"&gt;="&amp;$A204,Despesas!$C:$C,H$1,Despesas!$M:$M,"Mensal")+SUMIFS(Despesas!$F:$F,Despesas!$J:$J,"&lt;="&amp;$A204,Despesas!$L:$L,"&gt;="&amp;$A204,Despesas!$C:$C,H$1,Despesas!$M:$M,$B204)</f>
        <v>1000</v>
      </c>
      <c r="I204" s="18">
        <f>IF(Imóveis!$F$2="PRICE",IF(AND(Dados!$A204&gt;=Imóveis!$Q$2,Dados!$A204&lt;=Imóveis!$T$2),Imóveis!$U$2,0),IF((IF(AND(Dados!$A204&gt;=Imóveis!$Q$2,Dados!$A204&lt;=Imóveis!$T$2),Imóveis!$S$2-(DATEDIF(Imóveis!$Q$2,Dados!$A204,"m")),0))=0,0,((Imóveis!$N$2/Imóveis!$S$2)+((Imóveis!$N$2-((Imóveis!$S$2-(IF(AND(Dados!$A204&gt;=Imóveis!$Q$2,Dados!$A204&lt;=Imóveis!$T$2),Imóveis!$S$2-(DATEDIF(Imóveis!$Q$2,Dados!$A204,"m")),)))*(Imóveis!$N$2/Imóveis!$S$2)))*Imóveis!$P$2))))*IF(AND(Imóveis!$E$2&gt;0,Dados!$A204&gt;Imóveis!$E$2),0,1)</f>
        <v>0</v>
      </c>
      <c r="J204" s="18">
        <f>IF(Imóveis!$F$3="PRICE",IF(AND(Dados!$A204&gt;=Imóveis!$Q$3,Dados!$A204&lt;=Imóveis!$T$3),Imóveis!$U$3,0),IF((IF(AND(Dados!$A204&gt;=Imóveis!$Q$3,Dados!$A204&lt;=Imóveis!$T$3),Imóveis!$S$3-(DATEDIF(Imóveis!$Q$3,Dados!$A204,"m")),0))=0,0,((Imóveis!$N$3/Imóveis!$S$3)+((Imóveis!$N$3-((Imóveis!$S$3-(IF(AND(Dados!$A204&gt;=Imóveis!$Q$3,Dados!$A204&lt;=Imóveis!$T$3),Imóveis!$S$3-(DATEDIF(Imóveis!$Q$3,Dados!$A204,"m")),)))*(Imóveis!$N$3/Imóveis!$S$3)))*Imóveis!$P$3))))*IF(AND(Imóveis!$E$3&gt;0,Dados!$A204&gt;Imóveis!$E$3),0,1)</f>
        <v>0</v>
      </c>
      <c r="K204" s="18">
        <f>IF(Imóveis!$F$4="PRICE",IF(AND(Dados!$A204&gt;=Imóveis!$Q$4,Dados!$A204&lt;=Imóveis!$T$4),Imóveis!$U$4,0),IF((IF(AND(Dados!$A204&gt;=Imóveis!$Q$4,Dados!$A204&lt;=Imóveis!$T$4),Imóveis!$S$4-(DATEDIF(Imóveis!$Q$4,Dados!$A204,"m")),0))=0,0,((Imóveis!$N$4/Imóveis!$S$4)+((Imóveis!$N$4-((Imóveis!$S$4-(IF(AND(Dados!$A204&gt;=Imóveis!$Q$4,Dados!$A204&lt;=Imóveis!$T$4),Imóveis!$S$4-(DATEDIF(Imóveis!$Q$4,Dados!$A204,"m")),)))*(Imóveis!$N$4/Imóveis!$S$4)))*Imóveis!$P$4))))*IF(AND(Imóveis!$E$4&gt;0,Dados!$A204&gt;Imóveis!$E$4),0,1)</f>
        <v>0</v>
      </c>
      <c r="L204" s="18">
        <f>IF(Imóveis!$F$5="PRICE",IF(AND(Dados!$A204&gt;=Imóveis!$Q$5,Dados!$A204&lt;=Imóveis!$T$5),Imóveis!$U$5,0),IF((IF(AND(Dados!$A204&gt;=Imóveis!$Q$5,Dados!$A204&lt;=Imóveis!$T$5),Imóveis!$S$5-(DATEDIF(Imóveis!$Q$5,Dados!$A204,"m")),0))=0,0,((Imóveis!$N$5/Imóveis!$S$5)+((Imóveis!$N$5-((Imóveis!$S$5-(IF(AND(Dados!$A204 &gt;=Imóveis!$Q$5,Dados!$A204&lt;=Imóveis!$T$5),Imóveis!$S$5-(DATEDIF(Imóveis!$Q$5,Dados!$A204,"m")),)))*(Imóveis!$N$5/Imóveis!$S$5)))*Imóveis!$P$5))))*IF(AND(Imóveis!$E$5&gt;0,Dados!$A204&gt;Imóveis!$E$5),0,1)*Imóveis!$I$5</f>
        <v>0</v>
      </c>
      <c r="M204" s="18">
        <f>IF(Imóveis!$F$6="PRICE",IF(AND(Dados!$A204&gt;=Imóveis!$Q$6,Dados!$A204&lt;=Imóveis!$T$6),Imóveis!$U$6,0),IF((IF(AND(Dados!$A204&gt;=Imóveis!$Q$6,Dados!$A204&lt;=Imóveis!$T$6),Imóveis!$S$6-(DATEDIF(Imóveis!$Q$6,Dados!$A204,"m")),0))=0,0,((Imóveis!$N$6/Imóveis!$S$6)+((Imóveis!$N$6-((Imóveis!$S$6-(IF(AND(Dados!$A204&gt;=Imóveis!$Q$6,Dados!$A204&lt;=Imóveis!$T$6),Imóveis!$S$6-(DATEDIF(Imóveis!$Q$6,Dados!$A204,"m")),)))*(Imóveis!$N$6/Imóveis!$S$6)))*Imóveis!$P$6))))*IF(AND(Imóveis!$E$6&gt;0,Dados!$A204&gt;Imóveis!$E$6),0,1)*Imóveis!$I$6</f>
        <v>0</v>
      </c>
      <c r="N204" s="18">
        <f t="shared" si="29"/>
        <v>43000</v>
      </c>
      <c r="O204" s="18">
        <f>SUMIFS(Receitas!$F:$F,Receitas!$J:$J,"&lt;="&amp;$A204,Receitas!$L:$L,"&gt;="&amp;$A204,Receitas!$C:$C,O$1,Receitas!$M:$M,"Mensal")+SUMIFS(Receitas!$F:$F,Receitas!$J:$J,"&lt;="&amp;$A204,Receitas!$L:$L,"&gt;="&amp;$A204,Receitas!$C:$C,O$1,Receitas!$M:$M,$B204)</f>
        <v>50000</v>
      </c>
      <c r="P204" s="18">
        <f>SUMIFS(Receitas!$F:$F,Receitas!$J:$J,"&lt;="&amp;$A204,Receitas!$L:$L,"&gt;="&amp;$A204,Receitas!$C:$C,P$1,Receitas!$M:$M,"Mensal")+SUMIFS(Receitas!$F:$F,Receitas!$J:$J,"&lt;="&amp;$A204,Receitas!$L:$L,"&gt;="&amp;$A204,Receitas!$C:$C,P$1,Receitas!$M:$M,$B204)</f>
        <v>86666.666666666672</v>
      </c>
      <c r="Q204" s="18">
        <f>SUMIFS(Receitas!$F:$F,Receitas!$J:$J,"&lt;="&amp;$A204,Receitas!$L:$L,"&gt;="&amp;$A204,Receitas!$C:$C,Q$1,Receitas!$M:$M,"Mensal")+SUMIFS(Receitas!$F:$F,Receitas!$J:$J,"&lt;="&amp;$A204,Receitas!$L:$L,"&gt;="&amp;$A204,Receitas!$C:$C,Q$1,Receitas!$M:$M,$B204)</f>
        <v>0</v>
      </c>
      <c r="R204" s="18" cm="1">
        <f t="array" ref="R204">(IF(AND(Membros!$F$2="Sim",A204&lt;=MAX(Membros!$E$2:$E$5)),Membros!K$2,IF(AND(A204&gt;=Membros!J$2,A204&lt;=MAX(Membros!$E$2:$E$5)),Membros!K$2,0))+IF(AND(Membros!$F$3="Sim",A204&lt;=MAX(Membros!$E$2:$E$5)),Membros!K$3,IF(AND(A204&gt;=Membros!J$3,A204&lt;=MAX(Membros!$E$2:$E$5)),Membros!K$3,0)))*IF(AND(COUNTIFS(Tabela3[Tipo],"Provedor",Tabela3[Simulação Seguro],"Sim")=2,A204&gt;=MAX(IF(Tabela3[Tipo]="Dependente",Tabela3[Expectativa de Vida (Data)]))),0,1)</f>
        <v>0</v>
      </c>
      <c r="S204" s="18">
        <f t="shared" si="30"/>
        <v>136666.66666666669</v>
      </c>
      <c r="U204" s="18">
        <f t="shared" ca="1" si="33"/>
        <v>11039275.639014788</v>
      </c>
      <c r="V204" s="18">
        <f>SUMIF(Imóveis!E:E,Dados!A:A,Imóveis!Z:Z)-SUMIF(Imóveis!E:E,Dados!A:A,Imóveis!Y:Y)</f>
        <v>0</v>
      </c>
      <c r="W204" s="18">
        <f>-SUMIF(Projetos!N:N,A204,Projetos!F:F)</f>
        <v>0</v>
      </c>
      <c r="X204" s="18">
        <f t="shared" si="27"/>
        <v>93666.666666666686</v>
      </c>
      <c r="Y204" s="26">
        <f ca="1">(U204*((Indicadores_Economicos!D$2+1)^(1/12)-1))</f>
        <v>36139.715826102052</v>
      </c>
      <c r="Z204" s="18">
        <f t="shared" ca="1" si="31"/>
        <v>11169082.021507556</v>
      </c>
      <c r="AA204" s="18">
        <f ca="1">Auxiliar_Projetos!E204</f>
        <v>100000.00000000076</v>
      </c>
      <c r="AB204" s="18">
        <f ca="1">Auxiliar_Projetos!K204</f>
        <v>557570.00000000058</v>
      </c>
      <c r="AC204" s="18">
        <f ca="1">IF(Z204-AA204-AB204&gt;Investimentos!$C$14,Investimentos!$C$14,IF(Z204-AA204-AB204&lt;Investimentos!$C$14,Z204-AA204-AB204,0))</f>
        <v>300000</v>
      </c>
      <c r="AD204" s="18">
        <f t="shared" ca="1" si="32"/>
        <v>10211512.021507556</v>
      </c>
      <c r="AE204" s="18"/>
    </row>
    <row r="205" spans="1:31" x14ac:dyDescent="0.2">
      <c r="A205" s="4">
        <v>51836</v>
      </c>
      <c r="B205" s="5" t="str">
        <f t="shared" si="28"/>
        <v>dezembro</v>
      </c>
      <c r="C205" s="5" t="str">
        <f t="shared" si="26"/>
        <v>2041</v>
      </c>
      <c r="D205" s="5">
        <f>SUMIFS(Despesas!$F:$F,Despesas!$J:$J,"&lt;="&amp;$A205,Despesas!$L:$L,"&gt;="&amp;$A205,Despesas!$C:$C,D$1,Despesas!$M:$M,"Mensal")+SUMIFS(Despesas!$F:$F,Despesas!$J:$J,"&lt;="&amp;$A205,Despesas!$L:$L,"&gt;="&amp;$A205,Despesas!$C:$C,D$1,Despesas!$M:$M,$B205)</f>
        <v>23000</v>
      </c>
      <c r="E205" s="18">
        <f>SUMIFS(Despesas!$F:$F,Despesas!$J:$J,"&lt;="&amp;$A205,Despesas!$L:$L,"&gt;="&amp;$A205,Despesas!$C:$C,E$1,Despesas!$M:$M,"Mensal")+SUMIFS(Despesas!$F:$F,Despesas!$J:$J,"&lt;="&amp;$A205,Despesas!$L:$L,"&gt;="&amp;$A205,Despesas!$C:$C,E$1,Despesas!$M:$M,$B205)</f>
        <v>6000</v>
      </c>
      <c r="F205" s="5">
        <f>SUMIFS(Despesas!$F:$F,Despesas!$J:$J,"&lt;="&amp;$A205,Despesas!$L:$L,"&gt;="&amp;$A205,Despesas!$C:$C,F$1,Despesas!$M:$M,"Mensal")+SUMIFS(Despesas!$F:$F,Despesas!$J:$J,"&lt;="&amp;$A205,Despesas!$L:$L,"&gt;="&amp;$A205,Despesas!$C:$C,F$1,Despesas!$M:$M,$B205)</f>
        <v>13000</v>
      </c>
      <c r="G205" s="5">
        <f ca="1">SUMIFS(Despesas!$F:$F,Despesas!$J:$J,"&lt;="&amp;$A205,Despesas!$L:$L,"&gt;="&amp;$A205,Despesas!$C:$C,G$1,Despesas!$M:$M,"Mensal")+SUMIFS(Despesas!$F:$F,Despesas!$J:$J,"&lt;="&amp;$A205,Despesas!$L:$L,"&gt;="&amp;$A205,Despesas!$C:$C,G$1,Despesas!$M:$M,$B205)</f>
        <v>55757</v>
      </c>
      <c r="H205" s="18">
        <f>SUMIFS(Despesas!$F:$F,Despesas!$J:$J,"&lt;="&amp;$A205,Despesas!$L:$L,"&gt;="&amp;$A205,Despesas!$C:$C,H$1,Despesas!$M:$M,"Mensal")+SUMIFS(Despesas!$F:$F,Despesas!$J:$J,"&lt;="&amp;$A205,Despesas!$L:$L,"&gt;="&amp;$A205,Despesas!$C:$C,H$1,Despesas!$M:$M,$B205)</f>
        <v>1000</v>
      </c>
      <c r="I205" s="18">
        <f>IF(Imóveis!$F$2="PRICE",IF(AND(Dados!$A205&gt;=Imóveis!$Q$2,Dados!$A205&lt;=Imóveis!$T$2),Imóveis!$U$2,0),IF((IF(AND(Dados!$A205&gt;=Imóveis!$Q$2,Dados!$A205&lt;=Imóveis!$T$2),Imóveis!$S$2-(DATEDIF(Imóveis!$Q$2,Dados!$A205,"m")),0))=0,0,((Imóveis!$N$2/Imóveis!$S$2)+((Imóveis!$N$2-((Imóveis!$S$2-(IF(AND(Dados!$A205&gt;=Imóveis!$Q$2,Dados!$A205&lt;=Imóveis!$T$2),Imóveis!$S$2-(DATEDIF(Imóveis!$Q$2,Dados!$A205,"m")),)))*(Imóveis!$N$2/Imóveis!$S$2)))*Imóveis!$P$2))))*IF(AND(Imóveis!$E$2&gt;0,Dados!$A205&gt;Imóveis!$E$2),0,1)</f>
        <v>0</v>
      </c>
      <c r="J205" s="18">
        <f>IF(Imóveis!$F$3="PRICE",IF(AND(Dados!$A205&gt;=Imóveis!$Q$3,Dados!$A205&lt;=Imóveis!$T$3),Imóveis!$U$3,0),IF((IF(AND(Dados!$A205&gt;=Imóveis!$Q$3,Dados!$A205&lt;=Imóveis!$T$3),Imóveis!$S$3-(DATEDIF(Imóveis!$Q$3,Dados!$A205,"m")),0))=0,0,((Imóveis!$N$3/Imóveis!$S$3)+((Imóveis!$N$3-((Imóveis!$S$3-(IF(AND(Dados!$A205&gt;=Imóveis!$Q$3,Dados!$A205&lt;=Imóveis!$T$3),Imóveis!$S$3-(DATEDIF(Imóveis!$Q$3,Dados!$A205,"m")),)))*(Imóveis!$N$3/Imóveis!$S$3)))*Imóveis!$P$3))))*IF(AND(Imóveis!$E$3&gt;0,Dados!$A205&gt;Imóveis!$E$3),0,1)</f>
        <v>0</v>
      </c>
      <c r="K205" s="18">
        <f>IF(Imóveis!$F$4="PRICE",IF(AND(Dados!$A205&gt;=Imóveis!$Q$4,Dados!$A205&lt;=Imóveis!$T$4),Imóveis!$U$4,0),IF((IF(AND(Dados!$A205&gt;=Imóveis!$Q$4,Dados!$A205&lt;=Imóveis!$T$4),Imóveis!$S$4-(DATEDIF(Imóveis!$Q$4,Dados!$A205,"m")),0))=0,0,((Imóveis!$N$4/Imóveis!$S$4)+((Imóveis!$N$4-((Imóveis!$S$4-(IF(AND(Dados!$A205&gt;=Imóveis!$Q$4,Dados!$A205&lt;=Imóveis!$T$4),Imóveis!$S$4-(DATEDIF(Imóveis!$Q$4,Dados!$A205,"m")),)))*(Imóveis!$N$4/Imóveis!$S$4)))*Imóveis!$P$4))))*IF(AND(Imóveis!$E$4&gt;0,Dados!$A205&gt;Imóveis!$E$4),0,1)</f>
        <v>0</v>
      </c>
      <c r="L205" s="18">
        <f>IF(Imóveis!$F$5="PRICE",IF(AND(Dados!$A205&gt;=Imóveis!$Q$5,Dados!$A205&lt;=Imóveis!$T$5),Imóveis!$U$5,0),IF((IF(AND(Dados!$A205&gt;=Imóveis!$Q$5,Dados!$A205&lt;=Imóveis!$T$5),Imóveis!$S$5-(DATEDIF(Imóveis!$Q$5,Dados!$A205,"m")),0))=0,0,((Imóveis!$N$5/Imóveis!$S$5)+((Imóveis!$N$5-((Imóveis!$S$5-(IF(AND(Dados!$A205 &gt;=Imóveis!$Q$5,Dados!$A205&lt;=Imóveis!$T$5),Imóveis!$S$5-(DATEDIF(Imóveis!$Q$5,Dados!$A205,"m")),)))*(Imóveis!$N$5/Imóveis!$S$5)))*Imóveis!$P$5))))*IF(AND(Imóveis!$E$5&gt;0,Dados!$A205&gt;Imóveis!$E$5),0,1)*Imóveis!$I$5</f>
        <v>0</v>
      </c>
      <c r="M205" s="18">
        <f>IF(Imóveis!$F$6="PRICE",IF(AND(Dados!$A205&gt;=Imóveis!$Q$6,Dados!$A205&lt;=Imóveis!$T$6),Imóveis!$U$6,0),IF((IF(AND(Dados!$A205&gt;=Imóveis!$Q$6,Dados!$A205&lt;=Imóveis!$T$6),Imóveis!$S$6-(DATEDIF(Imóveis!$Q$6,Dados!$A205,"m")),0))=0,0,((Imóveis!$N$6/Imóveis!$S$6)+((Imóveis!$N$6-((Imóveis!$S$6-(IF(AND(Dados!$A205&gt;=Imóveis!$Q$6,Dados!$A205&lt;=Imóveis!$T$6),Imóveis!$S$6-(DATEDIF(Imóveis!$Q$6,Dados!$A205,"m")),)))*(Imóveis!$N$6/Imóveis!$S$6)))*Imóveis!$P$6))))*IF(AND(Imóveis!$E$6&gt;0,Dados!$A205&gt;Imóveis!$E$6),0,1)*Imóveis!$I$6</f>
        <v>0</v>
      </c>
      <c r="N205" s="18">
        <f t="shared" ca="1" si="29"/>
        <v>98757</v>
      </c>
      <c r="O205" s="18">
        <f>SUMIFS(Receitas!$F:$F,Receitas!$J:$J,"&lt;="&amp;$A205,Receitas!$L:$L,"&gt;="&amp;$A205,Receitas!$C:$C,O$1,Receitas!$M:$M,"Mensal")+SUMIFS(Receitas!$F:$F,Receitas!$J:$J,"&lt;="&amp;$A205,Receitas!$L:$L,"&gt;="&amp;$A205,Receitas!$C:$C,O$1,Receitas!$M:$M,$B205)</f>
        <v>50000</v>
      </c>
      <c r="P205" s="18">
        <f>SUMIFS(Receitas!$F:$F,Receitas!$J:$J,"&lt;="&amp;$A205,Receitas!$L:$L,"&gt;="&amp;$A205,Receitas!$C:$C,P$1,Receitas!$M:$M,"Mensal")+SUMIFS(Receitas!$F:$F,Receitas!$J:$J,"&lt;="&amp;$A205,Receitas!$L:$L,"&gt;="&amp;$A205,Receitas!$C:$C,P$1,Receitas!$M:$M,$B205)</f>
        <v>20000</v>
      </c>
      <c r="Q205" s="18">
        <f>SUMIFS(Receitas!$F:$F,Receitas!$J:$J,"&lt;="&amp;$A205,Receitas!$L:$L,"&gt;="&amp;$A205,Receitas!$C:$C,Q$1,Receitas!$M:$M,"Mensal")+SUMIFS(Receitas!$F:$F,Receitas!$J:$J,"&lt;="&amp;$A205,Receitas!$L:$L,"&gt;="&amp;$A205,Receitas!$C:$C,Q$1,Receitas!$M:$M,$B205)</f>
        <v>0</v>
      </c>
      <c r="R205" s="18" cm="1">
        <f t="array" ref="R205">(IF(AND(Membros!$F$2="Sim",A205&lt;=MAX(Membros!$E$2:$E$5)),Membros!K$2,IF(AND(A205&gt;=Membros!J$2,A205&lt;=MAX(Membros!$E$2:$E$5)),Membros!K$2,0))+IF(AND(Membros!$F$3="Sim",A205&lt;=MAX(Membros!$E$2:$E$5)),Membros!K$3,IF(AND(A205&gt;=Membros!J$3,A205&lt;=MAX(Membros!$E$2:$E$5)),Membros!K$3,0)))*IF(AND(COUNTIFS(Tabela3[Tipo],"Provedor",Tabela3[Simulação Seguro],"Sim")=2,A205&gt;=MAX(IF(Tabela3[Tipo]="Dependente",Tabela3[Expectativa de Vida (Data)]))),0,1)</f>
        <v>0</v>
      </c>
      <c r="S205" s="18">
        <f t="shared" si="30"/>
        <v>70000</v>
      </c>
      <c r="U205" s="18">
        <f t="shared" ca="1" si="33"/>
        <v>11169082.021507556</v>
      </c>
      <c r="V205" s="18">
        <f>SUMIF(Imóveis!E:E,Dados!A:A,Imóveis!Z:Z)-SUMIF(Imóveis!E:E,Dados!A:A,Imóveis!Y:Y)</f>
        <v>0</v>
      </c>
      <c r="W205" s="18">
        <f ca="1">-SUMIF(Projetos!N:N,A205,Projetos!F:F)</f>
        <v>-657570</v>
      </c>
      <c r="X205" s="18">
        <f t="shared" ca="1" si="27"/>
        <v>-28757</v>
      </c>
      <c r="Y205" s="26">
        <f ca="1">(U205*((Indicadores_Economicos!D$2+1)^(1/12)-1))</f>
        <v>36564.668144451956</v>
      </c>
      <c r="Z205" s="18">
        <f t="shared" ca="1" si="31"/>
        <v>10519319.689652007</v>
      </c>
      <c r="AA205" s="18">
        <f ca="1">Auxiliar_Projetos!E205</f>
        <v>7.5917682943217143E-10</v>
      </c>
      <c r="AB205" s="18">
        <f ca="1">Auxiliar_Projetos!K205</f>
        <v>5.8398217648628573E-10</v>
      </c>
      <c r="AC205" s="18">
        <f ca="1">IF(Z205-AA205-AB205&gt;Investimentos!$C$14,Investimentos!$C$14,IF(Z205-AA205-AB205&lt;Investimentos!$C$14,Z205-AA205-AB205,0))</f>
        <v>300000</v>
      </c>
      <c r="AD205" s="18">
        <f t="shared" ca="1" si="32"/>
        <v>10219319.689652007</v>
      </c>
      <c r="AE205" s="18"/>
    </row>
    <row r="206" spans="1:31" x14ac:dyDescent="0.2">
      <c r="A206" s="4">
        <v>51867</v>
      </c>
      <c r="B206" s="5" t="str">
        <f t="shared" si="28"/>
        <v>janeiro</v>
      </c>
      <c r="C206" s="5" t="str">
        <f t="shared" si="26"/>
        <v>2042</v>
      </c>
      <c r="D206" s="5">
        <f>SUMIFS(Despesas!$F:$F,Despesas!$J:$J,"&lt;="&amp;$A206,Despesas!$L:$L,"&gt;="&amp;$A206,Despesas!$C:$C,D$1,Despesas!$M:$M,"Mensal")+SUMIFS(Despesas!$F:$F,Despesas!$J:$J,"&lt;="&amp;$A206,Despesas!$L:$L,"&gt;="&amp;$A206,Despesas!$C:$C,D$1,Despesas!$M:$M,$B206)</f>
        <v>23000</v>
      </c>
      <c r="E206" s="18">
        <f>SUMIFS(Despesas!$F:$F,Despesas!$J:$J,"&lt;="&amp;$A206,Despesas!$L:$L,"&gt;="&amp;$A206,Despesas!$C:$C,E$1,Despesas!$M:$M,"Mensal")+SUMIFS(Despesas!$F:$F,Despesas!$J:$J,"&lt;="&amp;$A206,Despesas!$L:$L,"&gt;="&amp;$A206,Despesas!$C:$C,E$1,Despesas!$M:$M,$B206)</f>
        <v>6000</v>
      </c>
      <c r="F206" s="5">
        <f>SUMIFS(Despesas!$F:$F,Despesas!$J:$J,"&lt;="&amp;$A206,Despesas!$L:$L,"&gt;="&amp;$A206,Despesas!$C:$C,F$1,Despesas!$M:$M,"Mensal")+SUMIFS(Despesas!$F:$F,Despesas!$J:$J,"&lt;="&amp;$A206,Despesas!$L:$L,"&gt;="&amp;$A206,Despesas!$C:$C,F$1,Despesas!$M:$M,$B206)</f>
        <v>13000</v>
      </c>
      <c r="G206" s="5">
        <f>SUMIFS(Despesas!$F:$F,Despesas!$J:$J,"&lt;="&amp;$A206,Despesas!$L:$L,"&gt;="&amp;$A206,Despesas!$C:$C,G$1,Despesas!$M:$M,"Mensal")+SUMIFS(Despesas!$F:$F,Despesas!$J:$J,"&lt;="&amp;$A206,Despesas!$L:$L,"&gt;="&amp;$A206,Despesas!$C:$C,G$1,Despesas!$M:$M,$B206)</f>
        <v>0</v>
      </c>
      <c r="H206" s="18">
        <f>SUMIFS(Despesas!$F:$F,Despesas!$J:$J,"&lt;="&amp;$A206,Despesas!$L:$L,"&gt;="&amp;$A206,Despesas!$C:$C,H$1,Despesas!$M:$M,"Mensal")+SUMIFS(Despesas!$F:$F,Despesas!$J:$J,"&lt;="&amp;$A206,Despesas!$L:$L,"&gt;="&amp;$A206,Despesas!$C:$C,H$1,Despesas!$M:$M,$B206)</f>
        <v>1000</v>
      </c>
      <c r="I206" s="18">
        <f>IF(Imóveis!$F$2="PRICE",IF(AND(Dados!$A206&gt;=Imóveis!$Q$2,Dados!$A206&lt;=Imóveis!$T$2),Imóveis!$U$2,0),IF((IF(AND(Dados!$A206&gt;=Imóveis!$Q$2,Dados!$A206&lt;=Imóveis!$T$2),Imóveis!$S$2-(DATEDIF(Imóveis!$Q$2,Dados!$A206,"m")),0))=0,0,((Imóveis!$N$2/Imóveis!$S$2)+((Imóveis!$N$2-((Imóveis!$S$2-(IF(AND(Dados!$A206&gt;=Imóveis!$Q$2,Dados!$A206&lt;=Imóveis!$T$2),Imóveis!$S$2-(DATEDIF(Imóveis!$Q$2,Dados!$A206,"m")),)))*(Imóveis!$N$2/Imóveis!$S$2)))*Imóveis!$P$2))))*IF(AND(Imóveis!$E$2&gt;0,Dados!$A206&gt;Imóveis!$E$2),0,1)</f>
        <v>0</v>
      </c>
      <c r="J206" s="18">
        <f>IF(Imóveis!$F$3="PRICE",IF(AND(Dados!$A206&gt;=Imóveis!$Q$3,Dados!$A206&lt;=Imóveis!$T$3),Imóveis!$U$3,0),IF((IF(AND(Dados!$A206&gt;=Imóveis!$Q$3,Dados!$A206&lt;=Imóveis!$T$3),Imóveis!$S$3-(DATEDIF(Imóveis!$Q$3,Dados!$A206,"m")),0))=0,0,((Imóveis!$N$3/Imóveis!$S$3)+((Imóveis!$N$3-((Imóveis!$S$3-(IF(AND(Dados!$A206&gt;=Imóveis!$Q$3,Dados!$A206&lt;=Imóveis!$T$3),Imóveis!$S$3-(DATEDIF(Imóveis!$Q$3,Dados!$A206,"m")),)))*(Imóveis!$N$3/Imóveis!$S$3)))*Imóveis!$P$3))))*IF(AND(Imóveis!$E$3&gt;0,Dados!$A206&gt;Imóveis!$E$3),0,1)</f>
        <v>0</v>
      </c>
      <c r="K206" s="18">
        <f>IF(Imóveis!$F$4="PRICE",IF(AND(Dados!$A206&gt;=Imóveis!$Q$4,Dados!$A206&lt;=Imóveis!$T$4),Imóveis!$U$4,0),IF((IF(AND(Dados!$A206&gt;=Imóveis!$Q$4,Dados!$A206&lt;=Imóveis!$T$4),Imóveis!$S$4-(DATEDIF(Imóveis!$Q$4,Dados!$A206,"m")),0))=0,0,((Imóveis!$N$4/Imóveis!$S$4)+((Imóveis!$N$4-((Imóveis!$S$4-(IF(AND(Dados!$A206&gt;=Imóveis!$Q$4,Dados!$A206&lt;=Imóveis!$T$4),Imóveis!$S$4-(DATEDIF(Imóveis!$Q$4,Dados!$A206,"m")),)))*(Imóveis!$N$4/Imóveis!$S$4)))*Imóveis!$P$4))))*IF(AND(Imóveis!$E$4&gt;0,Dados!$A206&gt;Imóveis!$E$4),0,1)</f>
        <v>0</v>
      </c>
      <c r="L206" s="18">
        <f>IF(Imóveis!$F$5="PRICE",IF(AND(Dados!$A206&gt;=Imóveis!$Q$5,Dados!$A206&lt;=Imóveis!$T$5),Imóveis!$U$5,0),IF((IF(AND(Dados!$A206&gt;=Imóveis!$Q$5,Dados!$A206&lt;=Imóveis!$T$5),Imóveis!$S$5-(DATEDIF(Imóveis!$Q$5,Dados!$A206,"m")),0))=0,0,((Imóveis!$N$5/Imóveis!$S$5)+((Imóveis!$N$5-((Imóveis!$S$5-(IF(AND(Dados!$A206 &gt;=Imóveis!$Q$5,Dados!$A206&lt;=Imóveis!$T$5),Imóveis!$S$5-(DATEDIF(Imóveis!$Q$5,Dados!$A206,"m")),)))*(Imóveis!$N$5/Imóveis!$S$5)))*Imóveis!$P$5))))*IF(AND(Imóveis!$E$5&gt;0,Dados!$A206&gt;Imóveis!$E$5),0,1)*Imóveis!$I$5</f>
        <v>0</v>
      </c>
      <c r="M206" s="18">
        <f>IF(Imóveis!$F$6="PRICE",IF(AND(Dados!$A206&gt;=Imóveis!$Q$6,Dados!$A206&lt;=Imóveis!$T$6),Imóveis!$U$6,0),IF((IF(AND(Dados!$A206&gt;=Imóveis!$Q$6,Dados!$A206&lt;=Imóveis!$T$6),Imóveis!$S$6-(DATEDIF(Imóveis!$Q$6,Dados!$A206,"m")),0))=0,0,((Imóveis!$N$6/Imóveis!$S$6)+((Imóveis!$N$6-((Imóveis!$S$6-(IF(AND(Dados!$A206&gt;=Imóveis!$Q$6,Dados!$A206&lt;=Imóveis!$T$6),Imóveis!$S$6-(DATEDIF(Imóveis!$Q$6,Dados!$A206,"m")),)))*(Imóveis!$N$6/Imóveis!$S$6)))*Imóveis!$P$6))))*IF(AND(Imóveis!$E$6&gt;0,Dados!$A206&gt;Imóveis!$E$6),0,1)*Imóveis!$I$6</f>
        <v>0</v>
      </c>
      <c r="N206" s="18">
        <f t="shared" si="29"/>
        <v>43000</v>
      </c>
      <c r="O206" s="18">
        <f>SUMIFS(Receitas!$F:$F,Receitas!$J:$J,"&lt;="&amp;$A206,Receitas!$L:$L,"&gt;="&amp;$A206,Receitas!$C:$C,O$1,Receitas!$M:$M,"Mensal")+SUMIFS(Receitas!$F:$F,Receitas!$J:$J,"&lt;="&amp;$A206,Receitas!$L:$L,"&gt;="&amp;$A206,Receitas!$C:$C,O$1,Receitas!$M:$M,$B206)</f>
        <v>50000</v>
      </c>
      <c r="P206" s="18">
        <f>SUMIFS(Receitas!$F:$F,Receitas!$J:$J,"&lt;="&amp;$A206,Receitas!$L:$L,"&gt;="&amp;$A206,Receitas!$C:$C,P$1,Receitas!$M:$M,"Mensal")+SUMIFS(Receitas!$F:$F,Receitas!$J:$J,"&lt;="&amp;$A206,Receitas!$L:$L,"&gt;="&amp;$A206,Receitas!$C:$C,P$1,Receitas!$M:$M,$B206)</f>
        <v>20000</v>
      </c>
      <c r="Q206" s="18">
        <f>SUMIFS(Receitas!$F:$F,Receitas!$J:$J,"&lt;="&amp;$A206,Receitas!$L:$L,"&gt;="&amp;$A206,Receitas!$C:$C,Q$1,Receitas!$M:$M,"Mensal")+SUMIFS(Receitas!$F:$F,Receitas!$J:$J,"&lt;="&amp;$A206,Receitas!$L:$L,"&gt;="&amp;$A206,Receitas!$C:$C,Q$1,Receitas!$M:$M,$B206)</f>
        <v>0</v>
      </c>
      <c r="R206" s="18" cm="1">
        <f t="array" ref="R206">(IF(AND(Membros!$F$2="Sim",A206&lt;=MAX(Membros!$E$2:$E$5)),Membros!K$2,IF(AND(A206&gt;=Membros!J$2,A206&lt;=MAX(Membros!$E$2:$E$5)),Membros!K$2,0))+IF(AND(Membros!$F$3="Sim",A206&lt;=MAX(Membros!$E$2:$E$5)),Membros!K$3,IF(AND(A206&gt;=Membros!J$3,A206&lt;=MAX(Membros!$E$2:$E$5)),Membros!K$3,0)))*IF(AND(COUNTIFS(Tabela3[Tipo],"Provedor",Tabela3[Simulação Seguro],"Sim")=2,A206&gt;=MAX(IF(Tabela3[Tipo]="Dependente",Tabela3[Expectativa de Vida (Data)]))),0,1)</f>
        <v>0</v>
      </c>
      <c r="S206" s="18">
        <f t="shared" si="30"/>
        <v>70000</v>
      </c>
      <c r="U206" s="18">
        <f t="shared" ca="1" si="33"/>
        <v>10519319.689652007</v>
      </c>
      <c r="V206" s="18">
        <f>SUMIF(Imóveis!E:E,Dados!A:A,Imóveis!Z:Z)-SUMIF(Imóveis!E:E,Dados!A:A,Imóveis!Y:Y)</f>
        <v>0</v>
      </c>
      <c r="W206" s="18">
        <f>-SUMIF(Projetos!N:N,A206,Projetos!F:F)</f>
        <v>0</v>
      </c>
      <c r="X206" s="18">
        <f t="shared" si="27"/>
        <v>27000</v>
      </c>
      <c r="Y206" s="26">
        <f ca="1">(U206*((Indicadores_Economicos!D$2+1)^(1/12)-1))</f>
        <v>34437.515349682115</v>
      </c>
      <c r="Z206" s="18">
        <f t="shared" ca="1" si="31"/>
        <v>10580757.205001689</v>
      </c>
      <c r="AA206" s="18">
        <f ca="1">Auxiliar_Projetos!E206</f>
        <v>7.6166217682040719E-10</v>
      </c>
      <c r="AB206" s="18">
        <f ca="1">Auxiliar_Projetos!K206</f>
        <v>5.8589398216954397E-10</v>
      </c>
      <c r="AC206" s="18">
        <f ca="1">IF(Z206-AA206-AB206&gt;Investimentos!$C$14,Investimentos!$C$14,IF(Z206-AA206-AB206&lt;Investimentos!$C$14,Z206-AA206-AB206,0))</f>
        <v>300000</v>
      </c>
      <c r="AD206" s="18">
        <f t="shared" ca="1" si="32"/>
        <v>10280757.205001689</v>
      </c>
      <c r="AE206" s="18"/>
    </row>
    <row r="207" spans="1:31" x14ac:dyDescent="0.2">
      <c r="A207" s="4">
        <v>51898</v>
      </c>
      <c r="B207" s="5" t="str">
        <f t="shared" si="28"/>
        <v>fevereiro</v>
      </c>
      <c r="C207" s="5" t="str">
        <f t="shared" si="26"/>
        <v>2042</v>
      </c>
      <c r="D207" s="5">
        <f>SUMIFS(Despesas!$F:$F,Despesas!$J:$J,"&lt;="&amp;$A207,Despesas!$L:$L,"&gt;="&amp;$A207,Despesas!$C:$C,D$1,Despesas!$M:$M,"Mensal")+SUMIFS(Despesas!$F:$F,Despesas!$J:$J,"&lt;="&amp;$A207,Despesas!$L:$L,"&gt;="&amp;$A207,Despesas!$C:$C,D$1,Despesas!$M:$M,$B207)</f>
        <v>23000</v>
      </c>
      <c r="E207" s="18">
        <f>SUMIFS(Despesas!$F:$F,Despesas!$J:$J,"&lt;="&amp;$A207,Despesas!$L:$L,"&gt;="&amp;$A207,Despesas!$C:$C,E$1,Despesas!$M:$M,"Mensal")+SUMIFS(Despesas!$F:$F,Despesas!$J:$J,"&lt;="&amp;$A207,Despesas!$L:$L,"&gt;="&amp;$A207,Despesas!$C:$C,E$1,Despesas!$M:$M,$B207)</f>
        <v>6000</v>
      </c>
      <c r="F207" s="5">
        <f>SUMIFS(Despesas!$F:$F,Despesas!$J:$J,"&lt;="&amp;$A207,Despesas!$L:$L,"&gt;="&amp;$A207,Despesas!$C:$C,F$1,Despesas!$M:$M,"Mensal")+SUMIFS(Despesas!$F:$F,Despesas!$J:$J,"&lt;="&amp;$A207,Despesas!$L:$L,"&gt;="&amp;$A207,Despesas!$C:$C,F$1,Despesas!$M:$M,$B207)</f>
        <v>13000</v>
      </c>
      <c r="G207" s="5">
        <f>SUMIFS(Despesas!$F:$F,Despesas!$J:$J,"&lt;="&amp;$A207,Despesas!$L:$L,"&gt;="&amp;$A207,Despesas!$C:$C,G$1,Despesas!$M:$M,"Mensal")+SUMIFS(Despesas!$F:$F,Despesas!$J:$J,"&lt;="&amp;$A207,Despesas!$L:$L,"&gt;="&amp;$A207,Despesas!$C:$C,G$1,Despesas!$M:$M,$B207)</f>
        <v>0</v>
      </c>
      <c r="H207" s="18">
        <f>SUMIFS(Despesas!$F:$F,Despesas!$J:$J,"&lt;="&amp;$A207,Despesas!$L:$L,"&gt;="&amp;$A207,Despesas!$C:$C,H$1,Despesas!$M:$M,"Mensal")+SUMIFS(Despesas!$F:$F,Despesas!$J:$J,"&lt;="&amp;$A207,Despesas!$L:$L,"&gt;="&amp;$A207,Despesas!$C:$C,H$1,Despesas!$M:$M,$B207)</f>
        <v>2200</v>
      </c>
      <c r="I207" s="18">
        <f>IF(Imóveis!$F$2="PRICE",IF(AND(Dados!$A207&gt;=Imóveis!$Q$2,Dados!$A207&lt;=Imóveis!$T$2),Imóveis!$U$2,0),IF((IF(AND(Dados!$A207&gt;=Imóveis!$Q$2,Dados!$A207&lt;=Imóveis!$T$2),Imóveis!$S$2-(DATEDIF(Imóveis!$Q$2,Dados!$A207,"m")),0))=0,0,((Imóveis!$N$2/Imóveis!$S$2)+((Imóveis!$N$2-((Imóveis!$S$2-(IF(AND(Dados!$A207&gt;=Imóveis!$Q$2,Dados!$A207&lt;=Imóveis!$T$2),Imóveis!$S$2-(DATEDIF(Imóveis!$Q$2,Dados!$A207,"m")),)))*(Imóveis!$N$2/Imóveis!$S$2)))*Imóveis!$P$2))))*IF(AND(Imóveis!$E$2&gt;0,Dados!$A207&gt;Imóveis!$E$2),0,1)</f>
        <v>0</v>
      </c>
      <c r="J207" s="18">
        <f>IF(Imóveis!$F$3="PRICE",IF(AND(Dados!$A207&gt;=Imóveis!$Q$3,Dados!$A207&lt;=Imóveis!$T$3),Imóveis!$U$3,0),IF((IF(AND(Dados!$A207&gt;=Imóveis!$Q$3,Dados!$A207&lt;=Imóveis!$T$3),Imóveis!$S$3-(DATEDIF(Imóveis!$Q$3,Dados!$A207,"m")),0))=0,0,((Imóveis!$N$3/Imóveis!$S$3)+((Imóveis!$N$3-((Imóveis!$S$3-(IF(AND(Dados!$A207&gt;=Imóveis!$Q$3,Dados!$A207&lt;=Imóveis!$T$3),Imóveis!$S$3-(DATEDIF(Imóveis!$Q$3,Dados!$A207,"m")),)))*(Imóveis!$N$3/Imóveis!$S$3)))*Imóveis!$P$3))))*IF(AND(Imóveis!$E$3&gt;0,Dados!$A207&gt;Imóveis!$E$3),0,1)</f>
        <v>0</v>
      </c>
      <c r="K207" s="18">
        <f>IF(Imóveis!$F$4="PRICE",IF(AND(Dados!$A207&gt;=Imóveis!$Q$4,Dados!$A207&lt;=Imóveis!$T$4),Imóveis!$U$4,0),IF((IF(AND(Dados!$A207&gt;=Imóveis!$Q$4,Dados!$A207&lt;=Imóveis!$T$4),Imóveis!$S$4-(DATEDIF(Imóveis!$Q$4,Dados!$A207,"m")),0))=0,0,((Imóveis!$N$4/Imóveis!$S$4)+((Imóveis!$N$4-((Imóveis!$S$4-(IF(AND(Dados!$A207&gt;=Imóveis!$Q$4,Dados!$A207&lt;=Imóveis!$T$4),Imóveis!$S$4-(DATEDIF(Imóveis!$Q$4,Dados!$A207,"m")),)))*(Imóveis!$N$4/Imóveis!$S$4)))*Imóveis!$P$4))))*IF(AND(Imóveis!$E$4&gt;0,Dados!$A207&gt;Imóveis!$E$4),0,1)</f>
        <v>0</v>
      </c>
      <c r="L207" s="18">
        <f>IF(Imóveis!$F$5="PRICE",IF(AND(Dados!$A207&gt;=Imóveis!$Q$5,Dados!$A207&lt;=Imóveis!$T$5),Imóveis!$U$5,0),IF((IF(AND(Dados!$A207&gt;=Imóveis!$Q$5,Dados!$A207&lt;=Imóveis!$T$5),Imóveis!$S$5-(DATEDIF(Imóveis!$Q$5,Dados!$A207,"m")),0))=0,0,((Imóveis!$N$5/Imóveis!$S$5)+((Imóveis!$N$5-((Imóveis!$S$5-(IF(AND(Dados!$A207 &gt;=Imóveis!$Q$5,Dados!$A207&lt;=Imóveis!$T$5),Imóveis!$S$5-(DATEDIF(Imóveis!$Q$5,Dados!$A207,"m")),)))*(Imóveis!$N$5/Imóveis!$S$5)))*Imóveis!$P$5))))*IF(AND(Imóveis!$E$5&gt;0,Dados!$A207&gt;Imóveis!$E$5),0,1)*Imóveis!$I$5</f>
        <v>0</v>
      </c>
      <c r="M207" s="18">
        <f>IF(Imóveis!$F$6="PRICE",IF(AND(Dados!$A207&gt;=Imóveis!$Q$6,Dados!$A207&lt;=Imóveis!$T$6),Imóveis!$U$6,0),IF((IF(AND(Dados!$A207&gt;=Imóveis!$Q$6,Dados!$A207&lt;=Imóveis!$T$6),Imóveis!$S$6-(DATEDIF(Imóveis!$Q$6,Dados!$A207,"m")),0))=0,0,((Imóveis!$N$6/Imóveis!$S$6)+((Imóveis!$N$6-((Imóveis!$S$6-(IF(AND(Dados!$A207&gt;=Imóveis!$Q$6,Dados!$A207&lt;=Imóveis!$T$6),Imóveis!$S$6-(DATEDIF(Imóveis!$Q$6,Dados!$A207,"m")),)))*(Imóveis!$N$6/Imóveis!$S$6)))*Imóveis!$P$6))))*IF(AND(Imóveis!$E$6&gt;0,Dados!$A207&gt;Imóveis!$E$6),0,1)*Imóveis!$I$6</f>
        <v>0</v>
      </c>
      <c r="N207" s="18">
        <f t="shared" si="29"/>
        <v>44200</v>
      </c>
      <c r="O207" s="18">
        <f>SUMIFS(Receitas!$F:$F,Receitas!$J:$J,"&lt;="&amp;$A207,Receitas!$L:$L,"&gt;="&amp;$A207,Receitas!$C:$C,O$1,Receitas!$M:$M,"Mensal")+SUMIFS(Receitas!$F:$F,Receitas!$J:$J,"&lt;="&amp;$A207,Receitas!$L:$L,"&gt;="&amp;$A207,Receitas!$C:$C,O$1,Receitas!$M:$M,$B207)</f>
        <v>50000</v>
      </c>
      <c r="P207" s="18">
        <f>SUMIFS(Receitas!$F:$F,Receitas!$J:$J,"&lt;="&amp;$A207,Receitas!$L:$L,"&gt;="&amp;$A207,Receitas!$C:$C,P$1,Receitas!$M:$M,"Mensal")+SUMIFS(Receitas!$F:$F,Receitas!$J:$J,"&lt;="&amp;$A207,Receitas!$L:$L,"&gt;="&amp;$A207,Receitas!$C:$C,P$1,Receitas!$M:$M,$B207)</f>
        <v>20000</v>
      </c>
      <c r="Q207" s="18">
        <f>SUMIFS(Receitas!$F:$F,Receitas!$J:$J,"&lt;="&amp;$A207,Receitas!$L:$L,"&gt;="&amp;$A207,Receitas!$C:$C,Q$1,Receitas!$M:$M,"Mensal")+SUMIFS(Receitas!$F:$F,Receitas!$J:$J,"&lt;="&amp;$A207,Receitas!$L:$L,"&gt;="&amp;$A207,Receitas!$C:$C,Q$1,Receitas!$M:$M,$B207)</f>
        <v>0</v>
      </c>
      <c r="R207" s="18" cm="1">
        <f t="array" ref="R207">(IF(AND(Membros!$F$2="Sim",A207&lt;=MAX(Membros!$E$2:$E$5)),Membros!K$2,IF(AND(A207&gt;=Membros!J$2,A207&lt;=MAX(Membros!$E$2:$E$5)),Membros!K$2,0))+IF(AND(Membros!$F$3="Sim",A207&lt;=MAX(Membros!$E$2:$E$5)),Membros!K$3,IF(AND(A207&gt;=Membros!J$3,A207&lt;=MAX(Membros!$E$2:$E$5)),Membros!K$3,0)))*IF(AND(COUNTIFS(Tabela3[Tipo],"Provedor",Tabela3[Simulação Seguro],"Sim")=2,A207&gt;=MAX(IF(Tabela3[Tipo]="Dependente",Tabela3[Expectativa de Vida (Data)]))),0,1)</f>
        <v>0</v>
      </c>
      <c r="S207" s="18">
        <f t="shared" si="30"/>
        <v>70000</v>
      </c>
      <c r="U207" s="18">
        <f t="shared" ca="1" si="33"/>
        <v>10580757.205001689</v>
      </c>
      <c r="V207" s="18">
        <f>SUMIF(Imóveis!E:E,Dados!A:A,Imóveis!Z:Z)-SUMIF(Imóveis!E:E,Dados!A:A,Imóveis!Y:Y)</f>
        <v>0</v>
      </c>
      <c r="W207" s="18">
        <f>-SUMIF(Projetos!N:N,A207,Projetos!F:F)</f>
        <v>0</v>
      </c>
      <c r="X207" s="18">
        <f t="shared" si="27"/>
        <v>25800</v>
      </c>
      <c r="Y207" s="26">
        <f ca="1">(U207*((Indicadores_Economicos!D$2+1)^(1/12)-1))</f>
        <v>34638.645787801826</v>
      </c>
      <c r="Z207" s="18">
        <f t="shared" ca="1" si="31"/>
        <v>10641195.850789491</v>
      </c>
      <c r="AA207" s="18">
        <f ca="1">Auxiliar_Projetos!E207</f>
        <v>7.6415566058926039E-10</v>
      </c>
      <c r="AB207" s="18">
        <f ca="1">Auxiliar_Projetos!K207</f>
        <v>5.8781204660712339E-10</v>
      </c>
      <c r="AC207" s="18">
        <f ca="1">IF(Z207-AA207-AB207&gt;Investimentos!$C$14,Investimentos!$C$14,IF(Z207-AA207-AB207&lt;Investimentos!$C$14,Z207-AA207-AB207,0))</f>
        <v>300000</v>
      </c>
      <c r="AD207" s="18">
        <f t="shared" ca="1" si="32"/>
        <v>10341195.850789491</v>
      </c>
      <c r="AE207" s="18"/>
    </row>
    <row r="208" spans="1:31" x14ac:dyDescent="0.2">
      <c r="A208" s="4">
        <v>51926</v>
      </c>
      <c r="B208" s="5" t="str">
        <f t="shared" si="28"/>
        <v>março</v>
      </c>
      <c r="C208" s="5" t="str">
        <f t="shared" si="26"/>
        <v>2042</v>
      </c>
      <c r="D208" s="5">
        <f>SUMIFS(Despesas!$F:$F,Despesas!$J:$J,"&lt;="&amp;$A208,Despesas!$L:$L,"&gt;="&amp;$A208,Despesas!$C:$C,D$1,Despesas!$M:$M,"Mensal")+SUMIFS(Despesas!$F:$F,Despesas!$J:$J,"&lt;="&amp;$A208,Despesas!$L:$L,"&gt;="&amp;$A208,Despesas!$C:$C,D$1,Despesas!$M:$M,$B208)</f>
        <v>23000</v>
      </c>
      <c r="E208" s="18">
        <f>SUMIFS(Despesas!$F:$F,Despesas!$J:$J,"&lt;="&amp;$A208,Despesas!$L:$L,"&gt;="&amp;$A208,Despesas!$C:$C,E$1,Despesas!$M:$M,"Mensal")+SUMIFS(Despesas!$F:$F,Despesas!$J:$J,"&lt;="&amp;$A208,Despesas!$L:$L,"&gt;="&amp;$A208,Despesas!$C:$C,E$1,Despesas!$M:$M,$B208)</f>
        <v>6000</v>
      </c>
      <c r="F208" s="5">
        <f>SUMIFS(Despesas!$F:$F,Despesas!$J:$J,"&lt;="&amp;$A208,Despesas!$L:$L,"&gt;="&amp;$A208,Despesas!$C:$C,F$1,Despesas!$M:$M,"Mensal")+SUMIFS(Despesas!$F:$F,Despesas!$J:$J,"&lt;="&amp;$A208,Despesas!$L:$L,"&gt;="&amp;$A208,Despesas!$C:$C,F$1,Despesas!$M:$M,$B208)</f>
        <v>13000</v>
      </c>
      <c r="G208" s="5">
        <f>SUMIFS(Despesas!$F:$F,Despesas!$J:$J,"&lt;="&amp;$A208,Despesas!$L:$L,"&gt;="&amp;$A208,Despesas!$C:$C,G$1,Despesas!$M:$M,"Mensal")+SUMIFS(Despesas!$F:$F,Despesas!$J:$J,"&lt;="&amp;$A208,Despesas!$L:$L,"&gt;="&amp;$A208,Despesas!$C:$C,G$1,Despesas!$M:$M,$B208)</f>
        <v>0</v>
      </c>
      <c r="H208" s="18">
        <f>SUMIFS(Despesas!$F:$F,Despesas!$J:$J,"&lt;="&amp;$A208,Despesas!$L:$L,"&gt;="&amp;$A208,Despesas!$C:$C,H$1,Despesas!$M:$M,"Mensal")+SUMIFS(Despesas!$F:$F,Despesas!$J:$J,"&lt;="&amp;$A208,Despesas!$L:$L,"&gt;="&amp;$A208,Despesas!$C:$C,H$1,Despesas!$M:$M,$B208)</f>
        <v>1000</v>
      </c>
      <c r="I208" s="18">
        <f>IF(Imóveis!$F$2="PRICE",IF(AND(Dados!$A208&gt;=Imóveis!$Q$2,Dados!$A208&lt;=Imóveis!$T$2),Imóveis!$U$2,0),IF((IF(AND(Dados!$A208&gt;=Imóveis!$Q$2,Dados!$A208&lt;=Imóveis!$T$2),Imóveis!$S$2-(DATEDIF(Imóveis!$Q$2,Dados!$A208,"m")),0))=0,0,((Imóveis!$N$2/Imóveis!$S$2)+((Imóveis!$N$2-((Imóveis!$S$2-(IF(AND(Dados!$A208&gt;=Imóveis!$Q$2,Dados!$A208&lt;=Imóveis!$T$2),Imóveis!$S$2-(DATEDIF(Imóveis!$Q$2,Dados!$A208,"m")),)))*(Imóveis!$N$2/Imóveis!$S$2)))*Imóveis!$P$2))))*IF(AND(Imóveis!$E$2&gt;0,Dados!$A208&gt;Imóveis!$E$2),0,1)</f>
        <v>0</v>
      </c>
      <c r="J208" s="18">
        <f>IF(Imóveis!$F$3="PRICE",IF(AND(Dados!$A208&gt;=Imóveis!$Q$3,Dados!$A208&lt;=Imóveis!$T$3),Imóveis!$U$3,0),IF((IF(AND(Dados!$A208&gt;=Imóveis!$Q$3,Dados!$A208&lt;=Imóveis!$T$3),Imóveis!$S$3-(DATEDIF(Imóveis!$Q$3,Dados!$A208,"m")),0))=0,0,((Imóveis!$N$3/Imóveis!$S$3)+((Imóveis!$N$3-((Imóveis!$S$3-(IF(AND(Dados!$A208&gt;=Imóveis!$Q$3,Dados!$A208&lt;=Imóveis!$T$3),Imóveis!$S$3-(DATEDIF(Imóveis!$Q$3,Dados!$A208,"m")),)))*(Imóveis!$N$3/Imóveis!$S$3)))*Imóveis!$P$3))))*IF(AND(Imóveis!$E$3&gt;0,Dados!$A208&gt;Imóveis!$E$3),0,1)</f>
        <v>0</v>
      </c>
      <c r="K208" s="18">
        <f>IF(Imóveis!$F$4="PRICE",IF(AND(Dados!$A208&gt;=Imóveis!$Q$4,Dados!$A208&lt;=Imóveis!$T$4),Imóveis!$U$4,0),IF((IF(AND(Dados!$A208&gt;=Imóveis!$Q$4,Dados!$A208&lt;=Imóveis!$T$4),Imóveis!$S$4-(DATEDIF(Imóveis!$Q$4,Dados!$A208,"m")),0))=0,0,((Imóveis!$N$4/Imóveis!$S$4)+((Imóveis!$N$4-((Imóveis!$S$4-(IF(AND(Dados!$A208&gt;=Imóveis!$Q$4,Dados!$A208&lt;=Imóveis!$T$4),Imóveis!$S$4-(DATEDIF(Imóveis!$Q$4,Dados!$A208,"m")),)))*(Imóveis!$N$4/Imóveis!$S$4)))*Imóveis!$P$4))))*IF(AND(Imóveis!$E$4&gt;0,Dados!$A208&gt;Imóveis!$E$4),0,1)</f>
        <v>0</v>
      </c>
      <c r="L208" s="18">
        <f>IF(Imóveis!$F$5="PRICE",IF(AND(Dados!$A208&gt;=Imóveis!$Q$5,Dados!$A208&lt;=Imóveis!$T$5),Imóveis!$U$5,0),IF((IF(AND(Dados!$A208&gt;=Imóveis!$Q$5,Dados!$A208&lt;=Imóveis!$T$5),Imóveis!$S$5-(DATEDIF(Imóveis!$Q$5,Dados!$A208,"m")),0))=0,0,((Imóveis!$N$5/Imóveis!$S$5)+((Imóveis!$N$5-((Imóveis!$S$5-(IF(AND(Dados!$A208 &gt;=Imóveis!$Q$5,Dados!$A208&lt;=Imóveis!$T$5),Imóveis!$S$5-(DATEDIF(Imóveis!$Q$5,Dados!$A208,"m")),)))*(Imóveis!$N$5/Imóveis!$S$5)))*Imóveis!$P$5))))*IF(AND(Imóveis!$E$5&gt;0,Dados!$A208&gt;Imóveis!$E$5),0,1)*Imóveis!$I$5</f>
        <v>0</v>
      </c>
      <c r="M208" s="18">
        <f>IF(Imóveis!$F$6="PRICE",IF(AND(Dados!$A208&gt;=Imóveis!$Q$6,Dados!$A208&lt;=Imóveis!$T$6),Imóveis!$U$6,0),IF((IF(AND(Dados!$A208&gt;=Imóveis!$Q$6,Dados!$A208&lt;=Imóveis!$T$6),Imóveis!$S$6-(DATEDIF(Imóveis!$Q$6,Dados!$A208,"m")),0))=0,0,((Imóveis!$N$6/Imóveis!$S$6)+((Imóveis!$N$6-((Imóveis!$S$6-(IF(AND(Dados!$A208&gt;=Imóveis!$Q$6,Dados!$A208&lt;=Imóveis!$T$6),Imóveis!$S$6-(DATEDIF(Imóveis!$Q$6,Dados!$A208,"m")),)))*(Imóveis!$N$6/Imóveis!$S$6)))*Imóveis!$P$6))))*IF(AND(Imóveis!$E$6&gt;0,Dados!$A208&gt;Imóveis!$E$6),0,1)*Imóveis!$I$6</f>
        <v>0</v>
      </c>
      <c r="N208" s="18">
        <f t="shared" si="29"/>
        <v>43000</v>
      </c>
      <c r="O208" s="18">
        <f>SUMIFS(Receitas!$F:$F,Receitas!$J:$J,"&lt;="&amp;$A208,Receitas!$L:$L,"&gt;="&amp;$A208,Receitas!$C:$C,O$1,Receitas!$M:$M,"Mensal")+SUMIFS(Receitas!$F:$F,Receitas!$J:$J,"&lt;="&amp;$A208,Receitas!$L:$L,"&gt;="&amp;$A208,Receitas!$C:$C,O$1,Receitas!$M:$M,$B208)</f>
        <v>50000</v>
      </c>
      <c r="P208" s="18">
        <f>SUMIFS(Receitas!$F:$F,Receitas!$J:$J,"&lt;="&amp;$A208,Receitas!$L:$L,"&gt;="&amp;$A208,Receitas!$C:$C,P$1,Receitas!$M:$M,"Mensal")+SUMIFS(Receitas!$F:$F,Receitas!$J:$J,"&lt;="&amp;$A208,Receitas!$L:$L,"&gt;="&amp;$A208,Receitas!$C:$C,P$1,Receitas!$M:$M,$B208)</f>
        <v>20000</v>
      </c>
      <c r="Q208" s="18">
        <f>SUMIFS(Receitas!$F:$F,Receitas!$J:$J,"&lt;="&amp;$A208,Receitas!$L:$L,"&gt;="&amp;$A208,Receitas!$C:$C,Q$1,Receitas!$M:$M,"Mensal")+SUMIFS(Receitas!$F:$F,Receitas!$J:$J,"&lt;="&amp;$A208,Receitas!$L:$L,"&gt;="&amp;$A208,Receitas!$C:$C,Q$1,Receitas!$M:$M,$B208)</f>
        <v>0</v>
      </c>
      <c r="R208" s="18" cm="1">
        <f t="array" ref="R208">(IF(AND(Membros!$F$2="Sim",A208&lt;=MAX(Membros!$E$2:$E$5)),Membros!K$2,IF(AND(A208&gt;=Membros!J$2,A208&lt;=MAX(Membros!$E$2:$E$5)),Membros!K$2,0))+IF(AND(Membros!$F$3="Sim",A208&lt;=MAX(Membros!$E$2:$E$5)),Membros!K$3,IF(AND(A208&gt;=Membros!J$3,A208&lt;=MAX(Membros!$E$2:$E$5)),Membros!K$3,0)))*IF(AND(COUNTIFS(Tabela3[Tipo],"Provedor",Tabela3[Simulação Seguro],"Sim")=2,A208&gt;=MAX(IF(Tabela3[Tipo]="Dependente",Tabela3[Expectativa de Vida (Data)]))),0,1)</f>
        <v>0</v>
      </c>
      <c r="S208" s="18">
        <f t="shared" si="30"/>
        <v>70000</v>
      </c>
      <c r="U208" s="18">
        <f t="shared" ca="1" si="33"/>
        <v>10641195.850789491</v>
      </c>
      <c r="V208" s="18">
        <f>SUMIF(Imóveis!E:E,Dados!A:A,Imóveis!Z:Z)-SUMIF(Imóveis!E:E,Dados!A:A,Imóveis!Y:Y)</f>
        <v>0</v>
      </c>
      <c r="W208" s="18">
        <f>-SUMIF(Projetos!N:N,A208,Projetos!F:F)</f>
        <v>0</v>
      </c>
      <c r="X208" s="18">
        <f t="shared" si="27"/>
        <v>27000</v>
      </c>
      <c r="Y208" s="26">
        <f ca="1">(U208*((Indicadores_Economicos!D$2+1)^(1/12)-1))</f>
        <v>34836.506186899584</v>
      </c>
      <c r="Z208" s="18">
        <f t="shared" ca="1" si="31"/>
        <v>10703032.35697639</v>
      </c>
      <c r="AA208" s="18">
        <f ca="1">Auxiliar_Projetos!E208</f>
        <v>7.6665730737512392E-10</v>
      </c>
      <c r="AB208" s="18">
        <f ca="1">Auxiliar_Projetos!K208</f>
        <v>5.8973639028855691E-10</v>
      </c>
      <c r="AC208" s="18">
        <f ca="1">IF(Z208-AA208-AB208&gt;Investimentos!$C$14,Investimentos!$C$14,IF(Z208-AA208-AB208&lt;Investimentos!$C$14,Z208-AA208-AB208,0))</f>
        <v>300000</v>
      </c>
      <c r="AD208" s="18">
        <f t="shared" ca="1" si="32"/>
        <v>10403032.35697639</v>
      </c>
      <c r="AE208" s="18"/>
    </row>
    <row r="209" spans="1:31" x14ac:dyDescent="0.2">
      <c r="A209" s="4">
        <v>51957</v>
      </c>
      <c r="B209" s="5" t="str">
        <f t="shared" si="28"/>
        <v>abril</v>
      </c>
      <c r="C209" s="5" t="str">
        <f t="shared" si="26"/>
        <v>2042</v>
      </c>
      <c r="D209" s="5">
        <f>SUMIFS(Despesas!$F:$F,Despesas!$J:$J,"&lt;="&amp;$A209,Despesas!$L:$L,"&gt;="&amp;$A209,Despesas!$C:$C,D$1,Despesas!$M:$M,"Mensal")+SUMIFS(Despesas!$F:$F,Despesas!$J:$J,"&lt;="&amp;$A209,Despesas!$L:$L,"&gt;="&amp;$A209,Despesas!$C:$C,D$1,Despesas!$M:$M,$B209)</f>
        <v>23000</v>
      </c>
      <c r="E209" s="18">
        <f>SUMIFS(Despesas!$F:$F,Despesas!$J:$J,"&lt;="&amp;$A209,Despesas!$L:$L,"&gt;="&amp;$A209,Despesas!$C:$C,E$1,Despesas!$M:$M,"Mensal")+SUMIFS(Despesas!$F:$F,Despesas!$J:$J,"&lt;="&amp;$A209,Despesas!$L:$L,"&gt;="&amp;$A209,Despesas!$C:$C,E$1,Despesas!$M:$M,$B209)</f>
        <v>6000</v>
      </c>
      <c r="F209" s="5">
        <f>SUMIFS(Despesas!$F:$F,Despesas!$J:$J,"&lt;="&amp;$A209,Despesas!$L:$L,"&gt;="&amp;$A209,Despesas!$C:$C,F$1,Despesas!$M:$M,"Mensal")+SUMIFS(Despesas!$F:$F,Despesas!$J:$J,"&lt;="&amp;$A209,Despesas!$L:$L,"&gt;="&amp;$A209,Despesas!$C:$C,F$1,Despesas!$M:$M,$B209)</f>
        <v>13000</v>
      </c>
      <c r="G209" s="5">
        <f>SUMIFS(Despesas!$F:$F,Despesas!$J:$J,"&lt;="&amp;$A209,Despesas!$L:$L,"&gt;="&amp;$A209,Despesas!$C:$C,G$1,Despesas!$M:$M,"Mensal")+SUMIFS(Despesas!$F:$F,Despesas!$J:$J,"&lt;="&amp;$A209,Despesas!$L:$L,"&gt;="&amp;$A209,Despesas!$C:$C,G$1,Despesas!$M:$M,$B209)</f>
        <v>0</v>
      </c>
      <c r="H209" s="18">
        <f>SUMIFS(Despesas!$F:$F,Despesas!$J:$J,"&lt;="&amp;$A209,Despesas!$L:$L,"&gt;="&amp;$A209,Despesas!$C:$C,H$1,Despesas!$M:$M,"Mensal")+SUMIFS(Despesas!$F:$F,Despesas!$J:$J,"&lt;="&amp;$A209,Despesas!$L:$L,"&gt;="&amp;$A209,Despesas!$C:$C,H$1,Despesas!$M:$M,$B209)</f>
        <v>1000</v>
      </c>
      <c r="I209" s="18">
        <f>IF(Imóveis!$F$2="PRICE",IF(AND(Dados!$A209&gt;=Imóveis!$Q$2,Dados!$A209&lt;=Imóveis!$T$2),Imóveis!$U$2,0),IF((IF(AND(Dados!$A209&gt;=Imóveis!$Q$2,Dados!$A209&lt;=Imóveis!$T$2),Imóveis!$S$2-(DATEDIF(Imóveis!$Q$2,Dados!$A209,"m")),0))=0,0,((Imóveis!$N$2/Imóveis!$S$2)+((Imóveis!$N$2-((Imóveis!$S$2-(IF(AND(Dados!$A209&gt;=Imóveis!$Q$2,Dados!$A209&lt;=Imóveis!$T$2),Imóveis!$S$2-(DATEDIF(Imóveis!$Q$2,Dados!$A209,"m")),)))*(Imóveis!$N$2/Imóveis!$S$2)))*Imóveis!$P$2))))*IF(AND(Imóveis!$E$2&gt;0,Dados!$A209&gt;Imóveis!$E$2),0,1)</f>
        <v>0</v>
      </c>
      <c r="J209" s="18">
        <f>IF(Imóveis!$F$3="PRICE",IF(AND(Dados!$A209&gt;=Imóveis!$Q$3,Dados!$A209&lt;=Imóveis!$T$3),Imóveis!$U$3,0),IF((IF(AND(Dados!$A209&gt;=Imóveis!$Q$3,Dados!$A209&lt;=Imóveis!$T$3),Imóveis!$S$3-(DATEDIF(Imóveis!$Q$3,Dados!$A209,"m")),0))=0,0,((Imóveis!$N$3/Imóveis!$S$3)+((Imóveis!$N$3-((Imóveis!$S$3-(IF(AND(Dados!$A209&gt;=Imóveis!$Q$3,Dados!$A209&lt;=Imóveis!$T$3),Imóveis!$S$3-(DATEDIF(Imóveis!$Q$3,Dados!$A209,"m")),)))*(Imóveis!$N$3/Imóveis!$S$3)))*Imóveis!$P$3))))*IF(AND(Imóveis!$E$3&gt;0,Dados!$A209&gt;Imóveis!$E$3),0,1)</f>
        <v>0</v>
      </c>
      <c r="K209" s="18">
        <f>IF(Imóveis!$F$4="PRICE",IF(AND(Dados!$A209&gt;=Imóveis!$Q$4,Dados!$A209&lt;=Imóveis!$T$4),Imóveis!$U$4,0),IF((IF(AND(Dados!$A209&gt;=Imóveis!$Q$4,Dados!$A209&lt;=Imóveis!$T$4),Imóveis!$S$4-(DATEDIF(Imóveis!$Q$4,Dados!$A209,"m")),0))=0,0,((Imóveis!$N$4/Imóveis!$S$4)+((Imóveis!$N$4-((Imóveis!$S$4-(IF(AND(Dados!$A209&gt;=Imóveis!$Q$4,Dados!$A209&lt;=Imóveis!$T$4),Imóveis!$S$4-(DATEDIF(Imóveis!$Q$4,Dados!$A209,"m")),)))*(Imóveis!$N$4/Imóveis!$S$4)))*Imóveis!$P$4))))*IF(AND(Imóveis!$E$4&gt;0,Dados!$A209&gt;Imóveis!$E$4),0,1)</f>
        <v>0</v>
      </c>
      <c r="L209" s="18">
        <f>IF(Imóveis!$F$5="PRICE",IF(AND(Dados!$A209&gt;=Imóveis!$Q$5,Dados!$A209&lt;=Imóveis!$T$5),Imóveis!$U$5,0),IF((IF(AND(Dados!$A209&gt;=Imóveis!$Q$5,Dados!$A209&lt;=Imóveis!$T$5),Imóveis!$S$5-(DATEDIF(Imóveis!$Q$5,Dados!$A209,"m")),0))=0,0,((Imóveis!$N$5/Imóveis!$S$5)+((Imóveis!$N$5-((Imóveis!$S$5-(IF(AND(Dados!$A209 &gt;=Imóveis!$Q$5,Dados!$A209&lt;=Imóveis!$T$5),Imóveis!$S$5-(DATEDIF(Imóveis!$Q$5,Dados!$A209,"m")),)))*(Imóveis!$N$5/Imóveis!$S$5)))*Imóveis!$P$5))))*IF(AND(Imóveis!$E$5&gt;0,Dados!$A209&gt;Imóveis!$E$5),0,1)*Imóveis!$I$5</f>
        <v>0</v>
      </c>
      <c r="M209" s="18">
        <f>IF(Imóveis!$F$6="PRICE",IF(AND(Dados!$A209&gt;=Imóveis!$Q$6,Dados!$A209&lt;=Imóveis!$T$6),Imóveis!$U$6,0),IF((IF(AND(Dados!$A209&gt;=Imóveis!$Q$6,Dados!$A209&lt;=Imóveis!$T$6),Imóveis!$S$6-(DATEDIF(Imóveis!$Q$6,Dados!$A209,"m")),0))=0,0,((Imóveis!$N$6/Imóveis!$S$6)+((Imóveis!$N$6-((Imóveis!$S$6-(IF(AND(Dados!$A209&gt;=Imóveis!$Q$6,Dados!$A209&lt;=Imóveis!$T$6),Imóveis!$S$6-(DATEDIF(Imóveis!$Q$6,Dados!$A209,"m")),)))*(Imóveis!$N$6/Imóveis!$S$6)))*Imóveis!$P$6))))*IF(AND(Imóveis!$E$6&gt;0,Dados!$A209&gt;Imóveis!$E$6),0,1)*Imóveis!$I$6</f>
        <v>0</v>
      </c>
      <c r="N209" s="18">
        <f t="shared" si="29"/>
        <v>43000</v>
      </c>
      <c r="O209" s="18">
        <f>SUMIFS(Receitas!$F:$F,Receitas!$J:$J,"&lt;="&amp;$A209,Receitas!$L:$L,"&gt;="&amp;$A209,Receitas!$C:$C,O$1,Receitas!$M:$M,"Mensal")+SUMIFS(Receitas!$F:$F,Receitas!$J:$J,"&lt;="&amp;$A209,Receitas!$L:$L,"&gt;="&amp;$A209,Receitas!$C:$C,O$1,Receitas!$M:$M,$B209)</f>
        <v>50000</v>
      </c>
      <c r="P209" s="18">
        <f>SUMIFS(Receitas!$F:$F,Receitas!$J:$J,"&lt;="&amp;$A209,Receitas!$L:$L,"&gt;="&amp;$A209,Receitas!$C:$C,P$1,Receitas!$M:$M,"Mensal")+SUMIFS(Receitas!$F:$F,Receitas!$J:$J,"&lt;="&amp;$A209,Receitas!$L:$L,"&gt;="&amp;$A209,Receitas!$C:$C,P$1,Receitas!$M:$M,$B209)</f>
        <v>85000</v>
      </c>
      <c r="Q209" s="18">
        <f>SUMIFS(Receitas!$F:$F,Receitas!$J:$J,"&lt;="&amp;$A209,Receitas!$L:$L,"&gt;="&amp;$A209,Receitas!$C:$C,Q$1,Receitas!$M:$M,"Mensal")+SUMIFS(Receitas!$F:$F,Receitas!$J:$J,"&lt;="&amp;$A209,Receitas!$L:$L,"&gt;="&amp;$A209,Receitas!$C:$C,Q$1,Receitas!$M:$M,$B209)</f>
        <v>0</v>
      </c>
      <c r="R209" s="18" cm="1">
        <f t="array" ref="R209">(IF(AND(Membros!$F$2="Sim",A209&lt;=MAX(Membros!$E$2:$E$5)),Membros!K$2,IF(AND(A209&gt;=Membros!J$2,A209&lt;=MAX(Membros!$E$2:$E$5)),Membros!K$2,0))+IF(AND(Membros!$F$3="Sim",A209&lt;=MAX(Membros!$E$2:$E$5)),Membros!K$3,IF(AND(A209&gt;=Membros!J$3,A209&lt;=MAX(Membros!$E$2:$E$5)),Membros!K$3,0)))*IF(AND(COUNTIFS(Tabela3[Tipo],"Provedor",Tabela3[Simulação Seguro],"Sim")=2,A209&gt;=MAX(IF(Tabela3[Tipo]="Dependente",Tabela3[Expectativa de Vida (Data)]))),0,1)</f>
        <v>0</v>
      </c>
      <c r="S209" s="18">
        <f t="shared" si="30"/>
        <v>135000</v>
      </c>
      <c r="U209" s="18">
        <f t="shared" ca="1" si="33"/>
        <v>10703032.35697639</v>
      </c>
      <c r="V209" s="18">
        <f>SUMIF(Imóveis!E:E,Dados!A:A,Imóveis!Z:Z)-SUMIF(Imóveis!E:E,Dados!A:A,Imóveis!Y:Y)</f>
        <v>0</v>
      </c>
      <c r="W209" s="18">
        <f>-SUMIF(Projetos!N:N,A209,Projetos!F:F)</f>
        <v>0</v>
      </c>
      <c r="X209" s="18">
        <f t="shared" si="27"/>
        <v>92000</v>
      </c>
      <c r="Y209" s="26">
        <f ca="1">(U209*((Indicadores_Economicos!D$2+1)^(1/12)-1))</f>
        <v>35038.942817195821</v>
      </c>
      <c r="Z209" s="18">
        <f t="shared" ca="1" si="31"/>
        <v>10830071.299793586</v>
      </c>
      <c r="AA209" s="18">
        <f ca="1">Auxiliar_Projetos!E209</f>
        <v>7.6916714390159135E-10</v>
      </c>
      <c r="AB209" s="18">
        <f ca="1">Auxiliar_Projetos!K209</f>
        <v>5.9166703377045497E-10</v>
      </c>
      <c r="AC209" s="18">
        <f ca="1">IF(Z209-AA209-AB209&gt;Investimentos!$C$14,Investimentos!$C$14,IF(Z209-AA209-AB209&lt;Investimentos!$C$14,Z209-AA209-AB209,0))</f>
        <v>300000</v>
      </c>
      <c r="AD209" s="18">
        <f t="shared" ca="1" si="32"/>
        <v>10530071.299793586</v>
      </c>
      <c r="AE209" s="18"/>
    </row>
    <row r="210" spans="1:31" x14ac:dyDescent="0.2">
      <c r="A210" s="4">
        <v>51987</v>
      </c>
      <c r="B210" s="5" t="str">
        <f t="shared" si="28"/>
        <v>maio</v>
      </c>
      <c r="C210" s="5" t="str">
        <f t="shared" si="26"/>
        <v>2042</v>
      </c>
      <c r="D210" s="5">
        <f>SUMIFS(Despesas!$F:$F,Despesas!$J:$J,"&lt;="&amp;$A210,Despesas!$L:$L,"&gt;="&amp;$A210,Despesas!$C:$C,D$1,Despesas!$M:$M,"Mensal")+SUMIFS(Despesas!$F:$F,Despesas!$J:$J,"&lt;="&amp;$A210,Despesas!$L:$L,"&gt;="&amp;$A210,Despesas!$C:$C,D$1,Despesas!$M:$M,$B210)</f>
        <v>23000</v>
      </c>
      <c r="E210" s="18">
        <f>SUMIFS(Despesas!$F:$F,Despesas!$J:$J,"&lt;="&amp;$A210,Despesas!$L:$L,"&gt;="&amp;$A210,Despesas!$C:$C,E$1,Despesas!$M:$M,"Mensal")+SUMIFS(Despesas!$F:$F,Despesas!$J:$J,"&lt;="&amp;$A210,Despesas!$L:$L,"&gt;="&amp;$A210,Despesas!$C:$C,E$1,Despesas!$M:$M,$B210)</f>
        <v>6000</v>
      </c>
      <c r="F210" s="5">
        <f>SUMIFS(Despesas!$F:$F,Despesas!$J:$J,"&lt;="&amp;$A210,Despesas!$L:$L,"&gt;="&amp;$A210,Despesas!$C:$C,F$1,Despesas!$M:$M,"Mensal")+SUMIFS(Despesas!$F:$F,Despesas!$J:$J,"&lt;="&amp;$A210,Despesas!$L:$L,"&gt;="&amp;$A210,Despesas!$C:$C,F$1,Despesas!$M:$M,$B210)</f>
        <v>13000</v>
      </c>
      <c r="G210" s="5">
        <f>SUMIFS(Despesas!$F:$F,Despesas!$J:$J,"&lt;="&amp;$A210,Despesas!$L:$L,"&gt;="&amp;$A210,Despesas!$C:$C,G$1,Despesas!$M:$M,"Mensal")+SUMIFS(Despesas!$F:$F,Despesas!$J:$J,"&lt;="&amp;$A210,Despesas!$L:$L,"&gt;="&amp;$A210,Despesas!$C:$C,G$1,Despesas!$M:$M,$B210)</f>
        <v>0</v>
      </c>
      <c r="H210" s="18">
        <f>SUMIFS(Despesas!$F:$F,Despesas!$J:$J,"&lt;="&amp;$A210,Despesas!$L:$L,"&gt;="&amp;$A210,Despesas!$C:$C,H$1,Despesas!$M:$M,"Mensal")+SUMIFS(Despesas!$F:$F,Despesas!$J:$J,"&lt;="&amp;$A210,Despesas!$L:$L,"&gt;="&amp;$A210,Despesas!$C:$C,H$1,Despesas!$M:$M,$B210)</f>
        <v>1000</v>
      </c>
      <c r="I210" s="18">
        <f>IF(Imóveis!$F$2="PRICE",IF(AND(Dados!$A210&gt;=Imóveis!$Q$2,Dados!$A210&lt;=Imóveis!$T$2),Imóveis!$U$2,0),IF((IF(AND(Dados!$A210&gt;=Imóveis!$Q$2,Dados!$A210&lt;=Imóveis!$T$2),Imóveis!$S$2-(DATEDIF(Imóveis!$Q$2,Dados!$A210,"m")),0))=0,0,((Imóveis!$N$2/Imóveis!$S$2)+((Imóveis!$N$2-((Imóveis!$S$2-(IF(AND(Dados!$A210&gt;=Imóveis!$Q$2,Dados!$A210&lt;=Imóveis!$T$2),Imóveis!$S$2-(DATEDIF(Imóveis!$Q$2,Dados!$A210,"m")),)))*(Imóveis!$N$2/Imóveis!$S$2)))*Imóveis!$P$2))))*IF(AND(Imóveis!$E$2&gt;0,Dados!$A210&gt;Imóveis!$E$2),0,1)</f>
        <v>0</v>
      </c>
      <c r="J210" s="18">
        <f>IF(Imóveis!$F$3="PRICE",IF(AND(Dados!$A210&gt;=Imóveis!$Q$3,Dados!$A210&lt;=Imóveis!$T$3),Imóveis!$U$3,0),IF((IF(AND(Dados!$A210&gt;=Imóveis!$Q$3,Dados!$A210&lt;=Imóveis!$T$3),Imóveis!$S$3-(DATEDIF(Imóveis!$Q$3,Dados!$A210,"m")),0))=0,0,((Imóveis!$N$3/Imóveis!$S$3)+((Imóveis!$N$3-((Imóveis!$S$3-(IF(AND(Dados!$A210&gt;=Imóveis!$Q$3,Dados!$A210&lt;=Imóveis!$T$3),Imóveis!$S$3-(DATEDIF(Imóveis!$Q$3,Dados!$A210,"m")),)))*(Imóveis!$N$3/Imóveis!$S$3)))*Imóveis!$P$3))))*IF(AND(Imóveis!$E$3&gt;0,Dados!$A210&gt;Imóveis!$E$3),0,1)</f>
        <v>0</v>
      </c>
      <c r="K210" s="18">
        <f>IF(Imóveis!$F$4="PRICE",IF(AND(Dados!$A210&gt;=Imóveis!$Q$4,Dados!$A210&lt;=Imóveis!$T$4),Imóveis!$U$4,0),IF((IF(AND(Dados!$A210&gt;=Imóveis!$Q$4,Dados!$A210&lt;=Imóveis!$T$4),Imóveis!$S$4-(DATEDIF(Imóveis!$Q$4,Dados!$A210,"m")),0))=0,0,((Imóveis!$N$4/Imóveis!$S$4)+((Imóveis!$N$4-((Imóveis!$S$4-(IF(AND(Dados!$A210&gt;=Imóveis!$Q$4,Dados!$A210&lt;=Imóveis!$T$4),Imóveis!$S$4-(DATEDIF(Imóveis!$Q$4,Dados!$A210,"m")),)))*(Imóveis!$N$4/Imóveis!$S$4)))*Imóveis!$P$4))))*IF(AND(Imóveis!$E$4&gt;0,Dados!$A210&gt;Imóveis!$E$4),0,1)</f>
        <v>0</v>
      </c>
      <c r="L210" s="18">
        <f>IF(Imóveis!$F$5="PRICE",IF(AND(Dados!$A210&gt;=Imóveis!$Q$5,Dados!$A210&lt;=Imóveis!$T$5),Imóveis!$U$5,0),IF((IF(AND(Dados!$A210&gt;=Imóveis!$Q$5,Dados!$A210&lt;=Imóveis!$T$5),Imóveis!$S$5-(DATEDIF(Imóveis!$Q$5,Dados!$A210,"m")),0))=0,0,((Imóveis!$N$5/Imóveis!$S$5)+((Imóveis!$N$5-((Imóveis!$S$5-(IF(AND(Dados!$A210 &gt;=Imóveis!$Q$5,Dados!$A210&lt;=Imóveis!$T$5),Imóveis!$S$5-(DATEDIF(Imóveis!$Q$5,Dados!$A210,"m")),)))*(Imóveis!$N$5/Imóveis!$S$5)))*Imóveis!$P$5))))*IF(AND(Imóveis!$E$5&gt;0,Dados!$A210&gt;Imóveis!$E$5),0,1)*Imóveis!$I$5</f>
        <v>0</v>
      </c>
      <c r="M210" s="18">
        <f>IF(Imóveis!$F$6="PRICE",IF(AND(Dados!$A210&gt;=Imóveis!$Q$6,Dados!$A210&lt;=Imóveis!$T$6),Imóveis!$U$6,0),IF((IF(AND(Dados!$A210&gt;=Imóveis!$Q$6,Dados!$A210&lt;=Imóveis!$T$6),Imóveis!$S$6-(DATEDIF(Imóveis!$Q$6,Dados!$A210,"m")),0))=0,0,((Imóveis!$N$6/Imóveis!$S$6)+((Imóveis!$N$6-((Imóveis!$S$6-(IF(AND(Dados!$A210&gt;=Imóveis!$Q$6,Dados!$A210&lt;=Imóveis!$T$6),Imóveis!$S$6-(DATEDIF(Imóveis!$Q$6,Dados!$A210,"m")),)))*(Imóveis!$N$6/Imóveis!$S$6)))*Imóveis!$P$6))))*IF(AND(Imóveis!$E$6&gt;0,Dados!$A210&gt;Imóveis!$E$6),0,1)*Imóveis!$I$6</f>
        <v>0</v>
      </c>
      <c r="N210" s="18">
        <f t="shared" si="29"/>
        <v>43000</v>
      </c>
      <c r="O210" s="18">
        <f>SUMIFS(Receitas!$F:$F,Receitas!$J:$J,"&lt;="&amp;$A210,Receitas!$L:$L,"&gt;="&amp;$A210,Receitas!$C:$C,O$1,Receitas!$M:$M,"Mensal")+SUMIFS(Receitas!$F:$F,Receitas!$J:$J,"&lt;="&amp;$A210,Receitas!$L:$L,"&gt;="&amp;$A210,Receitas!$C:$C,O$1,Receitas!$M:$M,$B210)</f>
        <v>50000</v>
      </c>
      <c r="P210" s="18">
        <f>SUMIFS(Receitas!$F:$F,Receitas!$J:$J,"&lt;="&amp;$A210,Receitas!$L:$L,"&gt;="&amp;$A210,Receitas!$C:$C,P$1,Receitas!$M:$M,"Mensal")+SUMIFS(Receitas!$F:$F,Receitas!$J:$J,"&lt;="&amp;$A210,Receitas!$L:$L,"&gt;="&amp;$A210,Receitas!$C:$C,P$1,Receitas!$M:$M,$B210)</f>
        <v>20000</v>
      </c>
      <c r="Q210" s="18">
        <f>SUMIFS(Receitas!$F:$F,Receitas!$J:$J,"&lt;="&amp;$A210,Receitas!$L:$L,"&gt;="&amp;$A210,Receitas!$C:$C,Q$1,Receitas!$M:$M,"Mensal")+SUMIFS(Receitas!$F:$F,Receitas!$J:$J,"&lt;="&amp;$A210,Receitas!$L:$L,"&gt;="&amp;$A210,Receitas!$C:$C,Q$1,Receitas!$M:$M,$B210)</f>
        <v>0</v>
      </c>
      <c r="R210" s="18" cm="1">
        <f t="array" ref="R210">(IF(AND(Membros!$F$2="Sim",A210&lt;=MAX(Membros!$E$2:$E$5)),Membros!K$2,IF(AND(A210&gt;=Membros!J$2,A210&lt;=MAX(Membros!$E$2:$E$5)),Membros!K$2,0))+IF(AND(Membros!$F$3="Sim",A210&lt;=MAX(Membros!$E$2:$E$5)),Membros!K$3,IF(AND(A210&gt;=Membros!J$3,A210&lt;=MAX(Membros!$E$2:$E$5)),Membros!K$3,0)))*IF(AND(COUNTIFS(Tabela3[Tipo],"Provedor",Tabela3[Simulação Seguro],"Sim")=2,A210&gt;=MAX(IF(Tabela3[Tipo]="Dependente",Tabela3[Expectativa de Vida (Data)]))),0,1)</f>
        <v>0</v>
      </c>
      <c r="S210" s="18">
        <f t="shared" si="30"/>
        <v>70000</v>
      </c>
      <c r="U210" s="18">
        <f t="shared" ca="1" si="33"/>
        <v>10830071.299793586</v>
      </c>
      <c r="V210" s="18">
        <f>SUMIF(Imóveis!E:E,Dados!A:A,Imóveis!Z:Z)-SUMIF(Imóveis!E:E,Dados!A:A,Imóveis!Y:Y)</f>
        <v>0</v>
      </c>
      <c r="W210" s="18">
        <f>-SUMIF(Projetos!N:N,A210,Projetos!F:F)</f>
        <v>0</v>
      </c>
      <c r="X210" s="18">
        <f t="shared" si="27"/>
        <v>27000</v>
      </c>
      <c r="Y210" s="26">
        <f ca="1">(U210*((Indicadores_Economicos!D$2+1)^(1/12)-1))</f>
        <v>35454.835258184969</v>
      </c>
      <c r="Z210" s="18">
        <f t="shared" ca="1" si="31"/>
        <v>10892526.135051772</v>
      </c>
      <c r="AA210" s="18">
        <f ca="1">Auxiliar_Projetos!E210</f>
        <v>7.7168519697974228E-10</v>
      </c>
      <c r="AB210" s="18">
        <f ca="1">Auxiliar_Projetos!K210</f>
        <v>5.9360399767672494E-10</v>
      </c>
      <c r="AC210" s="18">
        <f ca="1">IF(Z210-AA210-AB210&gt;Investimentos!$C$14,Investimentos!$C$14,IF(Z210-AA210-AB210&lt;Investimentos!$C$14,Z210-AA210-AB210,0))</f>
        <v>300000</v>
      </c>
      <c r="AD210" s="18">
        <f t="shared" ca="1" si="32"/>
        <v>10592526.135051772</v>
      </c>
      <c r="AE210" s="18"/>
    </row>
    <row r="211" spans="1:31" x14ac:dyDescent="0.2">
      <c r="A211" s="4">
        <v>52018</v>
      </c>
      <c r="B211" s="5" t="str">
        <f t="shared" si="28"/>
        <v>junho</v>
      </c>
      <c r="C211" s="5" t="str">
        <f t="shared" si="26"/>
        <v>2042</v>
      </c>
      <c r="D211" s="5">
        <f>SUMIFS(Despesas!$F:$F,Despesas!$J:$J,"&lt;="&amp;$A211,Despesas!$L:$L,"&gt;="&amp;$A211,Despesas!$C:$C,D$1,Despesas!$M:$M,"Mensal")+SUMIFS(Despesas!$F:$F,Despesas!$J:$J,"&lt;="&amp;$A211,Despesas!$L:$L,"&gt;="&amp;$A211,Despesas!$C:$C,D$1,Despesas!$M:$M,$B211)</f>
        <v>23000</v>
      </c>
      <c r="E211" s="18">
        <f>SUMIFS(Despesas!$F:$F,Despesas!$J:$J,"&lt;="&amp;$A211,Despesas!$L:$L,"&gt;="&amp;$A211,Despesas!$C:$C,E$1,Despesas!$M:$M,"Mensal")+SUMIFS(Despesas!$F:$F,Despesas!$J:$J,"&lt;="&amp;$A211,Despesas!$L:$L,"&gt;="&amp;$A211,Despesas!$C:$C,E$1,Despesas!$M:$M,$B211)</f>
        <v>6000</v>
      </c>
      <c r="F211" s="5">
        <f>SUMIFS(Despesas!$F:$F,Despesas!$J:$J,"&lt;="&amp;$A211,Despesas!$L:$L,"&gt;="&amp;$A211,Despesas!$C:$C,F$1,Despesas!$M:$M,"Mensal")+SUMIFS(Despesas!$F:$F,Despesas!$J:$J,"&lt;="&amp;$A211,Despesas!$L:$L,"&gt;="&amp;$A211,Despesas!$C:$C,F$1,Despesas!$M:$M,$B211)</f>
        <v>13000</v>
      </c>
      <c r="G211" s="5">
        <f>SUMIFS(Despesas!$F:$F,Despesas!$J:$J,"&lt;="&amp;$A211,Despesas!$L:$L,"&gt;="&amp;$A211,Despesas!$C:$C,G$1,Despesas!$M:$M,"Mensal")+SUMIFS(Despesas!$F:$F,Despesas!$J:$J,"&lt;="&amp;$A211,Despesas!$L:$L,"&gt;="&amp;$A211,Despesas!$C:$C,G$1,Despesas!$M:$M,$B211)</f>
        <v>0</v>
      </c>
      <c r="H211" s="18">
        <f>SUMIFS(Despesas!$F:$F,Despesas!$J:$J,"&lt;="&amp;$A211,Despesas!$L:$L,"&gt;="&amp;$A211,Despesas!$C:$C,H$1,Despesas!$M:$M,"Mensal")+SUMIFS(Despesas!$F:$F,Despesas!$J:$J,"&lt;="&amp;$A211,Despesas!$L:$L,"&gt;="&amp;$A211,Despesas!$C:$C,H$1,Despesas!$M:$M,$B211)</f>
        <v>1000</v>
      </c>
      <c r="I211" s="18">
        <f>IF(Imóveis!$F$2="PRICE",IF(AND(Dados!$A211&gt;=Imóveis!$Q$2,Dados!$A211&lt;=Imóveis!$T$2),Imóveis!$U$2,0),IF((IF(AND(Dados!$A211&gt;=Imóveis!$Q$2,Dados!$A211&lt;=Imóveis!$T$2),Imóveis!$S$2-(DATEDIF(Imóveis!$Q$2,Dados!$A211,"m")),0))=0,0,((Imóveis!$N$2/Imóveis!$S$2)+((Imóveis!$N$2-((Imóveis!$S$2-(IF(AND(Dados!$A211&gt;=Imóveis!$Q$2,Dados!$A211&lt;=Imóveis!$T$2),Imóveis!$S$2-(DATEDIF(Imóveis!$Q$2,Dados!$A211,"m")),)))*(Imóveis!$N$2/Imóveis!$S$2)))*Imóveis!$P$2))))*IF(AND(Imóveis!$E$2&gt;0,Dados!$A211&gt;Imóveis!$E$2),0,1)</f>
        <v>0</v>
      </c>
      <c r="J211" s="18">
        <f>IF(Imóveis!$F$3="PRICE",IF(AND(Dados!$A211&gt;=Imóveis!$Q$3,Dados!$A211&lt;=Imóveis!$T$3),Imóveis!$U$3,0),IF((IF(AND(Dados!$A211&gt;=Imóveis!$Q$3,Dados!$A211&lt;=Imóveis!$T$3),Imóveis!$S$3-(DATEDIF(Imóveis!$Q$3,Dados!$A211,"m")),0))=0,0,((Imóveis!$N$3/Imóveis!$S$3)+((Imóveis!$N$3-((Imóveis!$S$3-(IF(AND(Dados!$A211&gt;=Imóveis!$Q$3,Dados!$A211&lt;=Imóveis!$T$3),Imóveis!$S$3-(DATEDIF(Imóveis!$Q$3,Dados!$A211,"m")),)))*(Imóveis!$N$3/Imóveis!$S$3)))*Imóveis!$P$3))))*IF(AND(Imóveis!$E$3&gt;0,Dados!$A211&gt;Imóveis!$E$3),0,1)</f>
        <v>0</v>
      </c>
      <c r="K211" s="18">
        <f>IF(Imóveis!$F$4="PRICE",IF(AND(Dados!$A211&gt;=Imóveis!$Q$4,Dados!$A211&lt;=Imóveis!$T$4),Imóveis!$U$4,0),IF((IF(AND(Dados!$A211&gt;=Imóveis!$Q$4,Dados!$A211&lt;=Imóveis!$T$4),Imóveis!$S$4-(DATEDIF(Imóveis!$Q$4,Dados!$A211,"m")),0))=0,0,((Imóveis!$N$4/Imóveis!$S$4)+((Imóveis!$N$4-((Imóveis!$S$4-(IF(AND(Dados!$A211&gt;=Imóveis!$Q$4,Dados!$A211&lt;=Imóveis!$T$4),Imóveis!$S$4-(DATEDIF(Imóveis!$Q$4,Dados!$A211,"m")),)))*(Imóveis!$N$4/Imóveis!$S$4)))*Imóveis!$P$4))))*IF(AND(Imóveis!$E$4&gt;0,Dados!$A211&gt;Imóveis!$E$4),0,1)</f>
        <v>0</v>
      </c>
      <c r="L211" s="18">
        <f>IF(Imóveis!$F$5="PRICE",IF(AND(Dados!$A211&gt;=Imóveis!$Q$5,Dados!$A211&lt;=Imóveis!$T$5),Imóveis!$U$5,0),IF((IF(AND(Dados!$A211&gt;=Imóveis!$Q$5,Dados!$A211&lt;=Imóveis!$T$5),Imóveis!$S$5-(DATEDIF(Imóveis!$Q$5,Dados!$A211,"m")),0))=0,0,((Imóveis!$N$5/Imóveis!$S$5)+((Imóveis!$N$5-((Imóveis!$S$5-(IF(AND(Dados!$A211 &gt;=Imóveis!$Q$5,Dados!$A211&lt;=Imóveis!$T$5),Imóveis!$S$5-(DATEDIF(Imóveis!$Q$5,Dados!$A211,"m")),)))*(Imóveis!$N$5/Imóveis!$S$5)))*Imóveis!$P$5))))*IF(AND(Imóveis!$E$5&gt;0,Dados!$A211&gt;Imóveis!$E$5),0,1)*Imóveis!$I$5</f>
        <v>0</v>
      </c>
      <c r="M211" s="18">
        <f>IF(Imóveis!$F$6="PRICE",IF(AND(Dados!$A211&gt;=Imóveis!$Q$6,Dados!$A211&lt;=Imóveis!$T$6),Imóveis!$U$6,0),IF((IF(AND(Dados!$A211&gt;=Imóveis!$Q$6,Dados!$A211&lt;=Imóveis!$T$6),Imóveis!$S$6-(DATEDIF(Imóveis!$Q$6,Dados!$A211,"m")),0))=0,0,((Imóveis!$N$6/Imóveis!$S$6)+((Imóveis!$N$6-((Imóveis!$S$6-(IF(AND(Dados!$A211&gt;=Imóveis!$Q$6,Dados!$A211&lt;=Imóveis!$T$6),Imóveis!$S$6-(DATEDIF(Imóveis!$Q$6,Dados!$A211,"m")),)))*(Imóveis!$N$6/Imóveis!$S$6)))*Imóveis!$P$6))))*IF(AND(Imóveis!$E$6&gt;0,Dados!$A211&gt;Imóveis!$E$6),0,1)*Imóveis!$I$6</f>
        <v>0</v>
      </c>
      <c r="N211" s="18">
        <f t="shared" si="29"/>
        <v>43000</v>
      </c>
      <c r="O211" s="18">
        <f>SUMIFS(Receitas!$F:$F,Receitas!$J:$J,"&lt;="&amp;$A211,Receitas!$L:$L,"&gt;="&amp;$A211,Receitas!$C:$C,O$1,Receitas!$M:$M,"Mensal")+SUMIFS(Receitas!$F:$F,Receitas!$J:$J,"&lt;="&amp;$A211,Receitas!$L:$L,"&gt;="&amp;$A211,Receitas!$C:$C,O$1,Receitas!$M:$M,$B211)</f>
        <v>50000</v>
      </c>
      <c r="P211" s="18">
        <f>SUMIFS(Receitas!$F:$F,Receitas!$J:$J,"&lt;="&amp;$A211,Receitas!$L:$L,"&gt;="&amp;$A211,Receitas!$C:$C,P$1,Receitas!$M:$M,"Mensal")+SUMIFS(Receitas!$F:$F,Receitas!$J:$J,"&lt;="&amp;$A211,Receitas!$L:$L,"&gt;="&amp;$A211,Receitas!$C:$C,P$1,Receitas!$M:$M,$B211)</f>
        <v>20000</v>
      </c>
      <c r="Q211" s="18">
        <f>SUMIFS(Receitas!$F:$F,Receitas!$J:$J,"&lt;="&amp;$A211,Receitas!$L:$L,"&gt;="&amp;$A211,Receitas!$C:$C,Q$1,Receitas!$M:$M,"Mensal")+SUMIFS(Receitas!$F:$F,Receitas!$J:$J,"&lt;="&amp;$A211,Receitas!$L:$L,"&gt;="&amp;$A211,Receitas!$C:$C,Q$1,Receitas!$M:$M,$B211)</f>
        <v>0</v>
      </c>
      <c r="R211" s="18" cm="1">
        <f t="array" ref="R211">(IF(AND(Membros!$F$2="Sim",A211&lt;=MAX(Membros!$E$2:$E$5)),Membros!K$2,IF(AND(A211&gt;=Membros!J$2,A211&lt;=MAX(Membros!$E$2:$E$5)),Membros!K$2,0))+IF(AND(Membros!$F$3="Sim",A211&lt;=MAX(Membros!$E$2:$E$5)),Membros!K$3,IF(AND(A211&gt;=Membros!J$3,A211&lt;=MAX(Membros!$E$2:$E$5)),Membros!K$3,0)))*IF(AND(COUNTIFS(Tabela3[Tipo],"Provedor",Tabela3[Simulação Seguro],"Sim")=2,A211&gt;=MAX(IF(Tabela3[Tipo]="Dependente",Tabela3[Expectativa de Vida (Data)]))),0,1)</f>
        <v>0</v>
      </c>
      <c r="S211" s="18">
        <f t="shared" si="30"/>
        <v>70000</v>
      </c>
      <c r="U211" s="18">
        <f t="shared" ca="1" si="33"/>
        <v>10892526.135051772</v>
      </c>
      <c r="V211" s="18">
        <f>SUMIF(Imóveis!E:E,Dados!A:A,Imóveis!Z:Z)-SUMIF(Imóveis!E:E,Dados!A:A,Imóveis!Y:Y)</f>
        <v>0</v>
      </c>
      <c r="W211" s="18">
        <f>-SUMIF(Projetos!N:N,A211,Projetos!F:F)</f>
        <v>0</v>
      </c>
      <c r="X211" s="18">
        <f t="shared" si="27"/>
        <v>27000</v>
      </c>
      <c r="Y211" s="26">
        <f ca="1">(U211*((Indicadores_Economicos!D$2+1)^(1/12)-1))</f>
        <v>35659.296136960373</v>
      </c>
      <c r="Z211" s="18">
        <f t="shared" ca="1" si="31"/>
        <v>10955185.431188732</v>
      </c>
      <c r="AA211" s="18">
        <f ca="1">Auxiliar_Projetos!E211</f>
        <v>7.7421149350842885E-10</v>
      </c>
      <c r="AB211" s="18">
        <f ca="1">Auxiliar_Projetos!K211</f>
        <v>5.9554730269879156E-10</v>
      </c>
      <c r="AC211" s="18">
        <f ca="1">IF(Z211-AA211-AB211&gt;Investimentos!$C$14,Investimentos!$C$14,IF(Z211-AA211-AB211&lt;Investimentos!$C$14,Z211-AA211-AB211,0))</f>
        <v>300000</v>
      </c>
      <c r="AD211" s="18">
        <f t="shared" ca="1" si="32"/>
        <v>10655185.431188732</v>
      </c>
      <c r="AE211" s="18"/>
    </row>
    <row r="212" spans="1:31" x14ac:dyDescent="0.2">
      <c r="A212" s="4">
        <v>52048</v>
      </c>
      <c r="B212" s="5" t="str">
        <f t="shared" si="28"/>
        <v>julho</v>
      </c>
      <c r="C212" s="5" t="str">
        <f t="shared" si="26"/>
        <v>2042</v>
      </c>
      <c r="D212" s="5">
        <f>SUMIFS(Despesas!$F:$F,Despesas!$J:$J,"&lt;="&amp;$A212,Despesas!$L:$L,"&gt;="&amp;$A212,Despesas!$C:$C,D$1,Despesas!$M:$M,"Mensal")+SUMIFS(Despesas!$F:$F,Despesas!$J:$J,"&lt;="&amp;$A212,Despesas!$L:$L,"&gt;="&amp;$A212,Despesas!$C:$C,D$1,Despesas!$M:$M,$B212)</f>
        <v>23000</v>
      </c>
      <c r="E212" s="18">
        <f>SUMIFS(Despesas!$F:$F,Despesas!$J:$J,"&lt;="&amp;$A212,Despesas!$L:$L,"&gt;="&amp;$A212,Despesas!$C:$C,E$1,Despesas!$M:$M,"Mensal")+SUMIFS(Despesas!$F:$F,Despesas!$J:$J,"&lt;="&amp;$A212,Despesas!$L:$L,"&gt;="&amp;$A212,Despesas!$C:$C,E$1,Despesas!$M:$M,$B212)</f>
        <v>6000</v>
      </c>
      <c r="F212" s="5">
        <f>SUMIFS(Despesas!$F:$F,Despesas!$J:$J,"&lt;="&amp;$A212,Despesas!$L:$L,"&gt;="&amp;$A212,Despesas!$C:$C,F$1,Despesas!$M:$M,"Mensal")+SUMIFS(Despesas!$F:$F,Despesas!$J:$J,"&lt;="&amp;$A212,Despesas!$L:$L,"&gt;="&amp;$A212,Despesas!$C:$C,F$1,Despesas!$M:$M,$B212)</f>
        <v>13000</v>
      </c>
      <c r="G212" s="5">
        <f ca="1">SUMIFS(Despesas!$F:$F,Despesas!$J:$J,"&lt;="&amp;$A212,Despesas!$L:$L,"&gt;="&amp;$A212,Despesas!$C:$C,G$1,Despesas!$M:$M,"Mensal")+SUMIFS(Despesas!$F:$F,Despesas!$J:$J,"&lt;="&amp;$A212,Despesas!$L:$L,"&gt;="&amp;$A212,Despesas!$C:$C,G$1,Despesas!$M:$M,$B212)</f>
        <v>55757</v>
      </c>
      <c r="H212" s="18">
        <f>SUMIFS(Despesas!$F:$F,Despesas!$J:$J,"&lt;="&amp;$A212,Despesas!$L:$L,"&gt;="&amp;$A212,Despesas!$C:$C,H$1,Despesas!$M:$M,"Mensal")+SUMIFS(Despesas!$F:$F,Despesas!$J:$J,"&lt;="&amp;$A212,Despesas!$L:$L,"&gt;="&amp;$A212,Despesas!$C:$C,H$1,Despesas!$M:$M,$B212)</f>
        <v>1000</v>
      </c>
      <c r="I212" s="18">
        <f>IF(Imóveis!$F$2="PRICE",IF(AND(Dados!$A212&gt;=Imóveis!$Q$2,Dados!$A212&lt;=Imóveis!$T$2),Imóveis!$U$2,0),IF((IF(AND(Dados!$A212&gt;=Imóveis!$Q$2,Dados!$A212&lt;=Imóveis!$T$2),Imóveis!$S$2-(DATEDIF(Imóveis!$Q$2,Dados!$A212,"m")),0))=0,0,((Imóveis!$N$2/Imóveis!$S$2)+((Imóveis!$N$2-((Imóveis!$S$2-(IF(AND(Dados!$A212&gt;=Imóveis!$Q$2,Dados!$A212&lt;=Imóveis!$T$2),Imóveis!$S$2-(DATEDIF(Imóveis!$Q$2,Dados!$A212,"m")),)))*(Imóveis!$N$2/Imóveis!$S$2)))*Imóveis!$P$2))))*IF(AND(Imóveis!$E$2&gt;0,Dados!$A212&gt;Imóveis!$E$2),0,1)</f>
        <v>0</v>
      </c>
      <c r="J212" s="18">
        <f>IF(Imóveis!$F$3="PRICE",IF(AND(Dados!$A212&gt;=Imóveis!$Q$3,Dados!$A212&lt;=Imóveis!$T$3),Imóveis!$U$3,0),IF((IF(AND(Dados!$A212&gt;=Imóveis!$Q$3,Dados!$A212&lt;=Imóveis!$T$3),Imóveis!$S$3-(DATEDIF(Imóveis!$Q$3,Dados!$A212,"m")),0))=0,0,((Imóveis!$N$3/Imóveis!$S$3)+((Imóveis!$N$3-((Imóveis!$S$3-(IF(AND(Dados!$A212&gt;=Imóveis!$Q$3,Dados!$A212&lt;=Imóveis!$T$3),Imóveis!$S$3-(DATEDIF(Imóveis!$Q$3,Dados!$A212,"m")),)))*(Imóveis!$N$3/Imóveis!$S$3)))*Imóveis!$P$3))))*IF(AND(Imóveis!$E$3&gt;0,Dados!$A212&gt;Imóveis!$E$3),0,1)</f>
        <v>0</v>
      </c>
      <c r="K212" s="18">
        <f>IF(Imóveis!$F$4="PRICE",IF(AND(Dados!$A212&gt;=Imóveis!$Q$4,Dados!$A212&lt;=Imóveis!$T$4),Imóveis!$U$4,0),IF((IF(AND(Dados!$A212&gt;=Imóveis!$Q$4,Dados!$A212&lt;=Imóveis!$T$4),Imóveis!$S$4-(DATEDIF(Imóveis!$Q$4,Dados!$A212,"m")),0))=0,0,((Imóveis!$N$4/Imóveis!$S$4)+((Imóveis!$N$4-((Imóveis!$S$4-(IF(AND(Dados!$A212&gt;=Imóveis!$Q$4,Dados!$A212&lt;=Imóveis!$T$4),Imóveis!$S$4-(DATEDIF(Imóveis!$Q$4,Dados!$A212,"m")),)))*(Imóveis!$N$4/Imóveis!$S$4)))*Imóveis!$P$4))))*IF(AND(Imóveis!$E$4&gt;0,Dados!$A212&gt;Imóveis!$E$4),0,1)</f>
        <v>0</v>
      </c>
      <c r="L212" s="18">
        <f>IF(Imóveis!$F$5="PRICE",IF(AND(Dados!$A212&gt;=Imóveis!$Q$5,Dados!$A212&lt;=Imóveis!$T$5),Imóveis!$U$5,0),IF((IF(AND(Dados!$A212&gt;=Imóveis!$Q$5,Dados!$A212&lt;=Imóveis!$T$5),Imóveis!$S$5-(DATEDIF(Imóveis!$Q$5,Dados!$A212,"m")),0))=0,0,((Imóveis!$N$5/Imóveis!$S$5)+((Imóveis!$N$5-((Imóveis!$S$5-(IF(AND(Dados!$A212 &gt;=Imóveis!$Q$5,Dados!$A212&lt;=Imóveis!$T$5),Imóveis!$S$5-(DATEDIF(Imóveis!$Q$5,Dados!$A212,"m")),)))*(Imóveis!$N$5/Imóveis!$S$5)))*Imóveis!$P$5))))*IF(AND(Imóveis!$E$5&gt;0,Dados!$A212&gt;Imóveis!$E$5),0,1)*Imóveis!$I$5</f>
        <v>0</v>
      </c>
      <c r="M212" s="18">
        <f>IF(Imóveis!$F$6="PRICE",IF(AND(Dados!$A212&gt;=Imóveis!$Q$6,Dados!$A212&lt;=Imóveis!$T$6),Imóveis!$U$6,0),IF((IF(AND(Dados!$A212&gt;=Imóveis!$Q$6,Dados!$A212&lt;=Imóveis!$T$6),Imóveis!$S$6-(DATEDIF(Imóveis!$Q$6,Dados!$A212,"m")),0))=0,0,((Imóveis!$N$6/Imóveis!$S$6)+((Imóveis!$N$6-((Imóveis!$S$6-(IF(AND(Dados!$A212&gt;=Imóveis!$Q$6,Dados!$A212&lt;=Imóveis!$T$6),Imóveis!$S$6-(DATEDIF(Imóveis!$Q$6,Dados!$A212,"m")),)))*(Imóveis!$N$6/Imóveis!$S$6)))*Imóveis!$P$6))))*IF(AND(Imóveis!$E$6&gt;0,Dados!$A212&gt;Imóveis!$E$6),0,1)*Imóveis!$I$6</f>
        <v>0</v>
      </c>
      <c r="N212" s="18">
        <f t="shared" ca="1" si="29"/>
        <v>98757</v>
      </c>
      <c r="O212" s="18">
        <f>SUMIFS(Receitas!$F:$F,Receitas!$J:$J,"&lt;="&amp;$A212,Receitas!$L:$L,"&gt;="&amp;$A212,Receitas!$C:$C,O$1,Receitas!$M:$M,"Mensal")+SUMIFS(Receitas!$F:$F,Receitas!$J:$J,"&lt;="&amp;$A212,Receitas!$L:$L,"&gt;="&amp;$A212,Receitas!$C:$C,O$1,Receitas!$M:$M,$B212)</f>
        <v>50000</v>
      </c>
      <c r="P212" s="18">
        <f>SUMIFS(Receitas!$F:$F,Receitas!$J:$J,"&lt;="&amp;$A212,Receitas!$L:$L,"&gt;="&amp;$A212,Receitas!$C:$C,P$1,Receitas!$M:$M,"Mensal")+SUMIFS(Receitas!$F:$F,Receitas!$J:$J,"&lt;="&amp;$A212,Receitas!$L:$L,"&gt;="&amp;$A212,Receitas!$C:$C,P$1,Receitas!$M:$M,$B212)</f>
        <v>20000</v>
      </c>
      <c r="Q212" s="18">
        <f>SUMIFS(Receitas!$F:$F,Receitas!$J:$J,"&lt;="&amp;$A212,Receitas!$L:$L,"&gt;="&amp;$A212,Receitas!$C:$C,Q$1,Receitas!$M:$M,"Mensal")+SUMIFS(Receitas!$F:$F,Receitas!$J:$J,"&lt;="&amp;$A212,Receitas!$L:$L,"&gt;="&amp;$A212,Receitas!$C:$C,Q$1,Receitas!$M:$M,$B212)</f>
        <v>0</v>
      </c>
      <c r="R212" s="18" cm="1">
        <f t="array" ref="R212">(IF(AND(Membros!$F$2="Sim",A212&lt;=MAX(Membros!$E$2:$E$5)),Membros!K$2,IF(AND(A212&gt;=Membros!J$2,A212&lt;=MAX(Membros!$E$2:$E$5)),Membros!K$2,0))+IF(AND(Membros!$F$3="Sim",A212&lt;=MAX(Membros!$E$2:$E$5)),Membros!K$3,IF(AND(A212&gt;=Membros!J$3,A212&lt;=MAX(Membros!$E$2:$E$5)),Membros!K$3,0)))*IF(AND(COUNTIFS(Tabela3[Tipo],"Provedor",Tabela3[Simulação Seguro],"Sim")=2,A212&gt;=MAX(IF(Tabela3[Tipo]="Dependente",Tabela3[Expectativa de Vida (Data)]))),0,1)</f>
        <v>0</v>
      </c>
      <c r="S212" s="18">
        <f t="shared" si="30"/>
        <v>70000</v>
      </c>
      <c r="U212" s="18">
        <f t="shared" ca="1" si="33"/>
        <v>10955185.431188732</v>
      </c>
      <c r="V212" s="18">
        <f>SUMIF(Imóveis!E:E,Dados!A:A,Imóveis!Z:Z)-SUMIF(Imóveis!E:E,Dados!A:A,Imóveis!Y:Y)</f>
        <v>0</v>
      </c>
      <c r="W212" s="18">
        <f>-SUMIF(Projetos!N:N,A212,Projetos!F:F)</f>
        <v>0</v>
      </c>
      <c r="X212" s="18">
        <f t="shared" ca="1" si="27"/>
        <v>-28757</v>
      </c>
      <c r="Y212" s="26">
        <f ca="1">(U212*((Indicadores_Economicos!D$2+1)^(1/12)-1))</f>
        <v>35864.426367448519</v>
      </c>
      <c r="Z212" s="18">
        <f t="shared" ca="1" si="31"/>
        <v>10962292.857556181</v>
      </c>
      <c r="AA212" s="18">
        <f ca="1">Auxiliar_Projetos!E212</f>
        <v>7.7674606047456298E-10</v>
      </c>
      <c r="AB212" s="18">
        <f ca="1">Auxiliar_Projetos!K212</f>
        <v>5.9749696959581784E-10</v>
      </c>
      <c r="AC212" s="18">
        <f ca="1">IF(Z212-AA212-AB212&gt;Investimentos!$C$14,Investimentos!$C$14,IF(Z212-AA212-AB212&lt;Investimentos!$C$14,Z212-AA212-AB212,0))</f>
        <v>300000</v>
      </c>
      <c r="AD212" s="18">
        <f t="shared" ca="1" si="32"/>
        <v>10662292.857556181</v>
      </c>
      <c r="AE212" s="18"/>
    </row>
    <row r="213" spans="1:31" x14ac:dyDescent="0.2">
      <c r="A213" s="4">
        <v>52079</v>
      </c>
      <c r="B213" s="5" t="str">
        <f t="shared" si="28"/>
        <v>agosto</v>
      </c>
      <c r="C213" s="5" t="str">
        <f t="shared" si="26"/>
        <v>2042</v>
      </c>
      <c r="D213" s="5">
        <f>SUMIFS(Despesas!$F:$F,Despesas!$J:$J,"&lt;="&amp;$A213,Despesas!$L:$L,"&gt;="&amp;$A213,Despesas!$C:$C,D$1,Despesas!$M:$M,"Mensal")+SUMIFS(Despesas!$F:$F,Despesas!$J:$J,"&lt;="&amp;$A213,Despesas!$L:$L,"&gt;="&amp;$A213,Despesas!$C:$C,D$1,Despesas!$M:$M,$B213)</f>
        <v>23000</v>
      </c>
      <c r="E213" s="18">
        <f>SUMIFS(Despesas!$F:$F,Despesas!$J:$J,"&lt;="&amp;$A213,Despesas!$L:$L,"&gt;="&amp;$A213,Despesas!$C:$C,E$1,Despesas!$M:$M,"Mensal")+SUMIFS(Despesas!$F:$F,Despesas!$J:$J,"&lt;="&amp;$A213,Despesas!$L:$L,"&gt;="&amp;$A213,Despesas!$C:$C,E$1,Despesas!$M:$M,$B213)</f>
        <v>6000</v>
      </c>
      <c r="F213" s="5">
        <f>SUMIFS(Despesas!$F:$F,Despesas!$J:$J,"&lt;="&amp;$A213,Despesas!$L:$L,"&gt;="&amp;$A213,Despesas!$C:$C,F$1,Despesas!$M:$M,"Mensal")+SUMIFS(Despesas!$F:$F,Despesas!$J:$J,"&lt;="&amp;$A213,Despesas!$L:$L,"&gt;="&amp;$A213,Despesas!$C:$C,F$1,Despesas!$M:$M,$B213)</f>
        <v>13000</v>
      </c>
      <c r="G213" s="5">
        <f>SUMIFS(Despesas!$F:$F,Despesas!$J:$J,"&lt;="&amp;$A213,Despesas!$L:$L,"&gt;="&amp;$A213,Despesas!$C:$C,G$1,Despesas!$M:$M,"Mensal")+SUMIFS(Despesas!$F:$F,Despesas!$J:$J,"&lt;="&amp;$A213,Despesas!$L:$L,"&gt;="&amp;$A213,Despesas!$C:$C,G$1,Despesas!$M:$M,$B213)</f>
        <v>0</v>
      </c>
      <c r="H213" s="18">
        <f>SUMIFS(Despesas!$F:$F,Despesas!$J:$J,"&lt;="&amp;$A213,Despesas!$L:$L,"&gt;="&amp;$A213,Despesas!$C:$C,H$1,Despesas!$M:$M,"Mensal")+SUMIFS(Despesas!$F:$F,Despesas!$J:$J,"&lt;="&amp;$A213,Despesas!$L:$L,"&gt;="&amp;$A213,Despesas!$C:$C,H$1,Despesas!$M:$M,$B213)</f>
        <v>1000</v>
      </c>
      <c r="I213" s="18">
        <f>IF(Imóveis!$F$2="PRICE",IF(AND(Dados!$A213&gt;=Imóveis!$Q$2,Dados!$A213&lt;=Imóveis!$T$2),Imóveis!$U$2,0),IF((IF(AND(Dados!$A213&gt;=Imóveis!$Q$2,Dados!$A213&lt;=Imóveis!$T$2),Imóveis!$S$2-(DATEDIF(Imóveis!$Q$2,Dados!$A213,"m")),0))=0,0,((Imóveis!$N$2/Imóveis!$S$2)+((Imóveis!$N$2-((Imóveis!$S$2-(IF(AND(Dados!$A213&gt;=Imóveis!$Q$2,Dados!$A213&lt;=Imóveis!$T$2),Imóveis!$S$2-(DATEDIF(Imóveis!$Q$2,Dados!$A213,"m")),)))*(Imóveis!$N$2/Imóveis!$S$2)))*Imóveis!$P$2))))*IF(AND(Imóveis!$E$2&gt;0,Dados!$A213&gt;Imóveis!$E$2),0,1)</f>
        <v>0</v>
      </c>
      <c r="J213" s="18">
        <f>IF(Imóveis!$F$3="PRICE",IF(AND(Dados!$A213&gt;=Imóveis!$Q$3,Dados!$A213&lt;=Imóveis!$T$3),Imóveis!$U$3,0),IF((IF(AND(Dados!$A213&gt;=Imóveis!$Q$3,Dados!$A213&lt;=Imóveis!$T$3),Imóveis!$S$3-(DATEDIF(Imóveis!$Q$3,Dados!$A213,"m")),0))=0,0,((Imóveis!$N$3/Imóveis!$S$3)+((Imóveis!$N$3-((Imóveis!$S$3-(IF(AND(Dados!$A213&gt;=Imóveis!$Q$3,Dados!$A213&lt;=Imóveis!$T$3),Imóveis!$S$3-(DATEDIF(Imóveis!$Q$3,Dados!$A213,"m")),)))*(Imóveis!$N$3/Imóveis!$S$3)))*Imóveis!$P$3))))*IF(AND(Imóveis!$E$3&gt;0,Dados!$A213&gt;Imóveis!$E$3),0,1)</f>
        <v>0</v>
      </c>
      <c r="K213" s="18">
        <f>IF(Imóveis!$F$4="PRICE",IF(AND(Dados!$A213&gt;=Imóveis!$Q$4,Dados!$A213&lt;=Imóveis!$T$4),Imóveis!$U$4,0),IF((IF(AND(Dados!$A213&gt;=Imóveis!$Q$4,Dados!$A213&lt;=Imóveis!$T$4),Imóveis!$S$4-(DATEDIF(Imóveis!$Q$4,Dados!$A213,"m")),0))=0,0,((Imóveis!$N$4/Imóveis!$S$4)+((Imóveis!$N$4-((Imóveis!$S$4-(IF(AND(Dados!$A213&gt;=Imóveis!$Q$4,Dados!$A213&lt;=Imóveis!$T$4),Imóveis!$S$4-(DATEDIF(Imóveis!$Q$4,Dados!$A213,"m")),)))*(Imóveis!$N$4/Imóveis!$S$4)))*Imóveis!$P$4))))*IF(AND(Imóveis!$E$4&gt;0,Dados!$A213&gt;Imóveis!$E$4),0,1)</f>
        <v>0</v>
      </c>
      <c r="L213" s="18">
        <f>IF(Imóveis!$F$5="PRICE",IF(AND(Dados!$A213&gt;=Imóveis!$Q$5,Dados!$A213&lt;=Imóveis!$T$5),Imóveis!$U$5,0),IF((IF(AND(Dados!$A213&gt;=Imóveis!$Q$5,Dados!$A213&lt;=Imóveis!$T$5),Imóveis!$S$5-(DATEDIF(Imóveis!$Q$5,Dados!$A213,"m")),0))=0,0,((Imóveis!$N$5/Imóveis!$S$5)+((Imóveis!$N$5-((Imóveis!$S$5-(IF(AND(Dados!$A213 &gt;=Imóveis!$Q$5,Dados!$A213&lt;=Imóveis!$T$5),Imóveis!$S$5-(DATEDIF(Imóveis!$Q$5,Dados!$A213,"m")),)))*(Imóveis!$N$5/Imóveis!$S$5)))*Imóveis!$P$5))))*IF(AND(Imóveis!$E$5&gt;0,Dados!$A213&gt;Imóveis!$E$5),0,1)*Imóveis!$I$5</f>
        <v>0</v>
      </c>
      <c r="M213" s="18">
        <f>IF(Imóveis!$F$6="PRICE",IF(AND(Dados!$A213&gt;=Imóveis!$Q$6,Dados!$A213&lt;=Imóveis!$T$6),Imóveis!$U$6,0),IF((IF(AND(Dados!$A213&gt;=Imóveis!$Q$6,Dados!$A213&lt;=Imóveis!$T$6),Imóveis!$S$6-(DATEDIF(Imóveis!$Q$6,Dados!$A213,"m")),0))=0,0,((Imóveis!$N$6/Imóveis!$S$6)+((Imóveis!$N$6-((Imóveis!$S$6-(IF(AND(Dados!$A213&gt;=Imóveis!$Q$6,Dados!$A213&lt;=Imóveis!$T$6),Imóveis!$S$6-(DATEDIF(Imóveis!$Q$6,Dados!$A213,"m")),)))*(Imóveis!$N$6/Imóveis!$S$6)))*Imóveis!$P$6))))*IF(AND(Imóveis!$E$6&gt;0,Dados!$A213&gt;Imóveis!$E$6),0,1)*Imóveis!$I$6</f>
        <v>0</v>
      </c>
      <c r="N213" s="18">
        <f t="shared" si="29"/>
        <v>43000</v>
      </c>
      <c r="O213" s="18">
        <f>SUMIFS(Receitas!$F:$F,Receitas!$J:$J,"&lt;="&amp;$A213,Receitas!$L:$L,"&gt;="&amp;$A213,Receitas!$C:$C,O$1,Receitas!$M:$M,"Mensal")+SUMIFS(Receitas!$F:$F,Receitas!$J:$J,"&lt;="&amp;$A213,Receitas!$L:$L,"&gt;="&amp;$A213,Receitas!$C:$C,O$1,Receitas!$M:$M,$B213)</f>
        <v>50000</v>
      </c>
      <c r="P213" s="18">
        <f>SUMIFS(Receitas!$F:$F,Receitas!$J:$J,"&lt;="&amp;$A213,Receitas!$L:$L,"&gt;="&amp;$A213,Receitas!$C:$C,P$1,Receitas!$M:$M,"Mensal")+SUMIFS(Receitas!$F:$F,Receitas!$J:$J,"&lt;="&amp;$A213,Receitas!$L:$L,"&gt;="&amp;$A213,Receitas!$C:$C,P$1,Receitas!$M:$M,$B213)</f>
        <v>20000</v>
      </c>
      <c r="Q213" s="18">
        <f>SUMIFS(Receitas!$F:$F,Receitas!$J:$J,"&lt;="&amp;$A213,Receitas!$L:$L,"&gt;="&amp;$A213,Receitas!$C:$C,Q$1,Receitas!$M:$M,"Mensal")+SUMIFS(Receitas!$F:$F,Receitas!$J:$J,"&lt;="&amp;$A213,Receitas!$L:$L,"&gt;="&amp;$A213,Receitas!$C:$C,Q$1,Receitas!$M:$M,$B213)</f>
        <v>0</v>
      </c>
      <c r="R213" s="18" cm="1">
        <f t="array" ref="R213">(IF(AND(Membros!$F$2="Sim",A213&lt;=MAX(Membros!$E$2:$E$5)),Membros!K$2,IF(AND(A213&gt;=Membros!J$2,A213&lt;=MAX(Membros!$E$2:$E$5)),Membros!K$2,0))+IF(AND(Membros!$F$3="Sim",A213&lt;=MAX(Membros!$E$2:$E$5)),Membros!K$3,IF(AND(A213&gt;=Membros!J$3,A213&lt;=MAX(Membros!$E$2:$E$5)),Membros!K$3,0)))*IF(AND(COUNTIFS(Tabela3[Tipo],"Provedor",Tabela3[Simulação Seguro],"Sim")=2,A213&gt;=MAX(IF(Tabela3[Tipo]="Dependente",Tabela3[Expectativa de Vida (Data)]))),0,1)</f>
        <v>0</v>
      </c>
      <c r="S213" s="18">
        <f t="shared" si="30"/>
        <v>70000</v>
      </c>
      <c r="U213" s="18">
        <f t="shared" ca="1" si="33"/>
        <v>10962292.857556181</v>
      </c>
      <c r="V213" s="18">
        <f>SUMIF(Imóveis!E:E,Dados!A:A,Imóveis!Z:Z)-SUMIF(Imóveis!E:E,Dados!A:A,Imóveis!Y:Y)</f>
        <v>0</v>
      </c>
      <c r="W213" s="18">
        <f>-SUMIF(Projetos!N:N,A213,Projetos!F:F)</f>
        <v>0</v>
      </c>
      <c r="X213" s="18">
        <f t="shared" si="27"/>
        <v>27000</v>
      </c>
      <c r="Y213" s="26">
        <f ca="1">(U213*((Indicadores_Economicos!D$2+1)^(1/12)-1))</f>
        <v>35887.69423189669</v>
      </c>
      <c r="Z213" s="18">
        <f t="shared" ca="1" si="31"/>
        <v>11025180.551788079</v>
      </c>
      <c r="AA213" s="18">
        <f ca="1">Auxiliar_Projetos!E213</f>
        <v>7.7928892495340489E-10</v>
      </c>
      <c r="AB213" s="18">
        <f ca="1">Auxiliar_Projetos!K213</f>
        <v>5.9945301919492697E-10</v>
      </c>
      <c r="AC213" s="18">
        <f ca="1">IF(Z213-AA213-AB213&gt;Investimentos!$C$14,Investimentos!$C$14,IF(Z213-AA213-AB213&lt;Investimentos!$C$14,Z213-AA213-AB213,0))</f>
        <v>300000</v>
      </c>
      <c r="AD213" s="18">
        <f t="shared" ca="1" si="32"/>
        <v>10725180.551788079</v>
      </c>
      <c r="AE213" s="18"/>
    </row>
    <row r="214" spans="1:31" x14ac:dyDescent="0.2">
      <c r="A214" s="4">
        <v>52110</v>
      </c>
      <c r="B214" s="5" t="str">
        <f t="shared" si="28"/>
        <v>setembro</v>
      </c>
      <c r="C214" s="5" t="str">
        <f t="shared" si="26"/>
        <v>2042</v>
      </c>
      <c r="D214" s="5">
        <f>SUMIFS(Despesas!$F:$F,Despesas!$J:$J,"&lt;="&amp;$A214,Despesas!$L:$L,"&gt;="&amp;$A214,Despesas!$C:$C,D$1,Despesas!$M:$M,"Mensal")+SUMIFS(Despesas!$F:$F,Despesas!$J:$J,"&lt;="&amp;$A214,Despesas!$L:$L,"&gt;="&amp;$A214,Despesas!$C:$C,D$1,Despesas!$M:$M,$B214)</f>
        <v>23000</v>
      </c>
      <c r="E214" s="18">
        <f>SUMIFS(Despesas!$F:$F,Despesas!$J:$J,"&lt;="&amp;$A214,Despesas!$L:$L,"&gt;="&amp;$A214,Despesas!$C:$C,E$1,Despesas!$M:$M,"Mensal")+SUMIFS(Despesas!$F:$F,Despesas!$J:$J,"&lt;="&amp;$A214,Despesas!$L:$L,"&gt;="&amp;$A214,Despesas!$C:$C,E$1,Despesas!$M:$M,$B214)</f>
        <v>6000</v>
      </c>
      <c r="F214" s="5">
        <f>SUMIFS(Despesas!$F:$F,Despesas!$J:$J,"&lt;="&amp;$A214,Despesas!$L:$L,"&gt;="&amp;$A214,Despesas!$C:$C,F$1,Despesas!$M:$M,"Mensal")+SUMIFS(Despesas!$F:$F,Despesas!$J:$J,"&lt;="&amp;$A214,Despesas!$L:$L,"&gt;="&amp;$A214,Despesas!$C:$C,F$1,Despesas!$M:$M,$B214)</f>
        <v>13000</v>
      </c>
      <c r="G214" s="5">
        <f>SUMIFS(Despesas!$F:$F,Despesas!$J:$J,"&lt;="&amp;$A214,Despesas!$L:$L,"&gt;="&amp;$A214,Despesas!$C:$C,G$1,Despesas!$M:$M,"Mensal")+SUMIFS(Despesas!$F:$F,Despesas!$J:$J,"&lt;="&amp;$A214,Despesas!$L:$L,"&gt;="&amp;$A214,Despesas!$C:$C,G$1,Despesas!$M:$M,$B214)</f>
        <v>0</v>
      </c>
      <c r="H214" s="18">
        <f>SUMIFS(Despesas!$F:$F,Despesas!$J:$J,"&lt;="&amp;$A214,Despesas!$L:$L,"&gt;="&amp;$A214,Despesas!$C:$C,H$1,Despesas!$M:$M,"Mensal")+SUMIFS(Despesas!$F:$F,Despesas!$J:$J,"&lt;="&amp;$A214,Despesas!$L:$L,"&gt;="&amp;$A214,Despesas!$C:$C,H$1,Despesas!$M:$M,$B214)</f>
        <v>1000</v>
      </c>
      <c r="I214" s="18">
        <f>IF(Imóveis!$F$2="PRICE",IF(AND(Dados!$A214&gt;=Imóveis!$Q$2,Dados!$A214&lt;=Imóveis!$T$2),Imóveis!$U$2,0),IF((IF(AND(Dados!$A214&gt;=Imóveis!$Q$2,Dados!$A214&lt;=Imóveis!$T$2),Imóveis!$S$2-(DATEDIF(Imóveis!$Q$2,Dados!$A214,"m")),0))=0,0,((Imóveis!$N$2/Imóveis!$S$2)+((Imóveis!$N$2-((Imóveis!$S$2-(IF(AND(Dados!$A214&gt;=Imóveis!$Q$2,Dados!$A214&lt;=Imóveis!$T$2),Imóveis!$S$2-(DATEDIF(Imóveis!$Q$2,Dados!$A214,"m")),)))*(Imóveis!$N$2/Imóveis!$S$2)))*Imóveis!$P$2))))*IF(AND(Imóveis!$E$2&gt;0,Dados!$A214&gt;Imóveis!$E$2),0,1)</f>
        <v>0</v>
      </c>
      <c r="J214" s="18">
        <f>IF(Imóveis!$F$3="PRICE",IF(AND(Dados!$A214&gt;=Imóveis!$Q$3,Dados!$A214&lt;=Imóveis!$T$3),Imóveis!$U$3,0),IF((IF(AND(Dados!$A214&gt;=Imóveis!$Q$3,Dados!$A214&lt;=Imóveis!$T$3),Imóveis!$S$3-(DATEDIF(Imóveis!$Q$3,Dados!$A214,"m")),0))=0,0,((Imóveis!$N$3/Imóveis!$S$3)+((Imóveis!$N$3-((Imóveis!$S$3-(IF(AND(Dados!$A214&gt;=Imóveis!$Q$3,Dados!$A214&lt;=Imóveis!$T$3),Imóveis!$S$3-(DATEDIF(Imóveis!$Q$3,Dados!$A214,"m")),)))*(Imóveis!$N$3/Imóveis!$S$3)))*Imóveis!$P$3))))*IF(AND(Imóveis!$E$3&gt;0,Dados!$A214&gt;Imóveis!$E$3),0,1)</f>
        <v>0</v>
      </c>
      <c r="K214" s="18">
        <f>IF(Imóveis!$F$4="PRICE",IF(AND(Dados!$A214&gt;=Imóveis!$Q$4,Dados!$A214&lt;=Imóveis!$T$4),Imóveis!$U$4,0),IF((IF(AND(Dados!$A214&gt;=Imóveis!$Q$4,Dados!$A214&lt;=Imóveis!$T$4),Imóveis!$S$4-(DATEDIF(Imóveis!$Q$4,Dados!$A214,"m")),0))=0,0,((Imóveis!$N$4/Imóveis!$S$4)+((Imóveis!$N$4-((Imóveis!$S$4-(IF(AND(Dados!$A214&gt;=Imóveis!$Q$4,Dados!$A214&lt;=Imóveis!$T$4),Imóveis!$S$4-(DATEDIF(Imóveis!$Q$4,Dados!$A214,"m")),)))*(Imóveis!$N$4/Imóveis!$S$4)))*Imóveis!$P$4))))*IF(AND(Imóveis!$E$4&gt;0,Dados!$A214&gt;Imóveis!$E$4),0,1)</f>
        <v>0</v>
      </c>
      <c r="L214" s="18">
        <f>IF(Imóveis!$F$5="PRICE",IF(AND(Dados!$A214&gt;=Imóveis!$Q$5,Dados!$A214&lt;=Imóveis!$T$5),Imóveis!$U$5,0),IF((IF(AND(Dados!$A214&gt;=Imóveis!$Q$5,Dados!$A214&lt;=Imóveis!$T$5),Imóveis!$S$5-(DATEDIF(Imóveis!$Q$5,Dados!$A214,"m")),0))=0,0,((Imóveis!$N$5/Imóveis!$S$5)+((Imóveis!$N$5-((Imóveis!$S$5-(IF(AND(Dados!$A214 &gt;=Imóveis!$Q$5,Dados!$A214&lt;=Imóveis!$T$5),Imóveis!$S$5-(DATEDIF(Imóveis!$Q$5,Dados!$A214,"m")),)))*(Imóveis!$N$5/Imóveis!$S$5)))*Imóveis!$P$5))))*IF(AND(Imóveis!$E$5&gt;0,Dados!$A214&gt;Imóveis!$E$5),0,1)*Imóveis!$I$5</f>
        <v>0</v>
      </c>
      <c r="M214" s="18">
        <f>IF(Imóveis!$F$6="PRICE",IF(AND(Dados!$A214&gt;=Imóveis!$Q$6,Dados!$A214&lt;=Imóveis!$T$6),Imóveis!$U$6,0),IF((IF(AND(Dados!$A214&gt;=Imóveis!$Q$6,Dados!$A214&lt;=Imóveis!$T$6),Imóveis!$S$6-(DATEDIF(Imóveis!$Q$6,Dados!$A214,"m")),0))=0,0,((Imóveis!$N$6/Imóveis!$S$6)+((Imóveis!$N$6-((Imóveis!$S$6-(IF(AND(Dados!$A214&gt;=Imóveis!$Q$6,Dados!$A214&lt;=Imóveis!$T$6),Imóveis!$S$6-(DATEDIF(Imóveis!$Q$6,Dados!$A214,"m")),)))*(Imóveis!$N$6/Imóveis!$S$6)))*Imóveis!$P$6))))*IF(AND(Imóveis!$E$6&gt;0,Dados!$A214&gt;Imóveis!$E$6),0,1)*Imóveis!$I$6</f>
        <v>0</v>
      </c>
      <c r="N214" s="18">
        <f t="shared" si="29"/>
        <v>43000</v>
      </c>
      <c r="O214" s="18">
        <f>SUMIFS(Receitas!$F:$F,Receitas!$J:$J,"&lt;="&amp;$A214,Receitas!$L:$L,"&gt;="&amp;$A214,Receitas!$C:$C,O$1,Receitas!$M:$M,"Mensal")+SUMIFS(Receitas!$F:$F,Receitas!$J:$J,"&lt;="&amp;$A214,Receitas!$L:$L,"&gt;="&amp;$A214,Receitas!$C:$C,O$1,Receitas!$M:$M,$B214)</f>
        <v>50000</v>
      </c>
      <c r="P214" s="18">
        <f>SUMIFS(Receitas!$F:$F,Receitas!$J:$J,"&lt;="&amp;$A214,Receitas!$L:$L,"&gt;="&amp;$A214,Receitas!$C:$C,P$1,Receitas!$M:$M,"Mensal")+SUMIFS(Receitas!$F:$F,Receitas!$J:$J,"&lt;="&amp;$A214,Receitas!$L:$L,"&gt;="&amp;$A214,Receitas!$C:$C,P$1,Receitas!$M:$M,$B214)</f>
        <v>20000</v>
      </c>
      <c r="Q214" s="18">
        <f>SUMIFS(Receitas!$F:$F,Receitas!$J:$J,"&lt;="&amp;$A214,Receitas!$L:$L,"&gt;="&amp;$A214,Receitas!$C:$C,Q$1,Receitas!$M:$M,"Mensal")+SUMIFS(Receitas!$F:$F,Receitas!$J:$J,"&lt;="&amp;$A214,Receitas!$L:$L,"&gt;="&amp;$A214,Receitas!$C:$C,Q$1,Receitas!$M:$M,$B214)</f>
        <v>0</v>
      </c>
      <c r="R214" s="18" cm="1">
        <f t="array" ref="R214">(IF(AND(Membros!$F$2="Sim",A214&lt;=MAX(Membros!$E$2:$E$5)),Membros!K$2,IF(AND(A214&gt;=Membros!J$2,A214&lt;=MAX(Membros!$E$2:$E$5)),Membros!K$2,0))+IF(AND(Membros!$F$3="Sim",A214&lt;=MAX(Membros!$E$2:$E$5)),Membros!K$3,IF(AND(A214&gt;=Membros!J$3,A214&lt;=MAX(Membros!$E$2:$E$5)),Membros!K$3,0)))*IF(AND(COUNTIFS(Tabela3[Tipo],"Provedor",Tabela3[Simulação Seguro],"Sim")=2,A214&gt;=MAX(IF(Tabela3[Tipo]="Dependente",Tabela3[Expectativa de Vida (Data)]))),0,1)</f>
        <v>0</v>
      </c>
      <c r="S214" s="18">
        <f t="shared" si="30"/>
        <v>70000</v>
      </c>
      <c r="U214" s="18">
        <f t="shared" ca="1" si="33"/>
        <v>11025180.551788079</v>
      </c>
      <c r="V214" s="18">
        <f>SUMIF(Imóveis!E:E,Dados!A:A,Imóveis!Z:Z)-SUMIF(Imóveis!E:E,Dados!A:A,Imóveis!Y:Y)</f>
        <v>0</v>
      </c>
      <c r="W214" s="18">
        <f>-SUMIF(Projetos!N:N,A214,Projetos!F:F)</f>
        <v>0</v>
      </c>
      <c r="X214" s="18">
        <f t="shared" si="27"/>
        <v>27000</v>
      </c>
      <c r="Y214" s="26">
        <f ca="1">(U214*((Indicadores_Economicos!D$2+1)^(1/12)-1))</f>
        <v>36093.572178314411</v>
      </c>
      <c r="Z214" s="18">
        <f t="shared" ca="1" si="31"/>
        <v>11088274.123966392</v>
      </c>
      <c r="AA214" s="18">
        <f ca="1">Auxiliar_Projetos!E214</f>
        <v>7.8184011410885191E-10</v>
      </c>
      <c r="AB214" s="18">
        <f ca="1">Auxiliar_Projetos!K214</f>
        <v>6.0141547239142461E-10</v>
      </c>
      <c r="AC214" s="18">
        <f ca="1">IF(Z214-AA214-AB214&gt;Investimentos!$C$14,Investimentos!$C$14,IF(Z214-AA214-AB214&lt;Investimentos!$C$14,Z214-AA214-AB214,0))</f>
        <v>300000</v>
      </c>
      <c r="AD214" s="18">
        <f t="shared" ca="1" si="32"/>
        <v>10788274.123966392</v>
      </c>
      <c r="AE214" s="18"/>
    </row>
    <row r="215" spans="1:31" x14ac:dyDescent="0.2">
      <c r="A215" s="4">
        <v>52140</v>
      </c>
      <c r="B215" s="5" t="str">
        <f t="shared" si="28"/>
        <v>outubro</v>
      </c>
      <c r="C215" s="5" t="str">
        <f t="shared" si="26"/>
        <v>2042</v>
      </c>
      <c r="D215" s="5">
        <f>SUMIFS(Despesas!$F:$F,Despesas!$J:$J,"&lt;="&amp;$A215,Despesas!$L:$L,"&gt;="&amp;$A215,Despesas!$C:$C,D$1,Despesas!$M:$M,"Mensal")+SUMIFS(Despesas!$F:$F,Despesas!$J:$J,"&lt;="&amp;$A215,Despesas!$L:$L,"&gt;="&amp;$A215,Despesas!$C:$C,D$1,Despesas!$M:$M,$B215)</f>
        <v>23000</v>
      </c>
      <c r="E215" s="18">
        <f>SUMIFS(Despesas!$F:$F,Despesas!$J:$J,"&lt;="&amp;$A215,Despesas!$L:$L,"&gt;="&amp;$A215,Despesas!$C:$C,E$1,Despesas!$M:$M,"Mensal")+SUMIFS(Despesas!$F:$F,Despesas!$J:$J,"&lt;="&amp;$A215,Despesas!$L:$L,"&gt;="&amp;$A215,Despesas!$C:$C,E$1,Despesas!$M:$M,$B215)</f>
        <v>6000</v>
      </c>
      <c r="F215" s="5">
        <f>SUMIFS(Despesas!$F:$F,Despesas!$J:$J,"&lt;="&amp;$A215,Despesas!$L:$L,"&gt;="&amp;$A215,Despesas!$C:$C,F$1,Despesas!$M:$M,"Mensal")+SUMIFS(Despesas!$F:$F,Despesas!$J:$J,"&lt;="&amp;$A215,Despesas!$L:$L,"&gt;="&amp;$A215,Despesas!$C:$C,F$1,Despesas!$M:$M,$B215)</f>
        <v>13000</v>
      </c>
      <c r="G215" s="5">
        <f>SUMIFS(Despesas!$F:$F,Despesas!$J:$J,"&lt;="&amp;$A215,Despesas!$L:$L,"&gt;="&amp;$A215,Despesas!$C:$C,G$1,Despesas!$M:$M,"Mensal")+SUMIFS(Despesas!$F:$F,Despesas!$J:$J,"&lt;="&amp;$A215,Despesas!$L:$L,"&gt;="&amp;$A215,Despesas!$C:$C,G$1,Despesas!$M:$M,$B215)</f>
        <v>0</v>
      </c>
      <c r="H215" s="18">
        <f>SUMIFS(Despesas!$F:$F,Despesas!$J:$J,"&lt;="&amp;$A215,Despesas!$L:$L,"&gt;="&amp;$A215,Despesas!$C:$C,H$1,Despesas!$M:$M,"Mensal")+SUMIFS(Despesas!$F:$F,Despesas!$J:$J,"&lt;="&amp;$A215,Despesas!$L:$L,"&gt;="&amp;$A215,Despesas!$C:$C,H$1,Despesas!$M:$M,$B215)</f>
        <v>1000</v>
      </c>
      <c r="I215" s="18">
        <f>IF(Imóveis!$F$2="PRICE",IF(AND(Dados!$A215&gt;=Imóveis!$Q$2,Dados!$A215&lt;=Imóveis!$T$2),Imóveis!$U$2,0),IF((IF(AND(Dados!$A215&gt;=Imóveis!$Q$2,Dados!$A215&lt;=Imóveis!$T$2),Imóveis!$S$2-(DATEDIF(Imóveis!$Q$2,Dados!$A215,"m")),0))=0,0,((Imóveis!$N$2/Imóveis!$S$2)+((Imóveis!$N$2-((Imóveis!$S$2-(IF(AND(Dados!$A215&gt;=Imóveis!$Q$2,Dados!$A215&lt;=Imóveis!$T$2),Imóveis!$S$2-(DATEDIF(Imóveis!$Q$2,Dados!$A215,"m")),)))*(Imóveis!$N$2/Imóveis!$S$2)))*Imóveis!$P$2))))*IF(AND(Imóveis!$E$2&gt;0,Dados!$A215&gt;Imóveis!$E$2),0,1)</f>
        <v>0</v>
      </c>
      <c r="J215" s="18">
        <f>IF(Imóveis!$F$3="PRICE",IF(AND(Dados!$A215&gt;=Imóveis!$Q$3,Dados!$A215&lt;=Imóveis!$T$3),Imóveis!$U$3,0),IF((IF(AND(Dados!$A215&gt;=Imóveis!$Q$3,Dados!$A215&lt;=Imóveis!$T$3),Imóveis!$S$3-(DATEDIF(Imóveis!$Q$3,Dados!$A215,"m")),0))=0,0,((Imóveis!$N$3/Imóveis!$S$3)+((Imóveis!$N$3-((Imóveis!$S$3-(IF(AND(Dados!$A215&gt;=Imóveis!$Q$3,Dados!$A215&lt;=Imóveis!$T$3),Imóveis!$S$3-(DATEDIF(Imóveis!$Q$3,Dados!$A215,"m")),)))*(Imóveis!$N$3/Imóveis!$S$3)))*Imóveis!$P$3))))*IF(AND(Imóveis!$E$3&gt;0,Dados!$A215&gt;Imóveis!$E$3),0,1)</f>
        <v>0</v>
      </c>
      <c r="K215" s="18">
        <f>IF(Imóveis!$F$4="PRICE",IF(AND(Dados!$A215&gt;=Imóveis!$Q$4,Dados!$A215&lt;=Imóveis!$T$4),Imóveis!$U$4,0),IF((IF(AND(Dados!$A215&gt;=Imóveis!$Q$4,Dados!$A215&lt;=Imóveis!$T$4),Imóveis!$S$4-(DATEDIF(Imóveis!$Q$4,Dados!$A215,"m")),0))=0,0,((Imóveis!$N$4/Imóveis!$S$4)+((Imóveis!$N$4-((Imóveis!$S$4-(IF(AND(Dados!$A215&gt;=Imóveis!$Q$4,Dados!$A215&lt;=Imóveis!$T$4),Imóveis!$S$4-(DATEDIF(Imóveis!$Q$4,Dados!$A215,"m")),)))*(Imóveis!$N$4/Imóveis!$S$4)))*Imóveis!$P$4))))*IF(AND(Imóveis!$E$4&gt;0,Dados!$A215&gt;Imóveis!$E$4),0,1)</f>
        <v>0</v>
      </c>
      <c r="L215" s="18">
        <f>IF(Imóveis!$F$5="PRICE",IF(AND(Dados!$A215&gt;=Imóveis!$Q$5,Dados!$A215&lt;=Imóveis!$T$5),Imóveis!$U$5,0),IF((IF(AND(Dados!$A215&gt;=Imóveis!$Q$5,Dados!$A215&lt;=Imóveis!$T$5),Imóveis!$S$5-(DATEDIF(Imóveis!$Q$5,Dados!$A215,"m")),0))=0,0,((Imóveis!$N$5/Imóveis!$S$5)+((Imóveis!$N$5-((Imóveis!$S$5-(IF(AND(Dados!$A215 &gt;=Imóveis!$Q$5,Dados!$A215&lt;=Imóveis!$T$5),Imóveis!$S$5-(DATEDIF(Imóveis!$Q$5,Dados!$A215,"m")),)))*(Imóveis!$N$5/Imóveis!$S$5)))*Imóveis!$P$5))))*IF(AND(Imóveis!$E$5&gt;0,Dados!$A215&gt;Imóveis!$E$5),0,1)*Imóveis!$I$5</f>
        <v>0</v>
      </c>
      <c r="M215" s="18">
        <f>IF(Imóveis!$F$6="PRICE",IF(AND(Dados!$A215&gt;=Imóveis!$Q$6,Dados!$A215&lt;=Imóveis!$T$6),Imóveis!$U$6,0),IF((IF(AND(Dados!$A215&gt;=Imóveis!$Q$6,Dados!$A215&lt;=Imóveis!$T$6),Imóveis!$S$6-(DATEDIF(Imóveis!$Q$6,Dados!$A215,"m")),0))=0,0,((Imóveis!$N$6/Imóveis!$S$6)+((Imóveis!$N$6-((Imóveis!$S$6-(IF(AND(Dados!$A215&gt;=Imóveis!$Q$6,Dados!$A215&lt;=Imóveis!$T$6),Imóveis!$S$6-(DATEDIF(Imóveis!$Q$6,Dados!$A215,"m")),)))*(Imóveis!$N$6/Imóveis!$S$6)))*Imóveis!$P$6))))*IF(AND(Imóveis!$E$6&gt;0,Dados!$A215&gt;Imóveis!$E$6),0,1)*Imóveis!$I$6</f>
        <v>0</v>
      </c>
      <c r="N215" s="18">
        <f t="shared" si="29"/>
        <v>43000</v>
      </c>
      <c r="O215" s="18">
        <f>SUMIFS(Receitas!$F:$F,Receitas!$J:$J,"&lt;="&amp;$A215,Receitas!$L:$L,"&gt;="&amp;$A215,Receitas!$C:$C,O$1,Receitas!$M:$M,"Mensal")+SUMIFS(Receitas!$F:$F,Receitas!$J:$J,"&lt;="&amp;$A215,Receitas!$L:$L,"&gt;="&amp;$A215,Receitas!$C:$C,O$1,Receitas!$M:$M,$B215)</f>
        <v>50000</v>
      </c>
      <c r="P215" s="18">
        <f>SUMIFS(Receitas!$F:$F,Receitas!$J:$J,"&lt;="&amp;$A215,Receitas!$L:$L,"&gt;="&amp;$A215,Receitas!$C:$C,P$1,Receitas!$M:$M,"Mensal")+SUMIFS(Receitas!$F:$F,Receitas!$J:$J,"&lt;="&amp;$A215,Receitas!$L:$L,"&gt;="&amp;$A215,Receitas!$C:$C,P$1,Receitas!$M:$M,$B215)</f>
        <v>20000</v>
      </c>
      <c r="Q215" s="18">
        <f>SUMIFS(Receitas!$F:$F,Receitas!$J:$J,"&lt;="&amp;$A215,Receitas!$L:$L,"&gt;="&amp;$A215,Receitas!$C:$C,Q$1,Receitas!$M:$M,"Mensal")+SUMIFS(Receitas!$F:$F,Receitas!$J:$J,"&lt;="&amp;$A215,Receitas!$L:$L,"&gt;="&amp;$A215,Receitas!$C:$C,Q$1,Receitas!$M:$M,$B215)</f>
        <v>0</v>
      </c>
      <c r="R215" s="18" cm="1">
        <f t="array" ref="R215">(IF(AND(Membros!$F$2="Sim",A215&lt;=MAX(Membros!$E$2:$E$5)),Membros!K$2,IF(AND(A215&gt;=Membros!J$2,A215&lt;=MAX(Membros!$E$2:$E$5)),Membros!K$2,0))+IF(AND(Membros!$F$3="Sim",A215&lt;=MAX(Membros!$E$2:$E$5)),Membros!K$3,IF(AND(A215&gt;=Membros!J$3,A215&lt;=MAX(Membros!$E$2:$E$5)),Membros!K$3,0)))*IF(AND(COUNTIFS(Tabela3[Tipo],"Provedor",Tabela3[Simulação Seguro],"Sim")=2,A215&gt;=MAX(IF(Tabela3[Tipo]="Dependente",Tabela3[Expectativa de Vida (Data)]))),0,1)</f>
        <v>0</v>
      </c>
      <c r="S215" s="18">
        <f t="shared" si="30"/>
        <v>70000</v>
      </c>
      <c r="U215" s="18">
        <f t="shared" ca="1" si="33"/>
        <v>11088274.123966392</v>
      </c>
      <c r="V215" s="18">
        <f>SUMIF(Imóveis!E:E,Dados!A:A,Imóveis!Z:Z)-SUMIF(Imóveis!E:E,Dados!A:A,Imóveis!Y:Y)</f>
        <v>0</v>
      </c>
      <c r="W215" s="18">
        <f>-SUMIF(Projetos!N:N,A215,Projetos!F:F)</f>
        <v>0</v>
      </c>
      <c r="X215" s="18">
        <f t="shared" si="27"/>
        <v>27000</v>
      </c>
      <c r="Y215" s="26">
        <f ca="1">(U215*((Indicadores_Economicos!D$2+1)^(1/12)-1))</f>
        <v>36300.124115555598</v>
      </c>
      <c r="Z215" s="18">
        <f t="shared" ca="1" si="31"/>
        <v>11151574.248081949</v>
      </c>
      <c r="AA215" s="18">
        <f ca="1">Auxiliar_Projetos!E215</f>
        <v>7.8439965519372902E-10</v>
      </c>
      <c r="AB215" s="18">
        <f ca="1">Auxiliar_Projetos!K215</f>
        <v>6.0338435014902236E-10</v>
      </c>
      <c r="AC215" s="18">
        <f ca="1">IF(Z215-AA215-AB215&gt;Investimentos!$C$14,Investimentos!$C$14,IF(Z215-AA215-AB215&lt;Investimentos!$C$14,Z215-AA215-AB215,0))</f>
        <v>300000</v>
      </c>
      <c r="AD215" s="18">
        <f t="shared" ca="1" si="32"/>
        <v>10851574.248081949</v>
      </c>
      <c r="AE215" s="18"/>
    </row>
    <row r="216" spans="1:31" x14ac:dyDescent="0.2">
      <c r="A216" s="4">
        <v>52171</v>
      </c>
      <c r="B216" s="5" t="str">
        <f t="shared" si="28"/>
        <v>novembro</v>
      </c>
      <c r="C216" s="5" t="str">
        <f t="shared" ref="C216:C279" si="34">TEXT(A216,"AAAA")</f>
        <v>2042</v>
      </c>
      <c r="D216" s="5">
        <f>SUMIFS(Despesas!$F:$F,Despesas!$J:$J,"&lt;="&amp;$A216,Despesas!$L:$L,"&gt;="&amp;$A216,Despesas!$C:$C,D$1,Despesas!$M:$M,"Mensal")+SUMIFS(Despesas!$F:$F,Despesas!$J:$J,"&lt;="&amp;$A216,Despesas!$L:$L,"&gt;="&amp;$A216,Despesas!$C:$C,D$1,Despesas!$M:$M,$B216)</f>
        <v>23000</v>
      </c>
      <c r="E216" s="18">
        <f>SUMIFS(Despesas!$F:$F,Despesas!$J:$J,"&lt;="&amp;$A216,Despesas!$L:$L,"&gt;="&amp;$A216,Despesas!$C:$C,E$1,Despesas!$M:$M,"Mensal")+SUMIFS(Despesas!$F:$F,Despesas!$J:$J,"&lt;="&amp;$A216,Despesas!$L:$L,"&gt;="&amp;$A216,Despesas!$C:$C,E$1,Despesas!$M:$M,$B216)</f>
        <v>6000</v>
      </c>
      <c r="F216" s="5">
        <f>SUMIFS(Despesas!$F:$F,Despesas!$J:$J,"&lt;="&amp;$A216,Despesas!$L:$L,"&gt;="&amp;$A216,Despesas!$C:$C,F$1,Despesas!$M:$M,"Mensal")+SUMIFS(Despesas!$F:$F,Despesas!$J:$J,"&lt;="&amp;$A216,Despesas!$L:$L,"&gt;="&amp;$A216,Despesas!$C:$C,F$1,Despesas!$M:$M,$B216)</f>
        <v>13000</v>
      </c>
      <c r="G216" s="5">
        <f>SUMIFS(Despesas!$F:$F,Despesas!$J:$J,"&lt;="&amp;$A216,Despesas!$L:$L,"&gt;="&amp;$A216,Despesas!$C:$C,G$1,Despesas!$M:$M,"Mensal")+SUMIFS(Despesas!$F:$F,Despesas!$J:$J,"&lt;="&amp;$A216,Despesas!$L:$L,"&gt;="&amp;$A216,Despesas!$C:$C,G$1,Despesas!$M:$M,$B216)</f>
        <v>0</v>
      </c>
      <c r="H216" s="18">
        <f>SUMIFS(Despesas!$F:$F,Despesas!$J:$J,"&lt;="&amp;$A216,Despesas!$L:$L,"&gt;="&amp;$A216,Despesas!$C:$C,H$1,Despesas!$M:$M,"Mensal")+SUMIFS(Despesas!$F:$F,Despesas!$J:$J,"&lt;="&amp;$A216,Despesas!$L:$L,"&gt;="&amp;$A216,Despesas!$C:$C,H$1,Despesas!$M:$M,$B216)</f>
        <v>1000</v>
      </c>
      <c r="I216" s="18">
        <f>IF(Imóveis!$F$2="PRICE",IF(AND(Dados!$A216&gt;=Imóveis!$Q$2,Dados!$A216&lt;=Imóveis!$T$2),Imóveis!$U$2,0),IF((IF(AND(Dados!$A216&gt;=Imóveis!$Q$2,Dados!$A216&lt;=Imóveis!$T$2),Imóveis!$S$2-(DATEDIF(Imóveis!$Q$2,Dados!$A216,"m")),0))=0,0,((Imóveis!$N$2/Imóveis!$S$2)+((Imóveis!$N$2-((Imóveis!$S$2-(IF(AND(Dados!$A216&gt;=Imóveis!$Q$2,Dados!$A216&lt;=Imóveis!$T$2),Imóveis!$S$2-(DATEDIF(Imóveis!$Q$2,Dados!$A216,"m")),)))*(Imóveis!$N$2/Imóveis!$S$2)))*Imóveis!$P$2))))*IF(AND(Imóveis!$E$2&gt;0,Dados!$A216&gt;Imóveis!$E$2),0,1)</f>
        <v>0</v>
      </c>
      <c r="J216" s="18">
        <f>IF(Imóveis!$F$3="PRICE",IF(AND(Dados!$A216&gt;=Imóveis!$Q$3,Dados!$A216&lt;=Imóveis!$T$3),Imóveis!$U$3,0),IF((IF(AND(Dados!$A216&gt;=Imóveis!$Q$3,Dados!$A216&lt;=Imóveis!$T$3),Imóveis!$S$3-(DATEDIF(Imóveis!$Q$3,Dados!$A216,"m")),0))=0,0,((Imóveis!$N$3/Imóveis!$S$3)+((Imóveis!$N$3-((Imóveis!$S$3-(IF(AND(Dados!$A216&gt;=Imóveis!$Q$3,Dados!$A216&lt;=Imóveis!$T$3),Imóveis!$S$3-(DATEDIF(Imóveis!$Q$3,Dados!$A216,"m")),)))*(Imóveis!$N$3/Imóveis!$S$3)))*Imóveis!$P$3))))*IF(AND(Imóveis!$E$3&gt;0,Dados!$A216&gt;Imóveis!$E$3),0,1)</f>
        <v>0</v>
      </c>
      <c r="K216" s="18">
        <f>IF(Imóveis!$F$4="PRICE",IF(AND(Dados!$A216&gt;=Imóveis!$Q$4,Dados!$A216&lt;=Imóveis!$T$4),Imóveis!$U$4,0),IF((IF(AND(Dados!$A216&gt;=Imóveis!$Q$4,Dados!$A216&lt;=Imóveis!$T$4),Imóveis!$S$4-(DATEDIF(Imóveis!$Q$4,Dados!$A216,"m")),0))=0,0,((Imóveis!$N$4/Imóveis!$S$4)+((Imóveis!$N$4-((Imóveis!$S$4-(IF(AND(Dados!$A216&gt;=Imóveis!$Q$4,Dados!$A216&lt;=Imóveis!$T$4),Imóveis!$S$4-(DATEDIF(Imóveis!$Q$4,Dados!$A216,"m")),)))*(Imóveis!$N$4/Imóveis!$S$4)))*Imóveis!$P$4))))*IF(AND(Imóveis!$E$4&gt;0,Dados!$A216&gt;Imóveis!$E$4),0,1)</f>
        <v>0</v>
      </c>
      <c r="L216" s="18">
        <f>IF(Imóveis!$F$5="PRICE",IF(AND(Dados!$A216&gt;=Imóveis!$Q$5,Dados!$A216&lt;=Imóveis!$T$5),Imóveis!$U$5,0),IF((IF(AND(Dados!$A216&gt;=Imóveis!$Q$5,Dados!$A216&lt;=Imóveis!$T$5),Imóveis!$S$5-(DATEDIF(Imóveis!$Q$5,Dados!$A216,"m")),0))=0,0,((Imóveis!$N$5/Imóveis!$S$5)+((Imóveis!$N$5-((Imóveis!$S$5-(IF(AND(Dados!$A216 &gt;=Imóveis!$Q$5,Dados!$A216&lt;=Imóveis!$T$5),Imóveis!$S$5-(DATEDIF(Imóveis!$Q$5,Dados!$A216,"m")),)))*(Imóveis!$N$5/Imóveis!$S$5)))*Imóveis!$P$5))))*IF(AND(Imóveis!$E$5&gt;0,Dados!$A216&gt;Imóveis!$E$5),0,1)*Imóveis!$I$5</f>
        <v>0</v>
      </c>
      <c r="M216" s="18">
        <f>IF(Imóveis!$F$6="PRICE",IF(AND(Dados!$A216&gt;=Imóveis!$Q$6,Dados!$A216&lt;=Imóveis!$T$6),Imóveis!$U$6,0),IF((IF(AND(Dados!$A216&gt;=Imóveis!$Q$6,Dados!$A216&lt;=Imóveis!$T$6),Imóveis!$S$6-(DATEDIF(Imóveis!$Q$6,Dados!$A216,"m")),0))=0,0,((Imóveis!$N$6/Imóveis!$S$6)+((Imóveis!$N$6-((Imóveis!$S$6-(IF(AND(Dados!$A216&gt;=Imóveis!$Q$6,Dados!$A216&lt;=Imóveis!$T$6),Imóveis!$S$6-(DATEDIF(Imóveis!$Q$6,Dados!$A216,"m")),)))*(Imóveis!$N$6/Imóveis!$S$6)))*Imóveis!$P$6))))*IF(AND(Imóveis!$E$6&gt;0,Dados!$A216&gt;Imóveis!$E$6),0,1)*Imóveis!$I$6</f>
        <v>0</v>
      </c>
      <c r="N216" s="18">
        <f t="shared" si="29"/>
        <v>43000</v>
      </c>
      <c r="O216" s="18">
        <f>SUMIFS(Receitas!$F:$F,Receitas!$J:$J,"&lt;="&amp;$A216,Receitas!$L:$L,"&gt;="&amp;$A216,Receitas!$C:$C,O$1,Receitas!$M:$M,"Mensal")+SUMIFS(Receitas!$F:$F,Receitas!$J:$J,"&lt;="&amp;$A216,Receitas!$L:$L,"&gt;="&amp;$A216,Receitas!$C:$C,O$1,Receitas!$M:$M,$B216)</f>
        <v>50000</v>
      </c>
      <c r="P216" s="18">
        <f>SUMIFS(Receitas!$F:$F,Receitas!$J:$J,"&lt;="&amp;$A216,Receitas!$L:$L,"&gt;="&amp;$A216,Receitas!$C:$C,P$1,Receitas!$M:$M,"Mensal")+SUMIFS(Receitas!$F:$F,Receitas!$J:$J,"&lt;="&amp;$A216,Receitas!$L:$L,"&gt;="&amp;$A216,Receitas!$C:$C,P$1,Receitas!$M:$M,$B216)</f>
        <v>86666.666666666672</v>
      </c>
      <c r="Q216" s="18">
        <f>SUMIFS(Receitas!$F:$F,Receitas!$J:$J,"&lt;="&amp;$A216,Receitas!$L:$L,"&gt;="&amp;$A216,Receitas!$C:$C,Q$1,Receitas!$M:$M,"Mensal")+SUMIFS(Receitas!$F:$F,Receitas!$J:$J,"&lt;="&amp;$A216,Receitas!$L:$L,"&gt;="&amp;$A216,Receitas!$C:$C,Q$1,Receitas!$M:$M,$B216)</f>
        <v>0</v>
      </c>
      <c r="R216" s="18" cm="1">
        <f t="array" ref="R216">(IF(AND(Membros!$F$2="Sim",A216&lt;=MAX(Membros!$E$2:$E$5)),Membros!K$2,IF(AND(A216&gt;=Membros!J$2,A216&lt;=MAX(Membros!$E$2:$E$5)),Membros!K$2,0))+IF(AND(Membros!$F$3="Sim",A216&lt;=MAX(Membros!$E$2:$E$5)),Membros!K$3,IF(AND(A216&gt;=Membros!J$3,A216&lt;=MAX(Membros!$E$2:$E$5)),Membros!K$3,0)))*IF(AND(COUNTIFS(Tabela3[Tipo],"Provedor",Tabela3[Simulação Seguro],"Sim")=2,A216&gt;=MAX(IF(Tabela3[Tipo]="Dependente",Tabela3[Expectativa de Vida (Data)]))),0,1)</f>
        <v>0</v>
      </c>
      <c r="S216" s="18">
        <f t="shared" si="30"/>
        <v>136666.66666666669</v>
      </c>
      <c r="U216" s="18">
        <f t="shared" ca="1" si="33"/>
        <v>11151574.248081949</v>
      </c>
      <c r="V216" s="18">
        <f>SUMIF(Imóveis!E:E,Dados!A:A,Imóveis!Z:Z)-SUMIF(Imóveis!E:E,Dados!A:A,Imóveis!Y:Y)</f>
        <v>0</v>
      </c>
      <c r="W216" s="18">
        <f>-SUMIF(Projetos!N:N,A216,Projetos!F:F)</f>
        <v>0</v>
      </c>
      <c r="X216" s="18">
        <f t="shared" si="27"/>
        <v>93666.666666666686</v>
      </c>
      <c r="Y216" s="26">
        <f ca="1">(U216*((Indicadores_Economicos!D$2+1)^(1/12)-1))</f>
        <v>36507.352250090822</v>
      </c>
      <c r="Z216" s="18">
        <f t="shared" ca="1" si="31"/>
        <v>11281748.266998706</v>
      </c>
      <c r="AA216" s="18">
        <f ca="1">Auxiliar_Projetos!E216</f>
        <v>7.8696757555007984E-10</v>
      </c>
      <c r="AB216" s="18">
        <f ca="1">Auxiliar_Projetos!K216</f>
        <v>6.0535967350006147E-10</v>
      </c>
      <c r="AC216" s="18">
        <f ca="1">IF(Z216-AA216-AB216&gt;Investimentos!$C$14,Investimentos!$C$14,IF(Z216-AA216-AB216&lt;Investimentos!$C$14,Z216-AA216-AB216,0))</f>
        <v>300000</v>
      </c>
      <c r="AD216" s="18">
        <f t="shared" ca="1" si="32"/>
        <v>10981748.266998706</v>
      </c>
      <c r="AE216" s="18"/>
    </row>
    <row r="217" spans="1:31" x14ac:dyDescent="0.2">
      <c r="A217" s="4">
        <v>52201</v>
      </c>
      <c r="B217" s="5" t="str">
        <f t="shared" si="28"/>
        <v>dezembro</v>
      </c>
      <c r="C217" s="5" t="str">
        <f t="shared" si="34"/>
        <v>2042</v>
      </c>
      <c r="D217" s="5">
        <f>SUMIFS(Despesas!$F:$F,Despesas!$J:$J,"&lt;="&amp;$A217,Despesas!$L:$L,"&gt;="&amp;$A217,Despesas!$C:$C,D$1,Despesas!$M:$M,"Mensal")+SUMIFS(Despesas!$F:$F,Despesas!$J:$J,"&lt;="&amp;$A217,Despesas!$L:$L,"&gt;="&amp;$A217,Despesas!$C:$C,D$1,Despesas!$M:$M,$B217)</f>
        <v>23000</v>
      </c>
      <c r="E217" s="18">
        <f>SUMIFS(Despesas!$F:$F,Despesas!$J:$J,"&lt;="&amp;$A217,Despesas!$L:$L,"&gt;="&amp;$A217,Despesas!$C:$C,E$1,Despesas!$M:$M,"Mensal")+SUMIFS(Despesas!$F:$F,Despesas!$J:$J,"&lt;="&amp;$A217,Despesas!$L:$L,"&gt;="&amp;$A217,Despesas!$C:$C,E$1,Despesas!$M:$M,$B217)</f>
        <v>6000</v>
      </c>
      <c r="F217" s="5">
        <f>SUMIFS(Despesas!$F:$F,Despesas!$J:$J,"&lt;="&amp;$A217,Despesas!$L:$L,"&gt;="&amp;$A217,Despesas!$C:$C,F$1,Despesas!$M:$M,"Mensal")+SUMIFS(Despesas!$F:$F,Despesas!$J:$J,"&lt;="&amp;$A217,Despesas!$L:$L,"&gt;="&amp;$A217,Despesas!$C:$C,F$1,Despesas!$M:$M,$B217)</f>
        <v>13000</v>
      </c>
      <c r="G217" s="5">
        <f ca="1">SUMIFS(Despesas!$F:$F,Despesas!$J:$J,"&lt;="&amp;$A217,Despesas!$L:$L,"&gt;="&amp;$A217,Despesas!$C:$C,G$1,Despesas!$M:$M,"Mensal")+SUMIFS(Despesas!$F:$F,Despesas!$J:$J,"&lt;="&amp;$A217,Despesas!$L:$L,"&gt;="&amp;$A217,Despesas!$C:$C,G$1,Despesas!$M:$M,$B217)</f>
        <v>55757</v>
      </c>
      <c r="H217" s="18">
        <f>SUMIFS(Despesas!$F:$F,Despesas!$J:$J,"&lt;="&amp;$A217,Despesas!$L:$L,"&gt;="&amp;$A217,Despesas!$C:$C,H$1,Despesas!$M:$M,"Mensal")+SUMIFS(Despesas!$F:$F,Despesas!$J:$J,"&lt;="&amp;$A217,Despesas!$L:$L,"&gt;="&amp;$A217,Despesas!$C:$C,H$1,Despesas!$M:$M,$B217)</f>
        <v>1000</v>
      </c>
      <c r="I217" s="18">
        <f>IF(Imóveis!$F$2="PRICE",IF(AND(Dados!$A217&gt;=Imóveis!$Q$2,Dados!$A217&lt;=Imóveis!$T$2),Imóveis!$U$2,0),IF((IF(AND(Dados!$A217&gt;=Imóveis!$Q$2,Dados!$A217&lt;=Imóveis!$T$2),Imóveis!$S$2-(DATEDIF(Imóveis!$Q$2,Dados!$A217,"m")),0))=0,0,((Imóveis!$N$2/Imóveis!$S$2)+((Imóveis!$N$2-((Imóveis!$S$2-(IF(AND(Dados!$A217&gt;=Imóveis!$Q$2,Dados!$A217&lt;=Imóveis!$T$2),Imóveis!$S$2-(DATEDIF(Imóveis!$Q$2,Dados!$A217,"m")),)))*(Imóveis!$N$2/Imóveis!$S$2)))*Imóveis!$P$2))))*IF(AND(Imóveis!$E$2&gt;0,Dados!$A217&gt;Imóveis!$E$2),0,1)</f>
        <v>0</v>
      </c>
      <c r="J217" s="18">
        <f>IF(Imóveis!$F$3="PRICE",IF(AND(Dados!$A217&gt;=Imóveis!$Q$3,Dados!$A217&lt;=Imóveis!$T$3),Imóveis!$U$3,0),IF((IF(AND(Dados!$A217&gt;=Imóveis!$Q$3,Dados!$A217&lt;=Imóveis!$T$3),Imóveis!$S$3-(DATEDIF(Imóveis!$Q$3,Dados!$A217,"m")),0))=0,0,((Imóveis!$N$3/Imóveis!$S$3)+((Imóveis!$N$3-((Imóveis!$S$3-(IF(AND(Dados!$A217&gt;=Imóveis!$Q$3,Dados!$A217&lt;=Imóveis!$T$3),Imóveis!$S$3-(DATEDIF(Imóveis!$Q$3,Dados!$A217,"m")),)))*(Imóveis!$N$3/Imóveis!$S$3)))*Imóveis!$P$3))))*IF(AND(Imóveis!$E$3&gt;0,Dados!$A217&gt;Imóveis!$E$3),0,1)</f>
        <v>0</v>
      </c>
      <c r="K217" s="18">
        <f>IF(Imóveis!$F$4="PRICE",IF(AND(Dados!$A217&gt;=Imóveis!$Q$4,Dados!$A217&lt;=Imóveis!$T$4),Imóveis!$U$4,0),IF((IF(AND(Dados!$A217&gt;=Imóveis!$Q$4,Dados!$A217&lt;=Imóveis!$T$4),Imóveis!$S$4-(DATEDIF(Imóveis!$Q$4,Dados!$A217,"m")),0))=0,0,((Imóveis!$N$4/Imóveis!$S$4)+((Imóveis!$N$4-((Imóveis!$S$4-(IF(AND(Dados!$A217&gt;=Imóveis!$Q$4,Dados!$A217&lt;=Imóveis!$T$4),Imóveis!$S$4-(DATEDIF(Imóveis!$Q$4,Dados!$A217,"m")),)))*(Imóveis!$N$4/Imóveis!$S$4)))*Imóveis!$P$4))))*IF(AND(Imóveis!$E$4&gt;0,Dados!$A217&gt;Imóveis!$E$4),0,1)</f>
        <v>0</v>
      </c>
      <c r="L217" s="18">
        <f>IF(Imóveis!$F$5="PRICE",IF(AND(Dados!$A217&gt;=Imóveis!$Q$5,Dados!$A217&lt;=Imóveis!$T$5),Imóveis!$U$5,0),IF((IF(AND(Dados!$A217&gt;=Imóveis!$Q$5,Dados!$A217&lt;=Imóveis!$T$5),Imóveis!$S$5-(DATEDIF(Imóveis!$Q$5,Dados!$A217,"m")),0))=0,0,((Imóveis!$N$5/Imóveis!$S$5)+((Imóveis!$N$5-((Imóveis!$S$5-(IF(AND(Dados!$A217 &gt;=Imóveis!$Q$5,Dados!$A217&lt;=Imóveis!$T$5),Imóveis!$S$5-(DATEDIF(Imóveis!$Q$5,Dados!$A217,"m")),)))*(Imóveis!$N$5/Imóveis!$S$5)))*Imóveis!$P$5))))*IF(AND(Imóveis!$E$5&gt;0,Dados!$A217&gt;Imóveis!$E$5),0,1)*Imóveis!$I$5</f>
        <v>0</v>
      </c>
      <c r="M217" s="18">
        <f>IF(Imóveis!$F$6="PRICE",IF(AND(Dados!$A217&gt;=Imóveis!$Q$6,Dados!$A217&lt;=Imóveis!$T$6),Imóveis!$U$6,0),IF((IF(AND(Dados!$A217&gt;=Imóveis!$Q$6,Dados!$A217&lt;=Imóveis!$T$6),Imóveis!$S$6-(DATEDIF(Imóveis!$Q$6,Dados!$A217,"m")),0))=0,0,((Imóveis!$N$6/Imóveis!$S$6)+((Imóveis!$N$6-((Imóveis!$S$6-(IF(AND(Dados!$A217&gt;=Imóveis!$Q$6,Dados!$A217&lt;=Imóveis!$T$6),Imóveis!$S$6-(DATEDIF(Imóveis!$Q$6,Dados!$A217,"m")),)))*(Imóveis!$N$6/Imóveis!$S$6)))*Imóveis!$P$6))))*IF(AND(Imóveis!$E$6&gt;0,Dados!$A217&gt;Imóveis!$E$6),0,1)*Imóveis!$I$6</f>
        <v>0</v>
      </c>
      <c r="N217" s="18">
        <f t="shared" ca="1" si="29"/>
        <v>98757</v>
      </c>
      <c r="O217" s="18">
        <f>SUMIFS(Receitas!$F:$F,Receitas!$J:$J,"&lt;="&amp;$A217,Receitas!$L:$L,"&gt;="&amp;$A217,Receitas!$C:$C,O$1,Receitas!$M:$M,"Mensal")+SUMIFS(Receitas!$F:$F,Receitas!$J:$J,"&lt;="&amp;$A217,Receitas!$L:$L,"&gt;="&amp;$A217,Receitas!$C:$C,O$1,Receitas!$M:$M,$B217)</f>
        <v>50000</v>
      </c>
      <c r="P217" s="18">
        <f>SUMIFS(Receitas!$F:$F,Receitas!$J:$J,"&lt;="&amp;$A217,Receitas!$L:$L,"&gt;="&amp;$A217,Receitas!$C:$C,P$1,Receitas!$M:$M,"Mensal")+SUMIFS(Receitas!$F:$F,Receitas!$J:$J,"&lt;="&amp;$A217,Receitas!$L:$L,"&gt;="&amp;$A217,Receitas!$C:$C,P$1,Receitas!$M:$M,$B217)</f>
        <v>20000</v>
      </c>
      <c r="Q217" s="18">
        <f>SUMIFS(Receitas!$F:$F,Receitas!$J:$J,"&lt;="&amp;$A217,Receitas!$L:$L,"&gt;="&amp;$A217,Receitas!$C:$C,Q$1,Receitas!$M:$M,"Mensal")+SUMIFS(Receitas!$F:$F,Receitas!$J:$J,"&lt;="&amp;$A217,Receitas!$L:$L,"&gt;="&amp;$A217,Receitas!$C:$C,Q$1,Receitas!$M:$M,$B217)</f>
        <v>0</v>
      </c>
      <c r="R217" s="18" cm="1">
        <f t="array" ref="R217">(IF(AND(Membros!$F$2="Sim",A217&lt;=MAX(Membros!$E$2:$E$5)),Membros!K$2,IF(AND(A217&gt;=Membros!J$2,A217&lt;=MAX(Membros!$E$2:$E$5)),Membros!K$2,0))+IF(AND(Membros!$F$3="Sim",A217&lt;=MAX(Membros!$E$2:$E$5)),Membros!K$3,IF(AND(A217&gt;=Membros!J$3,A217&lt;=MAX(Membros!$E$2:$E$5)),Membros!K$3,0)))*IF(AND(COUNTIFS(Tabela3[Tipo],"Provedor",Tabela3[Simulação Seguro],"Sim")=2,A217&gt;=MAX(IF(Tabela3[Tipo]="Dependente",Tabela3[Expectativa de Vida (Data)]))),0,1)</f>
        <v>0</v>
      </c>
      <c r="S217" s="18">
        <f t="shared" si="30"/>
        <v>70000</v>
      </c>
      <c r="U217" s="18">
        <f t="shared" ca="1" si="33"/>
        <v>11281748.266998706</v>
      </c>
      <c r="V217" s="18">
        <f>SUMIF(Imóveis!E:E,Dados!A:A,Imóveis!Z:Z)-SUMIF(Imóveis!E:E,Dados!A:A,Imóveis!Y:Y)</f>
        <v>0</v>
      </c>
      <c r="W217" s="18">
        <f>-SUMIF(Projetos!N:N,A217,Projetos!F:F)</f>
        <v>0</v>
      </c>
      <c r="X217" s="18">
        <f t="shared" ca="1" si="27"/>
        <v>-28757</v>
      </c>
      <c r="Y217" s="26">
        <f ca="1">(U217*((Indicadores_Economicos!D$2+1)^(1/12)-1))</f>
        <v>36933.508114427328</v>
      </c>
      <c r="Z217" s="18">
        <f t="shared" ca="1" si="31"/>
        <v>11289924.775113134</v>
      </c>
      <c r="AA217" s="18">
        <f ca="1">Auxiliar_Projetos!E217</f>
        <v>7.8954390260945875E-10</v>
      </c>
      <c r="AB217" s="18">
        <f ca="1">Auxiliar_Projetos!K217</f>
        <v>6.073414635457376E-10</v>
      </c>
      <c r="AC217" s="18">
        <f ca="1">IF(Z217-AA217-AB217&gt;Investimentos!$C$14,Investimentos!$C$14,IF(Z217-AA217-AB217&lt;Investimentos!$C$14,Z217-AA217-AB217,0))</f>
        <v>300000</v>
      </c>
      <c r="AD217" s="18">
        <f t="shared" ca="1" si="32"/>
        <v>10989924.775113134</v>
      </c>
      <c r="AE217" s="18"/>
    </row>
    <row r="218" spans="1:31" x14ac:dyDescent="0.2">
      <c r="A218" s="4">
        <v>52232</v>
      </c>
      <c r="B218" s="5" t="str">
        <f t="shared" si="28"/>
        <v>janeiro</v>
      </c>
      <c r="C218" s="5" t="str">
        <f t="shared" si="34"/>
        <v>2043</v>
      </c>
      <c r="D218" s="5">
        <f>SUMIFS(Despesas!$F:$F,Despesas!$J:$J,"&lt;="&amp;$A218,Despesas!$L:$L,"&gt;="&amp;$A218,Despesas!$C:$C,D$1,Despesas!$M:$M,"Mensal")+SUMIFS(Despesas!$F:$F,Despesas!$J:$J,"&lt;="&amp;$A218,Despesas!$L:$L,"&gt;="&amp;$A218,Despesas!$C:$C,D$1,Despesas!$M:$M,$B218)</f>
        <v>23000</v>
      </c>
      <c r="E218" s="18">
        <f>SUMIFS(Despesas!$F:$F,Despesas!$J:$J,"&lt;="&amp;$A218,Despesas!$L:$L,"&gt;="&amp;$A218,Despesas!$C:$C,E$1,Despesas!$M:$M,"Mensal")+SUMIFS(Despesas!$F:$F,Despesas!$J:$J,"&lt;="&amp;$A218,Despesas!$L:$L,"&gt;="&amp;$A218,Despesas!$C:$C,E$1,Despesas!$M:$M,$B218)</f>
        <v>6000</v>
      </c>
      <c r="F218" s="5">
        <f>SUMIFS(Despesas!$F:$F,Despesas!$J:$J,"&lt;="&amp;$A218,Despesas!$L:$L,"&gt;="&amp;$A218,Despesas!$C:$C,F$1,Despesas!$M:$M,"Mensal")+SUMIFS(Despesas!$F:$F,Despesas!$J:$J,"&lt;="&amp;$A218,Despesas!$L:$L,"&gt;="&amp;$A218,Despesas!$C:$C,F$1,Despesas!$M:$M,$B218)</f>
        <v>13000</v>
      </c>
      <c r="G218" s="5">
        <f>SUMIFS(Despesas!$F:$F,Despesas!$J:$J,"&lt;="&amp;$A218,Despesas!$L:$L,"&gt;="&amp;$A218,Despesas!$C:$C,G$1,Despesas!$M:$M,"Mensal")+SUMIFS(Despesas!$F:$F,Despesas!$J:$J,"&lt;="&amp;$A218,Despesas!$L:$L,"&gt;="&amp;$A218,Despesas!$C:$C,G$1,Despesas!$M:$M,$B218)</f>
        <v>0</v>
      </c>
      <c r="H218" s="18">
        <f>SUMIFS(Despesas!$F:$F,Despesas!$J:$J,"&lt;="&amp;$A218,Despesas!$L:$L,"&gt;="&amp;$A218,Despesas!$C:$C,H$1,Despesas!$M:$M,"Mensal")+SUMIFS(Despesas!$F:$F,Despesas!$J:$J,"&lt;="&amp;$A218,Despesas!$L:$L,"&gt;="&amp;$A218,Despesas!$C:$C,H$1,Despesas!$M:$M,$B218)</f>
        <v>1000</v>
      </c>
      <c r="I218" s="18">
        <f>IF(Imóveis!$F$2="PRICE",IF(AND(Dados!$A218&gt;=Imóveis!$Q$2,Dados!$A218&lt;=Imóveis!$T$2),Imóveis!$U$2,0),IF((IF(AND(Dados!$A218&gt;=Imóveis!$Q$2,Dados!$A218&lt;=Imóveis!$T$2),Imóveis!$S$2-(DATEDIF(Imóveis!$Q$2,Dados!$A218,"m")),0))=0,0,((Imóveis!$N$2/Imóveis!$S$2)+((Imóveis!$N$2-((Imóveis!$S$2-(IF(AND(Dados!$A218&gt;=Imóveis!$Q$2,Dados!$A218&lt;=Imóveis!$T$2),Imóveis!$S$2-(DATEDIF(Imóveis!$Q$2,Dados!$A218,"m")),)))*(Imóveis!$N$2/Imóveis!$S$2)))*Imóveis!$P$2))))*IF(AND(Imóveis!$E$2&gt;0,Dados!$A218&gt;Imóveis!$E$2),0,1)</f>
        <v>0</v>
      </c>
      <c r="J218" s="18">
        <f>IF(Imóveis!$F$3="PRICE",IF(AND(Dados!$A218&gt;=Imóveis!$Q$3,Dados!$A218&lt;=Imóveis!$T$3),Imóveis!$U$3,0),IF((IF(AND(Dados!$A218&gt;=Imóveis!$Q$3,Dados!$A218&lt;=Imóveis!$T$3),Imóveis!$S$3-(DATEDIF(Imóveis!$Q$3,Dados!$A218,"m")),0))=0,0,((Imóveis!$N$3/Imóveis!$S$3)+((Imóveis!$N$3-((Imóveis!$S$3-(IF(AND(Dados!$A218&gt;=Imóveis!$Q$3,Dados!$A218&lt;=Imóveis!$T$3),Imóveis!$S$3-(DATEDIF(Imóveis!$Q$3,Dados!$A218,"m")),)))*(Imóveis!$N$3/Imóveis!$S$3)))*Imóveis!$P$3))))*IF(AND(Imóveis!$E$3&gt;0,Dados!$A218&gt;Imóveis!$E$3),0,1)</f>
        <v>0</v>
      </c>
      <c r="K218" s="18">
        <f>IF(Imóveis!$F$4="PRICE",IF(AND(Dados!$A218&gt;=Imóveis!$Q$4,Dados!$A218&lt;=Imóveis!$T$4),Imóveis!$U$4,0),IF((IF(AND(Dados!$A218&gt;=Imóveis!$Q$4,Dados!$A218&lt;=Imóveis!$T$4),Imóveis!$S$4-(DATEDIF(Imóveis!$Q$4,Dados!$A218,"m")),0))=0,0,((Imóveis!$N$4/Imóveis!$S$4)+((Imóveis!$N$4-((Imóveis!$S$4-(IF(AND(Dados!$A218&gt;=Imóveis!$Q$4,Dados!$A218&lt;=Imóveis!$T$4),Imóveis!$S$4-(DATEDIF(Imóveis!$Q$4,Dados!$A218,"m")),)))*(Imóveis!$N$4/Imóveis!$S$4)))*Imóveis!$P$4))))*IF(AND(Imóveis!$E$4&gt;0,Dados!$A218&gt;Imóveis!$E$4),0,1)</f>
        <v>0</v>
      </c>
      <c r="L218" s="18">
        <f>IF(Imóveis!$F$5="PRICE",IF(AND(Dados!$A218&gt;=Imóveis!$Q$5,Dados!$A218&lt;=Imóveis!$T$5),Imóveis!$U$5,0),IF((IF(AND(Dados!$A218&gt;=Imóveis!$Q$5,Dados!$A218&lt;=Imóveis!$T$5),Imóveis!$S$5-(DATEDIF(Imóveis!$Q$5,Dados!$A218,"m")),0))=0,0,((Imóveis!$N$5/Imóveis!$S$5)+((Imóveis!$N$5-((Imóveis!$S$5-(IF(AND(Dados!$A218 &gt;=Imóveis!$Q$5,Dados!$A218&lt;=Imóveis!$T$5),Imóveis!$S$5-(DATEDIF(Imóveis!$Q$5,Dados!$A218,"m")),)))*(Imóveis!$N$5/Imóveis!$S$5)))*Imóveis!$P$5))))*IF(AND(Imóveis!$E$5&gt;0,Dados!$A218&gt;Imóveis!$E$5),0,1)*Imóveis!$I$5</f>
        <v>0</v>
      </c>
      <c r="M218" s="18">
        <f>IF(Imóveis!$F$6="PRICE",IF(AND(Dados!$A218&gt;=Imóveis!$Q$6,Dados!$A218&lt;=Imóveis!$T$6),Imóveis!$U$6,0),IF((IF(AND(Dados!$A218&gt;=Imóveis!$Q$6,Dados!$A218&lt;=Imóveis!$T$6),Imóveis!$S$6-(DATEDIF(Imóveis!$Q$6,Dados!$A218,"m")),0))=0,0,((Imóveis!$N$6/Imóveis!$S$6)+((Imóveis!$N$6-((Imóveis!$S$6-(IF(AND(Dados!$A218&gt;=Imóveis!$Q$6,Dados!$A218&lt;=Imóveis!$T$6),Imóveis!$S$6-(DATEDIF(Imóveis!$Q$6,Dados!$A218,"m")),)))*(Imóveis!$N$6/Imóveis!$S$6)))*Imóveis!$P$6))))*IF(AND(Imóveis!$E$6&gt;0,Dados!$A218&gt;Imóveis!$E$6),0,1)*Imóveis!$I$6</f>
        <v>0</v>
      </c>
      <c r="N218" s="18">
        <f t="shared" si="29"/>
        <v>43000</v>
      </c>
      <c r="O218" s="18">
        <f>SUMIFS(Receitas!$F:$F,Receitas!$J:$J,"&lt;="&amp;$A218,Receitas!$L:$L,"&gt;="&amp;$A218,Receitas!$C:$C,O$1,Receitas!$M:$M,"Mensal")+SUMIFS(Receitas!$F:$F,Receitas!$J:$J,"&lt;="&amp;$A218,Receitas!$L:$L,"&gt;="&amp;$A218,Receitas!$C:$C,O$1,Receitas!$M:$M,$B218)</f>
        <v>50000</v>
      </c>
      <c r="P218" s="18">
        <f>SUMIFS(Receitas!$F:$F,Receitas!$J:$J,"&lt;="&amp;$A218,Receitas!$L:$L,"&gt;="&amp;$A218,Receitas!$C:$C,P$1,Receitas!$M:$M,"Mensal")+SUMIFS(Receitas!$F:$F,Receitas!$J:$J,"&lt;="&amp;$A218,Receitas!$L:$L,"&gt;="&amp;$A218,Receitas!$C:$C,P$1,Receitas!$M:$M,$B218)</f>
        <v>20000</v>
      </c>
      <c r="Q218" s="18">
        <f>SUMIFS(Receitas!$F:$F,Receitas!$J:$J,"&lt;="&amp;$A218,Receitas!$L:$L,"&gt;="&amp;$A218,Receitas!$C:$C,Q$1,Receitas!$M:$M,"Mensal")+SUMIFS(Receitas!$F:$F,Receitas!$J:$J,"&lt;="&amp;$A218,Receitas!$L:$L,"&gt;="&amp;$A218,Receitas!$C:$C,Q$1,Receitas!$M:$M,$B218)</f>
        <v>0</v>
      </c>
      <c r="R218" s="18" cm="1">
        <f t="array" ref="R218">(IF(AND(Membros!$F$2="Sim",A218&lt;=MAX(Membros!$E$2:$E$5)),Membros!K$2,IF(AND(A218&gt;=Membros!J$2,A218&lt;=MAX(Membros!$E$2:$E$5)),Membros!K$2,0))+IF(AND(Membros!$F$3="Sim",A218&lt;=MAX(Membros!$E$2:$E$5)),Membros!K$3,IF(AND(A218&gt;=Membros!J$3,A218&lt;=MAX(Membros!$E$2:$E$5)),Membros!K$3,0)))*IF(AND(COUNTIFS(Tabela3[Tipo],"Provedor",Tabela3[Simulação Seguro],"Sim")=2,A218&gt;=MAX(IF(Tabela3[Tipo]="Dependente",Tabela3[Expectativa de Vida (Data)]))),0,1)</f>
        <v>0</v>
      </c>
      <c r="S218" s="18">
        <f t="shared" si="30"/>
        <v>70000</v>
      </c>
      <c r="U218" s="18">
        <f t="shared" ca="1" si="33"/>
        <v>11289924.775113134</v>
      </c>
      <c r="V218" s="18">
        <f>SUMIF(Imóveis!E:E,Dados!A:A,Imóveis!Z:Z)-SUMIF(Imóveis!E:E,Dados!A:A,Imóveis!Y:Y)</f>
        <v>0</v>
      </c>
      <c r="W218" s="18">
        <f>-SUMIF(Projetos!N:N,A218,Projetos!F:F)</f>
        <v>0</v>
      </c>
      <c r="X218" s="18">
        <f t="shared" si="27"/>
        <v>27000</v>
      </c>
      <c r="Y218" s="26">
        <f ca="1">(U218*((Indicadores_Economicos!D$2+1)^(1/12)-1))</f>
        <v>36960.275874321</v>
      </c>
      <c r="Z218" s="18">
        <f t="shared" ca="1" si="31"/>
        <v>11353885.050987454</v>
      </c>
      <c r="AA218" s="18">
        <f ca="1">Auxiliar_Projetos!E218</f>
        <v>7.9212866389322395E-10</v>
      </c>
      <c r="AB218" s="18">
        <f ca="1">Auxiliar_Projetos!K218</f>
        <v>6.0932974145632621E-10</v>
      </c>
      <c r="AC218" s="18">
        <f ca="1">IF(Z218-AA218-AB218&gt;Investimentos!$C$14,Investimentos!$C$14,IF(Z218-AA218-AB218&lt;Investimentos!$C$14,Z218-AA218-AB218,0))</f>
        <v>300000</v>
      </c>
      <c r="AD218" s="18">
        <f t="shared" ca="1" si="32"/>
        <v>11053885.050987454</v>
      </c>
      <c r="AE218" s="18"/>
    </row>
    <row r="219" spans="1:31" x14ac:dyDescent="0.2">
      <c r="A219" s="4">
        <v>52263</v>
      </c>
      <c r="B219" s="5" t="str">
        <f t="shared" si="28"/>
        <v>fevereiro</v>
      </c>
      <c r="C219" s="5" t="str">
        <f t="shared" si="34"/>
        <v>2043</v>
      </c>
      <c r="D219" s="5">
        <f>SUMIFS(Despesas!$F:$F,Despesas!$J:$J,"&lt;="&amp;$A219,Despesas!$L:$L,"&gt;="&amp;$A219,Despesas!$C:$C,D$1,Despesas!$M:$M,"Mensal")+SUMIFS(Despesas!$F:$F,Despesas!$J:$J,"&lt;="&amp;$A219,Despesas!$L:$L,"&gt;="&amp;$A219,Despesas!$C:$C,D$1,Despesas!$M:$M,$B219)</f>
        <v>23000</v>
      </c>
      <c r="E219" s="18">
        <f>SUMIFS(Despesas!$F:$F,Despesas!$J:$J,"&lt;="&amp;$A219,Despesas!$L:$L,"&gt;="&amp;$A219,Despesas!$C:$C,E$1,Despesas!$M:$M,"Mensal")+SUMIFS(Despesas!$F:$F,Despesas!$J:$J,"&lt;="&amp;$A219,Despesas!$L:$L,"&gt;="&amp;$A219,Despesas!$C:$C,E$1,Despesas!$M:$M,$B219)</f>
        <v>6000</v>
      </c>
      <c r="F219" s="5">
        <f>SUMIFS(Despesas!$F:$F,Despesas!$J:$J,"&lt;="&amp;$A219,Despesas!$L:$L,"&gt;="&amp;$A219,Despesas!$C:$C,F$1,Despesas!$M:$M,"Mensal")+SUMIFS(Despesas!$F:$F,Despesas!$J:$J,"&lt;="&amp;$A219,Despesas!$L:$L,"&gt;="&amp;$A219,Despesas!$C:$C,F$1,Despesas!$M:$M,$B219)</f>
        <v>13000</v>
      </c>
      <c r="G219" s="5">
        <f>SUMIFS(Despesas!$F:$F,Despesas!$J:$J,"&lt;="&amp;$A219,Despesas!$L:$L,"&gt;="&amp;$A219,Despesas!$C:$C,G$1,Despesas!$M:$M,"Mensal")+SUMIFS(Despesas!$F:$F,Despesas!$J:$J,"&lt;="&amp;$A219,Despesas!$L:$L,"&gt;="&amp;$A219,Despesas!$C:$C,G$1,Despesas!$M:$M,$B219)</f>
        <v>0</v>
      </c>
      <c r="H219" s="18">
        <f>SUMIFS(Despesas!$F:$F,Despesas!$J:$J,"&lt;="&amp;$A219,Despesas!$L:$L,"&gt;="&amp;$A219,Despesas!$C:$C,H$1,Despesas!$M:$M,"Mensal")+SUMIFS(Despesas!$F:$F,Despesas!$J:$J,"&lt;="&amp;$A219,Despesas!$L:$L,"&gt;="&amp;$A219,Despesas!$C:$C,H$1,Despesas!$M:$M,$B219)</f>
        <v>2200</v>
      </c>
      <c r="I219" s="18">
        <f>IF(Imóveis!$F$2="PRICE",IF(AND(Dados!$A219&gt;=Imóveis!$Q$2,Dados!$A219&lt;=Imóveis!$T$2),Imóveis!$U$2,0),IF((IF(AND(Dados!$A219&gt;=Imóveis!$Q$2,Dados!$A219&lt;=Imóveis!$T$2),Imóveis!$S$2-(DATEDIF(Imóveis!$Q$2,Dados!$A219,"m")),0))=0,0,((Imóveis!$N$2/Imóveis!$S$2)+((Imóveis!$N$2-((Imóveis!$S$2-(IF(AND(Dados!$A219&gt;=Imóveis!$Q$2,Dados!$A219&lt;=Imóveis!$T$2),Imóveis!$S$2-(DATEDIF(Imóveis!$Q$2,Dados!$A219,"m")),)))*(Imóveis!$N$2/Imóveis!$S$2)))*Imóveis!$P$2))))*IF(AND(Imóveis!$E$2&gt;0,Dados!$A219&gt;Imóveis!$E$2),0,1)</f>
        <v>0</v>
      </c>
      <c r="J219" s="18">
        <f>IF(Imóveis!$F$3="PRICE",IF(AND(Dados!$A219&gt;=Imóveis!$Q$3,Dados!$A219&lt;=Imóveis!$T$3),Imóveis!$U$3,0),IF((IF(AND(Dados!$A219&gt;=Imóveis!$Q$3,Dados!$A219&lt;=Imóveis!$T$3),Imóveis!$S$3-(DATEDIF(Imóveis!$Q$3,Dados!$A219,"m")),0))=0,0,((Imóveis!$N$3/Imóveis!$S$3)+((Imóveis!$N$3-((Imóveis!$S$3-(IF(AND(Dados!$A219&gt;=Imóveis!$Q$3,Dados!$A219&lt;=Imóveis!$T$3),Imóveis!$S$3-(DATEDIF(Imóveis!$Q$3,Dados!$A219,"m")),)))*(Imóveis!$N$3/Imóveis!$S$3)))*Imóveis!$P$3))))*IF(AND(Imóveis!$E$3&gt;0,Dados!$A219&gt;Imóveis!$E$3),0,1)</f>
        <v>0</v>
      </c>
      <c r="K219" s="18">
        <f>IF(Imóveis!$F$4="PRICE",IF(AND(Dados!$A219&gt;=Imóveis!$Q$4,Dados!$A219&lt;=Imóveis!$T$4),Imóveis!$U$4,0),IF((IF(AND(Dados!$A219&gt;=Imóveis!$Q$4,Dados!$A219&lt;=Imóveis!$T$4),Imóveis!$S$4-(DATEDIF(Imóveis!$Q$4,Dados!$A219,"m")),0))=0,0,((Imóveis!$N$4/Imóveis!$S$4)+((Imóveis!$N$4-((Imóveis!$S$4-(IF(AND(Dados!$A219&gt;=Imóveis!$Q$4,Dados!$A219&lt;=Imóveis!$T$4),Imóveis!$S$4-(DATEDIF(Imóveis!$Q$4,Dados!$A219,"m")),)))*(Imóveis!$N$4/Imóveis!$S$4)))*Imóveis!$P$4))))*IF(AND(Imóveis!$E$4&gt;0,Dados!$A219&gt;Imóveis!$E$4),0,1)</f>
        <v>0</v>
      </c>
      <c r="L219" s="18">
        <f>IF(Imóveis!$F$5="PRICE",IF(AND(Dados!$A219&gt;=Imóveis!$Q$5,Dados!$A219&lt;=Imóveis!$T$5),Imóveis!$U$5,0),IF((IF(AND(Dados!$A219&gt;=Imóveis!$Q$5,Dados!$A219&lt;=Imóveis!$T$5),Imóveis!$S$5-(DATEDIF(Imóveis!$Q$5,Dados!$A219,"m")),0))=0,0,((Imóveis!$N$5/Imóveis!$S$5)+((Imóveis!$N$5-((Imóveis!$S$5-(IF(AND(Dados!$A219 &gt;=Imóveis!$Q$5,Dados!$A219&lt;=Imóveis!$T$5),Imóveis!$S$5-(DATEDIF(Imóveis!$Q$5,Dados!$A219,"m")),)))*(Imóveis!$N$5/Imóveis!$S$5)))*Imóveis!$P$5))))*IF(AND(Imóveis!$E$5&gt;0,Dados!$A219&gt;Imóveis!$E$5),0,1)*Imóveis!$I$5</f>
        <v>0</v>
      </c>
      <c r="M219" s="18">
        <f>IF(Imóveis!$F$6="PRICE",IF(AND(Dados!$A219&gt;=Imóveis!$Q$6,Dados!$A219&lt;=Imóveis!$T$6),Imóveis!$U$6,0),IF((IF(AND(Dados!$A219&gt;=Imóveis!$Q$6,Dados!$A219&lt;=Imóveis!$T$6),Imóveis!$S$6-(DATEDIF(Imóveis!$Q$6,Dados!$A219,"m")),0))=0,0,((Imóveis!$N$6/Imóveis!$S$6)+((Imóveis!$N$6-((Imóveis!$S$6-(IF(AND(Dados!$A219&gt;=Imóveis!$Q$6,Dados!$A219&lt;=Imóveis!$T$6),Imóveis!$S$6-(DATEDIF(Imóveis!$Q$6,Dados!$A219,"m")),)))*(Imóveis!$N$6/Imóveis!$S$6)))*Imóveis!$P$6))))*IF(AND(Imóveis!$E$6&gt;0,Dados!$A219&gt;Imóveis!$E$6),0,1)*Imóveis!$I$6</f>
        <v>0</v>
      </c>
      <c r="N219" s="18">
        <f t="shared" si="29"/>
        <v>44200</v>
      </c>
      <c r="O219" s="18">
        <f>SUMIFS(Receitas!$F:$F,Receitas!$J:$J,"&lt;="&amp;$A219,Receitas!$L:$L,"&gt;="&amp;$A219,Receitas!$C:$C,O$1,Receitas!$M:$M,"Mensal")+SUMIFS(Receitas!$F:$F,Receitas!$J:$J,"&lt;="&amp;$A219,Receitas!$L:$L,"&gt;="&amp;$A219,Receitas!$C:$C,O$1,Receitas!$M:$M,$B219)</f>
        <v>50000</v>
      </c>
      <c r="P219" s="18">
        <f>SUMIFS(Receitas!$F:$F,Receitas!$J:$J,"&lt;="&amp;$A219,Receitas!$L:$L,"&gt;="&amp;$A219,Receitas!$C:$C,P$1,Receitas!$M:$M,"Mensal")+SUMIFS(Receitas!$F:$F,Receitas!$J:$J,"&lt;="&amp;$A219,Receitas!$L:$L,"&gt;="&amp;$A219,Receitas!$C:$C,P$1,Receitas!$M:$M,$B219)</f>
        <v>20000</v>
      </c>
      <c r="Q219" s="18">
        <f>SUMIFS(Receitas!$F:$F,Receitas!$J:$J,"&lt;="&amp;$A219,Receitas!$L:$L,"&gt;="&amp;$A219,Receitas!$C:$C,Q$1,Receitas!$M:$M,"Mensal")+SUMIFS(Receitas!$F:$F,Receitas!$J:$J,"&lt;="&amp;$A219,Receitas!$L:$L,"&gt;="&amp;$A219,Receitas!$C:$C,Q$1,Receitas!$M:$M,$B219)</f>
        <v>0</v>
      </c>
      <c r="R219" s="18" cm="1">
        <f t="array" ref="R219">(IF(AND(Membros!$F$2="Sim",A219&lt;=MAX(Membros!$E$2:$E$5)),Membros!K$2,IF(AND(A219&gt;=Membros!J$2,A219&lt;=MAX(Membros!$E$2:$E$5)),Membros!K$2,0))+IF(AND(Membros!$F$3="Sim",A219&lt;=MAX(Membros!$E$2:$E$5)),Membros!K$3,IF(AND(A219&gt;=Membros!J$3,A219&lt;=MAX(Membros!$E$2:$E$5)),Membros!K$3,0)))*IF(AND(COUNTIFS(Tabela3[Tipo],"Provedor",Tabela3[Simulação Seguro],"Sim")=2,A219&gt;=MAX(IF(Tabela3[Tipo]="Dependente",Tabela3[Expectativa de Vida (Data)]))),0,1)</f>
        <v>0</v>
      </c>
      <c r="S219" s="18">
        <f t="shared" si="30"/>
        <v>70000</v>
      </c>
      <c r="U219" s="18">
        <f t="shared" ca="1" si="33"/>
        <v>11353885.050987454</v>
      </c>
      <c r="V219" s="18">
        <f>SUMIF(Imóveis!E:E,Dados!A:A,Imóveis!Z:Z)-SUMIF(Imóveis!E:E,Dados!A:A,Imóveis!Y:Y)</f>
        <v>0</v>
      </c>
      <c r="W219" s="18">
        <f>-SUMIF(Projetos!N:N,A219,Projetos!F:F)</f>
        <v>0</v>
      </c>
      <c r="X219" s="18">
        <f t="shared" si="27"/>
        <v>25800</v>
      </c>
      <c r="Y219" s="26">
        <f ca="1">(U219*((Indicadores_Economicos!D$2+1)^(1/12)-1))</f>
        <v>37169.665173931178</v>
      </c>
      <c r="Z219" s="18">
        <f t="shared" ca="1" si="31"/>
        <v>11416854.716161385</v>
      </c>
      <c r="AA219" s="18">
        <f ca="1">Auxiliar_Projetos!E219</f>
        <v>7.9472188701283126E-10</v>
      </c>
      <c r="AB219" s="18">
        <f ca="1">Auxiliar_Projetos!K219</f>
        <v>6.1132452847140872E-10</v>
      </c>
      <c r="AC219" s="18">
        <f ca="1">IF(Z219-AA219-AB219&gt;Investimentos!$C$14,Investimentos!$C$14,IF(Z219-AA219-AB219&lt;Investimentos!$C$14,Z219-AA219-AB219,0))</f>
        <v>300000</v>
      </c>
      <c r="AD219" s="18">
        <f t="shared" ca="1" si="32"/>
        <v>11116854.716161385</v>
      </c>
      <c r="AE219" s="18"/>
    </row>
    <row r="220" spans="1:31" x14ac:dyDescent="0.2">
      <c r="A220" s="4">
        <v>52291</v>
      </c>
      <c r="B220" s="5" t="str">
        <f t="shared" si="28"/>
        <v>março</v>
      </c>
      <c r="C220" s="5" t="str">
        <f t="shared" si="34"/>
        <v>2043</v>
      </c>
      <c r="D220" s="5">
        <f>SUMIFS(Despesas!$F:$F,Despesas!$J:$J,"&lt;="&amp;$A220,Despesas!$L:$L,"&gt;="&amp;$A220,Despesas!$C:$C,D$1,Despesas!$M:$M,"Mensal")+SUMIFS(Despesas!$F:$F,Despesas!$J:$J,"&lt;="&amp;$A220,Despesas!$L:$L,"&gt;="&amp;$A220,Despesas!$C:$C,D$1,Despesas!$M:$M,$B220)</f>
        <v>23000</v>
      </c>
      <c r="E220" s="18">
        <f>SUMIFS(Despesas!$F:$F,Despesas!$J:$J,"&lt;="&amp;$A220,Despesas!$L:$L,"&gt;="&amp;$A220,Despesas!$C:$C,E$1,Despesas!$M:$M,"Mensal")+SUMIFS(Despesas!$F:$F,Despesas!$J:$J,"&lt;="&amp;$A220,Despesas!$L:$L,"&gt;="&amp;$A220,Despesas!$C:$C,E$1,Despesas!$M:$M,$B220)</f>
        <v>6000</v>
      </c>
      <c r="F220" s="5">
        <f>SUMIFS(Despesas!$F:$F,Despesas!$J:$J,"&lt;="&amp;$A220,Despesas!$L:$L,"&gt;="&amp;$A220,Despesas!$C:$C,F$1,Despesas!$M:$M,"Mensal")+SUMIFS(Despesas!$F:$F,Despesas!$J:$J,"&lt;="&amp;$A220,Despesas!$L:$L,"&gt;="&amp;$A220,Despesas!$C:$C,F$1,Despesas!$M:$M,$B220)</f>
        <v>13000</v>
      </c>
      <c r="G220" s="5">
        <f>SUMIFS(Despesas!$F:$F,Despesas!$J:$J,"&lt;="&amp;$A220,Despesas!$L:$L,"&gt;="&amp;$A220,Despesas!$C:$C,G$1,Despesas!$M:$M,"Mensal")+SUMIFS(Despesas!$F:$F,Despesas!$J:$J,"&lt;="&amp;$A220,Despesas!$L:$L,"&gt;="&amp;$A220,Despesas!$C:$C,G$1,Despesas!$M:$M,$B220)</f>
        <v>0</v>
      </c>
      <c r="H220" s="18">
        <f>SUMIFS(Despesas!$F:$F,Despesas!$J:$J,"&lt;="&amp;$A220,Despesas!$L:$L,"&gt;="&amp;$A220,Despesas!$C:$C,H$1,Despesas!$M:$M,"Mensal")+SUMIFS(Despesas!$F:$F,Despesas!$J:$J,"&lt;="&amp;$A220,Despesas!$L:$L,"&gt;="&amp;$A220,Despesas!$C:$C,H$1,Despesas!$M:$M,$B220)</f>
        <v>1000</v>
      </c>
      <c r="I220" s="18">
        <f>IF(Imóveis!$F$2="PRICE",IF(AND(Dados!$A220&gt;=Imóveis!$Q$2,Dados!$A220&lt;=Imóveis!$T$2),Imóveis!$U$2,0),IF((IF(AND(Dados!$A220&gt;=Imóveis!$Q$2,Dados!$A220&lt;=Imóveis!$T$2),Imóveis!$S$2-(DATEDIF(Imóveis!$Q$2,Dados!$A220,"m")),0))=0,0,((Imóveis!$N$2/Imóveis!$S$2)+((Imóveis!$N$2-((Imóveis!$S$2-(IF(AND(Dados!$A220&gt;=Imóveis!$Q$2,Dados!$A220&lt;=Imóveis!$T$2),Imóveis!$S$2-(DATEDIF(Imóveis!$Q$2,Dados!$A220,"m")),)))*(Imóveis!$N$2/Imóveis!$S$2)))*Imóveis!$P$2))))*IF(AND(Imóveis!$E$2&gt;0,Dados!$A220&gt;Imóveis!$E$2),0,1)</f>
        <v>0</v>
      </c>
      <c r="J220" s="18">
        <f>IF(Imóveis!$F$3="PRICE",IF(AND(Dados!$A220&gt;=Imóveis!$Q$3,Dados!$A220&lt;=Imóveis!$T$3),Imóveis!$U$3,0),IF((IF(AND(Dados!$A220&gt;=Imóveis!$Q$3,Dados!$A220&lt;=Imóveis!$T$3),Imóveis!$S$3-(DATEDIF(Imóveis!$Q$3,Dados!$A220,"m")),0))=0,0,((Imóveis!$N$3/Imóveis!$S$3)+((Imóveis!$N$3-((Imóveis!$S$3-(IF(AND(Dados!$A220&gt;=Imóveis!$Q$3,Dados!$A220&lt;=Imóveis!$T$3),Imóveis!$S$3-(DATEDIF(Imóveis!$Q$3,Dados!$A220,"m")),)))*(Imóveis!$N$3/Imóveis!$S$3)))*Imóveis!$P$3))))*IF(AND(Imóveis!$E$3&gt;0,Dados!$A220&gt;Imóveis!$E$3),0,1)</f>
        <v>0</v>
      </c>
      <c r="K220" s="18">
        <f>IF(Imóveis!$F$4="PRICE",IF(AND(Dados!$A220&gt;=Imóveis!$Q$4,Dados!$A220&lt;=Imóveis!$T$4),Imóveis!$U$4,0),IF((IF(AND(Dados!$A220&gt;=Imóveis!$Q$4,Dados!$A220&lt;=Imóveis!$T$4),Imóveis!$S$4-(DATEDIF(Imóveis!$Q$4,Dados!$A220,"m")),0))=0,0,((Imóveis!$N$4/Imóveis!$S$4)+((Imóveis!$N$4-((Imóveis!$S$4-(IF(AND(Dados!$A220&gt;=Imóveis!$Q$4,Dados!$A220&lt;=Imóveis!$T$4),Imóveis!$S$4-(DATEDIF(Imóveis!$Q$4,Dados!$A220,"m")),)))*(Imóveis!$N$4/Imóveis!$S$4)))*Imóveis!$P$4))))*IF(AND(Imóveis!$E$4&gt;0,Dados!$A220&gt;Imóveis!$E$4),0,1)</f>
        <v>0</v>
      </c>
      <c r="L220" s="18">
        <f>IF(Imóveis!$F$5="PRICE",IF(AND(Dados!$A220&gt;=Imóveis!$Q$5,Dados!$A220&lt;=Imóveis!$T$5),Imóveis!$U$5,0),IF((IF(AND(Dados!$A220&gt;=Imóveis!$Q$5,Dados!$A220&lt;=Imóveis!$T$5),Imóveis!$S$5-(DATEDIF(Imóveis!$Q$5,Dados!$A220,"m")),0))=0,0,((Imóveis!$N$5/Imóveis!$S$5)+((Imóveis!$N$5-((Imóveis!$S$5-(IF(AND(Dados!$A220 &gt;=Imóveis!$Q$5,Dados!$A220&lt;=Imóveis!$T$5),Imóveis!$S$5-(DATEDIF(Imóveis!$Q$5,Dados!$A220,"m")),)))*(Imóveis!$N$5/Imóveis!$S$5)))*Imóveis!$P$5))))*IF(AND(Imóveis!$E$5&gt;0,Dados!$A220&gt;Imóveis!$E$5),0,1)*Imóveis!$I$5</f>
        <v>0</v>
      </c>
      <c r="M220" s="18">
        <f>IF(Imóveis!$F$6="PRICE",IF(AND(Dados!$A220&gt;=Imóveis!$Q$6,Dados!$A220&lt;=Imóveis!$T$6),Imóveis!$U$6,0),IF((IF(AND(Dados!$A220&gt;=Imóveis!$Q$6,Dados!$A220&lt;=Imóveis!$T$6),Imóveis!$S$6-(DATEDIF(Imóveis!$Q$6,Dados!$A220,"m")),0))=0,0,((Imóveis!$N$6/Imóveis!$S$6)+((Imóveis!$N$6-((Imóveis!$S$6-(IF(AND(Dados!$A220&gt;=Imóveis!$Q$6,Dados!$A220&lt;=Imóveis!$T$6),Imóveis!$S$6-(DATEDIF(Imóveis!$Q$6,Dados!$A220,"m")),)))*(Imóveis!$N$6/Imóveis!$S$6)))*Imóveis!$P$6))))*IF(AND(Imóveis!$E$6&gt;0,Dados!$A220&gt;Imóveis!$E$6),0,1)*Imóveis!$I$6</f>
        <v>0</v>
      </c>
      <c r="N220" s="18">
        <f t="shared" si="29"/>
        <v>43000</v>
      </c>
      <c r="O220" s="18">
        <f>SUMIFS(Receitas!$F:$F,Receitas!$J:$J,"&lt;="&amp;$A220,Receitas!$L:$L,"&gt;="&amp;$A220,Receitas!$C:$C,O$1,Receitas!$M:$M,"Mensal")+SUMIFS(Receitas!$F:$F,Receitas!$J:$J,"&lt;="&amp;$A220,Receitas!$L:$L,"&gt;="&amp;$A220,Receitas!$C:$C,O$1,Receitas!$M:$M,$B220)</f>
        <v>50000</v>
      </c>
      <c r="P220" s="18">
        <f>SUMIFS(Receitas!$F:$F,Receitas!$J:$J,"&lt;="&amp;$A220,Receitas!$L:$L,"&gt;="&amp;$A220,Receitas!$C:$C,P$1,Receitas!$M:$M,"Mensal")+SUMIFS(Receitas!$F:$F,Receitas!$J:$J,"&lt;="&amp;$A220,Receitas!$L:$L,"&gt;="&amp;$A220,Receitas!$C:$C,P$1,Receitas!$M:$M,$B220)</f>
        <v>20000</v>
      </c>
      <c r="Q220" s="18">
        <f>SUMIFS(Receitas!$F:$F,Receitas!$J:$J,"&lt;="&amp;$A220,Receitas!$L:$L,"&gt;="&amp;$A220,Receitas!$C:$C,Q$1,Receitas!$M:$M,"Mensal")+SUMIFS(Receitas!$F:$F,Receitas!$J:$J,"&lt;="&amp;$A220,Receitas!$L:$L,"&gt;="&amp;$A220,Receitas!$C:$C,Q$1,Receitas!$M:$M,$B220)</f>
        <v>0</v>
      </c>
      <c r="R220" s="18" cm="1">
        <f t="array" ref="R220">(IF(AND(Membros!$F$2="Sim",A220&lt;=MAX(Membros!$E$2:$E$5)),Membros!K$2,IF(AND(A220&gt;=Membros!J$2,A220&lt;=MAX(Membros!$E$2:$E$5)),Membros!K$2,0))+IF(AND(Membros!$F$3="Sim",A220&lt;=MAX(Membros!$E$2:$E$5)),Membros!K$3,IF(AND(A220&gt;=Membros!J$3,A220&lt;=MAX(Membros!$E$2:$E$5)),Membros!K$3,0)))*IF(AND(COUNTIFS(Tabela3[Tipo],"Provedor",Tabela3[Simulação Seguro],"Sim")=2,A220&gt;=MAX(IF(Tabela3[Tipo]="Dependente",Tabela3[Expectativa de Vida (Data)]))),0,1)</f>
        <v>0</v>
      </c>
      <c r="S220" s="18">
        <f t="shared" si="30"/>
        <v>70000</v>
      </c>
      <c r="U220" s="18">
        <f t="shared" ca="1" si="33"/>
        <v>11416854.716161385</v>
      </c>
      <c r="V220" s="18">
        <f>SUMIF(Imóveis!E:E,Dados!A:A,Imóveis!Z:Z)-SUMIF(Imóveis!E:E,Dados!A:A,Imóveis!Y:Y)</f>
        <v>0</v>
      </c>
      <c r="W220" s="18">
        <f>-SUMIF(Projetos!N:N,A220,Projetos!F:F)</f>
        <v>0</v>
      </c>
      <c r="X220" s="18">
        <f t="shared" si="27"/>
        <v>27000</v>
      </c>
      <c r="Y220" s="26">
        <f ca="1">(U220*((Indicadores_Economicos!D$2+1)^(1/12)-1))</f>
        <v>37375.811471882822</v>
      </c>
      <c r="Z220" s="18">
        <f t="shared" ca="1" si="31"/>
        <v>11481230.527633268</v>
      </c>
      <c r="AA220" s="18">
        <f ca="1">Auxiliar_Projetos!E220</f>
        <v>7.9732359967012937E-10</v>
      </c>
      <c r="AB220" s="18">
        <f ca="1">Auxiliar_Projetos!K220</f>
        <v>6.1332584590009957E-10</v>
      </c>
      <c r="AC220" s="18">
        <f ca="1">IF(Z220-AA220-AB220&gt;Investimentos!$C$14,Investimentos!$C$14,IF(Z220-AA220-AB220&lt;Investimentos!$C$14,Z220-AA220-AB220,0))</f>
        <v>300000</v>
      </c>
      <c r="AD220" s="18">
        <f t="shared" ca="1" si="32"/>
        <v>11181230.527633268</v>
      </c>
      <c r="AE220" s="18"/>
    </row>
    <row r="221" spans="1:31" x14ac:dyDescent="0.2">
      <c r="A221" s="4">
        <v>52322</v>
      </c>
      <c r="B221" s="5" t="str">
        <f t="shared" si="28"/>
        <v>abril</v>
      </c>
      <c r="C221" s="5" t="str">
        <f t="shared" si="34"/>
        <v>2043</v>
      </c>
      <c r="D221" s="5">
        <f>SUMIFS(Despesas!$F:$F,Despesas!$J:$J,"&lt;="&amp;$A221,Despesas!$L:$L,"&gt;="&amp;$A221,Despesas!$C:$C,D$1,Despesas!$M:$M,"Mensal")+SUMIFS(Despesas!$F:$F,Despesas!$J:$J,"&lt;="&amp;$A221,Despesas!$L:$L,"&gt;="&amp;$A221,Despesas!$C:$C,D$1,Despesas!$M:$M,$B221)</f>
        <v>23000</v>
      </c>
      <c r="E221" s="18">
        <f>SUMIFS(Despesas!$F:$F,Despesas!$J:$J,"&lt;="&amp;$A221,Despesas!$L:$L,"&gt;="&amp;$A221,Despesas!$C:$C,E$1,Despesas!$M:$M,"Mensal")+SUMIFS(Despesas!$F:$F,Despesas!$J:$J,"&lt;="&amp;$A221,Despesas!$L:$L,"&gt;="&amp;$A221,Despesas!$C:$C,E$1,Despesas!$M:$M,$B221)</f>
        <v>6000</v>
      </c>
      <c r="F221" s="5">
        <f>SUMIFS(Despesas!$F:$F,Despesas!$J:$J,"&lt;="&amp;$A221,Despesas!$L:$L,"&gt;="&amp;$A221,Despesas!$C:$C,F$1,Despesas!$M:$M,"Mensal")+SUMIFS(Despesas!$F:$F,Despesas!$J:$J,"&lt;="&amp;$A221,Despesas!$L:$L,"&gt;="&amp;$A221,Despesas!$C:$C,F$1,Despesas!$M:$M,$B221)</f>
        <v>13000</v>
      </c>
      <c r="G221" s="5">
        <f>SUMIFS(Despesas!$F:$F,Despesas!$J:$J,"&lt;="&amp;$A221,Despesas!$L:$L,"&gt;="&amp;$A221,Despesas!$C:$C,G$1,Despesas!$M:$M,"Mensal")+SUMIFS(Despesas!$F:$F,Despesas!$J:$J,"&lt;="&amp;$A221,Despesas!$L:$L,"&gt;="&amp;$A221,Despesas!$C:$C,G$1,Despesas!$M:$M,$B221)</f>
        <v>0</v>
      </c>
      <c r="H221" s="18">
        <f>SUMIFS(Despesas!$F:$F,Despesas!$J:$J,"&lt;="&amp;$A221,Despesas!$L:$L,"&gt;="&amp;$A221,Despesas!$C:$C,H$1,Despesas!$M:$M,"Mensal")+SUMIFS(Despesas!$F:$F,Despesas!$J:$J,"&lt;="&amp;$A221,Despesas!$L:$L,"&gt;="&amp;$A221,Despesas!$C:$C,H$1,Despesas!$M:$M,$B221)</f>
        <v>1000</v>
      </c>
      <c r="I221" s="18">
        <f>IF(Imóveis!$F$2="PRICE",IF(AND(Dados!$A221&gt;=Imóveis!$Q$2,Dados!$A221&lt;=Imóveis!$T$2),Imóveis!$U$2,0),IF((IF(AND(Dados!$A221&gt;=Imóveis!$Q$2,Dados!$A221&lt;=Imóveis!$T$2),Imóveis!$S$2-(DATEDIF(Imóveis!$Q$2,Dados!$A221,"m")),0))=0,0,((Imóveis!$N$2/Imóveis!$S$2)+((Imóveis!$N$2-((Imóveis!$S$2-(IF(AND(Dados!$A221&gt;=Imóveis!$Q$2,Dados!$A221&lt;=Imóveis!$T$2),Imóveis!$S$2-(DATEDIF(Imóveis!$Q$2,Dados!$A221,"m")),)))*(Imóveis!$N$2/Imóveis!$S$2)))*Imóveis!$P$2))))*IF(AND(Imóveis!$E$2&gt;0,Dados!$A221&gt;Imóveis!$E$2),0,1)</f>
        <v>0</v>
      </c>
      <c r="J221" s="18">
        <f>IF(Imóveis!$F$3="PRICE",IF(AND(Dados!$A221&gt;=Imóveis!$Q$3,Dados!$A221&lt;=Imóveis!$T$3),Imóveis!$U$3,0),IF((IF(AND(Dados!$A221&gt;=Imóveis!$Q$3,Dados!$A221&lt;=Imóveis!$T$3),Imóveis!$S$3-(DATEDIF(Imóveis!$Q$3,Dados!$A221,"m")),0))=0,0,((Imóveis!$N$3/Imóveis!$S$3)+((Imóveis!$N$3-((Imóveis!$S$3-(IF(AND(Dados!$A221&gt;=Imóveis!$Q$3,Dados!$A221&lt;=Imóveis!$T$3),Imóveis!$S$3-(DATEDIF(Imóveis!$Q$3,Dados!$A221,"m")),)))*(Imóveis!$N$3/Imóveis!$S$3)))*Imóveis!$P$3))))*IF(AND(Imóveis!$E$3&gt;0,Dados!$A221&gt;Imóveis!$E$3),0,1)</f>
        <v>0</v>
      </c>
      <c r="K221" s="18">
        <f>IF(Imóveis!$F$4="PRICE",IF(AND(Dados!$A221&gt;=Imóveis!$Q$4,Dados!$A221&lt;=Imóveis!$T$4),Imóveis!$U$4,0),IF((IF(AND(Dados!$A221&gt;=Imóveis!$Q$4,Dados!$A221&lt;=Imóveis!$T$4),Imóveis!$S$4-(DATEDIF(Imóveis!$Q$4,Dados!$A221,"m")),0))=0,0,((Imóveis!$N$4/Imóveis!$S$4)+((Imóveis!$N$4-((Imóveis!$S$4-(IF(AND(Dados!$A221&gt;=Imóveis!$Q$4,Dados!$A221&lt;=Imóveis!$T$4),Imóveis!$S$4-(DATEDIF(Imóveis!$Q$4,Dados!$A221,"m")),)))*(Imóveis!$N$4/Imóveis!$S$4)))*Imóveis!$P$4))))*IF(AND(Imóveis!$E$4&gt;0,Dados!$A221&gt;Imóveis!$E$4),0,1)</f>
        <v>0</v>
      </c>
      <c r="L221" s="18">
        <f>IF(Imóveis!$F$5="PRICE",IF(AND(Dados!$A221&gt;=Imóveis!$Q$5,Dados!$A221&lt;=Imóveis!$T$5),Imóveis!$U$5,0),IF((IF(AND(Dados!$A221&gt;=Imóveis!$Q$5,Dados!$A221&lt;=Imóveis!$T$5),Imóveis!$S$5-(DATEDIF(Imóveis!$Q$5,Dados!$A221,"m")),0))=0,0,((Imóveis!$N$5/Imóveis!$S$5)+((Imóveis!$N$5-((Imóveis!$S$5-(IF(AND(Dados!$A221 &gt;=Imóveis!$Q$5,Dados!$A221&lt;=Imóveis!$T$5),Imóveis!$S$5-(DATEDIF(Imóveis!$Q$5,Dados!$A221,"m")),)))*(Imóveis!$N$5/Imóveis!$S$5)))*Imóveis!$P$5))))*IF(AND(Imóveis!$E$5&gt;0,Dados!$A221&gt;Imóveis!$E$5),0,1)*Imóveis!$I$5</f>
        <v>0</v>
      </c>
      <c r="M221" s="18">
        <f>IF(Imóveis!$F$6="PRICE",IF(AND(Dados!$A221&gt;=Imóveis!$Q$6,Dados!$A221&lt;=Imóveis!$T$6),Imóveis!$U$6,0),IF((IF(AND(Dados!$A221&gt;=Imóveis!$Q$6,Dados!$A221&lt;=Imóveis!$T$6),Imóveis!$S$6-(DATEDIF(Imóveis!$Q$6,Dados!$A221,"m")),0))=0,0,((Imóveis!$N$6/Imóveis!$S$6)+((Imóveis!$N$6-((Imóveis!$S$6-(IF(AND(Dados!$A221&gt;=Imóveis!$Q$6,Dados!$A221&lt;=Imóveis!$T$6),Imóveis!$S$6-(DATEDIF(Imóveis!$Q$6,Dados!$A221,"m")),)))*(Imóveis!$N$6/Imóveis!$S$6)))*Imóveis!$P$6))))*IF(AND(Imóveis!$E$6&gt;0,Dados!$A221&gt;Imóveis!$E$6),0,1)*Imóveis!$I$6</f>
        <v>0</v>
      </c>
      <c r="N221" s="18">
        <f t="shared" si="29"/>
        <v>43000</v>
      </c>
      <c r="O221" s="18">
        <f>SUMIFS(Receitas!$F:$F,Receitas!$J:$J,"&lt;="&amp;$A221,Receitas!$L:$L,"&gt;="&amp;$A221,Receitas!$C:$C,O$1,Receitas!$M:$M,"Mensal")+SUMIFS(Receitas!$F:$F,Receitas!$J:$J,"&lt;="&amp;$A221,Receitas!$L:$L,"&gt;="&amp;$A221,Receitas!$C:$C,O$1,Receitas!$M:$M,$B221)</f>
        <v>50000</v>
      </c>
      <c r="P221" s="18">
        <f>SUMIFS(Receitas!$F:$F,Receitas!$J:$J,"&lt;="&amp;$A221,Receitas!$L:$L,"&gt;="&amp;$A221,Receitas!$C:$C,P$1,Receitas!$M:$M,"Mensal")+SUMIFS(Receitas!$F:$F,Receitas!$J:$J,"&lt;="&amp;$A221,Receitas!$L:$L,"&gt;="&amp;$A221,Receitas!$C:$C,P$1,Receitas!$M:$M,$B221)</f>
        <v>85000</v>
      </c>
      <c r="Q221" s="18">
        <f>SUMIFS(Receitas!$F:$F,Receitas!$J:$J,"&lt;="&amp;$A221,Receitas!$L:$L,"&gt;="&amp;$A221,Receitas!$C:$C,Q$1,Receitas!$M:$M,"Mensal")+SUMIFS(Receitas!$F:$F,Receitas!$J:$J,"&lt;="&amp;$A221,Receitas!$L:$L,"&gt;="&amp;$A221,Receitas!$C:$C,Q$1,Receitas!$M:$M,$B221)</f>
        <v>0</v>
      </c>
      <c r="R221" s="18" cm="1">
        <f t="array" ref="R221">(IF(AND(Membros!$F$2="Sim",A221&lt;=MAX(Membros!$E$2:$E$5)),Membros!K$2,IF(AND(A221&gt;=Membros!J$2,A221&lt;=MAX(Membros!$E$2:$E$5)),Membros!K$2,0))+IF(AND(Membros!$F$3="Sim",A221&lt;=MAX(Membros!$E$2:$E$5)),Membros!K$3,IF(AND(A221&gt;=Membros!J$3,A221&lt;=MAX(Membros!$E$2:$E$5)),Membros!K$3,0)))*IF(AND(COUNTIFS(Tabela3[Tipo],"Provedor",Tabela3[Simulação Seguro],"Sim")=2,A221&gt;=MAX(IF(Tabela3[Tipo]="Dependente",Tabela3[Expectativa de Vida (Data)]))),0,1)</f>
        <v>0</v>
      </c>
      <c r="S221" s="18">
        <f t="shared" si="30"/>
        <v>135000</v>
      </c>
      <c r="U221" s="18">
        <f t="shared" ca="1" si="33"/>
        <v>11481230.527633268</v>
      </c>
      <c r="V221" s="18">
        <f>SUMIF(Imóveis!E:E,Dados!A:A,Imóveis!Z:Z)-SUMIF(Imóveis!E:E,Dados!A:A,Imóveis!Y:Y)</f>
        <v>0</v>
      </c>
      <c r="W221" s="18">
        <f>-SUMIF(Projetos!N:N,A221,Projetos!F:F)</f>
        <v>0</v>
      </c>
      <c r="X221" s="18">
        <f t="shared" si="27"/>
        <v>92000</v>
      </c>
      <c r="Y221" s="26">
        <f ca="1">(U221*((Indicadores_Economicos!D$2+1)^(1/12)-1))</f>
        <v>37586.561126909663</v>
      </c>
      <c r="Z221" s="18">
        <f t="shared" ca="1" si="31"/>
        <v>11610817.088760179</v>
      </c>
      <c r="AA221" s="18">
        <f ca="1">Auxiliar_Projetos!E221</f>
        <v>7.9993382965765553E-10</v>
      </c>
      <c r="AB221" s="18">
        <f ca="1">Auxiliar_Projetos!K221</f>
        <v>6.1533371512127356E-10</v>
      </c>
      <c r="AC221" s="18">
        <f ca="1">IF(Z221-AA221-AB221&gt;Investimentos!$C$14,Investimentos!$C$14,IF(Z221-AA221-AB221&lt;Investimentos!$C$14,Z221-AA221-AB221,0))</f>
        <v>300000</v>
      </c>
      <c r="AD221" s="18">
        <f t="shared" ca="1" si="32"/>
        <v>11310817.088760179</v>
      </c>
      <c r="AE221" s="18"/>
    </row>
    <row r="222" spans="1:31" x14ac:dyDescent="0.2">
      <c r="A222" s="4">
        <v>52352</v>
      </c>
      <c r="B222" s="5" t="str">
        <f t="shared" si="28"/>
        <v>maio</v>
      </c>
      <c r="C222" s="5" t="str">
        <f t="shared" si="34"/>
        <v>2043</v>
      </c>
      <c r="D222" s="5">
        <f>SUMIFS(Despesas!$F:$F,Despesas!$J:$J,"&lt;="&amp;$A222,Despesas!$L:$L,"&gt;="&amp;$A222,Despesas!$C:$C,D$1,Despesas!$M:$M,"Mensal")+SUMIFS(Despesas!$F:$F,Despesas!$J:$J,"&lt;="&amp;$A222,Despesas!$L:$L,"&gt;="&amp;$A222,Despesas!$C:$C,D$1,Despesas!$M:$M,$B222)</f>
        <v>23000</v>
      </c>
      <c r="E222" s="18">
        <f>SUMIFS(Despesas!$F:$F,Despesas!$J:$J,"&lt;="&amp;$A222,Despesas!$L:$L,"&gt;="&amp;$A222,Despesas!$C:$C,E$1,Despesas!$M:$M,"Mensal")+SUMIFS(Despesas!$F:$F,Despesas!$J:$J,"&lt;="&amp;$A222,Despesas!$L:$L,"&gt;="&amp;$A222,Despesas!$C:$C,E$1,Despesas!$M:$M,$B222)</f>
        <v>6000</v>
      </c>
      <c r="F222" s="5">
        <f>SUMIFS(Despesas!$F:$F,Despesas!$J:$J,"&lt;="&amp;$A222,Despesas!$L:$L,"&gt;="&amp;$A222,Despesas!$C:$C,F$1,Despesas!$M:$M,"Mensal")+SUMIFS(Despesas!$F:$F,Despesas!$J:$J,"&lt;="&amp;$A222,Despesas!$L:$L,"&gt;="&amp;$A222,Despesas!$C:$C,F$1,Despesas!$M:$M,$B222)</f>
        <v>13000</v>
      </c>
      <c r="G222" s="5">
        <f>SUMIFS(Despesas!$F:$F,Despesas!$J:$J,"&lt;="&amp;$A222,Despesas!$L:$L,"&gt;="&amp;$A222,Despesas!$C:$C,G$1,Despesas!$M:$M,"Mensal")+SUMIFS(Despesas!$F:$F,Despesas!$J:$J,"&lt;="&amp;$A222,Despesas!$L:$L,"&gt;="&amp;$A222,Despesas!$C:$C,G$1,Despesas!$M:$M,$B222)</f>
        <v>0</v>
      </c>
      <c r="H222" s="18">
        <f>SUMIFS(Despesas!$F:$F,Despesas!$J:$J,"&lt;="&amp;$A222,Despesas!$L:$L,"&gt;="&amp;$A222,Despesas!$C:$C,H$1,Despesas!$M:$M,"Mensal")+SUMIFS(Despesas!$F:$F,Despesas!$J:$J,"&lt;="&amp;$A222,Despesas!$L:$L,"&gt;="&amp;$A222,Despesas!$C:$C,H$1,Despesas!$M:$M,$B222)</f>
        <v>1000</v>
      </c>
      <c r="I222" s="18">
        <f>IF(Imóveis!$F$2="PRICE",IF(AND(Dados!$A222&gt;=Imóveis!$Q$2,Dados!$A222&lt;=Imóveis!$T$2),Imóveis!$U$2,0),IF((IF(AND(Dados!$A222&gt;=Imóveis!$Q$2,Dados!$A222&lt;=Imóveis!$T$2),Imóveis!$S$2-(DATEDIF(Imóveis!$Q$2,Dados!$A222,"m")),0))=0,0,((Imóveis!$N$2/Imóveis!$S$2)+((Imóveis!$N$2-((Imóveis!$S$2-(IF(AND(Dados!$A222&gt;=Imóveis!$Q$2,Dados!$A222&lt;=Imóveis!$T$2),Imóveis!$S$2-(DATEDIF(Imóveis!$Q$2,Dados!$A222,"m")),)))*(Imóveis!$N$2/Imóveis!$S$2)))*Imóveis!$P$2))))*IF(AND(Imóveis!$E$2&gt;0,Dados!$A222&gt;Imóveis!$E$2),0,1)</f>
        <v>0</v>
      </c>
      <c r="J222" s="18">
        <f>IF(Imóveis!$F$3="PRICE",IF(AND(Dados!$A222&gt;=Imóveis!$Q$3,Dados!$A222&lt;=Imóveis!$T$3),Imóveis!$U$3,0),IF((IF(AND(Dados!$A222&gt;=Imóveis!$Q$3,Dados!$A222&lt;=Imóveis!$T$3),Imóveis!$S$3-(DATEDIF(Imóveis!$Q$3,Dados!$A222,"m")),0))=0,0,((Imóveis!$N$3/Imóveis!$S$3)+((Imóveis!$N$3-((Imóveis!$S$3-(IF(AND(Dados!$A222&gt;=Imóveis!$Q$3,Dados!$A222&lt;=Imóveis!$T$3),Imóveis!$S$3-(DATEDIF(Imóveis!$Q$3,Dados!$A222,"m")),)))*(Imóveis!$N$3/Imóveis!$S$3)))*Imóveis!$P$3))))*IF(AND(Imóveis!$E$3&gt;0,Dados!$A222&gt;Imóveis!$E$3),0,1)</f>
        <v>0</v>
      </c>
      <c r="K222" s="18">
        <f>IF(Imóveis!$F$4="PRICE",IF(AND(Dados!$A222&gt;=Imóveis!$Q$4,Dados!$A222&lt;=Imóveis!$T$4),Imóveis!$U$4,0),IF((IF(AND(Dados!$A222&gt;=Imóveis!$Q$4,Dados!$A222&lt;=Imóveis!$T$4),Imóveis!$S$4-(DATEDIF(Imóveis!$Q$4,Dados!$A222,"m")),0))=0,0,((Imóveis!$N$4/Imóveis!$S$4)+((Imóveis!$N$4-((Imóveis!$S$4-(IF(AND(Dados!$A222&gt;=Imóveis!$Q$4,Dados!$A222&lt;=Imóveis!$T$4),Imóveis!$S$4-(DATEDIF(Imóveis!$Q$4,Dados!$A222,"m")),)))*(Imóveis!$N$4/Imóveis!$S$4)))*Imóveis!$P$4))))*IF(AND(Imóveis!$E$4&gt;0,Dados!$A222&gt;Imóveis!$E$4),0,1)</f>
        <v>0</v>
      </c>
      <c r="L222" s="18">
        <f>IF(Imóveis!$F$5="PRICE",IF(AND(Dados!$A222&gt;=Imóveis!$Q$5,Dados!$A222&lt;=Imóveis!$T$5),Imóveis!$U$5,0),IF((IF(AND(Dados!$A222&gt;=Imóveis!$Q$5,Dados!$A222&lt;=Imóveis!$T$5),Imóveis!$S$5-(DATEDIF(Imóveis!$Q$5,Dados!$A222,"m")),0))=0,0,((Imóveis!$N$5/Imóveis!$S$5)+((Imóveis!$N$5-((Imóveis!$S$5-(IF(AND(Dados!$A222 &gt;=Imóveis!$Q$5,Dados!$A222&lt;=Imóveis!$T$5),Imóveis!$S$5-(DATEDIF(Imóveis!$Q$5,Dados!$A222,"m")),)))*(Imóveis!$N$5/Imóveis!$S$5)))*Imóveis!$P$5))))*IF(AND(Imóveis!$E$5&gt;0,Dados!$A222&gt;Imóveis!$E$5),0,1)*Imóveis!$I$5</f>
        <v>0</v>
      </c>
      <c r="M222" s="18">
        <f>IF(Imóveis!$F$6="PRICE",IF(AND(Dados!$A222&gt;=Imóveis!$Q$6,Dados!$A222&lt;=Imóveis!$T$6),Imóveis!$U$6,0),IF((IF(AND(Dados!$A222&gt;=Imóveis!$Q$6,Dados!$A222&lt;=Imóveis!$T$6),Imóveis!$S$6-(DATEDIF(Imóveis!$Q$6,Dados!$A222,"m")),0))=0,0,((Imóveis!$N$6/Imóveis!$S$6)+((Imóveis!$N$6-((Imóveis!$S$6-(IF(AND(Dados!$A222&gt;=Imóveis!$Q$6,Dados!$A222&lt;=Imóveis!$T$6),Imóveis!$S$6-(DATEDIF(Imóveis!$Q$6,Dados!$A222,"m")),)))*(Imóveis!$N$6/Imóveis!$S$6)))*Imóveis!$P$6))))*IF(AND(Imóveis!$E$6&gt;0,Dados!$A222&gt;Imóveis!$E$6),0,1)*Imóveis!$I$6</f>
        <v>0</v>
      </c>
      <c r="N222" s="18">
        <f t="shared" si="29"/>
        <v>43000</v>
      </c>
      <c r="O222" s="18">
        <f>SUMIFS(Receitas!$F:$F,Receitas!$J:$J,"&lt;="&amp;$A222,Receitas!$L:$L,"&gt;="&amp;$A222,Receitas!$C:$C,O$1,Receitas!$M:$M,"Mensal")+SUMIFS(Receitas!$F:$F,Receitas!$J:$J,"&lt;="&amp;$A222,Receitas!$L:$L,"&gt;="&amp;$A222,Receitas!$C:$C,O$1,Receitas!$M:$M,$B222)</f>
        <v>50000</v>
      </c>
      <c r="P222" s="18">
        <f>SUMIFS(Receitas!$F:$F,Receitas!$J:$J,"&lt;="&amp;$A222,Receitas!$L:$L,"&gt;="&amp;$A222,Receitas!$C:$C,P$1,Receitas!$M:$M,"Mensal")+SUMIFS(Receitas!$F:$F,Receitas!$J:$J,"&lt;="&amp;$A222,Receitas!$L:$L,"&gt;="&amp;$A222,Receitas!$C:$C,P$1,Receitas!$M:$M,$B222)</f>
        <v>20000</v>
      </c>
      <c r="Q222" s="18">
        <f>SUMIFS(Receitas!$F:$F,Receitas!$J:$J,"&lt;="&amp;$A222,Receitas!$L:$L,"&gt;="&amp;$A222,Receitas!$C:$C,Q$1,Receitas!$M:$M,"Mensal")+SUMIFS(Receitas!$F:$F,Receitas!$J:$J,"&lt;="&amp;$A222,Receitas!$L:$L,"&gt;="&amp;$A222,Receitas!$C:$C,Q$1,Receitas!$M:$M,$B222)</f>
        <v>0</v>
      </c>
      <c r="R222" s="18" cm="1">
        <f t="array" ref="R222">(IF(AND(Membros!$F$2="Sim",A222&lt;=MAX(Membros!$E$2:$E$5)),Membros!K$2,IF(AND(A222&gt;=Membros!J$2,A222&lt;=MAX(Membros!$E$2:$E$5)),Membros!K$2,0))+IF(AND(Membros!$F$3="Sim",A222&lt;=MAX(Membros!$E$2:$E$5)),Membros!K$3,IF(AND(A222&gt;=Membros!J$3,A222&lt;=MAX(Membros!$E$2:$E$5)),Membros!K$3,0)))*IF(AND(COUNTIFS(Tabela3[Tipo],"Provedor",Tabela3[Simulação Seguro],"Sim")=2,A222&gt;=MAX(IF(Tabela3[Tipo]="Dependente",Tabela3[Expectativa de Vida (Data)]))),0,1)</f>
        <v>0</v>
      </c>
      <c r="S222" s="18">
        <f t="shared" si="30"/>
        <v>70000</v>
      </c>
      <c r="U222" s="18">
        <f t="shared" ca="1" si="33"/>
        <v>11610817.088760179</v>
      </c>
      <c r="V222" s="18">
        <f>SUMIF(Imóveis!E:E,Dados!A:A,Imóveis!Z:Z)-SUMIF(Imóveis!E:E,Dados!A:A,Imóveis!Y:Y)</f>
        <v>0</v>
      </c>
      <c r="W222" s="18">
        <f>-SUMIF(Projetos!N:N,A222,Projetos!F:F)</f>
        <v>0</v>
      </c>
      <c r="X222" s="18">
        <f t="shared" si="27"/>
        <v>27000</v>
      </c>
      <c r="Y222" s="26">
        <f ca="1">(U222*((Indicadores_Economicos!D$2+1)^(1/12)-1))</f>
        <v>38010.793807309179</v>
      </c>
      <c r="Z222" s="18">
        <f t="shared" ca="1" si="31"/>
        <v>11675827.882567488</v>
      </c>
      <c r="AA222" s="18">
        <f ca="1">Auxiliar_Projetos!E222</f>
        <v>8.0255260485893252E-10</v>
      </c>
      <c r="AB222" s="18">
        <f ca="1">Auxiliar_Projetos!K222</f>
        <v>6.1734815758379428E-10</v>
      </c>
      <c r="AC222" s="18">
        <f ca="1">IF(Z222-AA222-AB222&gt;Investimentos!$C$14,Investimentos!$C$14,IF(Z222-AA222-AB222&lt;Investimentos!$C$14,Z222-AA222-AB222,0))</f>
        <v>300000</v>
      </c>
      <c r="AD222" s="18">
        <f t="shared" ca="1" si="32"/>
        <v>11375827.882567488</v>
      </c>
      <c r="AE222" s="18"/>
    </row>
    <row r="223" spans="1:31" x14ac:dyDescent="0.2">
      <c r="A223" s="4">
        <v>52383</v>
      </c>
      <c r="B223" s="5" t="str">
        <f t="shared" si="28"/>
        <v>junho</v>
      </c>
      <c r="C223" s="5" t="str">
        <f t="shared" si="34"/>
        <v>2043</v>
      </c>
      <c r="D223" s="5">
        <f>SUMIFS(Despesas!$F:$F,Despesas!$J:$J,"&lt;="&amp;$A223,Despesas!$L:$L,"&gt;="&amp;$A223,Despesas!$C:$C,D$1,Despesas!$M:$M,"Mensal")+SUMIFS(Despesas!$F:$F,Despesas!$J:$J,"&lt;="&amp;$A223,Despesas!$L:$L,"&gt;="&amp;$A223,Despesas!$C:$C,D$1,Despesas!$M:$M,$B223)</f>
        <v>23000</v>
      </c>
      <c r="E223" s="18">
        <f>SUMIFS(Despesas!$F:$F,Despesas!$J:$J,"&lt;="&amp;$A223,Despesas!$L:$L,"&gt;="&amp;$A223,Despesas!$C:$C,E$1,Despesas!$M:$M,"Mensal")+SUMIFS(Despesas!$F:$F,Despesas!$J:$J,"&lt;="&amp;$A223,Despesas!$L:$L,"&gt;="&amp;$A223,Despesas!$C:$C,E$1,Despesas!$M:$M,$B223)</f>
        <v>6000</v>
      </c>
      <c r="F223" s="5">
        <f>SUMIFS(Despesas!$F:$F,Despesas!$J:$J,"&lt;="&amp;$A223,Despesas!$L:$L,"&gt;="&amp;$A223,Despesas!$C:$C,F$1,Despesas!$M:$M,"Mensal")+SUMIFS(Despesas!$F:$F,Despesas!$J:$J,"&lt;="&amp;$A223,Despesas!$L:$L,"&gt;="&amp;$A223,Despesas!$C:$C,F$1,Despesas!$M:$M,$B223)</f>
        <v>13000</v>
      </c>
      <c r="G223" s="5">
        <f>SUMIFS(Despesas!$F:$F,Despesas!$J:$J,"&lt;="&amp;$A223,Despesas!$L:$L,"&gt;="&amp;$A223,Despesas!$C:$C,G$1,Despesas!$M:$M,"Mensal")+SUMIFS(Despesas!$F:$F,Despesas!$J:$J,"&lt;="&amp;$A223,Despesas!$L:$L,"&gt;="&amp;$A223,Despesas!$C:$C,G$1,Despesas!$M:$M,$B223)</f>
        <v>0</v>
      </c>
      <c r="H223" s="18">
        <f>SUMIFS(Despesas!$F:$F,Despesas!$J:$J,"&lt;="&amp;$A223,Despesas!$L:$L,"&gt;="&amp;$A223,Despesas!$C:$C,H$1,Despesas!$M:$M,"Mensal")+SUMIFS(Despesas!$F:$F,Despesas!$J:$J,"&lt;="&amp;$A223,Despesas!$L:$L,"&gt;="&amp;$A223,Despesas!$C:$C,H$1,Despesas!$M:$M,$B223)</f>
        <v>1000</v>
      </c>
      <c r="I223" s="18">
        <f>IF(Imóveis!$F$2="PRICE",IF(AND(Dados!$A223&gt;=Imóveis!$Q$2,Dados!$A223&lt;=Imóveis!$T$2),Imóveis!$U$2,0),IF((IF(AND(Dados!$A223&gt;=Imóveis!$Q$2,Dados!$A223&lt;=Imóveis!$T$2),Imóveis!$S$2-(DATEDIF(Imóveis!$Q$2,Dados!$A223,"m")),0))=0,0,((Imóveis!$N$2/Imóveis!$S$2)+((Imóveis!$N$2-((Imóveis!$S$2-(IF(AND(Dados!$A223&gt;=Imóveis!$Q$2,Dados!$A223&lt;=Imóveis!$T$2),Imóveis!$S$2-(DATEDIF(Imóveis!$Q$2,Dados!$A223,"m")),)))*(Imóveis!$N$2/Imóveis!$S$2)))*Imóveis!$P$2))))*IF(AND(Imóveis!$E$2&gt;0,Dados!$A223&gt;Imóveis!$E$2),0,1)</f>
        <v>0</v>
      </c>
      <c r="J223" s="18">
        <f>IF(Imóveis!$F$3="PRICE",IF(AND(Dados!$A223&gt;=Imóveis!$Q$3,Dados!$A223&lt;=Imóveis!$T$3),Imóveis!$U$3,0),IF((IF(AND(Dados!$A223&gt;=Imóveis!$Q$3,Dados!$A223&lt;=Imóveis!$T$3),Imóveis!$S$3-(DATEDIF(Imóveis!$Q$3,Dados!$A223,"m")),0))=0,0,((Imóveis!$N$3/Imóveis!$S$3)+((Imóveis!$N$3-((Imóveis!$S$3-(IF(AND(Dados!$A223&gt;=Imóveis!$Q$3,Dados!$A223&lt;=Imóveis!$T$3),Imóveis!$S$3-(DATEDIF(Imóveis!$Q$3,Dados!$A223,"m")),)))*(Imóveis!$N$3/Imóveis!$S$3)))*Imóveis!$P$3))))*IF(AND(Imóveis!$E$3&gt;0,Dados!$A223&gt;Imóveis!$E$3),0,1)</f>
        <v>0</v>
      </c>
      <c r="K223" s="18">
        <f>IF(Imóveis!$F$4="PRICE",IF(AND(Dados!$A223&gt;=Imóveis!$Q$4,Dados!$A223&lt;=Imóveis!$T$4),Imóveis!$U$4,0),IF((IF(AND(Dados!$A223&gt;=Imóveis!$Q$4,Dados!$A223&lt;=Imóveis!$T$4),Imóveis!$S$4-(DATEDIF(Imóveis!$Q$4,Dados!$A223,"m")),0))=0,0,((Imóveis!$N$4/Imóveis!$S$4)+((Imóveis!$N$4-((Imóveis!$S$4-(IF(AND(Dados!$A223&gt;=Imóveis!$Q$4,Dados!$A223&lt;=Imóveis!$T$4),Imóveis!$S$4-(DATEDIF(Imóveis!$Q$4,Dados!$A223,"m")),)))*(Imóveis!$N$4/Imóveis!$S$4)))*Imóveis!$P$4))))*IF(AND(Imóveis!$E$4&gt;0,Dados!$A223&gt;Imóveis!$E$4),0,1)</f>
        <v>0</v>
      </c>
      <c r="L223" s="18">
        <f>IF(Imóveis!$F$5="PRICE",IF(AND(Dados!$A223&gt;=Imóveis!$Q$5,Dados!$A223&lt;=Imóveis!$T$5),Imóveis!$U$5,0),IF((IF(AND(Dados!$A223&gt;=Imóveis!$Q$5,Dados!$A223&lt;=Imóveis!$T$5),Imóveis!$S$5-(DATEDIF(Imóveis!$Q$5,Dados!$A223,"m")),0))=0,0,((Imóveis!$N$5/Imóveis!$S$5)+((Imóveis!$N$5-((Imóveis!$S$5-(IF(AND(Dados!$A223 &gt;=Imóveis!$Q$5,Dados!$A223&lt;=Imóveis!$T$5),Imóveis!$S$5-(DATEDIF(Imóveis!$Q$5,Dados!$A223,"m")),)))*(Imóveis!$N$5/Imóveis!$S$5)))*Imóveis!$P$5))))*IF(AND(Imóveis!$E$5&gt;0,Dados!$A223&gt;Imóveis!$E$5),0,1)*Imóveis!$I$5</f>
        <v>0</v>
      </c>
      <c r="M223" s="18">
        <f>IF(Imóveis!$F$6="PRICE",IF(AND(Dados!$A223&gt;=Imóveis!$Q$6,Dados!$A223&lt;=Imóveis!$T$6),Imóveis!$U$6,0),IF((IF(AND(Dados!$A223&gt;=Imóveis!$Q$6,Dados!$A223&lt;=Imóveis!$T$6),Imóveis!$S$6-(DATEDIF(Imóveis!$Q$6,Dados!$A223,"m")),0))=0,0,((Imóveis!$N$6/Imóveis!$S$6)+((Imóveis!$N$6-((Imóveis!$S$6-(IF(AND(Dados!$A223&gt;=Imóveis!$Q$6,Dados!$A223&lt;=Imóveis!$T$6),Imóveis!$S$6-(DATEDIF(Imóveis!$Q$6,Dados!$A223,"m")),)))*(Imóveis!$N$6/Imóveis!$S$6)))*Imóveis!$P$6))))*IF(AND(Imóveis!$E$6&gt;0,Dados!$A223&gt;Imóveis!$E$6),0,1)*Imóveis!$I$6</f>
        <v>0</v>
      </c>
      <c r="N223" s="18">
        <f t="shared" si="29"/>
        <v>43000</v>
      </c>
      <c r="O223" s="18">
        <f>SUMIFS(Receitas!$F:$F,Receitas!$J:$J,"&lt;="&amp;$A223,Receitas!$L:$L,"&gt;="&amp;$A223,Receitas!$C:$C,O$1,Receitas!$M:$M,"Mensal")+SUMIFS(Receitas!$F:$F,Receitas!$J:$J,"&lt;="&amp;$A223,Receitas!$L:$L,"&gt;="&amp;$A223,Receitas!$C:$C,O$1,Receitas!$M:$M,$B223)</f>
        <v>50000</v>
      </c>
      <c r="P223" s="18">
        <f>SUMIFS(Receitas!$F:$F,Receitas!$J:$J,"&lt;="&amp;$A223,Receitas!$L:$L,"&gt;="&amp;$A223,Receitas!$C:$C,P$1,Receitas!$M:$M,"Mensal")+SUMIFS(Receitas!$F:$F,Receitas!$J:$J,"&lt;="&amp;$A223,Receitas!$L:$L,"&gt;="&amp;$A223,Receitas!$C:$C,P$1,Receitas!$M:$M,$B223)</f>
        <v>20000</v>
      </c>
      <c r="Q223" s="18">
        <f>SUMIFS(Receitas!$F:$F,Receitas!$J:$J,"&lt;="&amp;$A223,Receitas!$L:$L,"&gt;="&amp;$A223,Receitas!$C:$C,Q$1,Receitas!$M:$M,"Mensal")+SUMIFS(Receitas!$F:$F,Receitas!$J:$J,"&lt;="&amp;$A223,Receitas!$L:$L,"&gt;="&amp;$A223,Receitas!$C:$C,Q$1,Receitas!$M:$M,$B223)</f>
        <v>0</v>
      </c>
      <c r="R223" s="18" cm="1">
        <f t="array" ref="R223">(IF(AND(Membros!$F$2="Sim",A223&lt;=MAX(Membros!$E$2:$E$5)),Membros!K$2,IF(AND(A223&gt;=Membros!J$2,A223&lt;=MAX(Membros!$E$2:$E$5)),Membros!K$2,0))+IF(AND(Membros!$F$3="Sim",A223&lt;=MAX(Membros!$E$2:$E$5)),Membros!K$3,IF(AND(A223&gt;=Membros!J$3,A223&lt;=MAX(Membros!$E$2:$E$5)),Membros!K$3,0)))*IF(AND(COUNTIFS(Tabela3[Tipo],"Provedor",Tabela3[Simulação Seguro],"Sim")=2,A223&gt;=MAX(IF(Tabela3[Tipo]="Dependente",Tabela3[Expectativa de Vida (Data)]))),0,1)</f>
        <v>0</v>
      </c>
      <c r="S223" s="18">
        <f t="shared" si="30"/>
        <v>70000</v>
      </c>
      <c r="U223" s="18">
        <f t="shared" ca="1" si="33"/>
        <v>11675827.882567488</v>
      </c>
      <c r="V223" s="18">
        <f>SUMIF(Imóveis!E:E,Dados!A:A,Imóveis!Z:Z)-SUMIF(Imóveis!E:E,Dados!A:A,Imóveis!Y:Y)</f>
        <v>0</v>
      </c>
      <c r="W223" s="18">
        <f>-SUMIF(Projetos!N:N,A223,Projetos!F:F)</f>
        <v>0</v>
      </c>
      <c r="X223" s="18">
        <f t="shared" si="27"/>
        <v>27000</v>
      </c>
      <c r="Y223" s="26">
        <f ca="1">(U223*((Indicadores_Economicos!D$2+1)^(1/12)-1))</f>
        <v>38223.622229268498</v>
      </c>
      <c r="Z223" s="18">
        <f t="shared" ca="1" si="31"/>
        <v>11741051.504796756</v>
      </c>
      <c r="AA223" s="18">
        <f ca="1">Auxiliar_Projetos!E223</f>
        <v>8.0517995324876653E-10</v>
      </c>
      <c r="AB223" s="18">
        <f ca="1">Auxiliar_Projetos!K223</f>
        <v>6.1936919480674355E-10</v>
      </c>
      <c r="AC223" s="18">
        <f ca="1">IF(Z223-AA223-AB223&gt;Investimentos!$C$14,Investimentos!$C$14,IF(Z223-AA223-AB223&lt;Investimentos!$C$14,Z223-AA223-AB223,0))</f>
        <v>300000</v>
      </c>
      <c r="AD223" s="18">
        <f t="shared" ca="1" si="32"/>
        <v>11441051.504796756</v>
      </c>
      <c r="AE223" s="18"/>
    </row>
    <row r="224" spans="1:31" x14ac:dyDescent="0.2">
      <c r="A224" s="4">
        <v>52413</v>
      </c>
      <c r="B224" s="5" t="str">
        <f t="shared" si="28"/>
        <v>julho</v>
      </c>
      <c r="C224" s="5" t="str">
        <f t="shared" si="34"/>
        <v>2043</v>
      </c>
      <c r="D224" s="5">
        <f>SUMIFS(Despesas!$F:$F,Despesas!$J:$J,"&lt;="&amp;$A224,Despesas!$L:$L,"&gt;="&amp;$A224,Despesas!$C:$C,D$1,Despesas!$M:$M,"Mensal")+SUMIFS(Despesas!$F:$F,Despesas!$J:$J,"&lt;="&amp;$A224,Despesas!$L:$L,"&gt;="&amp;$A224,Despesas!$C:$C,D$1,Despesas!$M:$M,$B224)</f>
        <v>23000</v>
      </c>
      <c r="E224" s="18">
        <f>SUMIFS(Despesas!$F:$F,Despesas!$J:$J,"&lt;="&amp;$A224,Despesas!$L:$L,"&gt;="&amp;$A224,Despesas!$C:$C,E$1,Despesas!$M:$M,"Mensal")+SUMIFS(Despesas!$F:$F,Despesas!$J:$J,"&lt;="&amp;$A224,Despesas!$L:$L,"&gt;="&amp;$A224,Despesas!$C:$C,E$1,Despesas!$M:$M,$B224)</f>
        <v>6000</v>
      </c>
      <c r="F224" s="5">
        <f>SUMIFS(Despesas!$F:$F,Despesas!$J:$J,"&lt;="&amp;$A224,Despesas!$L:$L,"&gt;="&amp;$A224,Despesas!$C:$C,F$1,Despesas!$M:$M,"Mensal")+SUMIFS(Despesas!$F:$F,Despesas!$J:$J,"&lt;="&amp;$A224,Despesas!$L:$L,"&gt;="&amp;$A224,Despesas!$C:$C,F$1,Despesas!$M:$M,$B224)</f>
        <v>13000</v>
      </c>
      <c r="G224" s="5">
        <f ca="1">SUMIFS(Despesas!$F:$F,Despesas!$J:$J,"&lt;="&amp;$A224,Despesas!$L:$L,"&gt;="&amp;$A224,Despesas!$C:$C,G$1,Despesas!$M:$M,"Mensal")+SUMIFS(Despesas!$F:$F,Despesas!$J:$J,"&lt;="&amp;$A224,Despesas!$L:$L,"&gt;="&amp;$A224,Despesas!$C:$C,G$1,Despesas!$M:$M,$B224)</f>
        <v>55757</v>
      </c>
      <c r="H224" s="18">
        <f>SUMIFS(Despesas!$F:$F,Despesas!$J:$J,"&lt;="&amp;$A224,Despesas!$L:$L,"&gt;="&amp;$A224,Despesas!$C:$C,H$1,Despesas!$M:$M,"Mensal")+SUMIFS(Despesas!$F:$F,Despesas!$J:$J,"&lt;="&amp;$A224,Despesas!$L:$L,"&gt;="&amp;$A224,Despesas!$C:$C,H$1,Despesas!$M:$M,$B224)</f>
        <v>1000</v>
      </c>
      <c r="I224" s="18">
        <f>IF(Imóveis!$F$2="PRICE",IF(AND(Dados!$A224&gt;=Imóveis!$Q$2,Dados!$A224&lt;=Imóveis!$T$2),Imóveis!$U$2,0),IF((IF(AND(Dados!$A224&gt;=Imóveis!$Q$2,Dados!$A224&lt;=Imóveis!$T$2),Imóveis!$S$2-(DATEDIF(Imóveis!$Q$2,Dados!$A224,"m")),0))=0,0,((Imóveis!$N$2/Imóveis!$S$2)+((Imóveis!$N$2-((Imóveis!$S$2-(IF(AND(Dados!$A224&gt;=Imóveis!$Q$2,Dados!$A224&lt;=Imóveis!$T$2),Imóveis!$S$2-(DATEDIF(Imóveis!$Q$2,Dados!$A224,"m")),)))*(Imóveis!$N$2/Imóveis!$S$2)))*Imóveis!$P$2))))*IF(AND(Imóveis!$E$2&gt;0,Dados!$A224&gt;Imóveis!$E$2),0,1)</f>
        <v>0</v>
      </c>
      <c r="J224" s="18">
        <f>IF(Imóveis!$F$3="PRICE",IF(AND(Dados!$A224&gt;=Imóveis!$Q$3,Dados!$A224&lt;=Imóveis!$T$3),Imóveis!$U$3,0),IF((IF(AND(Dados!$A224&gt;=Imóveis!$Q$3,Dados!$A224&lt;=Imóveis!$T$3),Imóveis!$S$3-(DATEDIF(Imóveis!$Q$3,Dados!$A224,"m")),0))=0,0,((Imóveis!$N$3/Imóveis!$S$3)+((Imóveis!$N$3-((Imóveis!$S$3-(IF(AND(Dados!$A224&gt;=Imóveis!$Q$3,Dados!$A224&lt;=Imóveis!$T$3),Imóveis!$S$3-(DATEDIF(Imóveis!$Q$3,Dados!$A224,"m")),)))*(Imóveis!$N$3/Imóveis!$S$3)))*Imóveis!$P$3))))*IF(AND(Imóveis!$E$3&gt;0,Dados!$A224&gt;Imóveis!$E$3),0,1)</f>
        <v>0</v>
      </c>
      <c r="K224" s="18">
        <f>IF(Imóveis!$F$4="PRICE",IF(AND(Dados!$A224&gt;=Imóveis!$Q$4,Dados!$A224&lt;=Imóveis!$T$4),Imóveis!$U$4,0),IF((IF(AND(Dados!$A224&gt;=Imóveis!$Q$4,Dados!$A224&lt;=Imóveis!$T$4),Imóveis!$S$4-(DATEDIF(Imóveis!$Q$4,Dados!$A224,"m")),0))=0,0,((Imóveis!$N$4/Imóveis!$S$4)+((Imóveis!$N$4-((Imóveis!$S$4-(IF(AND(Dados!$A224&gt;=Imóveis!$Q$4,Dados!$A224&lt;=Imóveis!$T$4),Imóveis!$S$4-(DATEDIF(Imóveis!$Q$4,Dados!$A224,"m")),)))*(Imóveis!$N$4/Imóveis!$S$4)))*Imóveis!$P$4))))*IF(AND(Imóveis!$E$4&gt;0,Dados!$A224&gt;Imóveis!$E$4),0,1)</f>
        <v>0</v>
      </c>
      <c r="L224" s="18">
        <f>IF(Imóveis!$F$5="PRICE",IF(AND(Dados!$A224&gt;=Imóveis!$Q$5,Dados!$A224&lt;=Imóveis!$T$5),Imóveis!$U$5,0),IF((IF(AND(Dados!$A224&gt;=Imóveis!$Q$5,Dados!$A224&lt;=Imóveis!$T$5),Imóveis!$S$5-(DATEDIF(Imóveis!$Q$5,Dados!$A224,"m")),0))=0,0,((Imóveis!$N$5/Imóveis!$S$5)+((Imóveis!$N$5-((Imóveis!$S$5-(IF(AND(Dados!$A224 &gt;=Imóveis!$Q$5,Dados!$A224&lt;=Imóveis!$T$5),Imóveis!$S$5-(DATEDIF(Imóveis!$Q$5,Dados!$A224,"m")),)))*(Imóveis!$N$5/Imóveis!$S$5)))*Imóveis!$P$5))))*IF(AND(Imóveis!$E$5&gt;0,Dados!$A224&gt;Imóveis!$E$5),0,1)*Imóveis!$I$5</f>
        <v>0</v>
      </c>
      <c r="M224" s="18">
        <f>IF(Imóveis!$F$6="PRICE",IF(AND(Dados!$A224&gt;=Imóveis!$Q$6,Dados!$A224&lt;=Imóveis!$T$6),Imóveis!$U$6,0),IF((IF(AND(Dados!$A224&gt;=Imóveis!$Q$6,Dados!$A224&lt;=Imóveis!$T$6),Imóveis!$S$6-(DATEDIF(Imóveis!$Q$6,Dados!$A224,"m")),0))=0,0,((Imóveis!$N$6/Imóveis!$S$6)+((Imóveis!$N$6-((Imóveis!$S$6-(IF(AND(Dados!$A224&gt;=Imóveis!$Q$6,Dados!$A224&lt;=Imóveis!$T$6),Imóveis!$S$6-(DATEDIF(Imóveis!$Q$6,Dados!$A224,"m")),)))*(Imóveis!$N$6/Imóveis!$S$6)))*Imóveis!$P$6))))*IF(AND(Imóveis!$E$6&gt;0,Dados!$A224&gt;Imóveis!$E$6),0,1)*Imóveis!$I$6</f>
        <v>0</v>
      </c>
      <c r="N224" s="18">
        <f t="shared" ca="1" si="29"/>
        <v>98757</v>
      </c>
      <c r="O224" s="18">
        <f>SUMIFS(Receitas!$F:$F,Receitas!$J:$J,"&lt;="&amp;$A224,Receitas!$L:$L,"&gt;="&amp;$A224,Receitas!$C:$C,O$1,Receitas!$M:$M,"Mensal")+SUMIFS(Receitas!$F:$F,Receitas!$J:$J,"&lt;="&amp;$A224,Receitas!$L:$L,"&gt;="&amp;$A224,Receitas!$C:$C,O$1,Receitas!$M:$M,$B224)</f>
        <v>50000</v>
      </c>
      <c r="P224" s="18">
        <f>SUMIFS(Receitas!$F:$F,Receitas!$J:$J,"&lt;="&amp;$A224,Receitas!$L:$L,"&gt;="&amp;$A224,Receitas!$C:$C,P$1,Receitas!$M:$M,"Mensal")+SUMIFS(Receitas!$F:$F,Receitas!$J:$J,"&lt;="&amp;$A224,Receitas!$L:$L,"&gt;="&amp;$A224,Receitas!$C:$C,P$1,Receitas!$M:$M,$B224)</f>
        <v>20000</v>
      </c>
      <c r="Q224" s="18">
        <f>SUMIFS(Receitas!$F:$F,Receitas!$J:$J,"&lt;="&amp;$A224,Receitas!$L:$L,"&gt;="&amp;$A224,Receitas!$C:$C,Q$1,Receitas!$M:$M,"Mensal")+SUMIFS(Receitas!$F:$F,Receitas!$J:$J,"&lt;="&amp;$A224,Receitas!$L:$L,"&gt;="&amp;$A224,Receitas!$C:$C,Q$1,Receitas!$M:$M,$B224)</f>
        <v>0</v>
      </c>
      <c r="R224" s="18" cm="1">
        <f t="array" ref="R224">(IF(AND(Membros!$F$2="Sim",A224&lt;=MAX(Membros!$E$2:$E$5)),Membros!K$2,IF(AND(A224&gt;=Membros!J$2,A224&lt;=MAX(Membros!$E$2:$E$5)),Membros!K$2,0))+IF(AND(Membros!$F$3="Sim",A224&lt;=MAX(Membros!$E$2:$E$5)),Membros!K$3,IF(AND(A224&gt;=Membros!J$3,A224&lt;=MAX(Membros!$E$2:$E$5)),Membros!K$3,0)))*IF(AND(COUNTIFS(Tabela3[Tipo],"Provedor",Tabela3[Simulação Seguro],"Sim")=2,A224&gt;=MAX(IF(Tabela3[Tipo]="Dependente",Tabela3[Expectativa de Vida (Data)]))),0,1)</f>
        <v>0</v>
      </c>
      <c r="S224" s="18">
        <f t="shared" si="30"/>
        <v>70000</v>
      </c>
      <c r="U224" s="18">
        <f t="shared" ca="1" si="33"/>
        <v>11741051.504796756</v>
      </c>
      <c r="V224" s="18">
        <f>SUMIF(Imóveis!E:E,Dados!A:A,Imóveis!Z:Z)-SUMIF(Imóveis!E:E,Dados!A:A,Imóveis!Y:Y)</f>
        <v>0</v>
      </c>
      <c r="W224" s="18">
        <f>-SUMIF(Projetos!N:N,A224,Projetos!F:F)</f>
        <v>0</v>
      </c>
      <c r="X224" s="18">
        <f t="shared" ca="1" si="27"/>
        <v>-28757</v>
      </c>
      <c r="Y224" s="26">
        <f ca="1">(U224*((Indicadores_Economicos!D$2+1)^(1/12)-1))</f>
        <v>38437.147396099572</v>
      </c>
      <c r="Z224" s="18">
        <f t="shared" ca="1" si="31"/>
        <v>11750731.652192855</v>
      </c>
      <c r="AA224" s="18">
        <f ca="1">Auxiliar_Projetos!E224</f>
        <v>8.0781590289354607E-10</v>
      </c>
      <c r="AB224" s="18">
        <f ca="1">Auxiliar_Projetos!K224</f>
        <v>6.2139684837965086E-10</v>
      </c>
      <c r="AC224" s="18">
        <f ca="1">IF(Z224-AA224-AB224&gt;Investimentos!$C$14,Investimentos!$C$14,IF(Z224-AA224-AB224&lt;Investimentos!$C$14,Z224-AA224-AB224,0))</f>
        <v>300000</v>
      </c>
      <c r="AD224" s="18">
        <f t="shared" ca="1" si="32"/>
        <v>11450731.652192855</v>
      </c>
      <c r="AE224" s="18"/>
    </row>
    <row r="225" spans="1:31" x14ac:dyDescent="0.2">
      <c r="A225" s="4">
        <v>52444</v>
      </c>
      <c r="B225" s="5" t="str">
        <f t="shared" si="28"/>
        <v>agosto</v>
      </c>
      <c r="C225" s="5" t="str">
        <f t="shared" si="34"/>
        <v>2043</v>
      </c>
      <c r="D225" s="5">
        <f>SUMIFS(Despesas!$F:$F,Despesas!$J:$J,"&lt;="&amp;$A225,Despesas!$L:$L,"&gt;="&amp;$A225,Despesas!$C:$C,D$1,Despesas!$M:$M,"Mensal")+SUMIFS(Despesas!$F:$F,Despesas!$J:$J,"&lt;="&amp;$A225,Despesas!$L:$L,"&gt;="&amp;$A225,Despesas!$C:$C,D$1,Despesas!$M:$M,$B225)</f>
        <v>23000</v>
      </c>
      <c r="E225" s="18">
        <f>SUMIFS(Despesas!$F:$F,Despesas!$J:$J,"&lt;="&amp;$A225,Despesas!$L:$L,"&gt;="&amp;$A225,Despesas!$C:$C,E$1,Despesas!$M:$M,"Mensal")+SUMIFS(Despesas!$F:$F,Despesas!$J:$J,"&lt;="&amp;$A225,Despesas!$L:$L,"&gt;="&amp;$A225,Despesas!$C:$C,E$1,Despesas!$M:$M,$B225)</f>
        <v>6000</v>
      </c>
      <c r="F225" s="5">
        <f>SUMIFS(Despesas!$F:$F,Despesas!$J:$J,"&lt;="&amp;$A225,Despesas!$L:$L,"&gt;="&amp;$A225,Despesas!$C:$C,F$1,Despesas!$M:$M,"Mensal")+SUMIFS(Despesas!$F:$F,Despesas!$J:$J,"&lt;="&amp;$A225,Despesas!$L:$L,"&gt;="&amp;$A225,Despesas!$C:$C,F$1,Despesas!$M:$M,$B225)</f>
        <v>13000</v>
      </c>
      <c r="G225" s="5">
        <f>SUMIFS(Despesas!$F:$F,Despesas!$J:$J,"&lt;="&amp;$A225,Despesas!$L:$L,"&gt;="&amp;$A225,Despesas!$C:$C,G$1,Despesas!$M:$M,"Mensal")+SUMIFS(Despesas!$F:$F,Despesas!$J:$J,"&lt;="&amp;$A225,Despesas!$L:$L,"&gt;="&amp;$A225,Despesas!$C:$C,G$1,Despesas!$M:$M,$B225)</f>
        <v>0</v>
      </c>
      <c r="H225" s="18">
        <f>SUMIFS(Despesas!$F:$F,Despesas!$J:$J,"&lt;="&amp;$A225,Despesas!$L:$L,"&gt;="&amp;$A225,Despesas!$C:$C,H$1,Despesas!$M:$M,"Mensal")+SUMIFS(Despesas!$F:$F,Despesas!$J:$J,"&lt;="&amp;$A225,Despesas!$L:$L,"&gt;="&amp;$A225,Despesas!$C:$C,H$1,Despesas!$M:$M,$B225)</f>
        <v>1000</v>
      </c>
      <c r="I225" s="18">
        <f>IF(Imóveis!$F$2="PRICE",IF(AND(Dados!$A225&gt;=Imóveis!$Q$2,Dados!$A225&lt;=Imóveis!$T$2),Imóveis!$U$2,0),IF((IF(AND(Dados!$A225&gt;=Imóveis!$Q$2,Dados!$A225&lt;=Imóveis!$T$2),Imóveis!$S$2-(DATEDIF(Imóveis!$Q$2,Dados!$A225,"m")),0))=0,0,((Imóveis!$N$2/Imóveis!$S$2)+((Imóveis!$N$2-((Imóveis!$S$2-(IF(AND(Dados!$A225&gt;=Imóveis!$Q$2,Dados!$A225&lt;=Imóveis!$T$2),Imóveis!$S$2-(DATEDIF(Imóveis!$Q$2,Dados!$A225,"m")),)))*(Imóveis!$N$2/Imóveis!$S$2)))*Imóveis!$P$2))))*IF(AND(Imóveis!$E$2&gt;0,Dados!$A225&gt;Imóveis!$E$2),0,1)</f>
        <v>0</v>
      </c>
      <c r="J225" s="18">
        <f>IF(Imóveis!$F$3="PRICE",IF(AND(Dados!$A225&gt;=Imóveis!$Q$3,Dados!$A225&lt;=Imóveis!$T$3),Imóveis!$U$3,0),IF((IF(AND(Dados!$A225&gt;=Imóveis!$Q$3,Dados!$A225&lt;=Imóveis!$T$3),Imóveis!$S$3-(DATEDIF(Imóveis!$Q$3,Dados!$A225,"m")),0))=0,0,((Imóveis!$N$3/Imóveis!$S$3)+((Imóveis!$N$3-((Imóveis!$S$3-(IF(AND(Dados!$A225&gt;=Imóveis!$Q$3,Dados!$A225&lt;=Imóveis!$T$3),Imóveis!$S$3-(DATEDIF(Imóveis!$Q$3,Dados!$A225,"m")),)))*(Imóveis!$N$3/Imóveis!$S$3)))*Imóveis!$P$3))))*IF(AND(Imóveis!$E$3&gt;0,Dados!$A225&gt;Imóveis!$E$3),0,1)</f>
        <v>0</v>
      </c>
      <c r="K225" s="18">
        <f>IF(Imóveis!$F$4="PRICE",IF(AND(Dados!$A225&gt;=Imóveis!$Q$4,Dados!$A225&lt;=Imóveis!$T$4),Imóveis!$U$4,0),IF((IF(AND(Dados!$A225&gt;=Imóveis!$Q$4,Dados!$A225&lt;=Imóveis!$T$4),Imóveis!$S$4-(DATEDIF(Imóveis!$Q$4,Dados!$A225,"m")),0))=0,0,((Imóveis!$N$4/Imóveis!$S$4)+((Imóveis!$N$4-((Imóveis!$S$4-(IF(AND(Dados!$A225&gt;=Imóveis!$Q$4,Dados!$A225&lt;=Imóveis!$T$4),Imóveis!$S$4-(DATEDIF(Imóveis!$Q$4,Dados!$A225,"m")),)))*(Imóveis!$N$4/Imóveis!$S$4)))*Imóveis!$P$4))))*IF(AND(Imóveis!$E$4&gt;0,Dados!$A225&gt;Imóveis!$E$4),0,1)</f>
        <v>0</v>
      </c>
      <c r="L225" s="18">
        <f>IF(Imóveis!$F$5="PRICE",IF(AND(Dados!$A225&gt;=Imóveis!$Q$5,Dados!$A225&lt;=Imóveis!$T$5),Imóveis!$U$5,0),IF((IF(AND(Dados!$A225&gt;=Imóveis!$Q$5,Dados!$A225&lt;=Imóveis!$T$5),Imóveis!$S$5-(DATEDIF(Imóveis!$Q$5,Dados!$A225,"m")),0))=0,0,((Imóveis!$N$5/Imóveis!$S$5)+((Imóveis!$N$5-((Imóveis!$S$5-(IF(AND(Dados!$A225 &gt;=Imóveis!$Q$5,Dados!$A225&lt;=Imóveis!$T$5),Imóveis!$S$5-(DATEDIF(Imóveis!$Q$5,Dados!$A225,"m")),)))*(Imóveis!$N$5/Imóveis!$S$5)))*Imóveis!$P$5))))*IF(AND(Imóveis!$E$5&gt;0,Dados!$A225&gt;Imóveis!$E$5),0,1)*Imóveis!$I$5</f>
        <v>0</v>
      </c>
      <c r="M225" s="18">
        <f>IF(Imóveis!$F$6="PRICE",IF(AND(Dados!$A225&gt;=Imóveis!$Q$6,Dados!$A225&lt;=Imóveis!$T$6),Imóveis!$U$6,0),IF((IF(AND(Dados!$A225&gt;=Imóveis!$Q$6,Dados!$A225&lt;=Imóveis!$T$6),Imóveis!$S$6-(DATEDIF(Imóveis!$Q$6,Dados!$A225,"m")),0))=0,0,((Imóveis!$N$6/Imóveis!$S$6)+((Imóveis!$N$6-((Imóveis!$S$6-(IF(AND(Dados!$A225&gt;=Imóveis!$Q$6,Dados!$A225&lt;=Imóveis!$T$6),Imóveis!$S$6-(DATEDIF(Imóveis!$Q$6,Dados!$A225,"m")),)))*(Imóveis!$N$6/Imóveis!$S$6)))*Imóveis!$P$6))))*IF(AND(Imóveis!$E$6&gt;0,Dados!$A225&gt;Imóveis!$E$6),0,1)*Imóveis!$I$6</f>
        <v>0</v>
      </c>
      <c r="N225" s="18">
        <f t="shared" si="29"/>
        <v>43000</v>
      </c>
      <c r="O225" s="18">
        <f>SUMIFS(Receitas!$F:$F,Receitas!$J:$J,"&lt;="&amp;$A225,Receitas!$L:$L,"&gt;="&amp;$A225,Receitas!$C:$C,O$1,Receitas!$M:$M,"Mensal")+SUMIFS(Receitas!$F:$F,Receitas!$J:$J,"&lt;="&amp;$A225,Receitas!$L:$L,"&gt;="&amp;$A225,Receitas!$C:$C,O$1,Receitas!$M:$M,$B225)</f>
        <v>50000</v>
      </c>
      <c r="P225" s="18">
        <f>SUMIFS(Receitas!$F:$F,Receitas!$J:$J,"&lt;="&amp;$A225,Receitas!$L:$L,"&gt;="&amp;$A225,Receitas!$C:$C,P$1,Receitas!$M:$M,"Mensal")+SUMIFS(Receitas!$F:$F,Receitas!$J:$J,"&lt;="&amp;$A225,Receitas!$L:$L,"&gt;="&amp;$A225,Receitas!$C:$C,P$1,Receitas!$M:$M,$B225)</f>
        <v>20000</v>
      </c>
      <c r="Q225" s="18">
        <f>SUMIFS(Receitas!$F:$F,Receitas!$J:$J,"&lt;="&amp;$A225,Receitas!$L:$L,"&gt;="&amp;$A225,Receitas!$C:$C,Q$1,Receitas!$M:$M,"Mensal")+SUMIFS(Receitas!$F:$F,Receitas!$J:$J,"&lt;="&amp;$A225,Receitas!$L:$L,"&gt;="&amp;$A225,Receitas!$C:$C,Q$1,Receitas!$M:$M,$B225)</f>
        <v>0</v>
      </c>
      <c r="R225" s="18" cm="1">
        <f t="array" ref="R225">(IF(AND(Membros!$F$2="Sim",A225&lt;=MAX(Membros!$E$2:$E$5)),Membros!K$2,IF(AND(A225&gt;=Membros!J$2,A225&lt;=MAX(Membros!$E$2:$E$5)),Membros!K$2,0))+IF(AND(Membros!$F$3="Sim",A225&lt;=MAX(Membros!$E$2:$E$5)),Membros!K$3,IF(AND(A225&gt;=Membros!J$3,A225&lt;=MAX(Membros!$E$2:$E$5)),Membros!K$3,0)))*IF(AND(COUNTIFS(Tabela3[Tipo],"Provedor",Tabela3[Simulação Seguro],"Sim")=2,A225&gt;=MAX(IF(Tabela3[Tipo]="Dependente",Tabela3[Expectativa de Vida (Data)]))),0,1)</f>
        <v>0</v>
      </c>
      <c r="S225" s="18">
        <f t="shared" si="30"/>
        <v>70000</v>
      </c>
      <c r="U225" s="18">
        <f t="shared" ca="1" si="33"/>
        <v>11750731.652192855</v>
      </c>
      <c r="V225" s="18">
        <f>SUMIF(Imóveis!E:E,Dados!A:A,Imóveis!Z:Z)-SUMIF(Imóveis!E:E,Dados!A:A,Imóveis!Y:Y)</f>
        <v>0</v>
      </c>
      <c r="W225" s="18">
        <f>-SUMIF(Projetos!N:N,A225,Projetos!F:F)</f>
        <v>0</v>
      </c>
      <c r="X225" s="18">
        <f t="shared" si="27"/>
        <v>27000</v>
      </c>
      <c r="Y225" s="26">
        <f ca="1">(U225*((Indicadores_Economicos!D$2+1)^(1/12)-1))</f>
        <v>38468.837679727731</v>
      </c>
      <c r="Z225" s="18">
        <f t="shared" ca="1" si="31"/>
        <v>11816200.489872582</v>
      </c>
      <c r="AA225" s="18">
        <f ca="1">Auxiliar_Projetos!E225</f>
        <v>8.1046048195154166E-10</v>
      </c>
      <c r="AB225" s="18">
        <f ca="1">Auxiliar_Projetos!K225</f>
        <v>6.2343113996272434E-10</v>
      </c>
      <c r="AC225" s="18">
        <f ca="1">IF(Z225-AA225-AB225&gt;Investimentos!$C$14,Investimentos!$C$14,IF(Z225-AA225-AB225&lt;Investimentos!$C$14,Z225-AA225-AB225,0))</f>
        <v>300000</v>
      </c>
      <c r="AD225" s="18">
        <f t="shared" ca="1" si="32"/>
        <v>11516200.489872582</v>
      </c>
      <c r="AE225" s="18"/>
    </row>
    <row r="226" spans="1:31" x14ac:dyDescent="0.2">
      <c r="A226" s="4">
        <v>52475</v>
      </c>
      <c r="B226" s="5" t="str">
        <f t="shared" si="28"/>
        <v>setembro</v>
      </c>
      <c r="C226" s="5" t="str">
        <f t="shared" si="34"/>
        <v>2043</v>
      </c>
      <c r="D226" s="5">
        <f>SUMIFS(Despesas!$F:$F,Despesas!$J:$J,"&lt;="&amp;$A226,Despesas!$L:$L,"&gt;="&amp;$A226,Despesas!$C:$C,D$1,Despesas!$M:$M,"Mensal")+SUMIFS(Despesas!$F:$F,Despesas!$J:$J,"&lt;="&amp;$A226,Despesas!$L:$L,"&gt;="&amp;$A226,Despesas!$C:$C,D$1,Despesas!$M:$M,$B226)</f>
        <v>23000</v>
      </c>
      <c r="E226" s="18">
        <f>SUMIFS(Despesas!$F:$F,Despesas!$J:$J,"&lt;="&amp;$A226,Despesas!$L:$L,"&gt;="&amp;$A226,Despesas!$C:$C,E$1,Despesas!$M:$M,"Mensal")+SUMIFS(Despesas!$F:$F,Despesas!$J:$J,"&lt;="&amp;$A226,Despesas!$L:$L,"&gt;="&amp;$A226,Despesas!$C:$C,E$1,Despesas!$M:$M,$B226)</f>
        <v>6000</v>
      </c>
      <c r="F226" s="5">
        <f>SUMIFS(Despesas!$F:$F,Despesas!$J:$J,"&lt;="&amp;$A226,Despesas!$L:$L,"&gt;="&amp;$A226,Despesas!$C:$C,F$1,Despesas!$M:$M,"Mensal")+SUMIFS(Despesas!$F:$F,Despesas!$J:$J,"&lt;="&amp;$A226,Despesas!$L:$L,"&gt;="&amp;$A226,Despesas!$C:$C,F$1,Despesas!$M:$M,$B226)</f>
        <v>13000</v>
      </c>
      <c r="G226" s="5">
        <f>SUMIFS(Despesas!$F:$F,Despesas!$J:$J,"&lt;="&amp;$A226,Despesas!$L:$L,"&gt;="&amp;$A226,Despesas!$C:$C,G$1,Despesas!$M:$M,"Mensal")+SUMIFS(Despesas!$F:$F,Despesas!$J:$J,"&lt;="&amp;$A226,Despesas!$L:$L,"&gt;="&amp;$A226,Despesas!$C:$C,G$1,Despesas!$M:$M,$B226)</f>
        <v>0</v>
      </c>
      <c r="H226" s="18">
        <f>SUMIFS(Despesas!$F:$F,Despesas!$J:$J,"&lt;="&amp;$A226,Despesas!$L:$L,"&gt;="&amp;$A226,Despesas!$C:$C,H$1,Despesas!$M:$M,"Mensal")+SUMIFS(Despesas!$F:$F,Despesas!$J:$J,"&lt;="&amp;$A226,Despesas!$L:$L,"&gt;="&amp;$A226,Despesas!$C:$C,H$1,Despesas!$M:$M,$B226)</f>
        <v>1000</v>
      </c>
      <c r="I226" s="18">
        <f>IF(Imóveis!$F$2="PRICE",IF(AND(Dados!$A226&gt;=Imóveis!$Q$2,Dados!$A226&lt;=Imóveis!$T$2),Imóveis!$U$2,0),IF((IF(AND(Dados!$A226&gt;=Imóveis!$Q$2,Dados!$A226&lt;=Imóveis!$T$2),Imóveis!$S$2-(DATEDIF(Imóveis!$Q$2,Dados!$A226,"m")),0))=0,0,((Imóveis!$N$2/Imóveis!$S$2)+((Imóveis!$N$2-((Imóveis!$S$2-(IF(AND(Dados!$A226&gt;=Imóveis!$Q$2,Dados!$A226&lt;=Imóveis!$T$2),Imóveis!$S$2-(DATEDIF(Imóveis!$Q$2,Dados!$A226,"m")),)))*(Imóveis!$N$2/Imóveis!$S$2)))*Imóveis!$P$2))))*IF(AND(Imóveis!$E$2&gt;0,Dados!$A226&gt;Imóveis!$E$2),0,1)</f>
        <v>0</v>
      </c>
      <c r="J226" s="18">
        <f>IF(Imóveis!$F$3="PRICE",IF(AND(Dados!$A226&gt;=Imóveis!$Q$3,Dados!$A226&lt;=Imóveis!$T$3),Imóveis!$U$3,0),IF((IF(AND(Dados!$A226&gt;=Imóveis!$Q$3,Dados!$A226&lt;=Imóveis!$T$3),Imóveis!$S$3-(DATEDIF(Imóveis!$Q$3,Dados!$A226,"m")),0))=0,0,((Imóveis!$N$3/Imóveis!$S$3)+((Imóveis!$N$3-((Imóveis!$S$3-(IF(AND(Dados!$A226&gt;=Imóveis!$Q$3,Dados!$A226&lt;=Imóveis!$T$3),Imóveis!$S$3-(DATEDIF(Imóveis!$Q$3,Dados!$A226,"m")),)))*(Imóveis!$N$3/Imóveis!$S$3)))*Imóveis!$P$3))))*IF(AND(Imóveis!$E$3&gt;0,Dados!$A226&gt;Imóveis!$E$3),0,1)</f>
        <v>0</v>
      </c>
      <c r="K226" s="18">
        <f>IF(Imóveis!$F$4="PRICE",IF(AND(Dados!$A226&gt;=Imóveis!$Q$4,Dados!$A226&lt;=Imóveis!$T$4),Imóveis!$U$4,0),IF((IF(AND(Dados!$A226&gt;=Imóveis!$Q$4,Dados!$A226&lt;=Imóveis!$T$4),Imóveis!$S$4-(DATEDIF(Imóveis!$Q$4,Dados!$A226,"m")),0))=0,0,((Imóveis!$N$4/Imóveis!$S$4)+((Imóveis!$N$4-((Imóveis!$S$4-(IF(AND(Dados!$A226&gt;=Imóveis!$Q$4,Dados!$A226&lt;=Imóveis!$T$4),Imóveis!$S$4-(DATEDIF(Imóveis!$Q$4,Dados!$A226,"m")),)))*(Imóveis!$N$4/Imóveis!$S$4)))*Imóveis!$P$4))))*IF(AND(Imóveis!$E$4&gt;0,Dados!$A226&gt;Imóveis!$E$4),0,1)</f>
        <v>0</v>
      </c>
      <c r="L226" s="18">
        <f>IF(Imóveis!$F$5="PRICE",IF(AND(Dados!$A226&gt;=Imóveis!$Q$5,Dados!$A226&lt;=Imóveis!$T$5),Imóveis!$U$5,0),IF((IF(AND(Dados!$A226&gt;=Imóveis!$Q$5,Dados!$A226&lt;=Imóveis!$T$5),Imóveis!$S$5-(DATEDIF(Imóveis!$Q$5,Dados!$A226,"m")),0))=0,0,((Imóveis!$N$5/Imóveis!$S$5)+((Imóveis!$N$5-((Imóveis!$S$5-(IF(AND(Dados!$A226 &gt;=Imóveis!$Q$5,Dados!$A226&lt;=Imóveis!$T$5),Imóveis!$S$5-(DATEDIF(Imóveis!$Q$5,Dados!$A226,"m")),)))*(Imóveis!$N$5/Imóveis!$S$5)))*Imóveis!$P$5))))*IF(AND(Imóveis!$E$5&gt;0,Dados!$A226&gt;Imóveis!$E$5),0,1)*Imóveis!$I$5</f>
        <v>0</v>
      </c>
      <c r="M226" s="18">
        <f>IF(Imóveis!$F$6="PRICE",IF(AND(Dados!$A226&gt;=Imóveis!$Q$6,Dados!$A226&lt;=Imóveis!$T$6),Imóveis!$U$6,0),IF((IF(AND(Dados!$A226&gt;=Imóveis!$Q$6,Dados!$A226&lt;=Imóveis!$T$6),Imóveis!$S$6-(DATEDIF(Imóveis!$Q$6,Dados!$A226,"m")),0))=0,0,((Imóveis!$N$6/Imóveis!$S$6)+((Imóveis!$N$6-((Imóveis!$S$6-(IF(AND(Dados!$A226&gt;=Imóveis!$Q$6,Dados!$A226&lt;=Imóveis!$T$6),Imóveis!$S$6-(DATEDIF(Imóveis!$Q$6,Dados!$A226,"m")),)))*(Imóveis!$N$6/Imóveis!$S$6)))*Imóveis!$P$6))))*IF(AND(Imóveis!$E$6&gt;0,Dados!$A226&gt;Imóveis!$E$6),0,1)*Imóveis!$I$6</f>
        <v>0</v>
      </c>
      <c r="N226" s="18">
        <f t="shared" si="29"/>
        <v>43000</v>
      </c>
      <c r="O226" s="18">
        <f>SUMIFS(Receitas!$F:$F,Receitas!$J:$J,"&lt;="&amp;$A226,Receitas!$L:$L,"&gt;="&amp;$A226,Receitas!$C:$C,O$1,Receitas!$M:$M,"Mensal")+SUMIFS(Receitas!$F:$F,Receitas!$J:$J,"&lt;="&amp;$A226,Receitas!$L:$L,"&gt;="&amp;$A226,Receitas!$C:$C,O$1,Receitas!$M:$M,$B226)</f>
        <v>50000</v>
      </c>
      <c r="P226" s="18">
        <f>SUMIFS(Receitas!$F:$F,Receitas!$J:$J,"&lt;="&amp;$A226,Receitas!$L:$L,"&gt;="&amp;$A226,Receitas!$C:$C,P$1,Receitas!$M:$M,"Mensal")+SUMIFS(Receitas!$F:$F,Receitas!$J:$J,"&lt;="&amp;$A226,Receitas!$L:$L,"&gt;="&amp;$A226,Receitas!$C:$C,P$1,Receitas!$M:$M,$B226)</f>
        <v>20000</v>
      </c>
      <c r="Q226" s="18">
        <f>SUMIFS(Receitas!$F:$F,Receitas!$J:$J,"&lt;="&amp;$A226,Receitas!$L:$L,"&gt;="&amp;$A226,Receitas!$C:$C,Q$1,Receitas!$M:$M,"Mensal")+SUMIFS(Receitas!$F:$F,Receitas!$J:$J,"&lt;="&amp;$A226,Receitas!$L:$L,"&gt;="&amp;$A226,Receitas!$C:$C,Q$1,Receitas!$M:$M,$B226)</f>
        <v>0</v>
      </c>
      <c r="R226" s="18" cm="1">
        <f t="array" ref="R226">(IF(AND(Membros!$F$2="Sim",A226&lt;=MAX(Membros!$E$2:$E$5)),Membros!K$2,IF(AND(A226&gt;=Membros!J$2,A226&lt;=MAX(Membros!$E$2:$E$5)),Membros!K$2,0))+IF(AND(Membros!$F$3="Sim",A226&lt;=MAX(Membros!$E$2:$E$5)),Membros!K$3,IF(AND(A226&gt;=Membros!J$3,A226&lt;=MAX(Membros!$E$2:$E$5)),Membros!K$3,0)))*IF(AND(COUNTIFS(Tabela3[Tipo],"Provedor",Tabela3[Simulação Seguro],"Sim")=2,A226&gt;=MAX(IF(Tabela3[Tipo]="Dependente",Tabela3[Expectativa de Vida (Data)]))),0,1)</f>
        <v>0</v>
      </c>
      <c r="S226" s="18">
        <f t="shared" si="30"/>
        <v>70000</v>
      </c>
      <c r="U226" s="18">
        <f t="shared" ca="1" si="33"/>
        <v>11816200.489872582</v>
      </c>
      <c r="V226" s="18">
        <f>SUMIF(Imóveis!E:E,Dados!A:A,Imóveis!Z:Z)-SUMIF(Imóveis!E:E,Dados!A:A,Imóveis!Y:Y)</f>
        <v>0</v>
      </c>
      <c r="W226" s="18">
        <f>-SUMIF(Projetos!N:N,A226,Projetos!F:F)</f>
        <v>0</v>
      </c>
      <c r="X226" s="18">
        <f t="shared" si="27"/>
        <v>27000</v>
      </c>
      <c r="Y226" s="26">
        <f ca="1">(U226*((Indicadores_Economicos!D$2+1)^(1/12)-1))</f>
        <v>38683.165618134175</v>
      </c>
      <c r="Z226" s="18">
        <f t="shared" ca="1" si="31"/>
        <v>11881883.655490717</v>
      </c>
      <c r="AA226" s="18">
        <f ca="1">Auxiliar_Projetos!E226</f>
        <v>8.1311371867320656E-10</v>
      </c>
      <c r="AB226" s="18">
        <f ca="1">Auxiliar_Projetos!K226</f>
        <v>6.2547209128708199E-10</v>
      </c>
      <c r="AC226" s="18">
        <f ca="1">IF(Z226-AA226-AB226&gt;Investimentos!$C$14,Investimentos!$C$14,IF(Z226-AA226-AB226&lt;Investimentos!$C$14,Z226-AA226-AB226,0))</f>
        <v>300000</v>
      </c>
      <c r="AD226" s="18">
        <f t="shared" ca="1" si="32"/>
        <v>11581883.655490717</v>
      </c>
      <c r="AE226" s="18"/>
    </row>
    <row r="227" spans="1:31" x14ac:dyDescent="0.2">
      <c r="A227" s="4">
        <v>52505</v>
      </c>
      <c r="B227" s="5" t="str">
        <f t="shared" si="28"/>
        <v>outubro</v>
      </c>
      <c r="C227" s="5" t="str">
        <f t="shared" si="34"/>
        <v>2043</v>
      </c>
      <c r="D227" s="5">
        <f>SUMIFS(Despesas!$F:$F,Despesas!$J:$J,"&lt;="&amp;$A227,Despesas!$L:$L,"&gt;="&amp;$A227,Despesas!$C:$C,D$1,Despesas!$M:$M,"Mensal")+SUMIFS(Despesas!$F:$F,Despesas!$J:$J,"&lt;="&amp;$A227,Despesas!$L:$L,"&gt;="&amp;$A227,Despesas!$C:$C,D$1,Despesas!$M:$M,$B227)</f>
        <v>23000</v>
      </c>
      <c r="E227" s="18">
        <f>SUMIFS(Despesas!$F:$F,Despesas!$J:$J,"&lt;="&amp;$A227,Despesas!$L:$L,"&gt;="&amp;$A227,Despesas!$C:$C,E$1,Despesas!$M:$M,"Mensal")+SUMIFS(Despesas!$F:$F,Despesas!$J:$J,"&lt;="&amp;$A227,Despesas!$L:$L,"&gt;="&amp;$A227,Despesas!$C:$C,E$1,Despesas!$M:$M,$B227)</f>
        <v>6000</v>
      </c>
      <c r="F227" s="5">
        <f>SUMIFS(Despesas!$F:$F,Despesas!$J:$J,"&lt;="&amp;$A227,Despesas!$L:$L,"&gt;="&amp;$A227,Despesas!$C:$C,F$1,Despesas!$M:$M,"Mensal")+SUMIFS(Despesas!$F:$F,Despesas!$J:$J,"&lt;="&amp;$A227,Despesas!$L:$L,"&gt;="&amp;$A227,Despesas!$C:$C,F$1,Despesas!$M:$M,$B227)</f>
        <v>13000</v>
      </c>
      <c r="G227" s="5">
        <f>SUMIFS(Despesas!$F:$F,Despesas!$J:$J,"&lt;="&amp;$A227,Despesas!$L:$L,"&gt;="&amp;$A227,Despesas!$C:$C,G$1,Despesas!$M:$M,"Mensal")+SUMIFS(Despesas!$F:$F,Despesas!$J:$J,"&lt;="&amp;$A227,Despesas!$L:$L,"&gt;="&amp;$A227,Despesas!$C:$C,G$1,Despesas!$M:$M,$B227)</f>
        <v>0</v>
      </c>
      <c r="H227" s="18">
        <f>SUMIFS(Despesas!$F:$F,Despesas!$J:$J,"&lt;="&amp;$A227,Despesas!$L:$L,"&gt;="&amp;$A227,Despesas!$C:$C,H$1,Despesas!$M:$M,"Mensal")+SUMIFS(Despesas!$F:$F,Despesas!$J:$J,"&lt;="&amp;$A227,Despesas!$L:$L,"&gt;="&amp;$A227,Despesas!$C:$C,H$1,Despesas!$M:$M,$B227)</f>
        <v>1000</v>
      </c>
      <c r="I227" s="18">
        <f>IF(Imóveis!$F$2="PRICE",IF(AND(Dados!$A227&gt;=Imóveis!$Q$2,Dados!$A227&lt;=Imóveis!$T$2),Imóveis!$U$2,0),IF((IF(AND(Dados!$A227&gt;=Imóveis!$Q$2,Dados!$A227&lt;=Imóveis!$T$2),Imóveis!$S$2-(DATEDIF(Imóveis!$Q$2,Dados!$A227,"m")),0))=0,0,((Imóveis!$N$2/Imóveis!$S$2)+((Imóveis!$N$2-((Imóveis!$S$2-(IF(AND(Dados!$A227&gt;=Imóveis!$Q$2,Dados!$A227&lt;=Imóveis!$T$2),Imóveis!$S$2-(DATEDIF(Imóveis!$Q$2,Dados!$A227,"m")),)))*(Imóveis!$N$2/Imóveis!$S$2)))*Imóveis!$P$2))))*IF(AND(Imóveis!$E$2&gt;0,Dados!$A227&gt;Imóveis!$E$2),0,1)</f>
        <v>0</v>
      </c>
      <c r="J227" s="18">
        <f>IF(Imóveis!$F$3="PRICE",IF(AND(Dados!$A227&gt;=Imóveis!$Q$3,Dados!$A227&lt;=Imóveis!$T$3),Imóveis!$U$3,0),IF((IF(AND(Dados!$A227&gt;=Imóveis!$Q$3,Dados!$A227&lt;=Imóveis!$T$3),Imóveis!$S$3-(DATEDIF(Imóveis!$Q$3,Dados!$A227,"m")),0))=0,0,((Imóveis!$N$3/Imóveis!$S$3)+((Imóveis!$N$3-((Imóveis!$S$3-(IF(AND(Dados!$A227&gt;=Imóveis!$Q$3,Dados!$A227&lt;=Imóveis!$T$3),Imóveis!$S$3-(DATEDIF(Imóveis!$Q$3,Dados!$A227,"m")),)))*(Imóveis!$N$3/Imóveis!$S$3)))*Imóveis!$P$3))))*IF(AND(Imóveis!$E$3&gt;0,Dados!$A227&gt;Imóveis!$E$3),0,1)</f>
        <v>0</v>
      </c>
      <c r="K227" s="18">
        <f>IF(Imóveis!$F$4="PRICE",IF(AND(Dados!$A227&gt;=Imóveis!$Q$4,Dados!$A227&lt;=Imóveis!$T$4),Imóveis!$U$4,0),IF((IF(AND(Dados!$A227&gt;=Imóveis!$Q$4,Dados!$A227&lt;=Imóveis!$T$4),Imóveis!$S$4-(DATEDIF(Imóveis!$Q$4,Dados!$A227,"m")),0))=0,0,((Imóveis!$N$4/Imóveis!$S$4)+((Imóveis!$N$4-((Imóveis!$S$4-(IF(AND(Dados!$A227&gt;=Imóveis!$Q$4,Dados!$A227&lt;=Imóveis!$T$4),Imóveis!$S$4-(DATEDIF(Imóveis!$Q$4,Dados!$A227,"m")),)))*(Imóveis!$N$4/Imóveis!$S$4)))*Imóveis!$P$4))))*IF(AND(Imóveis!$E$4&gt;0,Dados!$A227&gt;Imóveis!$E$4),0,1)</f>
        <v>0</v>
      </c>
      <c r="L227" s="18">
        <f>IF(Imóveis!$F$5="PRICE",IF(AND(Dados!$A227&gt;=Imóveis!$Q$5,Dados!$A227&lt;=Imóveis!$T$5),Imóveis!$U$5,0),IF((IF(AND(Dados!$A227&gt;=Imóveis!$Q$5,Dados!$A227&lt;=Imóveis!$T$5),Imóveis!$S$5-(DATEDIF(Imóveis!$Q$5,Dados!$A227,"m")),0))=0,0,((Imóveis!$N$5/Imóveis!$S$5)+((Imóveis!$N$5-((Imóveis!$S$5-(IF(AND(Dados!$A227 &gt;=Imóveis!$Q$5,Dados!$A227&lt;=Imóveis!$T$5),Imóveis!$S$5-(DATEDIF(Imóveis!$Q$5,Dados!$A227,"m")),)))*(Imóveis!$N$5/Imóveis!$S$5)))*Imóveis!$P$5))))*IF(AND(Imóveis!$E$5&gt;0,Dados!$A227&gt;Imóveis!$E$5),0,1)*Imóveis!$I$5</f>
        <v>0</v>
      </c>
      <c r="M227" s="18">
        <f>IF(Imóveis!$F$6="PRICE",IF(AND(Dados!$A227&gt;=Imóveis!$Q$6,Dados!$A227&lt;=Imóveis!$T$6),Imóveis!$U$6,0),IF((IF(AND(Dados!$A227&gt;=Imóveis!$Q$6,Dados!$A227&lt;=Imóveis!$T$6),Imóveis!$S$6-(DATEDIF(Imóveis!$Q$6,Dados!$A227,"m")),0))=0,0,((Imóveis!$N$6/Imóveis!$S$6)+((Imóveis!$N$6-((Imóveis!$S$6-(IF(AND(Dados!$A227&gt;=Imóveis!$Q$6,Dados!$A227&lt;=Imóveis!$T$6),Imóveis!$S$6-(DATEDIF(Imóveis!$Q$6,Dados!$A227,"m")),)))*(Imóveis!$N$6/Imóveis!$S$6)))*Imóveis!$P$6))))*IF(AND(Imóveis!$E$6&gt;0,Dados!$A227&gt;Imóveis!$E$6),0,1)*Imóveis!$I$6</f>
        <v>0</v>
      </c>
      <c r="N227" s="18">
        <f t="shared" si="29"/>
        <v>43000</v>
      </c>
      <c r="O227" s="18">
        <f>SUMIFS(Receitas!$F:$F,Receitas!$J:$J,"&lt;="&amp;$A227,Receitas!$L:$L,"&gt;="&amp;$A227,Receitas!$C:$C,O$1,Receitas!$M:$M,"Mensal")+SUMIFS(Receitas!$F:$F,Receitas!$J:$J,"&lt;="&amp;$A227,Receitas!$L:$L,"&gt;="&amp;$A227,Receitas!$C:$C,O$1,Receitas!$M:$M,$B227)</f>
        <v>50000</v>
      </c>
      <c r="P227" s="18">
        <f>SUMIFS(Receitas!$F:$F,Receitas!$J:$J,"&lt;="&amp;$A227,Receitas!$L:$L,"&gt;="&amp;$A227,Receitas!$C:$C,P$1,Receitas!$M:$M,"Mensal")+SUMIFS(Receitas!$F:$F,Receitas!$J:$J,"&lt;="&amp;$A227,Receitas!$L:$L,"&gt;="&amp;$A227,Receitas!$C:$C,P$1,Receitas!$M:$M,$B227)</f>
        <v>20000</v>
      </c>
      <c r="Q227" s="18">
        <f>SUMIFS(Receitas!$F:$F,Receitas!$J:$J,"&lt;="&amp;$A227,Receitas!$L:$L,"&gt;="&amp;$A227,Receitas!$C:$C,Q$1,Receitas!$M:$M,"Mensal")+SUMIFS(Receitas!$F:$F,Receitas!$J:$J,"&lt;="&amp;$A227,Receitas!$L:$L,"&gt;="&amp;$A227,Receitas!$C:$C,Q$1,Receitas!$M:$M,$B227)</f>
        <v>0</v>
      </c>
      <c r="R227" s="18" cm="1">
        <f t="array" ref="R227">(IF(AND(Membros!$F$2="Sim",A227&lt;=MAX(Membros!$E$2:$E$5)),Membros!K$2,IF(AND(A227&gt;=Membros!J$2,A227&lt;=MAX(Membros!$E$2:$E$5)),Membros!K$2,0))+IF(AND(Membros!$F$3="Sim",A227&lt;=MAX(Membros!$E$2:$E$5)),Membros!K$3,IF(AND(A227&gt;=Membros!J$3,A227&lt;=MAX(Membros!$E$2:$E$5)),Membros!K$3,0)))*IF(AND(COUNTIFS(Tabela3[Tipo],"Provedor",Tabela3[Simulação Seguro],"Sim")=2,A227&gt;=MAX(IF(Tabela3[Tipo]="Dependente",Tabela3[Expectativa de Vida (Data)]))),0,1)</f>
        <v>0</v>
      </c>
      <c r="S227" s="18">
        <f t="shared" si="30"/>
        <v>70000</v>
      </c>
      <c r="U227" s="18">
        <f t="shared" ca="1" si="33"/>
        <v>11881883.655490717</v>
      </c>
      <c r="V227" s="18">
        <f>SUMIF(Imóveis!E:E,Dados!A:A,Imóveis!Z:Z)-SUMIF(Imóveis!E:E,Dados!A:A,Imóveis!Y:Y)</f>
        <v>0</v>
      </c>
      <c r="W227" s="18">
        <f>-SUMIF(Projetos!N:N,A227,Projetos!F:F)</f>
        <v>0</v>
      </c>
      <c r="X227" s="18">
        <f t="shared" si="27"/>
        <v>27000</v>
      </c>
      <c r="Y227" s="26">
        <f ca="1">(U227*((Indicadores_Economicos!D$2+1)^(1/12)-1))</f>
        <v>38898.195210439022</v>
      </c>
      <c r="Z227" s="18">
        <f t="shared" ca="1" si="31"/>
        <v>11947781.850701155</v>
      </c>
      <c r="AA227" s="18">
        <f ca="1">Auxiliar_Projetos!E227</f>
        <v>8.1577564140147874E-10</v>
      </c>
      <c r="AB227" s="18">
        <f ca="1">Auxiliar_Projetos!K227</f>
        <v>6.2751972415498365E-10</v>
      </c>
      <c r="AC227" s="18">
        <f ca="1">IF(Z227-AA227-AB227&gt;Investimentos!$C$14,Investimentos!$C$14,IF(Z227-AA227-AB227&lt;Investimentos!$C$14,Z227-AA227-AB227,0))</f>
        <v>300000</v>
      </c>
      <c r="AD227" s="18">
        <f t="shared" ca="1" si="32"/>
        <v>11647781.850701155</v>
      </c>
      <c r="AE227" s="18"/>
    </row>
    <row r="228" spans="1:31" x14ac:dyDescent="0.2">
      <c r="A228" s="4">
        <v>52536</v>
      </c>
      <c r="B228" s="5" t="str">
        <f t="shared" si="28"/>
        <v>novembro</v>
      </c>
      <c r="C228" s="5" t="str">
        <f t="shared" si="34"/>
        <v>2043</v>
      </c>
      <c r="D228" s="5">
        <f>SUMIFS(Despesas!$F:$F,Despesas!$J:$J,"&lt;="&amp;$A228,Despesas!$L:$L,"&gt;="&amp;$A228,Despesas!$C:$C,D$1,Despesas!$M:$M,"Mensal")+SUMIFS(Despesas!$F:$F,Despesas!$J:$J,"&lt;="&amp;$A228,Despesas!$L:$L,"&gt;="&amp;$A228,Despesas!$C:$C,D$1,Despesas!$M:$M,$B228)</f>
        <v>23000</v>
      </c>
      <c r="E228" s="18">
        <f>SUMIFS(Despesas!$F:$F,Despesas!$J:$J,"&lt;="&amp;$A228,Despesas!$L:$L,"&gt;="&amp;$A228,Despesas!$C:$C,E$1,Despesas!$M:$M,"Mensal")+SUMIFS(Despesas!$F:$F,Despesas!$J:$J,"&lt;="&amp;$A228,Despesas!$L:$L,"&gt;="&amp;$A228,Despesas!$C:$C,E$1,Despesas!$M:$M,$B228)</f>
        <v>6000</v>
      </c>
      <c r="F228" s="5">
        <f>SUMIFS(Despesas!$F:$F,Despesas!$J:$J,"&lt;="&amp;$A228,Despesas!$L:$L,"&gt;="&amp;$A228,Despesas!$C:$C,F$1,Despesas!$M:$M,"Mensal")+SUMIFS(Despesas!$F:$F,Despesas!$J:$J,"&lt;="&amp;$A228,Despesas!$L:$L,"&gt;="&amp;$A228,Despesas!$C:$C,F$1,Despesas!$M:$M,$B228)</f>
        <v>13000</v>
      </c>
      <c r="G228" s="5">
        <f>SUMIFS(Despesas!$F:$F,Despesas!$J:$J,"&lt;="&amp;$A228,Despesas!$L:$L,"&gt;="&amp;$A228,Despesas!$C:$C,G$1,Despesas!$M:$M,"Mensal")+SUMIFS(Despesas!$F:$F,Despesas!$J:$J,"&lt;="&amp;$A228,Despesas!$L:$L,"&gt;="&amp;$A228,Despesas!$C:$C,G$1,Despesas!$M:$M,$B228)</f>
        <v>0</v>
      </c>
      <c r="H228" s="18">
        <f>SUMIFS(Despesas!$F:$F,Despesas!$J:$J,"&lt;="&amp;$A228,Despesas!$L:$L,"&gt;="&amp;$A228,Despesas!$C:$C,H$1,Despesas!$M:$M,"Mensal")+SUMIFS(Despesas!$F:$F,Despesas!$J:$J,"&lt;="&amp;$A228,Despesas!$L:$L,"&gt;="&amp;$A228,Despesas!$C:$C,H$1,Despesas!$M:$M,$B228)</f>
        <v>1000</v>
      </c>
      <c r="I228" s="18">
        <f>IF(Imóveis!$F$2="PRICE",IF(AND(Dados!$A228&gt;=Imóveis!$Q$2,Dados!$A228&lt;=Imóveis!$T$2),Imóveis!$U$2,0),IF((IF(AND(Dados!$A228&gt;=Imóveis!$Q$2,Dados!$A228&lt;=Imóveis!$T$2),Imóveis!$S$2-(DATEDIF(Imóveis!$Q$2,Dados!$A228,"m")),0))=0,0,((Imóveis!$N$2/Imóveis!$S$2)+((Imóveis!$N$2-((Imóveis!$S$2-(IF(AND(Dados!$A228&gt;=Imóveis!$Q$2,Dados!$A228&lt;=Imóveis!$T$2),Imóveis!$S$2-(DATEDIF(Imóveis!$Q$2,Dados!$A228,"m")),)))*(Imóveis!$N$2/Imóveis!$S$2)))*Imóveis!$P$2))))*IF(AND(Imóveis!$E$2&gt;0,Dados!$A228&gt;Imóveis!$E$2),0,1)</f>
        <v>0</v>
      </c>
      <c r="J228" s="18">
        <f>IF(Imóveis!$F$3="PRICE",IF(AND(Dados!$A228&gt;=Imóveis!$Q$3,Dados!$A228&lt;=Imóveis!$T$3),Imóveis!$U$3,0),IF((IF(AND(Dados!$A228&gt;=Imóveis!$Q$3,Dados!$A228&lt;=Imóveis!$T$3),Imóveis!$S$3-(DATEDIF(Imóveis!$Q$3,Dados!$A228,"m")),0))=0,0,((Imóveis!$N$3/Imóveis!$S$3)+((Imóveis!$N$3-((Imóveis!$S$3-(IF(AND(Dados!$A228&gt;=Imóveis!$Q$3,Dados!$A228&lt;=Imóveis!$T$3),Imóveis!$S$3-(DATEDIF(Imóveis!$Q$3,Dados!$A228,"m")),)))*(Imóveis!$N$3/Imóveis!$S$3)))*Imóveis!$P$3))))*IF(AND(Imóveis!$E$3&gt;0,Dados!$A228&gt;Imóveis!$E$3),0,1)</f>
        <v>0</v>
      </c>
      <c r="K228" s="18">
        <f>IF(Imóveis!$F$4="PRICE",IF(AND(Dados!$A228&gt;=Imóveis!$Q$4,Dados!$A228&lt;=Imóveis!$T$4),Imóveis!$U$4,0),IF((IF(AND(Dados!$A228&gt;=Imóveis!$Q$4,Dados!$A228&lt;=Imóveis!$T$4),Imóveis!$S$4-(DATEDIF(Imóveis!$Q$4,Dados!$A228,"m")),0))=0,0,((Imóveis!$N$4/Imóveis!$S$4)+((Imóveis!$N$4-((Imóveis!$S$4-(IF(AND(Dados!$A228&gt;=Imóveis!$Q$4,Dados!$A228&lt;=Imóveis!$T$4),Imóveis!$S$4-(DATEDIF(Imóveis!$Q$4,Dados!$A228,"m")),)))*(Imóveis!$N$4/Imóveis!$S$4)))*Imóveis!$P$4))))*IF(AND(Imóveis!$E$4&gt;0,Dados!$A228&gt;Imóveis!$E$4),0,1)</f>
        <v>0</v>
      </c>
      <c r="L228" s="18">
        <f>IF(Imóveis!$F$5="PRICE",IF(AND(Dados!$A228&gt;=Imóveis!$Q$5,Dados!$A228&lt;=Imóveis!$T$5),Imóveis!$U$5,0),IF((IF(AND(Dados!$A228&gt;=Imóveis!$Q$5,Dados!$A228&lt;=Imóveis!$T$5),Imóveis!$S$5-(DATEDIF(Imóveis!$Q$5,Dados!$A228,"m")),0))=0,0,((Imóveis!$N$5/Imóveis!$S$5)+((Imóveis!$N$5-((Imóveis!$S$5-(IF(AND(Dados!$A228 &gt;=Imóveis!$Q$5,Dados!$A228&lt;=Imóveis!$T$5),Imóveis!$S$5-(DATEDIF(Imóveis!$Q$5,Dados!$A228,"m")),)))*(Imóveis!$N$5/Imóveis!$S$5)))*Imóveis!$P$5))))*IF(AND(Imóveis!$E$5&gt;0,Dados!$A228&gt;Imóveis!$E$5),0,1)*Imóveis!$I$5</f>
        <v>0</v>
      </c>
      <c r="M228" s="18">
        <f>IF(Imóveis!$F$6="PRICE",IF(AND(Dados!$A228&gt;=Imóveis!$Q$6,Dados!$A228&lt;=Imóveis!$T$6),Imóveis!$U$6,0),IF((IF(AND(Dados!$A228&gt;=Imóveis!$Q$6,Dados!$A228&lt;=Imóveis!$T$6),Imóveis!$S$6-(DATEDIF(Imóveis!$Q$6,Dados!$A228,"m")),0))=0,0,((Imóveis!$N$6/Imóveis!$S$6)+((Imóveis!$N$6-((Imóveis!$S$6-(IF(AND(Dados!$A228&gt;=Imóveis!$Q$6,Dados!$A228&lt;=Imóveis!$T$6),Imóveis!$S$6-(DATEDIF(Imóveis!$Q$6,Dados!$A228,"m")),)))*(Imóveis!$N$6/Imóveis!$S$6)))*Imóveis!$P$6))))*IF(AND(Imóveis!$E$6&gt;0,Dados!$A228&gt;Imóveis!$E$6),0,1)*Imóveis!$I$6</f>
        <v>0</v>
      </c>
      <c r="N228" s="18">
        <f t="shared" si="29"/>
        <v>43000</v>
      </c>
      <c r="O228" s="18">
        <f>SUMIFS(Receitas!$F:$F,Receitas!$J:$J,"&lt;="&amp;$A228,Receitas!$L:$L,"&gt;="&amp;$A228,Receitas!$C:$C,O$1,Receitas!$M:$M,"Mensal")+SUMIFS(Receitas!$F:$F,Receitas!$J:$J,"&lt;="&amp;$A228,Receitas!$L:$L,"&gt;="&amp;$A228,Receitas!$C:$C,O$1,Receitas!$M:$M,$B228)</f>
        <v>50000</v>
      </c>
      <c r="P228" s="18">
        <f>SUMIFS(Receitas!$F:$F,Receitas!$J:$J,"&lt;="&amp;$A228,Receitas!$L:$L,"&gt;="&amp;$A228,Receitas!$C:$C,P$1,Receitas!$M:$M,"Mensal")+SUMIFS(Receitas!$F:$F,Receitas!$J:$J,"&lt;="&amp;$A228,Receitas!$L:$L,"&gt;="&amp;$A228,Receitas!$C:$C,P$1,Receitas!$M:$M,$B228)</f>
        <v>86666.666666666672</v>
      </c>
      <c r="Q228" s="18">
        <f>SUMIFS(Receitas!$F:$F,Receitas!$J:$J,"&lt;="&amp;$A228,Receitas!$L:$L,"&gt;="&amp;$A228,Receitas!$C:$C,Q$1,Receitas!$M:$M,"Mensal")+SUMIFS(Receitas!$F:$F,Receitas!$J:$J,"&lt;="&amp;$A228,Receitas!$L:$L,"&gt;="&amp;$A228,Receitas!$C:$C,Q$1,Receitas!$M:$M,$B228)</f>
        <v>0</v>
      </c>
      <c r="R228" s="18" cm="1">
        <f t="array" ref="R228">(IF(AND(Membros!$F$2="Sim",A228&lt;=MAX(Membros!$E$2:$E$5)),Membros!K$2,IF(AND(A228&gt;=Membros!J$2,A228&lt;=MAX(Membros!$E$2:$E$5)),Membros!K$2,0))+IF(AND(Membros!$F$3="Sim",A228&lt;=MAX(Membros!$E$2:$E$5)),Membros!K$3,IF(AND(A228&gt;=Membros!J$3,A228&lt;=MAX(Membros!$E$2:$E$5)),Membros!K$3,0)))*IF(AND(COUNTIFS(Tabela3[Tipo],"Provedor",Tabela3[Simulação Seguro],"Sim")=2,A228&gt;=MAX(IF(Tabela3[Tipo]="Dependente",Tabela3[Expectativa de Vida (Data)]))),0,1)</f>
        <v>0</v>
      </c>
      <c r="S228" s="18">
        <f t="shared" si="30"/>
        <v>136666.66666666669</v>
      </c>
      <c r="U228" s="18">
        <f t="shared" ca="1" si="33"/>
        <v>11947781.850701155</v>
      </c>
      <c r="V228" s="18">
        <f>SUMIF(Imóveis!E:E,Dados!A:A,Imóveis!Z:Z)-SUMIF(Imóveis!E:E,Dados!A:A,Imóveis!Y:Y)</f>
        <v>0</v>
      </c>
      <c r="W228" s="18">
        <f>-SUMIF(Projetos!N:N,A228,Projetos!F:F)</f>
        <v>0</v>
      </c>
      <c r="X228" s="18">
        <f t="shared" si="27"/>
        <v>93666.666666666686</v>
      </c>
      <c r="Y228" s="26">
        <f ca="1">(U228*((Indicadores_Economicos!D$2+1)^(1/12)-1))</f>
        <v>39113.92875367454</v>
      </c>
      <c r="Z228" s="18">
        <f t="shared" ca="1" si="31"/>
        <v>12080562.446121495</v>
      </c>
      <c r="AA228" s="18">
        <f ca="1">Auxiliar_Projetos!E228</f>
        <v>8.1844627857208358E-10</v>
      </c>
      <c r="AB228" s="18">
        <f ca="1">Auxiliar_Projetos!K228</f>
        <v>6.2957406044006435E-10</v>
      </c>
      <c r="AC228" s="18">
        <f ca="1">IF(Z228-AA228-AB228&gt;Investimentos!$C$14,Investimentos!$C$14,IF(Z228-AA228-AB228&lt;Investimentos!$C$14,Z228-AA228-AB228,0))</f>
        <v>300000</v>
      </c>
      <c r="AD228" s="18">
        <f t="shared" ca="1" si="32"/>
        <v>11780562.446121495</v>
      </c>
      <c r="AE228" s="18"/>
    </row>
    <row r="229" spans="1:31" x14ac:dyDescent="0.2">
      <c r="A229" s="4">
        <v>52566</v>
      </c>
      <c r="B229" s="5" t="str">
        <f t="shared" si="28"/>
        <v>dezembro</v>
      </c>
      <c r="C229" s="5" t="str">
        <f t="shared" si="34"/>
        <v>2043</v>
      </c>
      <c r="D229" s="5">
        <f>SUMIFS(Despesas!$F:$F,Despesas!$J:$J,"&lt;="&amp;$A229,Despesas!$L:$L,"&gt;="&amp;$A229,Despesas!$C:$C,D$1,Despesas!$M:$M,"Mensal")+SUMIFS(Despesas!$F:$F,Despesas!$J:$J,"&lt;="&amp;$A229,Despesas!$L:$L,"&gt;="&amp;$A229,Despesas!$C:$C,D$1,Despesas!$M:$M,$B229)</f>
        <v>23000</v>
      </c>
      <c r="E229" s="18">
        <f>SUMIFS(Despesas!$F:$F,Despesas!$J:$J,"&lt;="&amp;$A229,Despesas!$L:$L,"&gt;="&amp;$A229,Despesas!$C:$C,E$1,Despesas!$M:$M,"Mensal")+SUMIFS(Despesas!$F:$F,Despesas!$J:$J,"&lt;="&amp;$A229,Despesas!$L:$L,"&gt;="&amp;$A229,Despesas!$C:$C,E$1,Despesas!$M:$M,$B229)</f>
        <v>6000</v>
      </c>
      <c r="F229" s="5">
        <f>SUMIFS(Despesas!$F:$F,Despesas!$J:$J,"&lt;="&amp;$A229,Despesas!$L:$L,"&gt;="&amp;$A229,Despesas!$C:$C,F$1,Despesas!$M:$M,"Mensal")+SUMIFS(Despesas!$F:$F,Despesas!$J:$J,"&lt;="&amp;$A229,Despesas!$L:$L,"&gt;="&amp;$A229,Despesas!$C:$C,F$1,Despesas!$M:$M,$B229)</f>
        <v>13000</v>
      </c>
      <c r="G229" s="5">
        <f ca="1">SUMIFS(Despesas!$F:$F,Despesas!$J:$J,"&lt;="&amp;$A229,Despesas!$L:$L,"&gt;="&amp;$A229,Despesas!$C:$C,G$1,Despesas!$M:$M,"Mensal")+SUMIFS(Despesas!$F:$F,Despesas!$J:$J,"&lt;="&amp;$A229,Despesas!$L:$L,"&gt;="&amp;$A229,Despesas!$C:$C,G$1,Despesas!$M:$M,$B229)</f>
        <v>55757</v>
      </c>
      <c r="H229" s="18">
        <f>SUMIFS(Despesas!$F:$F,Despesas!$J:$J,"&lt;="&amp;$A229,Despesas!$L:$L,"&gt;="&amp;$A229,Despesas!$C:$C,H$1,Despesas!$M:$M,"Mensal")+SUMIFS(Despesas!$F:$F,Despesas!$J:$J,"&lt;="&amp;$A229,Despesas!$L:$L,"&gt;="&amp;$A229,Despesas!$C:$C,H$1,Despesas!$M:$M,$B229)</f>
        <v>1000</v>
      </c>
      <c r="I229" s="18">
        <f>IF(Imóveis!$F$2="PRICE",IF(AND(Dados!$A229&gt;=Imóveis!$Q$2,Dados!$A229&lt;=Imóveis!$T$2),Imóveis!$U$2,0),IF((IF(AND(Dados!$A229&gt;=Imóveis!$Q$2,Dados!$A229&lt;=Imóveis!$T$2),Imóveis!$S$2-(DATEDIF(Imóveis!$Q$2,Dados!$A229,"m")),0))=0,0,((Imóveis!$N$2/Imóveis!$S$2)+((Imóveis!$N$2-((Imóveis!$S$2-(IF(AND(Dados!$A229&gt;=Imóveis!$Q$2,Dados!$A229&lt;=Imóveis!$T$2),Imóveis!$S$2-(DATEDIF(Imóveis!$Q$2,Dados!$A229,"m")),)))*(Imóveis!$N$2/Imóveis!$S$2)))*Imóveis!$P$2))))*IF(AND(Imóveis!$E$2&gt;0,Dados!$A229&gt;Imóveis!$E$2),0,1)</f>
        <v>0</v>
      </c>
      <c r="J229" s="18">
        <f>IF(Imóveis!$F$3="PRICE",IF(AND(Dados!$A229&gt;=Imóveis!$Q$3,Dados!$A229&lt;=Imóveis!$T$3),Imóveis!$U$3,0),IF((IF(AND(Dados!$A229&gt;=Imóveis!$Q$3,Dados!$A229&lt;=Imóveis!$T$3),Imóveis!$S$3-(DATEDIF(Imóveis!$Q$3,Dados!$A229,"m")),0))=0,0,((Imóveis!$N$3/Imóveis!$S$3)+((Imóveis!$N$3-((Imóveis!$S$3-(IF(AND(Dados!$A229&gt;=Imóveis!$Q$3,Dados!$A229&lt;=Imóveis!$T$3),Imóveis!$S$3-(DATEDIF(Imóveis!$Q$3,Dados!$A229,"m")),)))*(Imóveis!$N$3/Imóveis!$S$3)))*Imóveis!$P$3))))*IF(AND(Imóveis!$E$3&gt;0,Dados!$A229&gt;Imóveis!$E$3),0,1)</f>
        <v>0</v>
      </c>
      <c r="K229" s="18">
        <f>IF(Imóveis!$F$4="PRICE",IF(AND(Dados!$A229&gt;=Imóveis!$Q$4,Dados!$A229&lt;=Imóveis!$T$4),Imóveis!$U$4,0),IF((IF(AND(Dados!$A229&gt;=Imóveis!$Q$4,Dados!$A229&lt;=Imóveis!$T$4),Imóveis!$S$4-(DATEDIF(Imóveis!$Q$4,Dados!$A229,"m")),0))=0,0,((Imóveis!$N$4/Imóveis!$S$4)+((Imóveis!$N$4-((Imóveis!$S$4-(IF(AND(Dados!$A229&gt;=Imóveis!$Q$4,Dados!$A229&lt;=Imóveis!$T$4),Imóveis!$S$4-(DATEDIF(Imóveis!$Q$4,Dados!$A229,"m")),)))*(Imóveis!$N$4/Imóveis!$S$4)))*Imóveis!$P$4))))*IF(AND(Imóveis!$E$4&gt;0,Dados!$A229&gt;Imóveis!$E$4),0,1)</f>
        <v>0</v>
      </c>
      <c r="L229" s="18">
        <f>IF(Imóveis!$F$5="PRICE",IF(AND(Dados!$A229&gt;=Imóveis!$Q$5,Dados!$A229&lt;=Imóveis!$T$5),Imóveis!$U$5,0),IF((IF(AND(Dados!$A229&gt;=Imóveis!$Q$5,Dados!$A229&lt;=Imóveis!$T$5),Imóveis!$S$5-(DATEDIF(Imóveis!$Q$5,Dados!$A229,"m")),0))=0,0,((Imóveis!$N$5/Imóveis!$S$5)+((Imóveis!$N$5-((Imóveis!$S$5-(IF(AND(Dados!$A229 &gt;=Imóveis!$Q$5,Dados!$A229&lt;=Imóveis!$T$5),Imóveis!$S$5-(DATEDIF(Imóveis!$Q$5,Dados!$A229,"m")),)))*(Imóveis!$N$5/Imóveis!$S$5)))*Imóveis!$P$5))))*IF(AND(Imóveis!$E$5&gt;0,Dados!$A229&gt;Imóveis!$E$5),0,1)*Imóveis!$I$5</f>
        <v>0</v>
      </c>
      <c r="M229" s="18">
        <f>IF(Imóveis!$F$6="PRICE",IF(AND(Dados!$A229&gt;=Imóveis!$Q$6,Dados!$A229&lt;=Imóveis!$T$6),Imóveis!$U$6,0),IF((IF(AND(Dados!$A229&gt;=Imóveis!$Q$6,Dados!$A229&lt;=Imóveis!$T$6),Imóveis!$S$6-(DATEDIF(Imóveis!$Q$6,Dados!$A229,"m")),0))=0,0,((Imóveis!$N$6/Imóveis!$S$6)+((Imóveis!$N$6-((Imóveis!$S$6-(IF(AND(Dados!$A229&gt;=Imóveis!$Q$6,Dados!$A229&lt;=Imóveis!$T$6),Imóveis!$S$6-(DATEDIF(Imóveis!$Q$6,Dados!$A229,"m")),)))*(Imóveis!$N$6/Imóveis!$S$6)))*Imóveis!$P$6))))*IF(AND(Imóveis!$E$6&gt;0,Dados!$A229&gt;Imóveis!$E$6),0,1)*Imóveis!$I$6</f>
        <v>0</v>
      </c>
      <c r="N229" s="18">
        <f t="shared" ca="1" si="29"/>
        <v>98757</v>
      </c>
      <c r="O229" s="18">
        <f>SUMIFS(Receitas!$F:$F,Receitas!$J:$J,"&lt;="&amp;$A229,Receitas!$L:$L,"&gt;="&amp;$A229,Receitas!$C:$C,O$1,Receitas!$M:$M,"Mensal")+SUMIFS(Receitas!$F:$F,Receitas!$J:$J,"&lt;="&amp;$A229,Receitas!$L:$L,"&gt;="&amp;$A229,Receitas!$C:$C,O$1,Receitas!$M:$M,$B229)</f>
        <v>50000</v>
      </c>
      <c r="P229" s="18">
        <f>SUMIFS(Receitas!$F:$F,Receitas!$J:$J,"&lt;="&amp;$A229,Receitas!$L:$L,"&gt;="&amp;$A229,Receitas!$C:$C,P$1,Receitas!$M:$M,"Mensal")+SUMIFS(Receitas!$F:$F,Receitas!$J:$J,"&lt;="&amp;$A229,Receitas!$L:$L,"&gt;="&amp;$A229,Receitas!$C:$C,P$1,Receitas!$M:$M,$B229)</f>
        <v>20000</v>
      </c>
      <c r="Q229" s="18">
        <f>SUMIFS(Receitas!$F:$F,Receitas!$J:$J,"&lt;="&amp;$A229,Receitas!$L:$L,"&gt;="&amp;$A229,Receitas!$C:$C,Q$1,Receitas!$M:$M,"Mensal")+SUMIFS(Receitas!$F:$F,Receitas!$J:$J,"&lt;="&amp;$A229,Receitas!$L:$L,"&gt;="&amp;$A229,Receitas!$C:$C,Q$1,Receitas!$M:$M,$B229)</f>
        <v>0</v>
      </c>
      <c r="R229" s="18" cm="1">
        <f t="array" ref="R229">(IF(AND(Membros!$F$2="Sim",A229&lt;=MAX(Membros!$E$2:$E$5)),Membros!K$2,IF(AND(A229&gt;=Membros!J$2,A229&lt;=MAX(Membros!$E$2:$E$5)),Membros!K$2,0))+IF(AND(Membros!$F$3="Sim",A229&lt;=MAX(Membros!$E$2:$E$5)),Membros!K$3,IF(AND(A229&gt;=Membros!J$3,A229&lt;=MAX(Membros!$E$2:$E$5)),Membros!K$3,0)))*IF(AND(COUNTIFS(Tabela3[Tipo],"Provedor",Tabela3[Simulação Seguro],"Sim")=2,A229&gt;=MAX(IF(Tabela3[Tipo]="Dependente",Tabela3[Expectativa de Vida (Data)]))),0,1)</f>
        <v>0</v>
      </c>
      <c r="S229" s="18">
        <f t="shared" si="30"/>
        <v>70000</v>
      </c>
      <c r="U229" s="18">
        <f t="shared" ca="1" si="33"/>
        <v>12080562.446121495</v>
      </c>
      <c r="V229" s="18">
        <f>SUMIF(Imóveis!E:E,Dados!A:A,Imóveis!Z:Z)-SUMIF(Imóveis!E:E,Dados!A:A,Imóveis!Y:Y)</f>
        <v>0</v>
      </c>
      <c r="W229" s="18">
        <f>-SUMIF(Projetos!N:N,A229,Projetos!F:F)</f>
        <v>0</v>
      </c>
      <c r="X229" s="18">
        <f t="shared" ca="1" si="27"/>
        <v>-28757</v>
      </c>
      <c r="Y229" s="26">
        <f ca="1">(U229*((Indicadores_Economicos!D$2+1)^(1/12)-1))</f>
        <v>39548.617871206166</v>
      </c>
      <c r="Z229" s="18">
        <f t="shared" ca="1" si="31"/>
        <v>12091354.063992701</v>
      </c>
      <c r="AA229" s="18">
        <f ca="1">Auxiliar_Projetos!E229</f>
        <v>8.2112565871383769E-10</v>
      </c>
      <c r="AB229" s="18">
        <f ca="1">Auxiliar_Projetos!K229</f>
        <v>6.3163512208756748E-10</v>
      </c>
      <c r="AC229" s="18">
        <f ca="1">IF(Z229-AA229-AB229&gt;Investimentos!$C$14,Investimentos!$C$14,IF(Z229-AA229-AB229&lt;Investimentos!$C$14,Z229-AA229-AB229,0))</f>
        <v>300000</v>
      </c>
      <c r="AD229" s="18">
        <f t="shared" ca="1" si="32"/>
        <v>11791354.063992701</v>
      </c>
      <c r="AE229" s="18"/>
    </row>
    <row r="230" spans="1:31" x14ac:dyDescent="0.2">
      <c r="A230" s="4">
        <v>52597</v>
      </c>
      <c r="B230" s="5" t="str">
        <f t="shared" si="28"/>
        <v>janeiro</v>
      </c>
      <c r="C230" s="5" t="str">
        <f t="shared" si="34"/>
        <v>2044</v>
      </c>
      <c r="D230" s="5">
        <f>SUMIFS(Despesas!$F:$F,Despesas!$J:$J,"&lt;="&amp;$A230,Despesas!$L:$L,"&gt;="&amp;$A230,Despesas!$C:$C,D$1,Despesas!$M:$M,"Mensal")+SUMIFS(Despesas!$F:$F,Despesas!$J:$J,"&lt;="&amp;$A230,Despesas!$L:$L,"&gt;="&amp;$A230,Despesas!$C:$C,D$1,Despesas!$M:$M,$B230)</f>
        <v>23000</v>
      </c>
      <c r="E230" s="18">
        <f>SUMIFS(Despesas!$F:$F,Despesas!$J:$J,"&lt;="&amp;$A230,Despesas!$L:$L,"&gt;="&amp;$A230,Despesas!$C:$C,E$1,Despesas!$M:$M,"Mensal")+SUMIFS(Despesas!$F:$F,Despesas!$J:$J,"&lt;="&amp;$A230,Despesas!$L:$L,"&gt;="&amp;$A230,Despesas!$C:$C,E$1,Despesas!$M:$M,$B230)</f>
        <v>0</v>
      </c>
      <c r="F230" s="5">
        <f>SUMIFS(Despesas!$F:$F,Despesas!$J:$J,"&lt;="&amp;$A230,Despesas!$L:$L,"&gt;="&amp;$A230,Despesas!$C:$C,F$1,Despesas!$M:$M,"Mensal")+SUMIFS(Despesas!$F:$F,Despesas!$J:$J,"&lt;="&amp;$A230,Despesas!$L:$L,"&gt;="&amp;$A230,Despesas!$C:$C,F$1,Despesas!$M:$M,$B230)</f>
        <v>13000</v>
      </c>
      <c r="G230" s="5">
        <f>SUMIFS(Despesas!$F:$F,Despesas!$J:$J,"&lt;="&amp;$A230,Despesas!$L:$L,"&gt;="&amp;$A230,Despesas!$C:$C,G$1,Despesas!$M:$M,"Mensal")+SUMIFS(Despesas!$F:$F,Despesas!$J:$J,"&lt;="&amp;$A230,Despesas!$L:$L,"&gt;="&amp;$A230,Despesas!$C:$C,G$1,Despesas!$M:$M,$B230)</f>
        <v>0</v>
      </c>
      <c r="H230" s="18">
        <f>SUMIFS(Despesas!$F:$F,Despesas!$J:$J,"&lt;="&amp;$A230,Despesas!$L:$L,"&gt;="&amp;$A230,Despesas!$C:$C,H$1,Despesas!$M:$M,"Mensal")+SUMIFS(Despesas!$F:$F,Despesas!$J:$J,"&lt;="&amp;$A230,Despesas!$L:$L,"&gt;="&amp;$A230,Despesas!$C:$C,H$1,Despesas!$M:$M,$B230)</f>
        <v>1000</v>
      </c>
      <c r="I230" s="18">
        <f>IF(Imóveis!$F$2="PRICE",IF(AND(Dados!$A230&gt;=Imóveis!$Q$2,Dados!$A230&lt;=Imóveis!$T$2),Imóveis!$U$2,0),IF((IF(AND(Dados!$A230&gt;=Imóveis!$Q$2,Dados!$A230&lt;=Imóveis!$T$2),Imóveis!$S$2-(DATEDIF(Imóveis!$Q$2,Dados!$A230,"m")),0))=0,0,((Imóveis!$N$2/Imóveis!$S$2)+((Imóveis!$N$2-((Imóveis!$S$2-(IF(AND(Dados!$A230&gt;=Imóveis!$Q$2,Dados!$A230&lt;=Imóveis!$T$2),Imóveis!$S$2-(DATEDIF(Imóveis!$Q$2,Dados!$A230,"m")),)))*(Imóveis!$N$2/Imóveis!$S$2)))*Imóveis!$P$2))))*IF(AND(Imóveis!$E$2&gt;0,Dados!$A230&gt;Imóveis!$E$2),0,1)</f>
        <v>0</v>
      </c>
      <c r="J230" s="18">
        <f>IF(Imóveis!$F$3="PRICE",IF(AND(Dados!$A230&gt;=Imóveis!$Q$3,Dados!$A230&lt;=Imóveis!$T$3),Imóveis!$U$3,0),IF((IF(AND(Dados!$A230&gt;=Imóveis!$Q$3,Dados!$A230&lt;=Imóveis!$T$3),Imóveis!$S$3-(DATEDIF(Imóveis!$Q$3,Dados!$A230,"m")),0))=0,0,((Imóveis!$N$3/Imóveis!$S$3)+((Imóveis!$N$3-((Imóveis!$S$3-(IF(AND(Dados!$A230&gt;=Imóveis!$Q$3,Dados!$A230&lt;=Imóveis!$T$3),Imóveis!$S$3-(DATEDIF(Imóveis!$Q$3,Dados!$A230,"m")),)))*(Imóveis!$N$3/Imóveis!$S$3)))*Imóveis!$P$3))))*IF(AND(Imóveis!$E$3&gt;0,Dados!$A230&gt;Imóveis!$E$3),0,1)</f>
        <v>0</v>
      </c>
      <c r="K230" s="18">
        <f>IF(Imóveis!$F$4="PRICE",IF(AND(Dados!$A230&gt;=Imóveis!$Q$4,Dados!$A230&lt;=Imóveis!$T$4),Imóveis!$U$4,0),IF((IF(AND(Dados!$A230&gt;=Imóveis!$Q$4,Dados!$A230&lt;=Imóveis!$T$4),Imóveis!$S$4-(DATEDIF(Imóveis!$Q$4,Dados!$A230,"m")),0))=0,0,((Imóveis!$N$4/Imóveis!$S$4)+((Imóveis!$N$4-((Imóveis!$S$4-(IF(AND(Dados!$A230&gt;=Imóveis!$Q$4,Dados!$A230&lt;=Imóveis!$T$4),Imóveis!$S$4-(DATEDIF(Imóveis!$Q$4,Dados!$A230,"m")),)))*(Imóveis!$N$4/Imóveis!$S$4)))*Imóveis!$P$4))))*IF(AND(Imóveis!$E$4&gt;0,Dados!$A230&gt;Imóveis!$E$4),0,1)</f>
        <v>0</v>
      </c>
      <c r="L230" s="18">
        <f>IF(Imóveis!$F$5="PRICE",IF(AND(Dados!$A230&gt;=Imóveis!$Q$5,Dados!$A230&lt;=Imóveis!$T$5),Imóveis!$U$5,0),IF((IF(AND(Dados!$A230&gt;=Imóveis!$Q$5,Dados!$A230&lt;=Imóveis!$T$5),Imóveis!$S$5-(DATEDIF(Imóveis!$Q$5,Dados!$A230,"m")),0))=0,0,((Imóveis!$N$5/Imóveis!$S$5)+((Imóveis!$N$5-((Imóveis!$S$5-(IF(AND(Dados!$A230 &gt;=Imóveis!$Q$5,Dados!$A230&lt;=Imóveis!$T$5),Imóveis!$S$5-(DATEDIF(Imóveis!$Q$5,Dados!$A230,"m")),)))*(Imóveis!$N$5/Imóveis!$S$5)))*Imóveis!$P$5))))*IF(AND(Imóveis!$E$5&gt;0,Dados!$A230&gt;Imóveis!$E$5),0,1)*Imóveis!$I$5</f>
        <v>0</v>
      </c>
      <c r="M230" s="18">
        <f>IF(Imóveis!$F$6="PRICE",IF(AND(Dados!$A230&gt;=Imóveis!$Q$6,Dados!$A230&lt;=Imóveis!$T$6),Imóveis!$U$6,0),IF((IF(AND(Dados!$A230&gt;=Imóveis!$Q$6,Dados!$A230&lt;=Imóveis!$T$6),Imóveis!$S$6-(DATEDIF(Imóveis!$Q$6,Dados!$A230,"m")),0))=0,0,((Imóveis!$N$6/Imóveis!$S$6)+((Imóveis!$N$6-((Imóveis!$S$6-(IF(AND(Dados!$A230&gt;=Imóveis!$Q$6,Dados!$A230&lt;=Imóveis!$T$6),Imóveis!$S$6-(DATEDIF(Imóveis!$Q$6,Dados!$A230,"m")),)))*(Imóveis!$N$6/Imóveis!$S$6)))*Imóveis!$P$6))))*IF(AND(Imóveis!$E$6&gt;0,Dados!$A230&gt;Imóveis!$E$6),0,1)*Imóveis!$I$6</f>
        <v>0</v>
      </c>
      <c r="N230" s="18">
        <f t="shared" si="29"/>
        <v>37000</v>
      </c>
      <c r="O230" s="18">
        <f>SUMIFS(Receitas!$F:$F,Receitas!$J:$J,"&lt;="&amp;$A230,Receitas!$L:$L,"&gt;="&amp;$A230,Receitas!$C:$C,O$1,Receitas!$M:$M,"Mensal")+SUMIFS(Receitas!$F:$F,Receitas!$J:$J,"&lt;="&amp;$A230,Receitas!$L:$L,"&gt;="&amp;$A230,Receitas!$C:$C,O$1,Receitas!$M:$M,$B230)</f>
        <v>50000</v>
      </c>
      <c r="P230" s="18">
        <f>SUMIFS(Receitas!$F:$F,Receitas!$J:$J,"&lt;="&amp;$A230,Receitas!$L:$L,"&gt;="&amp;$A230,Receitas!$C:$C,P$1,Receitas!$M:$M,"Mensal")+SUMIFS(Receitas!$F:$F,Receitas!$J:$J,"&lt;="&amp;$A230,Receitas!$L:$L,"&gt;="&amp;$A230,Receitas!$C:$C,P$1,Receitas!$M:$M,$B230)</f>
        <v>20000</v>
      </c>
      <c r="Q230" s="18">
        <f>SUMIFS(Receitas!$F:$F,Receitas!$J:$J,"&lt;="&amp;$A230,Receitas!$L:$L,"&gt;="&amp;$A230,Receitas!$C:$C,Q$1,Receitas!$M:$M,"Mensal")+SUMIFS(Receitas!$F:$F,Receitas!$J:$J,"&lt;="&amp;$A230,Receitas!$L:$L,"&gt;="&amp;$A230,Receitas!$C:$C,Q$1,Receitas!$M:$M,$B230)</f>
        <v>0</v>
      </c>
      <c r="R230" s="18" cm="1">
        <f t="array" ref="R230">(IF(AND(Membros!$F$2="Sim",A230&lt;=MAX(Membros!$E$2:$E$5)),Membros!K$2,IF(AND(A230&gt;=Membros!J$2,A230&lt;=MAX(Membros!$E$2:$E$5)),Membros!K$2,0))+IF(AND(Membros!$F$3="Sim",A230&lt;=MAX(Membros!$E$2:$E$5)),Membros!K$3,IF(AND(A230&gt;=Membros!J$3,A230&lt;=MAX(Membros!$E$2:$E$5)),Membros!K$3,0)))*IF(AND(COUNTIFS(Tabela3[Tipo],"Provedor",Tabela3[Simulação Seguro],"Sim")=2,A230&gt;=MAX(IF(Tabela3[Tipo]="Dependente",Tabela3[Expectativa de Vida (Data)]))),0,1)</f>
        <v>0</v>
      </c>
      <c r="S230" s="18">
        <f t="shared" si="30"/>
        <v>70000</v>
      </c>
      <c r="U230" s="18">
        <f t="shared" ca="1" si="33"/>
        <v>12091354.063992701</v>
      </c>
      <c r="V230" s="18">
        <f>SUMIF(Imóveis!E:E,Dados!A:A,Imóveis!Z:Z)-SUMIF(Imóveis!E:E,Dados!A:A,Imóveis!Y:Y)</f>
        <v>0</v>
      </c>
      <c r="W230" s="18">
        <f>-SUMIF(Projetos!N:N,A230,Projetos!F:F)</f>
        <v>0</v>
      </c>
      <c r="X230" s="18">
        <f t="shared" si="27"/>
        <v>33000</v>
      </c>
      <c r="Y230" s="26">
        <f ca="1">(U230*((Indicadores_Economicos!D$2+1)^(1/12)-1))</f>
        <v>39583.946819945428</v>
      </c>
      <c r="Z230" s="18">
        <f t="shared" ca="1" si="31"/>
        <v>12163938.010812648</v>
      </c>
      <c r="AA230" s="18">
        <f ca="1">Auxiliar_Projetos!E230</f>
        <v>8.238138104489535E-10</v>
      </c>
      <c r="AB230" s="18">
        <f ca="1">Auxiliar_Projetos!K230</f>
        <v>6.3370293111457957E-10</v>
      </c>
      <c r="AC230" s="18">
        <f ca="1">IF(Z230-AA230-AB230&gt;Investimentos!$C$14,Investimentos!$C$14,IF(Z230-AA230-AB230&lt;Investimentos!$C$14,Z230-AA230-AB230,0))</f>
        <v>300000</v>
      </c>
      <c r="AD230" s="18">
        <f t="shared" ca="1" si="32"/>
        <v>11863938.010812648</v>
      </c>
      <c r="AE230" s="18"/>
    </row>
    <row r="231" spans="1:31" x14ac:dyDescent="0.2">
      <c r="A231" s="4">
        <v>52628</v>
      </c>
      <c r="B231" s="5" t="str">
        <f t="shared" si="28"/>
        <v>fevereiro</v>
      </c>
      <c r="C231" s="5" t="str">
        <f t="shared" si="34"/>
        <v>2044</v>
      </c>
      <c r="D231" s="5">
        <f>SUMIFS(Despesas!$F:$F,Despesas!$J:$J,"&lt;="&amp;$A231,Despesas!$L:$L,"&gt;="&amp;$A231,Despesas!$C:$C,D$1,Despesas!$M:$M,"Mensal")+SUMIFS(Despesas!$F:$F,Despesas!$J:$J,"&lt;="&amp;$A231,Despesas!$L:$L,"&gt;="&amp;$A231,Despesas!$C:$C,D$1,Despesas!$M:$M,$B231)</f>
        <v>23000</v>
      </c>
      <c r="E231" s="18">
        <f>SUMIFS(Despesas!$F:$F,Despesas!$J:$J,"&lt;="&amp;$A231,Despesas!$L:$L,"&gt;="&amp;$A231,Despesas!$C:$C,E$1,Despesas!$M:$M,"Mensal")+SUMIFS(Despesas!$F:$F,Despesas!$J:$J,"&lt;="&amp;$A231,Despesas!$L:$L,"&gt;="&amp;$A231,Despesas!$C:$C,E$1,Despesas!$M:$M,$B231)</f>
        <v>0</v>
      </c>
      <c r="F231" s="5">
        <f>SUMIFS(Despesas!$F:$F,Despesas!$J:$J,"&lt;="&amp;$A231,Despesas!$L:$L,"&gt;="&amp;$A231,Despesas!$C:$C,F$1,Despesas!$M:$M,"Mensal")+SUMIFS(Despesas!$F:$F,Despesas!$J:$J,"&lt;="&amp;$A231,Despesas!$L:$L,"&gt;="&amp;$A231,Despesas!$C:$C,F$1,Despesas!$M:$M,$B231)</f>
        <v>13000</v>
      </c>
      <c r="G231" s="5">
        <f>SUMIFS(Despesas!$F:$F,Despesas!$J:$J,"&lt;="&amp;$A231,Despesas!$L:$L,"&gt;="&amp;$A231,Despesas!$C:$C,G$1,Despesas!$M:$M,"Mensal")+SUMIFS(Despesas!$F:$F,Despesas!$J:$J,"&lt;="&amp;$A231,Despesas!$L:$L,"&gt;="&amp;$A231,Despesas!$C:$C,G$1,Despesas!$M:$M,$B231)</f>
        <v>0</v>
      </c>
      <c r="H231" s="18">
        <f>SUMIFS(Despesas!$F:$F,Despesas!$J:$J,"&lt;="&amp;$A231,Despesas!$L:$L,"&gt;="&amp;$A231,Despesas!$C:$C,H$1,Despesas!$M:$M,"Mensal")+SUMIFS(Despesas!$F:$F,Despesas!$J:$J,"&lt;="&amp;$A231,Despesas!$L:$L,"&gt;="&amp;$A231,Despesas!$C:$C,H$1,Despesas!$M:$M,$B231)</f>
        <v>2200</v>
      </c>
      <c r="I231" s="18">
        <f>IF(Imóveis!$F$2="PRICE",IF(AND(Dados!$A231&gt;=Imóveis!$Q$2,Dados!$A231&lt;=Imóveis!$T$2),Imóveis!$U$2,0),IF((IF(AND(Dados!$A231&gt;=Imóveis!$Q$2,Dados!$A231&lt;=Imóveis!$T$2),Imóveis!$S$2-(DATEDIF(Imóveis!$Q$2,Dados!$A231,"m")),0))=0,0,((Imóveis!$N$2/Imóveis!$S$2)+((Imóveis!$N$2-((Imóveis!$S$2-(IF(AND(Dados!$A231&gt;=Imóveis!$Q$2,Dados!$A231&lt;=Imóveis!$T$2),Imóveis!$S$2-(DATEDIF(Imóveis!$Q$2,Dados!$A231,"m")),)))*(Imóveis!$N$2/Imóveis!$S$2)))*Imóveis!$P$2))))*IF(AND(Imóveis!$E$2&gt;0,Dados!$A231&gt;Imóveis!$E$2),0,1)</f>
        <v>0</v>
      </c>
      <c r="J231" s="18">
        <f>IF(Imóveis!$F$3="PRICE",IF(AND(Dados!$A231&gt;=Imóveis!$Q$3,Dados!$A231&lt;=Imóveis!$T$3),Imóveis!$U$3,0),IF((IF(AND(Dados!$A231&gt;=Imóveis!$Q$3,Dados!$A231&lt;=Imóveis!$T$3),Imóveis!$S$3-(DATEDIF(Imóveis!$Q$3,Dados!$A231,"m")),0))=0,0,((Imóveis!$N$3/Imóveis!$S$3)+((Imóveis!$N$3-((Imóveis!$S$3-(IF(AND(Dados!$A231&gt;=Imóveis!$Q$3,Dados!$A231&lt;=Imóveis!$T$3),Imóveis!$S$3-(DATEDIF(Imóveis!$Q$3,Dados!$A231,"m")),)))*(Imóveis!$N$3/Imóveis!$S$3)))*Imóveis!$P$3))))*IF(AND(Imóveis!$E$3&gt;0,Dados!$A231&gt;Imóveis!$E$3),0,1)</f>
        <v>0</v>
      </c>
      <c r="K231" s="18">
        <f>IF(Imóveis!$F$4="PRICE",IF(AND(Dados!$A231&gt;=Imóveis!$Q$4,Dados!$A231&lt;=Imóveis!$T$4),Imóveis!$U$4,0),IF((IF(AND(Dados!$A231&gt;=Imóveis!$Q$4,Dados!$A231&lt;=Imóveis!$T$4),Imóveis!$S$4-(DATEDIF(Imóveis!$Q$4,Dados!$A231,"m")),0))=0,0,((Imóveis!$N$4/Imóveis!$S$4)+((Imóveis!$N$4-((Imóveis!$S$4-(IF(AND(Dados!$A231&gt;=Imóveis!$Q$4,Dados!$A231&lt;=Imóveis!$T$4),Imóveis!$S$4-(DATEDIF(Imóveis!$Q$4,Dados!$A231,"m")),)))*(Imóveis!$N$4/Imóveis!$S$4)))*Imóveis!$P$4))))*IF(AND(Imóveis!$E$4&gt;0,Dados!$A231&gt;Imóveis!$E$4),0,1)</f>
        <v>0</v>
      </c>
      <c r="L231" s="18">
        <f>IF(Imóveis!$F$5="PRICE",IF(AND(Dados!$A231&gt;=Imóveis!$Q$5,Dados!$A231&lt;=Imóveis!$T$5),Imóveis!$U$5,0),IF((IF(AND(Dados!$A231&gt;=Imóveis!$Q$5,Dados!$A231&lt;=Imóveis!$T$5),Imóveis!$S$5-(DATEDIF(Imóveis!$Q$5,Dados!$A231,"m")),0))=0,0,((Imóveis!$N$5/Imóveis!$S$5)+((Imóveis!$N$5-((Imóveis!$S$5-(IF(AND(Dados!$A231 &gt;=Imóveis!$Q$5,Dados!$A231&lt;=Imóveis!$T$5),Imóveis!$S$5-(DATEDIF(Imóveis!$Q$5,Dados!$A231,"m")),)))*(Imóveis!$N$5/Imóveis!$S$5)))*Imóveis!$P$5))))*IF(AND(Imóveis!$E$5&gt;0,Dados!$A231&gt;Imóveis!$E$5),0,1)*Imóveis!$I$5</f>
        <v>0</v>
      </c>
      <c r="M231" s="18">
        <f>IF(Imóveis!$F$6="PRICE",IF(AND(Dados!$A231&gt;=Imóveis!$Q$6,Dados!$A231&lt;=Imóveis!$T$6),Imóveis!$U$6,0),IF((IF(AND(Dados!$A231&gt;=Imóveis!$Q$6,Dados!$A231&lt;=Imóveis!$T$6),Imóveis!$S$6-(DATEDIF(Imóveis!$Q$6,Dados!$A231,"m")),0))=0,0,((Imóveis!$N$6/Imóveis!$S$6)+((Imóveis!$N$6-((Imóveis!$S$6-(IF(AND(Dados!$A231&gt;=Imóveis!$Q$6,Dados!$A231&lt;=Imóveis!$T$6),Imóveis!$S$6-(DATEDIF(Imóveis!$Q$6,Dados!$A231,"m")),)))*(Imóveis!$N$6/Imóveis!$S$6)))*Imóveis!$P$6))))*IF(AND(Imóveis!$E$6&gt;0,Dados!$A231&gt;Imóveis!$E$6),0,1)*Imóveis!$I$6</f>
        <v>0</v>
      </c>
      <c r="N231" s="18">
        <f t="shared" si="29"/>
        <v>38200</v>
      </c>
      <c r="O231" s="18">
        <f>SUMIFS(Receitas!$F:$F,Receitas!$J:$J,"&lt;="&amp;$A231,Receitas!$L:$L,"&gt;="&amp;$A231,Receitas!$C:$C,O$1,Receitas!$M:$M,"Mensal")+SUMIFS(Receitas!$F:$F,Receitas!$J:$J,"&lt;="&amp;$A231,Receitas!$L:$L,"&gt;="&amp;$A231,Receitas!$C:$C,O$1,Receitas!$M:$M,$B231)</f>
        <v>50000</v>
      </c>
      <c r="P231" s="18">
        <f>SUMIFS(Receitas!$F:$F,Receitas!$J:$J,"&lt;="&amp;$A231,Receitas!$L:$L,"&gt;="&amp;$A231,Receitas!$C:$C,P$1,Receitas!$M:$M,"Mensal")+SUMIFS(Receitas!$F:$F,Receitas!$J:$J,"&lt;="&amp;$A231,Receitas!$L:$L,"&gt;="&amp;$A231,Receitas!$C:$C,P$1,Receitas!$M:$M,$B231)</f>
        <v>20000</v>
      </c>
      <c r="Q231" s="18">
        <f>SUMIFS(Receitas!$F:$F,Receitas!$J:$J,"&lt;="&amp;$A231,Receitas!$L:$L,"&gt;="&amp;$A231,Receitas!$C:$C,Q$1,Receitas!$M:$M,"Mensal")+SUMIFS(Receitas!$F:$F,Receitas!$J:$J,"&lt;="&amp;$A231,Receitas!$L:$L,"&gt;="&amp;$A231,Receitas!$C:$C,Q$1,Receitas!$M:$M,$B231)</f>
        <v>0</v>
      </c>
      <c r="R231" s="18" cm="1">
        <f t="array" ref="R231">(IF(AND(Membros!$F$2="Sim",A231&lt;=MAX(Membros!$E$2:$E$5)),Membros!K$2,IF(AND(A231&gt;=Membros!J$2,A231&lt;=MAX(Membros!$E$2:$E$5)),Membros!K$2,0))+IF(AND(Membros!$F$3="Sim",A231&lt;=MAX(Membros!$E$2:$E$5)),Membros!K$3,IF(AND(A231&gt;=Membros!J$3,A231&lt;=MAX(Membros!$E$2:$E$5)),Membros!K$3,0)))*IF(AND(COUNTIFS(Tabela3[Tipo],"Provedor",Tabela3[Simulação Seguro],"Sim")=2,A231&gt;=MAX(IF(Tabela3[Tipo]="Dependente",Tabela3[Expectativa de Vida (Data)]))),0,1)</f>
        <v>0</v>
      </c>
      <c r="S231" s="18">
        <f t="shared" si="30"/>
        <v>70000</v>
      </c>
      <c r="U231" s="18">
        <f t="shared" ca="1" si="33"/>
        <v>12163938.010812648</v>
      </c>
      <c r="V231" s="18">
        <f>SUMIF(Imóveis!E:E,Dados!A:A,Imóveis!Z:Z)-SUMIF(Imóveis!E:E,Dados!A:A,Imóveis!Y:Y)</f>
        <v>0</v>
      </c>
      <c r="W231" s="18">
        <f>-SUMIF(Projetos!N:N,A231,Projetos!F:F)</f>
        <v>0</v>
      </c>
      <c r="X231" s="18">
        <f t="shared" si="27"/>
        <v>31800</v>
      </c>
      <c r="Y231" s="26">
        <f ca="1">(U231*((Indicadores_Economicos!D$2+1)^(1/12)-1))</f>
        <v>39821.567774198891</v>
      </c>
      <c r="Z231" s="18">
        <f t="shared" ca="1" si="31"/>
        <v>12235559.578586847</v>
      </c>
      <c r="AA231" s="18">
        <f ca="1">Auxiliar_Projetos!E231</f>
        <v>8.2651076249334513E-10</v>
      </c>
      <c r="AB231" s="18">
        <f ca="1">Auxiliar_Projetos!K231</f>
        <v>6.357775096102654E-10</v>
      </c>
      <c r="AC231" s="18">
        <f ca="1">IF(Z231-AA231-AB231&gt;Investimentos!$C$14,Investimentos!$C$14,IF(Z231-AA231-AB231&lt;Investimentos!$C$14,Z231-AA231-AB231,0))</f>
        <v>300000</v>
      </c>
      <c r="AD231" s="18">
        <f t="shared" ca="1" si="32"/>
        <v>11935559.578586847</v>
      </c>
      <c r="AE231" s="18"/>
    </row>
    <row r="232" spans="1:31" x14ac:dyDescent="0.2">
      <c r="A232" s="4">
        <v>52657</v>
      </c>
      <c r="B232" s="5" t="str">
        <f t="shared" si="28"/>
        <v>março</v>
      </c>
      <c r="C232" s="5" t="str">
        <f t="shared" si="34"/>
        <v>2044</v>
      </c>
      <c r="D232" s="5">
        <f>SUMIFS(Despesas!$F:$F,Despesas!$J:$J,"&lt;="&amp;$A232,Despesas!$L:$L,"&gt;="&amp;$A232,Despesas!$C:$C,D$1,Despesas!$M:$M,"Mensal")+SUMIFS(Despesas!$F:$F,Despesas!$J:$J,"&lt;="&amp;$A232,Despesas!$L:$L,"&gt;="&amp;$A232,Despesas!$C:$C,D$1,Despesas!$M:$M,$B232)</f>
        <v>23000</v>
      </c>
      <c r="E232" s="18">
        <f>SUMIFS(Despesas!$F:$F,Despesas!$J:$J,"&lt;="&amp;$A232,Despesas!$L:$L,"&gt;="&amp;$A232,Despesas!$C:$C,E$1,Despesas!$M:$M,"Mensal")+SUMIFS(Despesas!$F:$F,Despesas!$J:$J,"&lt;="&amp;$A232,Despesas!$L:$L,"&gt;="&amp;$A232,Despesas!$C:$C,E$1,Despesas!$M:$M,$B232)</f>
        <v>0</v>
      </c>
      <c r="F232" s="5">
        <f>SUMIFS(Despesas!$F:$F,Despesas!$J:$J,"&lt;="&amp;$A232,Despesas!$L:$L,"&gt;="&amp;$A232,Despesas!$C:$C,F$1,Despesas!$M:$M,"Mensal")+SUMIFS(Despesas!$F:$F,Despesas!$J:$J,"&lt;="&amp;$A232,Despesas!$L:$L,"&gt;="&amp;$A232,Despesas!$C:$C,F$1,Despesas!$M:$M,$B232)</f>
        <v>13000</v>
      </c>
      <c r="G232" s="5">
        <f>SUMIFS(Despesas!$F:$F,Despesas!$J:$J,"&lt;="&amp;$A232,Despesas!$L:$L,"&gt;="&amp;$A232,Despesas!$C:$C,G$1,Despesas!$M:$M,"Mensal")+SUMIFS(Despesas!$F:$F,Despesas!$J:$J,"&lt;="&amp;$A232,Despesas!$L:$L,"&gt;="&amp;$A232,Despesas!$C:$C,G$1,Despesas!$M:$M,$B232)</f>
        <v>0</v>
      </c>
      <c r="H232" s="18">
        <f>SUMIFS(Despesas!$F:$F,Despesas!$J:$J,"&lt;="&amp;$A232,Despesas!$L:$L,"&gt;="&amp;$A232,Despesas!$C:$C,H$1,Despesas!$M:$M,"Mensal")+SUMIFS(Despesas!$F:$F,Despesas!$J:$J,"&lt;="&amp;$A232,Despesas!$L:$L,"&gt;="&amp;$A232,Despesas!$C:$C,H$1,Despesas!$M:$M,$B232)</f>
        <v>1000</v>
      </c>
      <c r="I232" s="18">
        <f>IF(Imóveis!$F$2="PRICE",IF(AND(Dados!$A232&gt;=Imóveis!$Q$2,Dados!$A232&lt;=Imóveis!$T$2),Imóveis!$U$2,0),IF((IF(AND(Dados!$A232&gt;=Imóveis!$Q$2,Dados!$A232&lt;=Imóveis!$T$2),Imóveis!$S$2-(DATEDIF(Imóveis!$Q$2,Dados!$A232,"m")),0))=0,0,((Imóveis!$N$2/Imóveis!$S$2)+((Imóveis!$N$2-((Imóveis!$S$2-(IF(AND(Dados!$A232&gt;=Imóveis!$Q$2,Dados!$A232&lt;=Imóveis!$T$2),Imóveis!$S$2-(DATEDIF(Imóveis!$Q$2,Dados!$A232,"m")),)))*(Imóveis!$N$2/Imóveis!$S$2)))*Imóveis!$P$2))))*IF(AND(Imóveis!$E$2&gt;0,Dados!$A232&gt;Imóveis!$E$2),0,1)</f>
        <v>0</v>
      </c>
      <c r="J232" s="18">
        <f>IF(Imóveis!$F$3="PRICE",IF(AND(Dados!$A232&gt;=Imóveis!$Q$3,Dados!$A232&lt;=Imóveis!$T$3),Imóveis!$U$3,0),IF((IF(AND(Dados!$A232&gt;=Imóveis!$Q$3,Dados!$A232&lt;=Imóveis!$T$3),Imóveis!$S$3-(DATEDIF(Imóveis!$Q$3,Dados!$A232,"m")),0))=0,0,((Imóveis!$N$3/Imóveis!$S$3)+((Imóveis!$N$3-((Imóveis!$S$3-(IF(AND(Dados!$A232&gt;=Imóveis!$Q$3,Dados!$A232&lt;=Imóveis!$T$3),Imóveis!$S$3-(DATEDIF(Imóveis!$Q$3,Dados!$A232,"m")),)))*(Imóveis!$N$3/Imóveis!$S$3)))*Imóveis!$P$3))))*IF(AND(Imóveis!$E$3&gt;0,Dados!$A232&gt;Imóveis!$E$3),0,1)</f>
        <v>0</v>
      </c>
      <c r="K232" s="18">
        <f>IF(Imóveis!$F$4="PRICE",IF(AND(Dados!$A232&gt;=Imóveis!$Q$4,Dados!$A232&lt;=Imóveis!$T$4),Imóveis!$U$4,0),IF((IF(AND(Dados!$A232&gt;=Imóveis!$Q$4,Dados!$A232&lt;=Imóveis!$T$4),Imóveis!$S$4-(DATEDIF(Imóveis!$Q$4,Dados!$A232,"m")),0))=0,0,((Imóveis!$N$4/Imóveis!$S$4)+((Imóveis!$N$4-((Imóveis!$S$4-(IF(AND(Dados!$A232&gt;=Imóveis!$Q$4,Dados!$A232&lt;=Imóveis!$T$4),Imóveis!$S$4-(DATEDIF(Imóveis!$Q$4,Dados!$A232,"m")),)))*(Imóveis!$N$4/Imóveis!$S$4)))*Imóveis!$P$4))))*IF(AND(Imóveis!$E$4&gt;0,Dados!$A232&gt;Imóveis!$E$4),0,1)</f>
        <v>0</v>
      </c>
      <c r="L232" s="18">
        <f>IF(Imóveis!$F$5="PRICE",IF(AND(Dados!$A232&gt;=Imóveis!$Q$5,Dados!$A232&lt;=Imóveis!$T$5),Imóveis!$U$5,0),IF((IF(AND(Dados!$A232&gt;=Imóveis!$Q$5,Dados!$A232&lt;=Imóveis!$T$5),Imóveis!$S$5-(DATEDIF(Imóveis!$Q$5,Dados!$A232,"m")),0))=0,0,((Imóveis!$N$5/Imóveis!$S$5)+((Imóveis!$N$5-((Imóveis!$S$5-(IF(AND(Dados!$A232 &gt;=Imóveis!$Q$5,Dados!$A232&lt;=Imóveis!$T$5),Imóveis!$S$5-(DATEDIF(Imóveis!$Q$5,Dados!$A232,"m")),)))*(Imóveis!$N$5/Imóveis!$S$5)))*Imóveis!$P$5))))*IF(AND(Imóveis!$E$5&gt;0,Dados!$A232&gt;Imóveis!$E$5),0,1)*Imóveis!$I$5</f>
        <v>0</v>
      </c>
      <c r="M232" s="18">
        <f>IF(Imóveis!$F$6="PRICE",IF(AND(Dados!$A232&gt;=Imóveis!$Q$6,Dados!$A232&lt;=Imóveis!$T$6),Imóveis!$U$6,0),IF((IF(AND(Dados!$A232&gt;=Imóveis!$Q$6,Dados!$A232&lt;=Imóveis!$T$6),Imóveis!$S$6-(DATEDIF(Imóveis!$Q$6,Dados!$A232,"m")),0))=0,0,((Imóveis!$N$6/Imóveis!$S$6)+((Imóveis!$N$6-((Imóveis!$S$6-(IF(AND(Dados!$A232&gt;=Imóveis!$Q$6,Dados!$A232&lt;=Imóveis!$T$6),Imóveis!$S$6-(DATEDIF(Imóveis!$Q$6,Dados!$A232,"m")),)))*(Imóveis!$N$6/Imóveis!$S$6)))*Imóveis!$P$6))))*IF(AND(Imóveis!$E$6&gt;0,Dados!$A232&gt;Imóveis!$E$6),0,1)*Imóveis!$I$6</f>
        <v>0</v>
      </c>
      <c r="N232" s="18">
        <f t="shared" si="29"/>
        <v>37000</v>
      </c>
      <c r="O232" s="18">
        <f>SUMIFS(Receitas!$F:$F,Receitas!$J:$J,"&lt;="&amp;$A232,Receitas!$L:$L,"&gt;="&amp;$A232,Receitas!$C:$C,O$1,Receitas!$M:$M,"Mensal")+SUMIFS(Receitas!$F:$F,Receitas!$J:$J,"&lt;="&amp;$A232,Receitas!$L:$L,"&gt;="&amp;$A232,Receitas!$C:$C,O$1,Receitas!$M:$M,$B232)</f>
        <v>50000</v>
      </c>
      <c r="P232" s="18">
        <f>SUMIFS(Receitas!$F:$F,Receitas!$J:$J,"&lt;="&amp;$A232,Receitas!$L:$L,"&gt;="&amp;$A232,Receitas!$C:$C,P$1,Receitas!$M:$M,"Mensal")+SUMIFS(Receitas!$F:$F,Receitas!$J:$J,"&lt;="&amp;$A232,Receitas!$L:$L,"&gt;="&amp;$A232,Receitas!$C:$C,P$1,Receitas!$M:$M,$B232)</f>
        <v>20000</v>
      </c>
      <c r="Q232" s="18">
        <f>SUMIFS(Receitas!$F:$F,Receitas!$J:$J,"&lt;="&amp;$A232,Receitas!$L:$L,"&gt;="&amp;$A232,Receitas!$C:$C,Q$1,Receitas!$M:$M,"Mensal")+SUMIFS(Receitas!$F:$F,Receitas!$J:$J,"&lt;="&amp;$A232,Receitas!$L:$L,"&gt;="&amp;$A232,Receitas!$C:$C,Q$1,Receitas!$M:$M,$B232)</f>
        <v>0</v>
      </c>
      <c r="R232" s="18" cm="1">
        <f t="array" ref="R232">(IF(AND(Membros!$F$2="Sim",A232&lt;=MAX(Membros!$E$2:$E$5)),Membros!K$2,IF(AND(A232&gt;=Membros!J$2,A232&lt;=MAX(Membros!$E$2:$E$5)),Membros!K$2,0))+IF(AND(Membros!$F$3="Sim",A232&lt;=MAX(Membros!$E$2:$E$5)),Membros!K$3,IF(AND(A232&gt;=Membros!J$3,A232&lt;=MAX(Membros!$E$2:$E$5)),Membros!K$3,0)))*IF(AND(COUNTIFS(Tabela3[Tipo],"Provedor",Tabela3[Simulação Seguro],"Sim")=2,A232&gt;=MAX(IF(Tabela3[Tipo]="Dependente",Tabela3[Expectativa de Vida (Data)]))),0,1)</f>
        <v>0</v>
      </c>
      <c r="S232" s="18">
        <f t="shared" si="30"/>
        <v>70000</v>
      </c>
      <c r="U232" s="18">
        <f t="shared" ca="1" si="33"/>
        <v>12235559.578586847</v>
      </c>
      <c r="V232" s="18">
        <f>SUMIF(Imóveis!E:E,Dados!A:A,Imóveis!Z:Z)-SUMIF(Imóveis!E:E,Dados!A:A,Imóveis!Y:Y)</f>
        <v>0</v>
      </c>
      <c r="W232" s="18">
        <f>-SUMIF(Projetos!N:N,A232,Projetos!F:F)</f>
        <v>0</v>
      </c>
      <c r="X232" s="18">
        <f t="shared" si="27"/>
        <v>33000</v>
      </c>
      <c r="Y232" s="26">
        <f ca="1">(U232*((Indicadores_Economicos!D$2+1)^(1/12)-1))</f>
        <v>40056.038149884742</v>
      </c>
      <c r="Z232" s="18">
        <f t="shared" ca="1" si="31"/>
        <v>12308615.616736731</v>
      </c>
      <c r="AA232" s="18">
        <f ca="1">Auxiliar_Projetos!E232</f>
        <v>8.2921654365693514E-10</v>
      </c>
      <c r="AB232" s="18">
        <f ca="1">Auxiliar_Projetos!K232</f>
        <v>6.3785887973610383E-10</v>
      </c>
      <c r="AC232" s="18">
        <f ca="1">IF(Z232-AA232-AB232&gt;Investimentos!$C$14,Investimentos!$C$14,IF(Z232-AA232-AB232&lt;Investimentos!$C$14,Z232-AA232-AB232,0))</f>
        <v>300000</v>
      </c>
      <c r="AD232" s="18">
        <f t="shared" ca="1" si="32"/>
        <v>12008615.616736731</v>
      </c>
      <c r="AE232" s="18"/>
    </row>
    <row r="233" spans="1:31" x14ac:dyDescent="0.2">
      <c r="A233" s="4">
        <v>52688</v>
      </c>
      <c r="B233" s="5" t="str">
        <f t="shared" si="28"/>
        <v>abril</v>
      </c>
      <c r="C233" s="5" t="str">
        <f t="shared" si="34"/>
        <v>2044</v>
      </c>
      <c r="D233" s="5">
        <f>SUMIFS(Despesas!$F:$F,Despesas!$J:$J,"&lt;="&amp;$A233,Despesas!$L:$L,"&gt;="&amp;$A233,Despesas!$C:$C,D$1,Despesas!$M:$M,"Mensal")+SUMIFS(Despesas!$F:$F,Despesas!$J:$J,"&lt;="&amp;$A233,Despesas!$L:$L,"&gt;="&amp;$A233,Despesas!$C:$C,D$1,Despesas!$M:$M,$B233)</f>
        <v>23000</v>
      </c>
      <c r="E233" s="18">
        <f>SUMIFS(Despesas!$F:$F,Despesas!$J:$J,"&lt;="&amp;$A233,Despesas!$L:$L,"&gt;="&amp;$A233,Despesas!$C:$C,E$1,Despesas!$M:$M,"Mensal")+SUMIFS(Despesas!$F:$F,Despesas!$J:$J,"&lt;="&amp;$A233,Despesas!$L:$L,"&gt;="&amp;$A233,Despesas!$C:$C,E$1,Despesas!$M:$M,$B233)</f>
        <v>0</v>
      </c>
      <c r="F233" s="5">
        <f>SUMIFS(Despesas!$F:$F,Despesas!$J:$J,"&lt;="&amp;$A233,Despesas!$L:$L,"&gt;="&amp;$A233,Despesas!$C:$C,F$1,Despesas!$M:$M,"Mensal")+SUMIFS(Despesas!$F:$F,Despesas!$J:$J,"&lt;="&amp;$A233,Despesas!$L:$L,"&gt;="&amp;$A233,Despesas!$C:$C,F$1,Despesas!$M:$M,$B233)</f>
        <v>13000</v>
      </c>
      <c r="G233" s="5">
        <f>SUMIFS(Despesas!$F:$F,Despesas!$J:$J,"&lt;="&amp;$A233,Despesas!$L:$L,"&gt;="&amp;$A233,Despesas!$C:$C,G$1,Despesas!$M:$M,"Mensal")+SUMIFS(Despesas!$F:$F,Despesas!$J:$J,"&lt;="&amp;$A233,Despesas!$L:$L,"&gt;="&amp;$A233,Despesas!$C:$C,G$1,Despesas!$M:$M,$B233)</f>
        <v>0</v>
      </c>
      <c r="H233" s="18">
        <f>SUMIFS(Despesas!$F:$F,Despesas!$J:$J,"&lt;="&amp;$A233,Despesas!$L:$L,"&gt;="&amp;$A233,Despesas!$C:$C,H$1,Despesas!$M:$M,"Mensal")+SUMIFS(Despesas!$F:$F,Despesas!$J:$J,"&lt;="&amp;$A233,Despesas!$L:$L,"&gt;="&amp;$A233,Despesas!$C:$C,H$1,Despesas!$M:$M,$B233)</f>
        <v>1000</v>
      </c>
      <c r="I233" s="18">
        <f>IF(Imóveis!$F$2="PRICE",IF(AND(Dados!$A233&gt;=Imóveis!$Q$2,Dados!$A233&lt;=Imóveis!$T$2),Imóveis!$U$2,0),IF((IF(AND(Dados!$A233&gt;=Imóveis!$Q$2,Dados!$A233&lt;=Imóveis!$T$2),Imóveis!$S$2-(DATEDIF(Imóveis!$Q$2,Dados!$A233,"m")),0))=0,0,((Imóveis!$N$2/Imóveis!$S$2)+((Imóveis!$N$2-((Imóveis!$S$2-(IF(AND(Dados!$A233&gt;=Imóveis!$Q$2,Dados!$A233&lt;=Imóveis!$T$2),Imóveis!$S$2-(DATEDIF(Imóveis!$Q$2,Dados!$A233,"m")),)))*(Imóveis!$N$2/Imóveis!$S$2)))*Imóveis!$P$2))))*IF(AND(Imóveis!$E$2&gt;0,Dados!$A233&gt;Imóveis!$E$2),0,1)</f>
        <v>0</v>
      </c>
      <c r="J233" s="18">
        <f>IF(Imóveis!$F$3="PRICE",IF(AND(Dados!$A233&gt;=Imóveis!$Q$3,Dados!$A233&lt;=Imóveis!$T$3),Imóveis!$U$3,0),IF((IF(AND(Dados!$A233&gt;=Imóveis!$Q$3,Dados!$A233&lt;=Imóveis!$T$3),Imóveis!$S$3-(DATEDIF(Imóveis!$Q$3,Dados!$A233,"m")),0))=0,0,((Imóveis!$N$3/Imóveis!$S$3)+((Imóveis!$N$3-((Imóveis!$S$3-(IF(AND(Dados!$A233&gt;=Imóveis!$Q$3,Dados!$A233&lt;=Imóveis!$T$3),Imóveis!$S$3-(DATEDIF(Imóveis!$Q$3,Dados!$A233,"m")),)))*(Imóveis!$N$3/Imóveis!$S$3)))*Imóveis!$P$3))))*IF(AND(Imóveis!$E$3&gt;0,Dados!$A233&gt;Imóveis!$E$3),0,1)</f>
        <v>0</v>
      </c>
      <c r="K233" s="18">
        <f>IF(Imóveis!$F$4="PRICE",IF(AND(Dados!$A233&gt;=Imóveis!$Q$4,Dados!$A233&lt;=Imóveis!$T$4),Imóveis!$U$4,0),IF((IF(AND(Dados!$A233&gt;=Imóveis!$Q$4,Dados!$A233&lt;=Imóveis!$T$4),Imóveis!$S$4-(DATEDIF(Imóveis!$Q$4,Dados!$A233,"m")),0))=0,0,((Imóveis!$N$4/Imóveis!$S$4)+((Imóveis!$N$4-((Imóveis!$S$4-(IF(AND(Dados!$A233&gt;=Imóveis!$Q$4,Dados!$A233&lt;=Imóveis!$T$4),Imóveis!$S$4-(DATEDIF(Imóveis!$Q$4,Dados!$A233,"m")),)))*(Imóveis!$N$4/Imóveis!$S$4)))*Imóveis!$P$4))))*IF(AND(Imóveis!$E$4&gt;0,Dados!$A233&gt;Imóveis!$E$4),0,1)</f>
        <v>0</v>
      </c>
      <c r="L233" s="18">
        <f>IF(Imóveis!$F$5="PRICE",IF(AND(Dados!$A233&gt;=Imóveis!$Q$5,Dados!$A233&lt;=Imóveis!$T$5),Imóveis!$U$5,0),IF((IF(AND(Dados!$A233&gt;=Imóveis!$Q$5,Dados!$A233&lt;=Imóveis!$T$5),Imóveis!$S$5-(DATEDIF(Imóveis!$Q$5,Dados!$A233,"m")),0))=0,0,((Imóveis!$N$5/Imóveis!$S$5)+((Imóveis!$N$5-((Imóveis!$S$5-(IF(AND(Dados!$A233 &gt;=Imóveis!$Q$5,Dados!$A233&lt;=Imóveis!$T$5),Imóveis!$S$5-(DATEDIF(Imóveis!$Q$5,Dados!$A233,"m")),)))*(Imóveis!$N$5/Imóveis!$S$5)))*Imóveis!$P$5))))*IF(AND(Imóveis!$E$5&gt;0,Dados!$A233&gt;Imóveis!$E$5),0,1)*Imóveis!$I$5</f>
        <v>0</v>
      </c>
      <c r="M233" s="18">
        <f>IF(Imóveis!$F$6="PRICE",IF(AND(Dados!$A233&gt;=Imóveis!$Q$6,Dados!$A233&lt;=Imóveis!$T$6),Imóveis!$U$6,0),IF((IF(AND(Dados!$A233&gt;=Imóveis!$Q$6,Dados!$A233&lt;=Imóveis!$T$6),Imóveis!$S$6-(DATEDIF(Imóveis!$Q$6,Dados!$A233,"m")),0))=0,0,((Imóveis!$N$6/Imóveis!$S$6)+((Imóveis!$N$6-((Imóveis!$S$6-(IF(AND(Dados!$A233&gt;=Imóveis!$Q$6,Dados!$A233&lt;=Imóveis!$T$6),Imóveis!$S$6-(DATEDIF(Imóveis!$Q$6,Dados!$A233,"m")),)))*(Imóveis!$N$6/Imóveis!$S$6)))*Imóveis!$P$6))))*IF(AND(Imóveis!$E$6&gt;0,Dados!$A233&gt;Imóveis!$E$6),0,1)*Imóveis!$I$6</f>
        <v>0</v>
      </c>
      <c r="N233" s="18">
        <f t="shared" si="29"/>
        <v>37000</v>
      </c>
      <c r="O233" s="18">
        <f>SUMIFS(Receitas!$F:$F,Receitas!$J:$J,"&lt;="&amp;$A233,Receitas!$L:$L,"&gt;="&amp;$A233,Receitas!$C:$C,O$1,Receitas!$M:$M,"Mensal")+SUMIFS(Receitas!$F:$F,Receitas!$J:$J,"&lt;="&amp;$A233,Receitas!$L:$L,"&gt;="&amp;$A233,Receitas!$C:$C,O$1,Receitas!$M:$M,$B233)</f>
        <v>50000</v>
      </c>
      <c r="P233" s="18">
        <f>SUMIFS(Receitas!$F:$F,Receitas!$J:$J,"&lt;="&amp;$A233,Receitas!$L:$L,"&gt;="&amp;$A233,Receitas!$C:$C,P$1,Receitas!$M:$M,"Mensal")+SUMIFS(Receitas!$F:$F,Receitas!$J:$J,"&lt;="&amp;$A233,Receitas!$L:$L,"&gt;="&amp;$A233,Receitas!$C:$C,P$1,Receitas!$M:$M,$B233)</f>
        <v>85000</v>
      </c>
      <c r="Q233" s="18">
        <f>SUMIFS(Receitas!$F:$F,Receitas!$J:$J,"&lt;="&amp;$A233,Receitas!$L:$L,"&gt;="&amp;$A233,Receitas!$C:$C,Q$1,Receitas!$M:$M,"Mensal")+SUMIFS(Receitas!$F:$F,Receitas!$J:$J,"&lt;="&amp;$A233,Receitas!$L:$L,"&gt;="&amp;$A233,Receitas!$C:$C,Q$1,Receitas!$M:$M,$B233)</f>
        <v>0</v>
      </c>
      <c r="R233" s="18" cm="1">
        <f t="array" ref="R233">(IF(AND(Membros!$F$2="Sim",A233&lt;=MAX(Membros!$E$2:$E$5)),Membros!K$2,IF(AND(A233&gt;=Membros!J$2,A233&lt;=MAX(Membros!$E$2:$E$5)),Membros!K$2,0))+IF(AND(Membros!$F$3="Sim",A233&lt;=MAX(Membros!$E$2:$E$5)),Membros!K$3,IF(AND(A233&gt;=Membros!J$3,A233&lt;=MAX(Membros!$E$2:$E$5)),Membros!K$3,0)))*IF(AND(COUNTIFS(Tabela3[Tipo],"Provedor",Tabela3[Simulação Seguro],"Sim")=2,A233&gt;=MAX(IF(Tabela3[Tipo]="Dependente",Tabela3[Expectativa de Vida (Data)]))),0,1)</f>
        <v>0</v>
      </c>
      <c r="S233" s="18">
        <f t="shared" si="30"/>
        <v>135000</v>
      </c>
      <c r="U233" s="18">
        <f t="shared" ca="1" si="33"/>
        <v>12308615.616736731</v>
      </c>
      <c r="V233" s="18">
        <f>SUMIF(Imóveis!E:E,Dados!A:A,Imóveis!Z:Z)-SUMIF(Imóveis!E:E,Dados!A:A,Imóveis!Y:Y)</f>
        <v>0</v>
      </c>
      <c r="W233" s="18">
        <f>-SUMIF(Projetos!N:N,A233,Projetos!F:F)</f>
        <v>0</v>
      </c>
      <c r="X233" s="18">
        <f t="shared" si="27"/>
        <v>98000</v>
      </c>
      <c r="Y233" s="26">
        <f ca="1">(U233*((Indicadores_Economicos!D$2+1)^(1/12)-1))</f>
        <v>40295.204608305859</v>
      </c>
      <c r="Z233" s="18">
        <f t="shared" ca="1" si="31"/>
        <v>12446910.821345037</v>
      </c>
      <c r="AA233" s="18">
        <f ca="1">Auxiliar_Projetos!E233</f>
        <v>8.3193118284396236E-10</v>
      </c>
      <c r="AB233" s="18">
        <f ca="1">Auxiliar_Projetos!K233</f>
        <v>6.399470637261247E-10</v>
      </c>
      <c r="AC233" s="18">
        <f ca="1">IF(Z233-AA233-AB233&gt;Investimentos!$C$14,Investimentos!$C$14,IF(Z233-AA233-AB233&lt;Investimentos!$C$14,Z233-AA233-AB233,0))</f>
        <v>300000</v>
      </c>
      <c r="AD233" s="18">
        <f t="shared" ca="1" si="32"/>
        <v>12146910.821345037</v>
      </c>
      <c r="AE233" s="18"/>
    </row>
    <row r="234" spans="1:31" x14ac:dyDescent="0.2">
      <c r="A234" s="4">
        <v>52718</v>
      </c>
      <c r="B234" s="5" t="str">
        <f t="shared" si="28"/>
        <v>maio</v>
      </c>
      <c r="C234" s="5" t="str">
        <f t="shared" si="34"/>
        <v>2044</v>
      </c>
      <c r="D234" s="5">
        <f>SUMIFS(Despesas!$F:$F,Despesas!$J:$J,"&lt;="&amp;$A234,Despesas!$L:$L,"&gt;="&amp;$A234,Despesas!$C:$C,D$1,Despesas!$M:$M,"Mensal")+SUMIFS(Despesas!$F:$F,Despesas!$J:$J,"&lt;="&amp;$A234,Despesas!$L:$L,"&gt;="&amp;$A234,Despesas!$C:$C,D$1,Despesas!$M:$M,$B234)</f>
        <v>23000</v>
      </c>
      <c r="E234" s="18">
        <f>SUMIFS(Despesas!$F:$F,Despesas!$J:$J,"&lt;="&amp;$A234,Despesas!$L:$L,"&gt;="&amp;$A234,Despesas!$C:$C,E$1,Despesas!$M:$M,"Mensal")+SUMIFS(Despesas!$F:$F,Despesas!$J:$J,"&lt;="&amp;$A234,Despesas!$L:$L,"&gt;="&amp;$A234,Despesas!$C:$C,E$1,Despesas!$M:$M,$B234)</f>
        <v>0</v>
      </c>
      <c r="F234" s="5">
        <f>SUMIFS(Despesas!$F:$F,Despesas!$J:$J,"&lt;="&amp;$A234,Despesas!$L:$L,"&gt;="&amp;$A234,Despesas!$C:$C,F$1,Despesas!$M:$M,"Mensal")+SUMIFS(Despesas!$F:$F,Despesas!$J:$J,"&lt;="&amp;$A234,Despesas!$L:$L,"&gt;="&amp;$A234,Despesas!$C:$C,F$1,Despesas!$M:$M,$B234)</f>
        <v>13000</v>
      </c>
      <c r="G234" s="5">
        <f>SUMIFS(Despesas!$F:$F,Despesas!$J:$J,"&lt;="&amp;$A234,Despesas!$L:$L,"&gt;="&amp;$A234,Despesas!$C:$C,G$1,Despesas!$M:$M,"Mensal")+SUMIFS(Despesas!$F:$F,Despesas!$J:$J,"&lt;="&amp;$A234,Despesas!$L:$L,"&gt;="&amp;$A234,Despesas!$C:$C,G$1,Despesas!$M:$M,$B234)</f>
        <v>0</v>
      </c>
      <c r="H234" s="18">
        <f>SUMIFS(Despesas!$F:$F,Despesas!$J:$J,"&lt;="&amp;$A234,Despesas!$L:$L,"&gt;="&amp;$A234,Despesas!$C:$C,H$1,Despesas!$M:$M,"Mensal")+SUMIFS(Despesas!$F:$F,Despesas!$J:$J,"&lt;="&amp;$A234,Despesas!$L:$L,"&gt;="&amp;$A234,Despesas!$C:$C,H$1,Despesas!$M:$M,$B234)</f>
        <v>1000</v>
      </c>
      <c r="I234" s="18">
        <f>IF(Imóveis!$F$2="PRICE",IF(AND(Dados!$A234&gt;=Imóveis!$Q$2,Dados!$A234&lt;=Imóveis!$T$2),Imóveis!$U$2,0),IF((IF(AND(Dados!$A234&gt;=Imóveis!$Q$2,Dados!$A234&lt;=Imóveis!$T$2),Imóveis!$S$2-(DATEDIF(Imóveis!$Q$2,Dados!$A234,"m")),0))=0,0,((Imóveis!$N$2/Imóveis!$S$2)+((Imóveis!$N$2-((Imóveis!$S$2-(IF(AND(Dados!$A234&gt;=Imóveis!$Q$2,Dados!$A234&lt;=Imóveis!$T$2),Imóveis!$S$2-(DATEDIF(Imóveis!$Q$2,Dados!$A234,"m")),)))*(Imóveis!$N$2/Imóveis!$S$2)))*Imóveis!$P$2))))*IF(AND(Imóveis!$E$2&gt;0,Dados!$A234&gt;Imóveis!$E$2),0,1)</f>
        <v>0</v>
      </c>
      <c r="J234" s="18">
        <f>IF(Imóveis!$F$3="PRICE",IF(AND(Dados!$A234&gt;=Imóveis!$Q$3,Dados!$A234&lt;=Imóveis!$T$3),Imóveis!$U$3,0),IF((IF(AND(Dados!$A234&gt;=Imóveis!$Q$3,Dados!$A234&lt;=Imóveis!$T$3),Imóveis!$S$3-(DATEDIF(Imóveis!$Q$3,Dados!$A234,"m")),0))=0,0,((Imóveis!$N$3/Imóveis!$S$3)+((Imóveis!$N$3-((Imóveis!$S$3-(IF(AND(Dados!$A234&gt;=Imóveis!$Q$3,Dados!$A234&lt;=Imóveis!$T$3),Imóveis!$S$3-(DATEDIF(Imóveis!$Q$3,Dados!$A234,"m")),)))*(Imóveis!$N$3/Imóveis!$S$3)))*Imóveis!$P$3))))*IF(AND(Imóveis!$E$3&gt;0,Dados!$A234&gt;Imóveis!$E$3),0,1)</f>
        <v>0</v>
      </c>
      <c r="K234" s="18">
        <f>IF(Imóveis!$F$4="PRICE",IF(AND(Dados!$A234&gt;=Imóveis!$Q$4,Dados!$A234&lt;=Imóveis!$T$4),Imóveis!$U$4,0),IF((IF(AND(Dados!$A234&gt;=Imóveis!$Q$4,Dados!$A234&lt;=Imóveis!$T$4),Imóveis!$S$4-(DATEDIF(Imóveis!$Q$4,Dados!$A234,"m")),0))=0,0,((Imóveis!$N$4/Imóveis!$S$4)+((Imóveis!$N$4-((Imóveis!$S$4-(IF(AND(Dados!$A234&gt;=Imóveis!$Q$4,Dados!$A234&lt;=Imóveis!$T$4),Imóveis!$S$4-(DATEDIF(Imóveis!$Q$4,Dados!$A234,"m")),)))*(Imóveis!$N$4/Imóveis!$S$4)))*Imóveis!$P$4))))*IF(AND(Imóveis!$E$4&gt;0,Dados!$A234&gt;Imóveis!$E$4),0,1)</f>
        <v>0</v>
      </c>
      <c r="L234" s="18">
        <f>IF(Imóveis!$F$5="PRICE",IF(AND(Dados!$A234&gt;=Imóveis!$Q$5,Dados!$A234&lt;=Imóveis!$T$5),Imóveis!$U$5,0),IF((IF(AND(Dados!$A234&gt;=Imóveis!$Q$5,Dados!$A234&lt;=Imóveis!$T$5),Imóveis!$S$5-(DATEDIF(Imóveis!$Q$5,Dados!$A234,"m")),0))=0,0,((Imóveis!$N$5/Imóveis!$S$5)+((Imóveis!$N$5-((Imóveis!$S$5-(IF(AND(Dados!$A234 &gt;=Imóveis!$Q$5,Dados!$A234&lt;=Imóveis!$T$5),Imóveis!$S$5-(DATEDIF(Imóveis!$Q$5,Dados!$A234,"m")),)))*(Imóveis!$N$5/Imóveis!$S$5)))*Imóveis!$P$5))))*IF(AND(Imóveis!$E$5&gt;0,Dados!$A234&gt;Imóveis!$E$5),0,1)*Imóveis!$I$5</f>
        <v>0</v>
      </c>
      <c r="M234" s="18">
        <f>IF(Imóveis!$F$6="PRICE",IF(AND(Dados!$A234&gt;=Imóveis!$Q$6,Dados!$A234&lt;=Imóveis!$T$6),Imóveis!$U$6,0),IF((IF(AND(Dados!$A234&gt;=Imóveis!$Q$6,Dados!$A234&lt;=Imóveis!$T$6),Imóveis!$S$6-(DATEDIF(Imóveis!$Q$6,Dados!$A234,"m")),0))=0,0,((Imóveis!$N$6/Imóveis!$S$6)+((Imóveis!$N$6-((Imóveis!$S$6-(IF(AND(Dados!$A234&gt;=Imóveis!$Q$6,Dados!$A234&lt;=Imóveis!$T$6),Imóveis!$S$6-(DATEDIF(Imóveis!$Q$6,Dados!$A234,"m")),)))*(Imóveis!$N$6/Imóveis!$S$6)))*Imóveis!$P$6))))*IF(AND(Imóveis!$E$6&gt;0,Dados!$A234&gt;Imóveis!$E$6),0,1)*Imóveis!$I$6</f>
        <v>0</v>
      </c>
      <c r="N234" s="18">
        <f t="shared" si="29"/>
        <v>37000</v>
      </c>
      <c r="O234" s="18">
        <f>SUMIFS(Receitas!$F:$F,Receitas!$J:$J,"&lt;="&amp;$A234,Receitas!$L:$L,"&gt;="&amp;$A234,Receitas!$C:$C,O$1,Receitas!$M:$M,"Mensal")+SUMIFS(Receitas!$F:$F,Receitas!$J:$J,"&lt;="&amp;$A234,Receitas!$L:$L,"&gt;="&amp;$A234,Receitas!$C:$C,O$1,Receitas!$M:$M,$B234)</f>
        <v>50000</v>
      </c>
      <c r="P234" s="18">
        <f>SUMIFS(Receitas!$F:$F,Receitas!$J:$J,"&lt;="&amp;$A234,Receitas!$L:$L,"&gt;="&amp;$A234,Receitas!$C:$C,P$1,Receitas!$M:$M,"Mensal")+SUMIFS(Receitas!$F:$F,Receitas!$J:$J,"&lt;="&amp;$A234,Receitas!$L:$L,"&gt;="&amp;$A234,Receitas!$C:$C,P$1,Receitas!$M:$M,$B234)</f>
        <v>20000</v>
      </c>
      <c r="Q234" s="18">
        <f>SUMIFS(Receitas!$F:$F,Receitas!$J:$J,"&lt;="&amp;$A234,Receitas!$L:$L,"&gt;="&amp;$A234,Receitas!$C:$C,Q$1,Receitas!$M:$M,"Mensal")+SUMIFS(Receitas!$F:$F,Receitas!$J:$J,"&lt;="&amp;$A234,Receitas!$L:$L,"&gt;="&amp;$A234,Receitas!$C:$C,Q$1,Receitas!$M:$M,$B234)</f>
        <v>0</v>
      </c>
      <c r="R234" s="18" cm="1">
        <f t="array" ref="R234">(IF(AND(Membros!$F$2="Sim",A234&lt;=MAX(Membros!$E$2:$E$5)),Membros!K$2,IF(AND(A234&gt;=Membros!J$2,A234&lt;=MAX(Membros!$E$2:$E$5)),Membros!K$2,0))+IF(AND(Membros!$F$3="Sim",A234&lt;=MAX(Membros!$E$2:$E$5)),Membros!K$3,IF(AND(A234&gt;=Membros!J$3,A234&lt;=MAX(Membros!$E$2:$E$5)),Membros!K$3,0)))*IF(AND(COUNTIFS(Tabela3[Tipo],"Provedor",Tabela3[Simulação Seguro],"Sim")=2,A234&gt;=MAX(IF(Tabela3[Tipo]="Dependente",Tabela3[Expectativa de Vida (Data)]))),0,1)</f>
        <v>0</v>
      </c>
      <c r="S234" s="18">
        <f t="shared" si="30"/>
        <v>70000</v>
      </c>
      <c r="U234" s="18">
        <f t="shared" ca="1" si="33"/>
        <v>12446910.821345037</v>
      </c>
      <c r="V234" s="18">
        <f>SUMIF(Imóveis!E:E,Dados!A:A,Imóveis!Z:Z)-SUMIF(Imóveis!E:E,Dados!A:A,Imóveis!Y:Y)</f>
        <v>0</v>
      </c>
      <c r="W234" s="18">
        <f>-SUMIF(Projetos!N:N,A234,Projetos!F:F)</f>
        <v>0</v>
      </c>
      <c r="X234" s="18">
        <f t="shared" si="27"/>
        <v>33000</v>
      </c>
      <c r="Y234" s="26">
        <f ca="1">(U234*((Indicadores_Economicos!D$2+1)^(1/12)-1))</f>
        <v>40747.947121319412</v>
      </c>
      <c r="Z234" s="18">
        <f t="shared" ca="1" si="31"/>
        <v>12520658.768466357</v>
      </c>
      <c r="AA234" s="18">
        <f ca="1">Auxiliar_Projetos!E234</f>
        <v>8.3465470905329044E-10</v>
      </c>
      <c r="AB234" s="18">
        <f ca="1">Auxiliar_Projetos!K234</f>
        <v>6.4204208388714633E-10</v>
      </c>
      <c r="AC234" s="18">
        <f ca="1">IF(Z234-AA234-AB234&gt;Investimentos!$C$14,Investimentos!$C$14,IF(Z234-AA234-AB234&lt;Investimentos!$C$14,Z234-AA234-AB234,0))</f>
        <v>300000</v>
      </c>
      <c r="AD234" s="18">
        <f t="shared" ca="1" si="32"/>
        <v>12220658.768466357</v>
      </c>
      <c r="AE234" s="18"/>
    </row>
    <row r="235" spans="1:31" x14ac:dyDescent="0.2">
      <c r="A235" s="4">
        <v>52749</v>
      </c>
      <c r="B235" s="5" t="str">
        <f t="shared" si="28"/>
        <v>junho</v>
      </c>
      <c r="C235" s="5" t="str">
        <f t="shared" si="34"/>
        <v>2044</v>
      </c>
      <c r="D235" s="5">
        <f>SUMIFS(Despesas!$F:$F,Despesas!$J:$J,"&lt;="&amp;$A235,Despesas!$L:$L,"&gt;="&amp;$A235,Despesas!$C:$C,D$1,Despesas!$M:$M,"Mensal")+SUMIFS(Despesas!$F:$F,Despesas!$J:$J,"&lt;="&amp;$A235,Despesas!$L:$L,"&gt;="&amp;$A235,Despesas!$C:$C,D$1,Despesas!$M:$M,$B235)</f>
        <v>23000</v>
      </c>
      <c r="E235" s="18">
        <f>SUMIFS(Despesas!$F:$F,Despesas!$J:$J,"&lt;="&amp;$A235,Despesas!$L:$L,"&gt;="&amp;$A235,Despesas!$C:$C,E$1,Despesas!$M:$M,"Mensal")+SUMIFS(Despesas!$F:$F,Despesas!$J:$J,"&lt;="&amp;$A235,Despesas!$L:$L,"&gt;="&amp;$A235,Despesas!$C:$C,E$1,Despesas!$M:$M,$B235)</f>
        <v>0</v>
      </c>
      <c r="F235" s="5">
        <f>SUMIFS(Despesas!$F:$F,Despesas!$J:$J,"&lt;="&amp;$A235,Despesas!$L:$L,"&gt;="&amp;$A235,Despesas!$C:$C,F$1,Despesas!$M:$M,"Mensal")+SUMIFS(Despesas!$F:$F,Despesas!$J:$J,"&lt;="&amp;$A235,Despesas!$L:$L,"&gt;="&amp;$A235,Despesas!$C:$C,F$1,Despesas!$M:$M,$B235)</f>
        <v>13000</v>
      </c>
      <c r="G235" s="5">
        <f>SUMIFS(Despesas!$F:$F,Despesas!$J:$J,"&lt;="&amp;$A235,Despesas!$L:$L,"&gt;="&amp;$A235,Despesas!$C:$C,G$1,Despesas!$M:$M,"Mensal")+SUMIFS(Despesas!$F:$F,Despesas!$J:$J,"&lt;="&amp;$A235,Despesas!$L:$L,"&gt;="&amp;$A235,Despesas!$C:$C,G$1,Despesas!$M:$M,$B235)</f>
        <v>0</v>
      </c>
      <c r="H235" s="18">
        <f>SUMIFS(Despesas!$F:$F,Despesas!$J:$J,"&lt;="&amp;$A235,Despesas!$L:$L,"&gt;="&amp;$A235,Despesas!$C:$C,H$1,Despesas!$M:$M,"Mensal")+SUMIFS(Despesas!$F:$F,Despesas!$J:$J,"&lt;="&amp;$A235,Despesas!$L:$L,"&gt;="&amp;$A235,Despesas!$C:$C,H$1,Despesas!$M:$M,$B235)</f>
        <v>1000</v>
      </c>
      <c r="I235" s="18">
        <f>IF(Imóveis!$F$2="PRICE",IF(AND(Dados!$A235&gt;=Imóveis!$Q$2,Dados!$A235&lt;=Imóveis!$T$2),Imóveis!$U$2,0),IF((IF(AND(Dados!$A235&gt;=Imóveis!$Q$2,Dados!$A235&lt;=Imóveis!$T$2),Imóveis!$S$2-(DATEDIF(Imóveis!$Q$2,Dados!$A235,"m")),0))=0,0,((Imóveis!$N$2/Imóveis!$S$2)+((Imóveis!$N$2-((Imóveis!$S$2-(IF(AND(Dados!$A235&gt;=Imóveis!$Q$2,Dados!$A235&lt;=Imóveis!$T$2),Imóveis!$S$2-(DATEDIF(Imóveis!$Q$2,Dados!$A235,"m")),)))*(Imóveis!$N$2/Imóveis!$S$2)))*Imóveis!$P$2))))*IF(AND(Imóveis!$E$2&gt;0,Dados!$A235&gt;Imóveis!$E$2),0,1)</f>
        <v>0</v>
      </c>
      <c r="J235" s="18">
        <f>IF(Imóveis!$F$3="PRICE",IF(AND(Dados!$A235&gt;=Imóveis!$Q$3,Dados!$A235&lt;=Imóveis!$T$3),Imóveis!$U$3,0),IF((IF(AND(Dados!$A235&gt;=Imóveis!$Q$3,Dados!$A235&lt;=Imóveis!$T$3),Imóveis!$S$3-(DATEDIF(Imóveis!$Q$3,Dados!$A235,"m")),0))=0,0,((Imóveis!$N$3/Imóveis!$S$3)+((Imóveis!$N$3-((Imóveis!$S$3-(IF(AND(Dados!$A235&gt;=Imóveis!$Q$3,Dados!$A235&lt;=Imóveis!$T$3),Imóveis!$S$3-(DATEDIF(Imóveis!$Q$3,Dados!$A235,"m")),)))*(Imóveis!$N$3/Imóveis!$S$3)))*Imóveis!$P$3))))*IF(AND(Imóveis!$E$3&gt;0,Dados!$A235&gt;Imóveis!$E$3),0,1)</f>
        <v>0</v>
      </c>
      <c r="K235" s="18">
        <f>IF(Imóveis!$F$4="PRICE",IF(AND(Dados!$A235&gt;=Imóveis!$Q$4,Dados!$A235&lt;=Imóveis!$T$4),Imóveis!$U$4,0),IF((IF(AND(Dados!$A235&gt;=Imóveis!$Q$4,Dados!$A235&lt;=Imóveis!$T$4),Imóveis!$S$4-(DATEDIF(Imóveis!$Q$4,Dados!$A235,"m")),0))=0,0,((Imóveis!$N$4/Imóveis!$S$4)+((Imóveis!$N$4-((Imóveis!$S$4-(IF(AND(Dados!$A235&gt;=Imóveis!$Q$4,Dados!$A235&lt;=Imóveis!$T$4),Imóveis!$S$4-(DATEDIF(Imóveis!$Q$4,Dados!$A235,"m")),)))*(Imóveis!$N$4/Imóveis!$S$4)))*Imóveis!$P$4))))*IF(AND(Imóveis!$E$4&gt;0,Dados!$A235&gt;Imóveis!$E$4),0,1)</f>
        <v>0</v>
      </c>
      <c r="L235" s="18">
        <f>IF(Imóveis!$F$5="PRICE",IF(AND(Dados!$A235&gt;=Imóveis!$Q$5,Dados!$A235&lt;=Imóveis!$T$5),Imóveis!$U$5,0),IF((IF(AND(Dados!$A235&gt;=Imóveis!$Q$5,Dados!$A235&lt;=Imóveis!$T$5),Imóveis!$S$5-(DATEDIF(Imóveis!$Q$5,Dados!$A235,"m")),0))=0,0,((Imóveis!$N$5/Imóveis!$S$5)+((Imóveis!$N$5-((Imóveis!$S$5-(IF(AND(Dados!$A235 &gt;=Imóveis!$Q$5,Dados!$A235&lt;=Imóveis!$T$5),Imóveis!$S$5-(DATEDIF(Imóveis!$Q$5,Dados!$A235,"m")),)))*(Imóveis!$N$5/Imóveis!$S$5)))*Imóveis!$P$5))))*IF(AND(Imóveis!$E$5&gt;0,Dados!$A235&gt;Imóveis!$E$5),0,1)*Imóveis!$I$5</f>
        <v>0</v>
      </c>
      <c r="M235" s="18">
        <f>IF(Imóveis!$F$6="PRICE",IF(AND(Dados!$A235&gt;=Imóveis!$Q$6,Dados!$A235&lt;=Imóveis!$T$6),Imóveis!$U$6,0),IF((IF(AND(Dados!$A235&gt;=Imóveis!$Q$6,Dados!$A235&lt;=Imóveis!$T$6),Imóveis!$S$6-(DATEDIF(Imóveis!$Q$6,Dados!$A235,"m")),0))=0,0,((Imóveis!$N$6/Imóveis!$S$6)+((Imóveis!$N$6-((Imóveis!$S$6-(IF(AND(Dados!$A235&gt;=Imóveis!$Q$6,Dados!$A235&lt;=Imóveis!$T$6),Imóveis!$S$6-(DATEDIF(Imóveis!$Q$6,Dados!$A235,"m")),)))*(Imóveis!$N$6/Imóveis!$S$6)))*Imóveis!$P$6))))*IF(AND(Imóveis!$E$6&gt;0,Dados!$A235&gt;Imóveis!$E$6),0,1)*Imóveis!$I$6</f>
        <v>0</v>
      </c>
      <c r="N235" s="18">
        <f t="shared" si="29"/>
        <v>37000</v>
      </c>
      <c r="O235" s="18">
        <f>SUMIFS(Receitas!$F:$F,Receitas!$J:$J,"&lt;="&amp;$A235,Receitas!$L:$L,"&gt;="&amp;$A235,Receitas!$C:$C,O$1,Receitas!$M:$M,"Mensal")+SUMIFS(Receitas!$F:$F,Receitas!$J:$J,"&lt;="&amp;$A235,Receitas!$L:$L,"&gt;="&amp;$A235,Receitas!$C:$C,O$1,Receitas!$M:$M,$B235)</f>
        <v>50000</v>
      </c>
      <c r="P235" s="18">
        <f>SUMIFS(Receitas!$F:$F,Receitas!$J:$J,"&lt;="&amp;$A235,Receitas!$L:$L,"&gt;="&amp;$A235,Receitas!$C:$C,P$1,Receitas!$M:$M,"Mensal")+SUMIFS(Receitas!$F:$F,Receitas!$J:$J,"&lt;="&amp;$A235,Receitas!$L:$L,"&gt;="&amp;$A235,Receitas!$C:$C,P$1,Receitas!$M:$M,$B235)</f>
        <v>20000</v>
      </c>
      <c r="Q235" s="18">
        <f>SUMIFS(Receitas!$F:$F,Receitas!$J:$J,"&lt;="&amp;$A235,Receitas!$L:$L,"&gt;="&amp;$A235,Receitas!$C:$C,Q$1,Receitas!$M:$M,"Mensal")+SUMIFS(Receitas!$F:$F,Receitas!$J:$J,"&lt;="&amp;$A235,Receitas!$L:$L,"&gt;="&amp;$A235,Receitas!$C:$C,Q$1,Receitas!$M:$M,$B235)</f>
        <v>0</v>
      </c>
      <c r="R235" s="18" cm="1">
        <f t="array" ref="R235">(IF(AND(Membros!$F$2="Sim",A235&lt;=MAX(Membros!$E$2:$E$5)),Membros!K$2,IF(AND(A235&gt;=Membros!J$2,A235&lt;=MAX(Membros!$E$2:$E$5)),Membros!K$2,0))+IF(AND(Membros!$F$3="Sim",A235&lt;=MAX(Membros!$E$2:$E$5)),Membros!K$3,IF(AND(A235&gt;=Membros!J$3,A235&lt;=MAX(Membros!$E$2:$E$5)),Membros!K$3,0)))*IF(AND(COUNTIFS(Tabela3[Tipo],"Provedor",Tabela3[Simulação Seguro],"Sim")=2,A235&gt;=MAX(IF(Tabela3[Tipo]="Dependente",Tabela3[Expectativa de Vida (Data)]))),0,1)</f>
        <v>0</v>
      </c>
      <c r="S235" s="18">
        <f t="shared" si="30"/>
        <v>70000</v>
      </c>
      <c r="U235" s="18">
        <f t="shared" ca="1" si="33"/>
        <v>12520658.768466357</v>
      </c>
      <c r="V235" s="18">
        <f>SUMIF(Imóveis!E:E,Dados!A:A,Imóveis!Z:Z)-SUMIF(Imóveis!E:E,Dados!A:A,Imóveis!Y:Y)</f>
        <v>0</v>
      </c>
      <c r="W235" s="18">
        <f>-SUMIF(Projetos!N:N,A235,Projetos!F:F)</f>
        <v>0</v>
      </c>
      <c r="X235" s="18">
        <f t="shared" si="27"/>
        <v>33000</v>
      </c>
      <c r="Y235" s="26">
        <f ca="1">(U235*((Indicadores_Economicos!D$2+1)^(1/12)-1))</f>
        <v>40989.37870966598</v>
      </c>
      <c r="Z235" s="18">
        <f t="shared" ca="1" si="31"/>
        <v>12594648.147176024</v>
      </c>
      <c r="AA235" s="18">
        <f ca="1">Auxiliar_Projetos!E235</f>
        <v>8.3738715137871783E-10</v>
      </c>
      <c r="AB235" s="18">
        <f ca="1">Auxiliar_Projetos!K235</f>
        <v>6.4414396259901355E-10</v>
      </c>
      <c r="AC235" s="18">
        <f ca="1">IF(Z235-AA235-AB235&gt;Investimentos!$C$14,Investimentos!$C$14,IF(Z235-AA235-AB235&lt;Investimentos!$C$14,Z235-AA235-AB235,0))</f>
        <v>300000</v>
      </c>
      <c r="AD235" s="18">
        <f t="shared" ca="1" si="32"/>
        <v>12294648.147176024</v>
      </c>
      <c r="AE235" s="18"/>
    </row>
    <row r="236" spans="1:31" x14ac:dyDescent="0.2">
      <c r="A236" s="4">
        <v>52779</v>
      </c>
      <c r="B236" s="5" t="str">
        <f t="shared" si="28"/>
        <v>julho</v>
      </c>
      <c r="C236" s="5" t="str">
        <f t="shared" si="34"/>
        <v>2044</v>
      </c>
      <c r="D236" s="5">
        <f>SUMIFS(Despesas!$F:$F,Despesas!$J:$J,"&lt;="&amp;$A236,Despesas!$L:$L,"&gt;="&amp;$A236,Despesas!$C:$C,D$1,Despesas!$M:$M,"Mensal")+SUMIFS(Despesas!$F:$F,Despesas!$J:$J,"&lt;="&amp;$A236,Despesas!$L:$L,"&gt;="&amp;$A236,Despesas!$C:$C,D$1,Despesas!$M:$M,$B236)</f>
        <v>23000</v>
      </c>
      <c r="E236" s="18">
        <f>SUMIFS(Despesas!$F:$F,Despesas!$J:$J,"&lt;="&amp;$A236,Despesas!$L:$L,"&gt;="&amp;$A236,Despesas!$C:$C,E$1,Despesas!$M:$M,"Mensal")+SUMIFS(Despesas!$F:$F,Despesas!$J:$J,"&lt;="&amp;$A236,Despesas!$L:$L,"&gt;="&amp;$A236,Despesas!$C:$C,E$1,Despesas!$M:$M,$B236)</f>
        <v>0</v>
      </c>
      <c r="F236" s="5">
        <f>SUMIFS(Despesas!$F:$F,Despesas!$J:$J,"&lt;="&amp;$A236,Despesas!$L:$L,"&gt;="&amp;$A236,Despesas!$C:$C,F$1,Despesas!$M:$M,"Mensal")+SUMIFS(Despesas!$F:$F,Despesas!$J:$J,"&lt;="&amp;$A236,Despesas!$L:$L,"&gt;="&amp;$A236,Despesas!$C:$C,F$1,Despesas!$M:$M,$B236)</f>
        <v>13000</v>
      </c>
      <c r="G236" s="5">
        <f ca="1">SUMIFS(Despesas!$F:$F,Despesas!$J:$J,"&lt;="&amp;$A236,Despesas!$L:$L,"&gt;="&amp;$A236,Despesas!$C:$C,G$1,Despesas!$M:$M,"Mensal")+SUMIFS(Despesas!$F:$F,Despesas!$J:$J,"&lt;="&amp;$A236,Despesas!$L:$L,"&gt;="&amp;$A236,Despesas!$C:$C,G$1,Despesas!$M:$M,$B236)</f>
        <v>55757</v>
      </c>
      <c r="H236" s="18">
        <f>SUMIFS(Despesas!$F:$F,Despesas!$J:$J,"&lt;="&amp;$A236,Despesas!$L:$L,"&gt;="&amp;$A236,Despesas!$C:$C,H$1,Despesas!$M:$M,"Mensal")+SUMIFS(Despesas!$F:$F,Despesas!$J:$J,"&lt;="&amp;$A236,Despesas!$L:$L,"&gt;="&amp;$A236,Despesas!$C:$C,H$1,Despesas!$M:$M,$B236)</f>
        <v>1000</v>
      </c>
      <c r="I236" s="18">
        <f>IF(Imóveis!$F$2="PRICE",IF(AND(Dados!$A236&gt;=Imóveis!$Q$2,Dados!$A236&lt;=Imóveis!$T$2),Imóveis!$U$2,0),IF((IF(AND(Dados!$A236&gt;=Imóveis!$Q$2,Dados!$A236&lt;=Imóveis!$T$2),Imóveis!$S$2-(DATEDIF(Imóveis!$Q$2,Dados!$A236,"m")),0))=0,0,((Imóveis!$N$2/Imóveis!$S$2)+((Imóveis!$N$2-((Imóveis!$S$2-(IF(AND(Dados!$A236&gt;=Imóveis!$Q$2,Dados!$A236&lt;=Imóveis!$T$2),Imóveis!$S$2-(DATEDIF(Imóveis!$Q$2,Dados!$A236,"m")),)))*(Imóveis!$N$2/Imóveis!$S$2)))*Imóveis!$P$2))))*IF(AND(Imóveis!$E$2&gt;0,Dados!$A236&gt;Imóveis!$E$2),0,1)</f>
        <v>0</v>
      </c>
      <c r="J236" s="18">
        <f>IF(Imóveis!$F$3="PRICE",IF(AND(Dados!$A236&gt;=Imóveis!$Q$3,Dados!$A236&lt;=Imóveis!$T$3),Imóveis!$U$3,0),IF((IF(AND(Dados!$A236&gt;=Imóveis!$Q$3,Dados!$A236&lt;=Imóveis!$T$3),Imóveis!$S$3-(DATEDIF(Imóveis!$Q$3,Dados!$A236,"m")),0))=0,0,((Imóveis!$N$3/Imóveis!$S$3)+((Imóveis!$N$3-((Imóveis!$S$3-(IF(AND(Dados!$A236&gt;=Imóveis!$Q$3,Dados!$A236&lt;=Imóveis!$T$3),Imóveis!$S$3-(DATEDIF(Imóveis!$Q$3,Dados!$A236,"m")),)))*(Imóveis!$N$3/Imóveis!$S$3)))*Imóveis!$P$3))))*IF(AND(Imóveis!$E$3&gt;0,Dados!$A236&gt;Imóveis!$E$3),0,1)</f>
        <v>0</v>
      </c>
      <c r="K236" s="18">
        <f>IF(Imóveis!$F$4="PRICE",IF(AND(Dados!$A236&gt;=Imóveis!$Q$4,Dados!$A236&lt;=Imóveis!$T$4),Imóveis!$U$4,0),IF((IF(AND(Dados!$A236&gt;=Imóveis!$Q$4,Dados!$A236&lt;=Imóveis!$T$4),Imóveis!$S$4-(DATEDIF(Imóveis!$Q$4,Dados!$A236,"m")),0))=0,0,((Imóveis!$N$4/Imóveis!$S$4)+((Imóveis!$N$4-((Imóveis!$S$4-(IF(AND(Dados!$A236&gt;=Imóveis!$Q$4,Dados!$A236&lt;=Imóveis!$T$4),Imóveis!$S$4-(DATEDIF(Imóveis!$Q$4,Dados!$A236,"m")),)))*(Imóveis!$N$4/Imóveis!$S$4)))*Imóveis!$P$4))))*IF(AND(Imóveis!$E$4&gt;0,Dados!$A236&gt;Imóveis!$E$4),0,1)</f>
        <v>0</v>
      </c>
      <c r="L236" s="18">
        <f>IF(Imóveis!$F$5="PRICE",IF(AND(Dados!$A236&gt;=Imóveis!$Q$5,Dados!$A236&lt;=Imóveis!$T$5),Imóveis!$U$5,0),IF((IF(AND(Dados!$A236&gt;=Imóveis!$Q$5,Dados!$A236&lt;=Imóveis!$T$5),Imóveis!$S$5-(DATEDIF(Imóveis!$Q$5,Dados!$A236,"m")),0))=0,0,((Imóveis!$N$5/Imóveis!$S$5)+((Imóveis!$N$5-((Imóveis!$S$5-(IF(AND(Dados!$A236 &gt;=Imóveis!$Q$5,Dados!$A236&lt;=Imóveis!$T$5),Imóveis!$S$5-(DATEDIF(Imóveis!$Q$5,Dados!$A236,"m")),)))*(Imóveis!$N$5/Imóveis!$S$5)))*Imóveis!$P$5))))*IF(AND(Imóveis!$E$5&gt;0,Dados!$A236&gt;Imóveis!$E$5),0,1)*Imóveis!$I$5</f>
        <v>0</v>
      </c>
      <c r="M236" s="18">
        <f>IF(Imóveis!$F$6="PRICE",IF(AND(Dados!$A236&gt;=Imóveis!$Q$6,Dados!$A236&lt;=Imóveis!$T$6),Imóveis!$U$6,0),IF((IF(AND(Dados!$A236&gt;=Imóveis!$Q$6,Dados!$A236&lt;=Imóveis!$T$6),Imóveis!$S$6-(DATEDIF(Imóveis!$Q$6,Dados!$A236,"m")),0))=0,0,((Imóveis!$N$6/Imóveis!$S$6)+((Imóveis!$N$6-((Imóveis!$S$6-(IF(AND(Dados!$A236&gt;=Imóveis!$Q$6,Dados!$A236&lt;=Imóveis!$T$6),Imóveis!$S$6-(DATEDIF(Imóveis!$Q$6,Dados!$A236,"m")),)))*(Imóveis!$N$6/Imóveis!$S$6)))*Imóveis!$P$6))))*IF(AND(Imóveis!$E$6&gt;0,Dados!$A236&gt;Imóveis!$E$6),0,1)*Imóveis!$I$6</f>
        <v>0</v>
      </c>
      <c r="N236" s="18">
        <f t="shared" ca="1" si="29"/>
        <v>92757</v>
      </c>
      <c r="O236" s="18">
        <f>SUMIFS(Receitas!$F:$F,Receitas!$J:$J,"&lt;="&amp;$A236,Receitas!$L:$L,"&gt;="&amp;$A236,Receitas!$C:$C,O$1,Receitas!$M:$M,"Mensal")+SUMIFS(Receitas!$F:$F,Receitas!$J:$J,"&lt;="&amp;$A236,Receitas!$L:$L,"&gt;="&amp;$A236,Receitas!$C:$C,O$1,Receitas!$M:$M,$B236)</f>
        <v>50000</v>
      </c>
      <c r="P236" s="18">
        <f>SUMIFS(Receitas!$F:$F,Receitas!$J:$J,"&lt;="&amp;$A236,Receitas!$L:$L,"&gt;="&amp;$A236,Receitas!$C:$C,P$1,Receitas!$M:$M,"Mensal")+SUMIFS(Receitas!$F:$F,Receitas!$J:$J,"&lt;="&amp;$A236,Receitas!$L:$L,"&gt;="&amp;$A236,Receitas!$C:$C,P$1,Receitas!$M:$M,$B236)</f>
        <v>20000</v>
      </c>
      <c r="Q236" s="18">
        <f>SUMIFS(Receitas!$F:$F,Receitas!$J:$J,"&lt;="&amp;$A236,Receitas!$L:$L,"&gt;="&amp;$A236,Receitas!$C:$C,Q$1,Receitas!$M:$M,"Mensal")+SUMIFS(Receitas!$F:$F,Receitas!$J:$J,"&lt;="&amp;$A236,Receitas!$L:$L,"&gt;="&amp;$A236,Receitas!$C:$C,Q$1,Receitas!$M:$M,$B236)</f>
        <v>0</v>
      </c>
      <c r="R236" s="18" cm="1">
        <f t="array" ref="R236">(IF(AND(Membros!$F$2="Sim",A236&lt;=MAX(Membros!$E$2:$E$5)),Membros!K$2,IF(AND(A236&gt;=Membros!J$2,A236&lt;=MAX(Membros!$E$2:$E$5)),Membros!K$2,0))+IF(AND(Membros!$F$3="Sim",A236&lt;=MAX(Membros!$E$2:$E$5)),Membros!K$3,IF(AND(A236&gt;=Membros!J$3,A236&lt;=MAX(Membros!$E$2:$E$5)),Membros!K$3,0)))*IF(AND(COUNTIFS(Tabela3[Tipo],"Provedor",Tabela3[Simulação Seguro],"Sim")=2,A236&gt;=MAX(IF(Tabela3[Tipo]="Dependente",Tabela3[Expectativa de Vida (Data)]))),0,1)</f>
        <v>0</v>
      </c>
      <c r="S236" s="18">
        <f t="shared" si="30"/>
        <v>70000</v>
      </c>
      <c r="U236" s="18">
        <f t="shared" ca="1" si="33"/>
        <v>12594648.147176024</v>
      </c>
      <c r="V236" s="18">
        <f>SUMIF(Imóveis!E:E,Dados!A:A,Imóveis!Z:Z)-SUMIF(Imóveis!E:E,Dados!A:A,Imóveis!Y:Y)</f>
        <v>0</v>
      </c>
      <c r="W236" s="18">
        <f>-SUMIF(Projetos!N:N,A236,Projetos!F:F)</f>
        <v>0</v>
      </c>
      <c r="X236" s="18">
        <f t="shared" ca="1" si="27"/>
        <v>-22757</v>
      </c>
      <c r="Y236" s="26">
        <f ca="1">(U236*((Indicadores_Economicos!D$2+1)^(1/12)-1))</f>
        <v>41231.600682207994</v>
      </c>
      <c r="Z236" s="18">
        <f t="shared" ca="1" si="31"/>
        <v>12613122.747858232</v>
      </c>
      <c r="AA236" s="18">
        <f ca="1">Auxiliar_Projetos!E236</f>
        <v>8.4012853900928855E-10</v>
      </c>
      <c r="AB236" s="18">
        <f ca="1">Auxiliar_Projetos!K236</f>
        <v>6.4625272231483717E-10</v>
      </c>
      <c r="AC236" s="18">
        <f ca="1">IF(Z236-AA236-AB236&gt;Investimentos!$C$14,Investimentos!$C$14,IF(Z236-AA236-AB236&lt;Investimentos!$C$14,Z236-AA236-AB236,0))</f>
        <v>300000</v>
      </c>
      <c r="AD236" s="18">
        <f t="shared" ca="1" si="32"/>
        <v>12313122.747858232</v>
      </c>
      <c r="AE236" s="18"/>
    </row>
    <row r="237" spans="1:31" x14ac:dyDescent="0.2">
      <c r="A237" s="4">
        <v>52810</v>
      </c>
      <c r="B237" s="5" t="str">
        <f t="shared" si="28"/>
        <v>agosto</v>
      </c>
      <c r="C237" s="5" t="str">
        <f t="shared" si="34"/>
        <v>2044</v>
      </c>
      <c r="D237" s="5">
        <f>SUMIFS(Despesas!$F:$F,Despesas!$J:$J,"&lt;="&amp;$A237,Despesas!$L:$L,"&gt;="&amp;$A237,Despesas!$C:$C,D$1,Despesas!$M:$M,"Mensal")+SUMIFS(Despesas!$F:$F,Despesas!$J:$J,"&lt;="&amp;$A237,Despesas!$L:$L,"&gt;="&amp;$A237,Despesas!$C:$C,D$1,Despesas!$M:$M,$B237)</f>
        <v>23000</v>
      </c>
      <c r="E237" s="18">
        <f>SUMIFS(Despesas!$F:$F,Despesas!$J:$J,"&lt;="&amp;$A237,Despesas!$L:$L,"&gt;="&amp;$A237,Despesas!$C:$C,E$1,Despesas!$M:$M,"Mensal")+SUMIFS(Despesas!$F:$F,Despesas!$J:$J,"&lt;="&amp;$A237,Despesas!$L:$L,"&gt;="&amp;$A237,Despesas!$C:$C,E$1,Despesas!$M:$M,$B237)</f>
        <v>0</v>
      </c>
      <c r="F237" s="5">
        <f>SUMIFS(Despesas!$F:$F,Despesas!$J:$J,"&lt;="&amp;$A237,Despesas!$L:$L,"&gt;="&amp;$A237,Despesas!$C:$C,F$1,Despesas!$M:$M,"Mensal")+SUMIFS(Despesas!$F:$F,Despesas!$J:$J,"&lt;="&amp;$A237,Despesas!$L:$L,"&gt;="&amp;$A237,Despesas!$C:$C,F$1,Despesas!$M:$M,$B237)</f>
        <v>13000</v>
      </c>
      <c r="G237" s="5">
        <f>SUMIFS(Despesas!$F:$F,Despesas!$J:$J,"&lt;="&amp;$A237,Despesas!$L:$L,"&gt;="&amp;$A237,Despesas!$C:$C,G$1,Despesas!$M:$M,"Mensal")+SUMIFS(Despesas!$F:$F,Despesas!$J:$J,"&lt;="&amp;$A237,Despesas!$L:$L,"&gt;="&amp;$A237,Despesas!$C:$C,G$1,Despesas!$M:$M,$B237)</f>
        <v>0</v>
      </c>
      <c r="H237" s="18">
        <f>SUMIFS(Despesas!$F:$F,Despesas!$J:$J,"&lt;="&amp;$A237,Despesas!$L:$L,"&gt;="&amp;$A237,Despesas!$C:$C,H$1,Despesas!$M:$M,"Mensal")+SUMIFS(Despesas!$F:$F,Despesas!$J:$J,"&lt;="&amp;$A237,Despesas!$L:$L,"&gt;="&amp;$A237,Despesas!$C:$C,H$1,Despesas!$M:$M,$B237)</f>
        <v>1000</v>
      </c>
      <c r="I237" s="18">
        <f>IF(Imóveis!$F$2="PRICE",IF(AND(Dados!$A237&gt;=Imóveis!$Q$2,Dados!$A237&lt;=Imóveis!$T$2),Imóveis!$U$2,0),IF((IF(AND(Dados!$A237&gt;=Imóveis!$Q$2,Dados!$A237&lt;=Imóveis!$T$2),Imóveis!$S$2-(DATEDIF(Imóveis!$Q$2,Dados!$A237,"m")),0))=0,0,((Imóveis!$N$2/Imóveis!$S$2)+((Imóveis!$N$2-((Imóveis!$S$2-(IF(AND(Dados!$A237&gt;=Imóveis!$Q$2,Dados!$A237&lt;=Imóveis!$T$2),Imóveis!$S$2-(DATEDIF(Imóveis!$Q$2,Dados!$A237,"m")),)))*(Imóveis!$N$2/Imóveis!$S$2)))*Imóveis!$P$2))))*IF(AND(Imóveis!$E$2&gt;0,Dados!$A237&gt;Imóveis!$E$2),0,1)</f>
        <v>0</v>
      </c>
      <c r="J237" s="18">
        <f>IF(Imóveis!$F$3="PRICE",IF(AND(Dados!$A237&gt;=Imóveis!$Q$3,Dados!$A237&lt;=Imóveis!$T$3),Imóveis!$U$3,0),IF((IF(AND(Dados!$A237&gt;=Imóveis!$Q$3,Dados!$A237&lt;=Imóveis!$T$3),Imóveis!$S$3-(DATEDIF(Imóveis!$Q$3,Dados!$A237,"m")),0))=0,0,((Imóveis!$N$3/Imóveis!$S$3)+((Imóveis!$N$3-((Imóveis!$S$3-(IF(AND(Dados!$A237&gt;=Imóveis!$Q$3,Dados!$A237&lt;=Imóveis!$T$3),Imóveis!$S$3-(DATEDIF(Imóveis!$Q$3,Dados!$A237,"m")),)))*(Imóveis!$N$3/Imóveis!$S$3)))*Imóveis!$P$3))))*IF(AND(Imóveis!$E$3&gt;0,Dados!$A237&gt;Imóveis!$E$3),0,1)</f>
        <v>0</v>
      </c>
      <c r="K237" s="18">
        <f>IF(Imóveis!$F$4="PRICE",IF(AND(Dados!$A237&gt;=Imóveis!$Q$4,Dados!$A237&lt;=Imóveis!$T$4),Imóveis!$U$4,0),IF((IF(AND(Dados!$A237&gt;=Imóveis!$Q$4,Dados!$A237&lt;=Imóveis!$T$4),Imóveis!$S$4-(DATEDIF(Imóveis!$Q$4,Dados!$A237,"m")),0))=0,0,((Imóveis!$N$4/Imóveis!$S$4)+((Imóveis!$N$4-((Imóveis!$S$4-(IF(AND(Dados!$A237&gt;=Imóveis!$Q$4,Dados!$A237&lt;=Imóveis!$T$4),Imóveis!$S$4-(DATEDIF(Imóveis!$Q$4,Dados!$A237,"m")),)))*(Imóveis!$N$4/Imóveis!$S$4)))*Imóveis!$P$4))))*IF(AND(Imóveis!$E$4&gt;0,Dados!$A237&gt;Imóveis!$E$4),0,1)</f>
        <v>0</v>
      </c>
      <c r="L237" s="18">
        <f>IF(Imóveis!$F$5="PRICE",IF(AND(Dados!$A237&gt;=Imóveis!$Q$5,Dados!$A237&lt;=Imóveis!$T$5),Imóveis!$U$5,0),IF((IF(AND(Dados!$A237&gt;=Imóveis!$Q$5,Dados!$A237&lt;=Imóveis!$T$5),Imóveis!$S$5-(DATEDIF(Imóveis!$Q$5,Dados!$A237,"m")),0))=0,0,((Imóveis!$N$5/Imóveis!$S$5)+((Imóveis!$N$5-((Imóveis!$S$5-(IF(AND(Dados!$A237 &gt;=Imóveis!$Q$5,Dados!$A237&lt;=Imóveis!$T$5),Imóveis!$S$5-(DATEDIF(Imóveis!$Q$5,Dados!$A237,"m")),)))*(Imóveis!$N$5/Imóveis!$S$5)))*Imóveis!$P$5))))*IF(AND(Imóveis!$E$5&gt;0,Dados!$A237&gt;Imóveis!$E$5),0,1)*Imóveis!$I$5</f>
        <v>0</v>
      </c>
      <c r="M237" s="18">
        <f>IF(Imóveis!$F$6="PRICE",IF(AND(Dados!$A237&gt;=Imóveis!$Q$6,Dados!$A237&lt;=Imóveis!$T$6),Imóveis!$U$6,0),IF((IF(AND(Dados!$A237&gt;=Imóveis!$Q$6,Dados!$A237&lt;=Imóveis!$T$6),Imóveis!$S$6-(DATEDIF(Imóveis!$Q$6,Dados!$A237,"m")),0))=0,0,((Imóveis!$N$6/Imóveis!$S$6)+((Imóveis!$N$6-((Imóveis!$S$6-(IF(AND(Dados!$A237&gt;=Imóveis!$Q$6,Dados!$A237&lt;=Imóveis!$T$6),Imóveis!$S$6-(DATEDIF(Imóveis!$Q$6,Dados!$A237,"m")),)))*(Imóveis!$N$6/Imóveis!$S$6)))*Imóveis!$P$6))))*IF(AND(Imóveis!$E$6&gt;0,Dados!$A237&gt;Imóveis!$E$6),0,1)*Imóveis!$I$6</f>
        <v>0</v>
      </c>
      <c r="N237" s="18">
        <f t="shared" si="29"/>
        <v>37000</v>
      </c>
      <c r="O237" s="18">
        <f>SUMIFS(Receitas!$F:$F,Receitas!$J:$J,"&lt;="&amp;$A237,Receitas!$L:$L,"&gt;="&amp;$A237,Receitas!$C:$C,O$1,Receitas!$M:$M,"Mensal")+SUMIFS(Receitas!$F:$F,Receitas!$J:$J,"&lt;="&amp;$A237,Receitas!$L:$L,"&gt;="&amp;$A237,Receitas!$C:$C,O$1,Receitas!$M:$M,$B237)</f>
        <v>50000</v>
      </c>
      <c r="P237" s="18">
        <f>SUMIFS(Receitas!$F:$F,Receitas!$J:$J,"&lt;="&amp;$A237,Receitas!$L:$L,"&gt;="&amp;$A237,Receitas!$C:$C,P$1,Receitas!$M:$M,"Mensal")+SUMIFS(Receitas!$F:$F,Receitas!$J:$J,"&lt;="&amp;$A237,Receitas!$L:$L,"&gt;="&amp;$A237,Receitas!$C:$C,P$1,Receitas!$M:$M,$B237)</f>
        <v>20000</v>
      </c>
      <c r="Q237" s="18">
        <f>SUMIFS(Receitas!$F:$F,Receitas!$J:$J,"&lt;="&amp;$A237,Receitas!$L:$L,"&gt;="&amp;$A237,Receitas!$C:$C,Q$1,Receitas!$M:$M,"Mensal")+SUMIFS(Receitas!$F:$F,Receitas!$J:$J,"&lt;="&amp;$A237,Receitas!$L:$L,"&gt;="&amp;$A237,Receitas!$C:$C,Q$1,Receitas!$M:$M,$B237)</f>
        <v>0</v>
      </c>
      <c r="R237" s="18" cm="1">
        <f t="array" ref="R237">(IF(AND(Membros!$F$2="Sim",A237&lt;=MAX(Membros!$E$2:$E$5)),Membros!K$2,IF(AND(A237&gt;=Membros!J$2,A237&lt;=MAX(Membros!$E$2:$E$5)),Membros!K$2,0))+IF(AND(Membros!$F$3="Sim",A237&lt;=MAX(Membros!$E$2:$E$5)),Membros!K$3,IF(AND(A237&gt;=Membros!J$3,A237&lt;=MAX(Membros!$E$2:$E$5)),Membros!K$3,0)))*IF(AND(COUNTIFS(Tabela3[Tipo],"Provedor",Tabela3[Simulação Seguro],"Sim")=2,A237&gt;=MAX(IF(Tabela3[Tipo]="Dependente",Tabela3[Expectativa de Vida (Data)]))),0,1)</f>
        <v>0</v>
      </c>
      <c r="S237" s="18">
        <f t="shared" si="30"/>
        <v>70000</v>
      </c>
      <c r="U237" s="18">
        <f t="shared" ca="1" si="33"/>
        <v>12613122.747858232</v>
      </c>
      <c r="V237" s="18">
        <f>SUMIF(Imóveis!E:E,Dados!A:A,Imóveis!Z:Z)-SUMIF(Imóveis!E:E,Dados!A:A,Imóveis!Y:Y)</f>
        <v>0</v>
      </c>
      <c r="W237" s="18">
        <f>-SUMIF(Projetos!N:N,A237,Projetos!F:F)</f>
        <v>0</v>
      </c>
      <c r="X237" s="18">
        <f t="shared" si="27"/>
        <v>33000</v>
      </c>
      <c r="Y237" s="26">
        <f ca="1">(U237*((Indicadores_Economicos!D$2+1)^(1/12)-1))</f>
        <v>41292.081717421584</v>
      </c>
      <c r="Z237" s="18">
        <f t="shared" ca="1" si="31"/>
        <v>12687414.829575654</v>
      </c>
      <c r="AA237" s="18">
        <f ca="1">Auxiliar_Projetos!E237</f>
        <v>8.4287890122960393E-10</v>
      </c>
      <c r="AB237" s="18">
        <f ca="1">Auxiliar_Projetos!K237</f>
        <v>6.4836838556123362E-10</v>
      </c>
      <c r="AC237" s="18">
        <f ca="1">IF(Z237-AA237-AB237&gt;Investimentos!$C$14,Investimentos!$C$14,IF(Z237-AA237-AB237&lt;Investimentos!$C$14,Z237-AA237-AB237,0))</f>
        <v>300000</v>
      </c>
      <c r="AD237" s="18">
        <f t="shared" ca="1" si="32"/>
        <v>12387414.829575654</v>
      </c>
      <c r="AE237" s="18"/>
    </row>
    <row r="238" spans="1:31" x14ac:dyDescent="0.2">
      <c r="A238" s="4">
        <v>52841</v>
      </c>
      <c r="B238" s="5" t="str">
        <f t="shared" si="28"/>
        <v>setembro</v>
      </c>
      <c r="C238" s="5" t="str">
        <f t="shared" si="34"/>
        <v>2044</v>
      </c>
      <c r="D238" s="5">
        <f>SUMIFS(Despesas!$F:$F,Despesas!$J:$J,"&lt;="&amp;$A238,Despesas!$L:$L,"&gt;="&amp;$A238,Despesas!$C:$C,D$1,Despesas!$M:$M,"Mensal")+SUMIFS(Despesas!$F:$F,Despesas!$J:$J,"&lt;="&amp;$A238,Despesas!$L:$L,"&gt;="&amp;$A238,Despesas!$C:$C,D$1,Despesas!$M:$M,$B238)</f>
        <v>23000</v>
      </c>
      <c r="E238" s="18">
        <f>SUMIFS(Despesas!$F:$F,Despesas!$J:$J,"&lt;="&amp;$A238,Despesas!$L:$L,"&gt;="&amp;$A238,Despesas!$C:$C,E$1,Despesas!$M:$M,"Mensal")+SUMIFS(Despesas!$F:$F,Despesas!$J:$J,"&lt;="&amp;$A238,Despesas!$L:$L,"&gt;="&amp;$A238,Despesas!$C:$C,E$1,Despesas!$M:$M,$B238)</f>
        <v>0</v>
      </c>
      <c r="F238" s="5">
        <f>SUMIFS(Despesas!$F:$F,Despesas!$J:$J,"&lt;="&amp;$A238,Despesas!$L:$L,"&gt;="&amp;$A238,Despesas!$C:$C,F$1,Despesas!$M:$M,"Mensal")+SUMIFS(Despesas!$F:$F,Despesas!$J:$J,"&lt;="&amp;$A238,Despesas!$L:$L,"&gt;="&amp;$A238,Despesas!$C:$C,F$1,Despesas!$M:$M,$B238)</f>
        <v>13000</v>
      </c>
      <c r="G238" s="5">
        <f>SUMIFS(Despesas!$F:$F,Despesas!$J:$J,"&lt;="&amp;$A238,Despesas!$L:$L,"&gt;="&amp;$A238,Despesas!$C:$C,G$1,Despesas!$M:$M,"Mensal")+SUMIFS(Despesas!$F:$F,Despesas!$J:$J,"&lt;="&amp;$A238,Despesas!$L:$L,"&gt;="&amp;$A238,Despesas!$C:$C,G$1,Despesas!$M:$M,$B238)</f>
        <v>0</v>
      </c>
      <c r="H238" s="18">
        <f>SUMIFS(Despesas!$F:$F,Despesas!$J:$J,"&lt;="&amp;$A238,Despesas!$L:$L,"&gt;="&amp;$A238,Despesas!$C:$C,H$1,Despesas!$M:$M,"Mensal")+SUMIFS(Despesas!$F:$F,Despesas!$J:$J,"&lt;="&amp;$A238,Despesas!$L:$L,"&gt;="&amp;$A238,Despesas!$C:$C,H$1,Despesas!$M:$M,$B238)</f>
        <v>1000</v>
      </c>
      <c r="I238" s="18">
        <f>IF(Imóveis!$F$2="PRICE",IF(AND(Dados!$A238&gt;=Imóveis!$Q$2,Dados!$A238&lt;=Imóveis!$T$2),Imóveis!$U$2,0),IF((IF(AND(Dados!$A238&gt;=Imóveis!$Q$2,Dados!$A238&lt;=Imóveis!$T$2),Imóveis!$S$2-(DATEDIF(Imóveis!$Q$2,Dados!$A238,"m")),0))=0,0,((Imóveis!$N$2/Imóveis!$S$2)+((Imóveis!$N$2-((Imóveis!$S$2-(IF(AND(Dados!$A238&gt;=Imóveis!$Q$2,Dados!$A238&lt;=Imóveis!$T$2),Imóveis!$S$2-(DATEDIF(Imóveis!$Q$2,Dados!$A238,"m")),)))*(Imóveis!$N$2/Imóveis!$S$2)))*Imóveis!$P$2))))*IF(AND(Imóveis!$E$2&gt;0,Dados!$A238&gt;Imóveis!$E$2),0,1)</f>
        <v>0</v>
      </c>
      <c r="J238" s="18">
        <f>IF(Imóveis!$F$3="PRICE",IF(AND(Dados!$A238&gt;=Imóveis!$Q$3,Dados!$A238&lt;=Imóveis!$T$3),Imóveis!$U$3,0),IF((IF(AND(Dados!$A238&gt;=Imóveis!$Q$3,Dados!$A238&lt;=Imóveis!$T$3),Imóveis!$S$3-(DATEDIF(Imóveis!$Q$3,Dados!$A238,"m")),0))=0,0,((Imóveis!$N$3/Imóveis!$S$3)+((Imóveis!$N$3-((Imóveis!$S$3-(IF(AND(Dados!$A238&gt;=Imóveis!$Q$3,Dados!$A238&lt;=Imóveis!$T$3),Imóveis!$S$3-(DATEDIF(Imóveis!$Q$3,Dados!$A238,"m")),)))*(Imóveis!$N$3/Imóveis!$S$3)))*Imóveis!$P$3))))*IF(AND(Imóveis!$E$3&gt;0,Dados!$A238&gt;Imóveis!$E$3),0,1)</f>
        <v>0</v>
      </c>
      <c r="K238" s="18">
        <f>IF(Imóveis!$F$4="PRICE",IF(AND(Dados!$A238&gt;=Imóveis!$Q$4,Dados!$A238&lt;=Imóveis!$T$4),Imóveis!$U$4,0),IF((IF(AND(Dados!$A238&gt;=Imóveis!$Q$4,Dados!$A238&lt;=Imóveis!$T$4),Imóveis!$S$4-(DATEDIF(Imóveis!$Q$4,Dados!$A238,"m")),0))=0,0,((Imóveis!$N$4/Imóveis!$S$4)+((Imóveis!$N$4-((Imóveis!$S$4-(IF(AND(Dados!$A238&gt;=Imóveis!$Q$4,Dados!$A238&lt;=Imóveis!$T$4),Imóveis!$S$4-(DATEDIF(Imóveis!$Q$4,Dados!$A238,"m")),)))*(Imóveis!$N$4/Imóveis!$S$4)))*Imóveis!$P$4))))*IF(AND(Imóveis!$E$4&gt;0,Dados!$A238&gt;Imóveis!$E$4),0,1)</f>
        <v>0</v>
      </c>
      <c r="L238" s="18">
        <f>IF(Imóveis!$F$5="PRICE",IF(AND(Dados!$A238&gt;=Imóveis!$Q$5,Dados!$A238&lt;=Imóveis!$T$5),Imóveis!$U$5,0),IF((IF(AND(Dados!$A238&gt;=Imóveis!$Q$5,Dados!$A238&lt;=Imóveis!$T$5),Imóveis!$S$5-(DATEDIF(Imóveis!$Q$5,Dados!$A238,"m")),0))=0,0,((Imóveis!$N$5/Imóveis!$S$5)+((Imóveis!$N$5-((Imóveis!$S$5-(IF(AND(Dados!$A238 &gt;=Imóveis!$Q$5,Dados!$A238&lt;=Imóveis!$T$5),Imóveis!$S$5-(DATEDIF(Imóveis!$Q$5,Dados!$A238,"m")),)))*(Imóveis!$N$5/Imóveis!$S$5)))*Imóveis!$P$5))))*IF(AND(Imóveis!$E$5&gt;0,Dados!$A238&gt;Imóveis!$E$5),0,1)*Imóveis!$I$5</f>
        <v>0</v>
      </c>
      <c r="M238" s="18">
        <f>IF(Imóveis!$F$6="PRICE",IF(AND(Dados!$A238&gt;=Imóveis!$Q$6,Dados!$A238&lt;=Imóveis!$T$6),Imóveis!$U$6,0),IF((IF(AND(Dados!$A238&gt;=Imóveis!$Q$6,Dados!$A238&lt;=Imóveis!$T$6),Imóveis!$S$6-(DATEDIF(Imóveis!$Q$6,Dados!$A238,"m")),0))=0,0,((Imóveis!$N$6/Imóveis!$S$6)+((Imóveis!$N$6-((Imóveis!$S$6-(IF(AND(Dados!$A238&gt;=Imóveis!$Q$6,Dados!$A238&lt;=Imóveis!$T$6),Imóveis!$S$6-(DATEDIF(Imóveis!$Q$6,Dados!$A238,"m")),)))*(Imóveis!$N$6/Imóveis!$S$6)))*Imóveis!$P$6))))*IF(AND(Imóveis!$E$6&gt;0,Dados!$A238&gt;Imóveis!$E$6),0,1)*Imóveis!$I$6</f>
        <v>0</v>
      </c>
      <c r="N238" s="18">
        <f t="shared" si="29"/>
        <v>37000</v>
      </c>
      <c r="O238" s="18">
        <f>SUMIFS(Receitas!$F:$F,Receitas!$J:$J,"&lt;="&amp;$A238,Receitas!$L:$L,"&gt;="&amp;$A238,Receitas!$C:$C,O$1,Receitas!$M:$M,"Mensal")+SUMIFS(Receitas!$F:$F,Receitas!$J:$J,"&lt;="&amp;$A238,Receitas!$L:$L,"&gt;="&amp;$A238,Receitas!$C:$C,O$1,Receitas!$M:$M,$B238)</f>
        <v>50000</v>
      </c>
      <c r="P238" s="18">
        <f>SUMIFS(Receitas!$F:$F,Receitas!$J:$J,"&lt;="&amp;$A238,Receitas!$L:$L,"&gt;="&amp;$A238,Receitas!$C:$C,P$1,Receitas!$M:$M,"Mensal")+SUMIFS(Receitas!$F:$F,Receitas!$J:$J,"&lt;="&amp;$A238,Receitas!$L:$L,"&gt;="&amp;$A238,Receitas!$C:$C,P$1,Receitas!$M:$M,$B238)</f>
        <v>20000</v>
      </c>
      <c r="Q238" s="18">
        <f>SUMIFS(Receitas!$F:$F,Receitas!$J:$J,"&lt;="&amp;$A238,Receitas!$L:$L,"&gt;="&amp;$A238,Receitas!$C:$C,Q$1,Receitas!$M:$M,"Mensal")+SUMIFS(Receitas!$F:$F,Receitas!$J:$J,"&lt;="&amp;$A238,Receitas!$L:$L,"&gt;="&amp;$A238,Receitas!$C:$C,Q$1,Receitas!$M:$M,$B238)</f>
        <v>0</v>
      </c>
      <c r="R238" s="18" cm="1">
        <f t="array" ref="R238">(IF(AND(Membros!$F$2="Sim",A238&lt;=MAX(Membros!$E$2:$E$5)),Membros!K$2,IF(AND(A238&gt;=Membros!J$2,A238&lt;=MAX(Membros!$E$2:$E$5)),Membros!K$2,0))+IF(AND(Membros!$F$3="Sim",A238&lt;=MAX(Membros!$E$2:$E$5)),Membros!K$3,IF(AND(A238&gt;=Membros!J$3,A238&lt;=MAX(Membros!$E$2:$E$5)),Membros!K$3,0)))*IF(AND(COUNTIFS(Tabela3[Tipo],"Provedor",Tabela3[Simulação Seguro],"Sim")=2,A238&gt;=MAX(IF(Tabela3[Tipo]="Dependente",Tabela3[Expectativa de Vida (Data)]))),0,1)</f>
        <v>0</v>
      </c>
      <c r="S238" s="18">
        <f t="shared" si="30"/>
        <v>70000</v>
      </c>
      <c r="U238" s="18">
        <f t="shared" ca="1" si="33"/>
        <v>12687414.829575654</v>
      </c>
      <c r="V238" s="18">
        <f>SUMIF(Imóveis!E:E,Dados!A:A,Imóveis!Z:Z)-SUMIF(Imóveis!E:E,Dados!A:A,Imóveis!Y:Y)</f>
        <v>0</v>
      </c>
      <c r="W238" s="18">
        <f>-SUMIF(Projetos!N:N,A238,Projetos!F:F)</f>
        <v>0</v>
      </c>
      <c r="X238" s="18">
        <f t="shared" si="27"/>
        <v>33000</v>
      </c>
      <c r="Y238" s="26">
        <f ca="1">(U238*((Indicadores_Economicos!D$2+1)^(1/12)-1))</f>
        <v>41535.294660842279</v>
      </c>
      <c r="Z238" s="18">
        <f t="shared" ca="1" si="31"/>
        <v>12761950.124236496</v>
      </c>
      <c r="AA238" s="18">
        <f ca="1">Auxiliar_Projetos!E238</f>
        <v>8.4563826742013537E-10</v>
      </c>
      <c r="AB238" s="18">
        <f ca="1">Auxiliar_Projetos!K238</f>
        <v>6.504909749385655E-10</v>
      </c>
      <c r="AC238" s="18">
        <f ca="1">IF(Z238-AA238-AB238&gt;Investimentos!$C$14,Investimentos!$C$14,IF(Z238-AA238-AB238&lt;Investimentos!$C$14,Z238-AA238-AB238,0))</f>
        <v>300000</v>
      </c>
      <c r="AD238" s="18">
        <f t="shared" ca="1" si="32"/>
        <v>12461950.124236496</v>
      </c>
      <c r="AE238" s="18"/>
    </row>
    <row r="239" spans="1:31" x14ac:dyDescent="0.2">
      <c r="A239" s="4">
        <v>52871</v>
      </c>
      <c r="B239" s="5" t="str">
        <f t="shared" si="28"/>
        <v>outubro</v>
      </c>
      <c r="C239" s="5" t="str">
        <f t="shared" si="34"/>
        <v>2044</v>
      </c>
      <c r="D239" s="5">
        <f>SUMIFS(Despesas!$F:$F,Despesas!$J:$J,"&lt;="&amp;$A239,Despesas!$L:$L,"&gt;="&amp;$A239,Despesas!$C:$C,D$1,Despesas!$M:$M,"Mensal")+SUMIFS(Despesas!$F:$F,Despesas!$J:$J,"&lt;="&amp;$A239,Despesas!$L:$L,"&gt;="&amp;$A239,Despesas!$C:$C,D$1,Despesas!$M:$M,$B239)</f>
        <v>23000</v>
      </c>
      <c r="E239" s="18">
        <f>SUMIFS(Despesas!$F:$F,Despesas!$J:$J,"&lt;="&amp;$A239,Despesas!$L:$L,"&gt;="&amp;$A239,Despesas!$C:$C,E$1,Despesas!$M:$M,"Mensal")+SUMIFS(Despesas!$F:$F,Despesas!$J:$J,"&lt;="&amp;$A239,Despesas!$L:$L,"&gt;="&amp;$A239,Despesas!$C:$C,E$1,Despesas!$M:$M,$B239)</f>
        <v>0</v>
      </c>
      <c r="F239" s="5">
        <f>SUMIFS(Despesas!$F:$F,Despesas!$J:$J,"&lt;="&amp;$A239,Despesas!$L:$L,"&gt;="&amp;$A239,Despesas!$C:$C,F$1,Despesas!$M:$M,"Mensal")+SUMIFS(Despesas!$F:$F,Despesas!$J:$J,"&lt;="&amp;$A239,Despesas!$L:$L,"&gt;="&amp;$A239,Despesas!$C:$C,F$1,Despesas!$M:$M,$B239)</f>
        <v>13000</v>
      </c>
      <c r="G239" s="5">
        <f>SUMIFS(Despesas!$F:$F,Despesas!$J:$J,"&lt;="&amp;$A239,Despesas!$L:$L,"&gt;="&amp;$A239,Despesas!$C:$C,G$1,Despesas!$M:$M,"Mensal")+SUMIFS(Despesas!$F:$F,Despesas!$J:$J,"&lt;="&amp;$A239,Despesas!$L:$L,"&gt;="&amp;$A239,Despesas!$C:$C,G$1,Despesas!$M:$M,$B239)</f>
        <v>0</v>
      </c>
      <c r="H239" s="18">
        <f>SUMIFS(Despesas!$F:$F,Despesas!$J:$J,"&lt;="&amp;$A239,Despesas!$L:$L,"&gt;="&amp;$A239,Despesas!$C:$C,H$1,Despesas!$M:$M,"Mensal")+SUMIFS(Despesas!$F:$F,Despesas!$J:$J,"&lt;="&amp;$A239,Despesas!$L:$L,"&gt;="&amp;$A239,Despesas!$C:$C,H$1,Despesas!$M:$M,$B239)</f>
        <v>1000</v>
      </c>
      <c r="I239" s="18">
        <f>IF(Imóveis!$F$2="PRICE",IF(AND(Dados!$A239&gt;=Imóveis!$Q$2,Dados!$A239&lt;=Imóveis!$T$2),Imóveis!$U$2,0),IF((IF(AND(Dados!$A239&gt;=Imóveis!$Q$2,Dados!$A239&lt;=Imóveis!$T$2),Imóveis!$S$2-(DATEDIF(Imóveis!$Q$2,Dados!$A239,"m")),0))=0,0,((Imóveis!$N$2/Imóveis!$S$2)+((Imóveis!$N$2-((Imóveis!$S$2-(IF(AND(Dados!$A239&gt;=Imóveis!$Q$2,Dados!$A239&lt;=Imóveis!$T$2),Imóveis!$S$2-(DATEDIF(Imóveis!$Q$2,Dados!$A239,"m")),)))*(Imóveis!$N$2/Imóveis!$S$2)))*Imóveis!$P$2))))*IF(AND(Imóveis!$E$2&gt;0,Dados!$A239&gt;Imóveis!$E$2),0,1)</f>
        <v>0</v>
      </c>
      <c r="J239" s="18">
        <f>IF(Imóveis!$F$3="PRICE",IF(AND(Dados!$A239&gt;=Imóveis!$Q$3,Dados!$A239&lt;=Imóveis!$T$3),Imóveis!$U$3,0),IF((IF(AND(Dados!$A239&gt;=Imóveis!$Q$3,Dados!$A239&lt;=Imóveis!$T$3),Imóveis!$S$3-(DATEDIF(Imóveis!$Q$3,Dados!$A239,"m")),0))=0,0,((Imóveis!$N$3/Imóveis!$S$3)+((Imóveis!$N$3-((Imóveis!$S$3-(IF(AND(Dados!$A239&gt;=Imóveis!$Q$3,Dados!$A239&lt;=Imóveis!$T$3),Imóveis!$S$3-(DATEDIF(Imóveis!$Q$3,Dados!$A239,"m")),)))*(Imóveis!$N$3/Imóveis!$S$3)))*Imóveis!$P$3))))*IF(AND(Imóveis!$E$3&gt;0,Dados!$A239&gt;Imóveis!$E$3),0,1)</f>
        <v>0</v>
      </c>
      <c r="K239" s="18">
        <f>IF(Imóveis!$F$4="PRICE",IF(AND(Dados!$A239&gt;=Imóveis!$Q$4,Dados!$A239&lt;=Imóveis!$T$4),Imóveis!$U$4,0),IF((IF(AND(Dados!$A239&gt;=Imóveis!$Q$4,Dados!$A239&lt;=Imóveis!$T$4),Imóveis!$S$4-(DATEDIF(Imóveis!$Q$4,Dados!$A239,"m")),0))=0,0,((Imóveis!$N$4/Imóveis!$S$4)+((Imóveis!$N$4-((Imóveis!$S$4-(IF(AND(Dados!$A239&gt;=Imóveis!$Q$4,Dados!$A239&lt;=Imóveis!$T$4),Imóveis!$S$4-(DATEDIF(Imóveis!$Q$4,Dados!$A239,"m")),)))*(Imóveis!$N$4/Imóveis!$S$4)))*Imóveis!$P$4))))*IF(AND(Imóveis!$E$4&gt;0,Dados!$A239&gt;Imóveis!$E$4),0,1)</f>
        <v>0</v>
      </c>
      <c r="L239" s="18">
        <f>IF(Imóveis!$F$5="PRICE",IF(AND(Dados!$A239&gt;=Imóveis!$Q$5,Dados!$A239&lt;=Imóveis!$T$5),Imóveis!$U$5,0),IF((IF(AND(Dados!$A239&gt;=Imóveis!$Q$5,Dados!$A239&lt;=Imóveis!$T$5),Imóveis!$S$5-(DATEDIF(Imóveis!$Q$5,Dados!$A239,"m")),0))=0,0,((Imóveis!$N$5/Imóveis!$S$5)+((Imóveis!$N$5-((Imóveis!$S$5-(IF(AND(Dados!$A239 &gt;=Imóveis!$Q$5,Dados!$A239&lt;=Imóveis!$T$5),Imóveis!$S$5-(DATEDIF(Imóveis!$Q$5,Dados!$A239,"m")),)))*(Imóveis!$N$5/Imóveis!$S$5)))*Imóveis!$P$5))))*IF(AND(Imóveis!$E$5&gt;0,Dados!$A239&gt;Imóveis!$E$5),0,1)*Imóveis!$I$5</f>
        <v>0</v>
      </c>
      <c r="M239" s="18">
        <f>IF(Imóveis!$F$6="PRICE",IF(AND(Dados!$A239&gt;=Imóveis!$Q$6,Dados!$A239&lt;=Imóveis!$T$6),Imóveis!$U$6,0),IF((IF(AND(Dados!$A239&gt;=Imóveis!$Q$6,Dados!$A239&lt;=Imóveis!$T$6),Imóveis!$S$6-(DATEDIF(Imóveis!$Q$6,Dados!$A239,"m")),0))=0,0,((Imóveis!$N$6/Imóveis!$S$6)+((Imóveis!$N$6-((Imóveis!$S$6-(IF(AND(Dados!$A239&gt;=Imóveis!$Q$6,Dados!$A239&lt;=Imóveis!$T$6),Imóveis!$S$6-(DATEDIF(Imóveis!$Q$6,Dados!$A239,"m")),)))*(Imóveis!$N$6/Imóveis!$S$6)))*Imóveis!$P$6))))*IF(AND(Imóveis!$E$6&gt;0,Dados!$A239&gt;Imóveis!$E$6),0,1)*Imóveis!$I$6</f>
        <v>0</v>
      </c>
      <c r="N239" s="18">
        <f t="shared" si="29"/>
        <v>37000</v>
      </c>
      <c r="O239" s="18">
        <f>SUMIFS(Receitas!$F:$F,Receitas!$J:$J,"&lt;="&amp;$A239,Receitas!$L:$L,"&gt;="&amp;$A239,Receitas!$C:$C,O$1,Receitas!$M:$M,"Mensal")+SUMIFS(Receitas!$F:$F,Receitas!$J:$J,"&lt;="&amp;$A239,Receitas!$L:$L,"&gt;="&amp;$A239,Receitas!$C:$C,O$1,Receitas!$M:$M,$B239)</f>
        <v>50000</v>
      </c>
      <c r="P239" s="18">
        <f>SUMIFS(Receitas!$F:$F,Receitas!$J:$J,"&lt;="&amp;$A239,Receitas!$L:$L,"&gt;="&amp;$A239,Receitas!$C:$C,P$1,Receitas!$M:$M,"Mensal")+SUMIFS(Receitas!$F:$F,Receitas!$J:$J,"&lt;="&amp;$A239,Receitas!$L:$L,"&gt;="&amp;$A239,Receitas!$C:$C,P$1,Receitas!$M:$M,$B239)</f>
        <v>20000</v>
      </c>
      <c r="Q239" s="18">
        <f>SUMIFS(Receitas!$F:$F,Receitas!$J:$J,"&lt;="&amp;$A239,Receitas!$L:$L,"&gt;="&amp;$A239,Receitas!$C:$C,Q$1,Receitas!$M:$M,"Mensal")+SUMIFS(Receitas!$F:$F,Receitas!$J:$J,"&lt;="&amp;$A239,Receitas!$L:$L,"&gt;="&amp;$A239,Receitas!$C:$C,Q$1,Receitas!$M:$M,$B239)</f>
        <v>0</v>
      </c>
      <c r="R239" s="18" cm="1">
        <f t="array" ref="R239">(IF(AND(Membros!$F$2="Sim",A239&lt;=MAX(Membros!$E$2:$E$5)),Membros!K$2,IF(AND(A239&gt;=Membros!J$2,A239&lt;=MAX(Membros!$E$2:$E$5)),Membros!K$2,0))+IF(AND(Membros!$F$3="Sim",A239&lt;=MAX(Membros!$E$2:$E$5)),Membros!K$3,IF(AND(A239&gt;=Membros!J$3,A239&lt;=MAX(Membros!$E$2:$E$5)),Membros!K$3,0)))*IF(AND(COUNTIFS(Tabela3[Tipo],"Provedor",Tabela3[Simulação Seguro],"Sim")=2,A239&gt;=MAX(IF(Tabela3[Tipo]="Dependente",Tabela3[Expectativa de Vida (Data)]))),0,1)</f>
        <v>0</v>
      </c>
      <c r="S239" s="18">
        <f t="shared" si="30"/>
        <v>70000</v>
      </c>
      <c r="U239" s="18">
        <f t="shared" ca="1" si="33"/>
        <v>12761950.124236496</v>
      </c>
      <c r="V239" s="18">
        <f>SUMIF(Imóveis!E:E,Dados!A:A,Imóveis!Z:Z)-SUMIF(Imóveis!E:E,Dados!A:A,Imóveis!Y:Y)</f>
        <v>0</v>
      </c>
      <c r="W239" s="18">
        <f>-SUMIF(Projetos!N:N,A239,Projetos!F:F)</f>
        <v>0</v>
      </c>
      <c r="X239" s="18">
        <f t="shared" si="27"/>
        <v>33000</v>
      </c>
      <c r="Y239" s="26">
        <f ca="1">(U239*((Indicadores_Economicos!D$2+1)^(1/12)-1))</f>
        <v>41779.303820151399</v>
      </c>
      <c r="Z239" s="18">
        <f t="shared" ca="1" si="31"/>
        <v>12836729.428056648</v>
      </c>
      <c r="AA239" s="18">
        <f ca="1">Auxiliar_Projetos!E239</f>
        <v>8.4840666705753847E-10</v>
      </c>
      <c r="AB239" s="18">
        <f ca="1">Auxiliar_Projetos!K239</f>
        <v>6.526205131211832E-10</v>
      </c>
      <c r="AC239" s="18">
        <f ca="1">IF(Z239-AA239-AB239&gt;Investimentos!$C$14,Investimentos!$C$14,IF(Z239-AA239-AB239&lt;Investimentos!$C$14,Z239-AA239-AB239,0))</f>
        <v>300000</v>
      </c>
      <c r="AD239" s="18">
        <f t="shared" ca="1" si="32"/>
        <v>12536729.428056648</v>
      </c>
      <c r="AE239" s="18"/>
    </row>
    <row r="240" spans="1:31" x14ac:dyDescent="0.2">
      <c r="A240" s="4">
        <v>52902</v>
      </c>
      <c r="B240" s="5" t="str">
        <f t="shared" si="28"/>
        <v>novembro</v>
      </c>
      <c r="C240" s="5" t="str">
        <f t="shared" si="34"/>
        <v>2044</v>
      </c>
      <c r="D240" s="5">
        <f>SUMIFS(Despesas!$F:$F,Despesas!$J:$J,"&lt;="&amp;$A240,Despesas!$L:$L,"&gt;="&amp;$A240,Despesas!$C:$C,D$1,Despesas!$M:$M,"Mensal")+SUMIFS(Despesas!$F:$F,Despesas!$J:$J,"&lt;="&amp;$A240,Despesas!$L:$L,"&gt;="&amp;$A240,Despesas!$C:$C,D$1,Despesas!$M:$M,$B240)</f>
        <v>23000</v>
      </c>
      <c r="E240" s="18">
        <f>SUMIFS(Despesas!$F:$F,Despesas!$J:$J,"&lt;="&amp;$A240,Despesas!$L:$L,"&gt;="&amp;$A240,Despesas!$C:$C,E$1,Despesas!$M:$M,"Mensal")+SUMIFS(Despesas!$F:$F,Despesas!$J:$J,"&lt;="&amp;$A240,Despesas!$L:$L,"&gt;="&amp;$A240,Despesas!$C:$C,E$1,Despesas!$M:$M,$B240)</f>
        <v>0</v>
      </c>
      <c r="F240" s="5">
        <f>SUMIFS(Despesas!$F:$F,Despesas!$J:$J,"&lt;="&amp;$A240,Despesas!$L:$L,"&gt;="&amp;$A240,Despesas!$C:$C,F$1,Despesas!$M:$M,"Mensal")+SUMIFS(Despesas!$F:$F,Despesas!$J:$J,"&lt;="&amp;$A240,Despesas!$L:$L,"&gt;="&amp;$A240,Despesas!$C:$C,F$1,Despesas!$M:$M,$B240)</f>
        <v>13000</v>
      </c>
      <c r="G240" s="5">
        <f>SUMIFS(Despesas!$F:$F,Despesas!$J:$J,"&lt;="&amp;$A240,Despesas!$L:$L,"&gt;="&amp;$A240,Despesas!$C:$C,G$1,Despesas!$M:$M,"Mensal")+SUMIFS(Despesas!$F:$F,Despesas!$J:$J,"&lt;="&amp;$A240,Despesas!$L:$L,"&gt;="&amp;$A240,Despesas!$C:$C,G$1,Despesas!$M:$M,$B240)</f>
        <v>0</v>
      </c>
      <c r="H240" s="18">
        <f>SUMIFS(Despesas!$F:$F,Despesas!$J:$J,"&lt;="&amp;$A240,Despesas!$L:$L,"&gt;="&amp;$A240,Despesas!$C:$C,H$1,Despesas!$M:$M,"Mensal")+SUMIFS(Despesas!$F:$F,Despesas!$J:$J,"&lt;="&amp;$A240,Despesas!$L:$L,"&gt;="&amp;$A240,Despesas!$C:$C,H$1,Despesas!$M:$M,$B240)</f>
        <v>1000</v>
      </c>
      <c r="I240" s="18">
        <f>IF(Imóveis!$F$2="PRICE",IF(AND(Dados!$A240&gt;=Imóveis!$Q$2,Dados!$A240&lt;=Imóveis!$T$2),Imóveis!$U$2,0),IF((IF(AND(Dados!$A240&gt;=Imóveis!$Q$2,Dados!$A240&lt;=Imóveis!$T$2),Imóveis!$S$2-(DATEDIF(Imóveis!$Q$2,Dados!$A240,"m")),0))=0,0,((Imóveis!$N$2/Imóveis!$S$2)+((Imóveis!$N$2-((Imóveis!$S$2-(IF(AND(Dados!$A240&gt;=Imóveis!$Q$2,Dados!$A240&lt;=Imóveis!$T$2),Imóveis!$S$2-(DATEDIF(Imóveis!$Q$2,Dados!$A240,"m")),)))*(Imóveis!$N$2/Imóveis!$S$2)))*Imóveis!$P$2))))*IF(AND(Imóveis!$E$2&gt;0,Dados!$A240&gt;Imóveis!$E$2),0,1)</f>
        <v>0</v>
      </c>
      <c r="J240" s="18">
        <f>IF(Imóveis!$F$3="PRICE",IF(AND(Dados!$A240&gt;=Imóveis!$Q$3,Dados!$A240&lt;=Imóveis!$T$3),Imóveis!$U$3,0),IF((IF(AND(Dados!$A240&gt;=Imóveis!$Q$3,Dados!$A240&lt;=Imóveis!$T$3),Imóveis!$S$3-(DATEDIF(Imóveis!$Q$3,Dados!$A240,"m")),0))=0,0,((Imóveis!$N$3/Imóveis!$S$3)+((Imóveis!$N$3-((Imóveis!$S$3-(IF(AND(Dados!$A240&gt;=Imóveis!$Q$3,Dados!$A240&lt;=Imóveis!$T$3),Imóveis!$S$3-(DATEDIF(Imóveis!$Q$3,Dados!$A240,"m")),)))*(Imóveis!$N$3/Imóveis!$S$3)))*Imóveis!$P$3))))*IF(AND(Imóveis!$E$3&gt;0,Dados!$A240&gt;Imóveis!$E$3),0,1)</f>
        <v>0</v>
      </c>
      <c r="K240" s="18">
        <f>IF(Imóveis!$F$4="PRICE",IF(AND(Dados!$A240&gt;=Imóveis!$Q$4,Dados!$A240&lt;=Imóveis!$T$4),Imóveis!$U$4,0),IF((IF(AND(Dados!$A240&gt;=Imóveis!$Q$4,Dados!$A240&lt;=Imóveis!$T$4),Imóveis!$S$4-(DATEDIF(Imóveis!$Q$4,Dados!$A240,"m")),0))=0,0,((Imóveis!$N$4/Imóveis!$S$4)+((Imóveis!$N$4-((Imóveis!$S$4-(IF(AND(Dados!$A240&gt;=Imóveis!$Q$4,Dados!$A240&lt;=Imóveis!$T$4),Imóveis!$S$4-(DATEDIF(Imóveis!$Q$4,Dados!$A240,"m")),)))*(Imóveis!$N$4/Imóveis!$S$4)))*Imóveis!$P$4))))*IF(AND(Imóveis!$E$4&gt;0,Dados!$A240&gt;Imóveis!$E$4),0,1)</f>
        <v>0</v>
      </c>
      <c r="L240" s="18">
        <f>IF(Imóveis!$F$5="PRICE",IF(AND(Dados!$A240&gt;=Imóveis!$Q$5,Dados!$A240&lt;=Imóveis!$T$5),Imóveis!$U$5,0),IF((IF(AND(Dados!$A240&gt;=Imóveis!$Q$5,Dados!$A240&lt;=Imóveis!$T$5),Imóveis!$S$5-(DATEDIF(Imóveis!$Q$5,Dados!$A240,"m")),0))=0,0,((Imóveis!$N$5/Imóveis!$S$5)+((Imóveis!$N$5-((Imóveis!$S$5-(IF(AND(Dados!$A240 &gt;=Imóveis!$Q$5,Dados!$A240&lt;=Imóveis!$T$5),Imóveis!$S$5-(DATEDIF(Imóveis!$Q$5,Dados!$A240,"m")),)))*(Imóveis!$N$5/Imóveis!$S$5)))*Imóveis!$P$5))))*IF(AND(Imóveis!$E$5&gt;0,Dados!$A240&gt;Imóveis!$E$5),0,1)*Imóveis!$I$5</f>
        <v>0</v>
      </c>
      <c r="M240" s="18">
        <f>IF(Imóveis!$F$6="PRICE",IF(AND(Dados!$A240&gt;=Imóveis!$Q$6,Dados!$A240&lt;=Imóveis!$T$6),Imóveis!$U$6,0),IF((IF(AND(Dados!$A240&gt;=Imóveis!$Q$6,Dados!$A240&lt;=Imóveis!$T$6),Imóveis!$S$6-(DATEDIF(Imóveis!$Q$6,Dados!$A240,"m")),0))=0,0,((Imóveis!$N$6/Imóveis!$S$6)+((Imóveis!$N$6-((Imóveis!$S$6-(IF(AND(Dados!$A240&gt;=Imóveis!$Q$6,Dados!$A240&lt;=Imóveis!$T$6),Imóveis!$S$6-(DATEDIF(Imóveis!$Q$6,Dados!$A240,"m")),)))*(Imóveis!$N$6/Imóveis!$S$6)))*Imóveis!$P$6))))*IF(AND(Imóveis!$E$6&gt;0,Dados!$A240&gt;Imóveis!$E$6),0,1)*Imóveis!$I$6</f>
        <v>0</v>
      </c>
      <c r="N240" s="18">
        <f t="shared" si="29"/>
        <v>37000</v>
      </c>
      <c r="O240" s="18">
        <f>SUMIFS(Receitas!$F:$F,Receitas!$J:$J,"&lt;="&amp;$A240,Receitas!$L:$L,"&gt;="&amp;$A240,Receitas!$C:$C,O$1,Receitas!$M:$M,"Mensal")+SUMIFS(Receitas!$F:$F,Receitas!$J:$J,"&lt;="&amp;$A240,Receitas!$L:$L,"&gt;="&amp;$A240,Receitas!$C:$C,O$1,Receitas!$M:$M,$B240)</f>
        <v>50000</v>
      </c>
      <c r="P240" s="18">
        <f>SUMIFS(Receitas!$F:$F,Receitas!$J:$J,"&lt;="&amp;$A240,Receitas!$L:$L,"&gt;="&amp;$A240,Receitas!$C:$C,P$1,Receitas!$M:$M,"Mensal")+SUMIFS(Receitas!$F:$F,Receitas!$J:$J,"&lt;="&amp;$A240,Receitas!$L:$L,"&gt;="&amp;$A240,Receitas!$C:$C,P$1,Receitas!$M:$M,$B240)</f>
        <v>86666.666666666672</v>
      </c>
      <c r="Q240" s="18">
        <f>SUMIFS(Receitas!$F:$F,Receitas!$J:$J,"&lt;="&amp;$A240,Receitas!$L:$L,"&gt;="&amp;$A240,Receitas!$C:$C,Q$1,Receitas!$M:$M,"Mensal")+SUMIFS(Receitas!$F:$F,Receitas!$J:$J,"&lt;="&amp;$A240,Receitas!$L:$L,"&gt;="&amp;$A240,Receitas!$C:$C,Q$1,Receitas!$M:$M,$B240)</f>
        <v>0</v>
      </c>
      <c r="R240" s="18" cm="1">
        <f t="array" ref="R240">(IF(AND(Membros!$F$2="Sim",A240&lt;=MAX(Membros!$E$2:$E$5)),Membros!K$2,IF(AND(A240&gt;=Membros!J$2,A240&lt;=MAX(Membros!$E$2:$E$5)),Membros!K$2,0))+IF(AND(Membros!$F$3="Sim",A240&lt;=MAX(Membros!$E$2:$E$5)),Membros!K$3,IF(AND(A240&gt;=Membros!J$3,A240&lt;=MAX(Membros!$E$2:$E$5)),Membros!K$3,0)))*IF(AND(COUNTIFS(Tabela3[Tipo],"Provedor",Tabela3[Simulação Seguro],"Sim")=2,A240&gt;=MAX(IF(Tabela3[Tipo]="Dependente",Tabela3[Expectativa de Vida (Data)]))),0,1)</f>
        <v>0</v>
      </c>
      <c r="S240" s="18">
        <f t="shared" si="30"/>
        <v>136666.66666666669</v>
      </c>
      <c r="U240" s="18">
        <f t="shared" ca="1" si="33"/>
        <v>12836729.428056648</v>
      </c>
      <c r="V240" s="18">
        <f>SUMIF(Imóveis!E:E,Dados!A:A,Imóveis!Z:Z)-SUMIF(Imóveis!E:E,Dados!A:A,Imóveis!Y:Y)</f>
        <v>0</v>
      </c>
      <c r="W240" s="18">
        <f>-SUMIF(Projetos!N:N,A240,Projetos!F:F)</f>
        <v>0</v>
      </c>
      <c r="X240" s="18">
        <f t="shared" si="27"/>
        <v>99666.666666666686</v>
      </c>
      <c r="Y240" s="26">
        <f ca="1">(U240*((Indicadores_Economicos!D$2+1)^(1/12)-1))</f>
        <v>42024.111801952567</v>
      </c>
      <c r="Z240" s="18">
        <f t="shared" ca="1" si="31"/>
        <v>12978420.206525266</v>
      </c>
      <c r="AA240" s="18">
        <f ca="1">Auxiliar_Projetos!E240</f>
        <v>8.5118412971496757E-10</v>
      </c>
      <c r="AB240" s="18">
        <f ca="1">Auxiliar_Projetos!K240</f>
        <v>6.5475702285766705E-10</v>
      </c>
      <c r="AC240" s="18">
        <f ca="1">IF(Z240-AA240-AB240&gt;Investimentos!$C$14,Investimentos!$C$14,IF(Z240-AA240-AB240&lt;Investimentos!$C$14,Z240-AA240-AB240,0))</f>
        <v>300000</v>
      </c>
      <c r="AD240" s="18">
        <f t="shared" ca="1" si="32"/>
        <v>12678420.206525266</v>
      </c>
      <c r="AE240" s="18"/>
    </row>
    <row r="241" spans="1:31" x14ac:dyDescent="0.2">
      <c r="A241" s="4">
        <v>52932</v>
      </c>
      <c r="B241" s="5" t="str">
        <f t="shared" si="28"/>
        <v>dezembro</v>
      </c>
      <c r="C241" s="5" t="str">
        <f t="shared" si="34"/>
        <v>2044</v>
      </c>
      <c r="D241" s="5">
        <f>SUMIFS(Despesas!$F:$F,Despesas!$J:$J,"&lt;="&amp;$A241,Despesas!$L:$L,"&gt;="&amp;$A241,Despesas!$C:$C,D$1,Despesas!$M:$M,"Mensal")+SUMIFS(Despesas!$F:$F,Despesas!$J:$J,"&lt;="&amp;$A241,Despesas!$L:$L,"&gt;="&amp;$A241,Despesas!$C:$C,D$1,Despesas!$M:$M,$B241)</f>
        <v>23000</v>
      </c>
      <c r="E241" s="18">
        <f>SUMIFS(Despesas!$F:$F,Despesas!$J:$J,"&lt;="&amp;$A241,Despesas!$L:$L,"&gt;="&amp;$A241,Despesas!$C:$C,E$1,Despesas!$M:$M,"Mensal")+SUMIFS(Despesas!$F:$F,Despesas!$J:$J,"&lt;="&amp;$A241,Despesas!$L:$L,"&gt;="&amp;$A241,Despesas!$C:$C,E$1,Despesas!$M:$M,$B241)</f>
        <v>0</v>
      </c>
      <c r="F241" s="5">
        <f>SUMIFS(Despesas!$F:$F,Despesas!$J:$J,"&lt;="&amp;$A241,Despesas!$L:$L,"&gt;="&amp;$A241,Despesas!$C:$C,F$1,Despesas!$M:$M,"Mensal")+SUMIFS(Despesas!$F:$F,Despesas!$J:$J,"&lt;="&amp;$A241,Despesas!$L:$L,"&gt;="&amp;$A241,Despesas!$C:$C,F$1,Despesas!$M:$M,$B241)</f>
        <v>13000</v>
      </c>
      <c r="G241" s="5">
        <f ca="1">SUMIFS(Despesas!$F:$F,Despesas!$J:$J,"&lt;="&amp;$A241,Despesas!$L:$L,"&gt;="&amp;$A241,Despesas!$C:$C,G$1,Despesas!$M:$M,"Mensal")+SUMIFS(Despesas!$F:$F,Despesas!$J:$J,"&lt;="&amp;$A241,Despesas!$L:$L,"&gt;="&amp;$A241,Despesas!$C:$C,G$1,Despesas!$M:$M,$B241)</f>
        <v>55757</v>
      </c>
      <c r="H241" s="18">
        <f>SUMIFS(Despesas!$F:$F,Despesas!$J:$J,"&lt;="&amp;$A241,Despesas!$L:$L,"&gt;="&amp;$A241,Despesas!$C:$C,H$1,Despesas!$M:$M,"Mensal")+SUMIFS(Despesas!$F:$F,Despesas!$J:$J,"&lt;="&amp;$A241,Despesas!$L:$L,"&gt;="&amp;$A241,Despesas!$C:$C,H$1,Despesas!$M:$M,$B241)</f>
        <v>1000</v>
      </c>
      <c r="I241" s="18">
        <f>IF(Imóveis!$F$2="PRICE",IF(AND(Dados!$A241&gt;=Imóveis!$Q$2,Dados!$A241&lt;=Imóveis!$T$2),Imóveis!$U$2,0),IF((IF(AND(Dados!$A241&gt;=Imóveis!$Q$2,Dados!$A241&lt;=Imóveis!$T$2),Imóveis!$S$2-(DATEDIF(Imóveis!$Q$2,Dados!$A241,"m")),0))=0,0,((Imóveis!$N$2/Imóveis!$S$2)+((Imóveis!$N$2-((Imóveis!$S$2-(IF(AND(Dados!$A241&gt;=Imóveis!$Q$2,Dados!$A241&lt;=Imóveis!$T$2),Imóveis!$S$2-(DATEDIF(Imóveis!$Q$2,Dados!$A241,"m")),)))*(Imóveis!$N$2/Imóveis!$S$2)))*Imóveis!$P$2))))*IF(AND(Imóveis!$E$2&gt;0,Dados!$A241&gt;Imóveis!$E$2),0,1)</f>
        <v>0</v>
      </c>
      <c r="J241" s="18">
        <f>IF(Imóveis!$F$3="PRICE",IF(AND(Dados!$A241&gt;=Imóveis!$Q$3,Dados!$A241&lt;=Imóveis!$T$3),Imóveis!$U$3,0),IF((IF(AND(Dados!$A241&gt;=Imóveis!$Q$3,Dados!$A241&lt;=Imóveis!$T$3),Imóveis!$S$3-(DATEDIF(Imóveis!$Q$3,Dados!$A241,"m")),0))=0,0,((Imóveis!$N$3/Imóveis!$S$3)+((Imóveis!$N$3-((Imóveis!$S$3-(IF(AND(Dados!$A241&gt;=Imóveis!$Q$3,Dados!$A241&lt;=Imóveis!$T$3),Imóveis!$S$3-(DATEDIF(Imóveis!$Q$3,Dados!$A241,"m")),)))*(Imóveis!$N$3/Imóveis!$S$3)))*Imóveis!$P$3))))*IF(AND(Imóveis!$E$3&gt;0,Dados!$A241&gt;Imóveis!$E$3),0,1)</f>
        <v>0</v>
      </c>
      <c r="K241" s="18">
        <f>IF(Imóveis!$F$4="PRICE",IF(AND(Dados!$A241&gt;=Imóveis!$Q$4,Dados!$A241&lt;=Imóveis!$T$4),Imóveis!$U$4,0),IF((IF(AND(Dados!$A241&gt;=Imóveis!$Q$4,Dados!$A241&lt;=Imóveis!$T$4),Imóveis!$S$4-(DATEDIF(Imóveis!$Q$4,Dados!$A241,"m")),0))=0,0,((Imóveis!$N$4/Imóveis!$S$4)+((Imóveis!$N$4-((Imóveis!$S$4-(IF(AND(Dados!$A241&gt;=Imóveis!$Q$4,Dados!$A241&lt;=Imóveis!$T$4),Imóveis!$S$4-(DATEDIF(Imóveis!$Q$4,Dados!$A241,"m")),)))*(Imóveis!$N$4/Imóveis!$S$4)))*Imóveis!$P$4))))*IF(AND(Imóveis!$E$4&gt;0,Dados!$A241&gt;Imóveis!$E$4),0,1)</f>
        <v>0</v>
      </c>
      <c r="L241" s="18">
        <f>IF(Imóveis!$F$5="PRICE",IF(AND(Dados!$A241&gt;=Imóveis!$Q$5,Dados!$A241&lt;=Imóveis!$T$5),Imóveis!$U$5,0),IF((IF(AND(Dados!$A241&gt;=Imóveis!$Q$5,Dados!$A241&lt;=Imóveis!$T$5),Imóveis!$S$5-(DATEDIF(Imóveis!$Q$5,Dados!$A241,"m")),0))=0,0,((Imóveis!$N$5/Imóveis!$S$5)+((Imóveis!$N$5-((Imóveis!$S$5-(IF(AND(Dados!$A241 &gt;=Imóveis!$Q$5,Dados!$A241&lt;=Imóveis!$T$5),Imóveis!$S$5-(DATEDIF(Imóveis!$Q$5,Dados!$A241,"m")),)))*(Imóveis!$N$5/Imóveis!$S$5)))*Imóveis!$P$5))))*IF(AND(Imóveis!$E$5&gt;0,Dados!$A241&gt;Imóveis!$E$5),0,1)*Imóveis!$I$5</f>
        <v>0</v>
      </c>
      <c r="M241" s="18">
        <f>IF(Imóveis!$F$6="PRICE",IF(AND(Dados!$A241&gt;=Imóveis!$Q$6,Dados!$A241&lt;=Imóveis!$T$6),Imóveis!$U$6,0),IF((IF(AND(Dados!$A241&gt;=Imóveis!$Q$6,Dados!$A241&lt;=Imóveis!$T$6),Imóveis!$S$6-(DATEDIF(Imóveis!$Q$6,Dados!$A241,"m")),0))=0,0,((Imóveis!$N$6/Imóveis!$S$6)+((Imóveis!$N$6-((Imóveis!$S$6-(IF(AND(Dados!$A241&gt;=Imóveis!$Q$6,Dados!$A241&lt;=Imóveis!$T$6),Imóveis!$S$6-(DATEDIF(Imóveis!$Q$6,Dados!$A241,"m")),)))*(Imóveis!$N$6/Imóveis!$S$6)))*Imóveis!$P$6))))*IF(AND(Imóveis!$E$6&gt;0,Dados!$A241&gt;Imóveis!$E$6),0,1)*Imóveis!$I$6</f>
        <v>0</v>
      </c>
      <c r="N241" s="18">
        <f t="shared" ca="1" si="29"/>
        <v>92757</v>
      </c>
      <c r="O241" s="18">
        <f>SUMIFS(Receitas!$F:$F,Receitas!$J:$J,"&lt;="&amp;$A241,Receitas!$L:$L,"&gt;="&amp;$A241,Receitas!$C:$C,O$1,Receitas!$M:$M,"Mensal")+SUMIFS(Receitas!$F:$F,Receitas!$J:$J,"&lt;="&amp;$A241,Receitas!$L:$L,"&gt;="&amp;$A241,Receitas!$C:$C,O$1,Receitas!$M:$M,$B241)</f>
        <v>50000</v>
      </c>
      <c r="P241" s="18">
        <f>SUMIFS(Receitas!$F:$F,Receitas!$J:$J,"&lt;="&amp;$A241,Receitas!$L:$L,"&gt;="&amp;$A241,Receitas!$C:$C,P$1,Receitas!$M:$M,"Mensal")+SUMIFS(Receitas!$F:$F,Receitas!$J:$J,"&lt;="&amp;$A241,Receitas!$L:$L,"&gt;="&amp;$A241,Receitas!$C:$C,P$1,Receitas!$M:$M,$B241)</f>
        <v>20000</v>
      </c>
      <c r="Q241" s="18">
        <f>SUMIFS(Receitas!$F:$F,Receitas!$J:$J,"&lt;="&amp;$A241,Receitas!$L:$L,"&gt;="&amp;$A241,Receitas!$C:$C,Q$1,Receitas!$M:$M,"Mensal")+SUMIFS(Receitas!$F:$F,Receitas!$J:$J,"&lt;="&amp;$A241,Receitas!$L:$L,"&gt;="&amp;$A241,Receitas!$C:$C,Q$1,Receitas!$M:$M,$B241)</f>
        <v>0</v>
      </c>
      <c r="R241" s="18" cm="1">
        <f t="array" ref="R241">(IF(AND(Membros!$F$2="Sim",A241&lt;=MAX(Membros!$E$2:$E$5)),Membros!K$2,IF(AND(A241&gt;=Membros!J$2,A241&lt;=MAX(Membros!$E$2:$E$5)),Membros!K$2,0))+IF(AND(Membros!$F$3="Sim",A241&lt;=MAX(Membros!$E$2:$E$5)),Membros!K$3,IF(AND(A241&gt;=Membros!J$3,A241&lt;=MAX(Membros!$E$2:$E$5)),Membros!K$3,0)))*IF(AND(COUNTIFS(Tabela3[Tipo],"Provedor",Tabela3[Simulação Seguro],"Sim")=2,A241&gt;=MAX(IF(Tabela3[Tipo]="Dependente",Tabela3[Expectativa de Vida (Data)]))),0,1)</f>
        <v>0</v>
      </c>
      <c r="S241" s="18">
        <f t="shared" si="30"/>
        <v>70000</v>
      </c>
      <c r="U241" s="18">
        <f t="shared" ca="1" si="33"/>
        <v>12978420.206525266</v>
      </c>
      <c r="V241" s="18">
        <f>SUMIF(Imóveis!E:E,Dados!A:A,Imóveis!Z:Z)-SUMIF(Imóveis!E:E,Dados!A:A,Imóveis!Y:Y)</f>
        <v>0</v>
      </c>
      <c r="W241" s="18">
        <f>-SUMIF(Projetos!N:N,A241,Projetos!F:F)</f>
        <v>0</v>
      </c>
      <c r="X241" s="18">
        <f t="shared" ca="1" si="27"/>
        <v>-22757</v>
      </c>
      <c r="Y241" s="26">
        <f ca="1">(U241*((Indicadores_Economicos!D$2+1)^(1/12)-1))</f>
        <v>42487.970540196016</v>
      </c>
      <c r="Z241" s="18">
        <f t="shared" ca="1" si="31"/>
        <v>12998151.177065462</v>
      </c>
      <c r="AA241" s="18">
        <f ca="1">Auxiliar_Projetos!E241</f>
        <v>8.539706850623918E-10</v>
      </c>
      <c r="AB241" s="18">
        <f ca="1">Auxiliar_Projetos!K241</f>
        <v>6.5690052697107032E-10</v>
      </c>
      <c r="AC241" s="18">
        <f ca="1">IF(Z241-AA241-AB241&gt;Investimentos!$C$14,Investimentos!$C$14,IF(Z241-AA241-AB241&lt;Investimentos!$C$14,Z241-AA241-AB241,0))</f>
        <v>300000</v>
      </c>
      <c r="AD241" s="18">
        <f t="shared" ca="1" si="32"/>
        <v>12698151.177065462</v>
      </c>
      <c r="AE241" s="18"/>
    </row>
    <row r="242" spans="1:31" x14ac:dyDescent="0.2">
      <c r="A242" s="4">
        <v>52963</v>
      </c>
      <c r="B242" s="5" t="str">
        <f t="shared" si="28"/>
        <v>janeiro</v>
      </c>
      <c r="C242" s="5" t="str">
        <f t="shared" si="34"/>
        <v>2045</v>
      </c>
      <c r="D242" s="5">
        <f>SUMIFS(Despesas!$F:$F,Despesas!$J:$J,"&lt;="&amp;$A242,Despesas!$L:$L,"&gt;="&amp;$A242,Despesas!$C:$C,D$1,Despesas!$M:$M,"Mensal")+SUMIFS(Despesas!$F:$F,Despesas!$J:$J,"&lt;="&amp;$A242,Despesas!$L:$L,"&gt;="&amp;$A242,Despesas!$C:$C,D$1,Despesas!$M:$M,$B242)</f>
        <v>23000</v>
      </c>
      <c r="E242" s="18">
        <f>SUMIFS(Despesas!$F:$F,Despesas!$J:$J,"&lt;="&amp;$A242,Despesas!$L:$L,"&gt;="&amp;$A242,Despesas!$C:$C,E$1,Despesas!$M:$M,"Mensal")+SUMIFS(Despesas!$F:$F,Despesas!$J:$J,"&lt;="&amp;$A242,Despesas!$L:$L,"&gt;="&amp;$A242,Despesas!$C:$C,E$1,Despesas!$M:$M,$B242)</f>
        <v>0</v>
      </c>
      <c r="F242" s="5">
        <f>SUMIFS(Despesas!$F:$F,Despesas!$J:$J,"&lt;="&amp;$A242,Despesas!$L:$L,"&gt;="&amp;$A242,Despesas!$C:$C,F$1,Despesas!$M:$M,"Mensal")+SUMIFS(Despesas!$F:$F,Despesas!$J:$J,"&lt;="&amp;$A242,Despesas!$L:$L,"&gt;="&amp;$A242,Despesas!$C:$C,F$1,Despesas!$M:$M,$B242)</f>
        <v>13000</v>
      </c>
      <c r="G242" s="5">
        <f>SUMIFS(Despesas!$F:$F,Despesas!$J:$J,"&lt;="&amp;$A242,Despesas!$L:$L,"&gt;="&amp;$A242,Despesas!$C:$C,G$1,Despesas!$M:$M,"Mensal")+SUMIFS(Despesas!$F:$F,Despesas!$J:$J,"&lt;="&amp;$A242,Despesas!$L:$L,"&gt;="&amp;$A242,Despesas!$C:$C,G$1,Despesas!$M:$M,$B242)</f>
        <v>0</v>
      </c>
      <c r="H242" s="18">
        <f>SUMIFS(Despesas!$F:$F,Despesas!$J:$J,"&lt;="&amp;$A242,Despesas!$L:$L,"&gt;="&amp;$A242,Despesas!$C:$C,H$1,Despesas!$M:$M,"Mensal")+SUMIFS(Despesas!$F:$F,Despesas!$J:$J,"&lt;="&amp;$A242,Despesas!$L:$L,"&gt;="&amp;$A242,Despesas!$C:$C,H$1,Despesas!$M:$M,$B242)</f>
        <v>1000</v>
      </c>
      <c r="I242" s="18">
        <f>IF(Imóveis!$F$2="PRICE",IF(AND(Dados!$A242&gt;=Imóveis!$Q$2,Dados!$A242&lt;=Imóveis!$T$2),Imóveis!$U$2,0),IF((IF(AND(Dados!$A242&gt;=Imóveis!$Q$2,Dados!$A242&lt;=Imóveis!$T$2),Imóveis!$S$2-(DATEDIF(Imóveis!$Q$2,Dados!$A242,"m")),0))=0,0,((Imóveis!$N$2/Imóveis!$S$2)+((Imóveis!$N$2-((Imóveis!$S$2-(IF(AND(Dados!$A242&gt;=Imóveis!$Q$2,Dados!$A242&lt;=Imóveis!$T$2),Imóveis!$S$2-(DATEDIF(Imóveis!$Q$2,Dados!$A242,"m")),)))*(Imóveis!$N$2/Imóveis!$S$2)))*Imóveis!$P$2))))*IF(AND(Imóveis!$E$2&gt;0,Dados!$A242&gt;Imóveis!$E$2),0,1)</f>
        <v>0</v>
      </c>
      <c r="J242" s="18">
        <f>IF(Imóveis!$F$3="PRICE",IF(AND(Dados!$A242&gt;=Imóveis!$Q$3,Dados!$A242&lt;=Imóveis!$T$3),Imóveis!$U$3,0),IF((IF(AND(Dados!$A242&gt;=Imóveis!$Q$3,Dados!$A242&lt;=Imóveis!$T$3),Imóveis!$S$3-(DATEDIF(Imóveis!$Q$3,Dados!$A242,"m")),0))=0,0,((Imóveis!$N$3/Imóveis!$S$3)+((Imóveis!$N$3-((Imóveis!$S$3-(IF(AND(Dados!$A242&gt;=Imóveis!$Q$3,Dados!$A242&lt;=Imóveis!$T$3),Imóveis!$S$3-(DATEDIF(Imóveis!$Q$3,Dados!$A242,"m")),)))*(Imóveis!$N$3/Imóveis!$S$3)))*Imóveis!$P$3))))*IF(AND(Imóveis!$E$3&gt;0,Dados!$A242&gt;Imóveis!$E$3),0,1)</f>
        <v>0</v>
      </c>
      <c r="K242" s="18">
        <f>IF(Imóveis!$F$4="PRICE",IF(AND(Dados!$A242&gt;=Imóveis!$Q$4,Dados!$A242&lt;=Imóveis!$T$4),Imóveis!$U$4,0),IF((IF(AND(Dados!$A242&gt;=Imóveis!$Q$4,Dados!$A242&lt;=Imóveis!$T$4),Imóveis!$S$4-(DATEDIF(Imóveis!$Q$4,Dados!$A242,"m")),0))=0,0,((Imóveis!$N$4/Imóveis!$S$4)+((Imóveis!$N$4-((Imóveis!$S$4-(IF(AND(Dados!$A242&gt;=Imóveis!$Q$4,Dados!$A242&lt;=Imóveis!$T$4),Imóveis!$S$4-(DATEDIF(Imóveis!$Q$4,Dados!$A242,"m")),)))*(Imóveis!$N$4/Imóveis!$S$4)))*Imóveis!$P$4))))*IF(AND(Imóveis!$E$4&gt;0,Dados!$A242&gt;Imóveis!$E$4),0,1)</f>
        <v>0</v>
      </c>
      <c r="L242" s="18">
        <f>IF(Imóveis!$F$5="PRICE",IF(AND(Dados!$A242&gt;=Imóveis!$Q$5,Dados!$A242&lt;=Imóveis!$T$5),Imóveis!$U$5,0),IF((IF(AND(Dados!$A242&gt;=Imóveis!$Q$5,Dados!$A242&lt;=Imóveis!$T$5),Imóveis!$S$5-(DATEDIF(Imóveis!$Q$5,Dados!$A242,"m")),0))=0,0,((Imóveis!$N$5/Imóveis!$S$5)+((Imóveis!$N$5-((Imóveis!$S$5-(IF(AND(Dados!$A242 &gt;=Imóveis!$Q$5,Dados!$A242&lt;=Imóveis!$T$5),Imóveis!$S$5-(DATEDIF(Imóveis!$Q$5,Dados!$A242,"m")),)))*(Imóveis!$N$5/Imóveis!$S$5)))*Imóveis!$P$5))))*IF(AND(Imóveis!$E$5&gt;0,Dados!$A242&gt;Imóveis!$E$5),0,1)*Imóveis!$I$5</f>
        <v>0</v>
      </c>
      <c r="M242" s="18">
        <f>IF(Imóveis!$F$6="PRICE",IF(AND(Dados!$A242&gt;=Imóveis!$Q$6,Dados!$A242&lt;=Imóveis!$T$6),Imóveis!$U$6,0),IF((IF(AND(Dados!$A242&gt;=Imóveis!$Q$6,Dados!$A242&lt;=Imóveis!$T$6),Imóveis!$S$6-(DATEDIF(Imóveis!$Q$6,Dados!$A242,"m")),0))=0,0,((Imóveis!$N$6/Imóveis!$S$6)+((Imóveis!$N$6-((Imóveis!$S$6-(IF(AND(Dados!$A242&gt;=Imóveis!$Q$6,Dados!$A242&lt;=Imóveis!$T$6),Imóveis!$S$6-(DATEDIF(Imóveis!$Q$6,Dados!$A242,"m")),)))*(Imóveis!$N$6/Imóveis!$S$6)))*Imóveis!$P$6))))*IF(AND(Imóveis!$E$6&gt;0,Dados!$A242&gt;Imóveis!$E$6),0,1)*Imóveis!$I$6</f>
        <v>0</v>
      </c>
      <c r="N242" s="18">
        <f t="shared" si="29"/>
        <v>37000</v>
      </c>
      <c r="O242" s="18">
        <f>SUMIFS(Receitas!$F:$F,Receitas!$J:$J,"&lt;="&amp;$A242,Receitas!$L:$L,"&gt;="&amp;$A242,Receitas!$C:$C,O$1,Receitas!$M:$M,"Mensal")+SUMIFS(Receitas!$F:$F,Receitas!$J:$J,"&lt;="&amp;$A242,Receitas!$L:$L,"&gt;="&amp;$A242,Receitas!$C:$C,O$1,Receitas!$M:$M,$B242)</f>
        <v>50000</v>
      </c>
      <c r="P242" s="18">
        <f>SUMIFS(Receitas!$F:$F,Receitas!$J:$J,"&lt;="&amp;$A242,Receitas!$L:$L,"&gt;="&amp;$A242,Receitas!$C:$C,P$1,Receitas!$M:$M,"Mensal")+SUMIFS(Receitas!$F:$F,Receitas!$J:$J,"&lt;="&amp;$A242,Receitas!$L:$L,"&gt;="&amp;$A242,Receitas!$C:$C,P$1,Receitas!$M:$M,$B242)</f>
        <v>20000</v>
      </c>
      <c r="Q242" s="18">
        <f>SUMIFS(Receitas!$F:$F,Receitas!$J:$J,"&lt;="&amp;$A242,Receitas!$L:$L,"&gt;="&amp;$A242,Receitas!$C:$C,Q$1,Receitas!$M:$M,"Mensal")+SUMIFS(Receitas!$F:$F,Receitas!$J:$J,"&lt;="&amp;$A242,Receitas!$L:$L,"&gt;="&amp;$A242,Receitas!$C:$C,Q$1,Receitas!$M:$M,$B242)</f>
        <v>0</v>
      </c>
      <c r="R242" s="18" cm="1">
        <f t="array" ref="R242">(IF(AND(Membros!$F$2="Sim",A242&lt;=MAX(Membros!$E$2:$E$5)),Membros!K$2,IF(AND(A242&gt;=Membros!J$2,A242&lt;=MAX(Membros!$E$2:$E$5)),Membros!K$2,0))+IF(AND(Membros!$F$3="Sim",A242&lt;=MAX(Membros!$E$2:$E$5)),Membros!K$3,IF(AND(A242&gt;=Membros!J$3,A242&lt;=MAX(Membros!$E$2:$E$5)),Membros!K$3,0)))*IF(AND(COUNTIFS(Tabela3[Tipo],"Provedor",Tabela3[Simulação Seguro],"Sim")=2,A242&gt;=MAX(IF(Tabela3[Tipo]="Dependente",Tabela3[Expectativa de Vida (Data)]))),0,1)</f>
        <v>0</v>
      </c>
      <c r="S242" s="18">
        <f t="shared" si="30"/>
        <v>70000</v>
      </c>
      <c r="U242" s="18">
        <f t="shared" ca="1" si="33"/>
        <v>12998151.177065462</v>
      </c>
      <c r="V242" s="18">
        <f>SUMIF(Imóveis!E:E,Dados!A:A,Imóveis!Z:Z)-SUMIF(Imóveis!E:E,Dados!A:A,Imóveis!Y:Y)</f>
        <v>0</v>
      </c>
      <c r="W242" s="18">
        <f>-SUMIF(Projetos!N:N,A242,Projetos!F:F)</f>
        <v>0</v>
      </c>
      <c r="X242" s="18">
        <f t="shared" si="27"/>
        <v>33000</v>
      </c>
      <c r="Y242" s="26">
        <f ca="1">(U242*((Indicadores_Economicos!D$2+1)^(1/12)-1))</f>
        <v>42552.564603394851</v>
      </c>
      <c r="Z242" s="18">
        <f t="shared" ca="1" si="31"/>
        <v>13073703.741668858</v>
      </c>
      <c r="AA242" s="18">
        <f ca="1">Auxiliar_Projetos!E242</f>
        <v>8.567663628669122E-10</v>
      </c>
      <c r="AB242" s="18">
        <f ca="1">Auxiliar_Projetos!K242</f>
        <v>6.5905104835916291E-10</v>
      </c>
      <c r="AC242" s="18">
        <f ca="1">IF(Z242-AA242-AB242&gt;Investimentos!$C$14,Investimentos!$C$14,IF(Z242-AA242-AB242&lt;Investimentos!$C$14,Z242-AA242-AB242,0))</f>
        <v>300000</v>
      </c>
      <c r="AD242" s="18">
        <f t="shared" ca="1" si="32"/>
        <v>12773703.741668858</v>
      </c>
      <c r="AE242" s="18"/>
    </row>
    <row r="243" spans="1:31" x14ac:dyDescent="0.2">
      <c r="A243" s="4">
        <v>52994</v>
      </c>
      <c r="B243" s="5" t="str">
        <f t="shared" si="28"/>
        <v>fevereiro</v>
      </c>
      <c r="C243" s="5" t="str">
        <f t="shared" si="34"/>
        <v>2045</v>
      </c>
      <c r="D243" s="5">
        <f>SUMIFS(Despesas!$F:$F,Despesas!$J:$J,"&lt;="&amp;$A243,Despesas!$L:$L,"&gt;="&amp;$A243,Despesas!$C:$C,D$1,Despesas!$M:$M,"Mensal")+SUMIFS(Despesas!$F:$F,Despesas!$J:$J,"&lt;="&amp;$A243,Despesas!$L:$L,"&gt;="&amp;$A243,Despesas!$C:$C,D$1,Despesas!$M:$M,$B243)</f>
        <v>23000</v>
      </c>
      <c r="E243" s="18">
        <f>SUMIFS(Despesas!$F:$F,Despesas!$J:$J,"&lt;="&amp;$A243,Despesas!$L:$L,"&gt;="&amp;$A243,Despesas!$C:$C,E$1,Despesas!$M:$M,"Mensal")+SUMIFS(Despesas!$F:$F,Despesas!$J:$J,"&lt;="&amp;$A243,Despesas!$L:$L,"&gt;="&amp;$A243,Despesas!$C:$C,E$1,Despesas!$M:$M,$B243)</f>
        <v>0</v>
      </c>
      <c r="F243" s="5">
        <f>SUMIFS(Despesas!$F:$F,Despesas!$J:$J,"&lt;="&amp;$A243,Despesas!$L:$L,"&gt;="&amp;$A243,Despesas!$C:$C,F$1,Despesas!$M:$M,"Mensal")+SUMIFS(Despesas!$F:$F,Despesas!$J:$J,"&lt;="&amp;$A243,Despesas!$L:$L,"&gt;="&amp;$A243,Despesas!$C:$C,F$1,Despesas!$M:$M,$B243)</f>
        <v>13000</v>
      </c>
      <c r="G243" s="5">
        <f>SUMIFS(Despesas!$F:$F,Despesas!$J:$J,"&lt;="&amp;$A243,Despesas!$L:$L,"&gt;="&amp;$A243,Despesas!$C:$C,G$1,Despesas!$M:$M,"Mensal")+SUMIFS(Despesas!$F:$F,Despesas!$J:$J,"&lt;="&amp;$A243,Despesas!$L:$L,"&gt;="&amp;$A243,Despesas!$C:$C,G$1,Despesas!$M:$M,$B243)</f>
        <v>0</v>
      </c>
      <c r="H243" s="18">
        <f>SUMIFS(Despesas!$F:$F,Despesas!$J:$J,"&lt;="&amp;$A243,Despesas!$L:$L,"&gt;="&amp;$A243,Despesas!$C:$C,H$1,Despesas!$M:$M,"Mensal")+SUMIFS(Despesas!$F:$F,Despesas!$J:$J,"&lt;="&amp;$A243,Despesas!$L:$L,"&gt;="&amp;$A243,Despesas!$C:$C,H$1,Despesas!$M:$M,$B243)</f>
        <v>2200</v>
      </c>
      <c r="I243" s="18">
        <f>IF(Imóveis!$F$2="PRICE",IF(AND(Dados!$A243&gt;=Imóveis!$Q$2,Dados!$A243&lt;=Imóveis!$T$2),Imóveis!$U$2,0),IF((IF(AND(Dados!$A243&gt;=Imóveis!$Q$2,Dados!$A243&lt;=Imóveis!$T$2),Imóveis!$S$2-(DATEDIF(Imóveis!$Q$2,Dados!$A243,"m")),0))=0,0,((Imóveis!$N$2/Imóveis!$S$2)+((Imóveis!$N$2-((Imóveis!$S$2-(IF(AND(Dados!$A243&gt;=Imóveis!$Q$2,Dados!$A243&lt;=Imóveis!$T$2),Imóveis!$S$2-(DATEDIF(Imóveis!$Q$2,Dados!$A243,"m")),)))*(Imóveis!$N$2/Imóveis!$S$2)))*Imóveis!$P$2))))*IF(AND(Imóveis!$E$2&gt;0,Dados!$A243&gt;Imóveis!$E$2),0,1)</f>
        <v>0</v>
      </c>
      <c r="J243" s="18">
        <f>IF(Imóveis!$F$3="PRICE",IF(AND(Dados!$A243&gt;=Imóveis!$Q$3,Dados!$A243&lt;=Imóveis!$T$3),Imóveis!$U$3,0),IF((IF(AND(Dados!$A243&gt;=Imóveis!$Q$3,Dados!$A243&lt;=Imóveis!$T$3),Imóveis!$S$3-(DATEDIF(Imóveis!$Q$3,Dados!$A243,"m")),0))=0,0,((Imóveis!$N$3/Imóveis!$S$3)+((Imóveis!$N$3-((Imóveis!$S$3-(IF(AND(Dados!$A243&gt;=Imóveis!$Q$3,Dados!$A243&lt;=Imóveis!$T$3),Imóveis!$S$3-(DATEDIF(Imóveis!$Q$3,Dados!$A243,"m")),)))*(Imóveis!$N$3/Imóveis!$S$3)))*Imóveis!$P$3))))*IF(AND(Imóveis!$E$3&gt;0,Dados!$A243&gt;Imóveis!$E$3),0,1)</f>
        <v>0</v>
      </c>
      <c r="K243" s="18">
        <f>IF(Imóveis!$F$4="PRICE",IF(AND(Dados!$A243&gt;=Imóveis!$Q$4,Dados!$A243&lt;=Imóveis!$T$4),Imóveis!$U$4,0),IF((IF(AND(Dados!$A243&gt;=Imóveis!$Q$4,Dados!$A243&lt;=Imóveis!$T$4),Imóveis!$S$4-(DATEDIF(Imóveis!$Q$4,Dados!$A243,"m")),0))=0,0,((Imóveis!$N$4/Imóveis!$S$4)+((Imóveis!$N$4-((Imóveis!$S$4-(IF(AND(Dados!$A243&gt;=Imóveis!$Q$4,Dados!$A243&lt;=Imóveis!$T$4),Imóveis!$S$4-(DATEDIF(Imóveis!$Q$4,Dados!$A243,"m")),)))*(Imóveis!$N$4/Imóveis!$S$4)))*Imóveis!$P$4))))*IF(AND(Imóveis!$E$4&gt;0,Dados!$A243&gt;Imóveis!$E$4),0,1)</f>
        <v>0</v>
      </c>
      <c r="L243" s="18">
        <f>IF(Imóveis!$F$5="PRICE",IF(AND(Dados!$A243&gt;=Imóveis!$Q$5,Dados!$A243&lt;=Imóveis!$T$5),Imóveis!$U$5,0),IF((IF(AND(Dados!$A243&gt;=Imóveis!$Q$5,Dados!$A243&lt;=Imóveis!$T$5),Imóveis!$S$5-(DATEDIF(Imóveis!$Q$5,Dados!$A243,"m")),0))=0,0,((Imóveis!$N$5/Imóveis!$S$5)+((Imóveis!$N$5-((Imóveis!$S$5-(IF(AND(Dados!$A243 &gt;=Imóveis!$Q$5,Dados!$A243&lt;=Imóveis!$T$5),Imóveis!$S$5-(DATEDIF(Imóveis!$Q$5,Dados!$A243,"m")),)))*(Imóveis!$N$5/Imóveis!$S$5)))*Imóveis!$P$5))))*IF(AND(Imóveis!$E$5&gt;0,Dados!$A243&gt;Imóveis!$E$5),0,1)*Imóveis!$I$5</f>
        <v>0</v>
      </c>
      <c r="M243" s="18">
        <f>IF(Imóveis!$F$6="PRICE",IF(AND(Dados!$A243&gt;=Imóveis!$Q$6,Dados!$A243&lt;=Imóveis!$T$6),Imóveis!$U$6,0),IF((IF(AND(Dados!$A243&gt;=Imóveis!$Q$6,Dados!$A243&lt;=Imóveis!$T$6),Imóveis!$S$6-(DATEDIF(Imóveis!$Q$6,Dados!$A243,"m")),0))=0,0,((Imóveis!$N$6/Imóveis!$S$6)+((Imóveis!$N$6-((Imóveis!$S$6-(IF(AND(Dados!$A243&gt;=Imóveis!$Q$6,Dados!$A243&lt;=Imóveis!$T$6),Imóveis!$S$6-(DATEDIF(Imóveis!$Q$6,Dados!$A243,"m")),)))*(Imóveis!$N$6/Imóveis!$S$6)))*Imóveis!$P$6))))*IF(AND(Imóveis!$E$6&gt;0,Dados!$A243&gt;Imóveis!$E$6),0,1)*Imóveis!$I$6</f>
        <v>0</v>
      </c>
      <c r="N243" s="18">
        <f t="shared" si="29"/>
        <v>38200</v>
      </c>
      <c r="O243" s="18">
        <f>SUMIFS(Receitas!$F:$F,Receitas!$J:$J,"&lt;="&amp;$A243,Receitas!$L:$L,"&gt;="&amp;$A243,Receitas!$C:$C,O$1,Receitas!$M:$M,"Mensal")+SUMIFS(Receitas!$F:$F,Receitas!$J:$J,"&lt;="&amp;$A243,Receitas!$L:$L,"&gt;="&amp;$A243,Receitas!$C:$C,O$1,Receitas!$M:$M,$B243)</f>
        <v>50000</v>
      </c>
      <c r="P243" s="18">
        <f>SUMIFS(Receitas!$F:$F,Receitas!$J:$J,"&lt;="&amp;$A243,Receitas!$L:$L,"&gt;="&amp;$A243,Receitas!$C:$C,P$1,Receitas!$M:$M,"Mensal")+SUMIFS(Receitas!$F:$F,Receitas!$J:$J,"&lt;="&amp;$A243,Receitas!$L:$L,"&gt;="&amp;$A243,Receitas!$C:$C,P$1,Receitas!$M:$M,$B243)</f>
        <v>20000</v>
      </c>
      <c r="Q243" s="18">
        <f>SUMIFS(Receitas!$F:$F,Receitas!$J:$J,"&lt;="&amp;$A243,Receitas!$L:$L,"&gt;="&amp;$A243,Receitas!$C:$C,Q$1,Receitas!$M:$M,"Mensal")+SUMIFS(Receitas!$F:$F,Receitas!$J:$J,"&lt;="&amp;$A243,Receitas!$L:$L,"&gt;="&amp;$A243,Receitas!$C:$C,Q$1,Receitas!$M:$M,$B243)</f>
        <v>0</v>
      </c>
      <c r="R243" s="18" cm="1">
        <f t="array" ref="R243">(IF(AND(Membros!$F$2="Sim",A243&lt;=MAX(Membros!$E$2:$E$5)),Membros!K$2,IF(AND(A243&gt;=Membros!J$2,A243&lt;=MAX(Membros!$E$2:$E$5)),Membros!K$2,0))+IF(AND(Membros!$F$3="Sim",A243&lt;=MAX(Membros!$E$2:$E$5)),Membros!K$3,IF(AND(A243&gt;=Membros!J$3,A243&lt;=MAX(Membros!$E$2:$E$5)),Membros!K$3,0)))*IF(AND(COUNTIFS(Tabela3[Tipo],"Provedor",Tabela3[Simulação Seguro],"Sim")=2,A243&gt;=MAX(IF(Tabela3[Tipo]="Dependente",Tabela3[Expectativa de Vida (Data)]))),0,1)</f>
        <v>0</v>
      </c>
      <c r="S243" s="18">
        <f t="shared" si="30"/>
        <v>70000</v>
      </c>
      <c r="U243" s="18">
        <f t="shared" ca="1" si="33"/>
        <v>13073703.741668858</v>
      </c>
      <c r="V243" s="18">
        <f>SUMIF(Imóveis!E:E,Dados!A:A,Imóveis!Z:Z)-SUMIF(Imóveis!E:E,Dados!A:A,Imóveis!Y:Y)</f>
        <v>0</v>
      </c>
      <c r="W243" s="18">
        <f>-SUMIF(Projetos!N:N,A243,Projetos!F:F)</f>
        <v>0</v>
      </c>
      <c r="X243" s="18">
        <f t="shared" si="27"/>
        <v>31800</v>
      </c>
      <c r="Y243" s="26">
        <f ca="1">(U243*((Indicadores_Economicos!D$2+1)^(1/12)-1))</f>
        <v>42799.904039784138</v>
      </c>
      <c r="Z243" s="18">
        <f t="shared" ca="1" si="31"/>
        <v>13148303.645708641</v>
      </c>
      <c r="AA243" s="18">
        <f ca="1">Auxiliar_Projetos!E243</f>
        <v>8.5957119299307952E-10</v>
      </c>
      <c r="AB243" s="18">
        <f ca="1">Auxiliar_Projetos!K243</f>
        <v>6.6120860999467621E-10</v>
      </c>
      <c r="AC243" s="18">
        <f ca="1">IF(Z243-AA243-AB243&gt;Investimentos!$C$14,Investimentos!$C$14,IF(Z243-AA243-AB243&lt;Investimentos!$C$14,Z243-AA243-AB243,0))</f>
        <v>300000</v>
      </c>
      <c r="AD243" s="18">
        <f t="shared" ca="1" si="32"/>
        <v>12848303.645708641</v>
      </c>
      <c r="AE243" s="18"/>
    </row>
    <row r="244" spans="1:31" x14ac:dyDescent="0.2">
      <c r="A244" s="4">
        <v>53022</v>
      </c>
      <c r="B244" s="5" t="str">
        <f t="shared" si="28"/>
        <v>março</v>
      </c>
      <c r="C244" s="5" t="str">
        <f t="shared" si="34"/>
        <v>2045</v>
      </c>
      <c r="D244" s="5">
        <f>SUMIFS(Despesas!$F:$F,Despesas!$J:$J,"&lt;="&amp;$A244,Despesas!$L:$L,"&gt;="&amp;$A244,Despesas!$C:$C,D$1,Despesas!$M:$M,"Mensal")+SUMIFS(Despesas!$F:$F,Despesas!$J:$J,"&lt;="&amp;$A244,Despesas!$L:$L,"&gt;="&amp;$A244,Despesas!$C:$C,D$1,Despesas!$M:$M,$B244)</f>
        <v>23000</v>
      </c>
      <c r="E244" s="18">
        <f>SUMIFS(Despesas!$F:$F,Despesas!$J:$J,"&lt;="&amp;$A244,Despesas!$L:$L,"&gt;="&amp;$A244,Despesas!$C:$C,E$1,Despesas!$M:$M,"Mensal")+SUMIFS(Despesas!$F:$F,Despesas!$J:$J,"&lt;="&amp;$A244,Despesas!$L:$L,"&gt;="&amp;$A244,Despesas!$C:$C,E$1,Despesas!$M:$M,$B244)</f>
        <v>0</v>
      </c>
      <c r="F244" s="5">
        <f>SUMIFS(Despesas!$F:$F,Despesas!$J:$J,"&lt;="&amp;$A244,Despesas!$L:$L,"&gt;="&amp;$A244,Despesas!$C:$C,F$1,Despesas!$M:$M,"Mensal")+SUMIFS(Despesas!$F:$F,Despesas!$J:$J,"&lt;="&amp;$A244,Despesas!$L:$L,"&gt;="&amp;$A244,Despesas!$C:$C,F$1,Despesas!$M:$M,$B244)</f>
        <v>13000</v>
      </c>
      <c r="G244" s="5">
        <f>SUMIFS(Despesas!$F:$F,Despesas!$J:$J,"&lt;="&amp;$A244,Despesas!$L:$L,"&gt;="&amp;$A244,Despesas!$C:$C,G$1,Despesas!$M:$M,"Mensal")+SUMIFS(Despesas!$F:$F,Despesas!$J:$J,"&lt;="&amp;$A244,Despesas!$L:$L,"&gt;="&amp;$A244,Despesas!$C:$C,G$1,Despesas!$M:$M,$B244)</f>
        <v>0</v>
      </c>
      <c r="H244" s="18">
        <f>SUMIFS(Despesas!$F:$F,Despesas!$J:$J,"&lt;="&amp;$A244,Despesas!$L:$L,"&gt;="&amp;$A244,Despesas!$C:$C,H$1,Despesas!$M:$M,"Mensal")+SUMIFS(Despesas!$F:$F,Despesas!$J:$J,"&lt;="&amp;$A244,Despesas!$L:$L,"&gt;="&amp;$A244,Despesas!$C:$C,H$1,Despesas!$M:$M,$B244)</f>
        <v>1000</v>
      </c>
      <c r="I244" s="18">
        <f>IF(Imóveis!$F$2="PRICE",IF(AND(Dados!$A244&gt;=Imóveis!$Q$2,Dados!$A244&lt;=Imóveis!$T$2),Imóveis!$U$2,0),IF((IF(AND(Dados!$A244&gt;=Imóveis!$Q$2,Dados!$A244&lt;=Imóveis!$T$2),Imóveis!$S$2-(DATEDIF(Imóveis!$Q$2,Dados!$A244,"m")),0))=0,0,((Imóveis!$N$2/Imóveis!$S$2)+((Imóveis!$N$2-((Imóveis!$S$2-(IF(AND(Dados!$A244&gt;=Imóveis!$Q$2,Dados!$A244&lt;=Imóveis!$T$2),Imóveis!$S$2-(DATEDIF(Imóveis!$Q$2,Dados!$A244,"m")),)))*(Imóveis!$N$2/Imóveis!$S$2)))*Imóveis!$P$2))))*IF(AND(Imóveis!$E$2&gt;0,Dados!$A244&gt;Imóveis!$E$2),0,1)</f>
        <v>0</v>
      </c>
      <c r="J244" s="18">
        <f>IF(Imóveis!$F$3="PRICE",IF(AND(Dados!$A244&gt;=Imóveis!$Q$3,Dados!$A244&lt;=Imóveis!$T$3),Imóveis!$U$3,0),IF((IF(AND(Dados!$A244&gt;=Imóveis!$Q$3,Dados!$A244&lt;=Imóveis!$T$3),Imóveis!$S$3-(DATEDIF(Imóveis!$Q$3,Dados!$A244,"m")),0))=0,0,((Imóveis!$N$3/Imóveis!$S$3)+((Imóveis!$N$3-((Imóveis!$S$3-(IF(AND(Dados!$A244&gt;=Imóveis!$Q$3,Dados!$A244&lt;=Imóveis!$T$3),Imóveis!$S$3-(DATEDIF(Imóveis!$Q$3,Dados!$A244,"m")),)))*(Imóveis!$N$3/Imóveis!$S$3)))*Imóveis!$P$3))))*IF(AND(Imóveis!$E$3&gt;0,Dados!$A244&gt;Imóveis!$E$3),0,1)</f>
        <v>0</v>
      </c>
      <c r="K244" s="18">
        <f>IF(Imóveis!$F$4="PRICE",IF(AND(Dados!$A244&gt;=Imóveis!$Q$4,Dados!$A244&lt;=Imóveis!$T$4),Imóveis!$U$4,0),IF((IF(AND(Dados!$A244&gt;=Imóveis!$Q$4,Dados!$A244&lt;=Imóveis!$T$4),Imóveis!$S$4-(DATEDIF(Imóveis!$Q$4,Dados!$A244,"m")),0))=0,0,((Imóveis!$N$4/Imóveis!$S$4)+((Imóveis!$N$4-((Imóveis!$S$4-(IF(AND(Dados!$A244&gt;=Imóveis!$Q$4,Dados!$A244&lt;=Imóveis!$T$4),Imóveis!$S$4-(DATEDIF(Imóveis!$Q$4,Dados!$A244,"m")),)))*(Imóveis!$N$4/Imóveis!$S$4)))*Imóveis!$P$4))))*IF(AND(Imóveis!$E$4&gt;0,Dados!$A244&gt;Imóveis!$E$4),0,1)</f>
        <v>0</v>
      </c>
      <c r="L244" s="18">
        <f>IF(Imóveis!$F$5="PRICE",IF(AND(Dados!$A244&gt;=Imóveis!$Q$5,Dados!$A244&lt;=Imóveis!$T$5),Imóveis!$U$5,0),IF((IF(AND(Dados!$A244&gt;=Imóveis!$Q$5,Dados!$A244&lt;=Imóveis!$T$5),Imóveis!$S$5-(DATEDIF(Imóveis!$Q$5,Dados!$A244,"m")),0))=0,0,((Imóveis!$N$5/Imóveis!$S$5)+((Imóveis!$N$5-((Imóveis!$S$5-(IF(AND(Dados!$A244 &gt;=Imóveis!$Q$5,Dados!$A244&lt;=Imóveis!$T$5),Imóveis!$S$5-(DATEDIF(Imóveis!$Q$5,Dados!$A244,"m")),)))*(Imóveis!$N$5/Imóveis!$S$5)))*Imóveis!$P$5))))*IF(AND(Imóveis!$E$5&gt;0,Dados!$A244&gt;Imóveis!$E$5),0,1)*Imóveis!$I$5</f>
        <v>0</v>
      </c>
      <c r="M244" s="18">
        <f>IF(Imóveis!$F$6="PRICE",IF(AND(Dados!$A244&gt;=Imóveis!$Q$6,Dados!$A244&lt;=Imóveis!$T$6),Imóveis!$U$6,0),IF((IF(AND(Dados!$A244&gt;=Imóveis!$Q$6,Dados!$A244&lt;=Imóveis!$T$6),Imóveis!$S$6-(DATEDIF(Imóveis!$Q$6,Dados!$A244,"m")),0))=0,0,((Imóveis!$N$6/Imóveis!$S$6)+((Imóveis!$N$6-((Imóveis!$S$6-(IF(AND(Dados!$A244&gt;=Imóveis!$Q$6,Dados!$A244&lt;=Imóveis!$T$6),Imóveis!$S$6-(DATEDIF(Imóveis!$Q$6,Dados!$A244,"m")),)))*(Imóveis!$N$6/Imóveis!$S$6)))*Imóveis!$P$6))))*IF(AND(Imóveis!$E$6&gt;0,Dados!$A244&gt;Imóveis!$E$6),0,1)*Imóveis!$I$6</f>
        <v>0</v>
      </c>
      <c r="N244" s="18">
        <f t="shared" si="29"/>
        <v>37000</v>
      </c>
      <c r="O244" s="18">
        <f>SUMIFS(Receitas!$F:$F,Receitas!$J:$J,"&lt;="&amp;$A244,Receitas!$L:$L,"&gt;="&amp;$A244,Receitas!$C:$C,O$1,Receitas!$M:$M,"Mensal")+SUMIFS(Receitas!$F:$F,Receitas!$J:$J,"&lt;="&amp;$A244,Receitas!$L:$L,"&gt;="&amp;$A244,Receitas!$C:$C,O$1,Receitas!$M:$M,$B244)</f>
        <v>50000</v>
      </c>
      <c r="P244" s="18">
        <f>SUMIFS(Receitas!$F:$F,Receitas!$J:$J,"&lt;="&amp;$A244,Receitas!$L:$L,"&gt;="&amp;$A244,Receitas!$C:$C,P$1,Receitas!$M:$M,"Mensal")+SUMIFS(Receitas!$F:$F,Receitas!$J:$J,"&lt;="&amp;$A244,Receitas!$L:$L,"&gt;="&amp;$A244,Receitas!$C:$C,P$1,Receitas!$M:$M,$B244)</f>
        <v>20000</v>
      </c>
      <c r="Q244" s="18">
        <f>SUMIFS(Receitas!$F:$F,Receitas!$J:$J,"&lt;="&amp;$A244,Receitas!$L:$L,"&gt;="&amp;$A244,Receitas!$C:$C,Q$1,Receitas!$M:$M,"Mensal")+SUMIFS(Receitas!$F:$F,Receitas!$J:$J,"&lt;="&amp;$A244,Receitas!$L:$L,"&gt;="&amp;$A244,Receitas!$C:$C,Q$1,Receitas!$M:$M,$B244)</f>
        <v>0</v>
      </c>
      <c r="R244" s="18" cm="1">
        <f t="array" ref="R244">(IF(AND(Membros!$F$2="Sim",A244&lt;=MAX(Membros!$E$2:$E$5)),Membros!K$2,IF(AND(A244&gt;=Membros!J$2,A244&lt;=MAX(Membros!$E$2:$E$5)),Membros!K$2,0))+IF(AND(Membros!$F$3="Sim",A244&lt;=MAX(Membros!$E$2:$E$5)),Membros!K$3,IF(AND(A244&gt;=Membros!J$3,A244&lt;=MAX(Membros!$E$2:$E$5)),Membros!K$3,0)))*IF(AND(COUNTIFS(Tabela3[Tipo],"Provedor",Tabela3[Simulação Seguro],"Sim")=2,A244&gt;=MAX(IF(Tabela3[Tipo]="Dependente",Tabela3[Expectativa de Vida (Data)]))),0,1)</f>
        <v>0</v>
      </c>
      <c r="S244" s="18">
        <f t="shared" si="30"/>
        <v>70000</v>
      </c>
      <c r="U244" s="18">
        <f t="shared" ca="1" si="33"/>
        <v>13148303.645708641</v>
      </c>
      <c r="V244" s="18">
        <f>SUMIF(Imóveis!E:E,Dados!A:A,Imóveis!Z:Z)-SUMIF(Imóveis!E:E,Dados!A:A,Imóveis!Y:Y)</f>
        <v>0</v>
      </c>
      <c r="W244" s="18">
        <f>-SUMIF(Projetos!N:N,A244,Projetos!F:F)</f>
        <v>0</v>
      </c>
      <c r="X244" s="18">
        <f t="shared" si="27"/>
        <v>33000</v>
      </c>
      <c r="Y244" s="26">
        <f ca="1">(U244*((Indicadores_Economicos!D$2+1)^(1/12)-1))</f>
        <v>43044.124713387399</v>
      </c>
      <c r="Z244" s="18">
        <f t="shared" ca="1" si="31"/>
        <v>13224347.770422028</v>
      </c>
      <c r="AA244" s="18">
        <f ca="1">Auxiliar_Projetos!E244</f>
        <v>8.6238520540321312E-10</v>
      </c>
      <c r="AB244" s="18">
        <f ca="1">Auxiliar_Projetos!K244</f>
        <v>6.6337323492554826E-10</v>
      </c>
      <c r="AC244" s="18">
        <f ca="1">IF(Z244-AA244-AB244&gt;Investimentos!$C$14,Investimentos!$C$14,IF(Z244-AA244-AB244&lt;Investimentos!$C$14,Z244-AA244-AB244,0))</f>
        <v>300000</v>
      </c>
      <c r="AD244" s="18">
        <f t="shared" ca="1" si="32"/>
        <v>12924347.770422028</v>
      </c>
      <c r="AE244" s="18"/>
    </row>
    <row r="245" spans="1:31" x14ac:dyDescent="0.2">
      <c r="A245" s="4">
        <v>53053</v>
      </c>
      <c r="B245" s="5" t="str">
        <f t="shared" si="28"/>
        <v>abril</v>
      </c>
      <c r="C245" s="5" t="str">
        <f t="shared" si="34"/>
        <v>2045</v>
      </c>
      <c r="D245" s="5">
        <f>SUMIFS(Despesas!$F:$F,Despesas!$J:$J,"&lt;="&amp;$A245,Despesas!$L:$L,"&gt;="&amp;$A245,Despesas!$C:$C,D$1,Despesas!$M:$M,"Mensal")+SUMIFS(Despesas!$F:$F,Despesas!$J:$J,"&lt;="&amp;$A245,Despesas!$L:$L,"&gt;="&amp;$A245,Despesas!$C:$C,D$1,Despesas!$M:$M,$B245)</f>
        <v>23000</v>
      </c>
      <c r="E245" s="18">
        <f>SUMIFS(Despesas!$F:$F,Despesas!$J:$J,"&lt;="&amp;$A245,Despesas!$L:$L,"&gt;="&amp;$A245,Despesas!$C:$C,E$1,Despesas!$M:$M,"Mensal")+SUMIFS(Despesas!$F:$F,Despesas!$J:$J,"&lt;="&amp;$A245,Despesas!$L:$L,"&gt;="&amp;$A245,Despesas!$C:$C,E$1,Despesas!$M:$M,$B245)</f>
        <v>0</v>
      </c>
      <c r="F245" s="5">
        <f>SUMIFS(Despesas!$F:$F,Despesas!$J:$J,"&lt;="&amp;$A245,Despesas!$L:$L,"&gt;="&amp;$A245,Despesas!$C:$C,F$1,Despesas!$M:$M,"Mensal")+SUMIFS(Despesas!$F:$F,Despesas!$J:$J,"&lt;="&amp;$A245,Despesas!$L:$L,"&gt;="&amp;$A245,Despesas!$C:$C,F$1,Despesas!$M:$M,$B245)</f>
        <v>13000</v>
      </c>
      <c r="G245" s="5">
        <f>SUMIFS(Despesas!$F:$F,Despesas!$J:$J,"&lt;="&amp;$A245,Despesas!$L:$L,"&gt;="&amp;$A245,Despesas!$C:$C,G$1,Despesas!$M:$M,"Mensal")+SUMIFS(Despesas!$F:$F,Despesas!$J:$J,"&lt;="&amp;$A245,Despesas!$L:$L,"&gt;="&amp;$A245,Despesas!$C:$C,G$1,Despesas!$M:$M,$B245)</f>
        <v>0</v>
      </c>
      <c r="H245" s="18">
        <f>SUMIFS(Despesas!$F:$F,Despesas!$J:$J,"&lt;="&amp;$A245,Despesas!$L:$L,"&gt;="&amp;$A245,Despesas!$C:$C,H$1,Despesas!$M:$M,"Mensal")+SUMIFS(Despesas!$F:$F,Despesas!$J:$J,"&lt;="&amp;$A245,Despesas!$L:$L,"&gt;="&amp;$A245,Despesas!$C:$C,H$1,Despesas!$M:$M,$B245)</f>
        <v>1000</v>
      </c>
      <c r="I245" s="18">
        <f>IF(Imóveis!$F$2="PRICE",IF(AND(Dados!$A245&gt;=Imóveis!$Q$2,Dados!$A245&lt;=Imóveis!$T$2),Imóveis!$U$2,0),IF((IF(AND(Dados!$A245&gt;=Imóveis!$Q$2,Dados!$A245&lt;=Imóveis!$T$2),Imóveis!$S$2-(DATEDIF(Imóveis!$Q$2,Dados!$A245,"m")),0))=0,0,((Imóveis!$N$2/Imóveis!$S$2)+((Imóveis!$N$2-((Imóveis!$S$2-(IF(AND(Dados!$A245&gt;=Imóveis!$Q$2,Dados!$A245&lt;=Imóveis!$T$2),Imóveis!$S$2-(DATEDIF(Imóveis!$Q$2,Dados!$A245,"m")),)))*(Imóveis!$N$2/Imóveis!$S$2)))*Imóveis!$P$2))))*IF(AND(Imóveis!$E$2&gt;0,Dados!$A245&gt;Imóveis!$E$2),0,1)</f>
        <v>0</v>
      </c>
      <c r="J245" s="18">
        <f>IF(Imóveis!$F$3="PRICE",IF(AND(Dados!$A245&gt;=Imóveis!$Q$3,Dados!$A245&lt;=Imóveis!$T$3),Imóveis!$U$3,0),IF((IF(AND(Dados!$A245&gt;=Imóveis!$Q$3,Dados!$A245&lt;=Imóveis!$T$3),Imóveis!$S$3-(DATEDIF(Imóveis!$Q$3,Dados!$A245,"m")),0))=0,0,((Imóveis!$N$3/Imóveis!$S$3)+((Imóveis!$N$3-((Imóveis!$S$3-(IF(AND(Dados!$A245&gt;=Imóveis!$Q$3,Dados!$A245&lt;=Imóveis!$T$3),Imóveis!$S$3-(DATEDIF(Imóveis!$Q$3,Dados!$A245,"m")),)))*(Imóveis!$N$3/Imóveis!$S$3)))*Imóveis!$P$3))))*IF(AND(Imóveis!$E$3&gt;0,Dados!$A245&gt;Imóveis!$E$3),0,1)</f>
        <v>0</v>
      </c>
      <c r="K245" s="18">
        <f>IF(Imóveis!$F$4="PRICE",IF(AND(Dados!$A245&gt;=Imóveis!$Q$4,Dados!$A245&lt;=Imóveis!$T$4),Imóveis!$U$4,0),IF((IF(AND(Dados!$A245&gt;=Imóveis!$Q$4,Dados!$A245&lt;=Imóveis!$T$4),Imóveis!$S$4-(DATEDIF(Imóveis!$Q$4,Dados!$A245,"m")),0))=0,0,((Imóveis!$N$4/Imóveis!$S$4)+((Imóveis!$N$4-((Imóveis!$S$4-(IF(AND(Dados!$A245&gt;=Imóveis!$Q$4,Dados!$A245&lt;=Imóveis!$T$4),Imóveis!$S$4-(DATEDIF(Imóveis!$Q$4,Dados!$A245,"m")),)))*(Imóveis!$N$4/Imóveis!$S$4)))*Imóveis!$P$4))))*IF(AND(Imóveis!$E$4&gt;0,Dados!$A245&gt;Imóveis!$E$4),0,1)</f>
        <v>0</v>
      </c>
      <c r="L245" s="18">
        <f>IF(Imóveis!$F$5="PRICE",IF(AND(Dados!$A245&gt;=Imóveis!$Q$5,Dados!$A245&lt;=Imóveis!$T$5),Imóveis!$U$5,0),IF((IF(AND(Dados!$A245&gt;=Imóveis!$Q$5,Dados!$A245&lt;=Imóveis!$T$5),Imóveis!$S$5-(DATEDIF(Imóveis!$Q$5,Dados!$A245,"m")),0))=0,0,((Imóveis!$N$5/Imóveis!$S$5)+((Imóveis!$N$5-((Imóveis!$S$5-(IF(AND(Dados!$A245 &gt;=Imóveis!$Q$5,Dados!$A245&lt;=Imóveis!$T$5),Imóveis!$S$5-(DATEDIF(Imóveis!$Q$5,Dados!$A245,"m")),)))*(Imóveis!$N$5/Imóveis!$S$5)))*Imóveis!$P$5))))*IF(AND(Imóveis!$E$5&gt;0,Dados!$A245&gt;Imóveis!$E$5),0,1)*Imóveis!$I$5</f>
        <v>0</v>
      </c>
      <c r="M245" s="18">
        <f>IF(Imóveis!$F$6="PRICE",IF(AND(Dados!$A245&gt;=Imóveis!$Q$6,Dados!$A245&lt;=Imóveis!$T$6),Imóveis!$U$6,0),IF((IF(AND(Dados!$A245&gt;=Imóveis!$Q$6,Dados!$A245&lt;=Imóveis!$T$6),Imóveis!$S$6-(DATEDIF(Imóveis!$Q$6,Dados!$A245,"m")),0))=0,0,((Imóveis!$N$6/Imóveis!$S$6)+((Imóveis!$N$6-((Imóveis!$S$6-(IF(AND(Dados!$A245&gt;=Imóveis!$Q$6,Dados!$A245&lt;=Imóveis!$T$6),Imóveis!$S$6-(DATEDIF(Imóveis!$Q$6,Dados!$A245,"m")),)))*(Imóveis!$N$6/Imóveis!$S$6)))*Imóveis!$P$6))))*IF(AND(Imóveis!$E$6&gt;0,Dados!$A245&gt;Imóveis!$E$6),0,1)*Imóveis!$I$6</f>
        <v>0</v>
      </c>
      <c r="N245" s="18">
        <f t="shared" si="29"/>
        <v>37000</v>
      </c>
      <c r="O245" s="18">
        <f>SUMIFS(Receitas!$F:$F,Receitas!$J:$J,"&lt;="&amp;$A245,Receitas!$L:$L,"&gt;="&amp;$A245,Receitas!$C:$C,O$1,Receitas!$M:$M,"Mensal")+SUMIFS(Receitas!$F:$F,Receitas!$J:$J,"&lt;="&amp;$A245,Receitas!$L:$L,"&gt;="&amp;$A245,Receitas!$C:$C,O$1,Receitas!$M:$M,$B245)</f>
        <v>50000</v>
      </c>
      <c r="P245" s="18">
        <f>SUMIFS(Receitas!$F:$F,Receitas!$J:$J,"&lt;="&amp;$A245,Receitas!$L:$L,"&gt;="&amp;$A245,Receitas!$C:$C,P$1,Receitas!$M:$M,"Mensal")+SUMIFS(Receitas!$F:$F,Receitas!$J:$J,"&lt;="&amp;$A245,Receitas!$L:$L,"&gt;="&amp;$A245,Receitas!$C:$C,P$1,Receitas!$M:$M,$B245)</f>
        <v>85000</v>
      </c>
      <c r="Q245" s="18">
        <f>SUMIFS(Receitas!$F:$F,Receitas!$J:$J,"&lt;="&amp;$A245,Receitas!$L:$L,"&gt;="&amp;$A245,Receitas!$C:$C,Q$1,Receitas!$M:$M,"Mensal")+SUMIFS(Receitas!$F:$F,Receitas!$J:$J,"&lt;="&amp;$A245,Receitas!$L:$L,"&gt;="&amp;$A245,Receitas!$C:$C,Q$1,Receitas!$M:$M,$B245)</f>
        <v>0</v>
      </c>
      <c r="R245" s="18" cm="1">
        <f t="array" ref="R245">(IF(AND(Membros!$F$2="Sim",A245&lt;=MAX(Membros!$E$2:$E$5)),Membros!K$2,IF(AND(A245&gt;=Membros!J$2,A245&lt;=MAX(Membros!$E$2:$E$5)),Membros!K$2,0))+IF(AND(Membros!$F$3="Sim",A245&lt;=MAX(Membros!$E$2:$E$5)),Membros!K$3,IF(AND(A245&gt;=Membros!J$3,A245&lt;=MAX(Membros!$E$2:$E$5)),Membros!K$3,0)))*IF(AND(COUNTIFS(Tabela3[Tipo],"Provedor",Tabela3[Simulação Seguro],"Sim")=2,A245&gt;=MAX(IF(Tabela3[Tipo]="Dependente",Tabela3[Expectativa de Vida (Data)]))),0,1)</f>
        <v>0</v>
      </c>
      <c r="S245" s="18">
        <f t="shared" si="30"/>
        <v>135000</v>
      </c>
      <c r="U245" s="18">
        <f t="shared" ca="1" si="33"/>
        <v>13224347.770422028</v>
      </c>
      <c r="V245" s="18">
        <f>SUMIF(Imóveis!E:E,Dados!A:A,Imóveis!Z:Z)-SUMIF(Imóveis!E:E,Dados!A:A,Imóveis!Y:Y)</f>
        <v>0</v>
      </c>
      <c r="W245" s="18">
        <f>-SUMIF(Projetos!N:N,A245,Projetos!F:F)</f>
        <v>0</v>
      </c>
      <c r="X245" s="18">
        <f t="shared" si="27"/>
        <v>98000</v>
      </c>
      <c r="Y245" s="26">
        <f ca="1">(U245*((Indicadores_Economicos!D$2+1)^(1/12)-1))</f>
        <v>43293.07338966411</v>
      </c>
      <c r="Z245" s="18">
        <f t="shared" ca="1" si="31"/>
        <v>13365640.843811693</v>
      </c>
      <c r="AA245" s="18">
        <f ca="1">Auxiliar_Projetos!E245</f>
        <v>8.6520843015772141E-10</v>
      </c>
      <c r="AB245" s="18">
        <f ca="1">Auxiliar_Projetos!K245</f>
        <v>6.6554494627517001E-10</v>
      </c>
      <c r="AC245" s="18">
        <f ca="1">IF(Z245-AA245-AB245&gt;Investimentos!$C$14,Investimentos!$C$14,IF(Z245-AA245-AB245&lt;Investimentos!$C$14,Z245-AA245-AB245,0))</f>
        <v>300000</v>
      </c>
      <c r="AD245" s="18">
        <f t="shared" ca="1" si="32"/>
        <v>13065640.843811693</v>
      </c>
      <c r="AE245" s="18"/>
    </row>
    <row r="246" spans="1:31" x14ac:dyDescent="0.2">
      <c r="A246" s="4">
        <v>53083</v>
      </c>
      <c r="B246" s="5" t="str">
        <f t="shared" si="28"/>
        <v>maio</v>
      </c>
      <c r="C246" s="5" t="str">
        <f t="shared" si="34"/>
        <v>2045</v>
      </c>
      <c r="D246" s="5">
        <f>SUMIFS(Despesas!$F:$F,Despesas!$J:$J,"&lt;="&amp;$A246,Despesas!$L:$L,"&gt;="&amp;$A246,Despesas!$C:$C,D$1,Despesas!$M:$M,"Mensal")+SUMIFS(Despesas!$F:$F,Despesas!$J:$J,"&lt;="&amp;$A246,Despesas!$L:$L,"&gt;="&amp;$A246,Despesas!$C:$C,D$1,Despesas!$M:$M,$B246)</f>
        <v>23000</v>
      </c>
      <c r="E246" s="18">
        <f>SUMIFS(Despesas!$F:$F,Despesas!$J:$J,"&lt;="&amp;$A246,Despesas!$L:$L,"&gt;="&amp;$A246,Despesas!$C:$C,E$1,Despesas!$M:$M,"Mensal")+SUMIFS(Despesas!$F:$F,Despesas!$J:$J,"&lt;="&amp;$A246,Despesas!$L:$L,"&gt;="&amp;$A246,Despesas!$C:$C,E$1,Despesas!$M:$M,$B246)</f>
        <v>0</v>
      </c>
      <c r="F246" s="5">
        <f>SUMIFS(Despesas!$F:$F,Despesas!$J:$J,"&lt;="&amp;$A246,Despesas!$L:$L,"&gt;="&amp;$A246,Despesas!$C:$C,F$1,Despesas!$M:$M,"Mensal")+SUMIFS(Despesas!$F:$F,Despesas!$J:$J,"&lt;="&amp;$A246,Despesas!$L:$L,"&gt;="&amp;$A246,Despesas!$C:$C,F$1,Despesas!$M:$M,$B246)</f>
        <v>13000</v>
      </c>
      <c r="G246" s="5">
        <f>SUMIFS(Despesas!$F:$F,Despesas!$J:$J,"&lt;="&amp;$A246,Despesas!$L:$L,"&gt;="&amp;$A246,Despesas!$C:$C,G$1,Despesas!$M:$M,"Mensal")+SUMIFS(Despesas!$F:$F,Despesas!$J:$J,"&lt;="&amp;$A246,Despesas!$L:$L,"&gt;="&amp;$A246,Despesas!$C:$C,G$1,Despesas!$M:$M,$B246)</f>
        <v>0</v>
      </c>
      <c r="H246" s="18">
        <f>SUMIFS(Despesas!$F:$F,Despesas!$J:$J,"&lt;="&amp;$A246,Despesas!$L:$L,"&gt;="&amp;$A246,Despesas!$C:$C,H$1,Despesas!$M:$M,"Mensal")+SUMIFS(Despesas!$F:$F,Despesas!$J:$J,"&lt;="&amp;$A246,Despesas!$L:$L,"&gt;="&amp;$A246,Despesas!$C:$C,H$1,Despesas!$M:$M,$B246)</f>
        <v>1000</v>
      </c>
      <c r="I246" s="18">
        <f>IF(Imóveis!$F$2="PRICE",IF(AND(Dados!$A246&gt;=Imóveis!$Q$2,Dados!$A246&lt;=Imóveis!$T$2),Imóveis!$U$2,0),IF((IF(AND(Dados!$A246&gt;=Imóveis!$Q$2,Dados!$A246&lt;=Imóveis!$T$2),Imóveis!$S$2-(DATEDIF(Imóveis!$Q$2,Dados!$A246,"m")),0))=0,0,((Imóveis!$N$2/Imóveis!$S$2)+((Imóveis!$N$2-((Imóveis!$S$2-(IF(AND(Dados!$A246&gt;=Imóveis!$Q$2,Dados!$A246&lt;=Imóveis!$T$2),Imóveis!$S$2-(DATEDIF(Imóveis!$Q$2,Dados!$A246,"m")),)))*(Imóveis!$N$2/Imóveis!$S$2)))*Imóveis!$P$2))))*IF(AND(Imóveis!$E$2&gt;0,Dados!$A246&gt;Imóveis!$E$2),0,1)</f>
        <v>0</v>
      </c>
      <c r="J246" s="18">
        <f>IF(Imóveis!$F$3="PRICE",IF(AND(Dados!$A246&gt;=Imóveis!$Q$3,Dados!$A246&lt;=Imóveis!$T$3),Imóveis!$U$3,0),IF((IF(AND(Dados!$A246&gt;=Imóveis!$Q$3,Dados!$A246&lt;=Imóveis!$T$3),Imóveis!$S$3-(DATEDIF(Imóveis!$Q$3,Dados!$A246,"m")),0))=0,0,((Imóveis!$N$3/Imóveis!$S$3)+((Imóveis!$N$3-((Imóveis!$S$3-(IF(AND(Dados!$A246&gt;=Imóveis!$Q$3,Dados!$A246&lt;=Imóveis!$T$3),Imóveis!$S$3-(DATEDIF(Imóveis!$Q$3,Dados!$A246,"m")),)))*(Imóveis!$N$3/Imóveis!$S$3)))*Imóveis!$P$3))))*IF(AND(Imóveis!$E$3&gt;0,Dados!$A246&gt;Imóveis!$E$3),0,1)</f>
        <v>0</v>
      </c>
      <c r="K246" s="18">
        <f>IF(Imóveis!$F$4="PRICE",IF(AND(Dados!$A246&gt;=Imóveis!$Q$4,Dados!$A246&lt;=Imóveis!$T$4),Imóveis!$U$4,0),IF((IF(AND(Dados!$A246&gt;=Imóveis!$Q$4,Dados!$A246&lt;=Imóveis!$T$4),Imóveis!$S$4-(DATEDIF(Imóveis!$Q$4,Dados!$A246,"m")),0))=0,0,((Imóveis!$N$4/Imóveis!$S$4)+((Imóveis!$N$4-((Imóveis!$S$4-(IF(AND(Dados!$A246&gt;=Imóveis!$Q$4,Dados!$A246&lt;=Imóveis!$T$4),Imóveis!$S$4-(DATEDIF(Imóveis!$Q$4,Dados!$A246,"m")),)))*(Imóveis!$N$4/Imóveis!$S$4)))*Imóveis!$P$4))))*IF(AND(Imóveis!$E$4&gt;0,Dados!$A246&gt;Imóveis!$E$4),0,1)</f>
        <v>0</v>
      </c>
      <c r="L246" s="18">
        <f>IF(Imóveis!$F$5="PRICE",IF(AND(Dados!$A246&gt;=Imóveis!$Q$5,Dados!$A246&lt;=Imóveis!$T$5),Imóveis!$U$5,0),IF((IF(AND(Dados!$A246&gt;=Imóveis!$Q$5,Dados!$A246&lt;=Imóveis!$T$5),Imóveis!$S$5-(DATEDIF(Imóveis!$Q$5,Dados!$A246,"m")),0))=0,0,((Imóveis!$N$5/Imóveis!$S$5)+((Imóveis!$N$5-((Imóveis!$S$5-(IF(AND(Dados!$A246 &gt;=Imóveis!$Q$5,Dados!$A246&lt;=Imóveis!$T$5),Imóveis!$S$5-(DATEDIF(Imóveis!$Q$5,Dados!$A246,"m")),)))*(Imóveis!$N$5/Imóveis!$S$5)))*Imóveis!$P$5))))*IF(AND(Imóveis!$E$5&gt;0,Dados!$A246&gt;Imóveis!$E$5),0,1)*Imóveis!$I$5</f>
        <v>0</v>
      </c>
      <c r="M246" s="18">
        <f>IF(Imóveis!$F$6="PRICE",IF(AND(Dados!$A246&gt;=Imóveis!$Q$6,Dados!$A246&lt;=Imóveis!$T$6),Imóveis!$U$6,0),IF((IF(AND(Dados!$A246&gt;=Imóveis!$Q$6,Dados!$A246&lt;=Imóveis!$T$6),Imóveis!$S$6-(DATEDIF(Imóveis!$Q$6,Dados!$A246,"m")),0))=0,0,((Imóveis!$N$6/Imóveis!$S$6)+((Imóveis!$N$6-((Imóveis!$S$6-(IF(AND(Dados!$A246&gt;=Imóveis!$Q$6,Dados!$A246&lt;=Imóveis!$T$6),Imóveis!$S$6-(DATEDIF(Imóveis!$Q$6,Dados!$A246,"m")),)))*(Imóveis!$N$6/Imóveis!$S$6)))*Imóveis!$P$6))))*IF(AND(Imóveis!$E$6&gt;0,Dados!$A246&gt;Imóveis!$E$6),0,1)*Imóveis!$I$6</f>
        <v>0</v>
      </c>
      <c r="N246" s="18">
        <f t="shared" si="29"/>
        <v>37000</v>
      </c>
      <c r="O246" s="18">
        <f>SUMIFS(Receitas!$F:$F,Receitas!$J:$J,"&lt;="&amp;$A246,Receitas!$L:$L,"&gt;="&amp;$A246,Receitas!$C:$C,O$1,Receitas!$M:$M,"Mensal")+SUMIFS(Receitas!$F:$F,Receitas!$J:$J,"&lt;="&amp;$A246,Receitas!$L:$L,"&gt;="&amp;$A246,Receitas!$C:$C,O$1,Receitas!$M:$M,$B246)</f>
        <v>50000</v>
      </c>
      <c r="P246" s="18">
        <f>SUMIFS(Receitas!$F:$F,Receitas!$J:$J,"&lt;="&amp;$A246,Receitas!$L:$L,"&gt;="&amp;$A246,Receitas!$C:$C,P$1,Receitas!$M:$M,"Mensal")+SUMIFS(Receitas!$F:$F,Receitas!$J:$J,"&lt;="&amp;$A246,Receitas!$L:$L,"&gt;="&amp;$A246,Receitas!$C:$C,P$1,Receitas!$M:$M,$B246)</f>
        <v>20000</v>
      </c>
      <c r="Q246" s="18">
        <f>SUMIFS(Receitas!$F:$F,Receitas!$J:$J,"&lt;="&amp;$A246,Receitas!$L:$L,"&gt;="&amp;$A246,Receitas!$C:$C,Q$1,Receitas!$M:$M,"Mensal")+SUMIFS(Receitas!$F:$F,Receitas!$J:$J,"&lt;="&amp;$A246,Receitas!$L:$L,"&gt;="&amp;$A246,Receitas!$C:$C,Q$1,Receitas!$M:$M,$B246)</f>
        <v>0</v>
      </c>
      <c r="R246" s="18" cm="1">
        <f t="array" ref="R246">(IF(AND(Membros!$F$2="Sim",A246&lt;=MAX(Membros!$E$2:$E$5)),Membros!K$2,IF(AND(A246&gt;=Membros!J$2,A246&lt;=MAX(Membros!$E$2:$E$5)),Membros!K$2,0))+IF(AND(Membros!$F$3="Sim",A246&lt;=MAX(Membros!$E$2:$E$5)),Membros!K$3,IF(AND(A246&gt;=Membros!J$3,A246&lt;=MAX(Membros!$E$2:$E$5)),Membros!K$3,0)))*IF(AND(COUNTIFS(Tabela3[Tipo],"Provedor",Tabela3[Simulação Seguro],"Sim")=2,A246&gt;=MAX(IF(Tabela3[Tipo]="Dependente",Tabela3[Expectativa de Vida (Data)]))),0,1)</f>
        <v>0</v>
      </c>
      <c r="S246" s="18">
        <f t="shared" si="30"/>
        <v>70000</v>
      </c>
      <c r="U246" s="18">
        <f t="shared" ca="1" si="33"/>
        <v>13365640.843811693</v>
      </c>
      <c r="V246" s="18">
        <f>SUMIF(Imóveis!E:E,Dados!A:A,Imóveis!Z:Z)-SUMIF(Imóveis!E:E,Dados!A:A,Imóveis!Y:Y)</f>
        <v>0</v>
      </c>
      <c r="W246" s="18">
        <f>-SUMIF(Projetos!N:N,A246,Projetos!F:F)</f>
        <v>0</v>
      </c>
      <c r="X246" s="18">
        <f t="shared" si="27"/>
        <v>33000</v>
      </c>
      <c r="Y246" s="26">
        <f ca="1">(U246*((Indicadores_Economicos!D$2+1)^(1/12)-1))</f>
        <v>43755.630144969007</v>
      </c>
      <c r="Z246" s="18">
        <f t="shared" ca="1" si="31"/>
        <v>13442396.473956661</v>
      </c>
      <c r="AA246" s="18">
        <f ca="1">Auxiliar_Projetos!E246</f>
        <v>8.6804089741542259E-10</v>
      </c>
      <c r="AB246" s="18">
        <f ca="1">Auxiliar_Projetos!K246</f>
        <v>6.677237672426325E-10</v>
      </c>
      <c r="AC246" s="18">
        <f ca="1">IF(Z246-AA246-AB246&gt;Investimentos!$C$14,Investimentos!$C$14,IF(Z246-AA246-AB246&lt;Investimentos!$C$14,Z246-AA246-AB246,0))</f>
        <v>300000</v>
      </c>
      <c r="AD246" s="18">
        <f t="shared" ca="1" si="32"/>
        <v>13142396.473956661</v>
      </c>
      <c r="AE246" s="18"/>
    </row>
    <row r="247" spans="1:31" x14ac:dyDescent="0.2">
      <c r="A247" s="4">
        <v>53114</v>
      </c>
      <c r="B247" s="5" t="str">
        <f t="shared" si="28"/>
        <v>junho</v>
      </c>
      <c r="C247" s="5" t="str">
        <f t="shared" si="34"/>
        <v>2045</v>
      </c>
      <c r="D247" s="5">
        <f>SUMIFS(Despesas!$F:$F,Despesas!$J:$J,"&lt;="&amp;$A247,Despesas!$L:$L,"&gt;="&amp;$A247,Despesas!$C:$C,D$1,Despesas!$M:$M,"Mensal")+SUMIFS(Despesas!$F:$F,Despesas!$J:$J,"&lt;="&amp;$A247,Despesas!$L:$L,"&gt;="&amp;$A247,Despesas!$C:$C,D$1,Despesas!$M:$M,$B247)</f>
        <v>23000</v>
      </c>
      <c r="E247" s="18">
        <f>SUMIFS(Despesas!$F:$F,Despesas!$J:$J,"&lt;="&amp;$A247,Despesas!$L:$L,"&gt;="&amp;$A247,Despesas!$C:$C,E$1,Despesas!$M:$M,"Mensal")+SUMIFS(Despesas!$F:$F,Despesas!$J:$J,"&lt;="&amp;$A247,Despesas!$L:$L,"&gt;="&amp;$A247,Despesas!$C:$C,E$1,Despesas!$M:$M,$B247)</f>
        <v>0</v>
      </c>
      <c r="F247" s="5">
        <f>SUMIFS(Despesas!$F:$F,Despesas!$J:$J,"&lt;="&amp;$A247,Despesas!$L:$L,"&gt;="&amp;$A247,Despesas!$C:$C,F$1,Despesas!$M:$M,"Mensal")+SUMIFS(Despesas!$F:$F,Despesas!$J:$J,"&lt;="&amp;$A247,Despesas!$L:$L,"&gt;="&amp;$A247,Despesas!$C:$C,F$1,Despesas!$M:$M,$B247)</f>
        <v>13000</v>
      </c>
      <c r="G247" s="5">
        <f>SUMIFS(Despesas!$F:$F,Despesas!$J:$J,"&lt;="&amp;$A247,Despesas!$L:$L,"&gt;="&amp;$A247,Despesas!$C:$C,G$1,Despesas!$M:$M,"Mensal")+SUMIFS(Despesas!$F:$F,Despesas!$J:$J,"&lt;="&amp;$A247,Despesas!$L:$L,"&gt;="&amp;$A247,Despesas!$C:$C,G$1,Despesas!$M:$M,$B247)</f>
        <v>0</v>
      </c>
      <c r="H247" s="18">
        <f>SUMIFS(Despesas!$F:$F,Despesas!$J:$J,"&lt;="&amp;$A247,Despesas!$L:$L,"&gt;="&amp;$A247,Despesas!$C:$C,H$1,Despesas!$M:$M,"Mensal")+SUMIFS(Despesas!$F:$F,Despesas!$J:$J,"&lt;="&amp;$A247,Despesas!$L:$L,"&gt;="&amp;$A247,Despesas!$C:$C,H$1,Despesas!$M:$M,$B247)</f>
        <v>1000</v>
      </c>
      <c r="I247" s="18">
        <f>IF(Imóveis!$F$2="PRICE",IF(AND(Dados!$A247&gt;=Imóveis!$Q$2,Dados!$A247&lt;=Imóveis!$T$2),Imóveis!$U$2,0),IF((IF(AND(Dados!$A247&gt;=Imóveis!$Q$2,Dados!$A247&lt;=Imóveis!$T$2),Imóveis!$S$2-(DATEDIF(Imóveis!$Q$2,Dados!$A247,"m")),0))=0,0,((Imóveis!$N$2/Imóveis!$S$2)+((Imóveis!$N$2-((Imóveis!$S$2-(IF(AND(Dados!$A247&gt;=Imóveis!$Q$2,Dados!$A247&lt;=Imóveis!$T$2),Imóveis!$S$2-(DATEDIF(Imóveis!$Q$2,Dados!$A247,"m")),)))*(Imóveis!$N$2/Imóveis!$S$2)))*Imóveis!$P$2))))*IF(AND(Imóveis!$E$2&gt;0,Dados!$A247&gt;Imóveis!$E$2),0,1)</f>
        <v>0</v>
      </c>
      <c r="J247" s="18">
        <f>IF(Imóveis!$F$3="PRICE",IF(AND(Dados!$A247&gt;=Imóveis!$Q$3,Dados!$A247&lt;=Imóveis!$T$3),Imóveis!$U$3,0),IF((IF(AND(Dados!$A247&gt;=Imóveis!$Q$3,Dados!$A247&lt;=Imóveis!$T$3),Imóveis!$S$3-(DATEDIF(Imóveis!$Q$3,Dados!$A247,"m")),0))=0,0,((Imóveis!$N$3/Imóveis!$S$3)+((Imóveis!$N$3-((Imóveis!$S$3-(IF(AND(Dados!$A247&gt;=Imóveis!$Q$3,Dados!$A247&lt;=Imóveis!$T$3),Imóveis!$S$3-(DATEDIF(Imóveis!$Q$3,Dados!$A247,"m")),)))*(Imóveis!$N$3/Imóveis!$S$3)))*Imóveis!$P$3))))*IF(AND(Imóveis!$E$3&gt;0,Dados!$A247&gt;Imóveis!$E$3),0,1)</f>
        <v>0</v>
      </c>
      <c r="K247" s="18">
        <f>IF(Imóveis!$F$4="PRICE",IF(AND(Dados!$A247&gt;=Imóveis!$Q$4,Dados!$A247&lt;=Imóveis!$T$4),Imóveis!$U$4,0),IF((IF(AND(Dados!$A247&gt;=Imóveis!$Q$4,Dados!$A247&lt;=Imóveis!$T$4),Imóveis!$S$4-(DATEDIF(Imóveis!$Q$4,Dados!$A247,"m")),0))=0,0,((Imóveis!$N$4/Imóveis!$S$4)+((Imóveis!$N$4-((Imóveis!$S$4-(IF(AND(Dados!$A247&gt;=Imóveis!$Q$4,Dados!$A247&lt;=Imóveis!$T$4),Imóveis!$S$4-(DATEDIF(Imóveis!$Q$4,Dados!$A247,"m")),)))*(Imóveis!$N$4/Imóveis!$S$4)))*Imóveis!$P$4))))*IF(AND(Imóveis!$E$4&gt;0,Dados!$A247&gt;Imóveis!$E$4),0,1)</f>
        <v>0</v>
      </c>
      <c r="L247" s="18">
        <f>IF(Imóveis!$F$5="PRICE",IF(AND(Dados!$A247&gt;=Imóveis!$Q$5,Dados!$A247&lt;=Imóveis!$T$5),Imóveis!$U$5,0),IF((IF(AND(Dados!$A247&gt;=Imóveis!$Q$5,Dados!$A247&lt;=Imóveis!$T$5),Imóveis!$S$5-(DATEDIF(Imóveis!$Q$5,Dados!$A247,"m")),0))=0,0,((Imóveis!$N$5/Imóveis!$S$5)+((Imóveis!$N$5-((Imóveis!$S$5-(IF(AND(Dados!$A247 &gt;=Imóveis!$Q$5,Dados!$A247&lt;=Imóveis!$T$5),Imóveis!$S$5-(DATEDIF(Imóveis!$Q$5,Dados!$A247,"m")),)))*(Imóveis!$N$5/Imóveis!$S$5)))*Imóveis!$P$5))))*IF(AND(Imóveis!$E$5&gt;0,Dados!$A247&gt;Imóveis!$E$5),0,1)*Imóveis!$I$5</f>
        <v>0</v>
      </c>
      <c r="M247" s="18">
        <f>IF(Imóveis!$F$6="PRICE",IF(AND(Dados!$A247&gt;=Imóveis!$Q$6,Dados!$A247&lt;=Imóveis!$T$6),Imóveis!$U$6,0),IF((IF(AND(Dados!$A247&gt;=Imóveis!$Q$6,Dados!$A247&lt;=Imóveis!$T$6),Imóveis!$S$6-(DATEDIF(Imóveis!$Q$6,Dados!$A247,"m")),0))=0,0,((Imóveis!$N$6/Imóveis!$S$6)+((Imóveis!$N$6-((Imóveis!$S$6-(IF(AND(Dados!$A247&gt;=Imóveis!$Q$6,Dados!$A247&lt;=Imóveis!$T$6),Imóveis!$S$6-(DATEDIF(Imóveis!$Q$6,Dados!$A247,"m")),)))*(Imóveis!$N$6/Imóveis!$S$6)))*Imóveis!$P$6))))*IF(AND(Imóveis!$E$6&gt;0,Dados!$A247&gt;Imóveis!$E$6),0,1)*Imóveis!$I$6</f>
        <v>0</v>
      </c>
      <c r="N247" s="18">
        <f t="shared" si="29"/>
        <v>37000</v>
      </c>
      <c r="O247" s="18">
        <f>SUMIFS(Receitas!$F:$F,Receitas!$J:$J,"&lt;="&amp;$A247,Receitas!$L:$L,"&gt;="&amp;$A247,Receitas!$C:$C,O$1,Receitas!$M:$M,"Mensal")+SUMIFS(Receitas!$F:$F,Receitas!$J:$J,"&lt;="&amp;$A247,Receitas!$L:$L,"&gt;="&amp;$A247,Receitas!$C:$C,O$1,Receitas!$M:$M,$B247)</f>
        <v>50000</v>
      </c>
      <c r="P247" s="18">
        <f>SUMIFS(Receitas!$F:$F,Receitas!$J:$J,"&lt;="&amp;$A247,Receitas!$L:$L,"&gt;="&amp;$A247,Receitas!$C:$C,P$1,Receitas!$M:$M,"Mensal")+SUMIFS(Receitas!$F:$F,Receitas!$J:$J,"&lt;="&amp;$A247,Receitas!$L:$L,"&gt;="&amp;$A247,Receitas!$C:$C,P$1,Receitas!$M:$M,$B247)</f>
        <v>20000</v>
      </c>
      <c r="Q247" s="18">
        <f>SUMIFS(Receitas!$F:$F,Receitas!$J:$J,"&lt;="&amp;$A247,Receitas!$L:$L,"&gt;="&amp;$A247,Receitas!$C:$C,Q$1,Receitas!$M:$M,"Mensal")+SUMIFS(Receitas!$F:$F,Receitas!$J:$J,"&lt;="&amp;$A247,Receitas!$L:$L,"&gt;="&amp;$A247,Receitas!$C:$C,Q$1,Receitas!$M:$M,$B247)</f>
        <v>0</v>
      </c>
      <c r="R247" s="18" cm="1">
        <f t="array" ref="R247">(IF(AND(Membros!$F$2="Sim",A247&lt;=MAX(Membros!$E$2:$E$5)),Membros!K$2,IF(AND(A247&gt;=Membros!J$2,A247&lt;=MAX(Membros!$E$2:$E$5)),Membros!K$2,0))+IF(AND(Membros!$F$3="Sim",A247&lt;=MAX(Membros!$E$2:$E$5)),Membros!K$3,IF(AND(A247&gt;=Membros!J$3,A247&lt;=MAX(Membros!$E$2:$E$5)),Membros!K$3,0)))*IF(AND(COUNTIFS(Tabela3[Tipo],"Provedor",Tabela3[Simulação Seguro],"Sim")=2,A247&gt;=MAX(IF(Tabela3[Tipo]="Dependente",Tabela3[Expectativa de Vida (Data)]))),0,1)</f>
        <v>0</v>
      </c>
      <c r="S247" s="18">
        <f t="shared" si="30"/>
        <v>70000</v>
      </c>
      <c r="U247" s="18">
        <f t="shared" ca="1" si="33"/>
        <v>13442396.473956661</v>
      </c>
      <c r="V247" s="18">
        <f>SUMIF(Imóveis!E:E,Dados!A:A,Imóveis!Z:Z)-SUMIF(Imóveis!E:E,Dados!A:A,Imóveis!Y:Y)</f>
        <v>0</v>
      </c>
      <c r="W247" s="18">
        <f>-SUMIF(Projetos!N:N,A247,Projetos!F:F)</f>
        <v>0</v>
      </c>
      <c r="X247" s="18">
        <f t="shared" si="27"/>
        <v>33000</v>
      </c>
      <c r="Y247" s="26">
        <f ca="1">(U247*((Indicadores_Economicos!D$2+1)^(1/12)-1))</f>
        <v>44006.908104882335</v>
      </c>
      <c r="Z247" s="18">
        <f t="shared" ca="1" si="31"/>
        <v>13519403.382061543</v>
      </c>
      <c r="AA247" s="18">
        <f ca="1">Auxiliar_Projetos!E247</f>
        <v>8.7088263743386713E-10</v>
      </c>
      <c r="AB247" s="18">
        <f ca="1">Auxiliar_Projetos!K247</f>
        <v>6.6990972110297443E-10</v>
      </c>
      <c r="AC247" s="18">
        <f ca="1">IF(Z247-AA247-AB247&gt;Investimentos!$C$14,Investimentos!$C$14,IF(Z247-AA247-AB247&lt;Investimentos!$C$14,Z247-AA247-AB247,0))</f>
        <v>300000</v>
      </c>
      <c r="AD247" s="18">
        <f t="shared" ca="1" si="32"/>
        <v>13219403.382061543</v>
      </c>
      <c r="AE247" s="18"/>
    </row>
    <row r="248" spans="1:31" x14ac:dyDescent="0.2">
      <c r="A248" s="4">
        <v>53144</v>
      </c>
      <c r="B248" s="5" t="str">
        <f t="shared" si="28"/>
        <v>julho</v>
      </c>
      <c r="C248" s="5" t="str">
        <f t="shared" si="34"/>
        <v>2045</v>
      </c>
      <c r="D248" s="5">
        <f>SUMIFS(Despesas!$F:$F,Despesas!$J:$J,"&lt;="&amp;$A248,Despesas!$L:$L,"&gt;="&amp;$A248,Despesas!$C:$C,D$1,Despesas!$M:$M,"Mensal")+SUMIFS(Despesas!$F:$F,Despesas!$J:$J,"&lt;="&amp;$A248,Despesas!$L:$L,"&gt;="&amp;$A248,Despesas!$C:$C,D$1,Despesas!$M:$M,$B248)</f>
        <v>23000</v>
      </c>
      <c r="E248" s="18">
        <f>SUMIFS(Despesas!$F:$F,Despesas!$J:$J,"&lt;="&amp;$A248,Despesas!$L:$L,"&gt;="&amp;$A248,Despesas!$C:$C,E$1,Despesas!$M:$M,"Mensal")+SUMIFS(Despesas!$F:$F,Despesas!$J:$J,"&lt;="&amp;$A248,Despesas!$L:$L,"&gt;="&amp;$A248,Despesas!$C:$C,E$1,Despesas!$M:$M,$B248)</f>
        <v>0</v>
      </c>
      <c r="F248" s="5">
        <f>SUMIFS(Despesas!$F:$F,Despesas!$J:$J,"&lt;="&amp;$A248,Despesas!$L:$L,"&gt;="&amp;$A248,Despesas!$C:$C,F$1,Despesas!$M:$M,"Mensal")+SUMIFS(Despesas!$F:$F,Despesas!$J:$J,"&lt;="&amp;$A248,Despesas!$L:$L,"&gt;="&amp;$A248,Despesas!$C:$C,F$1,Despesas!$M:$M,$B248)</f>
        <v>13000</v>
      </c>
      <c r="G248" s="5">
        <f ca="1">SUMIFS(Despesas!$F:$F,Despesas!$J:$J,"&lt;="&amp;$A248,Despesas!$L:$L,"&gt;="&amp;$A248,Despesas!$C:$C,G$1,Despesas!$M:$M,"Mensal")+SUMIFS(Despesas!$F:$F,Despesas!$J:$J,"&lt;="&amp;$A248,Despesas!$L:$L,"&gt;="&amp;$A248,Despesas!$C:$C,G$1,Despesas!$M:$M,$B248)</f>
        <v>55757</v>
      </c>
      <c r="H248" s="18">
        <f>SUMIFS(Despesas!$F:$F,Despesas!$J:$J,"&lt;="&amp;$A248,Despesas!$L:$L,"&gt;="&amp;$A248,Despesas!$C:$C,H$1,Despesas!$M:$M,"Mensal")+SUMIFS(Despesas!$F:$F,Despesas!$J:$J,"&lt;="&amp;$A248,Despesas!$L:$L,"&gt;="&amp;$A248,Despesas!$C:$C,H$1,Despesas!$M:$M,$B248)</f>
        <v>1000</v>
      </c>
      <c r="I248" s="18">
        <f>IF(Imóveis!$F$2="PRICE",IF(AND(Dados!$A248&gt;=Imóveis!$Q$2,Dados!$A248&lt;=Imóveis!$T$2),Imóveis!$U$2,0),IF((IF(AND(Dados!$A248&gt;=Imóveis!$Q$2,Dados!$A248&lt;=Imóveis!$T$2),Imóveis!$S$2-(DATEDIF(Imóveis!$Q$2,Dados!$A248,"m")),0))=0,0,((Imóveis!$N$2/Imóveis!$S$2)+((Imóveis!$N$2-((Imóveis!$S$2-(IF(AND(Dados!$A248&gt;=Imóveis!$Q$2,Dados!$A248&lt;=Imóveis!$T$2),Imóveis!$S$2-(DATEDIF(Imóveis!$Q$2,Dados!$A248,"m")),)))*(Imóveis!$N$2/Imóveis!$S$2)))*Imóveis!$P$2))))*IF(AND(Imóveis!$E$2&gt;0,Dados!$A248&gt;Imóveis!$E$2),0,1)</f>
        <v>0</v>
      </c>
      <c r="J248" s="18">
        <f>IF(Imóveis!$F$3="PRICE",IF(AND(Dados!$A248&gt;=Imóveis!$Q$3,Dados!$A248&lt;=Imóveis!$T$3),Imóveis!$U$3,0),IF((IF(AND(Dados!$A248&gt;=Imóveis!$Q$3,Dados!$A248&lt;=Imóveis!$T$3),Imóveis!$S$3-(DATEDIF(Imóveis!$Q$3,Dados!$A248,"m")),0))=0,0,((Imóveis!$N$3/Imóveis!$S$3)+((Imóveis!$N$3-((Imóveis!$S$3-(IF(AND(Dados!$A248&gt;=Imóveis!$Q$3,Dados!$A248&lt;=Imóveis!$T$3),Imóveis!$S$3-(DATEDIF(Imóveis!$Q$3,Dados!$A248,"m")),)))*(Imóveis!$N$3/Imóveis!$S$3)))*Imóveis!$P$3))))*IF(AND(Imóveis!$E$3&gt;0,Dados!$A248&gt;Imóveis!$E$3),0,1)</f>
        <v>0</v>
      </c>
      <c r="K248" s="18">
        <f>IF(Imóveis!$F$4="PRICE",IF(AND(Dados!$A248&gt;=Imóveis!$Q$4,Dados!$A248&lt;=Imóveis!$T$4),Imóveis!$U$4,0),IF((IF(AND(Dados!$A248&gt;=Imóveis!$Q$4,Dados!$A248&lt;=Imóveis!$T$4),Imóveis!$S$4-(DATEDIF(Imóveis!$Q$4,Dados!$A248,"m")),0))=0,0,((Imóveis!$N$4/Imóveis!$S$4)+((Imóveis!$N$4-((Imóveis!$S$4-(IF(AND(Dados!$A248&gt;=Imóveis!$Q$4,Dados!$A248&lt;=Imóveis!$T$4),Imóveis!$S$4-(DATEDIF(Imóveis!$Q$4,Dados!$A248,"m")),)))*(Imóveis!$N$4/Imóveis!$S$4)))*Imóveis!$P$4))))*IF(AND(Imóveis!$E$4&gt;0,Dados!$A248&gt;Imóveis!$E$4),0,1)</f>
        <v>0</v>
      </c>
      <c r="L248" s="18">
        <f>IF(Imóveis!$F$5="PRICE",IF(AND(Dados!$A248&gt;=Imóveis!$Q$5,Dados!$A248&lt;=Imóveis!$T$5),Imóveis!$U$5,0),IF((IF(AND(Dados!$A248&gt;=Imóveis!$Q$5,Dados!$A248&lt;=Imóveis!$T$5),Imóveis!$S$5-(DATEDIF(Imóveis!$Q$5,Dados!$A248,"m")),0))=0,0,((Imóveis!$N$5/Imóveis!$S$5)+((Imóveis!$N$5-((Imóveis!$S$5-(IF(AND(Dados!$A248 &gt;=Imóveis!$Q$5,Dados!$A248&lt;=Imóveis!$T$5),Imóveis!$S$5-(DATEDIF(Imóveis!$Q$5,Dados!$A248,"m")),)))*(Imóveis!$N$5/Imóveis!$S$5)))*Imóveis!$P$5))))*IF(AND(Imóveis!$E$5&gt;0,Dados!$A248&gt;Imóveis!$E$5),0,1)*Imóveis!$I$5</f>
        <v>0</v>
      </c>
      <c r="M248" s="18">
        <f>IF(Imóveis!$F$6="PRICE",IF(AND(Dados!$A248&gt;=Imóveis!$Q$6,Dados!$A248&lt;=Imóveis!$T$6),Imóveis!$U$6,0),IF((IF(AND(Dados!$A248&gt;=Imóveis!$Q$6,Dados!$A248&lt;=Imóveis!$T$6),Imóveis!$S$6-(DATEDIF(Imóveis!$Q$6,Dados!$A248,"m")),0))=0,0,((Imóveis!$N$6/Imóveis!$S$6)+((Imóveis!$N$6-((Imóveis!$S$6-(IF(AND(Dados!$A248&gt;=Imóveis!$Q$6,Dados!$A248&lt;=Imóveis!$T$6),Imóveis!$S$6-(DATEDIF(Imóveis!$Q$6,Dados!$A248,"m")),)))*(Imóveis!$N$6/Imóveis!$S$6)))*Imóveis!$P$6))))*IF(AND(Imóveis!$E$6&gt;0,Dados!$A248&gt;Imóveis!$E$6),0,1)*Imóveis!$I$6</f>
        <v>0</v>
      </c>
      <c r="N248" s="18">
        <f t="shared" ca="1" si="29"/>
        <v>92757</v>
      </c>
      <c r="O248" s="18">
        <f>SUMIFS(Receitas!$F:$F,Receitas!$J:$J,"&lt;="&amp;$A248,Receitas!$L:$L,"&gt;="&amp;$A248,Receitas!$C:$C,O$1,Receitas!$M:$M,"Mensal")+SUMIFS(Receitas!$F:$F,Receitas!$J:$J,"&lt;="&amp;$A248,Receitas!$L:$L,"&gt;="&amp;$A248,Receitas!$C:$C,O$1,Receitas!$M:$M,$B248)</f>
        <v>50000</v>
      </c>
      <c r="P248" s="18">
        <f>SUMIFS(Receitas!$F:$F,Receitas!$J:$J,"&lt;="&amp;$A248,Receitas!$L:$L,"&gt;="&amp;$A248,Receitas!$C:$C,P$1,Receitas!$M:$M,"Mensal")+SUMIFS(Receitas!$F:$F,Receitas!$J:$J,"&lt;="&amp;$A248,Receitas!$L:$L,"&gt;="&amp;$A248,Receitas!$C:$C,P$1,Receitas!$M:$M,$B248)</f>
        <v>20000</v>
      </c>
      <c r="Q248" s="18">
        <f>SUMIFS(Receitas!$F:$F,Receitas!$J:$J,"&lt;="&amp;$A248,Receitas!$L:$L,"&gt;="&amp;$A248,Receitas!$C:$C,Q$1,Receitas!$M:$M,"Mensal")+SUMIFS(Receitas!$F:$F,Receitas!$J:$J,"&lt;="&amp;$A248,Receitas!$L:$L,"&gt;="&amp;$A248,Receitas!$C:$C,Q$1,Receitas!$M:$M,$B248)</f>
        <v>0</v>
      </c>
      <c r="R248" s="18" cm="1">
        <f t="array" ref="R248">(IF(AND(Membros!$F$2="Sim",A248&lt;=MAX(Membros!$E$2:$E$5)),Membros!K$2,IF(AND(A248&gt;=Membros!J$2,A248&lt;=MAX(Membros!$E$2:$E$5)),Membros!K$2,0))+IF(AND(Membros!$F$3="Sim",A248&lt;=MAX(Membros!$E$2:$E$5)),Membros!K$3,IF(AND(A248&gt;=Membros!J$3,A248&lt;=MAX(Membros!$E$2:$E$5)),Membros!K$3,0)))*IF(AND(COUNTIFS(Tabela3[Tipo],"Provedor",Tabela3[Simulação Seguro],"Sim")=2,A248&gt;=MAX(IF(Tabela3[Tipo]="Dependente",Tabela3[Expectativa de Vida (Data)]))),0,1)</f>
        <v>0</v>
      </c>
      <c r="S248" s="18">
        <f t="shared" si="30"/>
        <v>70000</v>
      </c>
      <c r="U248" s="18">
        <f t="shared" ca="1" si="33"/>
        <v>13519403.382061543</v>
      </c>
      <c r="V248" s="18">
        <f>SUMIF(Imóveis!E:E,Dados!A:A,Imóveis!Z:Z)-SUMIF(Imóveis!E:E,Dados!A:A,Imóveis!Y:Y)</f>
        <v>0</v>
      </c>
      <c r="W248" s="18">
        <f>-SUMIF(Projetos!N:N,A248,Projetos!F:F)</f>
        <v>0</v>
      </c>
      <c r="X248" s="18">
        <f t="shared" ca="1" si="27"/>
        <v>-22757</v>
      </c>
      <c r="Y248" s="26">
        <f ca="1">(U248*((Indicadores_Economicos!D$2+1)^(1/12)-1))</f>
        <v>44259.008683449421</v>
      </c>
      <c r="Z248" s="18">
        <f t="shared" ca="1" si="31"/>
        <v>13540905.390744992</v>
      </c>
      <c r="AA248" s="18">
        <f ca="1">Auxiliar_Projetos!E248</f>
        <v>8.7373368056966067E-10</v>
      </c>
      <c r="AB248" s="18">
        <f ca="1">Auxiliar_Projetos!K248</f>
        <v>6.7210283120743097E-10</v>
      </c>
      <c r="AC248" s="18">
        <f ca="1">IF(Z248-AA248-AB248&gt;Investimentos!$C$14,Investimentos!$C$14,IF(Z248-AA248-AB248&lt;Investimentos!$C$14,Z248-AA248-AB248,0))</f>
        <v>300000</v>
      </c>
      <c r="AD248" s="18">
        <f t="shared" ca="1" si="32"/>
        <v>13240905.390744992</v>
      </c>
      <c r="AE248" s="18"/>
    </row>
    <row r="249" spans="1:31" x14ac:dyDescent="0.2">
      <c r="A249" s="4">
        <v>53175</v>
      </c>
      <c r="B249" s="5" t="str">
        <f t="shared" si="28"/>
        <v>agosto</v>
      </c>
      <c r="C249" s="5" t="str">
        <f t="shared" si="34"/>
        <v>2045</v>
      </c>
      <c r="D249" s="5">
        <f>SUMIFS(Despesas!$F:$F,Despesas!$J:$J,"&lt;="&amp;$A249,Despesas!$L:$L,"&gt;="&amp;$A249,Despesas!$C:$C,D$1,Despesas!$M:$M,"Mensal")+SUMIFS(Despesas!$F:$F,Despesas!$J:$J,"&lt;="&amp;$A249,Despesas!$L:$L,"&gt;="&amp;$A249,Despesas!$C:$C,D$1,Despesas!$M:$M,$B249)</f>
        <v>23000</v>
      </c>
      <c r="E249" s="18">
        <f>SUMIFS(Despesas!$F:$F,Despesas!$J:$J,"&lt;="&amp;$A249,Despesas!$L:$L,"&gt;="&amp;$A249,Despesas!$C:$C,E$1,Despesas!$M:$M,"Mensal")+SUMIFS(Despesas!$F:$F,Despesas!$J:$J,"&lt;="&amp;$A249,Despesas!$L:$L,"&gt;="&amp;$A249,Despesas!$C:$C,E$1,Despesas!$M:$M,$B249)</f>
        <v>0</v>
      </c>
      <c r="F249" s="5">
        <f>SUMIFS(Despesas!$F:$F,Despesas!$J:$J,"&lt;="&amp;$A249,Despesas!$L:$L,"&gt;="&amp;$A249,Despesas!$C:$C,F$1,Despesas!$M:$M,"Mensal")+SUMIFS(Despesas!$F:$F,Despesas!$J:$J,"&lt;="&amp;$A249,Despesas!$L:$L,"&gt;="&amp;$A249,Despesas!$C:$C,F$1,Despesas!$M:$M,$B249)</f>
        <v>13000</v>
      </c>
      <c r="G249" s="5">
        <f>SUMIFS(Despesas!$F:$F,Despesas!$J:$J,"&lt;="&amp;$A249,Despesas!$L:$L,"&gt;="&amp;$A249,Despesas!$C:$C,G$1,Despesas!$M:$M,"Mensal")+SUMIFS(Despesas!$F:$F,Despesas!$J:$J,"&lt;="&amp;$A249,Despesas!$L:$L,"&gt;="&amp;$A249,Despesas!$C:$C,G$1,Despesas!$M:$M,$B249)</f>
        <v>0</v>
      </c>
      <c r="H249" s="18">
        <f>SUMIFS(Despesas!$F:$F,Despesas!$J:$J,"&lt;="&amp;$A249,Despesas!$L:$L,"&gt;="&amp;$A249,Despesas!$C:$C,H$1,Despesas!$M:$M,"Mensal")+SUMIFS(Despesas!$F:$F,Despesas!$J:$J,"&lt;="&amp;$A249,Despesas!$L:$L,"&gt;="&amp;$A249,Despesas!$C:$C,H$1,Despesas!$M:$M,$B249)</f>
        <v>1000</v>
      </c>
      <c r="I249" s="18">
        <f>IF(Imóveis!$F$2="PRICE",IF(AND(Dados!$A249&gt;=Imóveis!$Q$2,Dados!$A249&lt;=Imóveis!$T$2),Imóveis!$U$2,0),IF((IF(AND(Dados!$A249&gt;=Imóveis!$Q$2,Dados!$A249&lt;=Imóveis!$T$2),Imóveis!$S$2-(DATEDIF(Imóveis!$Q$2,Dados!$A249,"m")),0))=0,0,((Imóveis!$N$2/Imóveis!$S$2)+((Imóveis!$N$2-((Imóveis!$S$2-(IF(AND(Dados!$A249&gt;=Imóveis!$Q$2,Dados!$A249&lt;=Imóveis!$T$2),Imóveis!$S$2-(DATEDIF(Imóveis!$Q$2,Dados!$A249,"m")),)))*(Imóveis!$N$2/Imóveis!$S$2)))*Imóveis!$P$2))))*IF(AND(Imóveis!$E$2&gt;0,Dados!$A249&gt;Imóveis!$E$2),0,1)</f>
        <v>0</v>
      </c>
      <c r="J249" s="18">
        <f>IF(Imóveis!$F$3="PRICE",IF(AND(Dados!$A249&gt;=Imóveis!$Q$3,Dados!$A249&lt;=Imóveis!$T$3),Imóveis!$U$3,0),IF((IF(AND(Dados!$A249&gt;=Imóveis!$Q$3,Dados!$A249&lt;=Imóveis!$T$3),Imóveis!$S$3-(DATEDIF(Imóveis!$Q$3,Dados!$A249,"m")),0))=0,0,((Imóveis!$N$3/Imóveis!$S$3)+((Imóveis!$N$3-((Imóveis!$S$3-(IF(AND(Dados!$A249&gt;=Imóveis!$Q$3,Dados!$A249&lt;=Imóveis!$T$3),Imóveis!$S$3-(DATEDIF(Imóveis!$Q$3,Dados!$A249,"m")),)))*(Imóveis!$N$3/Imóveis!$S$3)))*Imóveis!$P$3))))*IF(AND(Imóveis!$E$3&gt;0,Dados!$A249&gt;Imóveis!$E$3),0,1)</f>
        <v>0</v>
      </c>
      <c r="K249" s="18">
        <f>IF(Imóveis!$F$4="PRICE",IF(AND(Dados!$A249&gt;=Imóveis!$Q$4,Dados!$A249&lt;=Imóveis!$T$4),Imóveis!$U$4,0),IF((IF(AND(Dados!$A249&gt;=Imóveis!$Q$4,Dados!$A249&lt;=Imóveis!$T$4),Imóveis!$S$4-(DATEDIF(Imóveis!$Q$4,Dados!$A249,"m")),0))=0,0,((Imóveis!$N$4/Imóveis!$S$4)+((Imóveis!$N$4-((Imóveis!$S$4-(IF(AND(Dados!$A249&gt;=Imóveis!$Q$4,Dados!$A249&lt;=Imóveis!$T$4),Imóveis!$S$4-(DATEDIF(Imóveis!$Q$4,Dados!$A249,"m")),)))*(Imóveis!$N$4/Imóveis!$S$4)))*Imóveis!$P$4))))*IF(AND(Imóveis!$E$4&gt;0,Dados!$A249&gt;Imóveis!$E$4),0,1)</f>
        <v>0</v>
      </c>
      <c r="L249" s="18">
        <f>IF(Imóveis!$F$5="PRICE",IF(AND(Dados!$A249&gt;=Imóveis!$Q$5,Dados!$A249&lt;=Imóveis!$T$5),Imóveis!$U$5,0),IF((IF(AND(Dados!$A249&gt;=Imóveis!$Q$5,Dados!$A249&lt;=Imóveis!$T$5),Imóveis!$S$5-(DATEDIF(Imóveis!$Q$5,Dados!$A249,"m")),0))=0,0,((Imóveis!$N$5/Imóveis!$S$5)+((Imóveis!$N$5-((Imóveis!$S$5-(IF(AND(Dados!$A249 &gt;=Imóveis!$Q$5,Dados!$A249&lt;=Imóveis!$T$5),Imóveis!$S$5-(DATEDIF(Imóveis!$Q$5,Dados!$A249,"m")),)))*(Imóveis!$N$5/Imóveis!$S$5)))*Imóveis!$P$5))))*IF(AND(Imóveis!$E$5&gt;0,Dados!$A249&gt;Imóveis!$E$5),0,1)*Imóveis!$I$5</f>
        <v>0</v>
      </c>
      <c r="M249" s="18">
        <f>IF(Imóveis!$F$6="PRICE",IF(AND(Dados!$A249&gt;=Imóveis!$Q$6,Dados!$A249&lt;=Imóveis!$T$6),Imóveis!$U$6,0),IF((IF(AND(Dados!$A249&gt;=Imóveis!$Q$6,Dados!$A249&lt;=Imóveis!$T$6),Imóveis!$S$6-(DATEDIF(Imóveis!$Q$6,Dados!$A249,"m")),0))=0,0,((Imóveis!$N$6/Imóveis!$S$6)+((Imóveis!$N$6-((Imóveis!$S$6-(IF(AND(Dados!$A249&gt;=Imóveis!$Q$6,Dados!$A249&lt;=Imóveis!$T$6),Imóveis!$S$6-(DATEDIF(Imóveis!$Q$6,Dados!$A249,"m")),)))*(Imóveis!$N$6/Imóveis!$S$6)))*Imóveis!$P$6))))*IF(AND(Imóveis!$E$6&gt;0,Dados!$A249&gt;Imóveis!$E$6),0,1)*Imóveis!$I$6</f>
        <v>0</v>
      </c>
      <c r="N249" s="18">
        <f t="shared" si="29"/>
        <v>37000</v>
      </c>
      <c r="O249" s="18">
        <f>SUMIFS(Receitas!$F:$F,Receitas!$J:$J,"&lt;="&amp;$A249,Receitas!$L:$L,"&gt;="&amp;$A249,Receitas!$C:$C,O$1,Receitas!$M:$M,"Mensal")+SUMIFS(Receitas!$F:$F,Receitas!$J:$J,"&lt;="&amp;$A249,Receitas!$L:$L,"&gt;="&amp;$A249,Receitas!$C:$C,O$1,Receitas!$M:$M,$B249)</f>
        <v>50000</v>
      </c>
      <c r="P249" s="18">
        <f>SUMIFS(Receitas!$F:$F,Receitas!$J:$J,"&lt;="&amp;$A249,Receitas!$L:$L,"&gt;="&amp;$A249,Receitas!$C:$C,P$1,Receitas!$M:$M,"Mensal")+SUMIFS(Receitas!$F:$F,Receitas!$J:$J,"&lt;="&amp;$A249,Receitas!$L:$L,"&gt;="&amp;$A249,Receitas!$C:$C,P$1,Receitas!$M:$M,$B249)</f>
        <v>20000</v>
      </c>
      <c r="Q249" s="18">
        <f>SUMIFS(Receitas!$F:$F,Receitas!$J:$J,"&lt;="&amp;$A249,Receitas!$L:$L,"&gt;="&amp;$A249,Receitas!$C:$C,Q$1,Receitas!$M:$M,"Mensal")+SUMIFS(Receitas!$F:$F,Receitas!$J:$J,"&lt;="&amp;$A249,Receitas!$L:$L,"&gt;="&amp;$A249,Receitas!$C:$C,Q$1,Receitas!$M:$M,$B249)</f>
        <v>0</v>
      </c>
      <c r="R249" s="18" cm="1">
        <f t="array" ref="R249">(IF(AND(Membros!$F$2="Sim",A249&lt;=MAX(Membros!$E$2:$E$5)),Membros!K$2,IF(AND(A249&gt;=Membros!J$2,A249&lt;=MAX(Membros!$E$2:$E$5)),Membros!K$2,0))+IF(AND(Membros!$F$3="Sim",A249&lt;=MAX(Membros!$E$2:$E$5)),Membros!K$3,IF(AND(A249&gt;=Membros!J$3,A249&lt;=MAX(Membros!$E$2:$E$5)),Membros!K$3,0)))*IF(AND(COUNTIFS(Tabela3[Tipo],"Provedor",Tabela3[Simulação Seguro],"Sim")=2,A249&gt;=MAX(IF(Tabela3[Tipo]="Dependente",Tabela3[Expectativa de Vida (Data)]))),0,1)</f>
        <v>0</v>
      </c>
      <c r="S249" s="18">
        <f t="shared" si="30"/>
        <v>70000</v>
      </c>
      <c r="U249" s="18">
        <f t="shared" ca="1" si="33"/>
        <v>13540905.390744992</v>
      </c>
      <c r="V249" s="18">
        <f>SUMIF(Imóveis!E:E,Dados!A:A,Imóveis!Z:Z)-SUMIF(Imóveis!E:E,Dados!A:A,Imóveis!Y:Y)</f>
        <v>0</v>
      </c>
      <c r="W249" s="18">
        <f>-SUMIF(Projetos!N:N,A249,Projetos!F:F)</f>
        <v>0</v>
      </c>
      <c r="X249" s="18">
        <f t="shared" si="27"/>
        <v>33000</v>
      </c>
      <c r="Y249" s="26">
        <f ca="1">(U249*((Indicadores_Economicos!D$2+1)^(1/12)-1))</f>
        <v>44329.400664673616</v>
      </c>
      <c r="Z249" s="18">
        <f t="shared" ca="1" si="31"/>
        <v>13618234.791409666</v>
      </c>
      <c r="AA249" s="18">
        <f ca="1">Auxiliar_Projetos!E249</f>
        <v>8.7659405727878864E-10</v>
      </c>
      <c r="AB249" s="18">
        <f ca="1">Auxiliar_Projetos!K249</f>
        <v>6.7430312098368327E-10</v>
      </c>
      <c r="AC249" s="18">
        <f ca="1">IF(Z249-AA249-AB249&gt;Investimentos!$C$14,Investimentos!$C$14,IF(Z249-AA249-AB249&lt;Investimentos!$C$14,Z249-AA249-AB249,0))</f>
        <v>300000</v>
      </c>
      <c r="AD249" s="18">
        <f t="shared" ca="1" si="32"/>
        <v>13318234.791409666</v>
      </c>
      <c r="AE249" s="18"/>
    </row>
    <row r="250" spans="1:31" x14ac:dyDescent="0.2">
      <c r="A250" s="4">
        <v>53206</v>
      </c>
      <c r="B250" s="5" t="str">
        <f t="shared" si="28"/>
        <v>setembro</v>
      </c>
      <c r="C250" s="5" t="str">
        <f t="shared" si="34"/>
        <v>2045</v>
      </c>
      <c r="D250" s="5">
        <f>SUMIFS(Despesas!$F:$F,Despesas!$J:$J,"&lt;="&amp;$A250,Despesas!$L:$L,"&gt;="&amp;$A250,Despesas!$C:$C,D$1,Despesas!$M:$M,"Mensal")+SUMIFS(Despesas!$F:$F,Despesas!$J:$J,"&lt;="&amp;$A250,Despesas!$L:$L,"&gt;="&amp;$A250,Despesas!$C:$C,D$1,Despesas!$M:$M,$B250)</f>
        <v>23000</v>
      </c>
      <c r="E250" s="18">
        <f>SUMIFS(Despesas!$F:$F,Despesas!$J:$J,"&lt;="&amp;$A250,Despesas!$L:$L,"&gt;="&amp;$A250,Despesas!$C:$C,E$1,Despesas!$M:$M,"Mensal")+SUMIFS(Despesas!$F:$F,Despesas!$J:$J,"&lt;="&amp;$A250,Despesas!$L:$L,"&gt;="&amp;$A250,Despesas!$C:$C,E$1,Despesas!$M:$M,$B250)</f>
        <v>0</v>
      </c>
      <c r="F250" s="5">
        <f>SUMIFS(Despesas!$F:$F,Despesas!$J:$J,"&lt;="&amp;$A250,Despesas!$L:$L,"&gt;="&amp;$A250,Despesas!$C:$C,F$1,Despesas!$M:$M,"Mensal")+SUMIFS(Despesas!$F:$F,Despesas!$J:$J,"&lt;="&amp;$A250,Despesas!$L:$L,"&gt;="&amp;$A250,Despesas!$C:$C,F$1,Despesas!$M:$M,$B250)</f>
        <v>13000</v>
      </c>
      <c r="G250" s="5">
        <f>SUMIFS(Despesas!$F:$F,Despesas!$J:$J,"&lt;="&amp;$A250,Despesas!$L:$L,"&gt;="&amp;$A250,Despesas!$C:$C,G$1,Despesas!$M:$M,"Mensal")+SUMIFS(Despesas!$F:$F,Despesas!$J:$J,"&lt;="&amp;$A250,Despesas!$L:$L,"&gt;="&amp;$A250,Despesas!$C:$C,G$1,Despesas!$M:$M,$B250)</f>
        <v>0</v>
      </c>
      <c r="H250" s="18">
        <f>SUMIFS(Despesas!$F:$F,Despesas!$J:$J,"&lt;="&amp;$A250,Despesas!$L:$L,"&gt;="&amp;$A250,Despesas!$C:$C,H$1,Despesas!$M:$M,"Mensal")+SUMIFS(Despesas!$F:$F,Despesas!$J:$J,"&lt;="&amp;$A250,Despesas!$L:$L,"&gt;="&amp;$A250,Despesas!$C:$C,H$1,Despesas!$M:$M,$B250)</f>
        <v>1000</v>
      </c>
      <c r="I250" s="18">
        <f>IF(Imóveis!$F$2="PRICE",IF(AND(Dados!$A250&gt;=Imóveis!$Q$2,Dados!$A250&lt;=Imóveis!$T$2),Imóveis!$U$2,0),IF((IF(AND(Dados!$A250&gt;=Imóveis!$Q$2,Dados!$A250&lt;=Imóveis!$T$2),Imóveis!$S$2-(DATEDIF(Imóveis!$Q$2,Dados!$A250,"m")),0))=0,0,((Imóveis!$N$2/Imóveis!$S$2)+((Imóveis!$N$2-((Imóveis!$S$2-(IF(AND(Dados!$A250&gt;=Imóveis!$Q$2,Dados!$A250&lt;=Imóveis!$T$2),Imóveis!$S$2-(DATEDIF(Imóveis!$Q$2,Dados!$A250,"m")),)))*(Imóveis!$N$2/Imóveis!$S$2)))*Imóveis!$P$2))))*IF(AND(Imóveis!$E$2&gt;0,Dados!$A250&gt;Imóveis!$E$2),0,1)</f>
        <v>0</v>
      </c>
      <c r="J250" s="18">
        <f>IF(Imóveis!$F$3="PRICE",IF(AND(Dados!$A250&gt;=Imóveis!$Q$3,Dados!$A250&lt;=Imóveis!$T$3),Imóveis!$U$3,0),IF((IF(AND(Dados!$A250&gt;=Imóveis!$Q$3,Dados!$A250&lt;=Imóveis!$T$3),Imóveis!$S$3-(DATEDIF(Imóveis!$Q$3,Dados!$A250,"m")),0))=0,0,((Imóveis!$N$3/Imóveis!$S$3)+((Imóveis!$N$3-((Imóveis!$S$3-(IF(AND(Dados!$A250&gt;=Imóveis!$Q$3,Dados!$A250&lt;=Imóveis!$T$3),Imóveis!$S$3-(DATEDIF(Imóveis!$Q$3,Dados!$A250,"m")),)))*(Imóveis!$N$3/Imóveis!$S$3)))*Imóveis!$P$3))))*IF(AND(Imóveis!$E$3&gt;0,Dados!$A250&gt;Imóveis!$E$3),0,1)</f>
        <v>0</v>
      </c>
      <c r="K250" s="18">
        <f>IF(Imóveis!$F$4="PRICE",IF(AND(Dados!$A250&gt;=Imóveis!$Q$4,Dados!$A250&lt;=Imóveis!$T$4),Imóveis!$U$4,0),IF((IF(AND(Dados!$A250&gt;=Imóveis!$Q$4,Dados!$A250&lt;=Imóveis!$T$4),Imóveis!$S$4-(DATEDIF(Imóveis!$Q$4,Dados!$A250,"m")),0))=0,0,((Imóveis!$N$4/Imóveis!$S$4)+((Imóveis!$N$4-((Imóveis!$S$4-(IF(AND(Dados!$A250&gt;=Imóveis!$Q$4,Dados!$A250&lt;=Imóveis!$T$4),Imóveis!$S$4-(DATEDIF(Imóveis!$Q$4,Dados!$A250,"m")),)))*(Imóveis!$N$4/Imóveis!$S$4)))*Imóveis!$P$4))))*IF(AND(Imóveis!$E$4&gt;0,Dados!$A250&gt;Imóveis!$E$4),0,1)</f>
        <v>0</v>
      </c>
      <c r="L250" s="18">
        <f>IF(Imóveis!$F$5="PRICE",IF(AND(Dados!$A250&gt;=Imóveis!$Q$5,Dados!$A250&lt;=Imóveis!$T$5),Imóveis!$U$5,0),IF((IF(AND(Dados!$A250&gt;=Imóveis!$Q$5,Dados!$A250&lt;=Imóveis!$T$5),Imóveis!$S$5-(DATEDIF(Imóveis!$Q$5,Dados!$A250,"m")),0))=0,0,((Imóveis!$N$5/Imóveis!$S$5)+((Imóveis!$N$5-((Imóveis!$S$5-(IF(AND(Dados!$A250 &gt;=Imóveis!$Q$5,Dados!$A250&lt;=Imóveis!$T$5),Imóveis!$S$5-(DATEDIF(Imóveis!$Q$5,Dados!$A250,"m")),)))*(Imóveis!$N$5/Imóveis!$S$5)))*Imóveis!$P$5))))*IF(AND(Imóveis!$E$5&gt;0,Dados!$A250&gt;Imóveis!$E$5),0,1)*Imóveis!$I$5</f>
        <v>0</v>
      </c>
      <c r="M250" s="18">
        <f>IF(Imóveis!$F$6="PRICE",IF(AND(Dados!$A250&gt;=Imóveis!$Q$6,Dados!$A250&lt;=Imóveis!$T$6),Imóveis!$U$6,0),IF((IF(AND(Dados!$A250&gt;=Imóveis!$Q$6,Dados!$A250&lt;=Imóveis!$T$6),Imóveis!$S$6-(DATEDIF(Imóveis!$Q$6,Dados!$A250,"m")),0))=0,0,((Imóveis!$N$6/Imóveis!$S$6)+((Imóveis!$N$6-((Imóveis!$S$6-(IF(AND(Dados!$A250&gt;=Imóveis!$Q$6,Dados!$A250&lt;=Imóveis!$T$6),Imóveis!$S$6-(DATEDIF(Imóveis!$Q$6,Dados!$A250,"m")),)))*(Imóveis!$N$6/Imóveis!$S$6)))*Imóveis!$P$6))))*IF(AND(Imóveis!$E$6&gt;0,Dados!$A250&gt;Imóveis!$E$6),0,1)*Imóveis!$I$6</f>
        <v>0</v>
      </c>
      <c r="N250" s="18">
        <f t="shared" si="29"/>
        <v>37000</v>
      </c>
      <c r="O250" s="18">
        <f>SUMIFS(Receitas!$F:$F,Receitas!$J:$J,"&lt;="&amp;$A250,Receitas!$L:$L,"&gt;="&amp;$A250,Receitas!$C:$C,O$1,Receitas!$M:$M,"Mensal")+SUMIFS(Receitas!$F:$F,Receitas!$J:$J,"&lt;="&amp;$A250,Receitas!$L:$L,"&gt;="&amp;$A250,Receitas!$C:$C,O$1,Receitas!$M:$M,$B250)</f>
        <v>50000</v>
      </c>
      <c r="P250" s="18">
        <f>SUMIFS(Receitas!$F:$F,Receitas!$J:$J,"&lt;="&amp;$A250,Receitas!$L:$L,"&gt;="&amp;$A250,Receitas!$C:$C,P$1,Receitas!$M:$M,"Mensal")+SUMIFS(Receitas!$F:$F,Receitas!$J:$J,"&lt;="&amp;$A250,Receitas!$L:$L,"&gt;="&amp;$A250,Receitas!$C:$C,P$1,Receitas!$M:$M,$B250)</f>
        <v>20000</v>
      </c>
      <c r="Q250" s="18">
        <f>SUMIFS(Receitas!$F:$F,Receitas!$J:$J,"&lt;="&amp;$A250,Receitas!$L:$L,"&gt;="&amp;$A250,Receitas!$C:$C,Q$1,Receitas!$M:$M,"Mensal")+SUMIFS(Receitas!$F:$F,Receitas!$J:$J,"&lt;="&amp;$A250,Receitas!$L:$L,"&gt;="&amp;$A250,Receitas!$C:$C,Q$1,Receitas!$M:$M,$B250)</f>
        <v>0</v>
      </c>
      <c r="R250" s="18" cm="1">
        <f t="array" ref="R250">(IF(AND(Membros!$F$2="Sim",A250&lt;=MAX(Membros!$E$2:$E$5)),Membros!K$2,IF(AND(A250&gt;=Membros!J$2,A250&lt;=MAX(Membros!$E$2:$E$5)),Membros!K$2,0))+IF(AND(Membros!$F$3="Sim",A250&lt;=MAX(Membros!$E$2:$E$5)),Membros!K$3,IF(AND(A250&gt;=Membros!J$3,A250&lt;=MAX(Membros!$E$2:$E$5)),Membros!K$3,0)))*IF(AND(COUNTIFS(Tabela3[Tipo],"Provedor",Tabela3[Simulação Seguro],"Sim")=2,A250&gt;=MAX(IF(Tabela3[Tipo]="Dependente",Tabela3[Expectativa de Vida (Data)]))),0,1)</f>
        <v>0</v>
      </c>
      <c r="S250" s="18">
        <f t="shared" si="30"/>
        <v>70000</v>
      </c>
      <c r="U250" s="18">
        <f t="shared" ca="1" si="33"/>
        <v>13618234.791409666</v>
      </c>
      <c r="V250" s="18">
        <f>SUMIF(Imóveis!E:E,Dados!A:A,Imóveis!Z:Z)-SUMIF(Imóveis!E:E,Dados!A:A,Imóveis!Y:Y)</f>
        <v>0</v>
      </c>
      <c r="W250" s="18">
        <f>-SUMIF(Projetos!N:N,A250,Projetos!F:F)</f>
        <v>0</v>
      </c>
      <c r="X250" s="18">
        <f t="shared" si="27"/>
        <v>33000</v>
      </c>
      <c r="Y250" s="26">
        <f ca="1">(U250*((Indicadores_Economicos!D$2+1)^(1/12)-1))</f>
        <v>44582.556999963155</v>
      </c>
      <c r="Z250" s="18">
        <f t="shared" ca="1" si="31"/>
        <v>13695817.348409628</v>
      </c>
      <c r="AA250" s="18">
        <f ca="1">Auxiliar_Projetos!E250</f>
        <v>8.7946379811694138E-10</v>
      </c>
      <c r="AB250" s="18">
        <f ca="1">Auxiliar_Projetos!K250</f>
        <v>6.7651061393610844E-10</v>
      </c>
      <c r="AC250" s="18">
        <f ca="1">IF(Z250-AA250-AB250&gt;Investimentos!$C$14,Investimentos!$C$14,IF(Z250-AA250-AB250&lt;Investimentos!$C$14,Z250-AA250-AB250,0))</f>
        <v>300000</v>
      </c>
      <c r="AD250" s="18">
        <f t="shared" ca="1" si="32"/>
        <v>13395817.348409628</v>
      </c>
      <c r="AE250" s="18"/>
    </row>
    <row r="251" spans="1:31" x14ac:dyDescent="0.2">
      <c r="A251" s="4">
        <v>53236</v>
      </c>
      <c r="B251" s="5" t="str">
        <f t="shared" si="28"/>
        <v>outubro</v>
      </c>
      <c r="C251" s="5" t="str">
        <f t="shared" si="34"/>
        <v>2045</v>
      </c>
      <c r="D251" s="5">
        <f>SUMIFS(Despesas!$F:$F,Despesas!$J:$J,"&lt;="&amp;$A251,Despesas!$L:$L,"&gt;="&amp;$A251,Despesas!$C:$C,D$1,Despesas!$M:$M,"Mensal")+SUMIFS(Despesas!$F:$F,Despesas!$J:$J,"&lt;="&amp;$A251,Despesas!$L:$L,"&gt;="&amp;$A251,Despesas!$C:$C,D$1,Despesas!$M:$M,$B251)</f>
        <v>23000</v>
      </c>
      <c r="E251" s="18">
        <f>SUMIFS(Despesas!$F:$F,Despesas!$J:$J,"&lt;="&amp;$A251,Despesas!$L:$L,"&gt;="&amp;$A251,Despesas!$C:$C,E$1,Despesas!$M:$M,"Mensal")+SUMIFS(Despesas!$F:$F,Despesas!$J:$J,"&lt;="&amp;$A251,Despesas!$L:$L,"&gt;="&amp;$A251,Despesas!$C:$C,E$1,Despesas!$M:$M,$B251)</f>
        <v>0</v>
      </c>
      <c r="F251" s="5">
        <f>SUMIFS(Despesas!$F:$F,Despesas!$J:$J,"&lt;="&amp;$A251,Despesas!$L:$L,"&gt;="&amp;$A251,Despesas!$C:$C,F$1,Despesas!$M:$M,"Mensal")+SUMIFS(Despesas!$F:$F,Despesas!$J:$J,"&lt;="&amp;$A251,Despesas!$L:$L,"&gt;="&amp;$A251,Despesas!$C:$C,F$1,Despesas!$M:$M,$B251)</f>
        <v>13000</v>
      </c>
      <c r="G251" s="5">
        <f>SUMIFS(Despesas!$F:$F,Despesas!$J:$J,"&lt;="&amp;$A251,Despesas!$L:$L,"&gt;="&amp;$A251,Despesas!$C:$C,G$1,Despesas!$M:$M,"Mensal")+SUMIFS(Despesas!$F:$F,Despesas!$J:$J,"&lt;="&amp;$A251,Despesas!$L:$L,"&gt;="&amp;$A251,Despesas!$C:$C,G$1,Despesas!$M:$M,$B251)</f>
        <v>0</v>
      </c>
      <c r="H251" s="18">
        <f>SUMIFS(Despesas!$F:$F,Despesas!$J:$J,"&lt;="&amp;$A251,Despesas!$L:$L,"&gt;="&amp;$A251,Despesas!$C:$C,H$1,Despesas!$M:$M,"Mensal")+SUMIFS(Despesas!$F:$F,Despesas!$J:$J,"&lt;="&amp;$A251,Despesas!$L:$L,"&gt;="&amp;$A251,Despesas!$C:$C,H$1,Despesas!$M:$M,$B251)</f>
        <v>1000</v>
      </c>
      <c r="I251" s="18">
        <f>IF(Imóveis!$F$2="PRICE",IF(AND(Dados!$A251&gt;=Imóveis!$Q$2,Dados!$A251&lt;=Imóveis!$T$2),Imóveis!$U$2,0),IF((IF(AND(Dados!$A251&gt;=Imóveis!$Q$2,Dados!$A251&lt;=Imóveis!$T$2),Imóveis!$S$2-(DATEDIF(Imóveis!$Q$2,Dados!$A251,"m")),0))=0,0,((Imóveis!$N$2/Imóveis!$S$2)+((Imóveis!$N$2-((Imóveis!$S$2-(IF(AND(Dados!$A251&gt;=Imóveis!$Q$2,Dados!$A251&lt;=Imóveis!$T$2),Imóveis!$S$2-(DATEDIF(Imóveis!$Q$2,Dados!$A251,"m")),)))*(Imóveis!$N$2/Imóveis!$S$2)))*Imóveis!$P$2))))*IF(AND(Imóveis!$E$2&gt;0,Dados!$A251&gt;Imóveis!$E$2),0,1)</f>
        <v>0</v>
      </c>
      <c r="J251" s="18">
        <f>IF(Imóveis!$F$3="PRICE",IF(AND(Dados!$A251&gt;=Imóveis!$Q$3,Dados!$A251&lt;=Imóveis!$T$3),Imóveis!$U$3,0),IF((IF(AND(Dados!$A251&gt;=Imóveis!$Q$3,Dados!$A251&lt;=Imóveis!$T$3),Imóveis!$S$3-(DATEDIF(Imóveis!$Q$3,Dados!$A251,"m")),0))=0,0,((Imóveis!$N$3/Imóveis!$S$3)+((Imóveis!$N$3-((Imóveis!$S$3-(IF(AND(Dados!$A251&gt;=Imóveis!$Q$3,Dados!$A251&lt;=Imóveis!$T$3),Imóveis!$S$3-(DATEDIF(Imóveis!$Q$3,Dados!$A251,"m")),)))*(Imóveis!$N$3/Imóveis!$S$3)))*Imóveis!$P$3))))*IF(AND(Imóveis!$E$3&gt;0,Dados!$A251&gt;Imóveis!$E$3),0,1)</f>
        <v>0</v>
      </c>
      <c r="K251" s="18">
        <f>IF(Imóveis!$F$4="PRICE",IF(AND(Dados!$A251&gt;=Imóveis!$Q$4,Dados!$A251&lt;=Imóveis!$T$4),Imóveis!$U$4,0),IF((IF(AND(Dados!$A251&gt;=Imóveis!$Q$4,Dados!$A251&lt;=Imóveis!$T$4),Imóveis!$S$4-(DATEDIF(Imóveis!$Q$4,Dados!$A251,"m")),0))=0,0,((Imóveis!$N$4/Imóveis!$S$4)+((Imóveis!$N$4-((Imóveis!$S$4-(IF(AND(Dados!$A251&gt;=Imóveis!$Q$4,Dados!$A251&lt;=Imóveis!$T$4),Imóveis!$S$4-(DATEDIF(Imóveis!$Q$4,Dados!$A251,"m")),)))*(Imóveis!$N$4/Imóveis!$S$4)))*Imóveis!$P$4))))*IF(AND(Imóveis!$E$4&gt;0,Dados!$A251&gt;Imóveis!$E$4),0,1)</f>
        <v>0</v>
      </c>
      <c r="L251" s="18">
        <f>IF(Imóveis!$F$5="PRICE",IF(AND(Dados!$A251&gt;=Imóveis!$Q$5,Dados!$A251&lt;=Imóveis!$T$5),Imóveis!$U$5,0),IF((IF(AND(Dados!$A251&gt;=Imóveis!$Q$5,Dados!$A251&lt;=Imóveis!$T$5),Imóveis!$S$5-(DATEDIF(Imóveis!$Q$5,Dados!$A251,"m")),0))=0,0,((Imóveis!$N$5/Imóveis!$S$5)+((Imóveis!$N$5-((Imóveis!$S$5-(IF(AND(Dados!$A251 &gt;=Imóveis!$Q$5,Dados!$A251&lt;=Imóveis!$T$5),Imóveis!$S$5-(DATEDIF(Imóveis!$Q$5,Dados!$A251,"m")),)))*(Imóveis!$N$5/Imóveis!$S$5)))*Imóveis!$P$5))))*IF(AND(Imóveis!$E$5&gt;0,Dados!$A251&gt;Imóveis!$E$5),0,1)*Imóveis!$I$5</f>
        <v>0</v>
      </c>
      <c r="M251" s="18">
        <f>IF(Imóveis!$F$6="PRICE",IF(AND(Dados!$A251&gt;=Imóveis!$Q$6,Dados!$A251&lt;=Imóveis!$T$6),Imóveis!$U$6,0),IF((IF(AND(Dados!$A251&gt;=Imóveis!$Q$6,Dados!$A251&lt;=Imóveis!$T$6),Imóveis!$S$6-(DATEDIF(Imóveis!$Q$6,Dados!$A251,"m")),0))=0,0,((Imóveis!$N$6/Imóveis!$S$6)+((Imóveis!$N$6-((Imóveis!$S$6-(IF(AND(Dados!$A251&gt;=Imóveis!$Q$6,Dados!$A251&lt;=Imóveis!$T$6),Imóveis!$S$6-(DATEDIF(Imóveis!$Q$6,Dados!$A251,"m")),)))*(Imóveis!$N$6/Imóveis!$S$6)))*Imóveis!$P$6))))*IF(AND(Imóveis!$E$6&gt;0,Dados!$A251&gt;Imóveis!$E$6),0,1)*Imóveis!$I$6</f>
        <v>0</v>
      </c>
      <c r="N251" s="18">
        <f t="shared" si="29"/>
        <v>37000</v>
      </c>
      <c r="O251" s="18">
        <f>SUMIFS(Receitas!$F:$F,Receitas!$J:$J,"&lt;="&amp;$A251,Receitas!$L:$L,"&gt;="&amp;$A251,Receitas!$C:$C,O$1,Receitas!$M:$M,"Mensal")+SUMIFS(Receitas!$F:$F,Receitas!$J:$J,"&lt;="&amp;$A251,Receitas!$L:$L,"&gt;="&amp;$A251,Receitas!$C:$C,O$1,Receitas!$M:$M,$B251)</f>
        <v>50000</v>
      </c>
      <c r="P251" s="18">
        <f>SUMIFS(Receitas!$F:$F,Receitas!$J:$J,"&lt;="&amp;$A251,Receitas!$L:$L,"&gt;="&amp;$A251,Receitas!$C:$C,P$1,Receitas!$M:$M,"Mensal")+SUMIFS(Receitas!$F:$F,Receitas!$J:$J,"&lt;="&amp;$A251,Receitas!$L:$L,"&gt;="&amp;$A251,Receitas!$C:$C,P$1,Receitas!$M:$M,$B251)</f>
        <v>20000</v>
      </c>
      <c r="Q251" s="18">
        <f>SUMIFS(Receitas!$F:$F,Receitas!$J:$J,"&lt;="&amp;$A251,Receitas!$L:$L,"&gt;="&amp;$A251,Receitas!$C:$C,Q$1,Receitas!$M:$M,"Mensal")+SUMIFS(Receitas!$F:$F,Receitas!$J:$J,"&lt;="&amp;$A251,Receitas!$L:$L,"&gt;="&amp;$A251,Receitas!$C:$C,Q$1,Receitas!$M:$M,$B251)</f>
        <v>0</v>
      </c>
      <c r="R251" s="18" cm="1">
        <f t="array" ref="R251">(IF(AND(Membros!$F$2="Sim",A251&lt;=MAX(Membros!$E$2:$E$5)),Membros!K$2,IF(AND(A251&gt;=Membros!J$2,A251&lt;=MAX(Membros!$E$2:$E$5)),Membros!K$2,0))+IF(AND(Membros!$F$3="Sim",A251&lt;=MAX(Membros!$E$2:$E$5)),Membros!K$3,IF(AND(A251&gt;=Membros!J$3,A251&lt;=MAX(Membros!$E$2:$E$5)),Membros!K$3,0)))*IF(AND(COUNTIFS(Tabela3[Tipo],"Provedor",Tabela3[Simulação Seguro],"Sim")=2,A251&gt;=MAX(IF(Tabela3[Tipo]="Dependente",Tabela3[Expectativa de Vida (Data)]))),0,1)</f>
        <v>0</v>
      </c>
      <c r="S251" s="18">
        <f t="shared" si="30"/>
        <v>70000</v>
      </c>
      <c r="U251" s="18">
        <f t="shared" ca="1" si="33"/>
        <v>13695817.348409628</v>
      </c>
      <c r="V251" s="18">
        <f>SUMIF(Imóveis!E:E,Dados!A:A,Imóveis!Z:Z)-SUMIF(Imóveis!E:E,Dados!A:A,Imóveis!Y:Y)</f>
        <v>0</v>
      </c>
      <c r="W251" s="18">
        <f>-SUMIF(Projetos!N:N,A251,Projetos!F:F)</f>
        <v>0</v>
      </c>
      <c r="X251" s="18">
        <f t="shared" si="27"/>
        <v>33000</v>
      </c>
      <c r="Y251" s="26">
        <f ca="1">(U251*((Indicadores_Economicos!D$2+1)^(1/12)-1))</f>
        <v>44836.54210321865</v>
      </c>
      <c r="Z251" s="18">
        <f t="shared" ca="1" si="31"/>
        <v>13773653.890512846</v>
      </c>
      <c r="AA251" s="18">
        <f ca="1">Auxiliar_Projetos!E251</f>
        <v>8.8234293373984061E-10</v>
      </c>
      <c r="AB251" s="18">
        <f ca="1">Auxiliar_Projetos!K251</f>
        <v>6.7872533364603086E-10</v>
      </c>
      <c r="AC251" s="18">
        <f ca="1">IF(Z251-AA251-AB251&gt;Investimentos!$C$14,Investimentos!$C$14,IF(Z251-AA251-AB251&lt;Investimentos!$C$14,Z251-AA251-AB251,0))</f>
        <v>300000</v>
      </c>
      <c r="AD251" s="18">
        <f t="shared" ca="1" si="32"/>
        <v>13473653.890512846</v>
      </c>
      <c r="AE251" s="18"/>
    </row>
    <row r="252" spans="1:31" x14ac:dyDescent="0.2">
      <c r="A252" s="4">
        <v>53267</v>
      </c>
      <c r="B252" s="5" t="str">
        <f t="shared" si="28"/>
        <v>novembro</v>
      </c>
      <c r="C252" s="5" t="str">
        <f t="shared" si="34"/>
        <v>2045</v>
      </c>
      <c r="D252" s="5">
        <f>SUMIFS(Despesas!$F:$F,Despesas!$J:$J,"&lt;="&amp;$A252,Despesas!$L:$L,"&gt;="&amp;$A252,Despesas!$C:$C,D$1,Despesas!$M:$M,"Mensal")+SUMIFS(Despesas!$F:$F,Despesas!$J:$J,"&lt;="&amp;$A252,Despesas!$L:$L,"&gt;="&amp;$A252,Despesas!$C:$C,D$1,Despesas!$M:$M,$B252)</f>
        <v>23000</v>
      </c>
      <c r="E252" s="18">
        <f>SUMIFS(Despesas!$F:$F,Despesas!$J:$J,"&lt;="&amp;$A252,Despesas!$L:$L,"&gt;="&amp;$A252,Despesas!$C:$C,E$1,Despesas!$M:$M,"Mensal")+SUMIFS(Despesas!$F:$F,Despesas!$J:$J,"&lt;="&amp;$A252,Despesas!$L:$L,"&gt;="&amp;$A252,Despesas!$C:$C,E$1,Despesas!$M:$M,$B252)</f>
        <v>0</v>
      </c>
      <c r="F252" s="5">
        <f>SUMIFS(Despesas!$F:$F,Despesas!$J:$J,"&lt;="&amp;$A252,Despesas!$L:$L,"&gt;="&amp;$A252,Despesas!$C:$C,F$1,Despesas!$M:$M,"Mensal")+SUMIFS(Despesas!$F:$F,Despesas!$J:$J,"&lt;="&amp;$A252,Despesas!$L:$L,"&gt;="&amp;$A252,Despesas!$C:$C,F$1,Despesas!$M:$M,$B252)</f>
        <v>13000</v>
      </c>
      <c r="G252" s="5">
        <f>SUMIFS(Despesas!$F:$F,Despesas!$J:$J,"&lt;="&amp;$A252,Despesas!$L:$L,"&gt;="&amp;$A252,Despesas!$C:$C,G$1,Despesas!$M:$M,"Mensal")+SUMIFS(Despesas!$F:$F,Despesas!$J:$J,"&lt;="&amp;$A252,Despesas!$L:$L,"&gt;="&amp;$A252,Despesas!$C:$C,G$1,Despesas!$M:$M,$B252)</f>
        <v>0</v>
      </c>
      <c r="H252" s="18">
        <f>SUMIFS(Despesas!$F:$F,Despesas!$J:$J,"&lt;="&amp;$A252,Despesas!$L:$L,"&gt;="&amp;$A252,Despesas!$C:$C,H$1,Despesas!$M:$M,"Mensal")+SUMIFS(Despesas!$F:$F,Despesas!$J:$J,"&lt;="&amp;$A252,Despesas!$L:$L,"&gt;="&amp;$A252,Despesas!$C:$C,H$1,Despesas!$M:$M,$B252)</f>
        <v>1000</v>
      </c>
      <c r="I252" s="18">
        <f>IF(Imóveis!$F$2="PRICE",IF(AND(Dados!$A252&gt;=Imóveis!$Q$2,Dados!$A252&lt;=Imóveis!$T$2),Imóveis!$U$2,0),IF((IF(AND(Dados!$A252&gt;=Imóveis!$Q$2,Dados!$A252&lt;=Imóveis!$T$2),Imóveis!$S$2-(DATEDIF(Imóveis!$Q$2,Dados!$A252,"m")),0))=0,0,((Imóveis!$N$2/Imóveis!$S$2)+((Imóveis!$N$2-((Imóveis!$S$2-(IF(AND(Dados!$A252&gt;=Imóveis!$Q$2,Dados!$A252&lt;=Imóveis!$T$2),Imóveis!$S$2-(DATEDIF(Imóveis!$Q$2,Dados!$A252,"m")),)))*(Imóveis!$N$2/Imóveis!$S$2)))*Imóveis!$P$2))))*IF(AND(Imóveis!$E$2&gt;0,Dados!$A252&gt;Imóveis!$E$2),0,1)</f>
        <v>0</v>
      </c>
      <c r="J252" s="18">
        <f>IF(Imóveis!$F$3="PRICE",IF(AND(Dados!$A252&gt;=Imóveis!$Q$3,Dados!$A252&lt;=Imóveis!$T$3),Imóveis!$U$3,0),IF((IF(AND(Dados!$A252&gt;=Imóveis!$Q$3,Dados!$A252&lt;=Imóveis!$T$3),Imóveis!$S$3-(DATEDIF(Imóveis!$Q$3,Dados!$A252,"m")),0))=0,0,((Imóveis!$N$3/Imóveis!$S$3)+((Imóveis!$N$3-((Imóveis!$S$3-(IF(AND(Dados!$A252&gt;=Imóveis!$Q$3,Dados!$A252&lt;=Imóveis!$T$3),Imóveis!$S$3-(DATEDIF(Imóveis!$Q$3,Dados!$A252,"m")),)))*(Imóveis!$N$3/Imóveis!$S$3)))*Imóveis!$P$3))))*IF(AND(Imóveis!$E$3&gt;0,Dados!$A252&gt;Imóveis!$E$3),0,1)</f>
        <v>0</v>
      </c>
      <c r="K252" s="18">
        <f>IF(Imóveis!$F$4="PRICE",IF(AND(Dados!$A252&gt;=Imóveis!$Q$4,Dados!$A252&lt;=Imóveis!$T$4),Imóveis!$U$4,0),IF((IF(AND(Dados!$A252&gt;=Imóveis!$Q$4,Dados!$A252&lt;=Imóveis!$T$4),Imóveis!$S$4-(DATEDIF(Imóveis!$Q$4,Dados!$A252,"m")),0))=0,0,((Imóveis!$N$4/Imóveis!$S$4)+((Imóveis!$N$4-((Imóveis!$S$4-(IF(AND(Dados!$A252&gt;=Imóveis!$Q$4,Dados!$A252&lt;=Imóveis!$T$4),Imóveis!$S$4-(DATEDIF(Imóveis!$Q$4,Dados!$A252,"m")),)))*(Imóveis!$N$4/Imóveis!$S$4)))*Imóveis!$P$4))))*IF(AND(Imóveis!$E$4&gt;0,Dados!$A252&gt;Imóveis!$E$4),0,1)</f>
        <v>0</v>
      </c>
      <c r="L252" s="18">
        <f>IF(Imóveis!$F$5="PRICE",IF(AND(Dados!$A252&gt;=Imóveis!$Q$5,Dados!$A252&lt;=Imóveis!$T$5),Imóveis!$U$5,0),IF((IF(AND(Dados!$A252&gt;=Imóveis!$Q$5,Dados!$A252&lt;=Imóveis!$T$5),Imóveis!$S$5-(DATEDIF(Imóveis!$Q$5,Dados!$A252,"m")),0))=0,0,((Imóveis!$N$5/Imóveis!$S$5)+((Imóveis!$N$5-((Imóveis!$S$5-(IF(AND(Dados!$A252 &gt;=Imóveis!$Q$5,Dados!$A252&lt;=Imóveis!$T$5),Imóveis!$S$5-(DATEDIF(Imóveis!$Q$5,Dados!$A252,"m")),)))*(Imóveis!$N$5/Imóveis!$S$5)))*Imóveis!$P$5))))*IF(AND(Imóveis!$E$5&gt;0,Dados!$A252&gt;Imóveis!$E$5),0,1)*Imóveis!$I$5</f>
        <v>0</v>
      </c>
      <c r="M252" s="18">
        <f>IF(Imóveis!$F$6="PRICE",IF(AND(Dados!$A252&gt;=Imóveis!$Q$6,Dados!$A252&lt;=Imóveis!$T$6),Imóveis!$U$6,0),IF((IF(AND(Dados!$A252&gt;=Imóveis!$Q$6,Dados!$A252&lt;=Imóveis!$T$6),Imóveis!$S$6-(DATEDIF(Imóveis!$Q$6,Dados!$A252,"m")),0))=0,0,((Imóveis!$N$6/Imóveis!$S$6)+((Imóveis!$N$6-((Imóveis!$S$6-(IF(AND(Dados!$A252&gt;=Imóveis!$Q$6,Dados!$A252&lt;=Imóveis!$T$6),Imóveis!$S$6-(DATEDIF(Imóveis!$Q$6,Dados!$A252,"m")),)))*(Imóveis!$N$6/Imóveis!$S$6)))*Imóveis!$P$6))))*IF(AND(Imóveis!$E$6&gt;0,Dados!$A252&gt;Imóveis!$E$6),0,1)*Imóveis!$I$6</f>
        <v>0</v>
      </c>
      <c r="N252" s="18">
        <f t="shared" si="29"/>
        <v>37000</v>
      </c>
      <c r="O252" s="18">
        <f>SUMIFS(Receitas!$F:$F,Receitas!$J:$J,"&lt;="&amp;$A252,Receitas!$L:$L,"&gt;="&amp;$A252,Receitas!$C:$C,O$1,Receitas!$M:$M,"Mensal")+SUMIFS(Receitas!$F:$F,Receitas!$J:$J,"&lt;="&amp;$A252,Receitas!$L:$L,"&gt;="&amp;$A252,Receitas!$C:$C,O$1,Receitas!$M:$M,$B252)</f>
        <v>50000</v>
      </c>
      <c r="P252" s="18">
        <f>SUMIFS(Receitas!$F:$F,Receitas!$J:$J,"&lt;="&amp;$A252,Receitas!$L:$L,"&gt;="&amp;$A252,Receitas!$C:$C,P$1,Receitas!$M:$M,"Mensal")+SUMIFS(Receitas!$F:$F,Receitas!$J:$J,"&lt;="&amp;$A252,Receitas!$L:$L,"&gt;="&amp;$A252,Receitas!$C:$C,P$1,Receitas!$M:$M,$B252)</f>
        <v>86666.666666666672</v>
      </c>
      <c r="Q252" s="18">
        <f>SUMIFS(Receitas!$F:$F,Receitas!$J:$J,"&lt;="&amp;$A252,Receitas!$L:$L,"&gt;="&amp;$A252,Receitas!$C:$C,Q$1,Receitas!$M:$M,"Mensal")+SUMIFS(Receitas!$F:$F,Receitas!$J:$J,"&lt;="&amp;$A252,Receitas!$L:$L,"&gt;="&amp;$A252,Receitas!$C:$C,Q$1,Receitas!$M:$M,$B252)</f>
        <v>0</v>
      </c>
      <c r="R252" s="18" cm="1">
        <f t="array" ref="R252">(IF(AND(Membros!$F$2="Sim",A252&lt;=MAX(Membros!$E$2:$E$5)),Membros!K$2,IF(AND(A252&gt;=Membros!J$2,A252&lt;=MAX(Membros!$E$2:$E$5)),Membros!K$2,0))+IF(AND(Membros!$F$3="Sim",A252&lt;=MAX(Membros!$E$2:$E$5)),Membros!K$3,IF(AND(A252&gt;=Membros!J$3,A252&lt;=MAX(Membros!$E$2:$E$5)),Membros!K$3,0)))*IF(AND(COUNTIFS(Tabela3[Tipo],"Provedor",Tabela3[Simulação Seguro],"Sim")=2,A252&gt;=MAX(IF(Tabela3[Tipo]="Dependente",Tabela3[Expectativa de Vida (Data)]))),0,1)</f>
        <v>0</v>
      </c>
      <c r="S252" s="18">
        <f t="shared" si="30"/>
        <v>136666.66666666669</v>
      </c>
      <c r="U252" s="18">
        <f t="shared" ca="1" si="33"/>
        <v>13773653.890512846</v>
      </c>
      <c r="V252" s="18">
        <f>SUMIF(Imóveis!E:E,Dados!A:A,Imóveis!Z:Z)-SUMIF(Imóveis!E:E,Dados!A:A,Imóveis!Y:Y)</f>
        <v>0</v>
      </c>
      <c r="W252" s="18">
        <f>-SUMIF(Projetos!N:N,A252,Projetos!F:F)</f>
        <v>0</v>
      </c>
      <c r="X252" s="18">
        <f t="shared" si="27"/>
        <v>99666.666666666686</v>
      </c>
      <c r="Y252" s="26">
        <f ca="1">(U252*((Indicadores_Economicos!D$2+1)^(1/12)-1))</f>
        <v>45091.358687610758</v>
      </c>
      <c r="Z252" s="18">
        <f t="shared" ca="1" si="31"/>
        <v>13918411.915867124</v>
      </c>
      <c r="AA252" s="18">
        <f ca="1">Auxiliar_Projetos!E252</f>
        <v>8.8523149490356686E-10</v>
      </c>
      <c r="AB252" s="18">
        <f ca="1">Auxiliar_Projetos!K252</f>
        <v>6.8094730377197407E-10</v>
      </c>
      <c r="AC252" s="18">
        <f ca="1">IF(Z252-AA252-AB252&gt;Investimentos!$C$14,Investimentos!$C$14,IF(Z252-AA252-AB252&lt;Investimentos!$C$14,Z252-AA252-AB252,0))</f>
        <v>300000</v>
      </c>
      <c r="AD252" s="18">
        <f t="shared" ca="1" si="32"/>
        <v>13618411.915867124</v>
      </c>
      <c r="AE252" s="18"/>
    </row>
    <row r="253" spans="1:31" x14ac:dyDescent="0.2">
      <c r="A253" s="4">
        <v>53297</v>
      </c>
      <c r="B253" s="5" t="str">
        <f t="shared" si="28"/>
        <v>dezembro</v>
      </c>
      <c r="C253" s="5" t="str">
        <f t="shared" si="34"/>
        <v>2045</v>
      </c>
      <c r="D253" s="5">
        <f>SUMIFS(Despesas!$F:$F,Despesas!$J:$J,"&lt;="&amp;$A253,Despesas!$L:$L,"&gt;="&amp;$A253,Despesas!$C:$C,D$1,Despesas!$M:$M,"Mensal")+SUMIFS(Despesas!$F:$F,Despesas!$J:$J,"&lt;="&amp;$A253,Despesas!$L:$L,"&gt;="&amp;$A253,Despesas!$C:$C,D$1,Despesas!$M:$M,$B253)</f>
        <v>23000</v>
      </c>
      <c r="E253" s="18">
        <f>SUMIFS(Despesas!$F:$F,Despesas!$J:$J,"&lt;="&amp;$A253,Despesas!$L:$L,"&gt;="&amp;$A253,Despesas!$C:$C,E$1,Despesas!$M:$M,"Mensal")+SUMIFS(Despesas!$F:$F,Despesas!$J:$J,"&lt;="&amp;$A253,Despesas!$L:$L,"&gt;="&amp;$A253,Despesas!$C:$C,E$1,Despesas!$M:$M,$B253)</f>
        <v>0</v>
      </c>
      <c r="F253" s="5">
        <f>SUMIFS(Despesas!$F:$F,Despesas!$J:$J,"&lt;="&amp;$A253,Despesas!$L:$L,"&gt;="&amp;$A253,Despesas!$C:$C,F$1,Despesas!$M:$M,"Mensal")+SUMIFS(Despesas!$F:$F,Despesas!$J:$J,"&lt;="&amp;$A253,Despesas!$L:$L,"&gt;="&amp;$A253,Despesas!$C:$C,F$1,Despesas!$M:$M,$B253)</f>
        <v>13000</v>
      </c>
      <c r="G253" s="5">
        <f ca="1">SUMIFS(Despesas!$F:$F,Despesas!$J:$J,"&lt;="&amp;$A253,Despesas!$L:$L,"&gt;="&amp;$A253,Despesas!$C:$C,G$1,Despesas!$M:$M,"Mensal")+SUMIFS(Despesas!$F:$F,Despesas!$J:$J,"&lt;="&amp;$A253,Despesas!$L:$L,"&gt;="&amp;$A253,Despesas!$C:$C,G$1,Despesas!$M:$M,$B253)</f>
        <v>55757</v>
      </c>
      <c r="H253" s="18">
        <f>SUMIFS(Despesas!$F:$F,Despesas!$J:$J,"&lt;="&amp;$A253,Despesas!$L:$L,"&gt;="&amp;$A253,Despesas!$C:$C,H$1,Despesas!$M:$M,"Mensal")+SUMIFS(Despesas!$F:$F,Despesas!$J:$J,"&lt;="&amp;$A253,Despesas!$L:$L,"&gt;="&amp;$A253,Despesas!$C:$C,H$1,Despesas!$M:$M,$B253)</f>
        <v>1000</v>
      </c>
      <c r="I253" s="18">
        <f>IF(Imóveis!$F$2="PRICE",IF(AND(Dados!$A253&gt;=Imóveis!$Q$2,Dados!$A253&lt;=Imóveis!$T$2),Imóveis!$U$2,0),IF((IF(AND(Dados!$A253&gt;=Imóveis!$Q$2,Dados!$A253&lt;=Imóveis!$T$2),Imóveis!$S$2-(DATEDIF(Imóveis!$Q$2,Dados!$A253,"m")),0))=0,0,((Imóveis!$N$2/Imóveis!$S$2)+((Imóveis!$N$2-((Imóveis!$S$2-(IF(AND(Dados!$A253&gt;=Imóveis!$Q$2,Dados!$A253&lt;=Imóveis!$T$2),Imóveis!$S$2-(DATEDIF(Imóveis!$Q$2,Dados!$A253,"m")),)))*(Imóveis!$N$2/Imóveis!$S$2)))*Imóveis!$P$2))))*IF(AND(Imóveis!$E$2&gt;0,Dados!$A253&gt;Imóveis!$E$2),0,1)</f>
        <v>0</v>
      </c>
      <c r="J253" s="18">
        <f>IF(Imóveis!$F$3="PRICE",IF(AND(Dados!$A253&gt;=Imóveis!$Q$3,Dados!$A253&lt;=Imóveis!$T$3),Imóveis!$U$3,0),IF((IF(AND(Dados!$A253&gt;=Imóveis!$Q$3,Dados!$A253&lt;=Imóveis!$T$3),Imóveis!$S$3-(DATEDIF(Imóveis!$Q$3,Dados!$A253,"m")),0))=0,0,((Imóveis!$N$3/Imóveis!$S$3)+((Imóveis!$N$3-((Imóveis!$S$3-(IF(AND(Dados!$A253&gt;=Imóveis!$Q$3,Dados!$A253&lt;=Imóveis!$T$3),Imóveis!$S$3-(DATEDIF(Imóveis!$Q$3,Dados!$A253,"m")),)))*(Imóveis!$N$3/Imóveis!$S$3)))*Imóveis!$P$3))))*IF(AND(Imóveis!$E$3&gt;0,Dados!$A253&gt;Imóveis!$E$3),0,1)</f>
        <v>0</v>
      </c>
      <c r="K253" s="18">
        <f>IF(Imóveis!$F$4="PRICE",IF(AND(Dados!$A253&gt;=Imóveis!$Q$4,Dados!$A253&lt;=Imóveis!$T$4),Imóveis!$U$4,0),IF((IF(AND(Dados!$A253&gt;=Imóveis!$Q$4,Dados!$A253&lt;=Imóveis!$T$4),Imóveis!$S$4-(DATEDIF(Imóveis!$Q$4,Dados!$A253,"m")),0))=0,0,((Imóveis!$N$4/Imóveis!$S$4)+((Imóveis!$N$4-((Imóveis!$S$4-(IF(AND(Dados!$A253&gt;=Imóveis!$Q$4,Dados!$A253&lt;=Imóveis!$T$4),Imóveis!$S$4-(DATEDIF(Imóveis!$Q$4,Dados!$A253,"m")),)))*(Imóveis!$N$4/Imóveis!$S$4)))*Imóveis!$P$4))))*IF(AND(Imóveis!$E$4&gt;0,Dados!$A253&gt;Imóveis!$E$4),0,1)</f>
        <v>0</v>
      </c>
      <c r="L253" s="18">
        <f>IF(Imóveis!$F$5="PRICE",IF(AND(Dados!$A253&gt;=Imóveis!$Q$5,Dados!$A253&lt;=Imóveis!$T$5),Imóveis!$U$5,0),IF((IF(AND(Dados!$A253&gt;=Imóveis!$Q$5,Dados!$A253&lt;=Imóveis!$T$5),Imóveis!$S$5-(DATEDIF(Imóveis!$Q$5,Dados!$A253,"m")),0))=0,0,((Imóveis!$N$5/Imóveis!$S$5)+((Imóveis!$N$5-((Imóveis!$S$5-(IF(AND(Dados!$A253 &gt;=Imóveis!$Q$5,Dados!$A253&lt;=Imóveis!$T$5),Imóveis!$S$5-(DATEDIF(Imóveis!$Q$5,Dados!$A253,"m")),)))*(Imóveis!$N$5/Imóveis!$S$5)))*Imóveis!$P$5))))*IF(AND(Imóveis!$E$5&gt;0,Dados!$A253&gt;Imóveis!$E$5),0,1)*Imóveis!$I$5</f>
        <v>0</v>
      </c>
      <c r="M253" s="18">
        <f>IF(Imóveis!$F$6="PRICE",IF(AND(Dados!$A253&gt;=Imóveis!$Q$6,Dados!$A253&lt;=Imóveis!$T$6),Imóveis!$U$6,0),IF((IF(AND(Dados!$A253&gt;=Imóveis!$Q$6,Dados!$A253&lt;=Imóveis!$T$6),Imóveis!$S$6-(DATEDIF(Imóveis!$Q$6,Dados!$A253,"m")),0))=0,0,((Imóveis!$N$6/Imóveis!$S$6)+((Imóveis!$N$6-((Imóveis!$S$6-(IF(AND(Dados!$A253&gt;=Imóveis!$Q$6,Dados!$A253&lt;=Imóveis!$T$6),Imóveis!$S$6-(DATEDIF(Imóveis!$Q$6,Dados!$A253,"m")),)))*(Imóveis!$N$6/Imóveis!$S$6)))*Imóveis!$P$6))))*IF(AND(Imóveis!$E$6&gt;0,Dados!$A253&gt;Imóveis!$E$6),0,1)*Imóveis!$I$6</f>
        <v>0</v>
      </c>
      <c r="N253" s="18">
        <f t="shared" ca="1" si="29"/>
        <v>92757</v>
      </c>
      <c r="O253" s="18">
        <f>SUMIFS(Receitas!$F:$F,Receitas!$J:$J,"&lt;="&amp;$A253,Receitas!$L:$L,"&gt;="&amp;$A253,Receitas!$C:$C,O$1,Receitas!$M:$M,"Mensal")+SUMIFS(Receitas!$F:$F,Receitas!$J:$J,"&lt;="&amp;$A253,Receitas!$L:$L,"&gt;="&amp;$A253,Receitas!$C:$C,O$1,Receitas!$M:$M,$B253)</f>
        <v>50000</v>
      </c>
      <c r="P253" s="18">
        <f>SUMIFS(Receitas!$F:$F,Receitas!$J:$J,"&lt;="&amp;$A253,Receitas!$L:$L,"&gt;="&amp;$A253,Receitas!$C:$C,P$1,Receitas!$M:$M,"Mensal")+SUMIFS(Receitas!$F:$F,Receitas!$J:$J,"&lt;="&amp;$A253,Receitas!$L:$L,"&gt;="&amp;$A253,Receitas!$C:$C,P$1,Receitas!$M:$M,$B253)</f>
        <v>20000</v>
      </c>
      <c r="Q253" s="18">
        <f>SUMIFS(Receitas!$F:$F,Receitas!$J:$J,"&lt;="&amp;$A253,Receitas!$L:$L,"&gt;="&amp;$A253,Receitas!$C:$C,Q$1,Receitas!$M:$M,"Mensal")+SUMIFS(Receitas!$F:$F,Receitas!$J:$J,"&lt;="&amp;$A253,Receitas!$L:$L,"&gt;="&amp;$A253,Receitas!$C:$C,Q$1,Receitas!$M:$M,$B253)</f>
        <v>0</v>
      </c>
      <c r="R253" s="18" cm="1">
        <f t="array" ref="R253">(IF(AND(Membros!$F$2="Sim",A253&lt;=MAX(Membros!$E$2:$E$5)),Membros!K$2,IF(AND(A253&gt;=Membros!J$2,A253&lt;=MAX(Membros!$E$2:$E$5)),Membros!K$2,0))+IF(AND(Membros!$F$3="Sim",A253&lt;=MAX(Membros!$E$2:$E$5)),Membros!K$3,IF(AND(A253&gt;=Membros!J$3,A253&lt;=MAX(Membros!$E$2:$E$5)),Membros!K$3,0)))*IF(AND(COUNTIFS(Tabela3[Tipo],"Provedor",Tabela3[Simulação Seguro],"Sim")=2,A253&gt;=MAX(IF(Tabela3[Tipo]="Dependente",Tabela3[Expectativa de Vida (Data)]))),0,1)</f>
        <v>0</v>
      </c>
      <c r="S253" s="18">
        <f t="shared" si="30"/>
        <v>70000</v>
      </c>
      <c r="U253" s="18">
        <f t="shared" ca="1" si="33"/>
        <v>13918411.915867124</v>
      </c>
      <c r="V253" s="18">
        <f>SUMIF(Imóveis!E:E,Dados!A:A,Imóveis!Z:Z)-SUMIF(Imóveis!E:E,Dados!A:A,Imóveis!Y:Y)</f>
        <v>0</v>
      </c>
      <c r="W253" s="18">
        <f>-SUMIF(Projetos!N:N,A253,Projetos!F:F)</f>
        <v>0</v>
      </c>
      <c r="X253" s="18">
        <f t="shared" ca="1" si="27"/>
        <v>-22757</v>
      </c>
      <c r="Y253" s="26">
        <f ca="1">(U253*((Indicadores_Economicos!D$2+1)^(1/12)-1))</f>
        <v>45565.258794005611</v>
      </c>
      <c r="Z253" s="18">
        <f t="shared" ca="1" si="31"/>
        <v>13941220.17466113</v>
      </c>
      <c r="AA253" s="18">
        <f ca="1">Auxiliar_Projetos!E253</f>
        <v>8.8812951246488811E-10</v>
      </c>
      <c r="AB253" s="18">
        <f ca="1">Auxiliar_Projetos!K253</f>
        <v>6.8317654804991348E-10</v>
      </c>
      <c r="AC253" s="18">
        <f ca="1">IF(Z253-AA253-AB253&gt;Investimentos!$C$14,Investimentos!$C$14,IF(Z253-AA253-AB253&lt;Investimentos!$C$14,Z253-AA253-AB253,0))</f>
        <v>300000</v>
      </c>
      <c r="AD253" s="18">
        <f t="shared" ca="1" si="32"/>
        <v>13641220.17466113</v>
      </c>
      <c r="AE253" s="18"/>
    </row>
    <row r="254" spans="1:31" x14ac:dyDescent="0.2">
      <c r="A254" s="4">
        <v>53328</v>
      </c>
      <c r="B254" s="5" t="str">
        <f t="shared" si="28"/>
        <v>janeiro</v>
      </c>
      <c r="C254" s="5" t="str">
        <f t="shared" si="34"/>
        <v>2046</v>
      </c>
      <c r="D254" s="5">
        <f>SUMIFS(Despesas!$F:$F,Despesas!$J:$J,"&lt;="&amp;$A254,Despesas!$L:$L,"&gt;="&amp;$A254,Despesas!$C:$C,D$1,Despesas!$M:$M,"Mensal")+SUMIFS(Despesas!$F:$F,Despesas!$J:$J,"&lt;="&amp;$A254,Despesas!$L:$L,"&gt;="&amp;$A254,Despesas!$C:$C,D$1,Despesas!$M:$M,$B254)</f>
        <v>23000</v>
      </c>
      <c r="E254" s="18">
        <f>SUMIFS(Despesas!$F:$F,Despesas!$J:$J,"&lt;="&amp;$A254,Despesas!$L:$L,"&gt;="&amp;$A254,Despesas!$C:$C,E$1,Despesas!$M:$M,"Mensal")+SUMIFS(Despesas!$F:$F,Despesas!$J:$J,"&lt;="&amp;$A254,Despesas!$L:$L,"&gt;="&amp;$A254,Despesas!$C:$C,E$1,Despesas!$M:$M,$B254)</f>
        <v>0</v>
      </c>
      <c r="F254" s="5">
        <f>SUMIFS(Despesas!$F:$F,Despesas!$J:$J,"&lt;="&amp;$A254,Despesas!$L:$L,"&gt;="&amp;$A254,Despesas!$C:$C,F$1,Despesas!$M:$M,"Mensal")+SUMIFS(Despesas!$F:$F,Despesas!$J:$J,"&lt;="&amp;$A254,Despesas!$L:$L,"&gt;="&amp;$A254,Despesas!$C:$C,F$1,Despesas!$M:$M,$B254)</f>
        <v>13000</v>
      </c>
      <c r="G254" s="5">
        <f>SUMIFS(Despesas!$F:$F,Despesas!$J:$J,"&lt;="&amp;$A254,Despesas!$L:$L,"&gt;="&amp;$A254,Despesas!$C:$C,G$1,Despesas!$M:$M,"Mensal")+SUMIFS(Despesas!$F:$F,Despesas!$J:$J,"&lt;="&amp;$A254,Despesas!$L:$L,"&gt;="&amp;$A254,Despesas!$C:$C,G$1,Despesas!$M:$M,$B254)</f>
        <v>0</v>
      </c>
      <c r="H254" s="18">
        <f>SUMIFS(Despesas!$F:$F,Despesas!$J:$J,"&lt;="&amp;$A254,Despesas!$L:$L,"&gt;="&amp;$A254,Despesas!$C:$C,H$1,Despesas!$M:$M,"Mensal")+SUMIFS(Despesas!$F:$F,Despesas!$J:$J,"&lt;="&amp;$A254,Despesas!$L:$L,"&gt;="&amp;$A254,Despesas!$C:$C,H$1,Despesas!$M:$M,$B254)</f>
        <v>1000</v>
      </c>
      <c r="I254" s="18">
        <f>IF(Imóveis!$F$2="PRICE",IF(AND(Dados!$A254&gt;=Imóveis!$Q$2,Dados!$A254&lt;=Imóveis!$T$2),Imóveis!$U$2,0),IF((IF(AND(Dados!$A254&gt;=Imóveis!$Q$2,Dados!$A254&lt;=Imóveis!$T$2),Imóveis!$S$2-(DATEDIF(Imóveis!$Q$2,Dados!$A254,"m")),0))=0,0,((Imóveis!$N$2/Imóveis!$S$2)+((Imóveis!$N$2-((Imóveis!$S$2-(IF(AND(Dados!$A254&gt;=Imóveis!$Q$2,Dados!$A254&lt;=Imóveis!$T$2),Imóveis!$S$2-(DATEDIF(Imóveis!$Q$2,Dados!$A254,"m")),)))*(Imóveis!$N$2/Imóveis!$S$2)))*Imóveis!$P$2))))*IF(AND(Imóveis!$E$2&gt;0,Dados!$A254&gt;Imóveis!$E$2),0,1)</f>
        <v>0</v>
      </c>
      <c r="J254" s="18">
        <f>IF(Imóveis!$F$3="PRICE",IF(AND(Dados!$A254&gt;=Imóveis!$Q$3,Dados!$A254&lt;=Imóveis!$T$3),Imóveis!$U$3,0),IF((IF(AND(Dados!$A254&gt;=Imóveis!$Q$3,Dados!$A254&lt;=Imóveis!$T$3),Imóveis!$S$3-(DATEDIF(Imóveis!$Q$3,Dados!$A254,"m")),0))=0,0,((Imóveis!$N$3/Imóveis!$S$3)+((Imóveis!$N$3-((Imóveis!$S$3-(IF(AND(Dados!$A254&gt;=Imóveis!$Q$3,Dados!$A254&lt;=Imóveis!$T$3),Imóveis!$S$3-(DATEDIF(Imóveis!$Q$3,Dados!$A254,"m")),)))*(Imóveis!$N$3/Imóveis!$S$3)))*Imóveis!$P$3))))*IF(AND(Imóveis!$E$3&gt;0,Dados!$A254&gt;Imóveis!$E$3),0,1)</f>
        <v>0</v>
      </c>
      <c r="K254" s="18">
        <f>IF(Imóveis!$F$4="PRICE",IF(AND(Dados!$A254&gt;=Imóveis!$Q$4,Dados!$A254&lt;=Imóveis!$T$4),Imóveis!$U$4,0),IF((IF(AND(Dados!$A254&gt;=Imóveis!$Q$4,Dados!$A254&lt;=Imóveis!$T$4),Imóveis!$S$4-(DATEDIF(Imóveis!$Q$4,Dados!$A254,"m")),0))=0,0,((Imóveis!$N$4/Imóveis!$S$4)+((Imóveis!$N$4-((Imóveis!$S$4-(IF(AND(Dados!$A254&gt;=Imóveis!$Q$4,Dados!$A254&lt;=Imóveis!$T$4),Imóveis!$S$4-(DATEDIF(Imóveis!$Q$4,Dados!$A254,"m")),)))*(Imóveis!$N$4/Imóveis!$S$4)))*Imóveis!$P$4))))*IF(AND(Imóveis!$E$4&gt;0,Dados!$A254&gt;Imóveis!$E$4),0,1)</f>
        <v>0</v>
      </c>
      <c r="L254" s="18">
        <f>IF(Imóveis!$F$5="PRICE",IF(AND(Dados!$A254&gt;=Imóveis!$Q$5,Dados!$A254&lt;=Imóveis!$T$5),Imóveis!$U$5,0),IF((IF(AND(Dados!$A254&gt;=Imóveis!$Q$5,Dados!$A254&lt;=Imóveis!$T$5),Imóveis!$S$5-(DATEDIF(Imóveis!$Q$5,Dados!$A254,"m")),0))=0,0,((Imóveis!$N$5/Imóveis!$S$5)+((Imóveis!$N$5-((Imóveis!$S$5-(IF(AND(Dados!$A254 &gt;=Imóveis!$Q$5,Dados!$A254&lt;=Imóveis!$T$5),Imóveis!$S$5-(DATEDIF(Imóveis!$Q$5,Dados!$A254,"m")),)))*(Imóveis!$N$5/Imóveis!$S$5)))*Imóveis!$P$5))))*IF(AND(Imóveis!$E$5&gt;0,Dados!$A254&gt;Imóveis!$E$5),0,1)*Imóveis!$I$5</f>
        <v>0</v>
      </c>
      <c r="M254" s="18">
        <f>IF(Imóveis!$F$6="PRICE",IF(AND(Dados!$A254&gt;=Imóveis!$Q$6,Dados!$A254&lt;=Imóveis!$T$6),Imóveis!$U$6,0),IF((IF(AND(Dados!$A254&gt;=Imóveis!$Q$6,Dados!$A254&lt;=Imóveis!$T$6),Imóveis!$S$6-(DATEDIF(Imóveis!$Q$6,Dados!$A254,"m")),0))=0,0,((Imóveis!$N$6/Imóveis!$S$6)+((Imóveis!$N$6-((Imóveis!$S$6-(IF(AND(Dados!$A254&gt;=Imóveis!$Q$6,Dados!$A254&lt;=Imóveis!$T$6),Imóveis!$S$6-(DATEDIF(Imóveis!$Q$6,Dados!$A254,"m")),)))*(Imóveis!$N$6/Imóveis!$S$6)))*Imóveis!$P$6))))*IF(AND(Imóveis!$E$6&gt;0,Dados!$A254&gt;Imóveis!$E$6),0,1)*Imóveis!$I$6</f>
        <v>0</v>
      </c>
      <c r="N254" s="18">
        <f t="shared" si="29"/>
        <v>37000</v>
      </c>
      <c r="O254" s="18">
        <f>SUMIFS(Receitas!$F:$F,Receitas!$J:$J,"&lt;="&amp;$A254,Receitas!$L:$L,"&gt;="&amp;$A254,Receitas!$C:$C,O$1,Receitas!$M:$M,"Mensal")+SUMIFS(Receitas!$F:$F,Receitas!$J:$J,"&lt;="&amp;$A254,Receitas!$L:$L,"&gt;="&amp;$A254,Receitas!$C:$C,O$1,Receitas!$M:$M,$B254)</f>
        <v>50000</v>
      </c>
      <c r="P254" s="18">
        <f>SUMIFS(Receitas!$F:$F,Receitas!$J:$J,"&lt;="&amp;$A254,Receitas!$L:$L,"&gt;="&amp;$A254,Receitas!$C:$C,P$1,Receitas!$M:$M,"Mensal")+SUMIFS(Receitas!$F:$F,Receitas!$J:$J,"&lt;="&amp;$A254,Receitas!$L:$L,"&gt;="&amp;$A254,Receitas!$C:$C,P$1,Receitas!$M:$M,$B254)</f>
        <v>20000</v>
      </c>
      <c r="Q254" s="18">
        <f>SUMIFS(Receitas!$F:$F,Receitas!$J:$J,"&lt;="&amp;$A254,Receitas!$L:$L,"&gt;="&amp;$A254,Receitas!$C:$C,Q$1,Receitas!$M:$M,"Mensal")+SUMIFS(Receitas!$F:$F,Receitas!$J:$J,"&lt;="&amp;$A254,Receitas!$L:$L,"&gt;="&amp;$A254,Receitas!$C:$C,Q$1,Receitas!$M:$M,$B254)</f>
        <v>0</v>
      </c>
      <c r="R254" s="18" cm="1">
        <f t="array" ref="R254">(IF(AND(Membros!$F$2="Sim",A254&lt;=MAX(Membros!$E$2:$E$5)),Membros!K$2,IF(AND(A254&gt;=Membros!J$2,A254&lt;=MAX(Membros!$E$2:$E$5)),Membros!K$2,0))+IF(AND(Membros!$F$3="Sim",A254&lt;=MAX(Membros!$E$2:$E$5)),Membros!K$3,IF(AND(A254&gt;=Membros!J$3,A254&lt;=MAX(Membros!$E$2:$E$5)),Membros!K$3,0)))*IF(AND(COUNTIFS(Tabela3[Tipo],"Provedor",Tabela3[Simulação Seguro],"Sim")=2,A254&gt;=MAX(IF(Tabela3[Tipo]="Dependente",Tabela3[Expectativa de Vida (Data)]))),0,1)</f>
        <v>0</v>
      </c>
      <c r="S254" s="18">
        <f t="shared" si="30"/>
        <v>70000</v>
      </c>
      <c r="U254" s="18">
        <f t="shared" ca="1" si="33"/>
        <v>13941220.17466113</v>
      </c>
      <c r="V254" s="18">
        <f>SUMIF(Imóveis!E:E,Dados!A:A,Imóveis!Z:Z)-SUMIF(Imóveis!E:E,Dados!A:A,Imóveis!Y:Y)</f>
        <v>0</v>
      </c>
      <c r="W254" s="18">
        <f>-SUMIF(Projetos!N:N,A254,Projetos!F:F)</f>
        <v>0</v>
      </c>
      <c r="X254" s="18">
        <f t="shared" si="27"/>
        <v>33000</v>
      </c>
      <c r="Y254" s="26">
        <f ca="1">(U254*((Indicadores_Economicos!D$2+1)^(1/12)-1))</f>
        <v>45639.927098182241</v>
      </c>
      <c r="Z254" s="18">
        <f t="shared" ca="1" si="31"/>
        <v>14019860.101759313</v>
      </c>
      <c r="AA254" s="18">
        <f ca="1">Auxiliar_Projetos!E254</f>
        <v>8.9103701738158936E-10</v>
      </c>
      <c r="AB254" s="18">
        <f ca="1">Auxiliar_Projetos!K254</f>
        <v>6.8541309029352982E-10</v>
      </c>
      <c r="AC254" s="18">
        <f ca="1">IF(Z254-AA254-AB254&gt;Investimentos!$C$14,Investimentos!$C$14,IF(Z254-AA254-AB254&lt;Investimentos!$C$14,Z254-AA254-AB254,0))</f>
        <v>300000</v>
      </c>
      <c r="AD254" s="18">
        <f t="shared" ca="1" si="32"/>
        <v>13719860.101759313</v>
      </c>
      <c r="AE254" s="18"/>
    </row>
    <row r="255" spans="1:31" x14ac:dyDescent="0.2">
      <c r="A255" s="4">
        <v>53359</v>
      </c>
      <c r="B255" s="5" t="str">
        <f t="shared" si="28"/>
        <v>fevereiro</v>
      </c>
      <c r="C255" s="5" t="str">
        <f t="shared" si="34"/>
        <v>2046</v>
      </c>
      <c r="D255" s="5">
        <f>SUMIFS(Despesas!$F:$F,Despesas!$J:$J,"&lt;="&amp;$A255,Despesas!$L:$L,"&gt;="&amp;$A255,Despesas!$C:$C,D$1,Despesas!$M:$M,"Mensal")+SUMIFS(Despesas!$F:$F,Despesas!$J:$J,"&lt;="&amp;$A255,Despesas!$L:$L,"&gt;="&amp;$A255,Despesas!$C:$C,D$1,Despesas!$M:$M,$B255)</f>
        <v>23000</v>
      </c>
      <c r="E255" s="18">
        <f>SUMIFS(Despesas!$F:$F,Despesas!$J:$J,"&lt;="&amp;$A255,Despesas!$L:$L,"&gt;="&amp;$A255,Despesas!$C:$C,E$1,Despesas!$M:$M,"Mensal")+SUMIFS(Despesas!$F:$F,Despesas!$J:$J,"&lt;="&amp;$A255,Despesas!$L:$L,"&gt;="&amp;$A255,Despesas!$C:$C,E$1,Despesas!$M:$M,$B255)</f>
        <v>0</v>
      </c>
      <c r="F255" s="5">
        <f>SUMIFS(Despesas!$F:$F,Despesas!$J:$J,"&lt;="&amp;$A255,Despesas!$L:$L,"&gt;="&amp;$A255,Despesas!$C:$C,F$1,Despesas!$M:$M,"Mensal")+SUMIFS(Despesas!$F:$F,Despesas!$J:$J,"&lt;="&amp;$A255,Despesas!$L:$L,"&gt;="&amp;$A255,Despesas!$C:$C,F$1,Despesas!$M:$M,$B255)</f>
        <v>13000</v>
      </c>
      <c r="G255" s="5">
        <f>SUMIFS(Despesas!$F:$F,Despesas!$J:$J,"&lt;="&amp;$A255,Despesas!$L:$L,"&gt;="&amp;$A255,Despesas!$C:$C,G$1,Despesas!$M:$M,"Mensal")+SUMIFS(Despesas!$F:$F,Despesas!$J:$J,"&lt;="&amp;$A255,Despesas!$L:$L,"&gt;="&amp;$A255,Despesas!$C:$C,G$1,Despesas!$M:$M,$B255)</f>
        <v>0</v>
      </c>
      <c r="H255" s="18">
        <f>SUMIFS(Despesas!$F:$F,Despesas!$J:$J,"&lt;="&amp;$A255,Despesas!$L:$L,"&gt;="&amp;$A255,Despesas!$C:$C,H$1,Despesas!$M:$M,"Mensal")+SUMIFS(Despesas!$F:$F,Despesas!$J:$J,"&lt;="&amp;$A255,Despesas!$L:$L,"&gt;="&amp;$A255,Despesas!$C:$C,H$1,Despesas!$M:$M,$B255)</f>
        <v>2200</v>
      </c>
      <c r="I255" s="18">
        <f>IF(Imóveis!$F$2="PRICE",IF(AND(Dados!$A255&gt;=Imóveis!$Q$2,Dados!$A255&lt;=Imóveis!$T$2),Imóveis!$U$2,0),IF((IF(AND(Dados!$A255&gt;=Imóveis!$Q$2,Dados!$A255&lt;=Imóveis!$T$2),Imóveis!$S$2-(DATEDIF(Imóveis!$Q$2,Dados!$A255,"m")),0))=0,0,((Imóveis!$N$2/Imóveis!$S$2)+((Imóveis!$N$2-((Imóveis!$S$2-(IF(AND(Dados!$A255&gt;=Imóveis!$Q$2,Dados!$A255&lt;=Imóveis!$T$2),Imóveis!$S$2-(DATEDIF(Imóveis!$Q$2,Dados!$A255,"m")),)))*(Imóveis!$N$2/Imóveis!$S$2)))*Imóveis!$P$2))))*IF(AND(Imóveis!$E$2&gt;0,Dados!$A255&gt;Imóveis!$E$2),0,1)</f>
        <v>0</v>
      </c>
      <c r="J255" s="18">
        <f>IF(Imóveis!$F$3="PRICE",IF(AND(Dados!$A255&gt;=Imóveis!$Q$3,Dados!$A255&lt;=Imóveis!$T$3),Imóveis!$U$3,0),IF((IF(AND(Dados!$A255&gt;=Imóveis!$Q$3,Dados!$A255&lt;=Imóveis!$T$3),Imóveis!$S$3-(DATEDIF(Imóveis!$Q$3,Dados!$A255,"m")),0))=0,0,((Imóveis!$N$3/Imóveis!$S$3)+((Imóveis!$N$3-((Imóveis!$S$3-(IF(AND(Dados!$A255&gt;=Imóveis!$Q$3,Dados!$A255&lt;=Imóveis!$T$3),Imóveis!$S$3-(DATEDIF(Imóveis!$Q$3,Dados!$A255,"m")),)))*(Imóveis!$N$3/Imóveis!$S$3)))*Imóveis!$P$3))))*IF(AND(Imóveis!$E$3&gt;0,Dados!$A255&gt;Imóveis!$E$3),0,1)</f>
        <v>0</v>
      </c>
      <c r="K255" s="18">
        <f>IF(Imóveis!$F$4="PRICE",IF(AND(Dados!$A255&gt;=Imóveis!$Q$4,Dados!$A255&lt;=Imóveis!$T$4),Imóveis!$U$4,0),IF((IF(AND(Dados!$A255&gt;=Imóveis!$Q$4,Dados!$A255&lt;=Imóveis!$T$4),Imóveis!$S$4-(DATEDIF(Imóveis!$Q$4,Dados!$A255,"m")),0))=0,0,((Imóveis!$N$4/Imóveis!$S$4)+((Imóveis!$N$4-((Imóveis!$S$4-(IF(AND(Dados!$A255&gt;=Imóveis!$Q$4,Dados!$A255&lt;=Imóveis!$T$4),Imóveis!$S$4-(DATEDIF(Imóveis!$Q$4,Dados!$A255,"m")),)))*(Imóveis!$N$4/Imóveis!$S$4)))*Imóveis!$P$4))))*IF(AND(Imóveis!$E$4&gt;0,Dados!$A255&gt;Imóveis!$E$4),0,1)</f>
        <v>0</v>
      </c>
      <c r="L255" s="18">
        <f>IF(Imóveis!$F$5="PRICE",IF(AND(Dados!$A255&gt;=Imóveis!$Q$5,Dados!$A255&lt;=Imóveis!$T$5),Imóveis!$U$5,0),IF((IF(AND(Dados!$A255&gt;=Imóveis!$Q$5,Dados!$A255&lt;=Imóveis!$T$5),Imóveis!$S$5-(DATEDIF(Imóveis!$Q$5,Dados!$A255,"m")),0))=0,0,((Imóveis!$N$5/Imóveis!$S$5)+((Imóveis!$N$5-((Imóveis!$S$5-(IF(AND(Dados!$A255 &gt;=Imóveis!$Q$5,Dados!$A255&lt;=Imóveis!$T$5),Imóveis!$S$5-(DATEDIF(Imóveis!$Q$5,Dados!$A255,"m")),)))*(Imóveis!$N$5/Imóveis!$S$5)))*Imóveis!$P$5))))*IF(AND(Imóveis!$E$5&gt;0,Dados!$A255&gt;Imóveis!$E$5),0,1)*Imóveis!$I$5</f>
        <v>0</v>
      </c>
      <c r="M255" s="18">
        <f>IF(Imóveis!$F$6="PRICE",IF(AND(Dados!$A255&gt;=Imóveis!$Q$6,Dados!$A255&lt;=Imóveis!$T$6),Imóveis!$U$6,0),IF((IF(AND(Dados!$A255&gt;=Imóveis!$Q$6,Dados!$A255&lt;=Imóveis!$T$6),Imóveis!$S$6-(DATEDIF(Imóveis!$Q$6,Dados!$A255,"m")),0))=0,0,((Imóveis!$N$6/Imóveis!$S$6)+((Imóveis!$N$6-((Imóveis!$S$6-(IF(AND(Dados!$A255&gt;=Imóveis!$Q$6,Dados!$A255&lt;=Imóveis!$T$6),Imóveis!$S$6-(DATEDIF(Imóveis!$Q$6,Dados!$A255,"m")),)))*(Imóveis!$N$6/Imóveis!$S$6)))*Imóveis!$P$6))))*IF(AND(Imóveis!$E$6&gt;0,Dados!$A255&gt;Imóveis!$E$6),0,1)*Imóveis!$I$6</f>
        <v>0</v>
      </c>
      <c r="N255" s="18">
        <f t="shared" si="29"/>
        <v>38200</v>
      </c>
      <c r="O255" s="18">
        <f>SUMIFS(Receitas!$F:$F,Receitas!$J:$J,"&lt;="&amp;$A255,Receitas!$L:$L,"&gt;="&amp;$A255,Receitas!$C:$C,O$1,Receitas!$M:$M,"Mensal")+SUMIFS(Receitas!$F:$F,Receitas!$J:$J,"&lt;="&amp;$A255,Receitas!$L:$L,"&gt;="&amp;$A255,Receitas!$C:$C,O$1,Receitas!$M:$M,$B255)</f>
        <v>50000</v>
      </c>
      <c r="P255" s="18">
        <f>SUMIFS(Receitas!$F:$F,Receitas!$J:$J,"&lt;="&amp;$A255,Receitas!$L:$L,"&gt;="&amp;$A255,Receitas!$C:$C,P$1,Receitas!$M:$M,"Mensal")+SUMIFS(Receitas!$F:$F,Receitas!$J:$J,"&lt;="&amp;$A255,Receitas!$L:$L,"&gt;="&amp;$A255,Receitas!$C:$C,P$1,Receitas!$M:$M,$B255)</f>
        <v>20000</v>
      </c>
      <c r="Q255" s="18">
        <f>SUMIFS(Receitas!$F:$F,Receitas!$J:$J,"&lt;="&amp;$A255,Receitas!$L:$L,"&gt;="&amp;$A255,Receitas!$C:$C,Q$1,Receitas!$M:$M,"Mensal")+SUMIFS(Receitas!$F:$F,Receitas!$J:$J,"&lt;="&amp;$A255,Receitas!$L:$L,"&gt;="&amp;$A255,Receitas!$C:$C,Q$1,Receitas!$M:$M,$B255)</f>
        <v>0</v>
      </c>
      <c r="R255" s="18" cm="1">
        <f t="array" ref="R255">(IF(AND(Membros!$F$2="Sim",A255&lt;=MAX(Membros!$E$2:$E$5)),Membros!K$2,IF(AND(A255&gt;=Membros!J$2,A255&lt;=MAX(Membros!$E$2:$E$5)),Membros!K$2,0))+IF(AND(Membros!$F$3="Sim",A255&lt;=MAX(Membros!$E$2:$E$5)),Membros!K$3,IF(AND(A255&gt;=Membros!J$3,A255&lt;=MAX(Membros!$E$2:$E$5)),Membros!K$3,0)))*IF(AND(COUNTIFS(Tabela3[Tipo],"Provedor",Tabela3[Simulação Seguro],"Sim")=2,A255&gt;=MAX(IF(Tabela3[Tipo]="Dependente",Tabela3[Expectativa de Vida (Data)]))),0,1)</f>
        <v>0</v>
      </c>
      <c r="S255" s="18">
        <f t="shared" si="30"/>
        <v>70000</v>
      </c>
      <c r="U255" s="18">
        <f t="shared" ca="1" si="33"/>
        <v>14019860.101759313</v>
      </c>
      <c r="V255" s="18">
        <f>SUMIF(Imóveis!E:E,Dados!A:A,Imóveis!Z:Z)-SUMIF(Imóveis!E:E,Dados!A:A,Imóveis!Y:Y)</f>
        <v>0</v>
      </c>
      <c r="W255" s="18">
        <f>-SUMIF(Projetos!N:N,A255,Projetos!F:F)</f>
        <v>0</v>
      </c>
      <c r="X255" s="18">
        <f t="shared" si="27"/>
        <v>31800</v>
      </c>
      <c r="Y255" s="26">
        <f ca="1">(U255*((Indicadores_Economicos!D$2+1)^(1/12)-1))</f>
        <v>45897.373755992783</v>
      </c>
      <c r="Z255" s="18">
        <f t="shared" ca="1" si="31"/>
        <v>14097557.475515306</v>
      </c>
      <c r="AA255" s="18">
        <f ca="1">Auxiliar_Projetos!E255</f>
        <v>8.9395404071280336E-10</v>
      </c>
      <c r="AB255" s="18">
        <f ca="1">Auxiliar_Projetos!K255</f>
        <v>6.8765695439446363E-10</v>
      </c>
      <c r="AC255" s="18">
        <f ca="1">IF(Z255-AA255-AB255&gt;Investimentos!$C$14,Investimentos!$C$14,IF(Z255-AA255-AB255&lt;Investimentos!$C$14,Z255-AA255-AB255,0))</f>
        <v>300000</v>
      </c>
      <c r="AD255" s="18">
        <f t="shared" ca="1" si="32"/>
        <v>13797557.475515306</v>
      </c>
      <c r="AE255" s="18"/>
    </row>
    <row r="256" spans="1:31" x14ac:dyDescent="0.2">
      <c r="A256" s="4">
        <v>53387</v>
      </c>
      <c r="B256" s="5" t="str">
        <f t="shared" si="28"/>
        <v>março</v>
      </c>
      <c r="C256" s="5" t="str">
        <f t="shared" si="34"/>
        <v>2046</v>
      </c>
      <c r="D256" s="5">
        <f>SUMIFS(Despesas!$F:$F,Despesas!$J:$J,"&lt;="&amp;$A256,Despesas!$L:$L,"&gt;="&amp;$A256,Despesas!$C:$C,D$1,Despesas!$M:$M,"Mensal")+SUMIFS(Despesas!$F:$F,Despesas!$J:$J,"&lt;="&amp;$A256,Despesas!$L:$L,"&gt;="&amp;$A256,Despesas!$C:$C,D$1,Despesas!$M:$M,$B256)</f>
        <v>23000</v>
      </c>
      <c r="E256" s="18">
        <f>SUMIFS(Despesas!$F:$F,Despesas!$J:$J,"&lt;="&amp;$A256,Despesas!$L:$L,"&gt;="&amp;$A256,Despesas!$C:$C,E$1,Despesas!$M:$M,"Mensal")+SUMIFS(Despesas!$F:$F,Despesas!$J:$J,"&lt;="&amp;$A256,Despesas!$L:$L,"&gt;="&amp;$A256,Despesas!$C:$C,E$1,Despesas!$M:$M,$B256)</f>
        <v>0</v>
      </c>
      <c r="F256" s="5">
        <f>SUMIFS(Despesas!$F:$F,Despesas!$J:$J,"&lt;="&amp;$A256,Despesas!$L:$L,"&gt;="&amp;$A256,Despesas!$C:$C,F$1,Despesas!$M:$M,"Mensal")+SUMIFS(Despesas!$F:$F,Despesas!$J:$J,"&lt;="&amp;$A256,Despesas!$L:$L,"&gt;="&amp;$A256,Despesas!$C:$C,F$1,Despesas!$M:$M,$B256)</f>
        <v>13000</v>
      </c>
      <c r="G256" s="5">
        <f>SUMIFS(Despesas!$F:$F,Despesas!$J:$J,"&lt;="&amp;$A256,Despesas!$L:$L,"&gt;="&amp;$A256,Despesas!$C:$C,G$1,Despesas!$M:$M,"Mensal")+SUMIFS(Despesas!$F:$F,Despesas!$J:$J,"&lt;="&amp;$A256,Despesas!$L:$L,"&gt;="&amp;$A256,Despesas!$C:$C,G$1,Despesas!$M:$M,$B256)</f>
        <v>0</v>
      </c>
      <c r="H256" s="18">
        <f>SUMIFS(Despesas!$F:$F,Despesas!$J:$J,"&lt;="&amp;$A256,Despesas!$L:$L,"&gt;="&amp;$A256,Despesas!$C:$C,H$1,Despesas!$M:$M,"Mensal")+SUMIFS(Despesas!$F:$F,Despesas!$J:$J,"&lt;="&amp;$A256,Despesas!$L:$L,"&gt;="&amp;$A256,Despesas!$C:$C,H$1,Despesas!$M:$M,$B256)</f>
        <v>1000</v>
      </c>
      <c r="I256" s="18">
        <f>IF(Imóveis!$F$2="PRICE",IF(AND(Dados!$A256&gt;=Imóveis!$Q$2,Dados!$A256&lt;=Imóveis!$T$2),Imóveis!$U$2,0),IF((IF(AND(Dados!$A256&gt;=Imóveis!$Q$2,Dados!$A256&lt;=Imóveis!$T$2),Imóveis!$S$2-(DATEDIF(Imóveis!$Q$2,Dados!$A256,"m")),0))=0,0,((Imóveis!$N$2/Imóveis!$S$2)+((Imóveis!$N$2-((Imóveis!$S$2-(IF(AND(Dados!$A256&gt;=Imóveis!$Q$2,Dados!$A256&lt;=Imóveis!$T$2),Imóveis!$S$2-(DATEDIF(Imóveis!$Q$2,Dados!$A256,"m")),)))*(Imóveis!$N$2/Imóveis!$S$2)))*Imóveis!$P$2))))*IF(AND(Imóveis!$E$2&gt;0,Dados!$A256&gt;Imóveis!$E$2),0,1)</f>
        <v>0</v>
      </c>
      <c r="J256" s="18">
        <f>IF(Imóveis!$F$3="PRICE",IF(AND(Dados!$A256&gt;=Imóveis!$Q$3,Dados!$A256&lt;=Imóveis!$T$3),Imóveis!$U$3,0),IF((IF(AND(Dados!$A256&gt;=Imóveis!$Q$3,Dados!$A256&lt;=Imóveis!$T$3),Imóveis!$S$3-(DATEDIF(Imóveis!$Q$3,Dados!$A256,"m")),0))=0,0,((Imóveis!$N$3/Imóveis!$S$3)+((Imóveis!$N$3-((Imóveis!$S$3-(IF(AND(Dados!$A256&gt;=Imóveis!$Q$3,Dados!$A256&lt;=Imóveis!$T$3),Imóveis!$S$3-(DATEDIF(Imóveis!$Q$3,Dados!$A256,"m")),)))*(Imóveis!$N$3/Imóveis!$S$3)))*Imóveis!$P$3))))*IF(AND(Imóveis!$E$3&gt;0,Dados!$A256&gt;Imóveis!$E$3),0,1)</f>
        <v>0</v>
      </c>
      <c r="K256" s="18">
        <f>IF(Imóveis!$F$4="PRICE",IF(AND(Dados!$A256&gt;=Imóveis!$Q$4,Dados!$A256&lt;=Imóveis!$T$4),Imóveis!$U$4,0),IF((IF(AND(Dados!$A256&gt;=Imóveis!$Q$4,Dados!$A256&lt;=Imóveis!$T$4),Imóveis!$S$4-(DATEDIF(Imóveis!$Q$4,Dados!$A256,"m")),0))=0,0,((Imóveis!$N$4/Imóveis!$S$4)+((Imóveis!$N$4-((Imóveis!$S$4-(IF(AND(Dados!$A256&gt;=Imóveis!$Q$4,Dados!$A256&lt;=Imóveis!$T$4),Imóveis!$S$4-(DATEDIF(Imóveis!$Q$4,Dados!$A256,"m")),)))*(Imóveis!$N$4/Imóveis!$S$4)))*Imóveis!$P$4))))*IF(AND(Imóveis!$E$4&gt;0,Dados!$A256&gt;Imóveis!$E$4),0,1)</f>
        <v>0</v>
      </c>
      <c r="L256" s="18">
        <f>IF(Imóveis!$F$5="PRICE",IF(AND(Dados!$A256&gt;=Imóveis!$Q$5,Dados!$A256&lt;=Imóveis!$T$5),Imóveis!$U$5,0),IF((IF(AND(Dados!$A256&gt;=Imóveis!$Q$5,Dados!$A256&lt;=Imóveis!$T$5),Imóveis!$S$5-(DATEDIF(Imóveis!$Q$5,Dados!$A256,"m")),0))=0,0,((Imóveis!$N$5/Imóveis!$S$5)+((Imóveis!$N$5-((Imóveis!$S$5-(IF(AND(Dados!$A256 &gt;=Imóveis!$Q$5,Dados!$A256&lt;=Imóveis!$T$5),Imóveis!$S$5-(DATEDIF(Imóveis!$Q$5,Dados!$A256,"m")),)))*(Imóveis!$N$5/Imóveis!$S$5)))*Imóveis!$P$5))))*IF(AND(Imóveis!$E$5&gt;0,Dados!$A256&gt;Imóveis!$E$5),0,1)*Imóveis!$I$5</f>
        <v>0</v>
      </c>
      <c r="M256" s="18">
        <f>IF(Imóveis!$F$6="PRICE",IF(AND(Dados!$A256&gt;=Imóveis!$Q$6,Dados!$A256&lt;=Imóveis!$T$6),Imóveis!$U$6,0),IF((IF(AND(Dados!$A256&gt;=Imóveis!$Q$6,Dados!$A256&lt;=Imóveis!$T$6),Imóveis!$S$6-(DATEDIF(Imóveis!$Q$6,Dados!$A256,"m")),0))=0,0,((Imóveis!$N$6/Imóveis!$S$6)+((Imóveis!$N$6-((Imóveis!$S$6-(IF(AND(Dados!$A256&gt;=Imóveis!$Q$6,Dados!$A256&lt;=Imóveis!$T$6),Imóveis!$S$6-(DATEDIF(Imóveis!$Q$6,Dados!$A256,"m")),)))*(Imóveis!$N$6/Imóveis!$S$6)))*Imóveis!$P$6))))*IF(AND(Imóveis!$E$6&gt;0,Dados!$A256&gt;Imóveis!$E$6),0,1)*Imóveis!$I$6</f>
        <v>0</v>
      </c>
      <c r="N256" s="18">
        <f t="shared" si="29"/>
        <v>37000</v>
      </c>
      <c r="O256" s="18">
        <f>SUMIFS(Receitas!$F:$F,Receitas!$J:$J,"&lt;="&amp;$A256,Receitas!$L:$L,"&gt;="&amp;$A256,Receitas!$C:$C,O$1,Receitas!$M:$M,"Mensal")+SUMIFS(Receitas!$F:$F,Receitas!$J:$J,"&lt;="&amp;$A256,Receitas!$L:$L,"&gt;="&amp;$A256,Receitas!$C:$C,O$1,Receitas!$M:$M,$B256)</f>
        <v>50000</v>
      </c>
      <c r="P256" s="18">
        <f>SUMIFS(Receitas!$F:$F,Receitas!$J:$J,"&lt;="&amp;$A256,Receitas!$L:$L,"&gt;="&amp;$A256,Receitas!$C:$C,P$1,Receitas!$M:$M,"Mensal")+SUMIFS(Receitas!$F:$F,Receitas!$J:$J,"&lt;="&amp;$A256,Receitas!$L:$L,"&gt;="&amp;$A256,Receitas!$C:$C,P$1,Receitas!$M:$M,$B256)</f>
        <v>20000</v>
      </c>
      <c r="Q256" s="18">
        <f>SUMIFS(Receitas!$F:$F,Receitas!$J:$J,"&lt;="&amp;$A256,Receitas!$L:$L,"&gt;="&amp;$A256,Receitas!$C:$C,Q$1,Receitas!$M:$M,"Mensal")+SUMIFS(Receitas!$F:$F,Receitas!$J:$J,"&lt;="&amp;$A256,Receitas!$L:$L,"&gt;="&amp;$A256,Receitas!$C:$C,Q$1,Receitas!$M:$M,$B256)</f>
        <v>0</v>
      </c>
      <c r="R256" s="18" cm="1">
        <f t="array" ref="R256">(IF(AND(Membros!$F$2="Sim",A256&lt;=MAX(Membros!$E$2:$E$5)),Membros!K$2,IF(AND(A256&gt;=Membros!J$2,A256&lt;=MAX(Membros!$E$2:$E$5)),Membros!K$2,0))+IF(AND(Membros!$F$3="Sim",A256&lt;=MAX(Membros!$E$2:$E$5)),Membros!K$3,IF(AND(A256&gt;=Membros!J$3,A256&lt;=MAX(Membros!$E$2:$E$5)),Membros!K$3,0)))*IF(AND(COUNTIFS(Tabela3[Tipo],"Provedor",Tabela3[Simulação Seguro],"Sim")=2,A256&gt;=MAX(IF(Tabela3[Tipo]="Dependente",Tabela3[Expectativa de Vida (Data)]))),0,1)</f>
        <v>0</v>
      </c>
      <c r="S256" s="18">
        <f t="shared" si="30"/>
        <v>70000</v>
      </c>
      <c r="U256" s="18">
        <f t="shared" ca="1" si="33"/>
        <v>14097557.475515306</v>
      </c>
      <c r="V256" s="18">
        <f>SUMIF(Imóveis!E:E,Dados!A:A,Imóveis!Z:Z)-SUMIF(Imóveis!E:E,Dados!A:A,Imóveis!Y:Y)</f>
        <v>0</v>
      </c>
      <c r="W256" s="18">
        <f>-SUMIF(Projetos!N:N,A256,Projetos!F:F)</f>
        <v>0</v>
      </c>
      <c r="X256" s="18">
        <f t="shared" si="27"/>
        <v>33000</v>
      </c>
      <c r="Y256" s="26">
        <f ca="1">(U256*((Indicadores_Economicos!D$2+1)^(1/12)-1))</f>
        <v>46151.734739430154</v>
      </c>
      <c r="Z256" s="18">
        <f t="shared" ca="1" si="31"/>
        <v>14176709.210254736</v>
      </c>
      <c r="AA256" s="18">
        <f ca="1">Auxiliar_Projetos!E256</f>
        <v>8.9688061361934235E-10</v>
      </c>
      <c r="AB256" s="18">
        <f ca="1">Auxiliar_Projetos!K256</f>
        <v>6.8990816432257056E-10</v>
      </c>
      <c r="AC256" s="18">
        <f ca="1">IF(Z256-AA256-AB256&gt;Investimentos!$C$14,Investimentos!$C$14,IF(Z256-AA256-AB256&lt;Investimentos!$C$14,Z256-AA256-AB256,0))</f>
        <v>300000</v>
      </c>
      <c r="AD256" s="18">
        <f t="shared" ca="1" si="32"/>
        <v>13876709.210254736</v>
      </c>
      <c r="AE256" s="18"/>
    </row>
    <row r="257" spans="1:31" x14ac:dyDescent="0.2">
      <c r="A257" s="4">
        <v>53418</v>
      </c>
      <c r="B257" s="5" t="str">
        <f t="shared" si="28"/>
        <v>abril</v>
      </c>
      <c r="C257" s="5" t="str">
        <f t="shared" si="34"/>
        <v>2046</v>
      </c>
      <c r="D257" s="5">
        <f>SUMIFS(Despesas!$F:$F,Despesas!$J:$J,"&lt;="&amp;$A257,Despesas!$L:$L,"&gt;="&amp;$A257,Despesas!$C:$C,D$1,Despesas!$M:$M,"Mensal")+SUMIFS(Despesas!$F:$F,Despesas!$J:$J,"&lt;="&amp;$A257,Despesas!$L:$L,"&gt;="&amp;$A257,Despesas!$C:$C,D$1,Despesas!$M:$M,$B257)</f>
        <v>23000</v>
      </c>
      <c r="E257" s="18">
        <f>SUMIFS(Despesas!$F:$F,Despesas!$J:$J,"&lt;="&amp;$A257,Despesas!$L:$L,"&gt;="&amp;$A257,Despesas!$C:$C,E$1,Despesas!$M:$M,"Mensal")+SUMIFS(Despesas!$F:$F,Despesas!$J:$J,"&lt;="&amp;$A257,Despesas!$L:$L,"&gt;="&amp;$A257,Despesas!$C:$C,E$1,Despesas!$M:$M,$B257)</f>
        <v>0</v>
      </c>
      <c r="F257" s="5">
        <f>SUMIFS(Despesas!$F:$F,Despesas!$J:$J,"&lt;="&amp;$A257,Despesas!$L:$L,"&gt;="&amp;$A257,Despesas!$C:$C,F$1,Despesas!$M:$M,"Mensal")+SUMIFS(Despesas!$F:$F,Despesas!$J:$J,"&lt;="&amp;$A257,Despesas!$L:$L,"&gt;="&amp;$A257,Despesas!$C:$C,F$1,Despesas!$M:$M,$B257)</f>
        <v>13000</v>
      </c>
      <c r="G257" s="5">
        <f>SUMIFS(Despesas!$F:$F,Despesas!$J:$J,"&lt;="&amp;$A257,Despesas!$L:$L,"&gt;="&amp;$A257,Despesas!$C:$C,G$1,Despesas!$M:$M,"Mensal")+SUMIFS(Despesas!$F:$F,Despesas!$J:$J,"&lt;="&amp;$A257,Despesas!$L:$L,"&gt;="&amp;$A257,Despesas!$C:$C,G$1,Despesas!$M:$M,$B257)</f>
        <v>0</v>
      </c>
      <c r="H257" s="18">
        <f>SUMIFS(Despesas!$F:$F,Despesas!$J:$J,"&lt;="&amp;$A257,Despesas!$L:$L,"&gt;="&amp;$A257,Despesas!$C:$C,H$1,Despesas!$M:$M,"Mensal")+SUMIFS(Despesas!$F:$F,Despesas!$J:$J,"&lt;="&amp;$A257,Despesas!$L:$L,"&gt;="&amp;$A257,Despesas!$C:$C,H$1,Despesas!$M:$M,$B257)</f>
        <v>1000</v>
      </c>
      <c r="I257" s="18">
        <f>IF(Imóveis!$F$2="PRICE",IF(AND(Dados!$A257&gt;=Imóveis!$Q$2,Dados!$A257&lt;=Imóveis!$T$2),Imóveis!$U$2,0),IF((IF(AND(Dados!$A257&gt;=Imóveis!$Q$2,Dados!$A257&lt;=Imóveis!$T$2),Imóveis!$S$2-(DATEDIF(Imóveis!$Q$2,Dados!$A257,"m")),0))=0,0,((Imóveis!$N$2/Imóveis!$S$2)+((Imóveis!$N$2-((Imóveis!$S$2-(IF(AND(Dados!$A257&gt;=Imóveis!$Q$2,Dados!$A257&lt;=Imóveis!$T$2),Imóveis!$S$2-(DATEDIF(Imóveis!$Q$2,Dados!$A257,"m")),)))*(Imóveis!$N$2/Imóveis!$S$2)))*Imóveis!$P$2))))*IF(AND(Imóveis!$E$2&gt;0,Dados!$A257&gt;Imóveis!$E$2),0,1)</f>
        <v>0</v>
      </c>
      <c r="J257" s="18">
        <f>IF(Imóveis!$F$3="PRICE",IF(AND(Dados!$A257&gt;=Imóveis!$Q$3,Dados!$A257&lt;=Imóveis!$T$3),Imóveis!$U$3,0),IF((IF(AND(Dados!$A257&gt;=Imóveis!$Q$3,Dados!$A257&lt;=Imóveis!$T$3),Imóveis!$S$3-(DATEDIF(Imóveis!$Q$3,Dados!$A257,"m")),0))=0,0,((Imóveis!$N$3/Imóveis!$S$3)+((Imóveis!$N$3-((Imóveis!$S$3-(IF(AND(Dados!$A257&gt;=Imóveis!$Q$3,Dados!$A257&lt;=Imóveis!$T$3),Imóveis!$S$3-(DATEDIF(Imóveis!$Q$3,Dados!$A257,"m")),)))*(Imóveis!$N$3/Imóveis!$S$3)))*Imóveis!$P$3))))*IF(AND(Imóveis!$E$3&gt;0,Dados!$A257&gt;Imóveis!$E$3),0,1)</f>
        <v>0</v>
      </c>
      <c r="K257" s="18">
        <f>IF(Imóveis!$F$4="PRICE",IF(AND(Dados!$A257&gt;=Imóveis!$Q$4,Dados!$A257&lt;=Imóveis!$T$4),Imóveis!$U$4,0),IF((IF(AND(Dados!$A257&gt;=Imóveis!$Q$4,Dados!$A257&lt;=Imóveis!$T$4),Imóveis!$S$4-(DATEDIF(Imóveis!$Q$4,Dados!$A257,"m")),0))=0,0,((Imóveis!$N$4/Imóveis!$S$4)+((Imóveis!$N$4-((Imóveis!$S$4-(IF(AND(Dados!$A257&gt;=Imóveis!$Q$4,Dados!$A257&lt;=Imóveis!$T$4),Imóveis!$S$4-(DATEDIF(Imóveis!$Q$4,Dados!$A257,"m")),)))*(Imóveis!$N$4/Imóveis!$S$4)))*Imóveis!$P$4))))*IF(AND(Imóveis!$E$4&gt;0,Dados!$A257&gt;Imóveis!$E$4),0,1)</f>
        <v>0</v>
      </c>
      <c r="L257" s="18">
        <f>IF(Imóveis!$F$5="PRICE",IF(AND(Dados!$A257&gt;=Imóveis!$Q$5,Dados!$A257&lt;=Imóveis!$T$5),Imóveis!$U$5,0),IF((IF(AND(Dados!$A257&gt;=Imóveis!$Q$5,Dados!$A257&lt;=Imóveis!$T$5),Imóveis!$S$5-(DATEDIF(Imóveis!$Q$5,Dados!$A257,"m")),0))=0,0,((Imóveis!$N$5/Imóveis!$S$5)+((Imóveis!$N$5-((Imóveis!$S$5-(IF(AND(Dados!$A257 &gt;=Imóveis!$Q$5,Dados!$A257&lt;=Imóveis!$T$5),Imóveis!$S$5-(DATEDIF(Imóveis!$Q$5,Dados!$A257,"m")),)))*(Imóveis!$N$5/Imóveis!$S$5)))*Imóveis!$P$5))))*IF(AND(Imóveis!$E$5&gt;0,Dados!$A257&gt;Imóveis!$E$5),0,1)*Imóveis!$I$5</f>
        <v>0</v>
      </c>
      <c r="M257" s="18">
        <f>IF(Imóveis!$F$6="PRICE",IF(AND(Dados!$A257&gt;=Imóveis!$Q$6,Dados!$A257&lt;=Imóveis!$T$6),Imóveis!$U$6,0),IF((IF(AND(Dados!$A257&gt;=Imóveis!$Q$6,Dados!$A257&lt;=Imóveis!$T$6),Imóveis!$S$6-(DATEDIF(Imóveis!$Q$6,Dados!$A257,"m")),0))=0,0,((Imóveis!$N$6/Imóveis!$S$6)+((Imóveis!$N$6-((Imóveis!$S$6-(IF(AND(Dados!$A257&gt;=Imóveis!$Q$6,Dados!$A257&lt;=Imóveis!$T$6),Imóveis!$S$6-(DATEDIF(Imóveis!$Q$6,Dados!$A257,"m")),)))*(Imóveis!$N$6/Imóveis!$S$6)))*Imóveis!$P$6))))*IF(AND(Imóveis!$E$6&gt;0,Dados!$A257&gt;Imóveis!$E$6),0,1)*Imóveis!$I$6</f>
        <v>0</v>
      </c>
      <c r="N257" s="18">
        <f t="shared" si="29"/>
        <v>37000</v>
      </c>
      <c r="O257" s="18">
        <f>SUMIFS(Receitas!$F:$F,Receitas!$J:$J,"&lt;="&amp;$A257,Receitas!$L:$L,"&gt;="&amp;$A257,Receitas!$C:$C,O$1,Receitas!$M:$M,"Mensal")+SUMIFS(Receitas!$F:$F,Receitas!$J:$J,"&lt;="&amp;$A257,Receitas!$L:$L,"&gt;="&amp;$A257,Receitas!$C:$C,O$1,Receitas!$M:$M,$B257)</f>
        <v>50000</v>
      </c>
      <c r="P257" s="18">
        <f>SUMIFS(Receitas!$F:$F,Receitas!$J:$J,"&lt;="&amp;$A257,Receitas!$L:$L,"&gt;="&amp;$A257,Receitas!$C:$C,P$1,Receitas!$M:$M,"Mensal")+SUMIFS(Receitas!$F:$F,Receitas!$J:$J,"&lt;="&amp;$A257,Receitas!$L:$L,"&gt;="&amp;$A257,Receitas!$C:$C,P$1,Receitas!$M:$M,$B257)</f>
        <v>85000</v>
      </c>
      <c r="Q257" s="18">
        <f>SUMIFS(Receitas!$F:$F,Receitas!$J:$J,"&lt;="&amp;$A257,Receitas!$L:$L,"&gt;="&amp;$A257,Receitas!$C:$C,Q$1,Receitas!$M:$M,"Mensal")+SUMIFS(Receitas!$F:$F,Receitas!$J:$J,"&lt;="&amp;$A257,Receitas!$L:$L,"&gt;="&amp;$A257,Receitas!$C:$C,Q$1,Receitas!$M:$M,$B257)</f>
        <v>0</v>
      </c>
      <c r="R257" s="18" cm="1">
        <f t="array" ref="R257">(IF(AND(Membros!$F$2="Sim",A257&lt;=MAX(Membros!$E$2:$E$5)),Membros!K$2,IF(AND(A257&gt;=Membros!J$2,A257&lt;=MAX(Membros!$E$2:$E$5)),Membros!K$2,0))+IF(AND(Membros!$F$3="Sim",A257&lt;=MAX(Membros!$E$2:$E$5)),Membros!K$3,IF(AND(A257&gt;=Membros!J$3,A257&lt;=MAX(Membros!$E$2:$E$5)),Membros!K$3,0)))*IF(AND(COUNTIFS(Tabela3[Tipo],"Provedor",Tabela3[Simulação Seguro],"Sim")=2,A257&gt;=MAX(IF(Tabela3[Tipo]="Dependente",Tabela3[Expectativa de Vida (Data)]))),0,1)</f>
        <v>0</v>
      </c>
      <c r="S257" s="18">
        <f t="shared" si="30"/>
        <v>135000</v>
      </c>
      <c r="U257" s="18">
        <f t="shared" ca="1" si="33"/>
        <v>14176709.210254736</v>
      </c>
      <c r="V257" s="18">
        <f>SUMIF(Imóveis!E:E,Dados!A:A,Imóveis!Z:Z)-SUMIF(Imóveis!E:E,Dados!A:A,Imóveis!Y:Y)</f>
        <v>0</v>
      </c>
      <c r="W257" s="18">
        <f>-SUMIF(Projetos!N:N,A257,Projetos!F:F)</f>
        <v>0</v>
      </c>
      <c r="X257" s="18">
        <f t="shared" si="27"/>
        <v>98000</v>
      </c>
      <c r="Y257" s="26">
        <f ca="1">(U257*((Indicadores_Economicos!D$2+1)^(1/12)-1))</f>
        <v>46410.856922276682</v>
      </c>
      <c r="Z257" s="18">
        <f t="shared" ca="1" si="31"/>
        <v>14321120.067177013</v>
      </c>
      <c r="AA257" s="18">
        <f ca="1">Auxiliar_Projetos!E257</f>
        <v>8.9981676736403097E-10</v>
      </c>
      <c r="AB257" s="18">
        <f ca="1">Auxiliar_Projetos!K257</f>
        <v>6.9216674412617713E-10</v>
      </c>
      <c r="AC257" s="18">
        <f ca="1">IF(Z257-AA257-AB257&gt;Investimentos!$C$14,Investimentos!$C$14,IF(Z257-AA257-AB257&lt;Investimentos!$C$14,Z257-AA257-AB257,0))</f>
        <v>300000</v>
      </c>
      <c r="AD257" s="18">
        <f t="shared" ca="1" si="32"/>
        <v>14021120.067177013</v>
      </c>
      <c r="AE257" s="18"/>
    </row>
    <row r="258" spans="1:31" x14ac:dyDescent="0.2">
      <c r="A258" s="4">
        <v>53448</v>
      </c>
      <c r="B258" s="5" t="str">
        <f t="shared" si="28"/>
        <v>maio</v>
      </c>
      <c r="C258" s="5" t="str">
        <f t="shared" si="34"/>
        <v>2046</v>
      </c>
      <c r="D258" s="5">
        <f>SUMIFS(Despesas!$F:$F,Despesas!$J:$J,"&lt;="&amp;$A258,Despesas!$L:$L,"&gt;="&amp;$A258,Despesas!$C:$C,D$1,Despesas!$M:$M,"Mensal")+SUMIFS(Despesas!$F:$F,Despesas!$J:$J,"&lt;="&amp;$A258,Despesas!$L:$L,"&gt;="&amp;$A258,Despesas!$C:$C,D$1,Despesas!$M:$M,$B258)</f>
        <v>23000</v>
      </c>
      <c r="E258" s="18">
        <f>SUMIFS(Despesas!$F:$F,Despesas!$J:$J,"&lt;="&amp;$A258,Despesas!$L:$L,"&gt;="&amp;$A258,Despesas!$C:$C,E$1,Despesas!$M:$M,"Mensal")+SUMIFS(Despesas!$F:$F,Despesas!$J:$J,"&lt;="&amp;$A258,Despesas!$L:$L,"&gt;="&amp;$A258,Despesas!$C:$C,E$1,Despesas!$M:$M,$B258)</f>
        <v>0</v>
      </c>
      <c r="F258" s="5">
        <f>SUMIFS(Despesas!$F:$F,Despesas!$J:$J,"&lt;="&amp;$A258,Despesas!$L:$L,"&gt;="&amp;$A258,Despesas!$C:$C,F$1,Despesas!$M:$M,"Mensal")+SUMIFS(Despesas!$F:$F,Despesas!$J:$J,"&lt;="&amp;$A258,Despesas!$L:$L,"&gt;="&amp;$A258,Despesas!$C:$C,F$1,Despesas!$M:$M,$B258)</f>
        <v>13000</v>
      </c>
      <c r="G258" s="5">
        <f>SUMIFS(Despesas!$F:$F,Despesas!$J:$J,"&lt;="&amp;$A258,Despesas!$L:$L,"&gt;="&amp;$A258,Despesas!$C:$C,G$1,Despesas!$M:$M,"Mensal")+SUMIFS(Despesas!$F:$F,Despesas!$J:$J,"&lt;="&amp;$A258,Despesas!$L:$L,"&gt;="&amp;$A258,Despesas!$C:$C,G$1,Despesas!$M:$M,$B258)</f>
        <v>0</v>
      </c>
      <c r="H258" s="18">
        <f>SUMIFS(Despesas!$F:$F,Despesas!$J:$J,"&lt;="&amp;$A258,Despesas!$L:$L,"&gt;="&amp;$A258,Despesas!$C:$C,H$1,Despesas!$M:$M,"Mensal")+SUMIFS(Despesas!$F:$F,Despesas!$J:$J,"&lt;="&amp;$A258,Despesas!$L:$L,"&gt;="&amp;$A258,Despesas!$C:$C,H$1,Despesas!$M:$M,$B258)</f>
        <v>1000</v>
      </c>
      <c r="I258" s="18">
        <f>IF(Imóveis!$F$2="PRICE",IF(AND(Dados!$A258&gt;=Imóveis!$Q$2,Dados!$A258&lt;=Imóveis!$T$2),Imóveis!$U$2,0),IF((IF(AND(Dados!$A258&gt;=Imóveis!$Q$2,Dados!$A258&lt;=Imóveis!$T$2),Imóveis!$S$2-(DATEDIF(Imóveis!$Q$2,Dados!$A258,"m")),0))=0,0,((Imóveis!$N$2/Imóveis!$S$2)+((Imóveis!$N$2-((Imóveis!$S$2-(IF(AND(Dados!$A258&gt;=Imóveis!$Q$2,Dados!$A258&lt;=Imóveis!$T$2),Imóveis!$S$2-(DATEDIF(Imóveis!$Q$2,Dados!$A258,"m")),)))*(Imóveis!$N$2/Imóveis!$S$2)))*Imóveis!$P$2))))*IF(AND(Imóveis!$E$2&gt;0,Dados!$A258&gt;Imóveis!$E$2),0,1)</f>
        <v>0</v>
      </c>
      <c r="J258" s="18">
        <f>IF(Imóveis!$F$3="PRICE",IF(AND(Dados!$A258&gt;=Imóveis!$Q$3,Dados!$A258&lt;=Imóveis!$T$3),Imóveis!$U$3,0),IF((IF(AND(Dados!$A258&gt;=Imóveis!$Q$3,Dados!$A258&lt;=Imóveis!$T$3),Imóveis!$S$3-(DATEDIF(Imóveis!$Q$3,Dados!$A258,"m")),0))=0,0,((Imóveis!$N$3/Imóveis!$S$3)+((Imóveis!$N$3-((Imóveis!$S$3-(IF(AND(Dados!$A258&gt;=Imóveis!$Q$3,Dados!$A258&lt;=Imóveis!$T$3),Imóveis!$S$3-(DATEDIF(Imóveis!$Q$3,Dados!$A258,"m")),)))*(Imóveis!$N$3/Imóveis!$S$3)))*Imóveis!$P$3))))*IF(AND(Imóveis!$E$3&gt;0,Dados!$A258&gt;Imóveis!$E$3),0,1)</f>
        <v>0</v>
      </c>
      <c r="K258" s="18">
        <f>IF(Imóveis!$F$4="PRICE",IF(AND(Dados!$A258&gt;=Imóveis!$Q$4,Dados!$A258&lt;=Imóveis!$T$4),Imóveis!$U$4,0),IF((IF(AND(Dados!$A258&gt;=Imóveis!$Q$4,Dados!$A258&lt;=Imóveis!$T$4),Imóveis!$S$4-(DATEDIF(Imóveis!$Q$4,Dados!$A258,"m")),0))=0,0,((Imóveis!$N$4/Imóveis!$S$4)+((Imóveis!$N$4-((Imóveis!$S$4-(IF(AND(Dados!$A258&gt;=Imóveis!$Q$4,Dados!$A258&lt;=Imóveis!$T$4),Imóveis!$S$4-(DATEDIF(Imóveis!$Q$4,Dados!$A258,"m")),)))*(Imóveis!$N$4/Imóveis!$S$4)))*Imóveis!$P$4))))*IF(AND(Imóveis!$E$4&gt;0,Dados!$A258&gt;Imóveis!$E$4),0,1)</f>
        <v>0</v>
      </c>
      <c r="L258" s="18">
        <f>IF(Imóveis!$F$5="PRICE",IF(AND(Dados!$A258&gt;=Imóveis!$Q$5,Dados!$A258&lt;=Imóveis!$T$5),Imóveis!$U$5,0),IF((IF(AND(Dados!$A258&gt;=Imóveis!$Q$5,Dados!$A258&lt;=Imóveis!$T$5),Imóveis!$S$5-(DATEDIF(Imóveis!$Q$5,Dados!$A258,"m")),0))=0,0,((Imóveis!$N$5/Imóveis!$S$5)+((Imóveis!$N$5-((Imóveis!$S$5-(IF(AND(Dados!$A258 &gt;=Imóveis!$Q$5,Dados!$A258&lt;=Imóveis!$T$5),Imóveis!$S$5-(DATEDIF(Imóveis!$Q$5,Dados!$A258,"m")),)))*(Imóveis!$N$5/Imóveis!$S$5)))*Imóveis!$P$5))))*IF(AND(Imóveis!$E$5&gt;0,Dados!$A258&gt;Imóveis!$E$5),0,1)*Imóveis!$I$5</f>
        <v>0</v>
      </c>
      <c r="M258" s="18">
        <f>IF(Imóveis!$F$6="PRICE",IF(AND(Dados!$A258&gt;=Imóveis!$Q$6,Dados!$A258&lt;=Imóveis!$T$6),Imóveis!$U$6,0),IF((IF(AND(Dados!$A258&gt;=Imóveis!$Q$6,Dados!$A258&lt;=Imóveis!$T$6),Imóveis!$S$6-(DATEDIF(Imóveis!$Q$6,Dados!$A258,"m")),0))=0,0,((Imóveis!$N$6/Imóveis!$S$6)+((Imóveis!$N$6-((Imóveis!$S$6-(IF(AND(Dados!$A258&gt;=Imóveis!$Q$6,Dados!$A258&lt;=Imóveis!$T$6),Imóveis!$S$6-(DATEDIF(Imóveis!$Q$6,Dados!$A258,"m")),)))*(Imóveis!$N$6/Imóveis!$S$6)))*Imóveis!$P$6))))*IF(AND(Imóveis!$E$6&gt;0,Dados!$A258&gt;Imóveis!$E$6),0,1)*Imóveis!$I$6</f>
        <v>0</v>
      </c>
      <c r="N258" s="18">
        <f t="shared" si="29"/>
        <v>37000</v>
      </c>
      <c r="O258" s="18">
        <f>SUMIFS(Receitas!$F:$F,Receitas!$J:$J,"&lt;="&amp;$A258,Receitas!$L:$L,"&gt;="&amp;$A258,Receitas!$C:$C,O$1,Receitas!$M:$M,"Mensal")+SUMIFS(Receitas!$F:$F,Receitas!$J:$J,"&lt;="&amp;$A258,Receitas!$L:$L,"&gt;="&amp;$A258,Receitas!$C:$C,O$1,Receitas!$M:$M,$B258)</f>
        <v>50000</v>
      </c>
      <c r="P258" s="18">
        <f>SUMIFS(Receitas!$F:$F,Receitas!$J:$J,"&lt;="&amp;$A258,Receitas!$L:$L,"&gt;="&amp;$A258,Receitas!$C:$C,P$1,Receitas!$M:$M,"Mensal")+SUMIFS(Receitas!$F:$F,Receitas!$J:$J,"&lt;="&amp;$A258,Receitas!$L:$L,"&gt;="&amp;$A258,Receitas!$C:$C,P$1,Receitas!$M:$M,$B258)</f>
        <v>20000</v>
      </c>
      <c r="Q258" s="18">
        <f>SUMIFS(Receitas!$F:$F,Receitas!$J:$J,"&lt;="&amp;$A258,Receitas!$L:$L,"&gt;="&amp;$A258,Receitas!$C:$C,Q$1,Receitas!$M:$M,"Mensal")+SUMIFS(Receitas!$F:$F,Receitas!$J:$J,"&lt;="&amp;$A258,Receitas!$L:$L,"&gt;="&amp;$A258,Receitas!$C:$C,Q$1,Receitas!$M:$M,$B258)</f>
        <v>0</v>
      </c>
      <c r="R258" s="18" cm="1">
        <f t="array" ref="R258">(IF(AND(Membros!$F$2="Sim",A258&lt;=MAX(Membros!$E$2:$E$5)),Membros!K$2,IF(AND(A258&gt;=Membros!J$2,A258&lt;=MAX(Membros!$E$2:$E$5)),Membros!K$2,0))+IF(AND(Membros!$F$3="Sim",A258&lt;=MAX(Membros!$E$2:$E$5)),Membros!K$3,IF(AND(A258&gt;=Membros!J$3,A258&lt;=MAX(Membros!$E$2:$E$5)),Membros!K$3,0)))*IF(AND(COUNTIFS(Tabela3[Tipo],"Provedor",Tabela3[Simulação Seguro],"Sim")=2,A258&gt;=MAX(IF(Tabela3[Tipo]="Dependente",Tabela3[Expectativa de Vida (Data)]))),0,1)</f>
        <v>0</v>
      </c>
      <c r="S258" s="18">
        <f t="shared" si="30"/>
        <v>70000</v>
      </c>
      <c r="U258" s="18">
        <f t="shared" ca="1" si="33"/>
        <v>14321120.067177013</v>
      </c>
      <c r="V258" s="18">
        <f>SUMIF(Imóveis!E:E,Dados!A:A,Imóveis!Z:Z)-SUMIF(Imóveis!E:E,Dados!A:A,Imóveis!Y:Y)</f>
        <v>0</v>
      </c>
      <c r="W258" s="18">
        <f>-SUMIF(Projetos!N:N,A258,Projetos!F:F)</f>
        <v>0</v>
      </c>
      <c r="X258" s="18">
        <f t="shared" ref="X258:X321" si="35">(S258-N258)</f>
        <v>33000</v>
      </c>
      <c r="Y258" s="26">
        <f ca="1">(U258*((Indicadores_Economicos!D$2+1)^(1/12)-1))</f>
        <v>46883.620489564579</v>
      </c>
      <c r="Z258" s="18">
        <f t="shared" ca="1" si="31"/>
        <v>14401003.687666576</v>
      </c>
      <c r="AA258" s="18">
        <f ca="1">Auxiliar_Projetos!E258</f>
        <v>9.0276253331204026E-10</v>
      </c>
      <c r="AB258" s="18">
        <f ca="1">Auxiliar_Projetos!K258</f>
        <v>6.9443271793233805E-10</v>
      </c>
      <c r="AC258" s="18">
        <f ca="1">IF(Z258-AA258-AB258&gt;Investimentos!$C$14,Investimentos!$C$14,IF(Z258-AA258-AB258&lt;Investimentos!$C$14,Z258-AA258-AB258,0))</f>
        <v>300000</v>
      </c>
      <c r="AD258" s="18">
        <f t="shared" ca="1" si="32"/>
        <v>14101003.687666576</v>
      </c>
      <c r="AE258" s="18"/>
    </row>
    <row r="259" spans="1:31" x14ac:dyDescent="0.2">
      <c r="A259" s="4">
        <v>53479</v>
      </c>
      <c r="B259" s="5" t="str">
        <f t="shared" ref="B259:B322" si="36">TEXT(A259,"MMMM")</f>
        <v>junho</v>
      </c>
      <c r="C259" s="5" t="str">
        <f t="shared" si="34"/>
        <v>2046</v>
      </c>
      <c r="D259" s="5">
        <f>SUMIFS(Despesas!$F:$F,Despesas!$J:$J,"&lt;="&amp;$A259,Despesas!$L:$L,"&gt;="&amp;$A259,Despesas!$C:$C,D$1,Despesas!$M:$M,"Mensal")+SUMIFS(Despesas!$F:$F,Despesas!$J:$J,"&lt;="&amp;$A259,Despesas!$L:$L,"&gt;="&amp;$A259,Despesas!$C:$C,D$1,Despesas!$M:$M,$B259)</f>
        <v>23000</v>
      </c>
      <c r="E259" s="18">
        <f>SUMIFS(Despesas!$F:$F,Despesas!$J:$J,"&lt;="&amp;$A259,Despesas!$L:$L,"&gt;="&amp;$A259,Despesas!$C:$C,E$1,Despesas!$M:$M,"Mensal")+SUMIFS(Despesas!$F:$F,Despesas!$J:$J,"&lt;="&amp;$A259,Despesas!$L:$L,"&gt;="&amp;$A259,Despesas!$C:$C,E$1,Despesas!$M:$M,$B259)</f>
        <v>0</v>
      </c>
      <c r="F259" s="5">
        <f>SUMIFS(Despesas!$F:$F,Despesas!$J:$J,"&lt;="&amp;$A259,Despesas!$L:$L,"&gt;="&amp;$A259,Despesas!$C:$C,F$1,Despesas!$M:$M,"Mensal")+SUMIFS(Despesas!$F:$F,Despesas!$J:$J,"&lt;="&amp;$A259,Despesas!$L:$L,"&gt;="&amp;$A259,Despesas!$C:$C,F$1,Despesas!$M:$M,$B259)</f>
        <v>13000</v>
      </c>
      <c r="G259" s="5">
        <f>SUMIFS(Despesas!$F:$F,Despesas!$J:$J,"&lt;="&amp;$A259,Despesas!$L:$L,"&gt;="&amp;$A259,Despesas!$C:$C,G$1,Despesas!$M:$M,"Mensal")+SUMIFS(Despesas!$F:$F,Despesas!$J:$J,"&lt;="&amp;$A259,Despesas!$L:$L,"&gt;="&amp;$A259,Despesas!$C:$C,G$1,Despesas!$M:$M,$B259)</f>
        <v>0</v>
      </c>
      <c r="H259" s="18">
        <f>SUMIFS(Despesas!$F:$F,Despesas!$J:$J,"&lt;="&amp;$A259,Despesas!$L:$L,"&gt;="&amp;$A259,Despesas!$C:$C,H$1,Despesas!$M:$M,"Mensal")+SUMIFS(Despesas!$F:$F,Despesas!$J:$J,"&lt;="&amp;$A259,Despesas!$L:$L,"&gt;="&amp;$A259,Despesas!$C:$C,H$1,Despesas!$M:$M,$B259)</f>
        <v>1000</v>
      </c>
      <c r="I259" s="18">
        <f>IF(Imóveis!$F$2="PRICE",IF(AND(Dados!$A259&gt;=Imóveis!$Q$2,Dados!$A259&lt;=Imóveis!$T$2),Imóveis!$U$2,0),IF((IF(AND(Dados!$A259&gt;=Imóveis!$Q$2,Dados!$A259&lt;=Imóveis!$T$2),Imóveis!$S$2-(DATEDIF(Imóveis!$Q$2,Dados!$A259,"m")),0))=0,0,((Imóveis!$N$2/Imóveis!$S$2)+((Imóveis!$N$2-((Imóveis!$S$2-(IF(AND(Dados!$A259&gt;=Imóveis!$Q$2,Dados!$A259&lt;=Imóveis!$T$2),Imóveis!$S$2-(DATEDIF(Imóveis!$Q$2,Dados!$A259,"m")),)))*(Imóveis!$N$2/Imóveis!$S$2)))*Imóveis!$P$2))))*IF(AND(Imóveis!$E$2&gt;0,Dados!$A259&gt;Imóveis!$E$2),0,1)</f>
        <v>0</v>
      </c>
      <c r="J259" s="18">
        <f>IF(Imóveis!$F$3="PRICE",IF(AND(Dados!$A259&gt;=Imóveis!$Q$3,Dados!$A259&lt;=Imóveis!$T$3),Imóveis!$U$3,0),IF((IF(AND(Dados!$A259&gt;=Imóveis!$Q$3,Dados!$A259&lt;=Imóveis!$T$3),Imóveis!$S$3-(DATEDIF(Imóveis!$Q$3,Dados!$A259,"m")),0))=0,0,((Imóveis!$N$3/Imóveis!$S$3)+((Imóveis!$N$3-((Imóveis!$S$3-(IF(AND(Dados!$A259&gt;=Imóveis!$Q$3,Dados!$A259&lt;=Imóveis!$T$3),Imóveis!$S$3-(DATEDIF(Imóveis!$Q$3,Dados!$A259,"m")),)))*(Imóveis!$N$3/Imóveis!$S$3)))*Imóveis!$P$3))))*IF(AND(Imóveis!$E$3&gt;0,Dados!$A259&gt;Imóveis!$E$3),0,1)</f>
        <v>0</v>
      </c>
      <c r="K259" s="18">
        <f>IF(Imóveis!$F$4="PRICE",IF(AND(Dados!$A259&gt;=Imóveis!$Q$4,Dados!$A259&lt;=Imóveis!$T$4),Imóveis!$U$4,0),IF((IF(AND(Dados!$A259&gt;=Imóveis!$Q$4,Dados!$A259&lt;=Imóveis!$T$4),Imóveis!$S$4-(DATEDIF(Imóveis!$Q$4,Dados!$A259,"m")),0))=0,0,((Imóveis!$N$4/Imóveis!$S$4)+((Imóveis!$N$4-((Imóveis!$S$4-(IF(AND(Dados!$A259&gt;=Imóveis!$Q$4,Dados!$A259&lt;=Imóveis!$T$4),Imóveis!$S$4-(DATEDIF(Imóveis!$Q$4,Dados!$A259,"m")),)))*(Imóveis!$N$4/Imóveis!$S$4)))*Imóveis!$P$4))))*IF(AND(Imóveis!$E$4&gt;0,Dados!$A259&gt;Imóveis!$E$4),0,1)</f>
        <v>0</v>
      </c>
      <c r="L259" s="18">
        <f>IF(Imóveis!$F$5="PRICE",IF(AND(Dados!$A259&gt;=Imóveis!$Q$5,Dados!$A259&lt;=Imóveis!$T$5),Imóveis!$U$5,0),IF((IF(AND(Dados!$A259&gt;=Imóveis!$Q$5,Dados!$A259&lt;=Imóveis!$T$5),Imóveis!$S$5-(DATEDIF(Imóveis!$Q$5,Dados!$A259,"m")),0))=0,0,((Imóveis!$N$5/Imóveis!$S$5)+((Imóveis!$N$5-((Imóveis!$S$5-(IF(AND(Dados!$A259 &gt;=Imóveis!$Q$5,Dados!$A259&lt;=Imóveis!$T$5),Imóveis!$S$5-(DATEDIF(Imóveis!$Q$5,Dados!$A259,"m")),)))*(Imóveis!$N$5/Imóveis!$S$5)))*Imóveis!$P$5))))*IF(AND(Imóveis!$E$5&gt;0,Dados!$A259&gt;Imóveis!$E$5),0,1)*Imóveis!$I$5</f>
        <v>0</v>
      </c>
      <c r="M259" s="18">
        <f>IF(Imóveis!$F$6="PRICE",IF(AND(Dados!$A259&gt;=Imóveis!$Q$6,Dados!$A259&lt;=Imóveis!$T$6),Imóveis!$U$6,0),IF((IF(AND(Dados!$A259&gt;=Imóveis!$Q$6,Dados!$A259&lt;=Imóveis!$T$6),Imóveis!$S$6-(DATEDIF(Imóveis!$Q$6,Dados!$A259,"m")),0))=0,0,((Imóveis!$N$6/Imóveis!$S$6)+((Imóveis!$N$6-((Imóveis!$S$6-(IF(AND(Dados!$A259&gt;=Imóveis!$Q$6,Dados!$A259&lt;=Imóveis!$T$6),Imóveis!$S$6-(DATEDIF(Imóveis!$Q$6,Dados!$A259,"m")),)))*(Imóveis!$N$6/Imóveis!$S$6)))*Imóveis!$P$6))))*IF(AND(Imóveis!$E$6&gt;0,Dados!$A259&gt;Imóveis!$E$6),0,1)*Imóveis!$I$6</f>
        <v>0</v>
      </c>
      <c r="N259" s="18">
        <f t="shared" ref="N259:N322" si="37">SUM(D259:M259)</f>
        <v>37000</v>
      </c>
      <c r="O259" s="18">
        <f>SUMIFS(Receitas!$F:$F,Receitas!$J:$J,"&lt;="&amp;$A259,Receitas!$L:$L,"&gt;="&amp;$A259,Receitas!$C:$C,O$1,Receitas!$M:$M,"Mensal")+SUMIFS(Receitas!$F:$F,Receitas!$J:$J,"&lt;="&amp;$A259,Receitas!$L:$L,"&gt;="&amp;$A259,Receitas!$C:$C,O$1,Receitas!$M:$M,$B259)</f>
        <v>50000</v>
      </c>
      <c r="P259" s="18">
        <f>SUMIFS(Receitas!$F:$F,Receitas!$J:$J,"&lt;="&amp;$A259,Receitas!$L:$L,"&gt;="&amp;$A259,Receitas!$C:$C,P$1,Receitas!$M:$M,"Mensal")+SUMIFS(Receitas!$F:$F,Receitas!$J:$J,"&lt;="&amp;$A259,Receitas!$L:$L,"&gt;="&amp;$A259,Receitas!$C:$C,P$1,Receitas!$M:$M,$B259)</f>
        <v>20000</v>
      </c>
      <c r="Q259" s="18">
        <f>SUMIFS(Receitas!$F:$F,Receitas!$J:$J,"&lt;="&amp;$A259,Receitas!$L:$L,"&gt;="&amp;$A259,Receitas!$C:$C,Q$1,Receitas!$M:$M,"Mensal")+SUMIFS(Receitas!$F:$F,Receitas!$J:$J,"&lt;="&amp;$A259,Receitas!$L:$L,"&gt;="&amp;$A259,Receitas!$C:$C,Q$1,Receitas!$M:$M,$B259)</f>
        <v>0</v>
      </c>
      <c r="R259" s="18" cm="1">
        <f t="array" ref="R259">(IF(AND(Membros!$F$2="Sim",A259&lt;=MAX(Membros!$E$2:$E$5)),Membros!K$2,IF(AND(A259&gt;=Membros!J$2,A259&lt;=MAX(Membros!$E$2:$E$5)),Membros!K$2,0))+IF(AND(Membros!$F$3="Sim",A259&lt;=MAX(Membros!$E$2:$E$5)),Membros!K$3,IF(AND(A259&gt;=Membros!J$3,A259&lt;=MAX(Membros!$E$2:$E$5)),Membros!K$3,0)))*IF(AND(COUNTIFS(Tabela3[Tipo],"Provedor",Tabela3[Simulação Seguro],"Sim")=2,A259&gt;=MAX(IF(Tabela3[Tipo]="Dependente",Tabela3[Expectativa de Vida (Data)]))),0,1)</f>
        <v>0</v>
      </c>
      <c r="S259" s="18">
        <f t="shared" ref="S259:S322" si="38">O259+P259+Q259+R259</f>
        <v>70000</v>
      </c>
      <c r="U259" s="18">
        <f t="shared" ca="1" si="33"/>
        <v>14401003.687666576</v>
      </c>
      <c r="V259" s="18">
        <f>SUMIF(Imóveis!E:E,Dados!A:A,Imóveis!Z:Z)-SUMIF(Imóveis!E:E,Dados!A:A,Imóveis!Y:Y)</f>
        <v>0</v>
      </c>
      <c r="W259" s="18">
        <f>-SUMIF(Projetos!N:N,A259,Projetos!F:F)</f>
        <v>0</v>
      </c>
      <c r="X259" s="18">
        <f t="shared" si="35"/>
        <v>33000</v>
      </c>
      <c r="Y259" s="26">
        <f ca="1">(U259*((Indicadores_Economicos!D$2+1)^(1/12)-1))</f>
        <v>47145.138675907343</v>
      </c>
      <c r="Z259" s="18">
        <f t="shared" ref="Z259:Z322" ca="1" si="39">U259+V259+W259+X259+Y259</f>
        <v>14481148.826342484</v>
      </c>
      <c r="AA259" s="18">
        <f ca="1">Auxiliar_Projetos!E259</f>
        <v>9.0571794293122253E-10</v>
      </c>
      <c r="AB259" s="18">
        <f ca="1">Auxiliar_Projetos!K259</f>
        <v>6.9670610994709364E-10</v>
      </c>
      <c r="AC259" s="18">
        <f ca="1">IF(Z259-AA259-AB259&gt;Investimentos!$C$14,Investimentos!$C$14,IF(Z259-AA259-AB259&lt;Investimentos!$C$14,Z259-AA259-AB259,0))</f>
        <v>300000</v>
      </c>
      <c r="AD259" s="18">
        <f t="shared" ref="AD259:AD322" ca="1" si="40">Z259-AA259-AB259-AC259</f>
        <v>14181148.826342484</v>
      </c>
      <c r="AE259" s="18"/>
    </row>
    <row r="260" spans="1:31" x14ac:dyDescent="0.2">
      <c r="A260" s="4">
        <v>53509</v>
      </c>
      <c r="B260" s="5" t="str">
        <f t="shared" si="36"/>
        <v>julho</v>
      </c>
      <c r="C260" s="5" t="str">
        <f t="shared" si="34"/>
        <v>2046</v>
      </c>
      <c r="D260" s="5">
        <f>SUMIFS(Despesas!$F:$F,Despesas!$J:$J,"&lt;="&amp;$A260,Despesas!$L:$L,"&gt;="&amp;$A260,Despesas!$C:$C,D$1,Despesas!$M:$M,"Mensal")+SUMIFS(Despesas!$F:$F,Despesas!$J:$J,"&lt;="&amp;$A260,Despesas!$L:$L,"&gt;="&amp;$A260,Despesas!$C:$C,D$1,Despesas!$M:$M,$B260)</f>
        <v>23000</v>
      </c>
      <c r="E260" s="18">
        <f>SUMIFS(Despesas!$F:$F,Despesas!$J:$J,"&lt;="&amp;$A260,Despesas!$L:$L,"&gt;="&amp;$A260,Despesas!$C:$C,E$1,Despesas!$M:$M,"Mensal")+SUMIFS(Despesas!$F:$F,Despesas!$J:$J,"&lt;="&amp;$A260,Despesas!$L:$L,"&gt;="&amp;$A260,Despesas!$C:$C,E$1,Despesas!$M:$M,$B260)</f>
        <v>0</v>
      </c>
      <c r="F260" s="5">
        <f>SUMIFS(Despesas!$F:$F,Despesas!$J:$J,"&lt;="&amp;$A260,Despesas!$L:$L,"&gt;="&amp;$A260,Despesas!$C:$C,F$1,Despesas!$M:$M,"Mensal")+SUMIFS(Despesas!$F:$F,Despesas!$J:$J,"&lt;="&amp;$A260,Despesas!$L:$L,"&gt;="&amp;$A260,Despesas!$C:$C,F$1,Despesas!$M:$M,$B260)</f>
        <v>13000</v>
      </c>
      <c r="G260" s="5">
        <f ca="1">SUMIFS(Despesas!$F:$F,Despesas!$J:$J,"&lt;="&amp;$A260,Despesas!$L:$L,"&gt;="&amp;$A260,Despesas!$C:$C,G$1,Despesas!$M:$M,"Mensal")+SUMIFS(Despesas!$F:$F,Despesas!$J:$J,"&lt;="&amp;$A260,Despesas!$L:$L,"&gt;="&amp;$A260,Despesas!$C:$C,G$1,Despesas!$M:$M,$B260)</f>
        <v>55757</v>
      </c>
      <c r="H260" s="18">
        <f>SUMIFS(Despesas!$F:$F,Despesas!$J:$J,"&lt;="&amp;$A260,Despesas!$L:$L,"&gt;="&amp;$A260,Despesas!$C:$C,H$1,Despesas!$M:$M,"Mensal")+SUMIFS(Despesas!$F:$F,Despesas!$J:$J,"&lt;="&amp;$A260,Despesas!$L:$L,"&gt;="&amp;$A260,Despesas!$C:$C,H$1,Despesas!$M:$M,$B260)</f>
        <v>1000</v>
      </c>
      <c r="I260" s="18">
        <f>IF(Imóveis!$F$2="PRICE",IF(AND(Dados!$A260&gt;=Imóveis!$Q$2,Dados!$A260&lt;=Imóveis!$T$2),Imóveis!$U$2,0),IF((IF(AND(Dados!$A260&gt;=Imóveis!$Q$2,Dados!$A260&lt;=Imóveis!$T$2),Imóveis!$S$2-(DATEDIF(Imóveis!$Q$2,Dados!$A260,"m")),0))=0,0,((Imóveis!$N$2/Imóveis!$S$2)+((Imóveis!$N$2-((Imóveis!$S$2-(IF(AND(Dados!$A260&gt;=Imóveis!$Q$2,Dados!$A260&lt;=Imóveis!$T$2),Imóveis!$S$2-(DATEDIF(Imóveis!$Q$2,Dados!$A260,"m")),)))*(Imóveis!$N$2/Imóveis!$S$2)))*Imóveis!$P$2))))*IF(AND(Imóveis!$E$2&gt;0,Dados!$A260&gt;Imóveis!$E$2),0,1)</f>
        <v>0</v>
      </c>
      <c r="J260" s="18">
        <f>IF(Imóveis!$F$3="PRICE",IF(AND(Dados!$A260&gt;=Imóveis!$Q$3,Dados!$A260&lt;=Imóveis!$T$3),Imóveis!$U$3,0),IF((IF(AND(Dados!$A260&gt;=Imóveis!$Q$3,Dados!$A260&lt;=Imóveis!$T$3),Imóveis!$S$3-(DATEDIF(Imóveis!$Q$3,Dados!$A260,"m")),0))=0,0,((Imóveis!$N$3/Imóveis!$S$3)+((Imóveis!$N$3-((Imóveis!$S$3-(IF(AND(Dados!$A260&gt;=Imóveis!$Q$3,Dados!$A260&lt;=Imóveis!$T$3),Imóveis!$S$3-(DATEDIF(Imóveis!$Q$3,Dados!$A260,"m")),)))*(Imóveis!$N$3/Imóveis!$S$3)))*Imóveis!$P$3))))*IF(AND(Imóveis!$E$3&gt;0,Dados!$A260&gt;Imóveis!$E$3),0,1)</f>
        <v>0</v>
      </c>
      <c r="K260" s="18">
        <f>IF(Imóveis!$F$4="PRICE",IF(AND(Dados!$A260&gt;=Imóveis!$Q$4,Dados!$A260&lt;=Imóveis!$T$4),Imóveis!$U$4,0),IF((IF(AND(Dados!$A260&gt;=Imóveis!$Q$4,Dados!$A260&lt;=Imóveis!$T$4),Imóveis!$S$4-(DATEDIF(Imóveis!$Q$4,Dados!$A260,"m")),0))=0,0,((Imóveis!$N$4/Imóveis!$S$4)+((Imóveis!$N$4-((Imóveis!$S$4-(IF(AND(Dados!$A260&gt;=Imóveis!$Q$4,Dados!$A260&lt;=Imóveis!$T$4),Imóveis!$S$4-(DATEDIF(Imóveis!$Q$4,Dados!$A260,"m")),)))*(Imóveis!$N$4/Imóveis!$S$4)))*Imóveis!$P$4))))*IF(AND(Imóveis!$E$4&gt;0,Dados!$A260&gt;Imóveis!$E$4),0,1)</f>
        <v>0</v>
      </c>
      <c r="L260" s="18">
        <f>IF(Imóveis!$F$5="PRICE",IF(AND(Dados!$A260&gt;=Imóveis!$Q$5,Dados!$A260&lt;=Imóveis!$T$5),Imóveis!$U$5,0),IF((IF(AND(Dados!$A260&gt;=Imóveis!$Q$5,Dados!$A260&lt;=Imóveis!$T$5),Imóveis!$S$5-(DATEDIF(Imóveis!$Q$5,Dados!$A260,"m")),0))=0,0,((Imóveis!$N$5/Imóveis!$S$5)+((Imóveis!$N$5-((Imóveis!$S$5-(IF(AND(Dados!$A260 &gt;=Imóveis!$Q$5,Dados!$A260&lt;=Imóveis!$T$5),Imóveis!$S$5-(DATEDIF(Imóveis!$Q$5,Dados!$A260,"m")),)))*(Imóveis!$N$5/Imóveis!$S$5)))*Imóveis!$P$5))))*IF(AND(Imóveis!$E$5&gt;0,Dados!$A260&gt;Imóveis!$E$5),0,1)*Imóveis!$I$5</f>
        <v>0</v>
      </c>
      <c r="M260" s="18">
        <f>IF(Imóveis!$F$6="PRICE",IF(AND(Dados!$A260&gt;=Imóveis!$Q$6,Dados!$A260&lt;=Imóveis!$T$6),Imóveis!$U$6,0),IF((IF(AND(Dados!$A260&gt;=Imóveis!$Q$6,Dados!$A260&lt;=Imóveis!$T$6),Imóveis!$S$6-(DATEDIF(Imóveis!$Q$6,Dados!$A260,"m")),0))=0,0,((Imóveis!$N$6/Imóveis!$S$6)+((Imóveis!$N$6-((Imóveis!$S$6-(IF(AND(Dados!$A260&gt;=Imóveis!$Q$6,Dados!$A260&lt;=Imóveis!$T$6),Imóveis!$S$6-(DATEDIF(Imóveis!$Q$6,Dados!$A260,"m")),)))*(Imóveis!$N$6/Imóveis!$S$6)))*Imóveis!$P$6))))*IF(AND(Imóveis!$E$6&gt;0,Dados!$A260&gt;Imóveis!$E$6),0,1)*Imóveis!$I$6</f>
        <v>0</v>
      </c>
      <c r="N260" s="18">
        <f t="shared" ca="1" si="37"/>
        <v>92757</v>
      </c>
      <c r="O260" s="18">
        <f>SUMIFS(Receitas!$F:$F,Receitas!$J:$J,"&lt;="&amp;$A260,Receitas!$L:$L,"&gt;="&amp;$A260,Receitas!$C:$C,O$1,Receitas!$M:$M,"Mensal")+SUMIFS(Receitas!$F:$F,Receitas!$J:$J,"&lt;="&amp;$A260,Receitas!$L:$L,"&gt;="&amp;$A260,Receitas!$C:$C,O$1,Receitas!$M:$M,$B260)</f>
        <v>50000</v>
      </c>
      <c r="P260" s="18">
        <f>SUMIFS(Receitas!$F:$F,Receitas!$J:$J,"&lt;="&amp;$A260,Receitas!$L:$L,"&gt;="&amp;$A260,Receitas!$C:$C,P$1,Receitas!$M:$M,"Mensal")+SUMIFS(Receitas!$F:$F,Receitas!$J:$J,"&lt;="&amp;$A260,Receitas!$L:$L,"&gt;="&amp;$A260,Receitas!$C:$C,P$1,Receitas!$M:$M,$B260)</f>
        <v>20000</v>
      </c>
      <c r="Q260" s="18">
        <f>SUMIFS(Receitas!$F:$F,Receitas!$J:$J,"&lt;="&amp;$A260,Receitas!$L:$L,"&gt;="&amp;$A260,Receitas!$C:$C,Q$1,Receitas!$M:$M,"Mensal")+SUMIFS(Receitas!$F:$F,Receitas!$J:$J,"&lt;="&amp;$A260,Receitas!$L:$L,"&gt;="&amp;$A260,Receitas!$C:$C,Q$1,Receitas!$M:$M,$B260)</f>
        <v>0</v>
      </c>
      <c r="R260" s="18" cm="1">
        <f t="array" ref="R260">(IF(AND(Membros!$F$2="Sim",A260&lt;=MAX(Membros!$E$2:$E$5)),Membros!K$2,IF(AND(A260&gt;=Membros!J$2,A260&lt;=MAX(Membros!$E$2:$E$5)),Membros!K$2,0))+IF(AND(Membros!$F$3="Sim",A260&lt;=MAX(Membros!$E$2:$E$5)),Membros!K$3,IF(AND(A260&gt;=Membros!J$3,A260&lt;=MAX(Membros!$E$2:$E$5)),Membros!K$3,0)))*IF(AND(COUNTIFS(Tabela3[Tipo],"Provedor",Tabela3[Simulação Seguro],"Sim")=2,A260&gt;=MAX(IF(Tabela3[Tipo]="Dependente",Tabela3[Expectativa de Vida (Data)]))),0,1)</f>
        <v>0</v>
      </c>
      <c r="S260" s="18">
        <f t="shared" si="38"/>
        <v>70000</v>
      </c>
      <c r="U260" s="18">
        <f t="shared" ref="U260:U323" ca="1" si="41">Z259</f>
        <v>14481148.826342484</v>
      </c>
      <c r="V260" s="18">
        <f>SUMIF(Imóveis!E:E,Dados!A:A,Imóveis!Z:Z)-SUMIF(Imóveis!E:E,Dados!A:A,Imóveis!Y:Y)</f>
        <v>0</v>
      </c>
      <c r="W260" s="18">
        <f>-SUMIF(Projetos!N:N,A260,Projetos!F:F)</f>
        <v>0</v>
      </c>
      <c r="X260" s="18">
        <f t="shared" ca="1" si="35"/>
        <v>-22757</v>
      </c>
      <c r="Y260" s="26">
        <f ca="1">(U260*((Indicadores_Economicos!D$2+1)^(1/12)-1))</f>
        <v>47407.513004740511</v>
      </c>
      <c r="Z260" s="18">
        <f t="shared" ca="1" si="39"/>
        <v>14505799.339347225</v>
      </c>
      <c r="AA260" s="18">
        <f ca="1">Auxiliar_Projetos!E260</f>
        <v>9.0868302779244785E-10</v>
      </c>
      <c r="AB260" s="18">
        <f ca="1">Auxiliar_Projetos!K260</f>
        <v>6.9898694445572852E-10</v>
      </c>
      <c r="AC260" s="18">
        <f ca="1">IF(Z260-AA260-AB260&gt;Investimentos!$C$14,Investimentos!$C$14,IF(Z260-AA260-AB260&lt;Investimentos!$C$14,Z260-AA260-AB260,0))</f>
        <v>300000</v>
      </c>
      <c r="AD260" s="18">
        <f t="shared" ca="1" si="40"/>
        <v>14205799.339347225</v>
      </c>
      <c r="AE260" s="18"/>
    </row>
    <row r="261" spans="1:31" x14ac:dyDescent="0.2">
      <c r="A261" s="4">
        <v>53540</v>
      </c>
      <c r="B261" s="5" t="str">
        <f t="shared" si="36"/>
        <v>agosto</v>
      </c>
      <c r="C261" s="5" t="str">
        <f t="shared" si="34"/>
        <v>2046</v>
      </c>
      <c r="D261" s="5">
        <f>SUMIFS(Despesas!$F:$F,Despesas!$J:$J,"&lt;="&amp;$A261,Despesas!$L:$L,"&gt;="&amp;$A261,Despesas!$C:$C,D$1,Despesas!$M:$M,"Mensal")+SUMIFS(Despesas!$F:$F,Despesas!$J:$J,"&lt;="&amp;$A261,Despesas!$L:$L,"&gt;="&amp;$A261,Despesas!$C:$C,D$1,Despesas!$M:$M,$B261)</f>
        <v>23000</v>
      </c>
      <c r="E261" s="18">
        <f>SUMIFS(Despesas!$F:$F,Despesas!$J:$J,"&lt;="&amp;$A261,Despesas!$L:$L,"&gt;="&amp;$A261,Despesas!$C:$C,E$1,Despesas!$M:$M,"Mensal")+SUMIFS(Despesas!$F:$F,Despesas!$J:$J,"&lt;="&amp;$A261,Despesas!$L:$L,"&gt;="&amp;$A261,Despesas!$C:$C,E$1,Despesas!$M:$M,$B261)</f>
        <v>0</v>
      </c>
      <c r="F261" s="5">
        <f>SUMIFS(Despesas!$F:$F,Despesas!$J:$J,"&lt;="&amp;$A261,Despesas!$L:$L,"&gt;="&amp;$A261,Despesas!$C:$C,F$1,Despesas!$M:$M,"Mensal")+SUMIFS(Despesas!$F:$F,Despesas!$J:$J,"&lt;="&amp;$A261,Despesas!$L:$L,"&gt;="&amp;$A261,Despesas!$C:$C,F$1,Despesas!$M:$M,$B261)</f>
        <v>13000</v>
      </c>
      <c r="G261" s="5">
        <f>SUMIFS(Despesas!$F:$F,Despesas!$J:$J,"&lt;="&amp;$A261,Despesas!$L:$L,"&gt;="&amp;$A261,Despesas!$C:$C,G$1,Despesas!$M:$M,"Mensal")+SUMIFS(Despesas!$F:$F,Despesas!$J:$J,"&lt;="&amp;$A261,Despesas!$L:$L,"&gt;="&amp;$A261,Despesas!$C:$C,G$1,Despesas!$M:$M,$B261)</f>
        <v>0</v>
      </c>
      <c r="H261" s="18">
        <f>SUMIFS(Despesas!$F:$F,Despesas!$J:$J,"&lt;="&amp;$A261,Despesas!$L:$L,"&gt;="&amp;$A261,Despesas!$C:$C,H$1,Despesas!$M:$M,"Mensal")+SUMIFS(Despesas!$F:$F,Despesas!$J:$J,"&lt;="&amp;$A261,Despesas!$L:$L,"&gt;="&amp;$A261,Despesas!$C:$C,H$1,Despesas!$M:$M,$B261)</f>
        <v>1000</v>
      </c>
      <c r="I261" s="18">
        <f>IF(Imóveis!$F$2="PRICE",IF(AND(Dados!$A261&gt;=Imóveis!$Q$2,Dados!$A261&lt;=Imóveis!$T$2),Imóveis!$U$2,0),IF((IF(AND(Dados!$A261&gt;=Imóveis!$Q$2,Dados!$A261&lt;=Imóveis!$T$2),Imóveis!$S$2-(DATEDIF(Imóveis!$Q$2,Dados!$A261,"m")),0))=0,0,((Imóveis!$N$2/Imóveis!$S$2)+((Imóveis!$N$2-((Imóveis!$S$2-(IF(AND(Dados!$A261&gt;=Imóveis!$Q$2,Dados!$A261&lt;=Imóveis!$T$2),Imóveis!$S$2-(DATEDIF(Imóveis!$Q$2,Dados!$A261,"m")),)))*(Imóveis!$N$2/Imóveis!$S$2)))*Imóveis!$P$2))))*IF(AND(Imóveis!$E$2&gt;0,Dados!$A261&gt;Imóveis!$E$2),0,1)</f>
        <v>0</v>
      </c>
      <c r="J261" s="18">
        <f>IF(Imóveis!$F$3="PRICE",IF(AND(Dados!$A261&gt;=Imóveis!$Q$3,Dados!$A261&lt;=Imóveis!$T$3),Imóveis!$U$3,0),IF((IF(AND(Dados!$A261&gt;=Imóveis!$Q$3,Dados!$A261&lt;=Imóveis!$T$3),Imóveis!$S$3-(DATEDIF(Imóveis!$Q$3,Dados!$A261,"m")),0))=0,0,((Imóveis!$N$3/Imóveis!$S$3)+((Imóveis!$N$3-((Imóveis!$S$3-(IF(AND(Dados!$A261&gt;=Imóveis!$Q$3,Dados!$A261&lt;=Imóveis!$T$3),Imóveis!$S$3-(DATEDIF(Imóveis!$Q$3,Dados!$A261,"m")),)))*(Imóveis!$N$3/Imóveis!$S$3)))*Imóveis!$P$3))))*IF(AND(Imóveis!$E$3&gt;0,Dados!$A261&gt;Imóveis!$E$3),0,1)</f>
        <v>0</v>
      </c>
      <c r="K261" s="18">
        <f>IF(Imóveis!$F$4="PRICE",IF(AND(Dados!$A261&gt;=Imóveis!$Q$4,Dados!$A261&lt;=Imóveis!$T$4),Imóveis!$U$4,0),IF((IF(AND(Dados!$A261&gt;=Imóveis!$Q$4,Dados!$A261&lt;=Imóveis!$T$4),Imóveis!$S$4-(DATEDIF(Imóveis!$Q$4,Dados!$A261,"m")),0))=0,0,((Imóveis!$N$4/Imóveis!$S$4)+((Imóveis!$N$4-((Imóveis!$S$4-(IF(AND(Dados!$A261&gt;=Imóveis!$Q$4,Dados!$A261&lt;=Imóveis!$T$4),Imóveis!$S$4-(DATEDIF(Imóveis!$Q$4,Dados!$A261,"m")),)))*(Imóveis!$N$4/Imóveis!$S$4)))*Imóveis!$P$4))))*IF(AND(Imóveis!$E$4&gt;0,Dados!$A261&gt;Imóveis!$E$4),0,1)</f>
        <v>0</v>
      </c>
      <c r="L261" s="18">
        <f>IF(Imóveis!$F$5="PRICE",IF(AND(Dados!$A261&gt;=Imóveis!$Q$5,Dados!$A261&lt;=Imóveis!$T$5),Imóveis!$U$5,0),IF((IF(AND(Dados!$A261&gt;=Imóveis!$Q$5,Dados!$A261&lt;=Imóveis!$T$5),Imóveis!$S$5-(DATEDIF(Imóveis!$Q$5,Dados!$A261,"m")),0))=0,0,((Imóveis!$N$5/Imóveis!$S$5)+((Imóveis!$N$5-((Imóveis!$S$5-(IF(AND(Dados!$A261 &gt;=Imóveis!$Q$5,Dados!$A261&lt;=Imóveis!$T$5),Imóveis!$S$5-(DATEDIF(Imóveis!$Q$5,Dados!$A261,"m")),)))*(Imóveis!$N$5/Imóveis!$S$5)))*Imóveis!$P$5))))*IF(AND(Imóveis!$E$5&gt;0,Dados!$A261&gt;Imóveis!$E$5),0,1)*Imóveis!$I$5</f>
        <v>0</v>
      </c>
      <c r="M261" s="18">
        <f>IF(Imóveis!$F$6="PRICE",IF(AND(Dados!$A261&gt;=Imóveis!$Q$6,Dados!$A261&lt;=Imóveis!$T$6),Imóveis!$U$6,0),IF((IF(AND(Dados!$A261&gt;=Imóveis!$Q$6,Dados!$A261&lt;=Imóveis!$T$6),Imóveis!$S$6-(DATEDIF(Imóveis!$Q$6,Dados!$A261,"m")),0))=0,0,((Imóveis!$N$6/Imóveis!$S$6)+((Imóveis!$N$6-((Imóveis!$S$6-(IF(AND(Dados!$A261&gt;=Imóveis!$Q$6,Dados!$A261&lt;=Imóveis!$T$6),Imóveis!$S$6-(DATEDIF(Imóveis!$Q$6,Dados!$A261,"m")),)))*(Imóveis!$N$6/Imóveis!$S$6)))*Imóveis!$P$6))))*IF(AND(Imóveis!$E$6&gt;0,Dados!$A261&gt;Imóveis!$E$6),0,1)*Imóveis!$I$6</f>
        <v>0</v>
      </c>
      <c r="N261" s="18">
        <f t="shared" si="37"/>
        <v>37000</v>
      </c>
      <c r="O261" s="18">
        <f>SUMIFS(Receitas!$F:$F,Receitas!$J:$J,"&lt;="&amp;$A261,Receitas!$L:$L,"&gt;="&amp;$A261,Receitas!$C:$C,O$1,Receitas!$M:$M,"Mensal")+SUMIFS(Receitas!$F:$F,Receitas!$J:$J,"&lt;="&amp;$A261,Receitas!$L:$L,"&gt;="&amp;$A261,Receitas!$C:$C,O$1,Receitas!$M:$M,$B261)</f>
        <v>50000</v>
      </c>
      <c r="P261" s="18">
        <f>SUMIFS(Receitas!$F:$F,Receitas!$J:$J,"&lt;="&amp;$A261,Receitas!$L:$L,"&gt;="&amp;$A261,Receitas!$C:$C,P$1,Receitas!$M:$M,"Mensal")+SUMIFS(Receitas!$F:$F,Receitas!$J:$J,"&lt;="&amp;$A261,Receitas!$L:$L,"&gt;="&amp;$A261,Receitas!$C:$C,P$1,Receitas!$M:$M,$B261)</f>
        <v>20000</v>
      </c>
      <c r="Q261" s="18">
        <f>SUMIFS(Receitas!$F:$F,Receitas!$J:$J,"&lt;="&amp;$A261,Receitas!$L:$L,"&gt;="&amp;$A261,Receitas!$C:$C,Q$1,Receitas!$M:$M,"Mensal")+SUMIFS(Receitas!$F:$F,Receitas!$J:$J,"&lt;="&amp;$A261,Receitas!$L:$L,"&gt;="&amp;$A261,Receitas!$C:$C,Q$1,Receitas!$M:$M,$B261)</f>
        <v>0</v>
      </c>
      <c r="R261" s="18" cm="1">
        <f t="array" ref="R261">(IF(AND(Membros!$F$2="Sim",A261&lt;=MAX(Membros!$E$2:$E$5)),Membros!K$2,IF(AND(A261&gt;=Membros!J$2,A261&lt;=MAX(Membros!$E$2:$E$5)),Membros!K$2,0))+IF(AND(Membros!$F$3="Sim",A261&lt;=MAX(Membros!$E$2:$E$5)),Membros!K$3,IF(AND(A261&gt;=Membros!J$3,A261&lt;=MAX(Membros!$E$2:$E$5)),Membros!K$3,0)))*IF(AND(COUNTIFS(Tabela3[Tipo],"Provedor",Tabela3[Simulação Seguro],"Sim")=2,A261&gt;=MAX(IF(Tabela3[Tipo]="Dependente",Tabela3[Expectativa de Vida (Data)]))),0,1)</f>
        <v>0</v>
      </c>
      <c r="S261" s="18">
        <f t="shared" si="38"/>
        <v>70000</v>
      </c>
      <c r="U261" s="18">
        <f t="shared" ca="1" si="41"/>
        <v>14505799.339347225</v>
      </c>
      <c r="V261" s="18">
        <f>SUMIF(Imóveis!E:E,Dados!A:A,Imóveis!Z:Z)-SUMIF(Imóveis!E:E,Dados!A:A,Imóveis!Y:Y)</f>
        <v>0</v>
      </c>
      <c r="W261" s="18">
        <f>-SUMIF(Projetos!N:N,A261,Projetos!F:F)</f>
        <v>0</v>
      </c>
      <c r="X261" s="18">
        <f t="shared" si="35"/>
        <v>33000</v>
      </c>
      <c r="Y261" s="26">
        <f ca="1">(U261*((Indicadores_Economicos!D$2+1)^(1/12)-1))</f>
        <v>47488.212369815737</v>
      </c>
      <c r="Z261" s="18">
        <f t="shared" ca="1" si="39"/>
        <v>14586287.551717041</v>
      </c>
      <c r="AA261" s="18">
        <f ca="1">Auxiliar_Projetos!E261</f>
        <v>9.1165781956994098E-10</v>
      </c>
      <c r="AB261" s="18">
        <f ca="1">Auxiliar_Projetos!K261</f>
        <v>7.0127524582303085E-10</v>
      </c>
      <c r="AC261" s="18">
        <f ca="1">IF(Z261-AA261-AB261&gt;Investimentos!$C$14,Investimentos!$C$14,IF(Z261-AA261-AB261&lt;Investimentos!$C$14,Z261-AA261-AB261,0))</f>
        <v>300000</v>
      </c>
      <c r="AD261" s="18">
        <f t="shared" ca="1" si="40"/>
        <v>14286287.551717041</v>
      </c>
      <c r="AE261" s="18"/>
    </row>
    <row r="262" spans="1:31" x14ac:dyDescent="0.2">
      <c r="A262" s="4">
        <v>53571</v>
      </c>
      <c r="B262" s="5" t="str">
        <f t="shared" si="36"/>
        <v>setembro</v>
      </c>
      <c r="C262" s="5" t="str">
        <f t="shared" si="34"/>
        <v>2046</v>
      </c>
      <c r="D262" s="5">
        <f>SUMIFS(Despesas!$F:$F,Despesas!$J:$J,"&lt;="&amp;$A262,Despesas!$L:$L,"&gt;="&amp;$A262,Despesas!$C:$C,D$1,Despesas!$M:$M,"Mensal")+SUMIFS(Despesas!$F:$F,Despesas!$J:$J,"&lt;="&amp;$A262,Despesas!$L:$L,"&gt;="&amp;$A262,Despesas!$C:$C,D$1,Despesas!$M:$M,$B262)</f>
        <v>23000</v>
      </c>
      <c r="E262" s="18">
        <f>SUMIFS(Despesas!$F:$F,Despesas!$J:$J,"&lt;="&amp;$A262,Despesas!$L:$L,"&gt;="&amp;$A262,Despesas!$C:$C,E$1,Despesas!$M:$M,"Mensal")+SUMIFS(Despesas!$F:$F,Despesas!$J:$J,"&lt;="&amp;$A262,Despesas!$L:$L,"&gt;="&amp;$A262,Despesas!$C:$C,E$1,Despesas!$M:$M,$B262)</f>
        <v>0</v>
      </c>
      <c r="F262" s="5">
        <f>SUMIFS(Despesas!$F:$F,Despesas!$J:$J,"&lt;="&amp;$A262,Despesas!$L:$L,"&gt;="&amp;$A262,Despesas!$C:$C,F$1,Despesas!$M:$M,"Mensal")+SUMIFS(Despesas!$F:$F,Despesas!$J:$J,"&lt;="&amp;$A262,Despesas!$L:$L,"&gt;="&amp;$A262,Despesas!$C:$C,F$1,Despesas!$M:$M,$B262)</f>
        <v>13000</v>
      </c>
      <c r="G262" s="5">
        <f>SUMIFS(Despesas!$F:$F,Despesas!$J:$J,"&lt;="&amp;$A262,Despesas!$L:$L,"&gt;="&amp;$A262,Despesas!$C:$C,G$1,Despesas!$M:$M,"Mensal")+SUMIFS(Despesas!$F:$F,Despesas!$J:$J,"&lt;="&amp;$A262,Despesas!$L:$L,"&gt;="&amp;$A262,Despesas!$C:$C,G$1,Despesas!$M:$M,$B262)</f>
        <v>0</v>
      </c>
      <c r="H262" s="18">
        <f>SUMIFS(Despesas!$F:$F,Despesas!$J:$J,"&lt;="&amp;$A262,Despesas!$L:$L,"&gt;="&amp;$A262,Despesas!$C:$C,H$1,Despesas!$M:$M,"Mensal")+SUMIFS(Despesas!$F:$F,Despesas!$J:$J,"&lt;="&amp;$A262,Despesas!$L:$L,"&gt;="&amp;$A262,Despesas!$C:$C,H$1,Despesas!$M:$M,$B262)</f>
        <v>1000</v>
      </c>
      <c r="I262" s="18">
        <f>IF(Imóveis!$F$2="PRICE",IF(AND(Dados!$A262&gt;=Imóveis!$Q$2,Dados!$A262&lt;=Imóveis!$T$2),Imóveis!$U$2,0),IF((IF(AND(Dados!$A262&gt;=Imóveis!$Q$2,Dados!$A262&lt;=Imóveis!$T$2),Imóveis!$S$2-(DATEDIF(Imóveis!$Q$2,Dados!$A262,"m")),0))=0,0,((Imóveis!$N$2/Imóveis!$S$2)+((Imóveis!$N$2-((Imóveis!$S$2-(IF(AND(Dados!$A262&gt;=Imóveis!$Q$2,Dados!$A262&lt;=Imóveis!$T$2),Imóveis!$S$2-(DATEDIF(Imóveis!$Q$2,Dados!$A262,"m")),)))*(Imóveis!$N$2/Imóveis!$S$2)))*Imóveis!$P$2))))*IF(AND(Imóveis!$E$2&gt;0,Dados!$A262&gt;Imóveis!$E$2),0,1)</f>
        <v>0</v>
      </c>
      <c r="J262" s="18">
        <f>IF(Imóveis!$F$3="PRICE",IF(AND(Dados!$A262&gt;=Imóveis!$Q$3,Dados!$A262&lt;=Imóveis!$T$3),Imóveis!$U$3,0),IF((IF(AND(Dados!$A262&gt;=Imóveis!$Q$3,Dados!$A262&lt;=Imóveis!$T$3),Imóveis!$S$3-(DATEDIF(Imóveis!$Q$3,Dados!$A262,"m")),0))=0,0,((Imóveis!$N$3/Imóveis!$S$3)+((Imóveis!$N$3-((Imóveis!$S$3-(IF(AND(Dados!$A262&gt;=Imóveis!$Q$3,Dados!$A262&lt;=Imóveis!$T$3),Imóveis!$S$3-(DATEDIF(Imóveis!$Q$3,Dados!$A262,"m")),)))*(Imóveis!$N$3/Imóveis!$S$3)))*Imóveis!$P$3))))*IF(AND(Imóveis!$E$3&gt;0,Dados!$A262&gt;Imóveis!$E$3),0,1)</f>
        <v>0</v>
      </c>
      <c r="K262" s="18">
        <f>IF(Imóveis!$F$4="PRICE",IF(AND(Dados!$A262&gt;=Imóveis!$Q$4,Dados!$A262&lt;=Imóveis!$T$4),Imóveis!$U$4,0),IF((IF(AND(Dados!$A262&gt;=Imóveis!$Q$4,Dados!$A262&lt;=Imóveis!$T$4),Imóveis!$S$4-(DATEDIF(Imóveis!$Q$4,Dados!$A262,"m")),0))=0,0,((Imóveis!$N$4/Imóveis!$S$4)+((Imóveis!$N$4-((Imóveis!$S$4-(IF(AND(Dados!$A262&gt;=Imóveis!$Q$4,Dados!$A262&lt;=Imóveis!$T$4),Imóveis!$S$4-(DATEDIF(Imóveis!$Q$4,Dados!$A262,"m")),)))*(Imóveis!$N$4/Imóveis!$S$4)))*Imóveis!$P$4))))*IF(AND(Imóveis!$E$4&gt;0,Dados!$A262&gt;Imóveis!$E$4),0,1)</f>
        <v>0</v>
      </c>
      <c r="L262" s="18">
        <f>IF(Imóveis!$F$5="PRICE",IF(AND(Dados!$A262&gt;=Imóveis!$Q$5,Dados!$A262&lt;=Imóveis!$T$5),Imóveis!$U$5,0),IF((IF(AND(Dados!$A262&gt;=Imóveis!$Q$5,Dados!$A262&lt;=Imóveis!$T$5),Imóveis!$S$5-(DATEDIF(Imóveis!$Q$5,Dados!$A262,"m")),0))=0,0,((Imóveis!$N$5/Imóveis!$S$5)+((Imóveis!$N$5-((Imóveis!$S$5-(IF(AND(Dados!$A262 &gt;=Imóveis!$Q$5,Dados!$A262&lt;=Imóveis!$T$5),Imóveis!$S$5-(DATEDIF(Imóveis!$Q$5,Dados!$A262,"m")),)))*(Imóveis!$N$5/Imóveis!$S$5)))*Imóveis!$P$5))))*IF(AND(Imóveis!$E$5&gt;0,Dados!$A262&gt;Imóveis!$E$5),0,1)*Imóveis!$I$5</f>
        <v>0</v>
      </c>
      <c r="M262" s="18">
        <f>IF(Imóveis!$F$6="PRICE",IF(AND(Dados!$A262&gt;=Imóveis!$Q$6,Dados!$A262&lt;=Imóveis!$T$6),Imóveis!$U$6,0),IF((IF(AND(Dados!$A262&gt;=Imóveis!$Q$6,Dados!$A262&lt;=Imóveis!$T$6),Imóveis!$S$6-(DATEDIF(Imóveis!$Q$6,Dados!$A262,"m")),0))=0,0,((Imóveis!$N$6/Imóveis!$S$6)+((Imóveis!$N$6-((Imóveis!$S$6-(IF(AND(Dados!$A262&gt;=Imóveis!$Q$6,Dados!$A262&lt;=Imóveis!$T$6),Imóveis!$S$6-(DATEDIF(Imóveis!$Q$6,Dados!$A262,"m")),)))*(Imóveis!$N$6/Imóveis!$S$6)))*Imóveis!$P$6))))*IF(AND(Imóveis!$E$6&gt;0,Dados!$A262&gt;Imóveis!$E$6),0,1)*Imóveis!$I$6</f>
        <v>0</v>
      </c>
      <c r="N262" s="18">
        <f t="shared" si="37"/>
        <v>37000</v>
      </c>
      <c r="O262" s="18">
        <f>SUMIFS(Receitas!$F:$F,Receitas!$J:$J,"&lt;="&amp;$A262,Receitas!$L:$L,"&gt;="&amp;$A262,Receitas!$C:$C,O$1,Receitas!$M:$M,"Mensal")+SUMIFS(Receitas!$F:$F,Receitas!$J:$J,"&lt;="&amp;$A262,Receitas!$L:$L,"&gt;="&amp;$A262,Receitas!$C:$C,O$1,Receitas!$M:$M,$B262)</f>
        <v>50000</v>
      </c>
      <c r="P262" s="18">
        <f>SUMIFS(Receitas!$F:$F,Receitas!$J:$J,"&lt;="&amp;$A262,Receitas!$L:$L,"&gt;="&amp;$A262,Receitas!$C:$C,P$1,Receitas!$M:$M,"Mensal")+SUMIFS(Receitas!$F:$F,Receitas!$J:$J,"&lt;="&amp;$A262,Receitas!$L:$L,"&gt;="&amp;$A262,Receitas!$C:$C,P$1,Receitas!$M:$M,$B262)</f>
        <v>20000</v>
      </c>
      <c r="Q262" s="18">
        <f>SUMIFS(Receitas!$F:$F,Receitas!$J:$J,"&lt;="&amp;$A262,Receitas!$L:$L,"&gt;="&amp;$A262,Receitas!$C:$C,Q$1,Receitas!$M:$M,"Mensal")+SUMIFS(Receitas!$F:$F,Receitas!$J:$J,"&lt;="&amp;$A262,Receitas!$L:$L,"&gt;="&amp;$A262,Receitas!$C:$C,Q$1,Receitas!$M:$M,$B262)</f>
        <v>0</v>
      </c>
      <c r="R262" s="18" cm="1">
        <f t="array" ref="R262">(IF(AND(Membros!$F$2="Sim",A262&lt;=MAX(Membros!$E$2:$E$5)),Membros!K$2,IF(AND(A262&gt;=Membros!J$2,A262&lt;=MAX(Membros!$E$2:$E$5)),Membros!K$2,0))+IF(AND(Membros!$F$3="Sim",A262&lt;=MAX(Membros!$E$2:$E$5)),Membros!K$3,IF(AND(A262&gt;=Membros!J$3,A262&lt;=MAX(Membros!$E$2:$E$5)),Membros!K$3,0)))*IF(AND(COUNTIFS(Tabela3[Tipo],"Provedor",Tabela3[Simulação Seguro],"Sim")=2,A262&gt;=MAX(IF(Tabela3[Tipo]="Dependente",Tabela3[Expectativa de Vida (Data)]))),0,1)</f>
        <v>0</v>
      </c>
      <c r="S262" s="18">
        <f t="shared" si="38"/>
        <v>70000</v>
      </c>
      <c r="U262" s="18">
        <f t="shared" ca="1" si="41"/>
        <v>14586287.551717041</v>
      </c>
      <c r="V262" s="18">
        <f>SUMIF(Imóveis!E:E,Dados!A:A,Imóveis!Z:Z)-SUMIF(Imóveis!E:E,Dados!A:A,Imóveis!Y:Y)</f>
        <v>0</v>
      </c>
      <c r="W262" s="18">
        <f>-SUMIF(Projetos!N:N,A262,Projetos!F:F)</f>
        <v>0</v>
      </c>
      <c r="X262" s="18">
        <f t="shared" si="35"/>
        <v>33000</v>
      </c>
      <c r="Y262" s="26">
        <f ca="1">(U262*((Indicadores_Economicos!D$2+1)^(1/12)-1))</f>
        <v>47751.709832648885</v>
      </c>
      <c r="Z262" s="18">
        <f t="shared" ca="1" si="39"/>
        <v>14667039.261549691</v>
      </c>
      <c r="AA262" s="18">
        <f ca="1">Auxiliar_Projetos!E262</f>
        <v>9.1464235004161978E-10</v>
      </c>
      <c r="AB262" s="18">
        <f ca="1">Auxiliar_Projetos!K262</f>
        <v>7.03571038493553E-10</v>
      </c>
      <c r="AC262" s="18">
        <f ca="1">IF(Z262-AA262-AB262&gt;Investimentos!$C$14,Investimentos!$C$14,IF(Z262-AA262-AB262&lt;Investimentos!$C$14,Z262-AA262-AB262,0))</f>
        <v>300000</v>
      </c>
      <c r="AD262" s="18">
        <f t="shared" ca="1" si="40"/>
        <v>14367039.261549691</v>
      </c>
      <c r="AE262" s="18"/>
    </row>
    <row r="263" spans="1:31" x14ac:dyDescent="0.2">
      <c r="A263" s="4">
        <v>53601</v>
      </c>
      <c r="B263" s="5" t="str">
        <f t="shared" si="36"/>
        <v>outubro</v>
      </c>
      <c r="C263" s="5" t="str">
        <f t="shared" si="34"/>
        <v>2046</v>
      </c>
      <c r="D263" s="5">
        <f>SUMIFS(Despesas!$F:$F,Despesas!$J:$J,"&lt;="&amp;$A263,Despesas!$L:$L,"&gt;="&amp;$A263,Despesas!$C:$C,D$1,Despesas!$M:$M,"Mensal")+SUMIFS(Despesas!$F:$F,Despesas!$J:$J,"&lt;="&amp;$A263,Despesas!$L:$L,"&gt;="&amp;$A263,Despesas!$C:$C,D$1,Despesas!$M:$M,$B263)</f>
        <v>23000</v>
      </c>
      <c r="E263" s="18">
        <f>SUMIFS(Despesas!$F:$F,Despesas!$J:$J,"&lt;="&amp;$A263,Despesas!$L:$L,"&gt;="&amp;$A263,Despesas!$C:$C,E$1,Despesas!$M:$M,"Mensal")+SUMIFS(Despesas!$F:$F,Despesas!$J:$J,"&lt;="&amp;$A263,Despesas!$L:$L,"&gt;="&amp;$A263,Despesas!$C:$C,E$1,Despesas!$M:$M,$B263)</f>
        <v>0</v>
      </c>
      <c r="F263" s="5">
        <f>SUMIFS(Despesas!$F:$F,Despesas!$J:$J,"&lt;="&amp;$A263,Despesas!$L:$L,"&gt;="&amp;$A263,Despesas!$C:$C,F$1,Despesas!$M:$M,"Mensal")+SUMIFS(Despesas!$F:$F,Despesas!$J:$J,"&lt;="&amp;$A263,Despesas!$L:$L,"&gt;="&amp;$A263,Despesas!$C:$C,F$1,Despesas!$M:$M,$B263)</f>
        <v>13000</v>
      </c>
      <c r="G263" s="5">
        <f>SUMIFS(Despesas!$F:$F,Despesas!$J:$J,"&lt;="&amp;$A263,Despesas!$L:$L,"&gt;="&amp;$A263,Despesas!$C:$C,G$1,Despesas!$M:$M,"Mensal")+SUMIFS(Despesas!$F:$F,Despesas!$J:$J,"&lt;="&amp;$A263,Despesas!$L:$L,"&gt;="&amp;$A263,Despesas!$C:$C,G$1,Despesas!$M:$M,$B263)</f>
        <v>0</v>
      </c>
      <c r="H263" s="18">
        <f>SUMIFS(Despesas!$F:$F,Despesas!$J:$J,"&lt;="&amp;$A263,Despesas!$L:$L,"&gt;="&amp;$A263,Despesas!$C:$C,H$1,Despesas!$M:$M,"Mensal")+SUMIFS(Despesas!$F:$F,Despesas!$J:$J,"&lt;="&amp;$A263,Despesas!$L:$L,"&gt;="&amp;$A263,Despesas!$C:$C,H$1,Despesas!$M:$M,$B263)</f>
        <v>1000</v>
      </c>
      <c r="I263" s="18">
        <f>IF(Imóveis!$F$2="PRICE",IF(AND(Dados!$A263&gt;=Imóveis!$Q$2,Dados!$A263&lt;=Imóveis!$T$2),Imóveis!$U$2,0),IF((IF(AND(Dados!$A263&gt;=Imóveis!$Q$2,Dados!$A263&lt;=Imóveis!$T$2),Imóveis!$S$2-(DATEDIF(Imóveis!$Q$2,Dados!$A263,"m")),0))=0,0,((Imóveis!$N$2/Imóveis!$S$2)+((Imóveis!$N$2-((Imóveis!$S$2-(IF(AND(Dados!$A263&gt;=Imóveis!$Q$2,Dados!$A263&lt;=Imóveis!$T$2),Imóveis!$S$2-(DATEDIF(Imóveis!$Q$2,Dados!$A263,"m")),)))*(Imóveis!$N$2/Imóveis!$S$2)))*Imóveis!$P$2))))*IF(AND(Imóveis!$E$2&gt;0,Dados!$A263&gt;Imóveis!$E$2),0,1)</f>
        <v>0</v>
      </c>
      <c r="J263" s="18">
        <f>IF(Imóveis!$F$3="PRICE",IF(AND(Dados!$A263&gt;=Imóveis!$Q$3,Dados!$A263&lt;=Imóveis!$T$3),Imóveis!$U$3,0),IF((IF(AND(Dados!$A263&gt;=Imóveis!$Q$3,Dados!$A263&lt;=Imóveis!$T$3),Imóveis!$S$3-(DATEDIF(Imóveis!$Q$3,Dados!$A263,"m")),0))=0,0,((Imóveis!$N$3/Imóveis!$S$3)+((Imóveis!$N$3-((Imóveis!$S$3-(IF(AND(Dados!$A263&gt;=Imóveis!$Q$3,Dados!$A263&lt;=Imóveis!$T$3),Imóveis!$S$3-(DATEDIF(Imóveis!$Q$3,Dados!$A263,"m")),)))*(Imóveis!$N$3/Imóveis!$S$3)))*Imóveis!$P$3))))*IF(AND(Imóveis!$E$3&gt;0,Dados!$A263&gt;Imóveis!$E$3),0,1)</f>
        <v>0</v>
      </c>
      <c r="K263" s="18">
        <f>IF(Imóveis!$F$4="PRICE",IF(AND(Dados!$A263&gt;=Imóveis!$Q$4,Dados!$A263&lt;=Imóveis!$T$4),Imóveis!$U$4,0),IF((IF(AND(Dados!$A263&gt;=Imóveis!$Q$4,Dados!$A263&lt;=Imóveis!$T$4),Imóveis!$S$4-(DATEDIF(Imóveis!$Q$4,Dados!$A263,"m")),0))=0,0,((Imóveis!$N$4/Imóveis!$S$4)+((Imóveis!$N$4-((Imóveis!$S$4-(IF(AND(Dados!$A263&gt;=Imóveis!$Q$4,Dados!$A263&lt;=Imóveis!$T$4),Imóveis!$S$4-(DATEDIF(Imóveis!$Q$4,Dados!$A263,"m")),)))*(Imóveis!$N$4/Imóveis!$S$4)))*Imóveis!$P$4))))*IF(AND(Imóveis!$E$4&gt;0,Dados!$A263&gt;Imóveis!$E$4),0,1)</f>
        <v>0</v>
      </c>
      <c r="L263" s="18">
        <f>IF(Imóveis!$F$5="PRICE",IF(AND(Dados!$A263&gt;=Imóveis!$Q$5,Dados!$A263&lt;=Imóveis!$T$5),Imóveis!$U$5,0),IF((IF(AND(Dados!$A263&gt;=Imóveis!$Q$5,Dados!$A263&lt;=Imóveis!$T$5),Imóveis!$S$5-(DATEDIF(Imóveis!$Q$5,Dados!$A263,"m")),0))=0,0,((Imóveis!$N$5/Imóveis!$S$5)+((Imóveis!$N$5-((Imóveis!$S$5-(IF(AND(Dados!$A263 &gt;=Imóveis!$Q$5,Dados!$A263&lt;=Imóveis!$T$5),Imóveis!$S$5-(DATEDIF(Imóveis!$Q$5,Dados!$A263,"m")),)))*(Imóveis!$N$5/Imóveis!$S$5)))*Imóveis!$P$5))))*IF(AND(Imóveis!$E$5&gt;0,Dados!$A263&gt;Imóveis!$E$5),0,1)*Imóveis!$I$5</f>
        <v>0</v>
      </c>
      <c r="M263" s="18">
        <f>IF(Imóveis!$F$6="PRICE",IF(AND(Dados!$A263&gt;=Imóveis!$Q$6,Dados!$A263&lt;=Imóveis!$T$6),Imóveis!$U$6,0),IF((IF(AND(Dados!$A263&gt;=Imóveis!$Q$6,Dados!$A263&lt;=Imóveis!$T$6),Imóveis!$S$6-(DATEDIF(Imóveis!$Q$6,Dados!$A263,"m")),0))=0,0,((Imóveis!$N$6/Imóveis!$S$6)+((Imóveis!$N$6-((Imóveis!$S$6-(IF(AND(Dados!$A263&gt;=Imóveis!$Q$6,Dados!$A263&lt;=Imóveis!$T$6),Imóveis!$S$6-(DATEDIF(Imóveis!$Q$6,Dados!$A263,"m")),)))*(Imóveis!$N$6/Imóveis!$S$6)))*Imóveis!$P$6))))*IF(AND(Imóveis!$E$6&gt;0,Dados!$A263&gt;Imóveis!$E$6),0,1)*Imóveis!$I$6</f>
        <v>0</v>
      </c>
      <c r="N263" s="18">
        <f t="shared" si="37"/>
        <v>37000</v>
      </c>
      <c r="O263" s="18">
        <f>SUMIFS(Receitas!$F:$F,Receitas!$J:$J,"&lt;="&amp;$A263,Receitas!$L:$L,"&gt;="&amp;$A263,Receitas!$C:$C,O$1,Receitas!$M:$M,"Mensal")+SUMIFS(Receitas!$F:$F,Receitas!$J:$J,"&lt;="&amp;$A263,Receitas!$L:$L,"&gt;="&amp;$A263,Receitas!$C:$C,O$1,Receitas!$M:$M,$B263)</f>
        <v>50000</v>
      </c>
      <c r="P263" s="18">
        <f>SUMIFS(Receitas!$F:$F,Receitas!$J:$J,"&lt;="&amp;$A263,Receitas!$L:$L,"&gt;="&amp;$A263,Receitas!$C:$C,P$1,Receitas!$M:$M,"Mensal")+SUMIFS(Receitas!$F:$F,Receitas!$J:$J,"&lt;="&amp;$A263,Receitas!$L:$L,"&gt;="&amp;$A263,Receitas!$C:$C,P$1,Receitas!$M:$M,$B263)</f>
        <v>20000</v>
      </c>
      <c r="Q263" s="18">
        <f>SUMIFS(Receitas!$F:$F,Receitas!$J:$J,"&lt;="&amp;$A263,Receitas!$L:$L,"&gt;="&amp;$A263,Receitas!$C:$C,Q$1,Receitas!$M:$M,"Mensal")+SUMIFS(Receitas!$F:$F,Receitas!$J:$J,"&lt;="&amp;$A263,Receitas!$L:$L,"&gt;="&amp;$A263,Receitas!$C:$C,Q$1,Receitas!$M:$M,$B263)</f>
        <v>0</v>
      </c>
      <c r="R263" s="18" cm="1">
        <f t="array" ref="R263">(IF(AND(Membros!$F$2="Sim",A263&lt;=MAX(Membros!$E$2:$E$5)),Membros!K$2,IF(AND(A263&gt;=Membros!J$2,A263&lt;=MAX(Membros!$E$2:$E$5)),Membros!K$2,0))+IF(AND(Membros!$F$3="Sim",A263&lt;=MAX(Membros!$E$2:$E$5)),Membros!K$3,IF(AND(A263&gt;=Membros!J$3,A263&lt;=MAX(Membros!$E$2:$E$5)),Membros!K$3,0)))*IF(AND(COUNTIFS(Tabela3[Tipo],"Provedor",Tabela3[Simulação Seguro],"Sim")=2,A263&gt;=MAX(IF(Tabela3[Tipo]="Dependente",Tabela3[Expectativa de Vida (Data)]))),0,1)</f>
        <v>0</v>
      </c>
      <c r="S263" s="18">
        <f t="shared" si="38"/>
        <v>70000</v>
      </c>
      <c r="U263" s="18">
        <f t="shared" ca="1" si="41"/>
        <v>14667039.261549691</v>
      </c>
      <c r="V263" s="18">
        <f>SUMIF(Imóveis!E:E,Dados!A:A,Imóveis!Z:Z)-SUMIF(Imóveis!E:E,Dados!A:A,Imóveis!Y:Y)</f>
        <v>0</v>
      </c>
      <c r="W263" s="18">
        <f>-SUMIF(Projetos!N:N,A263,Projetos!F:F)</f>
        <v>0</v>
      </c>
      <c r="X263" s="18">
        <f t="shared" si="35"/>
        <v>33000</v>
      </c>
      <c r="Y263" s="26">
        <f ca="1">(U263*((Indicadores_Economicos!D$2+1)^(1/12)-1))</f>
        <v>48016.069917608613</v>
      </c>
      <c r="Z263" s="18">
        <f t="shared" ca="1" si="39"/>
        <v>14748055.331467299</v>
      </c>
      <c r="AA263" s="18">
        <f ca="1">Auxiliar_Projetos!E263</f>
        <v>9.1763665108943493E-10</v>
      </c>
      <c r="AB263" s="18">
        <f ca="1">Auxiliar_Projetos!K263</f>
        <v>7.058743469918723E-10</v>
      </c>
      <c r="AC263" s="18">
        <f ca="1">IF(Z263-AA263-AB263&gt;Investimentos!$C$14,Investimentos!$C$14,IF(Z263-AA263-AB263&lt;Investimentos!$C$14,Z263-AA263-AB263,0))</f>
        <v>300000</v>
      </c>
      <c r="AD263" s="18">
        <f t="shared" ca="1" si="40"/>
        <v>14448055.331467299</v>
      </c>
      <c r="AE263" s="18"/>
    </row>
    <row r="264" spans="1:31" x14ac:dyDescent="0.2">
      <c r="A264" s="4">
        <v>53632</v>
      </c>
      <c r="B264" s="5" t="str">
        <f t="shared" si="36"/>
        <v>novembro</v>
      </c>
      <c r="C264" s="5" t="str">
        <f t="shared" si="34"/>
        <v>2046</v>
      </c>
      <c r="D264" s="5">
        <f>SUMIFS(Despesas!$F:$F,Despesas!$J:$J,"&lt;="&amp;$A264,Despesas!$L:$L,"&gt;="&amp;$A264,Despesas!$C:$C,D$1,Despesas!$M:$M,"Mensal")+SUMIFS(Despesas!$F:$F,Despesas!$J:$J,"&lt;="&amp;$A264,Despesas!$L:$L,"&gt;="&amp;$A264,Despesas!$C:$C,D$1,Despesas!$M:$M,$B264)</f>
        <v>23000</v>
      </c>
      <c r="E264" s="18">
        <f>SUMIFS(Despesas!$F:$F,Despesas!$J:$J,"&lt;="&amp;$A264,Despesas!$L:$L,"&gt;="&amp;$A264,Despesas!$C:$C,E$1,Despesas!$M:$M,"Mensal")+SUMIFS(Despesas!$F:$F,Despesas!$J:$J,"&lt;="&amp;$A264,Despesas!$L:$L,"&gt;="&amp;$A264,Despesas!$C:$C,E$1,Despesas!$M:$M,$B264)</f>
        <v>0</v>
      </c>
      <c r="F264" s="5">
        <f>SUMIFS(Despesas!$F:$F,Despesas!$J:$J,"&lt;="&amp;$A264,Despesas!$L:$L,"&gt;="&amp;$A264,Despesas!$C:$C,F$1,Despesas!$M:$M,"Mensal")+SUMIFS(Despesas!$F:$F,Despesas!$J:$J,"&lt;="&amp;$A264,Despesas!$L:$L,"&gt;="&amp;$A264,Despesas!$C:$C,F$1,Despesas!$M:$M,$B264)</f>
        <v>13000</v>
      </c>
      <c r="G264" s="5">
        <f>SUMIFS(Despesas!$F:$F,Despesas!$J:$J,"&lt;="&amp;$A264,Despesas!$L:$L,"&gt;="&amp;$A264,Despesas!$C:$C,G$1,Despesas!$M:$M,"Mensal")+SUMIFS(Despesas!$F:$F,Despesas!$J:$J,"&lt;="&amp;$A264,Despesas!$L:$L,"&gt;="&amp;$A264,Despesas!$C:$C,G$1,Despesas!$M:$M,$B264)</f>
        <v>0</v>
      </c>
      <c r="H264" s="18">
        <f>SUMIFS(Despesas!$F:$F,Despesas!$J:$J,"&lt;="&amp;$A264,Despesas!$L:$L,"&gt;="&amp;$A264,Despesas!$C:$C,H$1,Despesas!$M:$M,"Mensal")+SUMIFS(Despesas!$F:$F,Despesas!$J:$J,"&lt;="&amp;$A264,Despesas!$L:$L,"&gt;="&amp;$A264,Despesas!$C:$C,H$1,Despesas!$M:$M,$B264)</f>
        <v>1000</v>
      </c>
      <c r="I264" s="18">
        <f>IF(Imóveis!$F$2="PRICE",IF(AND(Dados!$A264&gt;=Imóveis!$Q$2,Dados!$A264&lt;=Imóveis!$T$2),Imóveis!$U$2,0),IF((IF(AND(Dados!$A264&gt;=Imóveis!$Q$2,Dados!$A264&lt;=Imóveis!$T$2),Imóveis!$S$2-(DATEDIF(Imóveis!$Q$2,Dados!$A264,"m")),0))=0,0,((Imóveis!$N$2/Imóveis!$S$2)+((Imóveis!$N$2-((Imóveis!$S$2-(IF(AND(Dados!$A264&gt;=Imóveis!$Q$2,Dados!$A264&lt;=Imóveis!$T$2),Imóveis!$S$2-(DATEDIF(Imóveis!$Q$2,Dados!$A264,"m")),)))*(Imóveis!$N$2/Imóveis!$S$2)))*Imóveis!$P$2))))*IF(AND(Imóveis!$E$2&gt;0,Dados!$A264&gt;Imóveis!$E$2),0,1)</f>
        <v>0</v>
      </c>
      <c r="J264" s="18">
        <f>IF(Imóveis!$F$3="PRICE",IF(AND(Dados!$A264&gt;=Imóveis!$Q$3,Dados!$A264&lt;=Imóveis!$T$3),Imóveis!$U$3,0),IF((IF(AND(Dados!$A264&gt;=Imóveis!$Q$3,Dados!$A264&lt;=Imóveis!$T$3),Imóveis!$S$3-(DATEDIF(Imóveis!$Q$3,Dados!$A264,"m")),0))=0,0,((Imóveis!$N$3/Imóveis!$S$3)+((Imóveis!$N$3-((Imóveis!$S$3-(IF(AND(Dados!$A264&gt;=Imóveis!$Q$3,Dados!$A264&lt;=Imóveis!$T$3),Imóveis!$S$3-(DATEDIF(Imóveis!$Q$3,Dados!$A264,"m")),)))*(Imóveis!$N$3/Imóveis!$S$3)))*Imóveis!$P$3))))*IF(AND(Imóveis!$E$3&gt;0,Dados!$A264&gt;Imóveis!$E$3),0,1)</f>
        <v>0</v>
      </c>
      <c r="K264" s="18">
        <f>IF(Imóveis!$F$4="PRICE",IF(AND(Dados!$A264&gt;=Imóveis!$Q$4,Dados!$A264&lt;=Imóveis!$T$4),Imóveis!$U$4,0),IF((IF(AND(Dados!$A264&gt;=Imóveis!$Q$4,Dados!$A264&lt;=Imóveis!$T$4),Imóveis!$S$4-(DATEDIF(Imóveis!$Q$4,Dados!$A264,"m")),0))=0,0,((Imóveis!$N$4/Imóveis!$S$4)+((Imóveis!$N$4-((Imóveis!$S$4-(IF(AND(Dados!$A264&gt;=Imóveis!$Q$4,Dados!$A264&lt;=Imóveis!$T$4),Imóveis!$S$4-(DATEDIF(Imóveis!$Q$4,Dados!$A264,"m")),)))*(Imóveis!$N$4/Imóveis!$S$4)))*Imóveis!$P$4))))*IF(AND(Imóveis!$E$4&gt;0,Dados!$A264&gt;Imóveis!$E$4),0,1)</f>
        <v>0</v>
      </c>
      <c r="L264" s="18">
        <f>IF(Imóveis!$F$5="PRICE",IF(AND(Dados!$A264&gt;=Imóveis!$Q$5,Dados!$A264&lt;=Imóveis!$T$5),Imóveis!$U$5,0),IF((IF(AND(Dados!$A264&gt;=Imóveis!$Q$5,Dados!$A264&lt;=Imóveis!$T$5),Imóveis!$S$5-(DATEDIF(Imóveis!$Q$5,Dados!$A264,"m")),0))=0,0,((Imóveis!$N$5/Imóveis!$S$5)+((Imóveis!$N$5-((Imóveis!$S$5-(IF(AND(Dados!$A264 &gt;=Imóveis!$Q$5,Dados!$A264&lt;=Imóveis!$T$5),Imóveis!$S$5-(DATEDIF(Imóveis!$Q$5,Dados!$A264,"m")),)))*(Imóveis!$N$5/Imóveis!$S$5)))*Imóveis!$P$5))))*IF(AND(Imóveis!$E$5&gt;0,Dados!$A264&gt;Imóveis!$E$5),0,1)*Imóveis!$I$5</f>
        <v>0</v>
      </c>
      <c r="M264" s="18">
        <f>IF(Imóveis!$F$6="PRICE",IF(AND(Dados!$A264&gt;=Imóveis!$Q$6,Dados!$A264&lt;=Imóveis!$T$6),Imóveis!$U$6,0),IF((IF(AND(Dados!$A264&gt;=Imóveis!$Q$6,Dados!$A264&lt;=Imóveis!$T$6),Imóveis!$S$6-(DATEDIF(Imóveis!$Q$6,Dados!$A264,"m")),0))=0,0,((Imóveis!$N$6/Imóveis!$S$6)+((Imóveis!$N$6-((Imóveis!$S$6-(IF(AND(Dados!$A264&gt;=Imóveis!$Q$6,Dados!$A264&lt;=Imóveis!$T$6),Imóveis!$S$6-(DATEDIF(Imóveis!$Q$6,Dados!$A264,"m")),)))*(Imóveis!$N$6/Imóveis!$S$6)))*Imóveis!$P$6))))*IF(AND(Imóveis!$E$6&gt;0,Dados!$A264&gt;Imóveis!$E$6),0,1)*Imóveis!$I$6</f>
        <v>0</v>
      </c>
      <c r="N264" s="18">
        <f t="shared" si="37"/>
        <v>37000</v>
      </c>
      <c r="O264" s="18">
        <f>SUMIFS(Receitas!$F:$F,Receitas!$J:$J,"&lt;="&amp;$A264,Receitas!$L:$L,"&gt;="&amp;$A264,Receitas!$C:$C,O$1,Receitas!$M:$M,"Mensal")+SUMIFS(Receitas!$F:$F,Receitas!$J:$J,"&lt;="&amp;$A264,Receitas!$L:$L,"&gt;="&amp;$A264,Receitas!$C:$C,O$1,Receitas!$M:$M,$B264)</f>
        <v>50000</v>
      </c>
      <c r="P264" s="18">
        <f>SUMIFS(Receitas!$F:$F,Receitas!$J:$J,"&lt;="&amp;$A264,Receitas!$L:$L,"&gt;="&amp;$A264,Receitas!$C:$C,P$1,Receitas!$M:$M,"Mensal")+SUMIFS(Receitas!$F:$F,Receitas!$J:$J,"&lt;="&amp;$A264,Receitas!$L:$L,"&gt;="&amp;$A264,Receitas!$C:$C,P$1,Receitas!$M:$M,$B264)</f>
        <v>86666.666666666672</v>
      </c>
      <c r="Q264" s="18">
        <f>SUMIFS(Receitas!$F:$F,Receitas!$J:$J,"&lt;="&amp;$A264,Receitas!$L:$L,"&gt;="&amp;$A264,Receitas!$C:$C,Q$1,Receitas!$M:$M,"Mensal")+SUMIFS(Receitas!$F:$F,Receitas!$J:$J,"&lt;="&amp;$A264,Receitas!$L:$L,"&gt;="&amp;$A264,Receitas!$C:$C,Q$1,Receitas!$M:$M,$B264)</f>
        <v>0</v>
      </c>
      <c r="R264" s="18" cm="1">
        <f t="array" ref="R264">(IF(AND(Membros!$F$2="Sim",A264&lt;=MAX(Membros!$E$2:$E$5)),Membros!K$2,IF(AND(A264&gt;=Membros!J$2,A264&lt;=MAX(Membros!$E$2:$E$5)),Membros!K$2,0))+IF(AND(Membros!$F$3="Sim",A264&lt;=MAX(Membros!$E$2:$E$5)),Membros!K$3,IF(AND(A264&gt;=Membros!J$3,A264&lt;=MAX(Membros!$E$2:$E$5)),Membros!K$3,0)))*IF(AND(COUNTIFS(Tabela3[Tipo],"Provedor",Tabela3[Simulação Seguro],"Sim")=2,A264&gt;=MAX(IF(Tabela3[Tipo]="Dependente",Tabela3[Expectativa de Vida (Data)]))),0,1)</f>
        <v>0</v>
      </c>
      <c r="S264" s="18">
        <f t="shared" si="38"/>
        <v>136666.66666666669</v>
      </c>
      <c r="U264" s="18">
        <f t="shared" ca="1" si="41"/>
        <v>14748055.331467299</v>
      </c>
      <c r="V264" s="18">
        <f>SUMIF(Imóveis!E:E,Dados!A:A,Imóveis!Z:Z)-SUMIF(Imóveis!E:E,Dados!A:A,Imóveis!Y:Y)</f>
        <v>0</v>
      </c>
      <c r="W264" s="18">
        <f>-SUMIF(Projetos!N:N,A264,Projetos!F:F)</f>
        <v>0</v>
      </c>
      <c r="X264" s="18">
        <f t="shared" si="35"/>
        <v>99666.666666666686</v>
      </c>
      <c r="Y264" s="26">
        <f ca="1">(U264*((Indicadores_Economicos!D$2+1)^(1/12)-1))</f>
        <v>48281.295448695295</v>
      </c>
      <c r="Z264" s="18">
        <f t="shared" ca="1" si="39"/>
        <v>14896003.293582659</v>
      </c>
      <c r="AA264" s="18">
        <f ca="1">Auxiliar_Projetos!E264</f>
        <v>9.2064075469971016E-10</v>
      </c>
      <c r="AB264" s="18">
        <f ca="1">Auxiliar_Projetos!K264</f>
        <v>7.0818519592285326E-10</v>
      </c>
      <c r="AC264" s="18">
        <f ca="1">IF(Z264-AA264-AB264&gt;Investimentos!$C$14,Investimentos!$C$14,IF(Z264-AA264-AB264&lt;Investimentos!$C$14,Z264-AA264-AB264,0))</f>
        <v>300000</v>
      </c>
      <c r="AD264" s="18">
        <f t="shared" ca="1" si="40"/>
        <v>14596003.293582659</v>
      </c>
      <c r="AE264" s="18"/>
    </row>
    <row r="265" spans="1:31" x14ac:dyDescent="0.2">
      <c r="A265" s="4">
        <v>53662</v>
      </c>
      <c r="B265" s="5" t="str">
        <f t="shared" si="36"/>
        <v>dezembro</v>
      </c>
      <c r="C265" s="5" t="str">
        <f t="shared" si="34"/>
        <v>2046</v>
      </c>
      <c r="D265" s="5">
        <f>SUMIFS(Despesas!$F:$F,Despesas!$J:$J,"&lt;="&amp;$A265,Despesas!$L:$L,"&gt;="&amp;$A265,Despesas!$C:$C,D$1,Despesas!$M:$M,"Mensal")+SUMIFS(Despesas!$F:$F,Despesas!$J:$J,"&lt;="&amp;$A265,Despesas!$L:$L,"&gt;="&amp;$A265,Despesas!$C:$C,D$1,Despesas!$M:$M,$B265)</f>
        <v>23000</v>
      </c>
      <c r="E265" s="18">
        <f>SUMIFS(Despesas!$F:$F,Despesas!$J:$J,"&lt;="&amp;$A265,Despesas!$L:$L,"&gt;="&amp;$A265,Despesas!$C:$C,E$1,Despesas!$M:$M,"Mensal")+SUMIFS(Despesas!$F:$F,Despesas!$J:$J,"&lt;="&amp;$A265,Despesas!$L:$L,"&gt;="&amp;$A265,Despesas!$C:$C,E$1,Despesas!$M:$M,$B265)</f>
        <v>0</v>
      </c>
      <c r="F265" s="5">
        <f>SUMIFS(Despesas!$F:$F,Despesas!$J:$J,"&lt;="&amp;$A265,Despesas!$L:$L,"&gt;="&amp;$A265,Despesas!$C:$C,F$1,Despesas!$M:$M,"Mensal")+SUMIFS(Despesas!$F:$F,Despesas!$J:$J,"&lt;="&amp;$A265,Despesas!$L:$L,"&gt;="&amp;$A265,Despesas!$C:$C,F$1,Despesas!$M:$M,$B265)</f>
        <v>13000</v>
      </c>
      <c r="G265" s="5">
        <f ca="1">SUMIFS(Despesas!$F:$F,Despesas!$J:$J,"&lt;="&amp;$A265,Despesas!$L:$L,"&gt;="&amp;$A265,Despesas!$C:$C,G$1,Despesas!$M:$M,"Mensal")+SUMIFS(Despesas!$F:$F,Despesas!$J:$J,"&lt;="&amp;$A265,Despesas!$L:$L,"&gt;="&amp;$A265,Despesas!$C:$C,G$1,Despesas!$M:$M,$B265)</f>
        <v>55757</v>
      </c>
      <c r="H265" s="18">
        <f>SUMIFS(Despesas!$F:$F,Despesas!$J:$J,"&lt;="&amp;$A265,Despesas!$L:$L,"&gt;="&amp;$A265,Despesas!$C:$C,H$1,Despesas!$M:$M,"Mensal")+SUMIFS(Despesas!$F:$F,Despesas!$J:$J,"&lt;="&amp;$A265,Despesas!$L:$L,"&gt;="&amp;$A265,Despesas!$C:$C,H$1,Despesas!$M:$M,$B265)</f>
        <v>1000</v>
      </c>
      <c r="I265" s="18">
        <f>IF(Imóveis!$F$2="PRICE",IF(AND(Dados!$A265&gt;=Imóveis!$Q$2,Dados!$A265&lt;=Imóveis!$T$2),Imóveis!$U$2,0),IF((IF(AND(Dados!$A265&gt;=Imóveis!$Q$2,Dados!$A265&lt;=Imóveis!$T$2),Imóveis!$S$2-(DATEDIF(Imóveis!$Q$2,Dados!$A265,"m")),0))=0,0,((Imóveis!$N$2/Imóveis!$S$2)+((Imóveis!$N$2-((Imóveis!$S$2-(IF(AND(Dados!$A265&gt;=Imóveis!$Q$2,Dados!$A265&lt;=Imóveis!$T$2),Imóveis!$S$2-(DATEDIF(Imóveis!$Q$2,Dados!$A265,"m")),)))*(Imóveis!$N$2/Imóveis!$S$2)))*Imóveis!$P$2))))*IF(AND(Imóveis!$E$2&gt;0,Dados!$A265&gt;Imóveis!$E$2),0,1)</f>
        <v>0</v>
      </c>
      <c r="J265" s="18">
        <f>IF(Imóveis!$F$3="PRICE",IF(AND(Dados!$A265&gt;=Imóveis!$Q$3,Dados!$A265&lt;=Imóveis!$T$3),Imóveis!$U$3,0),IF((IF(AND(Dados!$A265&gt;=Imóveis!$Q$3,Dados!$A265&lt;=Imóveis!$T$3),Imóveis!$S$3-(DATEDIF(Imóveis!$Q$3,Dados!$A265,"m")),0))=0,0,((Imóveis!$N$3/Imóveis!$S$3)+((Imóveis!$N$3-((Imóveis!$S$3-(IF(AND(Dados!$A265&gt;=Imóveis!$Q$3,Dados!$A265&lt;=Imóveis!$T$3),Imóveis!$S$3-(DATEDIF(Imóveis!$Q$3,Dados!$A265,"m")),)))*(Imóveis!$N$3/Imóveis!$S$3)))*Imóveis!$P$3))))*IF(AND(Imóveis!$E$3&gt;0,Dados!$A265&gt;Imóveis!$E$3),0,1)</f>
        <v>0</v>
      </c>
      <c r="K265" s="18">
        <f>IF(Imóveis!$F$4="PRICE",IF(AND(Dados!$A265&gt;=Imóveis!$Q$4,Dados!$A265&lt;=Imóveis!$T$4),Imóveis!$U$4,0),IF((IF(AND(Dados!$A265&gt;=Imóveis!$Q$4,Dados!$A265&lt;=Imóveis!$T$4),Imóveis!$S$4-(DATEDIF(Imóveis!$Q$4,Dados!$A265,"m")),0))=0,0,((Imóveis!$N$4/Imóveis!$S$4)+((Imóveis!$N$4-((Imóveis!$S$4-(IF(AND(Dados!$A265&gt;=Imóveis!$Q$4,Dados!$A265&lt;=Imóveis!$T$4),Imóveis!$S$4-(DATEDIF(Imóveis!$Q$4,Dados!$A265,"m")),)))*(Imóveis!$N$4/Imóveis!$S$4)))*Imóveis!$P$4))))*IF(AND(Imóveis!$E$4&gt;0,Dados!$A265&gt;Imóveis!$E$4),0,1)</f>
        <v>0</v>
      </c>
      <c r="L265" s="18">
        <f>IF(Imóveis!$F$5="PRICE",IF(AND(Dados!$A265&gt;=Imóveis!$Q$5,Dados!$A265&lt;=Imóveis!$T$5),Imóveis!$U$5,0),IF((IF(AND(Dados!$A265&gt;=Imóveis!$Q$5,Dados!$A265&lt;=Imóveis!$T$5),Imóveis!$S$5-(DATEDIF(Imóveis!$Q$5,Dados!$A265,"m")),0))=0,0,((Imóveis!$N$5/Imóveis!$S$5)+((Imóveis!$N$5-((Imóveis!$S$5-(IF(AND(Dados!$A265 &gt;=Imóveis!$Q$5,Dados!$A265&lt;=Imóveis!$T$5),Imóveis!$S$5-(DATEDIF(Imóveis!$Q$5,Dados!$A265,"m")),)))*(Imóveis!$N$5/Imóveis!$S$5)))*Imóveis!$P$5))))*IF(AND(Imóveis!$E$5&gt;0,Dados!$A265&gt;Imóveis!$E$5),0,1)*Imóveis!$I$5</f>
        <v>0</v>
      </c>
      <c r="M265" s="18">
        <f>IF(Imóveis!$F$6="PRICE",IF(AND(Dados!$A265&gt;=Imóveis!$Q$6,Dados!$A265&lt;=Imóveis!$T$6),Imóveis!$U$6,0),IF((IF(AND(Dados!$A265&gt;=Imóveis!$Q$6,Dados!$A265&lt;=Imóveis!$T$6),Imóveis!$S$6-(DATEDIF(Imóveis!$Q$6,Dados!$A265,"m")),0))=0,0,((Imóveis!$N$6/Imóveis!$S$6)+((Imóveis!$N$6-((Imóveis!$S$6-(IF(AND(Dados!$A265&gt;=Imóveis!$Q$6,Dados!$A265&lt;=Imóveis!$T$6),Imóveis!$S$6-(DATEDIF(Imóveis!$Q$6,Dados!$A265,"m")),)))*(Imóveis!$N$6/Imóveis!$S$6)))*Imóveis!$P$6))))*IF(AND(Imóveis!$E$6&gt;0,Dados!$A265&gt;Imóveis!$E$6),0,1)*Imóveis!$I$6</f>
        <v>0</v>
      </c>
      <c r="N265" s="18">
        <f t="shared" ca="1" si="37"/>
        <v>92757</v>
      </c>
      <c r="O265" s="18">
        <f>SUMIFS(Receitas!$F:$F,Receitas!$J:$J,"&lt;="&amp;$A265,Receitas!$L:$L,"&gt;="&amp;$A265,Receitas!$C:$C,O$1,Receitas!$M:$M,"Mensal")+SUMIFS(Receitas!$F:$F,Receitas!$J:$J,"&lt;="&amp;$A265,Receitas!$L:$L,"&gt;="&amp;$A265,Receitas!$C:$C,O$1,Receitas!$M:$M,$B265)</f>
        <v>50000</v>
      </c>
      <c r="P265" s="18">
        <f>SUMIFS(Receitas!$F:$F,Receitas!$J:$J,"&lt;="&amp;$A265,Receitas!$L:$L,"&gt;="&amp;$A265,Receitas!$C:$C,P$1,Receitas!$M:$M,"Mensal")+SUMIFS(Receitas!$F:$F,Receitas!$J:$J,"&lt;="&amp;$A265,Receitas!$L:$L,"&gt;="&amp;$A265,Receitas!$C:$C,P$1,Receitas!$M:$M,$B265)</f>
        <v>20000</v>
      </c>
      <c r="Q265" s="18">
        <f>SUMIFS(Receitas!$F:$F,Receitas!$J:$J,"&lt;="&amp;$A265,Receitas!$L:$L,"&gt;="&amp;$A265,Receitas!$C:$C,Q$1,Receitas!$M:$M,"Mensal")+SUMIFS(Receitas!$F:$F,Receitas!$J:$J,"&lt;="&amp;$A265,Receitas!$L:$L,"&gt;="&amp;$A265,Receitas!$C:$C,Q$1,Receitas!$M:$M,$B265)</f>
        <v>0</v>
      </c>
      <c r="R265" s="18" cm="1">
        <f t="array" ref="R265">(IF(AND(Membros!$F$2="Sim",A265&lt;=MAX(Membros!$E$2:$E$5)),Membros!K$2,IF(AND(A265&gt;=Membros!J$2,A265&lt;=MAX(Membros!$E$2:$E$5)),Membros!K$2,0))+IF(AND(Membros!$F$3="Sim",A265&lt;=MAX(Membros!$E$2:$E$5)),Membros!K$3,IF(AND(A265&gt;=Membros!J$3,A265&lt;=MAX(Membros!$E$2:$E$5)),Membros!K$3,0)))*IF(AND(COUNTIFS(Tabela3[Tipo],"Provedor",Tabela3[Simulação Seguro],"Sim")=2,A265&gt;=MAX(IF(Tabela3[Tipo]="Dependente",Tabela3[Expectativa de Vida (Data)]))),0,1)</f>
        <v>0</v>
      </c>
      <c r="S265" s="18">
        <f t="shared" si="38"/>
        <v>70000</v>
      </c>
      <c r="U265" s="18">
        <f t="shared" ca="1" si="41"/>
        <v>14896003.293582659</v>
      </c>
      <c r="V265" s="18">
        <f>SUMIF(Imóveis!E:E,Dados!A:A,Imóveis!Z:Z)-SUMIF(Imóveis!E:E,Dados!A:A,Imóveis!Y:Y)</f>
        <v>0</v>
      </c>
      <c r="W265" s="18">
        <f>-SUMIF(Projetos!N:N,A265,Projetos!F:F)</f>
        <v>0</v>
      </c>
      <c r="X265" s="18">
        <f t="shared" ca="1" si="35"/>
        <v>-22757</v>
      </c>
      <c r="Y265" s="26">
        <f ca="1">(U265*((Indicadores_Economicos!D$2+1)^(1/12)-1))</f>
        <v>48765.638577967606</v>
      </c>
      <c r="Z265" s="18">
        <f t="shared" ca="1" si="39"/>
        <v>14922011.932160627</v>
      </c>
      <c r="AA265" s="18">
        <f ca="1">Auxiliar_Projetos!E265</f>
        <v>9.2365469296348427E-10</v>
      </c>
      <c r="AB265" s="18">
        <f ca="1">Auxiliar_Projetos!K265</f>
        <v>7.1050360997191022E-10</v>
      </c>
      <c r="AC265" s="18">
        <f ca="1">IF(Z265-AA265-AB265&gt;Investimentos!$C$14,Investimentos!$C$14,IF(Z265-AA265-AB265&lt;Investimentos!$C$14,Z265-AA265-AB265,0))</f>
        <v>300000</v>
      </c>
      <c r="AD265" s="18">
        <f t="shared" ca="1" si="40"/>
        <v>14622011.932160627</v>
      </c>
      <c r="AE265" s="18"/>
    </row>
    <row r="266" spans="1:31" x14ac:dyDescent="0.2">
      <c r="A266" s="4">
        <v>53693</v>
      </c>
      <c r="B266" s="5" t="str">
        <f t="shared" si="36"/>
        <v>janeiro</v>
      </c>
      <c r="C266" s="5" t="str">
        <f t="shared" si="34"/>
        <v>2047</v>
      </c>
      <c r="D266" s="5">
        <f>SUMIFS(Despesas!$F:$F,Despesas!$J:$J,"&lt;="&amp;$A266,Despesas!$L:$L,"&gt;="&amp;$A266,Despesas!$C:$C,D$1,Despesas!$M:$M,"Mensal")+SUMIFS(Despesas!$F:$F,Despesas!$J:$J,"&lt;="&amp;$A266,Despesas!$L:$L,"&gt;="&amp;$A266,Despesas!$C:$C,D$1,Despesas!$M:$M,$B266)</f>
        <v>23000</v>
      </c>
      <c r="E266" s="18">
        <f>SUMIFS(Despesas!$F:$F,Despesas!$J:$J,"&lt;="&amp;$A266,Despesas!$L:$L,"&gt;="&amp;$A266,Despesas!$C:$C,E$1,Despesas!$M:$M,"Mensal")+SUMIFS(Despesas!$F:$F,Despesas!$J:$J,"&lt;="&amp;$A266,Despesas!$L:$L,"&gt;="&amp;$A266,Despesas!$C:$C,E$1,Despesas!$M:$M,$B266)</f>
        <v>0</v>
      </c>
      <c r="F266" s="5">
        <f>SUMIFS(Despesas!$F:$F,Despesas!$J:$J,"&lt;="&amp;$A266,Despesas!$L:$L,"&gt;="&amp;$A266,Despesas!$C:$C,F$1,Despesas!$M:$M,"Mensal")+SUMIFS(Despesas!$F:$F,Despesas!$J:$J,"&lt;="&amp;$A266,Despesas!$L:$L,"&gt;="&amp;$A266,Despesas!$C:$C,F$1,Despesas!$M:$M,$B266)</f>
        <v>13000</v>
      </c>
      <c r="G266" s="5">
        <f>SUMIFS(Despesas!$F:$F,Despesas!$J:$J,"&lt;="&amp;$A266,Despesas!$L:$L,"&gt;="&amp;$A266,Despesas!$C:$C,G$1,Despesas!$M:$M,"Mensal")+SUMIFS(Despesas!$F:$F,Despesas!$J:$J,"&lt;="&amp;$A266,Despesas!$L:$L,"&gt;="&amp;$A266,Despesas!$C:$C,G$1,Despesas!$M:$M,$B266)</f>
        <v>0</v>
      </c>
      <c r="H266" s="18">
        <f>SUMIFS(Despesas!$F:$F,Despesas!$J:$J,"&lt;="&amp;$A266,Despesas!$L:$L,"&gt;="&amp;$A266,Despesas!$C:$C,H$1,Despesas!$M:$M,"Mensal")+SUMIFS(Despesas!$F:$F,Despesas!$J:$J,"&lt;="&amp;$A266,Despesas!$L:$L,"&gt;="&amp;$A266,Despesas!$C:$C,H$1,Despesas!$M:$M,$B266)</f>
        <v>1000</v>
      </c>
      <c r="I266" s="18">
        <f>IF(Imóveis!$F$2="PRICE",IF(AND(Dados!$A266&gt;=Imóveis!$Q$2,Dados!$A266&lt;=Imóveis!$T$2),Imóveis!$U$2,0),IF((IF(AND(Dados!$A266&gt;=Imóveis!$Q$2,Dados!$A266&lt;=Imóveis!$T$2),Imóveis!$S$2-(DATEDIF(Imóveis!$Q$2,Dados!$A266,"m")),0))=0,0,((Imóveis!$N$2/Imóveis!$S$2)+((Imóveis!$N$2-((Imóveis!$S$2-(IF(AND(Dados!$A266&gt;=Imóveis!$Q$2,Dados!$A266&lt;=Imóveis!$T$2),Imóveis!$S$2-(DATEDIF(Imóveis!$Q$2,Dados!$A266,"m")),)))*(Imóveis!$N$2/Imóveis!$S$2)))*Imóveis!$P$2))))*IF(AND(Imóveis!$E$2&gt;0,Dados!$A266&gt;Imóveis!$E$2),0,1)</f>
        <v>0</v>
      </c>
      <c r="J266" s="18">
        <f>IF(Imóveis!$F$3="PRICE",IF(AND(Dados!$A266&gt;=Imóveis!$Q$3,Dados!$A266&lt;=Imóveis!$T$3),Imóveis!$U$3,0),IF((IF(AND(Dados!$A266&gt;=Imóveis!$Q$3,Dados!$A266&lt;=Imóveis!$T$3),Imóveis!$S$3-(DATEDIF(Imóveis!$Q$3,Dados!$A266,"m")),0))=0,0,((Imóveis!$N$3/Imóveis!$S$3)+((Imóveis!$N$3-((Imóveis!$S$3-(IF(AND(Dados!$A266&gt;=Imóveis!$Q$3,Dados!$A266&lt;=Imóveis!$T$3),Imóveis!$S$3-(DATEDIF(Imóveis!$Q$3,Dados!$A266,"m")),)))*(Imóveis!$N$3/Imóveis!$S$3)))*Imóveis!$P$3))))*IF(AND(Imóveis!$E$3&gt;0,Dados!$A266&gt;Imóveis!$E$3),0,1)</f>
        <v>0</v>
      </c>
      <c r="K266" s="18">
        <f>IF(Imóveis!$F$4="PRICE",IF(AND(Dados!$A266&gt;=Imóveis!$Q$4,Dados!$A266&lt;=Imóveis!$T$4),Imóveis!$U$4,0),IF((IF(AND(Dados!$A266&gt;=Imóveis!$Q$4,Dados!$A266&lt;=Imóveis!$T$4),Imóveis!$S$4-(DATEDIF(Imóveis!$Q$4,Dados!$A266,"m")),0))=0,0,((Imóveis!$N$4/Imóveis!$S$4)+((Imóveis!$N$4-((Imóveis!$S$4-(IF(AND(Dados!$A266&gt;=Imóveis!$Q$4,Dados!$A266&lt;=Imóveis!$T$4),Imóveis!$S$4-(DATEDIF(Imóveis!$Q$4,Dados!$A266,"m")),)))*(Imóveis!$N$4/Imóveis!$S$4)))*Imóveis!$P$4))))*IF(AND(Imóveis!$E$4&gt;0,Dados!$A266&gt;Imóveis!$E$4),0,1)</f>
        <v>0</v>
      </c>
      <c r="L266" s="18">
        <f>IF(Imóveis!$F$5="PRICE",IF(AND(Dados!$A266&gt;=Imóveis!$Q$5,Dados!$A266&lt;=Imóveis!$T$5),Imóveis!$U$5,0),IF((IF(AND(Dados!$A266&gt;=Imóveis!$Q$5,Dados!$A266&lt;=Imóveis!$T$5),Imóveis!$S$5-(DATEDIF(Imóveis!$Q$5,Dados!$A266,"m")),0))=0,0,((Imóveis!$N$5/Imóveis!$S$5)+((Imóveis!$N$5-((Imóveis!$S$5-(IF(AND(Dados!$A266 &gt;=Imóveis!$Q$5,Dados!$A266&lt;=Imóveis!$T$5),Imóveis!$S$5-(DATEDIF(Imóveis!$Q$5,Dados!$A266,"m")),)))*(Imóveis!$N$5/Imóveis!$S$5)))*Imóveis!$P$5))))*IF(AND(Imóveis!$E$5&gt;0,Dados!$A266&gt;Imóveis!$E$5),0,1)*Imóveis!$I$5</f>
        <v>0</v>
      </c>
      <c r="M266" s="18">
        <f>IF(Imóveis!$F$6="PRICE",IF(AND(Dados!$A266&gt;=Imóveis!$Q$6,Dados!$A266&lt;=Imóveis!$T$6),Imóveis!$U$6,0),IF((IF(AND(Dados!$A266&gt;=Imóveis!$Q$6,Dados!$A266&lt;=Imóveis!$T$6),Imóveis!$S$6-(DATEDIF(Imóveis!$Q$6,Dados!$A266,"m")),0))=0,0,((Imóveis!$N$6/Imóveis!$S$6)+((Imóveis!$N$6-((Imóveis!$S$6-(IF(AND(Dados!$A266&gt;=Imóveis!$Q$6,Dados!$A266&lt;=Imóveis!$T$6),Imóveis!$S$6-(DATEDIF(Imóveis!$Q$6,Dados!$A266,"m")),)))*(Imóveis!$N$6/Imóveis!$S$6)))*Imóveis!$P$6))))*IF(AND(Imóveis!$E$6&gt;0,Dados!$A266&gt;Imóveis!$E$6),0,1)*Imóveis!$I$6</f>
        <v>0</v>
      </c>
      <c r="N266" s="18">
        <f t="shared" si="37"/>
        <v>37000</v>
      </c>
      <c r="O266" s="18">
        <f>SUMIFS(Receitas!$F:$F,Receitas!$J:$J,"&lt;="&amp;$A266,Receitas!$L:$L,"&gt;="&amp;$A266,Receitas!$C:$C,O$1,Receitas!$M:$M,"Mensal")+SUMIFS(Receitas!$F:$F,Receitas!$J:$J,"&lt;="&amp;$A266,Receitas!$L:$L,"&gt;="&amp;$A266,Receitas!$C:$C,O$1,Receitas!$M:$M,$B266)</f>
        <v>50000</v>
      </c>
      <c r="P266" s="18">
        <f>SUMIFS(Receitas!$F:$F,Receitas!$J:$J,"&lt;="&amp;$A266,Receitas!$L:$L,"&gt;="&amp;$A266,Receitas!$C:$C,P$1,Receitas!$M:$M,"Mensal")+SUMIFS(Receitas!$F:$F,Receitas!$J:$J,"&lt;="&amp;$A266,Receitas!$L:$L,"&gt;="&amp;$A266,Receitas!$C:$C,P$1,Receitas!$M:$M,$B266)</f>
        <v>20000</v>
      </c>
      <c r="Q266" s="18">
        <f>SUMIFS(Receitas!$F:$F,Receitas!$J:$J,"&lt;="&amp;$A266,Receitas!$L:$L,"&gt;="&amp;$A266,Receitas!$C:$C,Q$1,Receitas!$M:$M,"Mensal")+SUMIFS(Receitas!$F:$F,Receitas!$J:$J,"&lt;="&amp;$A266,Receitas!$L:$L,"&gt;="&amp;$A266,Receitas!$C:$C,Q$1,Receitas!$M:$M,$B266)</f>
        <v>0</v>
      </c>
      <c r="R266" s="18" cm="1">
        <f t="array" ref="R266">(IF(AND(Membros!$F$2="Sim",A266&lt;=MAX(Membros!$E$2:$E$5)),Membros!K$2,IF(AND(A266&gt;=Membros!J$2,A266&lt;=MAX(Membros!$E$2:$E$5)),Membros!K$2,0))+IF(AND(Membros!$F$3="Sim",A266&lt;=MAX(Membros!$E$2:$E$5)),Membros!K$3,IF(AND(A266&gt;=Membros!J$3,A266&lt;=MAX(Membros!$E$2:$E$5)),Membros!K$3,0)))*IF(AND(COUNTIFS(Tabela3[Tipo],"Provedor",Tabela3[Simulação Seguro],"Sim")=2,A266&gt;=MAX(IF(Tabela3[Tipo]="Dependente",Tabela3[Expectativa de Vida (Data)]))),0,1)</f>
        <v>0</v>
      </c>
      <c r="S266" s="18">
        <f t="shared" si="38"/>
        <v>70000</v>
      </c>
      <c r="U266" s="18">
        <f t="shared" ca="1" si="41"/>
        <v>14922011.932160627</v>
      </c>
      <c r="V266" s="18">
        <f>SUMIF(Imóveis!E:E,Dados!A:A,Imóveis!Z:Z)-SUMIF(Imóveis!E:E,Dados!A:A,Imóveis!Y:Y)</f>
        <v>0</v>
      </c>
      <c r="W266" s="18">
        <f>-SUMIF(Projetos!N:N,A266,Projetos!F:F)</f>
        <v>0</v>
      </c>
      <c r="X266" s="18">
        <f t="shared" si="35"/>
        <v>33000</v>
      </c>
      <c r="Y266" s="26">
        <f ca="1">(U266*((Indicadores_Economicos!D$2+1)^(1/12)-1))</f>
        <v>48850.784092761132</v>
      </c>
      <c r="Z266" s="18">
        <f t="shared" ca="1" si="39"/>
        <v>15003862.716253389</v>
      </c>
      <c r="AA266" s="18">
        <f ca="1">Auxiliar_Projetos!E266</f>
        <v>9.2667849807685356E-10</v>
      </c>
      <c r="AB266" s="18">
        <f ca="1">Auxiliar_Projetos!K266</f>
        <v>7.1282961390527118E-10</v>
      </c>
      <c r="AC266" s="18">
        <f ca="1">IF(Z266-AA266-AB266&gt;Investimentos!$C$14,Investimentos!$C$14,IF(Z266-AA266-AB266&lt;Investimentos!$C$14,Z266-AA266-AB266,0))</f>
        <v>300000</v>
      </c>
      <c r="AD266" s="18">
        <f t="shared" ca="1" si="40"/>
        <v>14703862.716253389</v>
      </c>
      <c r="AE266" s="18"/>
    </row>
    <row r="267" spans="1:31" x14ac:dyDescent="0.2">
      <c r="A267" s="4">
        <v>53724</v>
      </c>
      <c r="B267" s="5" t="str">
        <f t="shared" si="36"/>
        <v>fevereiro</v>
      </c>
      <c r="C267" s="5" t="str">
        <f t="shared" si="34"/>
        <v>2047</v>
      </c>
      <c r="D267" s="5">
        <f>SUMIFS(Despesas!$F:$F,Despesas!$J:$J,"&lt;="&amp;$A267,Despesas!$L:$L,"&gt;="&amp;$A267,Despesas!$C:$C,D$1,Despesas!$M:$M,"Mensal")+SUMIFS(Despesas!$F:$F,Despesas!$J:$J,"&lt;="&amp;$A267,Despesas!$L:$L,"&gt;="&amp;$A267,Despesas!$C:$C,D$1,Despesas!$M:$M,$B267)</f>
        <v>23000</v>
      </c>
      <c r="E267" s="18">
        <f>SUMIFS(Despesas!$F:$F,Despesas!$J:$J,"&lt;="&amp;$A267,Despesas!$L:$L,"&gt;="&amp;$A267,Despesas!$C:$C,E$1,Despesas!$M:$M,"Mensal")+SUMIFS(Despesas!$F:$F,Despesas!$J:$J,"&lt;="&amp;$A267,Despesas!$L:$L,"&gt;="&amp;$A267,Despesas!$C:$C,E$1,Despesas!$M:$M,$B267)</f>
        <v>0</v>
      </c>
      <c r="F267" s="5">
        <f>SUMIFS(Despesas!$F:$F,Despesas!$J:$J,"&lt;="&amp;$A267,Despesas!$L:$L,"&gt;="&amp;$A267,Despesas!$C:$C,F$1,Despesas!$M:$M,"Mensal")+SUMIFS(Despesas!$F:$F,Despesas!$J:$J,"&lt;="&amp;$A267,Despesas!$L:$L,"&gt;="&amp;$A267,Despesas!$C:$C,F$1,Despesas!$M:$M,$B267)</f>
        <v>13000</v>
      </c>
      <c r="G267" s="5">
        <f>SUMIFS(Despesas!$F:$F,Despesas!$J:$J,"&lt;="&amp;$A267,Despesas!$L:$L,"&gt;="&amp;$A267,Despesas!$C:$C,G$1,Despesas!$M:$M,"Mensal")+SUMIFS(Despesas!$F:$F,Despesas!$J:$J,"&lt;="&amp;$A267,Despesas!$L:$L,"&gt;="&amp;$A267,Despesas!$C:$C,G$1,Despesas!$M:$M,$B267)</f>
        <v>0</v>
      </c>
      <c r="H267" s="18">
        <f>SUMIFS(Despesas!$F:$F,Despesas!$J:$J,"&lt;="&amp;$A267,Despesas!$L:$L,"&gt;="&amp;$A267,Despesas!$C:$C,H$1,Despesas!$M:$M,"Mensal")+SUMIFS(Despesas!$F:$F,Despesas!$J:$J,"&lt;="&amp;$A267,Despesas!$L:$L,"&gt;="&amp;$A267,Despesas!$C:$C,H$1,Despesas!$M:$M,$B267)</f>
        <v>2200</v>
      </c>
      <c r="I267" s="18">
        <f>IF(Imóveis!$F$2="PRICE",IF(AND(Dados!$A267&gt;=Imóveis!$Q$2,Dados!$A267&lt;=Imóveis!$T$2),Imóveis!$U$2,0),IF((IF(AND(Dados!$A267&gt;=Imóveis!$Q$2,Dados!$A267&lt;=Imóveis!$T$2),Imóveis!$S$2-(DATEDIF(Imóveis!$Q$2,Dados!$A267,"m")),0))=0,0,((Imóveis!$N$2/Imóveis!$S$2)+((Imóveis!$N$2-((Imóveis!$S$2-(IF(AND(Dados!$A267&gt;=Imóveis!$Q$2,Dados!$A267&lt;=Imóveis!$T$2),Imóveis!$S$2-(DATEDIF(Imóveis!$Q$2,Dados!$A267,"m")),)))*(Imóveis!$N$2/Imóveis!$S$2)))*Imóveis!$P$2))))*IF(AND(Imóveis!$E$2&gt;0,Dados!$A267&gt;Imóveis!$E$2),0,1)</f>
        <v>0</v>
      </c>
      <c r="J267" s="18">
        <f>IF(Imóveis!$F$3="PRICE",IF(AND(Dados!$A267&gt;=Imóveis!$Q$3,Dados!$A267&lt;=Imóveis!$T$3),Imóveis!$U$3,0),IF((IF(AND(Dados!$A267&gt;=Imóveis!$Q$3,Dados!$A267&lt;=Imóveis!$T$3),Imóveis!$S$3-(DATEDIF(Imóveis!$Q$3,Dados!$A267,"m")),0))=0,0,((Imóveis!$N$3/Imóveis!$S$3)+((Imóveis!$N$3-((Imóveis!$S$3-(IF(AND(Dados!$A267&gt;=Imóveis!$Q$3,Dados!$A267&lt;=Imóveis!$T$3),Imóveis!$S$3-(DATEDIF(Imóveis!$Q$3,Dados!$A267,"m")),)))*(Imóveis!$N$3/Imóveis!$S$3)))*Imóveis!$P$3))))*IF(AND(Imóveis!$E$3&gt;0,Dados!$A267&gt;Imóveis!$E$3),0,1)</f>
        <v>0</v>
      </c>
      <c r="K267" s="18">
        <f>IF(Imóveis!$F$4="PRICE",IF(AND(Dados!$A267&gt;=Imóveis!$Q$4,Dados!$A267&lt;=Imóveis!$T$4),Imóveis!$U$4,0),IF((IF(AND(Dados!$A267&gt;=Imóveis!$Q$4,Dados!$A267&lt;=Imóveis!$T$4),Imóveis!$S$4-(DATEDIF(Imóveis!$Q$4,Dados!$A267,"m")),0))=0,0,((Imóveis!$N$4/Imóveis!$S$4)+((Imóveis!$N$4-((Imóveis!$S$4-(IF(AND(Dados!$A267&gt;=Imóveis!$Q$4,Dados!$A267&lt;=Imóveis!$T$4),Imóveis!$S$4-(DATEDIF(Imóveis!$Q$4,Dados!$A267,"m")),)))*(Imóveis!$N$4/Imóveis!$S$4)))*Imóveis!$P$4))))*IF(AND(Imóveis!$E$4&gt;0,Dados!$A267&gt;Imóveis!$E$4),0,1)</f>
        <v>0</v>
      </c>
      <c r="L267" s="18">
        <f>IF(Imóveis!$F$5="PRICE",IF(AND(Dados!$A267&gt;=Imóveis!$Q$5,Dados!$A267&lt;=Imóveis!$T$5),Imóveis!$U$5,0),IF((IF(AND(Dados!$A267&gt;=Imóveis!$Q$5,Dados!$A267&lt;=Imóveis!$T$5),Imóveis!$S$5-(DATEDIF(Imóveis!$Q$5,Dados!$A267,"m")),0))=0,0,((Imóveis!$N$5/Imóveis!$S$5)+((Imóveis!$N$5-((Imóveis!$S$5-(IF(AND(Dados!$A267 &gt;=Imóveis!$Q$5,Dados!$A267&lt;=Imóveis!$T$5),Imóveis!$S$5-(DATEDIF(Imóveis!$Q$5,Dados!$A267,"m")),)))*(Imóveis!$N$5/Imóveis!$S$5)))*Imóveis!$P$5))))*IF(AND(Imóveis!$E$5&gt;0,Dados!$A267&gt;Imóveis!$E$5),0,1)*Imóveis!$I$5</f>
        <v>0</v>
      </c>
      <c r="M267" s="18">
        <f>IF(Imóveis!$F$6="PRICE",IF(AND(Dados!$A267&gt;=Imóveis!$Q$6,Dados!$A267&lt;=Imóveis!$T$6),Imóveis!$U$6,0),IF((IF(AND(Dados!$A267&gt;=Imóveis!$Q$6,Dados!$A267&lt;=Imóveis!$T$6),Imóveis!$S$6-(DATEDIF(Imóveis!$Q$6,Dados!$A267,"m")),0))=0,0,((Imóveis!$N$6/Imóveis!$S$6)+((Imóveis!$N$6-((Imóveis!$S$6-(IF(AND(Dados!$A267&gt;=Imóveis!$Q$6,Dados!$A267&lt;=Imóveis!$T$6),Imóveis!$S$6-(DATEDIF(Imóveis!$Q$6,Dados!$A267,"m")),)))*(Imóveis!$N$6/Imóveis!$S$6)))*Imóveis!$P$6))))*IF(AND(Imóveis!$E$6&gt;0,Dados!$A267&gt;Imóveis!$E$6),0,1)*Imóveis!$I$6</f>
        <v>0</v>
      </c>
      <c r="N267" s="18">
        <f t="shared" si="37"/>
        <v>38200</v>
      </c>
      <c r="O267" s="18">
        <f>SUMIFS(Receitas!$F:$F,Receitas!$J:$J,"&lt;="&amp;$A267,Receitas!$L:$L,"&gt;="&amp;$A267,Receitas!$C:$C,O$1,Receitas!$M:$M,"Mensal")+SUMIFS(Receitas!$F:$F,Receitas!$J:$J,"&lt;="&amp;$A267,Receitas!$L:$L,"&gt;="&amp;$A267,Receitas!$C:$C,O$1,Receitas!$M:$M,$B267)</f>
        <v>50000</v>
      </c>
      <c r="P267" s="18">
        <f>SUMIFS(Receitas!$F:$F,Receitas!$J:$J,"&lt;="&amp;$A267,Receitas!$L:$L,"&gt;="&amp;$A267,Receitas!$C:$C,P$1,Receitas!$M:$M,"Mensal")+SUMIFS(Receitas!$F:$F,Receitas!$J:$J,"&lt;="&amp;$A267,Receitas!$L:$L,"&gt;="&amp;$A267,Receitas!$C:$C,P$1,Receitas!$M:$M,$B267)</f>
        <v>20000</v>
      </c>
      <c r="Q267" s="18">
        <f>SUMIFS(Receitas!$F:$F,Receitas!$J:$J,"&lt;="&amp;$A267,Receitas!$L:$L,"&gt;="&amp;$A267,Receitas!$C:$C,Q$1,Receitas!$M:$M,"Mensal")+SUMIFS(Receitas!$F:$F,Receitas!$J:$J,"&lt;="&amp;$A267,Receitas!$L:$L,"&gt;="&amp;$A267,Receitas!$C:$C,Q$1,Receitas!$M:$M,$B267)</f>
        <v>0</v>
      </c>
      <c r="R267" s="18" cm="1">
        <f t="array" ref="R267">(IF(AND(Membros!$F$2="Sim",A267&lt;=MAX(Membros!$E$2:$E$5)),Membros!K$2,IF(AND(A267&gt;=Membros!J$2,A267&lt;=MAX(Membros!$E$2:$E$5)),Membros!K$2,0))+IF(AND(Membros!$F$3="Sim",A267&lt;=MAX(Membros!$E$2:$E$5)),Membros!K$3,IF(AND(A267&gt;=Membros!J$3,A267&lt;=MAX(Membros!$E$2:$E$5)),Membros!K$3,0)))*IF(AND(COUNTIFS(Tabela3[Tipo],"Provedor",Tabela3[Simulação Seguro],"Sim")=2,A267&gt;=MAX(IF(Tabela3[Tipo]="Dependente",Tabela3[Expectativa de Vida (Data)]))),0,1)</f>
        <v>0</v>
      </c>
      <c r="S267" s="18">
        <f t="shared" si="38"/>
        <v>70000</v>
      </c>
      <c r="U267" s="18">
        <f t="shared" ca="1" si="41"/>
        <v>15003862.716253389</v>
      </c>
      <c r="V267" s="18">
        <f>SUMIF(Imóveis!E:E,Dados!A:A,Imóveis!Z:Z)-SUMIF(Imóveis!E:E,Dados!A:A,Imóveis!Y:Y)</f>
        <v>0</v>
      </c>
      <c r="W267" s="18">
        <f>-SUMIF(Projetos!N:N,A267,Projetos!F:F)</f>
        <v>0</v>
      </c>
      <c r="X267" s="18">
        <f t="shared" si="35"/>
        <v>31800</v>
      </c>
      <c r="Y267" s="26">
        <f ca="1">(U267*((Indicadores_Economicos!D$2+1)^(1/12)-1))</f>
        <v>49118.74226084978</v>
      </c>
      <c r="Z267" s="18">
        <f t="shared" ca="1" si="39"/>
        <v>15084781.458514238</v>
      </c>
      <c r="AA267" s="18">
        <f ca="1">Auxiliar_Projetos!E267</f>
        <v>9.2971220234131608E-10</v>
      </c>
      <c r="AB267" s="18">
        <f ca="1">Auxiliar_Projetos!K267</f>
        <v>7.1516323257024233E-10</v>
      </c>
      <c r="AC267" s="18">
        <f ca="1">IF(Z267-AA267-AB267&gt;Investimentos!$C$14,Investimentos!$C$14,IF(Z267-AA267-AB267&lt;Investimentos!$C$14,Z267-AA267-AB267,0))</f>
        <v>300000</v>
      </c>
      <c r="AD267" s="18">
        <f t="shared" ca="1" si="40"/>
        <v>14784781.458514238</v>
      </c>
      <c r="AE267" s="18"/>
    </row>
    <row r="268" spans="1:31" x14ac:dyDescent="0.2">
      <c r="A268" s="4">
        <v>53752</v>
      </c>
      <c r="B268" s="5" t="str">
        <f t="shared" si="36"/>
        <v>março</v>
      </c>
      <c r="C268" s="5" t="str">
        <f t="shared" si="34"/>
        <v>2047</v>
      </c>
      <c r="D268" s="5">
        <f>SUMIFS(Despesas!$F:$F,Despesas!$J:$J,"&lt;="&amp;$A268,Despesas!$L:$L,"&gt;="&amp;$A268,Despesas!$C:$C,D$1,Despesas!$M:$M,"Mensal")+SUMIFS(Despesas!$F:$F,Despesas!$J:$J,"&lt;="&amp;$A268,Despesas!$L:$L,"&gt;="&amp;$A268,Despesas!$C:$C,D$1,Despesas!$M:$M,$B268)</f>
        <v>23000</v>
      </c>
      <c r="E268" s="18">
        <f>SUMIFS(Despesas!$F:$F,Despesas!$J:$J,"&lt;="&amp;$A268,Despesas!$L:$L,"&gt;="&amp;$A268,Despesas!$C:$C,E$1,Despesas!$M:$M,"Mensal")+SUMIFS(Despesas!$F:$F,Despesas!$J:$J,"&lt;="&amp;$A268,Despesas!$L:$L,"&gt;="&amp;$A268,Despesas!$C:$C,E$1,Despesas!$M:$M,$B268)</f>
        <v>0</v>
      </c>
      <c r="F268" s="5">
        <f>SUMIFS(Despesas!$F:$F,Despesas!$J:$J,"&lt;="&amp;$A268,Despesas!$L:$L,"&gt;="&amp;$A268,Despesas!$C:$C,F$1,Despesas!$M:$M,"Mensal")+SUMIFS(Despesas!$F:$F,Despesas!$J:$J,"&lt;="&amp;$A268,Despesas!$L:$L,"&gt;="&amp;$A268,Despesas!$C:$C,F$1,Despesas!$M:$M,$B268)</f>
        <v>13000</v>
      </c>
      <c r="G268" s="5">
        <f>SUMIFS(Despesas!$F:$F,Despesas!$J:$J,"&lt;="&amp;$A268,Despesas!$L:$L,"&gt;="&amp;$A268,Despesas!$C:$C,G$1,Despesas!$M:$M,"Mensal")+SUMIFS(Despesas!$F:$F,Despesas!$J:$J,"&lt;="&amp;$A268,Despesas!$L:$L,"&gt;="&amp;$A268,Despesas!$C:$C,G$1,Despesas!$M:$M,$B268)</f>
        <v>0</v>
      </c>
      <c r="H268" s="18">
        <f>SUMIFS(Despesas!$F:$F,Despesas!$J:$J,"&lt;="&amp;$A268,Despesas!$L:$L,"&gt;="&amp;$A268,Despesas!$C:$C,H$1,Despesas!$M:$M,"Mensal")+SUMIFS(Despesas!$F:$F,Despesas!$J:$J,"&lt;="&amp;$A268,Despesas!$L:$L,"&gt;="&amp;$A268,Despesas!$C:$C,H$1,Despesas!$M:$M,$B268)</f>
        <v>1000</v>
      </c>
      <c r="I268" s="18">
        <f>IF(Imóveis!$F$2="PRICE",IF(AND(Dados!$A268&gt;=Imóveis!$Q$2,Dados!$A268&lt;=Imóveis!$T$2),Imóveis!$U$2,0),IF((IF(AND(Dados!$A268&gt;=Imóveis!$Q$2,Dados!$A268&lt;=Imóveis!$T$2),Imóveis!$S$2-(DATEDIF(Imóveis!$Q$2,Dados!$A268,"m")),0))=0,0,((Imóveis!$N$2/Imóveis!$S$2)+((Imóveis!$N$2-((Imóveis!$S$2-(IF(AND(Dados!$A268&gt;=Imóveis!$Q$2,Dados!$A268&lt;=Imóveis!$T$2),Imóveis!$S$2-(DATEDIF(Imóveis!$Q$2,Dados!$A268,"m")),)))*(Imóveis!$N$2/Imóveis!$S$2)))*Imóveis!$P$2))))*IF(AND(Imóveis!$E$2&gt;0,Dados!$A268&gt;Imóveis!$E$2),0,1)</f>
        <v>0</v>
      </c>
      <c r="J268" s="18">
        <f>IF(Imóveis!$F$3="PRICE",IF(AND(Dados!$A268&gt;=Imóveis!$Q$3,Dados!$A268&lt;=Imóveis!$T$3),Imóveis!$U$3,0),IF((IF(AND(Dados!$A268&gt;=Imóveis!$Q$3,Dados!$A268&lt;=Imóveis!$T$3),Imóveis!$S$3-(DATEDIF(Imóveis!$Q$3,Dados!$A268,"m")),0))=0,0,((Imóveis!$N$3/Imóveis!$S$3)+((Imóveis!$N$3-((Imóveis!$S$3-(IF(AND(Dados!$A268&gt;=Imóveis!$Q$3,Dados!$A268&lt;=Imóveis!$T$3),Imóveis!$S$3-(DATEDIF(Imóveis!$Q$3,Dados!$A268,"m")),)))*(Imóveis!$N$3/Imóveis!$S$3)))*Imóveis!$P$3))))*IF(AND(Imóveis!$E$3&gt;0,Dados!$A268&gt;Imóveis!$E$3),0,1)</f>
        <v>0</v>
      </c>
      <c r="K268" s="18">
        <f>IF(Imóveis!$F$4="PRICE",IF(AND(Dados!$A268&gt;=Imóveis!$Q$4,Dados!$A268&lt;=Imóveis!$T$4),Imóveis!$U$4,0),IF((IF(AND(Dados!$A268&gt;=Imóveis!$Q$4,Dados!$A268&lt;=Imóveis!$T$4),Imóveis!$S$4-(DATEDIF(Imóveis!$Q$4,Dados!$A268,"m")),0))=0,0,((Imóveis!$N$4/Imóveis!$S$4)+((Imóveis!$N$4-((Imóveis!$S$4-(IF(AND(Dados!$A268&gt;=Imóveis!$Q$4,Dados!$A268&lt;=Imóveis!$T$4),Imóveis!$S$4-(DATEDIF(Imóveis!$Q$4,Dados!$A268,"m")),)))*(Imóveis!$N$4/Imóveis!$S$4)))*Imóveis!$P$4))))*IF(AND(Imóveis!$E$4&gt;0,Dados!$A268&gt;Imóveis!$E$4),0,1)</f>
        <v>0</v>
      </c>
      <c r="L268" s="18">
        <f>IF(Imóveis!$F$5="PRICE",IF(AND(Dados!$A268&gt;=Imóveis!$Q$5,Dados!$A268&lt;=Imóveis!$T$5),Imóveis!$U$5,0),IF((IF(AND(Dados!$A268&gt;=Imóveis!$Q$5,Dados!$A268&lt;=Imóveis!$T$5),Imóveis!$S$5-(DATEDIF(Imóveis!$Q$5,Dados!$A268,"m")),0))=0,0,((Imóveis!$N$5/Imóveis!$S$5)+((Imóveis!$N$5-((Imóveis!$S$5-(IF(AND(Dados!$A268 &gt;=Imóveis!$Q$5,Dados!$A268&lt;=Imóveis!$T$5),Imóveis!$S$5-(DATEDIF(Imóveis!$Q$5,Dados!$A268,"m")),)))*(Imóveis!$N$5/Imóveis!$S$5)))*Imóveis!$P$5))))*IF(AND(Imóveis!$E$5&gt;0,Dados!$A268&gt;Imóveis!$E$5),0,1)*Imóveis!$I$5</f>
        <v>0</v>
      </c>
      <c r="M268" s="18">
        <f>IF(Imóveis!$F$6="PRICE",IF(AND(Dados!$A268&gt;=Imóveis!$Q$6,Dados!$A268&lt;=Imóveis!$T$6),Imóveis!$U$6,0),IF((IF(AND(Dados!$A268&gt;=Imóveis!$Q$6,Dados!$A268&lt;=Imóveis!$T$6),Imóveis!$S$6-(DATEDIF(Imóveis!$Q$6,Dados!$A268,"m")),0))=0,0,((Imóveis!$N$6/Imóveis!$S$6)+((Imóveis!$N$6-((Imóveis!$S$6-(IF(AND(Dados!$A268&gt;=Imóveis!$Q$6,Dados!$A268&lt;=Imóveis!$T$6),Imóveis!$S$6-(DATEDIF(Imóveis!$Q$6,Dados!$A268,"m")),)))*(Imóveis!$N$6/Imóveis!$S$6)))*Imóveis!$P$6))))*IF(AND(Imóveis!$E$6&gt;0,Dados!$A268&gt;Imóveis!$E$6),0,1)*Imóveis!$I$6</f>
        <v>0</v>
      </c>
      <c r="N268" s="18">
        <f t="shared" si="37"/>
        <v>37000</v>
      </c>
      <c r="O268" s="18">
        <f>SUMIFS(Receitas!$F:$F,Receitas!$J:$J,"&lt;="&amp;$A268,Receitas!$L:$L,"&gt;="&amp;$A268,Receitas!$C:$C,O$1,Receitas!$M:$M,"Mensal")+SUMIFS(Receitas!$F:$F,Receitas!$J:$J,"&lt;="&amp;$A268,Receitas!$L:$L,"&gt;="&amp;$A268,Receitas!$C:$C,O$1,Receitas!$M:$M,$B268)</f>
        <v>50000</v>
      </c>
      <c r="P268" s="18">
        <f>SUMIFS(Receitas!$F:$F,Receitas!$J:$J,"&lt;="&amp;$A268,Receitas!$L:$L,"&gt;="&amp;$A268,Receitas!$C:$C,P$1,Receitas!$M:$M,"Mensal")+SUMIFS(Receitas!$F:$F,Receitas!$J:$J,"&lt;="&amp;$A268,Receitas!$L:$L,"&gt;="&amp;$A268,Receitas!$C:$C,P$1,Receitas!$M:$M,$B268)</f>
        <v>20000</v>
      </c>
      <c r="Q268" s="18">
        <f>SUMIFS(Receitas!$F:$F,Receitas!$J:$J,"&lt;="&amp;$A268,Receitas!$L:$L,"&gt;="&amp;$A268,Receitas!$C:$C,Q$1,Receitas!$M:$M,"Mensal")+SUMIFS(Receitas!$F:$F,Receitas!$J:$J,"&lt;="&amp;$A268,Receitas!$L:$L,"&gt;="&amp;$A268,Receitas!$C:$C,Q$1,Receitas!$M:$M,$B268)</f>
        <v>0</v>
      </c>
      <c r="R268" s="18" cm="1">
        <f t="array" ref="R268">(IF(AND(Membros!$F$2="Sim",A268&lt;=MAX(Membros!$E$2:$E$5)),Membros!K$2,IF(AND(A268&gt;=Membros!J$2,A268&lt;=MAX(Membros!$E$2:$E$5)),Membros!K$2,0))+IF(AND(Membros!$F$3="Sim",A268&lt;=MAX(Membros!$E$2:$E$5)),Membros!K$3,IF(AND(A268&gt;=Membros!J$3,A268&lt;=MAX(Membros!$E$2:$E$5)),Membros!K$3,0)))*IF(AND(COUNTIFS(Tabela3[Tipo],"Provedor",Tabela3[Simulação Seguro],"Sim")=2,A268&gt;=MAX(IF(Tabela3[Tipo]="Dependente",Tabela3[Expectativa de Vida (Data)]))),0,1)</f>
        <v>0</v>
      </c>
      <c r="S268" s="18">
        <f t="shared" si="38"/>
        <v>70000</v>
      </c>
      <c r="U268" s="18">
        <f t="shared" ca="1" si="41"/>
        <v>15084781.458514238</v>
      </c>
      <c r="V268" s="18">
        <f>SUMIF(Imóveis!E:E,Dados!A:A,Imóveis!Z:Z)-SUMIF(Imóveis!E:E,Dados!A:A,Imóveis!Y:Y)</f>
        <v>0</v>
      </c>
      <c r="W268" s="18">
        <f>-SUMIF(Projetos!N:N,A268,Projetos!F:F)</f>
        <v>0</v>
      </c>
      <c r="X268" s="18">
        <f t="shared" si="35"/>
        <v>33000</v>
      </c>
      <c r="Y268" s="26">
        <f ca="1">(U268*((Indicadores_Economicos!D$2+1)^(1/12)-1))</f>
        <v>49383.649166514624</v>
      </c>
      <c r="Z268" s="18">
        <f t="shared" ca="1" si="39"/>
        <v>15167165.107680753</v>
      </c>
      <c r="AA268" s="18">
        <f ca="1">Auxiliar_Projetos!E268</f>
        <v>9.3275583816411654E-10</v>
      </c>
      <c r="AB268" s="18">
        <f ca="1">Auxiliar_Projetos!K268</f>
        <v>7.1750449089547347E-10</v>
      </c>
      <c r="AC268" s="18">
        <f ca="1">IF(Z268-AA268-AB268&gt;Investimentos!$C$14,Investimentos!$C$14,IF(Z268-AA268-AB268&lt;Investimentos!$C$14,Z268-AA268-AB268,0))</f>
        <v>300000</v>
      </c>
      <c r="AD268" s="18">
        <f t="shared" ca="1" si="40"/>
        <v>14867165.107680751</v>
      </c>
      <c r="AE268" s="18"/>
    </row>
    <row r="269" spans="1:31" x14ac:dyDescent="0.2">
      <c r="A269" s="4">
        <v>53783</v>
      </c>
      <c r="B269" s="5" t="str">
        <f t="shared" si="36"/>
        <v>abril</v>
      </c>
      <c r="C269" s="5" t="str">
        <f t="shared" si="34"/>
        <v>2047</v>
      </c>
      <c r="D269" s="5">
        <f>SUMIFS(Despesas!$F:$F,Despesas!$J:$J,"&lt;="&amp;$A269,Despesas!$L:$L,"&gt;="&amp;$A269,Despesas!$C:$C,D$1,Despesas!$M:$M,"Mensal")+SUMIFS(Despesas!$F:$F,Despesas!$J:$J,"&lt;="&amp;$A269,Despesas!$L:$L,"&gt;="&amp;$A269,Despesas!$C:$C,D$1,Despesas!$M:$M,$B269)</f>
        <v>23000</v>
      </c>
      <c r="E269" s="18">
        <f>SUMIFS(Despesas!$F:$F,Despesas!$J:$J,"&lt;="&amp;$A269,Despesas!$L:$L,"&gt;="&amp;$A269,Despesas!$C:$C,E$1,Despesas!$M:$M,"Mensal")+SUMIFS(Despesas!$F:$F,Despesas!$J:$J,"&lt;="&amp;$A269,Despesas!$L:$L,"&gt;="&amp;$A269,Despesas!$C:$C,E$1,Despesas!$M:$M,$B269)</f>
        <v>0</v>
      </c>
      <c r="F269" s="5">
        <f>SUMIFS(Despesas!$F:$F,Despesas!$J:$J,"&lt;="&amp;$A269,Despesas!$L:$L,"&gt;="&amp;$A269,Despesas!$C:$C,F$1,Despesas!$M:$M,"Mensal")+SUMIFS(Despesas!$F:$F,Despesas!$J:$J,"&lt;="&amp;$A269,Despesas!$L:$L,"&gt;="&amp;$A269,Despesas!$C:$C,F$1,Despesas!$M:$M,$B269)</f>
        <v>13000</v>
      </c>
      <c r="G269" s="5">
        <f>SUMIFS(Despesas!$F:$F,Despesas!$J:$J,"&lt;="&amp;$A269,Despesas!$L:$L,"&gt;="&amp;$A269,Despesas!$C:$C,G$1,Despesas!$M:$M,"Mensal")+SUMIFS(Despesas!$F:$F,Despesas!$J:$J,"&lt;="&amp;$A269,Despesas!$L:$L,"&gt;="&amp;$A269,Despesas!$C:$C,G$1,Despesas!$M:$M,$B269)</f>
        <v>0</v>
      </c>
      <c r="H269" s="18">
        <f>SUMIFS(Despesas!$F:$F,Despesas!$J:$J,"&lt;="&amp;$A269,Despesas!$L:$L,"&gt;="&amp;$A269,Despesas!$C:$C,H$1,Despesas!$M:$M,"Mensal")+SUMIFS(Despesas!$F:$F,Despesas!$J:$J,"&lt;="&amp;$A269,Despesas!$L:$L,"&gt;="&amp;$A269,Despesas!$C:$C,H$1,Despesas!$M:$M,$B269)</f>
        <v>1000</v>
      </c>
      <c r="I269" s="18">
        <f>IF(Imóveis!$F$2="PRICE",IF(AND(Dados!$A269&gt;=Imóveis!$Q$2,Dados!$A269&lt;=Imóveis!$T$2),Imóveis!$U$2,0),IF((IF(AND(Dados!$A269&gt;=Imóveis!$Q$2,Dados!$A269&lt;=Imóveis!$T$2),Imóveis!$S$2-(DATEDIF(Imóveis!$Q$2,Dados!$A269,"m")),0))=0,0,((Imóveis!$N$2/Imóveis!$S$2)+((Imóveis!$N$2-((Imóveis!$S$2-(IF(AND(Dados!$A269&gt;=Imóveis!$Q$2,Dados!$A269&lt;=Imóveis!$T$2),Imóveis!$S$2-(DATEDIF(Imóveis!$Q$2,Dados!$A269,"m")),)))*(Imóveis!$N$2/Imóveis!$S$2)))*Imóveis!$P$2))))*IF(AND(Imóveis!$E$2&gt;0,Dados!$A269&gt;Imóveis!$E$2),0,1)</f>
        <v>0</v>
      </c>
      <c r="J269" s="18">
        <f>IF(Imóveis!$F$3="PRICE",IF(AND(Dados!$A269&gt;=Imóveis!$Q$3,Dados!$A269&lt;=Imóveis!$T$3),Imóveis!$U$3,0),IF((IF(AND(Dados!$A269&gt;=Imóveis!$Q$3,Dados!$A269&lt;=Imóveis!$T$3),Imóveis!$S$3-(DATEDIF(Imóveis!$Q$3,Dados!$A269,"m")),0))=0,0,((Imóveis!$N$3/Imóveis!$S$3)+((Imóveis!$N$3-((Imóveis!$S$3-(IF(AND(Dados!$A269&gt;=Imóveis!$Q$3,Dados!$A269&lt;=Imóveis!$T$3),Imóveis!$S$3-(DATEDIF(Imóveis!$Q$3,Dados!$A269,"m")),)))*(Imóveis!$N$3/Imóveis!$S$3)))*Imóveis!$P$3))))*IF(AND(Imóveis!$E$3&gt;0,Dados!$A269&gt;Imóveis!$E$3),0,1)</f>
        <v>0</v>
      </c>
      <c r="K269" s="18">
        <f>IF(Imóveis!$F$4="PRICE",IF(AND(Dados!$A269&gt;=Imóveis!$Q$4,Dados!$A269&lt;=Imóveis!$T$4),Imóveis!$U$4,0),IF((IF(AND(Dados!$A269&gt;=Imóveis!$Q$4,Dados!$A269&lt;=Imóveis!$T$4),Imóveis!$S$4-(DATEDIF(Imóveis!$Q$4,Dados!$A269,"m")),0))=0,0,((Imóveis!$N$4/Imóveis!$S$4)+((Imóveis!$N$4-((Imóveis!$S$4-(IF(AND(Dados!$A269&gt;=Imóveis!$Q$4,Dados!$A269&lt;=Imóveis!$T$4),Imóveis!$S$4-(DATEDIF(Imóveis!$Q$4,Dados!$A269,"m")),)))*(Imóveis!$N$4/Imóveis!$S$4)))*Imóveis!$P$4))))*IF(AND(Imóveis!$E$4&gt;0,Dados!$A269&gt;Imóveis!$E$4),0,1)</f>
        <v>0</v>
      </c>
      <c r="L269" s="18">
        <f>IF(Imóveis!$F$5="PRICE",IF(AND(Dados!$A269&gt;=Imóveis!$Q$5,Dados!$A269&lt;=Imóveis!$T$5),Imóveis!$U$5,0),IF((IF(AND(Dados!$A269&gt;=Imóveis!$Q$5,Dados!$A269&lt;=Imóveis!$T$5),Imóveis!$S$5-(DATEDIF(Imóveis!$Q$5,Dados!$A269,"m")),0))=0,0,((Imóveis!$N$5/Imóveis!$S$5)+((Imóveis!$N$5-((Imóveis!$S$5-(IF(AND(Dados!$A269 &gt;=Imóveis!$Q$5,Dados!$A269&lt;=Imóveis!$T$5),Imóveis!$S$5-(DATEDIF(Imóveis!$Q$5,Dados!$A269,"m")),)))*(Imóveis!$N$5/Imóveis!$S$5)))*Imóveis!$P$5))))*IF(AND(Imóveis!$E$5&gt;0,Dados!$A269&gt;Imóveis!$E$5),0,1)*Imóveis!$I$5</f>
        <v>0</v>
      </c>
      <c r="M269" s="18">
        <f>IF(Imóveis!$F$6="PRICE",IF(AND(Dados!$A269&gt;=Imóveis!$Q$6,Dados!$A269&lt;=Imóveis!$T$6),Imóveis!$U$6,0),IF((IF(AND(Dados!$A269&gt;=Imóveis!$Q$6,Dados!$A269&lt;=Imóveis!$T$6),Imóveis!$S$6-(DATEDIF(Imóveis!$Q$6,Dados!$A269,"m")),0))=0,0,((Imóveis!$N$6/Imóveis!$S$6)+((Imóveis!$N$6-((Imóveis!$S$6-(IF(AND(Dados!$A269&gt;=Imóveis!$Q$6,Dados!$A269&lt;=Imóveis!$T$6),Imóveis!$S$6-(DATEDIF(Imóveis!$Q$6,Dados!$A269,"m")),)))*(Imóveis!$N$6/Imóveis!$S$6)))*Imóveis!$P$6))))*IF(AND(Imóveis!$E$6&gt;0,Dados!$A269&gt;Imóveis!$E$6),0,1)*Imóveis!$I$6</f>
        <v>0</v>
      </c>
      <c r="N269" s="18">
        <f t="shared" si="37"/>
        <v>37000</v>
      </c>
      <c r="O269" s="18">
        <f>SUMIFS(Receitas!$F:$F,Receitas!$J:$J,"&lt;="&amp;$A269,Receitas!$L:$L,"&gt;="&amp;$A269,Receitas!$C:$C,O$1,Receitas!$M:$M,"Mensal")+SUMIFS(Receitas!$F:$F,Receitas!$J:$J,"&lt;="&amp;$A269,Receitas!$L:$L,"&gt;="&amp;$A269,Receitas!$C:$C,O$1,Receitas!$M:$M,$B269)</f>
        <v>50000</v>
      </c>
      <c r="P269" s="18">
        <f>SUMIFS(Receitas!$F:$F,Receitas!$J:$J,"&lt;="&amp;$A269,Receitas!$L:$L,"&gt;="&amp;$A269,Receitas!$C:$C,P$1,Receitas!$M:$M,"Mensal")+SUMIFS(Receitas!$F:$F,Receitas!$J:$J,"&lt;="&amp;$A269,Receitas!$L:$L,"&gt;="&amp;$A269,Receitas!$C:$C,P$1,Receitas!$M:$M,$B269)</f>
        <v>85000</v>
      </c>
      <c r="Q269" s="18">
        <f>SUMIFS(Receitas!$F:$F,Receitas!$J:$J,"&lt;="&amp;$A269,Receitas!$L:$L,"&gt;="&amp;$A269,Receitas!$C:$C,Q$1,Receitas!$M:$M,"Mensal")+SUMIFS(Receitas!$F:$F,Receitas!$J:$J,"&lt;="&amp;$A269,Receitas!$L:$L,"&gt;="&amp;$A269,Receitas!$C:$C,Q$1,Receitas!$M:$M,$B269)</f>
        <v>0</v>
      </c>
      <c r="R269" s="18" cm="1">
        <f t="array" ref="R269">(IF(AND(Membros!$F$2="Sim",A269&lt;=MAX(Membros!$E$2:$E$5)),Membros!K$2,IF(AND(A269&gt;=Membros!J$2,A269&lt;=MAX(Membros!$E$2:$E$5)),Membros!K$2,0))+IF(AND(Membros!$F$3="Sim",A269&lt;=MAX(Membros!$E$2:$E$5)),Membros!K$3,IF(AND(A269&gt;=Membros!J$3,A269&lt;=MAX(Membros!$E$2:$E$5)),Membros!K$3,0)))*IF(AND(COUNTIFS(Tabela3[Tipo],"Provedor",Tabela3[Simulação Seguro],"Sim")=2,A269&gt;=MAX(IF(Tabela3[Tipo]="Dependente",Tabela3[Expectativa de Vida (Data)]))),0,1)</f>
        <v>0</v>
      </c>
      <c r="S269" s="18">
        <f t="shared" si="38"/>
        <v>135000</v>
      </c>
      <c r="U269" s="18">
        <f t="shared" ca="1" si="41"/>
        <v>15167165.107680753</v>
      </c>
      <c r="V269" s="18">
        <f>SUMIF(Imóveis!E:E,Dados!A:A,Imóveis!Z:Z)-SUMIF(Imóveis!E:E,Dados!A:A,Imóveis!Y:Y)</f>
        <v>0</v>
      </c>
      <c r="W269" s="18">
        <f>-SUMIF(Projetos!N:N,A269,Projetos!F:F)</f>
        <v>0</v>
      </c>
      <c r="X269" s="18">
        <f t="shared" si="35"/>
        <v>98000</v>
      </c>
      <c r="Y269" s="26">
        <f ca="1">(U269*((Indicadores_Economicos!D$2+1)^(1/12)-1))</f>
        <v>49653.351796193761</v>
      </c>
      <c r="Z269" s="18">
        <f t="shared" ca="1" si="39"/>
        <v>15314818.459476946</v>
      </c>
      <c r="AA269" s="18">
        <f ca="1">Auxiliar_Projetos!E269</f>
        <v>9.3580943805859271E-10</v>
      </c>
      <c r="AB269" s="18">
        <f ca="1">Auxiliar_Projetos!K269</f>
        <v>7.1985341389122432E-10</v>
      </c>
      <c r="AC269" s="18">
        <f ca="1">IF(Z269-AA269-AB269&gt;Investimentos!$C$14,Investimentos!$C$14,IF(Z269-AA269-AB269&lt;Investimentos!$C$14,Z269-AA269-AB269,0))</f>
        <v>300000</v>
      </c>
      <c r="AD269" s="18">
        <f t="shared" ca="1" si="40"/>
        <v>15014818.459476944</v>
      </c>
      <c r="AE269" s="18"/>
    </row>
    <row r="270" spans="1:31" x14ac:dyDescent="0.2">
      <c r="A270" s="4">
        <v>53813</v>
      </c>
      <c r="B270" s="5" t="str">
        <f t="shared" si="36"/>
        <v>maio</v>
      </c>
      <c r="C270" s="5" t="str">
        <f t="shared" si="34"/>
        <v>2047</v>
      </c>
      <c r="D270" s="5">
        <f>SUMIFS(Despesas!$F:$F,Despesas!$J:$J,"&lt;="&amp;$A270,Despesas!$L:$L,"&gt;="&amp;$A270,Despesas!$C:$C,D$1,Despesas!$M:$M,"Mensal")+SUMIFS(Despesas!$F:$F,Despesas!$J:$J,"&lt;="&amp;$A270,Despesas!$L:$L,"&gt;="&amp;$A270,Despesas!$C:$C,D$1,Despesas!$M:$M,$B270)</f>
        <v>23000</v>
      </c>
      <c r="E270" s="18">
        <f>SUMIFS(Despesas!$F:$F,Despesas!$J:$J,"&lt;="&amp;$A270,Despesas!$L:$L,"&gt;="&amp;$A270,Despesas!$C:$C,E$1,Despesas!$M:$M,"Mensal")+SUMIFS(Despesas!$F:$F,Despesas!$J:$J,"&lt;="&amp;$A270,Despesas!$L:$L,"&gt;="&amp;$A270,Despesas!$C:$C,E$1,Despesas!$M:$M,$B270)</f>
        <v>0</v>
      </c>
      <c r="F270" s="5">
        <f>SUMIFS(Despesas!$F:$F,Despesas!$J:$J,"&lt;="&amp;$A270,Despesas!$L:$L,"&gt;="&amp;$A270,Despesas!$C:$C,F$1,Despesas!$M:$M,"Mensal")+SUMIFS(Despesas!$F:$F,Despesas!$J:$J,"&lt;="&amp;$A270,Despesas!$L:$L,"&gt;="&amp;$A270,Despesas!$C:$C,F$1,Despesas!$M:$M,$B270)</f>
        <v>13000</v>
      </c>
      <c r="G270" s="5">
        <f>SUMIFS(Despesas!$F:$F,Despesas!$J:$J,"&lt;="&amp;$A270,Despesas!$L:$L,"&gt;="&amp;$A270,Despesas!$C:$C,G$1,Despesas!$M:$M,"Mensal")+SUMIFS(Despesas!$F:$F,Despesas!$J:$J,"&lt;="&amp;$A270,Despesas!$L:$L,"&gt;="&amp;$A270,Despesas!$C:$C,G$1,Despesas!$M:$M,$B270)</f>
        <v>0</v>
      </c>
      <c r="H270" s="18">
        <f>SUMIFS(Despesas!$F:$F,Despesas!$J:$J,"&lt;="&amp;$A270,Despesas!$L:$L,"&gt;="&amp;$A270,Despesas!$C:$C,H$1,Despesas!$M:$M,"Mensal")+SUMIFS(Despesas!$F:$F,Despesas!$J:$J,"&lt;="&amp;$A270,Despesas!$L:$L,"&gt;="&amp;$A270,Despesas!$C:$C,H$1,Despesas!$M:$M,$B270)</f>
        <v>1000</v>
      </c>
      <c r="I270" s="18">
        <f>IF(Imóveis!$F$2="PRICE",IF(AND(Dados!$A270&gt;=Imóveis!$Q$2,Dados!$A270&lt;=Imóveis!$T$2),Imóveis!$U$2,0),IF((IF(AND(Dados!$A270&gt;=Imóveis!$Q$2,Dados!$A270&lt;=Imóveis!$T$2),Imóveis!$S$2-(DATEDIF(Imóveis!$Q$2,Dados!$A270,"m")),0))=0,0,((Imóveis!$N$2/Imóveis!$S$2)+((Imóveis!$N$2-((Imóveis!$S$2-(IF(AND(Dados!$A270&gt;=Imóveis!$Q$2,Dados!$A270&lt;=Imóveis!$T$2),Imóveis!$S$2-(DATEDIF(Imóveis!$Q$2,Dados!$A270,"m")),)))*(Imóveis!$N$2/Imóveis!$S$2)))*Imóveis!$P$2))))*IF(AND(Imóveis!$E$2&gt;0,Dados!$A270&gt;Imóveis!$E$2),0,1)</f>
        <v>0</v>
      </c>
      <c r="J270" s="18">
        <f>IF(Imóveis!$F$3="PRICE",IF(AND(Dados!$A270&gt;=Imóveis!$Q$3,Dados!$A270&lt;=Imóveis!$T$3),Imóveis!$U$3,0),IF((IF(AND(Dados!$A270&gt;=Imóveis!$Q$3,Dados!$A270&lt;=Imóveis!$T$3),Imóveis!$S$3-(DATEDIF(Imóveis!$Q$3,Dados!$A270,"m")),0))=0,0,((Imóveis!$N$3/Imóveis!$S$3)+((Imóveis!$N$3-((Imóveis!$S$3-(IF(AND(Dados!$A270&gt;=Imóveis!$Q$3,Dados!$A270&lt;=Imóveis!$T$3),Imóveis!$S$3-(DATEDIF(Imóveis!$Q$3,Dados!$A270,"m")),)))*(Imóveis!$N$3/Imóveis!$S$3)))*Imóveis!$P$3))))*IF(AND(Imóveis!$E$3&gt;0,Dados!$A270&gt;Imóveis!$E$3),0,1)</f>
        <v>0</v>
      </c>
      <c r="K270" s="18">
        <f>IF(Imóveis!$F$4="PRICE",IF(AND(Dados!$A270&gt;=Imóveis!$Q$4,Dados!$A270&lt;=Imóveis!$T$4),Imóveis!$U$4,0),IF((IF(AND(Dados!$A270&gt;=Imóveis!$Q$4,Dados!$A270&lt;=Imóveis!$T$4),Imóveis!$S$4-(DATEDIF(Imóveis!$Q$4,Dados!$A270,"m")),0))=0,0,((Imóveis!$N$4/Imóveis!$S$4)+((Imóveis!$N$4-((Imóveis!$S$4-(IF(AND(Dados!$A270&gt;=Imóveis!$Q$4,Dados!$A270&lt;=Imóveis!$T$4),Imóveis!$S$4-(DATEDIF(Imóveis!$Q$4,Dados!$A270,"m")),)))*(Imóveis!$N$4/Imóveis!$S$4)))*Imóveis!$P$4))))*IF(AND(Imóveis!$E$4&gt;0,Dados!$A270&gt;Imóveis!$E$4),0,1)</f>
        <v>0</v>
      </c>
      <c r="L270" s="18">
        <f>IF(Imóveis!$F$5="PRICE",IF(AND(Dados!$A270&gt;=Imóveis!$Q$5,Dados!$A270&lt;=Imóveis!$T$5),Imóveis!$U$5,0),IF((IF(AND(Dados!$A270&gt;=Imóveis!$Q$5,Dados!$A270&lt;=Imóveis!$T$5),Imóveis!$S$5-(DATEDIF(Imóveis!$Q$5,Dados!$A270,"m")),0))=0,0,((Imóveis!$N$5/Imóveis!$S$5)+((Imóveis!$N$5-((Imóveis!$S$5-(IF(AND(Dados!$A270 &gt;=Imóveis!$Q$5,Dados!$A270&lt;=Imóveis!$T$5),Imóveis!$S$5-(DATEDIF(Imóveis!$Q$5,Dados!$A270,"m")),)))*(Imóveis!$N$5/Imóveis!$S$5)))*Imóveis!$P$5))))*IF(AND(Imóveis!$E$5&gt;0,Dados!$A270&gt;Imóveis!$E$5),0,1)*Imóveis!$I$5</f>
        <v>0</v>
      </c>
      <c r="M270" s="18">
        <f>IF(Imóveis!$F$6="PRICE",IF(AND(Dados!$A270&gt;=Imóveis!$Q$6,Dados!$A270&lt;=Imóveis!$T$6),Imóveis!$U$6,0),IF((IF(AND(Dados!$A270&gt;=Imóveis!$Q$6,Dados!$A270&lt;=Imóveis!$T$6),Imóveis!$S$6-(DATEDIF(Imóveis!$Q$6,Dados!$A270,"m")),0))=0,0,((Imóveis!$N$6/Imóveis!$S$6)+((Imóveis!$N$6-((Imóveis!$S$6-(IF(AND(Dados!$A270&gt;=Imóveis!$Q$6,Dados!$A270&lt;=Imóveis!$T$6),Imóveis!$S$6-(DATEDIF(Imóveis!$Q$6,Dados!$A270,"m")),)))*(Imóveis!$N$6/Imóveis!$S$6)))*Imóveis!$P$6))))*IF(AND(Imóveis!$E$6&gt;0,Dados!$A270&gt;Imóveis!$E$6),0,1)*Imóveis!$I$6</f>
        <v>0</v>
      </c>
      <c r="N270" s="18">
        <f t="shared" si="37"/>
        <v>37000</v>
      </c>
      <c r="O270" s="18">
        <f>SUMIFS(Receitas!$F:$F,Receitas!$J:$J,"&lt;="&amp;$A270,Receitas!$L:$L,"&gt;="&amp;$A270,Receitas!$C:$C,O$1,Receitas!$M:$M,"Mensal")+SUMIFS(Receitas!$F:$F,Receitas!$J:$J,"&lt;="&amp;$A270,Receitas!$L:$L,"&gt;="&amp;$A270,Receitas!$C:$C,O$1,Receitas!$M:$M,$B270)</f>
        <v>50000</v>
      </c>
      <c r="P270" s="18">
        <f>SUMIFS(Receitas!$F:$F,Receitas!$J:$J,"&lt;="&amp;$A270,Receitas!$L:$L,"&gt;="&amp;$A270,Receitas!$C:$C,P$1,Receitas!$M:$M,"Mensal")+SUMIFS(Receitas!$F:$F,Receitas!$J:$J,"&lt;="&amp;$A270,Receitas!$L:$L,"&gt;="&amp;$A270,Receitas!$C:$C,P$1,Receitas!$M:$M,$B270)</f>
        <v>20000</v>
      </c>
      <c r="Q270" s="18">
        <f>SUMIFS(Receitas!$F:$F,Receitas!$J:$J,"&lt;="&amp;$A270,Receitas!$L:$L,"&gt;="&amp;$A270,Receitas!$C:$C,Q$1,Receitas!$M:$M,"Mensal")+SUMIFS(Receitas!$F:$F,Receitas!$J:$J,"&lt;="&amp;$A270,Receitas!$L:$L,"&gt;="&amp;$A270,Receitas!$C:$C,Q$1,Receitas!$M:$M,$B270)</f>
        <v>0</v>
      </c>
      <c r="R270" s="18" cm="1">
        <f t="array" ref="R270">(IF(AND(Membros!$F$2="Sim",A270&lt;=MAX(Membros!$E$2:$E$5)),Membros!K$2,IF(AND(A270&gt;=Membros!J$2,A270&lt;=MAX(Membros!$E$2:$E$5)),Membros!K$2,0))+IF(AND(Membros!$F$3="Sim",A270&lt;=MAX(Membros!$E$2:$E$5)),Membros!K$3,IF(AND(A270&gt;=Membros!J$3,A270&lt;=MAX(Membros!$E$2:$E$5)),Membros!K$3,0)))*IF(AND(COUNTIFS(Tabela3[Tipo],"Provedor",Tabela3[Simulação Seguro],"Sim")=2,A270&gt;=MAX(IF(Tabela3[Tipo]="Dependente",Tabela3[Expectativa de Vida (Data)]))),0,1)</f>
        <v>0</v>
      </c>
      <c r="S270" s="18">
        <f t="shared" si="38"/>
        <v>70000</v>
      </c>
      <c r="U270" s="18">
        <f t="shared" ca="1" si="41"/>
        <v>15314818.459476946</v>
      </c>
      <c r="V270" s="18">
        <f>SUMIF(Imóveis!E:E,Dados!A:A,Imóveis!Z:Z)-SUMIF(Imóveis!E:E,Dados!A:A,Imóveis!Y:Y)</f>
        <v>0</v>
      </c>
      <c r="W270" s="18">
        <f>-SUMIF(Projetos!N:N,A270,Projetos!F:F)</f>
        <v>0</v>
      </c>
      <c r="X270" s="18">
        <f t="shared" si="35"/>
        <v>33000</v>
      </c>
      <c r="Y270" s="26">
        <f ca="1">(U270*((Indicadores_Economicos!D$2+1)^(1/12)-1))</f>
        <v>50136.73044794397</v>
      </c>
      <c r="Z270" s="18">
        <f t="shared" ca="1" si="39"/>
        <v>15397955.18992489</v>
      </c>
      <c r="AA270" s="18">
        <f ca="1">Auxiliar_Projetos!E270</f>
        <v>9.388730346445223E-10</v>
      </c>
      <c r="AB270" s="18">
        <f ca="1">Auxiliar_Projetos!K270</f>
        <v>7.2221002664963176E-10</v>
      </c>
      <c r="AC270" s="18">
        <f ca="1">IF(Z270-AA270-AB270&gt;Investimentos!$C$14,Investimentos!$C$14,IF(Z270-AA270-AB270&lt;Investimentos!$C$14,Z270-AA270-AB270,0))</f>
        <v>300000</v>
      </c>
      <c r="AD270" s="18">
        <f t="shared" ca="1" si="40"/>
        <v>15097955.189924888</v>
      </c>
      <c r="AE270" s="18"/>
    </row>
    <row r="271" spans="1:31" x14ac:dyDescent="0.2">
      <c r="A271" s="4">
        <v>53844</v>
      </c>
      <c r="B271" s="5" t="str">
        <f t="shared" si="36"/>
        <v>junho</v>
      </c>
      <c r="C271" s="5" t="str">
        <f t="shared" si="34"/>
        <v>2047</v>
      </c>
      <c r="D271" s="5">
        <f>SUMIFS(Despesas!$F:$F,Despesas!$J:$J,"&lt;="&amp;$A271,Despesas!$L:$L,"&gt;="&amp;$A271,Despesas!$C:$C,D$1,Despesas!$M:$M,"Mensal")+SUMIFS(Despesas!$F:$F,Despesas!$J:$J,"&lt;="&amp;$A271,Despesas!$L:$L,"&gt;="&amp;$A271,Despesas!$C:$C,D$1,Despesas!$M:$M,$B271)</f>
        <v>23000</v>
      </c>
      <c r="E271" s="18">
        <f>SUMIFS(Despesas!$F:$F,Despesas!$J:$J,"&lt;="&amp;$A271,Despesas!$L:$L,"&gt;="&amp;$A271,Despesas!$C:$C,E$1,Despesas!$M:$M,"Mensal")+SUMIFS(Despesas!$F:$F,Despesas!$J:$J,"&lt;="&amp;$A271,Despesas!$L:$L,"&gt;="&amp;$A271,Despesas!$C:$C,E$1,Despesas!$M:$M,$B271)</f>
        <v>0</v>
      </c>
      <c r="F271" s="5">
        <f>SUMIFS(Despesas!$F:$F,Despesas!$J:$J,"&lt;="&amp;$A271,Despesas!$L:$L,"&gt;="&amp;$A271,Despesas!$C:$C,F$1,Despesas!$M:$M,"Mensal")+SUMIFS(Despesas!$F:$F,Despesas!$J:$J,"&lt;="&amp;$A271,Despesas!$L:$L,"&gt;="&amp;$A271,Despesas!$C:$C,F$1,Despesas!$M:$M,$B271)</f>
        <v>13000</v>
      </c>
      <c r="G271" s="5">
        <f>SUMIFS(Despesas!$F:$F,Despesas!$J:$J,"&lt;="&amp;$A271,Despesas!$L:$L,"&gt;="&amp;$A271,Despesas!$C:$C,G$1,Despesas!$M:$M,"Mensal")+SUMIFS(Despesas!$F:$F,Despesas!$J:$J,"&lt;="&amp;$A271,Despesas!$L:$L,"&gt;="&amp;$A271,Despesas!$C:$C,G$1,Despesas!$M:$M,$B271)</f>
        <v>0</v>
      </c>
      <c r="H271" s="18">
        <f>SUMIFS(Despesas!$F:$F,Despesas!$J:$J,"&lt;="&amp;$A271,Despesas!$L:$L,"&gt;="&amp;$A271,Despesas!$C:$C,H$1,Despesas!$M:$M,"Mensal")+SUMIFS(Despesas!$F:$F,Despesas!$J:$J,"&lt;="&amp;$A271,Despesas!$L:$L,"&gt;="&amp;$A271,Despesas!$C:$C,H$1,Despesas!$M:$M,$B271)</f>
        <v>1000</v>
      </c>
      <c r="I271" s="18">
        <f>IF(Imóveis!$F$2="PRICE",IF(AND(Dados!$A271&gt;=Imóveis!$Q$2,Dados!$A271&lt;=Imóveis!$T$2),Imóveis!$U$2,0),IF((IF(AND(Dados!$A271&gt;=Imóveis!$Q$2,Dados!$A271&lt;=Imóveis!$T$2),Imóveis!$S$2-(DATEDIF(Imóveis!$Q$2,Dados!$A271,"m")),0))=0,0,((Imóveis!$N$2/Imóveis!$S$2)+((Imóveis!$N$2-((Imóveis!$S$2-(IF(AND(Dados!$A271&gt;=Imóveis!$Q$2,Dados!$A271&lt;=Imóveis!$T$2),Imóveis!$S$2-(DATEDIF(Imóveis!$Q$2,Dados!$A271,"m")),)))*(Imóveis!$N$2/Imóveis!$S$2)))*Imóveis!$P$2))))*IF(AND(Imóveis!$E$2&gt;0,Dados!$A271&gt;Imóveis!$E$2),0,1)</f>
        <v>0</v>
      </c>
      <c r="J271" s="18">
        <f>IF(Imóveis!$F$3="PRICE",IF(AND(Dados!$A271&gt;=Imóveis!$Q$3,Dados!$A271&lt;=Imóveis!$T$3),Imóveis!$U$3,0),IF((IF(AND(Dados!$A271&gt;=Imóveis!$Q$3,Dados!$A271&lt;=Imóveis!$T$3),Imóveis!$S$3-(DATEDIF(Imóveis!$Q$3,Dados!$A271,"m")),0))=0,0,((Imóveis!$N$3/Imóveis!$S$3)+((Imóveis!$N$3-((Imóveis!$S$3-(IF(AND(Dados!$A271&gt;=Imóveis!$Q$3,Dados!$A271&lt;=Imóveis!$T$3),Imóveis!$S$3-(DATEDIF(Imóveis!$Q$3,Dados!$A271,"m")),)))*(Imóveis!$N$3/Imóveis!$S$3)))*Imóveis!$P$3))))*IF(AND(Imóveis!$E$3&gt;0,Dados!$A271&gt;Imóveis!$E$3),0,1)</f>
        <v>0</v>
      </c>
      <c r="K271" s="18">
        <f>IF(Imóveis!$F$4="PRICE",IF(AND(Dados!$A271&gt;=Imóveis!$Q$4,Dados!$A271&lt;=Imóveis!$T$4),Imóveis!$U$4,0),IF((IF(AND(Dados!$A271&gt;=Imóveis!$Q$4,Dados!$A271&lt;=Imóveis!$T$4),Imóveis!$S$4-(DATEDIF(Imóveis!$Q$4,Dados!$A271,"m")),0))=0,0,((Imóveis!$N$4/Imóveis!$S$4)+((Imóveis!$N$4-((Imóveis!$S$4-(IF(AND(Dados!$A271&gt;=Imóveis!$Q$4,Dados!$A271&lt;=Imóveis!$T$4),Imóveis!$S$4-(DATEDIF(Imóveis!$Q$4,Dados!$A271,"m")),)))*(Imóveis!$N$4/Imóveis!$S$4)))*Imóveis!$P$4))))*IF(AND(Imóveis!$E$4&gt;0,Dados!$A271&gt;Imóveis!$E$4),0,1)</f>
        <v>0</v>
      </c>
      <c r="L271" s="18">
        <f>IF(Imóveis!$F$5="PRICE",IF(AND(Dados!$A271&gt;=Imóveis!$Q$5,Dados!$A271&lt;=Imóveis!$T$5),Imóveis!$U$5,0),IF((IF(AND(Dados!$A271&gt;=Imóveis!$Q$5,Dados!$A271&lt;=Imóveis!$T$5),Imóveis!$S$5-(DATEDIF(Imóveis!$Q$5,Dados!$A271,"m")),0))=0,0,((Imóveis!$N$5/Imóveis!$S$5)+((Imóveis!$N$5-((Imóveis!$S$5-(IF(AND(Dados!$A271 &gt;=Imóveis!$Q$5,Dados!$A271&lt;=Imóveis!$T$5),Imóveis!$S$5-(DATEDIF(Imóveis!$Q$5,Dados!$A271,"m")),)))*(Imóveis!$N$5/Imóveis!$S$5)))*Imóveis!$P$5))))*IF(AND(Imóveis!$E$5&gt;0,Dados!$A271&gt;Imóveis!$E$5),0,1)*Imóveis!$I$5</f>
        <v>0</v>
      </c>
      <c r="M271" s="18">
        <f>IF(Imóveis!$F$6="PRICE",IF(AND(Dados!$A271&gt;=Imóveis!$Q$6,Dados!$A271&lt;=Imóveis!$T$6),Imóveis!$U$6,0),IF((IF(AND(Dados!$A271&gt;=Imóveis!$Q$6,Dados!$A271&lt;=Imóveis!$T$6),Imóveis!$S$6-(DATEDIF(Imóveis!$Q$6,Dados!$A271,"m")),0))=0,0,((Imóveis!$N$6/Imóveis!$S$6)+((Imóveis!$N$6-((Imóveis!$S$6-(IF(AND(Dados!$A271&gt;=Imóveis!$Q$6,Dados!$A271&lt;=Imóveis!$T$6),Imóveis!$S$6-(DATEDIF(Imóveis!$Q$6,Dados!$A271,"m")),)))*(Imóveis!$N$6/Imóveis!$S$6)))*Imóveis!$P$6))))*IF(AND(Imóveis!$E$6&gt;0,Dados!$A271&gt;Imóveis!$E$6),0,1)*Imóveis!$I$6</f>
        <v>0</v>
      </c>
      <c r="N271" s="18">
        <f t="shared" si="37"/>
        <v>37000</v>
      </c>
      <c r="O271" s="18">
        <f>SUMIFS(Receitas!$F:$F,Receitas!$J:$J,"&lt;="&amp;$A271,Receitas!$L:$L,"&gt;="&amp;$A271,Receitas!$C:$C,O$1,Receitas!$M:$M,"Mensal")+SUMIFS(Receitas!$F:$F,Receitas!$J:$J,"&lt;="&amp;$A271,Receitas!$L:$L,"&gt;="&amp;$A271,Receitas!$C:$C,O$1,Receitas!$M:$M,$B271)</f>
        <v>50000</v>
      </c>
      <c r="P271" s="18">
        <f>SUMIFS(Receitas!$F:$F,Receitas!$J:$J,"&lt;="&amp;$A271,Receitas!$L:$L,"&gt;="&amp;$A271,Receitas!$C:$C,P$1,Receitas!$M:$M,"Mensal")+SUMIFS(Receitas!$F:$F,Receitas!$J:$J,"&lt;="&amp;$A271,Receitas!$L:$L,"&gt;="&amp;$A271,Receitas!$C:$C,P$1,Receitas!$M:$M,$B271)</f>
        <v>20000</v>
      </c>
      <c r="Q271" s="18">
        <f>SUMIFS(Receitas!$F:$F,Receitas!$J:$J,"&lt;="&amp;$A271,Receitas!$L:$L,"&gt;="&amp;$A271,Receitas!$C:$C,Q$1,Receitas!$M:$M,"Mensal")+SUMIFS(Receitas!$F:$F,Receitas!$J:$J,"&lt;="&amp;$A271,Receitas!$L:$L,"&gt;="&amp;$A271,Receitas!$C:$C,Q$1,Receitas!$M:$M,$B271)</f>
        <v>0</v>
      </c>
      <c r="R271" s="18" cm="1">
        <f t="array" ref="R271">(IF(AND(Membros!$F$2="Sim",A271&lt;=MAX(Membros!$E$2:$E$5)),Membros!K$2,IF(AND(A271&gt;=Membros!J$2,A271&lt;=MAX(Membros!$E$2:$E$5)),Membros!K$2,0))+IF(AND(Membros!$F$3="Sim",A271&lt;=MAX(Membros!$E$2:$E$5)),Membros!K$3,IF(AND(A271&gt;=Membros!J$3,A271&lt;=MAX(Membros!$E$2:$E$5)),Membros!K$3,0)))*IF(AND(COUNTIFS(Tabela3[Tipo],"Provedor",Tabela3[Simulação Seguro],"Sim")=2,A271&gt;=MAX(IF(Tabela3[Tipo]="Dependente",Tabela3[Expectativa de Vida (Data)]))),0,1)</f>
        <v>0</v>
      </c>
      <c r="S271" s="18">
        <f t="shared" si="38"/>
        <v>70000</v>
      </c>
      <c r="U271" s="18">
        <f t="shared" ca="1" si="41"/>
        <v>15397955.18992489</v>
      </c>
      <c r="V271" s="18">
        <f>SUMIF(Imóveis!E:E,Dados!A:A,Imóveis!Z:Z)-SUMIF(Imóveis!E:E,Dados!A:A,Imóveis!Y:Y)</f>
        <v>0</v>
      </c>
      <c r="W271" s="18">
        <f>-SUMIF(Projetos!N:N,A271,Projetos!F:F)</f>
        <v>0</v>
      </c>
      <c r="X271" s="18">
        <f t="shared" si="35"/>
        <v>33000</v>
      </c>
      <c r="Y271" s="26">
        <f ca="1">(U271*((Indicadores_Economicos!D$2+1)^(1/12)-1))</f>
        <v>50408.898469773354</v>
      </c>
      <c r="Z271" s="18">
        <f t="shared" ca="1" si="39"/>
        <v>15481364.088394664</v>
      </c>
      <c r="AA271" s="18">
        <f ca="1">Auxiliar_Projetos!E271</f>
        <v>9.4194666064847181E-10</v>
      </c>
      <c r="AB271" s="18">
        <f ca="1">Auxiliar_Projetos!K271</f>
        <v>7.2457435434497757E-10</v>
      </c>
      <c r="AC271" s="18">
        <f ca="1">IF(Z271-AA271-AB271&gt;Investimentos!$C$14,Investimentos!$C$14,IF(Z271-AA271-AB271&lt;Investimentos!$C$14,Z271-AA271-AB271,0))</f>
        <v>300000</v>
      </c>
      <c r="AD271" s="18">
        <f t="shared" ca="1" si="40"/>
        <v>15181364.088394662</v>
      </c>
      <c r="AE271" s="18"/>
    </row>
    <row r="272" spans="1:31" x14ac:dyDescent="0.2">
      <c r="A272" s="4">
        <v>53874</v>
      </c>
      <c r="B272" s="5" t="str">
        <f t="shared" si="36"/>
        <v>julho</v>
      </c>
      <c r="C272" s="5" t="str">
        <f t="shared" si="34"/>
        <v>2047</v>
      </c>
      <c r="D272" s="5">
        <f>SUMIFS(Despesas!$F:$F,Despesas!$J:$J,"&lt;="&amp;$A272,Despesas!$L:$L,"&gt;="&amp;$A272,Despesas!$C:$C,D$1,Despesas!$M:$M,"Mensal")+SUMIFS(Despesas!$F:$F,Despesas!$J:$J,"&lt;="&amp;$A272,Despesas!$L:$L,"&gt;="&amp;$A272,Despesas!$C:$C,D$1,Despesas!$M:$M,$B272)</f>
        <v>23000</v>
      </c>
      <c r="E272" s="18">
        <f>SUMIFS(Despesas!$F:$F,Despesas!$J:$J,"&lt;="&amp;$A272,Despesas!$L:$L,"&gt;="&amp;$A272,Despesas!$C:$C,E$1,Despesas!$M:$M,"Mensal")+SUMIFS(Despesas!$F:$F,Despesas!$J:$J,"&lt;="&amp;$A272,Despesas!$L:$L,"&gt;="&amp;$A272,Despesas!$C:$C,E$1,Despesas!$M:$M,$B272)</f>
        <v>0</v>
      </c>
      <c r="F272" s="5">
        <f>SUMIFS(Despesas!$F:$F,Despesas!$J:$J,"&lt;="&amp;$A272,Despesas!$L:$L,"&gt;="&amp;$A272,Despesas!$C:$C,F$1,Despesas!$M:$M,"Mensal")+SUMIFS(Despesas!$F:$F,Despesas!$J:$J,"&lt;="&amp;$A272,Despesas!$L:$L,"&gt;="&amp;$A272,Despesas!$C:$C,F$1,Despesas!$M:$M,$B272)</f>
        <v>13000</v>
      </c>
      <c r="G272" s="5">
        <f ca="1">SUMIFS(Despesas!$F:$F,Despesas!$J:$J,"&lt;="&amp;$A272,Despesas!$L:$L,"&gt;="&amp;$A272,Despesas!$C:$C,G$1,Despesas!$M:$M,"Mensal")+SUMIFS(Despesas!$F:$F,Despesas!$J:$J,"&lt;="&amp;$A272,Despesas!$L:$L,"&gt;="&amp;$A272,Despesas!$C:$C,G$1,Despesas!$M:$M,$B272)</f>
        <v>55757</v>
      </c>
      <c r="H272" s="18">
        <f>SUMIFS(Despesas!$F:$F,Despesas!$J:$J,"&lt;="&amp;$A272,Despesas!$L:$L,"&gt;="&amp;$A272,Despesas!$C:$C,H$1,Despesas!$M:$M,"Mensal")+SUMIFS(Despesas!$F:$F,Despesas!$J:$J,"&lt;="&amp;$A272,Despesas!$L:$L,"&gt;="&amp;$A272,Despesas!$C:$C,H$1,Despesas!$M:$M,$B272)</f>
        <v>1000</v>
      </c>
      <c r="I272" s="18">
        <f>IF(Imóveis!$F$2="PRICE",IF(AND(Dados!$A272&gt;=Imóveis!$Q$2,Dados!$A272&lt;=Imóveis!$T$2),Imóveis!$U$2,0),IF((IF(AND(Dados!$A272&gt;=Imóveis!$Q$2,Dados!$A272&lt;=Imóveis!$T$2),Imóveis!$S$2-(DATEDIF(Imóveis!$Q$2,Dados!$A272,"m")),0))=0,0,((Imóveis!$N$2/Imóveis!$S$2)+((Imóveis!$N$2-((Imóveis!$S$2-(IF(AND(Dados!$A272&gt;=Imóveis!$Q$2,Dados!$A272&lt;=Imóveis!$T$2),Imóveis!$S$2-(DATEDIF(Imóveis!$Q$2,Dados!$A272,"m")),)))*(Imóveis!$N$2/Imóveis!$S$2)))*Imóveis!$P$2))))*IF(AND(Imóveis!$E$2&gt;0,Dados!$A272&gt;Imóveis!$E$2),0,1)</f>
        <v>0</v>
      </c>
      <c r="J272" s="18">
        <f>IF(Imóveis!$F$3="PRICE",IF(AND(Dados!$A272&gt;=Imóveis!$Q$3,Dados!$A272&lt;=Imóveis!$T$3),Imóveis!$U$3,0),IF((IF(AND(Dados!$A272&gt;=Imóveis!$Q$3,Dados!$A272&lt;=Imóveis!$T$3),Imóveis!$S$3-(DATEDIF(Imóveis!$Q$3,Dados!$A272,"m")),0))=0,0,((Imóveis!$N$3/Imóveis!$S$3)+((Imóveis!$N$3-((Imóveis!$S$3-(IF(AND(Dados!$A272&gt;=Imóveis!$Q$3,Dados!$A272&lt;=Imóveis!$T$3),Imóveis!$S$3-(DATEDIF(Imóveis!$Q$3,Dados!$A272,"m")),)))*(Imóveis!$N$3/Imóveis!$S$3)))*Imóveis!$P$3))))*IF(AND(Imóveis!$E$3&gt;0,Dados!$A272&gt;Imóveis!$E$3),0,1)</f>
        <v>0</v>
      </c>
      <c r="K272" s="18">
        <f>IF(Imóveis!$F$4="PRICE",IF(AND(Dados!$A272&gt;=Imóveis!$Q$4,Dados!$A272&lt;=Imóveis!$T$4),Imóveis!$U$4,0),IF((IF(AND(Dados!$A272&gt;=Imóveis!$Q$4,Dados!$A272&lt;=Imóveis!$T$4),Imóveis!$S$4-(DATEDIF(Imóveis!$Q$4,Dados!$A272,"m")),0))=0,0,((Imóveis!$N$4/Imóveis!$S$4)+((Imóveis!$N$4-((Imóveis!$S$4-(IF(AND(Dados!$A272&gt;=Imóveis!$Q$4,Dados!$A272&lt;=Imóveis!$T$4),Imóveis!$S$4-(DATEDIF(Imóveis!$Q$4,Dados!$A272,"m")),)))*(Imóveis!$N$4/Imóveis!$S$4)))*Imóveis!$P$4))))*IF(AND(Imóveis!$E$4&gt;0,Dados!$A272&gt;Imóveis!$E$4),0,1)</f>
        <v>0</v>
      </c>
      <c r="L272" s="18">
        <f>IF(Imóveis!$F$5="PRICE",IF(AND(Dados!$A272&gt;=Imóveis!$Q$5,Dados!$A272&lt;=Imóveis!$T$5),Imóveis!$U$5,0),IF((IF(AND(Dados!$A272&gt;=Imóveis!$Q$5,Dados!$A272&lt;=Imóveis!$T$5),Imóveis!$S$5-(DATEDIF(Imóveis!$Q$5,Dados!$A272,"m")),0))=0,0,((Imóveis!$N$5/Imóveis!$S$5)+((Imóveis!$N$5-((Imóveis!$S$5-(IF(AND(Dados!$A272 &gt;=Imóveis!$Q$5,Dados!$A272&lt;=Imóveis!$T$5),Imóveis!$S$5-(DATEDIF(Imóveis!$Q$5,Dados!$A272,"m")),)))*(Imóveis!$N$5/Imóveis!$S$5)))*Imóveis!$P$5))))*IF(AND(Imóveis!$E$5&gt;0,Dados!$A272&gt;Imóveis!$E$5),0,1)*Imóveis!$I$5</f>
        <v>0</v>
      </c>
      <c r="M272" s="18">
        <f>IF(Imóveis!$F$6="PRICE",IF(AND(Dados!$A272&gt;=Imóveis!$Q$6,Dados!$A272&lt;=Imóveis!$T$6),Imóveis!$U$6,0),IF((IF(AND(Dados!$A272&gt;=Imóveis!$Q$6,Dados!$A272&lt;=Imóveis!$T$6),Imóveis!$S$6-(DATEDIF(Imóveis!$Q$6,Dados!$A272,"m")),0))=0,0,((Imóveis!$N$6/Imóveis!$S$6)+((Imóveis!$N$6-((Imóveis!$S$6-(IF(AND(Dados!$A272&gt;=Imóveis!$Q$6,Dados!$A272&lt;=Imóveis!$T$6),Imóveis!$S$6-(DATEDIF(Imóveis!$Q$6,Dados!$A272,"m")),)))*(Imóveis!$N$6/Imóveis!$S$6)))*Imóveis!$P$6))))*IF(AND(Imóveis!$E$6&gt;0,Dados!$A272&gt;Imóveis!$E$6),0,1)*Imóveis!$I$6</f>
        <v>0</v>
      </c>
      <c r="N272" s="18">
        <f t="shared" ca="1" si="37"/>
        <v>92757</v>
      </c>
      <c r="O272" s="18">
        <f>SUMIFS(Receitas!$F:$F,Receitas!$J:$J,"&lt;="&amp;$A272,Receitas!$L:$L,"&gt;="&amp;$A272,Receitas!$C:$C,O$1,Receitas!$M:$M,"Mensal")+SUMIFS(Receitas!$F:$F,Receitas!$J:$J,"&lt;="&amp;$A272,Receitas!$L:$L,"&gt;="&amp;$A272,Receitas!$C:$C,O$1,Receitas!$M:$M,$B272)</f>
        <v>50000</v>
      </c>
      <c r="P272" s="18">
        <f>SUMIFS(Receitas!$F:$F,Receitas!$J:$J,"&lt;="&amp;$A272,Receitas!$L:$L,"&gt;="&amp;$A272,Receitas!$C:$C,P$1,Receitas!$M:$M,"Mensal")+SUMIFS(Receitas!$F:$F,Receitas!$J:$J,"&lt;="&amp;$A272,Receitas!$L:$L,"&gt;="&amp;$A272,Receitas!$C:$C,P$1,Receitas!$M:$M,$B272)</f>
        <v>20000</v>
      </c>
      <c r="Q272" s="18">
        <f>SUMIFS(Receitas!$F:$F,Receitas!$J:$J,"&lt;="&amp;$A272,Receitas!$L:$L,"&gt;="&amp;$A272,Receitas!$C:$C,Q$1,Receitas!$M:$M,"Mensal")+SUMIFS(Receitas!$F:$F,Receitas!$J:$J,"&lt;="&amp;$A272,Receitas!$L:$L,"&gt;="&amp;$A272,Receitas!$C:$C,Q$1,Receitas!$M:$M,$B272)</f>
        <v>0</v>
      </c>
      <c r="R272" s="18" cm="1">
        <f t="array" ref="R272">(IF(AND(Membros!$F$2="Sim",A272&lt;=MAX(Membros!$E$2:$E$5)),Membros!K$2,IF(AND(A272&gt;=Membros!J$2,A272&lt;=MAX(Membros!$E$2:$E$5)),Membros!K$2,0))+IF(AND(Membros!$F$3="Sim",A272&lt;=MAX(Membros!$E$2:$E$5)),Membros!K$3,IF(AND(A272&gt;=Membros!J$3,A272&lt;=MAX(Membros!$E$2:$E$5)),Membros!K$3,0)))*IF(AND(COUNTIFS(Tabela3[Tipo],"Provedor",Tabela3[Simulação Seguro],"Sim")=2,A272&gt;=MAX(IF(Tabela3[Tipo]="Dependente",Tabela3[Expectativa de Vida (Data)]))),0,1)</f>
        <v>0</v>
      </c>
      <c r="S272" s="18">
        <f t="shared" si="38"/>
        <v>70000</v>
      </c>
      <c r="U272" s="18">
        <f t="shared" ca="1" si="41"/>
        <v>15481364.088394664</v>
      </c>
      <c r="V272" s="18">
        <f>SUMIF(Imóveis!E:E,Dados!A:A,Imóveis!Z:Z)-SUMIF(Imóveis!E:E,Dados!A:A,Imóveis!Y:Y)</f>
        <v>0</v>
      </c>
      <c r="W272" s="18">
        <f>-SUMIF(Projetos!N:N,A272,Projetos!F:F)</f>
        <v>0</v>
      </c>
      <c r="X272" s="18">
        <f t="shared" ca="1" si="35"/>
        <v>-22757</v>
      </c>
      <c r="Y272" s="26">
        <f ca="1">(U272*((Indicadores_Economicos!D$2+1)^(1/12)-1))</f>
        <v>50681.957498883246</v>
      </c>
      <c r="Z272" s="18">
        <f t="shared" ca="1" si="39"/>
        <v>15509289.045893548</v>
      </c>
      <c r="AA272" s="18">
        <f ca="1">Auxiliar_Projetos!E272</f>
        <v>9.4503034890414606E-10</v>
      </c>
      <c r="AB272" s="18">
        <f ca="1">Auxiliar_Projetos!K272</f>
        <v>7.2694642223395782E-10</v>
      </c>
      <c r="AC272" s="18">
        <f ca="1">IF(Z272-AA272-AB272&gt;Investimentos!$C$14,Investimentos!$C$14,IF(Z272-AA272-AB272&lt;Investimentos!$C$14,Z272-AA272-AB272,0))</f>
        <v>300000</v>
      </c>
      <c r="AD272" s="18">
        <f t="shared" ca="1" si="40"/>
        <v>15209289.045893546</v>
      </c>
      <c r="AE272" s="18"/>
    </row>
    <row r="273" spans="1:31" x14ac:dyDescent="0.2">
      <c r="A273" s="4">
        <v>53905</v>
      </c>
      <c r="B273" s="5" t="str">
        <f t="shared" si="36"/>
        <v>agosto</v>
      </c>
      <c r="C273" s="5" t="str">
        <f t="shared" si="34"/>
        <v>2047</v>
      </c>
      <c r="D273" s="5">
        <f>SUMIFS(Despesas!$F:$F,Despesas!$J:$J,"&lt;="&amp;$A273,Despesas!$L:$L,"&gt;="&amp;$A273,Despesas!$C:$C,D$1,Despesas!$M:$M,"Mensal")+SUMIFS(Despesas!$F:$F,Despesas!$J:$J,"&lt;="&amp;$A273,Despesas!$L:$L,"&gt;="&amp;$A273,Despesas!$C:$C,D$1,Despesas!$M:$M,$B273)</f>
        <v>23000</v>
      </c>
      <c r="E273" s="18">
        <f>SUMIFS(Despesas!$F:$F,Despesas!$J:$J,"&lt;="&amp;$A273,Despesas!$L:$L,"&gt;="&amp;$A273,Despesas!$C:$C,E$1,Despesas!$M:$M,"Mensal")+SUMIFS(Despesas!$F:$F,Despesas!$J:$J,"&lt;="&amp;$A273,Despesas!$L:$L,"&gt;="&amp;$A273,Despesas!$C:$C,E$1,Despesas!$M:$M,$B273)</f>
        <v>0</v>
      </c>
      <c r="F273" s="5">
        <f>SUMIFS(Despesas!$F:$F,Despesas!$J:$J,"&lt;="&amp;$A273,Despesas!$L:$L,"&gt;="&amp;$A273,Despesas!$C:$C,F$1,Despesas!$M:$M,"Mensal")+SUMIFS(Despesas!$F:$F,Despesas!$J:$J,"&lt;="&amp;$A273,Despesas!$L:$L,"&gt;="&amp;$A273,Despesas!$C:$C,F$1,Despesas!$M:$M,$B273)</f>
        <v>13000</v>
      </c>
      <c r="G273" s="5">
        <f>SUMIFS(Despesas!$F:$F,Despesas!$J:$J,"&lt;="&amp;$A273,Despesas!$L:$L,"&gt;="&amp;$A273,Despesas!$C:$C,G$1,Despesas!$M:$M,"Mensal")+SUMIFS(Despesas!$F:$F,Despesas!$J:$J,"&lt;="&amp;$A273,Despesas!$L:$L,"&gt;="&amp;$A273,Despesas!$C:$C,G$1,Despesas!$M:$M,$B273)</f>
        <v>0</v>
      </c>
      <c r="H273" s="18">
        <f>SUMIFS(Despesas!$F:$F,Despesas!$J:$J,"&lt;="&amp;$A273,Despesas!$L:$L,"&gt;="&amp;$A273,Despesas!$C:$C,H$1,Despesas!$M:$M,"Mensal")+SUMIFS(Despesas!$F:$F,Despesas!$J:$J,"&lt;="&amp;$A273,Despesas!$L:$L,"&gt;="&amp;$A273,Despesas!$C:$C,H$1,Despesas!$M:$M,$B273)</f>
        <v>1000</v>
      </c>
      <c r="I273" s="18">
        <f>IF(Imóveis!$F$2="PRICE",IF(AND(Dados!$A273&gt;=Imóveis!$Q$2,Dados!$A273&lt;=Imóveis!$T$2),Imóveis!$U$2,0),IF((IF(AND(Dados!$A273&gt;=Imóveis!$Q$2,Dados!$A273&lt;=Imóveis!$T$2),Imóveis!$S$2-(DATEDIF(Imóveis!$Q$2,Dados!$A273,"m")),0))=0,0,((Imóveis!$N$2/Imóveis!$S$2)+((Imóveis!$N$2-((Imóveis!$S$2-(IF(AND(Dados!$A273&gt;=Imóveis!$Q$2,Dados!$A273&lt;=Imóveis!$T$2),Imóveis!$S$2-(DATEDIF(Imóveis!$Q$2,Dados!$A273,"m")),)))*(Imóveis!$N$2/Imóveis!$S$2)))*Imóveis!$P$2))))*IF(AND(Imóveis!$E$2&gt;0,Dados!$A273&gt;Imóveis!$E$2),0,1)</f>
        <v>0</v>
      </c>
      <c r="J273" s="18">
        <f>IF(Imóveis!$F$3="PRICE",IF(AND(Dados!$A273&gt;=Imóveis!$Q$3,Dados!$A273&lt;=Imóveis!$T$3),Imóveis!$U$3,0),IF((IF(AND(Dados!$A273&gt;=Imóveis!$Q$3,Dados!$A273&lt;=Imóveis!$T$3),Imóveis!$S$3-(DATEDIF(Imóveis!$Q$3,Dados!$A273,"m")),0))=0,0,((Imóveis!$N$3/Imóveis!$S$3)+((Imóveis!$N$3-((Imóveis!$S$3-(IF(AND(Dados!$A273&gt;=Imóveis!$Q$3,Dados!$A273&lt;=Imóveis!$T$3),Imóveis!$S$3-(DATEDIF(Imóveis!$Q$3,Dados!$A273,"m")),)))*(Imóveis!$N$3/Imóveis!$S$3)))*Imóveis!$P$3))))*IF(AND(Imóveis!$E$3&gt;0,Dados!$A273&gt;Imóveis!$E$3),0,1)</f>
        <v>0</v>
      </c>
      <c r="K273" s="18">
        <f>IF(Imóveis!$F$4="PRICE",IF(AND(Dados!$A273&gt;=Imóveis!$Q$4,Dados!$A273&lt;=Imóveis!$T$4),Imóveis!$U$4,0),IF((IF(AND(Dados!$A273&gt;=Imóveis!$Q$4,Dados!$A273&lt;=Imóveis!$T$4),Imóveis!$S$4-(DATEDIF(Imóveis!$Q$4,Dados!$A273,"m")),0))=0,0,((Imóveis!$N$4/Imóveis!$S$4)+((Imóveis!$N$4-((Imóveis!$S$4-(IF(AND(Dados!$A273&gt;=Imóveis!$Q$4,Dados!$A273&lt;=Imóveis!$T$4),Imóveis!$S$4-(DATEDIF(Imóveis!$Q$4,Dados!$A273,"m")),)))*(Imóveis!$N$4/Imóveis!$S$4)))*Imóveis!$P$4))))*IF(AND(Imóveis!$E$4&gt;0,Dados!$A273&gt;Imóveis!$E$4),0,1)</f>
        <v>0</v>
      </c>
      <c r="L273" s="18">
        <f>IF(Imóveis!$F$5="PRICE",IF(AND(Dados!$A273&gt;=Imóveis!$Q$5,Dados!$A273&lt;=Imóveis!$T$5),Imóveis!$U$5,0),IF((IF(AND(Dados!$A273&gt;=Imóveis!$Q$5,Dados!$A273&lt;=Imóveis!$T$5),Imóveis!$S$5-(DATEDIF(Imóveis!$Q$5,Dados!$A273,"m")),0))=0,0,((Imóveis!$N$5/Imóveis!$S$5)+((Imóveis!$N$5-((Imóveis!$S$5-(IF(AND(Dados!$A273 &gt;=Imóveis!$Q$5,Dados!$A273&lt;=Imóveis!$T$5),Imóveis!$S$5-(DATEDIF(Imóveis!$Q$5,Dados!$A273,"m")),)))*(Imóveis!$N$5/Imóveis!$S$5)))*Imóveis!$P$5))))*IF(AND(Imóveis!$E$5&gt;0,Dados!$A273&gt;Imóveis!$E$5),0,1)*Imóveis!$I$5</f>
        <v>0</v>
      </c>
      <c r="M273" s="18">
        <f>IF(Imóveis!$F$6="PRICE",IF(AND(Dados!$A273&gt;=Imóveis!$Q$6,Dados!$A273&lt;=Imóveis!$T$6),Imóveis!$U$6,0),IF((IF(AND(Dados!$A273&gt;=Imóveis!$Q$6,Dados!$A273&lt;=Imóveis!$T$6),Imóveis!$S$6-(DATEDIF(Imóveis!$Q$6,Dados!$A273,"m")),0))=0,0,((Imóveis!$N$6/Imóveis!$S$6)+((Imóveis!$N$6-((Imóveis!$S$6-(IF(AND(Dados!$A273&gt;=Imóveis!$Q$6,Dados!$A273&lt;=Imóveis!$T$6),Imóveis!$S$6-(DATEDIF(Imóveis!$Q$6,Dados!$A273,"m")),)))*(Imóveis!$N$6/Imóveis!$S$6)))*Imóveis!$P$6))))*IF(AND(Imóveis!$E$6&gt;0,Dados!$A273&gt;Imóveis!$E$6),0,1)*Imóveis!$I$6</f>
        <v>0</v>
      </c>
      <c r="N273" s="18">
        <f t="shared" si="37"/>
        <v>37000</v>
      </c>
      <c r="O273" s="18">
        <f>SUMIFS(Receitas!$F:$F,Receitas!$J:$J,"&lt;="&amp;$A273,Receitas!$L:$L,"&gt;="&amp;$A273,Receitas!$C:$C,O$1,Receitas!$M:$M,"Mensal")+SUMIFS(Receitas!$F:$F,Receitas!$J:$J,"&lt;="&amp;$A273,Receitas!$L:$L,"&gt;="&amp;$A273,Receitas!$C:$C,O$1,Receitas!$M:$M,$B273)</f>
        <v>50000</v>
      </c>
      <c r="P273" s="18">
        <f>SUMIFS(Receitas!$F:$F,Receitas!$J:$J,"&lt;="&amp;$A273,Receitas!$L:$L,"&gt;="&amp;$A273,Receitas!$C:$C,P$1,Receitas!$M:$M,"Mensal")+SUMIFS(Receitas!$F:$F,Receitas!$J:$J,"&lt;="&amp;$A273,Receitas!$L:$L,"&gt;="&amp;$A273,Receitas!$C:$C,P$1,Receitas!$M:$M,$B273)</f>
        <v>20000</v>
      </c>
      <c r="Q273" s="18">
        <f>SUMIFS(Receitas!$F:$F,Receitas!$J:$J,"&lt;="&amp;$A273,Receitas!$L:$L,"&gt;="&amp;$A273,Receitas!$C:$C,Q$1,Receitas!$M:$M,"Mensal")+SUMIFS(Receitas!$F:$F,Receitas!$J:$J,"&lt;="&amp;$A273,Receitas!$L:$L,"&gt;="&amp;$A273,Receitas!$C:$C,Q$1,Receitas!$M:$M,$B273)</f>
        <v>0</v>
      </c>
      <c r="R273" s="18" cm="1">
        <f t="array" ref="R273">(IF(AND(Membros!$F$2="Sim",A273&lt;=MAX(Membros!$E$2:$E$5)),Membros!K$2,IF(AND(A273&gt;=Membros!J$2,A273&lt;=MAX(Membros!$E$2:$E$5)),Membros!K$2,0))+IF(AND(Membros!$F$3="Sim",A273&lt;=MAX(Membros!$E$2:$E$5)),Membros!K$3,IF(AND(A273&gt;=Membros!J$3,A273&lt;=MAX(Membros!$E$2:$E$5)),Membros!K$3,0)))*IF(AND(COUNTIFS(Tabela3[Tipo],"Provedor",Tabela3[Simulação Seguro],"Sim")=2,A273&gt;=MAX(IF(Tabela3[Tipo]="Dependente",Tabela3[Expectativa de Vida (Data)]))),0,1)</f>
        <v>0</v>
      </c>
      <c r="S273" s="18">
        <f t="shared" si="38"/>
        <v>70000</v>
      </c>
      <c r="U273" s="18">
        <f t="shared" ca="1" si="41"/>
        <v>15509289.045893548</v>
      </c>
      <c r="V273" s="18">
        <f>SUMIF(Imóveis!E:E,Dados!A:A,Imóveis!Z:Z)-SUMIF(Imóveis!E:E,Dados!A:A,Imóveis!Y:Y)</f>
        <v>0</v>
      </c>
      <c r="W273" s="18">
        <f>-SUMIF(Projetos!N:N,A273,Projetos!F:F)</f>
        <v>0</v>
      </c>
      <c r="X273" s="18">
        <f t="shared" si="35"/>
        <v>33000</v>
      </c>
      <c r="Y273" s="26">
        <f ca="1">(U273*((Indicadores_Economicos!D$2+1)^(1/12)-1))</f>
        <v>50773.376543163555</v>
      </c>
      <c r="Z273" s="18">
        <f t="shared" ca="1" si="39"/>
        <v>15593062.422436712</v>
      </c>
      <c r="AA273" s="18">
        <f ca="1">Auxiliar_Projetos!E273</f>
        <v>9.4812413235273888E-10</v>
      </c>
      <c r="AB273" s="18">
        <f ca="1">Auxiliar_Projetos!K273</f>
        <v>7.2932625565595233E-10</v>
      </c>
      <c r="AC273" s="18">
        <f ca="1">IF(Z273-AA273-AB273&gt;Investimentos!$C$14,Investimentos!$C$14,IF(Z273-AA273-AB273&lt;Investimentos!$C$14,Z273-AA273-AB273,0))</f>
        <v>300000</v>
      </c>
      <c r="AD273" s="18">
        <f t="shared" ca="1" si="40"/>
        <v>15293062.42243671</v>
      </c>
      <c r="AE273" s="18"/>
    </row>
    <row r="274" spans="1:31" x14ac:dyDescent="0.2">
      <c r="A274" s="4">
        <v>53936</v>
      </c>
      <c r="B274" s="5" t="str">
        <f t="shared" si="36"/>
        <v>setembro</v>
      </c>
      <c r="C274" s="5" t="str">
        <f t="shared" si="34"/>
        <v>2047</v>
      </c>
      <c r="D274" s="5">
        <f>SUMIFS(Despesas!$F:$F,Despesas!$J:$J,"&lt;="&amp;$A274,Despesas!$L:$L,"&gt;="&amp;$A274,Despesas!$C:$C,D$1,Despesas!$M:$M,"Mensal")+SUMIFS(Despesas!$F:$F,Despesas!$J:$J,"&lt;="&amp;$A274,Despesas!$L:$L,"&gt;="&amp;$A274,Despesas!$C:$C,D$1,Despesas!$M:$M,$B274)</f>
        <v>23000</v>
      </c>
      <c r="E274" s="18">
        <f>SUMIFS(Despesas!$F:$F,Despesas!$J:$J,"&lt;="&amp;$A274,Despesas!$L:$L,"&gt;="&amp;$A274,Despesas!$C:$C,E$1,Despesas!$M:$M,"Mensal")+SUMIFS(Despesas!$F:$F,Despesas!$J:$J,"&lt;="&amp;$A274,Despesas!$L:$L,"&gt;="&amp;$A274,Despesas!$C:$C,E$1,Despesas!$M:$M,$B274)</f>
        <v>0</v>
      </c>
      <c r="F274" s="5">
        <f>SUMIFS(Despesas!$F:$F,Despesas!$J:$J,"&lt;="&amp;$A274,Despesas!$L:$L,"&gt;="&amp;$A274,Despesas!$C:$C,F$1,Despesas!$M:$M,"Mensal")+SUMIFS(Despesas!$F:$F,Despesas!$J:$J,"&lt;="&amp;$A274,Despesas!$L:$L,"&gt;="&amp;$A274,Despesas!$C:$C,F$1,Despesas!$M:$M,$B274)</f>
        <v>13000</v>
      </c>
      <c r="G274" s="5">
        <f>SUMIFS(Despesas!$F:$F,Despesas!$J:$J,"&lt;="&amp;$A274,Despesas!$L:$L,"&gt;="&amp;$A274,Despesas!$C:$C,G$1,Despesas!$M:$M,"Mensal")+SUMIFS(Despesas!$F:$F,Despesas!$J:$J,"&lt;="&amp;$A274,Despesas!$L:$L,"&gt;="&amp;$A274,Despesas!$C:$C,G$1,Despesas!$M:$M,$B274)</f>
        <v>0</v>
      </c>
      <c r="H274" s="18">
        <f>SUMIFS(Despesas!$F:$F,Despesas!$J:$J,"&lt;="&amp;$A274,Despesas!$L:$L,"&gt;="&amp;$A274,Despesas!$C:$C,H$1,Despesas!$M:$M,"Mensal")+SUMIFS(Despesas!$F:$F,Despesas!$J:$J,"&lt;="&amp;$A274,Despesas!$L:$L,"&gt;="&amp;$A274,Despesas!$C:$C,H$1,Despesas!$M:$M,$B274)</f>
        <v>1000</v>
      </c>
      <c r="I274" s="18">
        <f>IF(Imóveis!$F$2="PRICE",IF(AND(Dados!$A274&gt;=Imóveis!$Q$2,Dados!$A274&lt;=Imóveis!$T$2),Imóveis!$U$2,0),IF((IF(AND(Dados!$A274&gt;=Imóveis!$Q$2,Dados!$A274&lt;=Imóveis!$T$2),Imóveis!$S$2-(DATEDIF(Imóveis!$Q$2,Dados!$A274,"m")),0))=0,0,((Imóveis!$N$2/Imóveis!$S$2)+((Imóveis!$N$2-((Imóveis!$S$2-(IF(AND(Dados!$A274&gt;=Imóveis!$Q$2,Dados!$A274&lt;=Imóveis!$T$2),Imóveis!$S$2-(DATEDIF(Imóveis!$Q$2,Dados!$A274,"m")),)))*(Imóveis!$N$2/Imóveis!$S$2)))*Imóveis!$P$2))))*IF(AND(Imóveis!$E$2&gt;0,Dados!$A274&gt;Imóveis!$E$2),0,1)</f>
        <v>0</v>
      </c>
      <c r="J274" s="18">
        <f>IF(Imóveis!$F$3="PRICE",IF(AND(Dados!$A274&gt;=Imóveis!$Q$3,Dados!$A274&lt;=Imóveis!$T$3),Imóveis!$U$3,0),IF((IF(AND(Dados!$A274&gt;=Imóveis!$Q$3,Dados!$A274&lt;=Imóveis!$T$3),Imóveis!$S$3-(DATEDIF(Imóveis!$Q$3,Dados!$A274,"m")),0))=0,0,((Imóveis!$N$3/Imóveis!$S$3)+((Imóveis!$N$3-((Imóveis!$S$3-(IF(AND(Dados!$A274&gt;=Imóveis!$Q$3,Dados!$A274&lt;=Imóveis!$T$3),Imóveis!$S$3-(DATEDIF(Imóveis!$Q$3,Dados!$A274,"m")),)))*(Imóveis!$N$3/Imóveis!$S$3)))*Imóveis!$P$3))))*IF(AND(Imóveis!$E$3&gt;0,Dados!$A274&gt;Imóveis!$E$3),0,1)</f>
        <v>0</v>
      </c>
      <c r="K274" s="18">
        <f>IF(Imóveis!$F$4="PRICE",IF(AND(Dados!$A274&gt;=Imóveis!$Q$4,Dados!$A274&lt;=Imóveis!$T$4),Imóveis!$U$4,0),IF((IF(AND(Dados!$A274&gt;=Imóveis!$Q$4,Dados!$A274&lt;=Imóveis!$T$4),Imóveis!$S$4-(DATEDIF(Imóveis!$Q$4,Dados!$A274,"m")),0))=0,0,((Imóveis!$N$4/Imóveis!$S$4)+((Imóveis!$N$4-((Imóveis!$S$4-(IF(AND(Dados!$A274&gt;=Imóveis!$Q$4,Dados!$A274&lt;=Imóveis!$T$4),Imóveis!$S$4-(DATEDIF(Imóveis!$Q$4,Dados!$A274,"m")),)))*(Imóveis!$N$4/Imóveis!$S$4)))*Imóveis!$P$4))))*IF(AND(Imóveis!$E$4&gt;0,Dados!$A274&gt;Imóveis!$E$4),0,1)</f>
        <v>0</v>
      </c>
      <c r="L274" s="18">
        <f>IF(Imóveis!$F$5="PRICE",IF(AND(Dados!$A274&gt;=Imóveis!$Q$5,Dados!$A274&lt;=Imóveis!$T$5),Imóveis!$U$5,0),IF((IF(AND(Dados!$A274&gt;=Imóveis!$Q$5,Dados!$A274&lt;=Imóveis!$T$5),Imóveis!$S$5-(DATEDIF(Imóveis!$Q$5,Dados!$A274,"m")),0))=0,0,((Imóveis!$N$5/Imóveis!$S$5)+((Imóveis!$N$5-((Imóveis!$S$5-(IF(AND(Dados!$A274 &gt;=Imóveis!$Q$5,Dados!$A274&lt;=Imóveis!$T$5),Imóveis!$S$5-(DATEDIF(Imóveis!$Q$5,Dados!$A274,"m")),)))*(Imóveis!$N$5/Imóveis!$S$5)))*Imóveis!$P$5))))*IF(AND(Imóveis!$E$5&gt;0,Dados!$A274&gt;Imóveis!$E$5),0,1)*Imóveis!$I$5</f>
        <v>0</v>
      </c>
      <c r="M274" s="18">
        <f>IF(Imóveis!$F$6="PRICE",IF(AND(Dados!$A274&gt;=Imóveis!$Q$6,Dados!$A274&lt;=Imóveis!$T$6),Imóveis!$U$6,0),IF((IF(AND(Dados!$A274&gt;=Imóveis!$Q$6,Dados!$A274&lt;=Imóveis!$T$6),Imóveis!$S$6-(DATEDIF(Imóveis!$Q$6,Dados!$A274,"m")),0))=0,0,((Imóveis!$N$6/Imóveis!$S$6)+((Imóveis!$N$6-((Imóveis!$S$6-(IF(AND(Dados!$A274&gt;=Imóveis!$Q$6,Dados!$A274&lt;=Imóveis!$T$6),Imóveis!$S$6-(DATEDIF(Imóveis!$Q$6,Dados!$A274,"m")),)))*(Imóveis!$N$6/Imóveis!$S$6)))*Imóveis!$P$6))))*IF(AND(Imóveis!$E$6&gt;0,Dados!$A274&gt;Imóveis!$E$6),0,1)*Imóveis!$I$6</f>
        <v>0</v>
      </c>
      <c r="N274" s="18">
        <f t="shared" si="37"/>
        <v>37000</v>
      </c>
      <c r="O274" s="18">
        <f>SUMIFS(Receitas!$F:$F,Receitas!$J:$J,"&lt;="&amp;$A274,Receitas!$L:$L,"&gt;="&amp;$A274,Receitas!$C:$C,O$1,Receitas!$M:$M,"Mensal")+SUMIFS(Receitas!$F:$F,Receitas!$J:$J,"&lt;="&amp;$A274,Receitas!$L:$L,"&gt;="&amp;$A274,Receitas!$C:$C,O$1,Receitas!$M:$M,$B274)</f>
        <v>50000</v>
      </c>
      <c r="P274" s="18">
        <f>SUMIFS(Receitas!$F:$F,Receitas!$J:$J,"&lt;="&amp;$A274,Receitas!$L:$L,"&gt;="&amp;$A274,Receitas!$C:$C,P$1,Receitas!$M:$M,"Mensal")+SUMIFS(Receitas!$F:$F,Receitas!$J:$J,"&lt;="&amp;$A274,Receitas!$L:$L,"&gt;="&amp;$A274,Receitas!$C:$C,P$1,Receitas!$M:$M,$B274)</f>
        <v>20000</v>
      </c>
      <c r="Q274" s="18">
        <f>SUMIFS(Receitas!$F:$F,Receitas!$J:$J,"&lt;="&amp;$A274,Receitas!$L:$L,"&gt;="&amp;$A274,Receitas!$C:$C,Q$1,Receitas!$M:$M,"Mensal")+SUMIFS(Receitas!$F:$F,Receitas!$J:$J,"&lt;="&amp;$A274,Receitas!$L:$L,"&gt;="&amp;$A274,Receitas!$C:$C,Q$1,Receitas!$M:$M,$B274)</f>
        <v>0</v>
      </c>
      <c r="R274" s="18" cm="1">
        <f t="array" ref="R274">(IF(AND(Membros!$F$2="Sim",A274&lt;=MAX(Membros!$E$2:$E$5)),Membros!K$2,IF(AND(A274&gt;=Membros!J$2,A274&lt;=MAX(Membros!$E$2:$E$5)),Membros!K$2,0))+IF(AND(Membros!$F$3="Sim",A274&lt;=MAX(Membros!$E$2:$E$5)),Membros!K$3,IF(AND(A274&gt;=Membros!J$3,A274&lt;=MAX(Membros!$E$2:$E$5)),Membros!K$3,0)))*IF(AND(COUNTIFS(Tabela3[Tipo],"Provedor",Tabela3[Simulação Seguro],"Sim")=2,A274&gt;=MAX(IF(Tabela3[Tipo]="Dependente",Tabela3[Expectativa de Vida (Data)]))),0,1)</f>
        <v>0</v>
      </c>
      <c r="S274" s="18">
        <f t="shared" si="38"/>
        <v>70000</v>
      </c>
      <c r="U274" s="18">
        <f t="shared" ca="1" si="41"/>
        <v>15593062.422436712</v>
      </c>
      <c r="V274" s="18">
        <f>SUMIF(Imóveis!E:E,Dados!A:A,Imóveis!Z:Z)-SUMIF(Imóveis!E:E,Dados!A:A,Imóveis!Y:Y)</f>
        <v>0</v>
      </c>
      <c r="W274" s="18">
        <f>-SUMIF(Projetos!N:N,A274,Projetos!F:F)</f>
        <v>0</v>
      </c>
      <c r="X274" s="18">
        <f t="shared" si="35"/>
        <v>33000</v>
      </c>
      <c r="Y274" s="26">
        <f ca="1">(U274*((Indicadores_Economicos!D$2+1)^(1/12)-1))</f>
        <v>51047.628778642043</v>
      </c>
      <c r="Z274" s="18">
        <f t="shared" ca="1" si="39"/>
        <v>15677110.051215354</v>
      </c>
      <c r="AA274" s="18">
        <f ca="1">Auxiliar_Projetos!E274</f>
        <v>9.5122804404328488E-10</v>
      </c>
      <c r="AB274" s="18">
        <f ca="1">Auxiliar_Projetos!K274</f>
        <v>7.3171388003329543E-10</v>
      </c>
      <c r="AC274" s="18">
        <f ca="1">IF(Z274-AA274-AB274&gt;Investimentos!$C$14,Investimentos!$C$14,IF(Z274-AA274-AB274&lt;Investimentos!$C$14,Z274-AA274-AB274,0))</f>
        <v>300000</v>
      </c>
      <c r="AD274" s="18">
        <f t="shared" ca="1" si="40"/>
        <v>15377110.051215352</v>
      </c>
      <c r="AE274" s="18"/>
    </row>
    <row r="275" spans="1:31" x14ac:dyDescent="0.2">
      <c r="A275" s="4">
        <v>53966</v>
      </c>
      <c r="B275" s="5" t="str">
        <f t="shared" si="36"/>
        <v>outubro</v>
      </c>
      <c r="C275" s="5" t="str">
        <f t="shared" si="34"/>
        <v>2047</v>
      </c>
      <c r="D275" s="5">
        <f>SUMIFS(Despesas!$F:$F,Despesas!$J:$J,"&lt;="&amp;$A275,Despesas!$L:$L,"&gt;="&amp;$A275,Despesas!$C:$C,D$1,Despesas!$M:$M,"Mensal")+SUMIFS(Despesas!$F:$F,Despesas!$J:$J,"&lt;="&amp;$A275,Despesas!$L:$L,"&gt;="&amp;$A275,Despesas!$C:$C,D$1,Despesas!$M:$M,$B275)</f>
        <v>23000</v>
      </c>
      <c r="E275" s="18">
        <f>SUMIFS(Despesas!$F:$F,Despesas!$J:$J,"&lt;="&amp;$A275,Despesas!$L:$L,"&gt;="&amp;$A275,Despesas!$C:$C,E$1,Despesas!$M:$M,"Mensal")+SUMIFS(Despesas!$F:$F,Despesas!$J:$J,"&lt;="&amp;$A275,Despesas!$L:$L,"&gt;="&amp;$A275,Despesas!$C:$C,E$1,Despesas!$M:$M,$B275)</f>
        <v>0</v>
      </c>
      <c r="F275" s="5">
        <f>SUMIFS(Despesas!$F:$F,Despesas!$J:$J,"&lt;="&amp;$A275,Despesas!$L:$L,"&gt;="&amp;$A275,Despesas!$C:$C,F$1,Despesas!$M:$M,"Mensal")+SUMIFS(Despesas!$F:$F,Despesas!$J:$J,"&lt;="&amp;$A275,Despesas!$L:$L,"&gt;="&amp;$A275,Despesas!$C:$C,F$1,Despesas!$M:$M,$B275)</f>
        <v>13000</v>
      </c>
      <c r="G275" s="5">
        <f>SUMIFS(Despesas!$F:$F,Despesas!$J:$J,"&lt;="&amp;$A275,Despesas!$L:$L,"&gt;="&amp;$A275,Despesas!$C:$C,G$1,Despesas!$M:$M,"Mensal")+SUMIFS(Despesas!$F:$F,Despesas!$J:$J,"&lt;="&amp;$A275,Despesas!$L:$L,"&gt;="&amp;$A275,Despesas!$C:$C,G$1,Despesas!$M:$M,$B275)</f>
        <v>0</v>
      </c>
      <c r="H275" s="18">
        <f>SUMIFS(Despesas!$F:$F,Despesas!$J:$J,"&lt;="&amp;$A275,Despesas!$L:$L,"&gt;="&amp;$A275,Despesas!$C:$C,H$1,Despesas!$M:$M,"Mensal")+SUMIFS(Despesas!$F:$F,Despesas!$J:$J,"&lt;="&amp;$A275,Despesas!$L:$L,"&gt;="&amp;$A275,Despesas!$C:$C,H$1,Despesas!$M:$M,$B275)</f>
        <v>1000</v>
      </c>
      <c r="I275" s="18">
        <f>IF(Imóveis!$F$2="PRICE",IF(AND(Dados!$A275&gt;=Imóveis!$Q$2,Dados!$A275&lt;=Imóveis!$T$2),Imóveis!$U$2,0),IF((IF(AND(Dados!$A275&gt;=Imóveis!$Q$2,Dados!$A275&lt;=Imóveis!$T$2),Imóveis!$S$2-(DATEDIF(Imóveis!$Q$2,Dados!$A275,"m")),0))=0,0,((Imóveis!$N$2/Imóveis!$S$2)+((Imóveis!$N$2-((Imóveis!$S$2-(IF(AND(Dados!$A275&gt;=Imóveis!$Q$2,Dados!$A275&lt;=Imóveis!$T$2),Imóveis!$S$2-(DATEDIF(Imóveis!$Q$2,Dados!$A275,"m")),)))*(Imóveis!$N$2/Imóveis!$S$2)))*Imóveis!$P$2))))*IF(AND(Imóveis!$E$2&gt;0,Dados!$A275&gt;Imóveis!$E$2),0,1)</f>
        <v>0</v>
      </c>
      <c r="J275" s="18">
        <f>IF(Imóveis!$F$3="PRICE",IF(AND(Dados!$A275&gt;=Imóveis!$Q$3,Dados!$A275&lt;=Imóveis!$T$3),Imóveis!$U$3,0),IF((IF(AND(Dados!$A275&gt;=Imóveis!$Q$3,Dados!$A275&lt;=Imóveis!$T$3),Imóveis!$S$3-(DATEDIF(Imóveis!$Q$3,Dados!$A275,"m")),0))=0,0,((Imóveis!$N$3/Imóveis!$S$3)+((Imóveis!$N$3-((Imóveis!$S$3-(IF(AND(Dados!$A275&gt;=Imóveis!$Q$3,Dados!$A275&lt;=Imóveis!$T$3),Imóveis!$S$3-(DATEDIF(Imóveis!$Q$3,Dados!$A275,"m")),)))*(Imóveis!$N$3/Imóveis!$S$3)))*Imóveis!$P$3))))*IF(AND(Imóveis!$E$3&gt;0,Dados!$A275&gt;Imóveis!$E$3),0,1)</f>
        <v>0</v>
      </c>
      <c r="K275" s="18">
        <f>IF(Imóveis!$F$4="PRICE",IF(AND(Dados!$A275&gt;=Imóveis!$Q$4,Dados!$A275&lt;=Imóveis!$T$4),Imóveis!$U$4,0),IF((IF(AND(Dados!$A275&gt;=Imóveis!$Q$4,Dados!$A275&lt;=Imóveis!$T$4),Imóveis!$S$4-(DATEDIF(Imóveis!$Q$4,Dados!$A275,"m")),0))=0,0,((Imóveis!$N$4/Imóveis!$S$4)+((Imóveis!$N$4-((Imóveis!$S$4-(IF(AND(Dados!$A275&gt;=Imóveis!$Q$4,Dados!$A275&lt;=Imóveis!$T$4),Imóveis!$S$4-(DATEDIF(Imóveis!$Q$4,Dados!$A275,"m")),)))*(Imóveis!$N$4/Imóveis!$S$4)))*Imóveis!$P$4))))*IF(AND(Imóveis!$E$4&gt;0,Dados!$A275&gt;Imóveis!$E$4),0,1)</f>
        <v>0</v>
      </c>
      <c r="L275" s="18">
        <f>IF(Imóveis!$F$5="PRICE",IF(AND(Dados!$A275&gt;=Imóveis!$Q$5,Dados!$A275&lt;=Imóveis!$T$5),Imóveis!$U$5,0),IF((IF(AND(Dados!$A275&gt;=Imóveis!$Q$5,Dados!$A275&lt;=Imóveis!$T$5),Imóveis!$S$5-(DATEDIF(Imóveis!$Q$5,Dados!$A275,"m")),0))=0,0,((Imóveis!$N$5/Imóveis!$S$5)+((Imóveis!$N$5-((Imóveis!$S$5-(IF(AND(Dados!$A275 &gt;=Imóveis!$Q$5,Dados!$A275&lt;=Imóveis!$T$5),Imóveis!$S$5-(DATEDIF(Imóveis!$Q$5,Dados!$A275,"m")),)))*(Imóveis!$N$5/Imóveis!$S$5)))*Imóveis!$P$5))))*IF(AND(Imóveis!$E$5&gt;0,Dados!$A275&gt;Imóveis!$E$5),0,1)*Imóveis!$I$5</f>
        <v>0</v>
      </c>
      <c r="M275" s="18">
        <f>IF(Imóveis!$F$6="PRICE",IF(AND(Dados!$A275&gt;=Imóveis!$Q$6,Dados!$A275&lt;=Imóveis!$T$6),Imóveis!$U$6,0),IF((IF(AND(Dados!$A275&gt;=Imóveis!$Q$6,Dados!$A275&lt;=Imóveis!$T$6),Imóveis!$S$6-(DATEDIF(Imóveis!$Q$6,Dados!$A275,"m")),0))=0,0,((Imóveis!$N$6/Imóveis!$S$6)+((Imóveis!$N$6-((Imóveis!$S$6-(IF(AND(Dados!$A275&gt;=Imóveis!$Q$6,Dados!$A275&lt;=Imóveis!$T$6),Imóveis!$S$6-(DATEDIF(Imóveis!$Q$6,Dados!$A275,"m")),)))*(Imóveis!$N$6/Imóveis!$S$6)))*Imóveis!$P$6))))*IF(AND(Imóveis!$E$6&gt;0,Dados!$A275&gt;Imóveis!$E$6),0,1)*Imóveis!$I$6</f>
        <v>0</v>
      </c>
      <c r="N275" s="18">
        <f t="shared" si="37"/>
        <v>37000</v>
      </c>
      <c r="O275" s="18">
        <f>SUMIFS(Receitas!$F:$F,Receitas!$J:$J,"&lt;="&amp;$A275,Receitas!$L:$L,"&gt;="&amp;$A275,Receitas!$C:$C,O$1,Receitas!$M:$M,"Mensal")+SUMIFS(Receitas!$F:$F,Receitas!$J:$J,"&lt;="&amp;$A275,Receitas!$L:$L,"&gt;="&amp;$A275,Receitas!$C:$C,O$1,Receitas!$M:$M,$B275)</f>
        <v>50000</v>
      </c>
      <c r="P275" s="18">
        <f>SUMIFS(Receitas!$F:$F,Receitas!$J:$J,"&lt;="&amp;$A275,Receitas!$L:$L,"&gt;="&amp;$A275,Receitas!$C:$C,P$1,Receitas!$M:$M,"Mensal")+SUMIFS(Receitas!$F:$F,Receitas!$J:$J,"&lt;="&amp;$A275,Receitas!$L:$L,"&gt;="&amp;$A275,Receitas!$C:$C,P$1,Receitas!$M:$M,$B275)</f>
        <v>20000</v>
      </c>
      <c r="Q275" s="18">
        <f>SUMIFS(Receitas!$F:$F,Receitas!$J:$J,"&lt;="&amp;$A275,Receitas!$L:$L,"&gt;="&amp;$A275,Receitas!$C:$C,Q$1,Receitas!$M:$M,"Mensal")+SUMIFS(Receitas!$F:$F,Receitas!$J:$J,"&lt;="&amp;$A275,Receitas!$L:$L,"&gt;="&amp;$A275,Receitas!$C:$C,Q$1,Receitas!$M:$M,$B275)</f>
        <v>0</v>
      </c>
      <c r="R275" s="18" cm="1">
        <f t="array" ref="R275">(IF(AND(Membros!$F$2="Sim",A275&lt;=MAX(Membros!$E$2:$E$5)),Membros!K$2,IF(AND(A275&gt;=Membros!J$2,A275&lt;=MAX(Membros!$E$2:$E$5)),Membros!K$2,0))+IF(AND(Membros!$F$3="Sim",A275&lt;=MAX(Membros!$E$2:$E$5)),Membros!K$3,IF(AND(A275&gt;=Membros!J$3,A275&lt;=MAX(Membros!$E$2:$E$5)),Membros!K$3,0)))*IF(AND(COUNTIFS(Tabela3[Tipo],"Provedor",Tabela3[Simulação Seguro],"Sim")=2,A275&gt;=MAX(IF(Tabela3[Tipo]="Dependente",Tabela3[Expectativa de Vida (Data)]))),0,1)</f>
        <v>0</v>
      </c>
      <c r="S275" s="18">
        <f t="shared" si="38"/>
        <v>70000</v>
      </c>
      <c r="U275" s="18">
        <f t="shared" ca="1" si="41"/>
        <v>15677110.051215354</v>
      </c>
      <c r="V275" s="18">
        <f>SUMIF(Imóveis!E:E,Dados!A:A,Imóveis!Z:Z)-SUMIF(Imóveis!E:E,Dados!A:A,Imóveis!Y:Y)</f>
        <v>0</v>
      </c>
      <c r="W275" s="18">
        <f>-SUMIF(Projetos!N:N,A275,Projetos!F:F)</f>
        <v>0</v>
      </c>
      <c r="X275" s="18">
        <f t="shared" si="35"/>
        <v>33000</v>
      </c>
      <c r="Y275" s="26">
        <f ca="1">(U275*((Indicadores_Economicos!D$2+1)^(1/12)-1))</f>
        <v>51322.778844574168</v>
      </c>
      <c r="Z275" s="18">
        <f t="shared" ca="1" si="39"/>
        <v>15761432.830059929</v>
      </c>
      <c r="AA275" s="18">
        <f ca="1">Auxiliar_Projetos!E275</f>
        <v>9.5434211713301264E-10</v>
      </c>
      <c r="AB275" s="18">
        <f ca="1">Auxiliar_Projetos!K275</f>
        <v>7.3410932087154751E-10</v>
      </c>
      <c r="AC275" s="18">
        <f ca="1">IF(Z275-AA275-AB275&gt;Investimentos!$C$14,Investimentos!$C$14,IF(Z275-AA275-AB275&lt;Investimentos!$C$14,Z275-AA275-AB275,0))</f>
        <v>300000</v>
      </c>
      <c r="AD275" s="18">
        <f t="shared" ca="1" si="40"/>
        <v>15461432.830059927</v>
      </c>
      <c r="AE275" s="18"/>
    </row>
    <row r="276" spans="1:31" x14ac:dyDescent="0.2">
      <c r="A276" s="4">
        <v>53997</v>
      </c>
      <c r="B276" s="5" t="str">
        <f t="shared" si="36"/>
        <v>novembro</v>
      </c>
      <c r="C276" s="5" t="str">
        <f t="shared" si="34"/>
        <v>2047</v>
      </c>
      <c r="D276" s="5">
        <f>SUMIFS(Despesas!$F:$F,Despesas!$J:$J,"&lt;="&amp;$A276,Despesas!$L:$L,"&gt;="&amp;$A276,Despesas!$C:$C,D$1,Despesas!$M:$M,"Mensal")+SUMIFS(Despesas!$F:$F,Despesas!$J:$J,"&lt;="&amp;$A276,Despesas!$L:$L,"&gt;="&amp;$A276,Despesas!$C:$C,D$1,Despesas!$M:$M,$B276)</f>
        <v>23000</v>
      </c>
      <c r="E276" s="18">
        <f>SUMIFS(Despesas!$F:$F,Despesas!$J:$J,"&lt;="&amp;$A276,Despesas!$L:$L,"&gt;="&amp;$A276,Despesas!$C:$C,E$1,Despesas!$M:$M,"Mensal")+SUMIFS(Despesas!$F:$F,Despesas!$J:$J,"&lt;="&amp;$A276,Despesas!$L:$L,"&gt;="&amp;$A276,Despesas!$C:$C,E$1,Despesas!$M:$M,$B276)</f>
        <v>0</v>
      </c>
      <c r="F276" s="5">
        <f>SUMIFS(Despesas!$F:$F,Despesas!$J:$J,"&lt;="&amp;$A276,Despesas!$L:$L,"&gt;="&amp;$A276,Despesas!$C:$C,F$1,Despesas!$M:$M,"Mensal")+SUMIFS(Despesas!$F:$F,Despesas!$J:$J,"&lt;="&amp;$A276,Despesas!$L:$L,"&gt;="&amp;$A276,Despesas!$C:$C,F$1,Despesas!$M:$M,$B276)</f>
        <v>13000</v>
      </c>
      <c r="G276" s="5">
        <f>SUMIFS(Despesas!$F:$F,Despesas!$J:$J,"&lt;="&amp;$A276,Despesas!$L:$L,"&gt;="&amp;$A276,Despesas!$C:$C,G$1,Despesas!$M:$M,"Mensal")+SUMIFS(Despesas!$F:$F,Despesas!$J:$J,"&lt;="&amp;$A276,Despesas!$L:$L,"&gt;="&amp;$A276,Despesas!$C:$C,G$1,Despesas!$M:$M,$B276)</f>
        <v>0</v>
      </c>
      <c r="H276" s="18">
        <f>SUMIFS(Despesas!$F:$F,Despesas!$J:$J,"&lt;="&amp;$A276,Despesas!$L:$L,"&gt;="&amp;$A276,Despesas!$C:$C,H$1,Despesas!$M:$M,"Mensal")+SUMIFS(Despesas!$F:$F,Despesas!$J:$J,"&lt;="&amp;$A276,Despesas!$L:$L,"&gt;="&amp;$A276,Despesas!$C:$C,H$1,Despesas!$M:$M,$B276)</f>
        <v>1000</v>
      </c>
      <c r="I276" s="18">
        <f>IF(Imóveis!$F$2="PRICE",IF(AND(Dados!$A276&gt;=Imóveis!$Q$2,Dados!$A276&lt;=Imóveis!$T$2),Imóveis!$U$2,0),IF((IF(AND(Dados!$A276&gt;=Imóveis!$Q$2,Dados!$A276&lt;=Imóveis!$T$2),Imóveis!$S$2-(DATEDIF(Imóveis!$Q$2,Dados!$A276,"m")),0))=0,0,((Imóveis!$N$2/Imóveis!$S$2)+((Imóveis!$N$2-((Imóveis!$S$2-(IF(AND(Dados!$A276&gt;=Imóveis!$Q$2,Dados!$A276&lt;=Imóveis!$T$2),Imóveis!$S$2-(DATEDIF(Imóveis!$Q$2,Dados!$A276,"m")),)))*(Imóveis!$N$2/Imóveis!$S$2)))*Imóveis!$P$2))))*IF(AND(Imóveis!$E$2&gt;0,Dados!$A276&gt;Imóveis!$E$2),0,1)</f>
        <v>0</v>
      </c>
      <c r="J276" s="18">
        <f>IF(Imóveis!$F$3="PRICE",IF(AND(Dados!$A276&gt;=Imóveis!$Q$3,Dados!$A276&lt;=Imóveis!$T$3),Imóveis!$U$3,0),IF((IF(AND(Dados!$A276&gt;=Imóveis!$Q$3,Dados!$A276&lt;=Imóveis!$T$3),Imóveis!$S$3-(DATEDIF(Imóveis!$Q$3,Dados!$A276,"m")),0))=0,0,((Imóveis!$N$3/Imóveis!$S$3)+((Imóveis!$N$3-((Imóveis!$S$3-(IF(AND(Dados!$A276&gt;=Imóveis!$Q$3,Dados!$A276&lt;=Imóveis!$T$3),Imóveis!$S$3-(DATEDIF(Imóveis!$Q$3,Dados!$A276,"m")),)))*(Imóveis!$N$3/Imóveis!$S$3)))*Imóveis!$P$3))))*IF(AND(Imóveis!$E$3&gt;0,Dados!$A276&gt;Imóveis!$E$3),0,1)</f>
        <v>0</v>
      </c>
      <c r="K276" s="18">
        <f>IF(Imóveis!$F$4="PRICE",IF(AND(Dados!$A276&gt;=Imóveis!$Q$4,Dados!$A276&lt;=Imóveis!$T$4),Imóveis!$U$4,0),IF((IF(AND(Dados!$A276&gt;=Imóveis!$Q$4,Dados!$A276&lt;=Imóveis!$T$4),Imóveis!$S$4-(DATEDIF(Imóveis!$Q$4,Dados!$A276,"m")),0))=0,0,((Imóveis!$N$4/Imóveis!$S$4)+((Imóveis!$N$4-((Imóveis!$S$4-(IF(AND(Dados!$A276&gt;=Imóveis!$Q$4,Dados!$A276&lt;=Imóveis!$T$4),Imóveis!$S$4-(DATEDIF(Imóveis!$Q$4,Dados!$A276,"m")),)))*(Imóveis!$N$4/Imóveis!$S$4)))*Imóveis!$P$4))))*IF(AND(Imóveis!$E$4&gt;0,Dados!$A276&gt;Imóveis!$E$4),0,1)</f>
        <v>0</v>
      </c>
      <c r="L276" s="18">
        <f>IF(Imóveis!$F$5="PRICE",IF(AND(Dados!$A276&gt;=Imóveis!$Q$5,Dados!$A276&lt;=Imóveis!$T$5),Imóveis!$U$5,0),IF((IF(AND(Dados!$A276&gt;=Imóveis!$Q$5,Dados!$A276&lt;=Imóveis!$T$5),Imóveis!$S$5-(DATEDIF(Imóveis!$Q$5,Dados!$A276,"m")),0))=0,0,((Imóveis!$N$5/Imóveis!$S$5)+((Imóveis!$N$5-((Imóveis!$S$5-(IF(AND(Dados!$A276 &gt;=Imóveis!$Q$5,Dados!$A276&lt;=Imóveis!$T$5),Imóveis!$S$5-(DATEDIF(Imóveis!$Q$5,Dados!$A276,"m")),)))*(Imóveis!$N$5/Imóveis!$S$5)))*Imóveis!$P$5))))*IF(AND(Imóveis!$E$5&gt;0,Dados!$A276&gt;Imóveis!$E$5),0,1)*Imóveis!$I$5</f>
        <v>0</v>
      </c>
      <c r="M276" s="18">
        <f>IF(Imóveis!$F$6="PRICE",IF(AND(Dados!$A276&gt;=Imóveis!$Q$6,Dados!$A276&lt;=Imóveis!$T$6),Imóveis!$U$6,0),IF((IF(AND(Dados!$A276&gt;=Imóveis!$Q$6,Dados!$A276&lt;=Imóveis!$T$6),Imóveis!$S$6-(DATEDIF(Imóveis!$Q$6,Dados!$A276,"m")),0))=0,0,((Imóveis!$N$6/Imóveis!$S$6)+((Imóveis!$N$6-((Imóveis!$S$6-(IF(AND(Dados!$A276&gt;=Imóveis!$Q$6,Dados!$A276&lt;=Imóveis!$T$6),Imóveis!$S$6-(DATEDIF(Imóveis!$Q$6,Dados!$A276,"m")),)))*(Imóveis!$N$6/Imóveis!$S$6)))*Imóveis!$P$6))))*IF(AND(Imóveis!$E$6&gt;0,Dados!$A276&gt;Imóveis!$E$6),0,1)*Imóveis!$I$6</f>
        <v>0</v>
      </c>
      <c r="N276" s="18">
        <f t="shared" si="37"/>
        <v>37000</v>
      </c>
      <c r="O276" s="18">
        <f>SUMIFS(Receitas!$F:$F,Receitas!$J:$J,"&lt;="&amp;$A276,Receitas!$L:$L,"&gt;="&amp;$A276,Receitas!$C:$C,O$1,Receitas!$M:$M,"Mensal")+SUMIFS(Receitas!$F:$F,Receitas!$J:$J,"&lt;="&amp;$A276,Receitas!$L:$L,"&gt;="&amp;$A276,Receitas!$C:$C,O$1,Receitas!$M:$M,$B276)</f>
        <v>50000</v>
      </c>
      <c r="P276" s="18">
        <f>SUMIFS(Receitas!$F:$F,Receitas!$J:$J,"&lt;="&amp;$A276,Receitas!$L:$L,"&gt;="&amp;$A276,Receitas!$C:$C,P$1,Receitas!$M:$M,"Mensal")+SUMIFS(Receitas!$F:$F,Receitas!$J:$J,"&lt;="&amp;$A276,Receitas!$L:$L,"&gt;="&amp;$A276,Receitas!$C:$C,P$1,Receitas!$M:$M,$B276)</f>
        <v>86666.666666666672</v>
      </c>
      <c r="Q276" s="18">
        <f>SUMIFS(Receitas!$F:$F,Receitas!$J:$J,"&lt;="&amp;$A276,Receitas!$L:$L,"&gt;="&amp;$A276,Receitas!$C:$C,Q$1,Receitas!$M:$M,"Mensal")+SUMIFS(Receitas!$F:$F,Receitas!$J:$J,"&lt;="&amp;$A276,Receitas!$L:$L,"&gt;="&amp;$A276,Receitas!$C:$C,Q$1,Receitas!$M:$M,$B276)</f>
        <v>0</v>
      </c>
      <c r="R276" s="18" cm="1">
        <f t="array" ref="R276">(IF(AND(Membros!$F$2="Sim",A276&lt;=MAX(Membros!$E$2:$E$5)),Membros!K$2,IF(AND(A276&gt;=Membros!J$2,A276&lt;=MAX(Membros!$E$2:$E$5)),Membros!K$2,0))+IF(AND(Membros!$F$3="Sim",A276&lt;=MAX(Membros!$E$2:$E$5)),Membros!K$3,IF(AND(A276&gt;=Membros!J$3,A276&lt;=MAX(Membros!$E$2:$E$5)),Membros!K$3,0)))*IF(AND(COUNTIFS(Tabela3[Tipo],"Provedor",Tabela3[Simulação Seguro],"Sim")=2,A276&gt;=MAX(IF(Tabela3[Tipo]="Dependente",Tabela3[Expectativa de Vida (Data)]))),0,1)</f>
        <v>0</v>
      </c>
      <c r="S276" s="18">
        <f t="shared" si="38"/>
        <v>136666.66666666669</v>
      </c>
      <c r="U276" s="18">
        <f t="shared" ca="1" si="41"/>
        <v>15761432.830059929</v>
      </c>
      <c r="V276" s="18">
        <f>SUMIF(Imóveis!E:E,Dados!A:A,Imóveis!Z:Z)-SUMIF(Imóveis!E:E,Dados!A:A,Imóveis!Y:Y)</f>
        <v>0</v>
      </c>
      <c r="W276" s="18">
        <f>-SUMIF(Projetos!N:N,A276,Projetos!F:F)</f>
        <v>0</v>
      </c>
      <c r="X276" s="18">
        <f t="shared" si="35"/>
        <v>99666.666666666686</v>
      </c>
      <c r="Y276" s="26">
        <f ca="1">(U276*((Indicadores_Economicos!D$2+1)^(1/12)-1))</f>
        <v>51598.829680223214</v>
      </c>
      <c r="Z276" s="18">
        <f t="shared" ca="1" si="39"/>
        <v>15912698.326406818</v>
      </c>
      <c r="AA276" s="18">
        <f ca="1">Auxiliar_Projetos!E276</f>
        <v>9.5746638488769899E-10</v>
      </c>
      <c r="AB276" s="18">
        <f ca="1">Auxiliar_Projetos!K276</f>
        <v>7.3651260375976768E-10</v>
      </c>
      <c r="AC276" s="18">
        <f ca="1">IF(Z276-AA276-AB276&gt;Investimentos!$C$14,Investimentos!$C$14,IF(Z276-AA276-AB276&lt;Investimentos!$C$14,Z276-AA276-AB276,0))</f>
        <v>300000</v>
      </c>
      <c r="AD276" s="18">
        <f t="shared" ca="1" si="40"/>
        <v>15612698.326406816</v>
      </c>
      <c r="AE276" s="18"/>
    </row>
    <row r="277" spans="1:31" x14ac:dyDescent="0.2">
      <c r="A277" s="4">
        <v>54027</v>
      </c>
      <c r="B277" s="5" t="str">
        <f t="shared" si="36"/>
        <v>dezembro</v>
      </c>
      <c r="C277" s="5" t="str">
        <f t="shared" si="34"/>
        <v>2047</v>
      </c>
      <c r="D277" s="5">
        <f>SUMIFS(Despesas!$F:$F,Despesas!$J:$J,"&lt;="&amp;$A277,Despesas!$L:$L,"&gt;="&amp;$A277,Despesas!$C:$C,D$1,Despesas!$M:$M,"Mensal")+SUMIFS(Despesas!$F:$F,Despesas!$J:$J,"&lt;="&amp;$A277,Despesas!$L:$L,"&gt;="&amp;$A277,Despesas!$C:$C,D$1,Despesas!$M:$M,$B277)</f>
        <v>23000</v>
      </c>
      <c r="E277" s="18">
        <f>SUMIFS(Despesas!$F:$F,Despesas!$J:$J,"&lt;="&amp;$A277,Despesas!$L:$L,"&gt;="&amp;$A277,Despesas!$C:$C,E$1,Despesas!$M:$M,"Mensal")+SUMIFS(Despesas!$F:$F,Despesas!$J:$J,"&lt;="&amp;$A277,Despesas!$L:$L,"&gt;="&amp;$A277,Despesas!$C:$C,E$1,Despesas!$M:$M,$B277)</f>
        <v>0</v>
      </c>
      <c r="F277" s="5">
        <f>SUMIFS(Despesas!$F:$F,Despesas!$J:$J,"&lt;="&amp;$A277,Despesas!$L:$L,"&gt;="&amp;$A277,Despesas!$C:$C,F$1,Despesas!$M:$M,"Mensal")+SUMIFS(Despesas!$F:$F,Despesas!$J:$J,"&lt;="&amp;$A277,Despesas!$L:$L,"&gt;="&amp;$A277,Despesas!$C:$C,F$1,Despesas!$M:$M,$B277)</f>
        <v>13000</v>
      </c>
      <c r="G277" s="5">
        <f ca="1">SUMIFS(Despesas!$F:$F,Despesas!$J:$J,"&lt;="&amp;$A277,Despesas!$L:$L,"&gt;="&amp;$A277,Despesas!$C:$C,G$1,Despesas!$M:$M,"Mensal")+SUMIFS(Despesas!$F:$F,Despesas!$J:$J,"&lt;="&amp;$A277,Despesas!$L:$L,"&gt;="&amp;$A277,Despesas!$C:$C,G$1,Despesas!$M:$M,$B277)</f>
        <v>55757</v>
      </c>
      <c r="H277" s="18">
        <f>SUMIFS(Despesas!$F:$F,Despesas!$J:$J,"&lt;="&amp;$A277,Despesas!$L:$L,"&gt;="&amp;$A277,Despesas!$C:$C,H$1,Despesas!$M:$M,"Mensal")+SUMIFS(Despesas!$F:$F,Despesas!$J:$J,"&lt;="&amp;$A277,Despesas!$L:$L,"&gt;="&amp;$A277,Despesas!$C:$C,H$1,Despesas!$M:$M,$B277)</f>
        <v>1000</v>
      </c>
      <c r="I277" s="18">
        <f>IF(Imóveis!$F$2="PRICE",IF(AND(Dados!$A277&gt;=Imóveis!$Q$2,Dados!$A277&lt;=Imóveis!$T$2),Imóveis!$U$2,0),IF((IF(AND(Dados!$A277&gt;=Imóveis!$Q$2,Dados!$A277&lt;=Imóveis!$T$2),Imóveis!$S$2-(DATEDIF(Imóveis!$Q$2,Dados!$A277,"m")),0))=0,0,((Imóveis!$N$2/Imóveis!$S$2)+((Imóveis!$N$2-((Imóveis!$S$2-(IF(AND(Dados!$A277&gt;=Imóveis!$Q$2,Dados!$A277&lt;=Imóveis!$T$2),Imóveis!$S$2-(DATEDIF(Imóveis!$Q$2,Dados!$A277,"m")),)))*(Imóveis!$N$2/Imóveis!$S$2)))*Imóveis!$P$2))))*IF(AND(Imóveis!$E$2&gt;0,Dados!$A277&gt;Imóveis!$E$2),0,1)</f>
        <v>0</v>
      </c>
      <c r="J277" s="18">
        <f>IF(Imóveis!$F$3="PRICE",IF(AND(Dados!$A277&gt;=Imóveis!$Q$3,Dados!$A277&lt;=Imóveis!$T$3),Imóveis!$U$3,0),IF((IF(AND(Dados!$A277&gt;=Imóveis!$Q$3,Dados!$A277&lt;=Imóveis!$T$3),Imóveis!$S$3-(DATEDIF(Imóveis!$Q$3,Dados!$A277,"m")),0))=0,0,((Imóveis!$N$3/Imóveis!$S$3)+((Imóveis!$N$3-((Imóveis!$S$3-(IF(AND(Dados!$A277&gt;=Imóveis!$Q$3,Dados!$A277&lt;=Imóveis!$T$3),Imóveis!$S$3-(DATEDIF(Imóveis!$Q$3,Dados!$A277,"m")),)))*(Imóveis!$N$3/Imóveis!$S$3)))*Imóveis!$P$3))))*IF(AND(Imóveis!$E$3&gt;0,Dados!$A277&gt;Imóveis!$E$3),0,1)</f>
        <v>0</v>
      </c>
      <c r="K277" s="18">
        <f>IF(Imóveis!$F$4="PRICE",IF(AND(Dados!$A277&gt;=Imóveis!$Q$4,Dados!$A277&lt;=Imóveis!$T$4),Imóveis!$U$4,0),IF((IF(AND(Dados!$A277&gt;=Imóveis!$Q$4,Dados!$A277&lt;=Imóveis!$T$4),Imóveis!$S$4-(DATEDIF(Imóveis!$Q$4,Dados!$A277,"m")),0))=0,0,((Imóveis!$N$4/Imóveis!$S$4)+((Imóveis!$N$4-((Imóveis!$S$4-(IF(AND(Dados!$A277&gt;=Imóveis!$Q$4,Dados!$A277&lt;=Imóveis!$T$4),Imóveis!$S$4-(DATEDIF(Imóveis!$Q$4,Dados!$A277,"m")),)))*(Imóveis!$N$4/Imóveis!$S$4)))*Imóveis!$P$4))))*IF(AND(Imóveis!$E$4&gt;0,Dados!$A277&gt;Imóveis!$E$4),0,1)</f>
        <v>0</v>
      </c>
      <c r="L277" s="18">
        <f>IF(Imóveis!$F$5="PRICE",IF(AND(Dados!$A277&gt;=Imóveis!$Q$5,Dados!$A277&lt;=Imóveis!$T$5),Imóveis!$U$5,0),IF((IF(AND(Dados!$A277&gt;=Imóveis!$Q$5,Dados!$A277&lt;=Imóveis!$T$5),Imóveis!$S$5-(DATEDIF(Imóveis!$Q$5,Dados!$A277,"m")),0))=0,0,((Imóveis!$N$5/Imóveis!$S$5)+((Imóveis!$N$5-((Imóveis!$S$5-(IF(AND(Dados!$A277 &gt;=Imóveis!$Q$5,Dados!$A277&lt;=Imóveis!$T$5),Imóveis!$S$5-(DATEDIF(Imóveis!$Q$5,Dados!$A277,"m")),)))*(Imóveis!$N$5/Imóveis!$S$5)))*Imóveis!$P$5))))*IF(AND(Imóveis!$E$5&gt;0,Dados!$A277&gt;Imóveis!$E$5),0,1)*Imóveis!$I$5</f>
        <v>0</v>
      </c>
      <c r="M277" s="18">
        <f>IF(Imóveis!$F$6="PRICE",IF(AND(Dados!$A277&gt;=Imóveis!$Q$6,Dados!$A277&lt;=Imóveis!$T$6),Imóveis!$U$6,0),IF((IF(AND(Dados!$A277&gt;=Imóveis!$Q$6,Dados!$A277&lt;=Imóveis!$T$6),Imóveis!$S$6-(DATEDIF(Imóveis!$Q$6,Dados!$A277,"m")),0))=0,0,((Imóveis!$N$6/Imóveis!$S$6)+((Imóveis!$N$6-((Imóveis!$S$6-(IF(AND(Dados!$A277&gt;=Imóveis!$Q$6,Dados!$A277&lt;=Imóveis!$T$6),Imóveis!$S$6-(DATEDIF(Imóveis!$Q$6,Dados!$A277,"m")),)))*(Imóveis!$N$6/Imóveis!$S$6)))*Imóveis!$P$6))))*IF(AND(Imóveis!$E$6&gt;0,Dados!$A277&gt;Imóveis!$E$6),0,1)*Imóveis!$I$6</f>
        <v>0</v>
      </c>
      <c r="N277" s="18">
        <f t="shared" ca="1" si="37"/>
        <v>92757</v>
      </c>
      <c r="O277" s="18">
        <f>SUMIFS(Receitas!$F:$F,Receitas!$J:$J,"&lt;="&amp;$A277,Receitas!$L:$L,"&gt;="&amp;$A277,Receitas!$C:$C,O$1,Receitas!$M:$M,"Mensal")+SUMIFS(Receitas!$F:$F,Receitas!$J:$J,"&lt;="&amp;$A277,Receitas!$L:$L,"&gt;="&amp;$A277,Receitas!$C:$C,O$1,Receitas!$M:$M,$B277)</f>
        <v>50000</v>
      </c>
      <c r="P277" s="18">
        <f>SUMIFS(Receitas!$F:$F,Receitas!$J:$J,"&lt;="&amp;$A277,Receitas!$L:$L,"&gt;="&amp;$A277,Receitas!$C:$C,P$1,Receitas!$M:$M,"Mensal")+SUMIFS(Receitas!$F:$F,Receitas!$J:$J,"&lt;="&amp;$A277,Receitas!$L:$L,"&gt;="&amp;$A277,Receitas!$C:$C,P$1,Receitas!$M:$M,$B277)</f>
        <v>20000</v>
      </c>
      <c r="Q277" s="18">
        <f>SUMIFS(Receitas!$F:$F,Receitas!$J:$J,"&lt;="&amp;$A277,Receitas!$L:$L,"&gt;="&amp;$A277,Receitas!$C:$C,Q$1,Receitas!$M:$M,"Mensal")+SUMIFS(Receitas!$F:$F,Receitas!$J:$J,"&lt;="&amp;$A277,Receitas!$L:$L,"&gt;="&amp;$A277,Receitas!$C:$C,Q$1,Receitas!$M:$M,$B277)</f>
        <v>0</v>
      </c>
      <c r="R277" s="18" cm="1">
        <f t="array" ref="R277">(IF(AND(Membros!$F$2="Sim",A277&lt;=MAX(Membros!$E$2:$E$5)),Membros!K$2,IF(AND(A277&gt;=Membros!J$2,A277&lt;=MAX(Membros!$E$2:$E$5)),Membros!K$2,0))+IF(AND(Membros!$F$3="Sim",A277&lt;=MAX(Membros!$E$2:$E$5)),Membros!K$3,IF(AND(A277&gt;=Membros!J$3,A277&lt;=MAX(Membros!$E$2:$E$5)),Membros!K$3,0)))*IF(AND(COUNTIFS(Tabela3[Tipo],"Provedor",Tabela3[Simulação Seguro],"Sim")=2,A277&gt;=MAX(IF(Tabela3[Tipo]="Dependente",Tabela3[Expectativa de Vida (Data)]))),0,1)</f>
        <v>0</v>
      </c>
      <c r="S277" s="18">
        <f t="shared" si="38"/>
        <v>70000</v>
      </c>
      <c r="U277" s="18">
        <f t="shared" ca="1" si="41"/>
        <v>15912698.326406818</v>
      </c>
      <c r="V277" s="18">
        <f>SUMIF(Imóveis!E:E,Dados!A:A,Imóveis!Z:Z)-SUMIF(Imóveis!E:E,Dados!A:A,Imóveis!Y:Y)</f>
        <v>0</v>
      </c>
      <c r="W277" s="18">
        <f>-SUMIF(Projetos!N:N,A277,Projetos!F:F)</f>
        <v>0</v>
      </c>
      <c r="X277" s="18">
        <f t="shared" ca="1" si="35"/>
        <v>-22757</v>
      </c>
      <c r="Y277" s="26">
        <f ca="1">(U277*((Indicadores_Economicos!D$2+1)^(1/12)-1))</f>
        <v>52094.033553288085</v>
      </c>
      <c r="Z277" s="18">
        <f t="shared" ca="1" si="39"/>
        <v>15942035.359960105</v>
      </c>
      <c r="AA277" s="18">
        <f ca="1">Auxiliar_Projetos!E277</f>
        <v>9.6060088068202403E-10</v>
      </c>
      <c r="AB277" s="18">
        <f ca="1">Auxiliar_Projetos!K277</f>
        <v>7.3892375437078692E-10</v>
      </c>
      <c r="AC277" s="18">
        <f ca="1">IF(Z277-AA277-AB277&gt;Investimentos!$C$14,Investimentos!$C$14,IF(Z277-AA277-AB277&lt;Investimentos!$C$14,Z277-AA277-AB277,0))</f>
        <v>300000</v>
      </c>
      <c r="AD277" s="18">
        <f t="shared" ca="1" si="40"/>
        <v>15642035.359960103</v>
      </c>
      <c r="AE277" s="18"/>
    </row>
    <row r="278" spans="1:31" x14ac:dyDescent="0.2">
      <c r="A278" s="4">
        <v>54058</v>
      </c>
      <c r="B278" s="5" t="str">
        <f t="shared" si="36"/>
        <v>janeiro</v>
      </c>
      <c r="C278" s="5" t="str">
        <f t="shared" si="34"/>
        <v>2048</v>
      </c>
      <c r="D278" s="5">
        <f>SUMIFS(Despesas!$F:$F,Despesas!$J:$J,"&lt;="&amp;$A278,Despesas!$L:$L,"&gt;="&amp;$A278,Despesas!$C:$C,D$1,Despesas!$M:$M,"Mensal")+SUMIFS(Despesas!$F:$F,Despesas!$J:$J,"&lt;="&amp;$A278,Despesas!$L:$L,"&gt;="&amp;$A278,Despesas!$C:$C,D$1,Despesas!$M:$M,$B278)</f>
        <v>23000</v>
      </c>
      <c r="E278" s="18">
        <f>SUMIFS(Despesas!$F:$F,Despesas!$J:$J,"&lt;="&amp;$A278,Despesas!$L:$L,"&gt;="&amp;$A278,Despesas!$C:$C,E$1,Despesas!$M:$M,"Mensal")+SUMIFS(Despesas!$F:$F,Despesas!$J:$J,"&lt;="&amp;$A278,Despesas!$L:$L,"&gt;="&amp;$A278,Despesas!$C:$C,E$1,Despesas!$M:$M,$B278)</f>
        <v>0</v>
      </c>
      <c r="F278" s="5">
        <f>SUMIFS(Despesas!$F:$F,Despesas!$J:$J,"&lt;="&amp;$A278,Despesas!$L:$L,"&gt;="&amp;$A278,Despesas!$C:$C,F$1,Despesas!$M:$M,"Mensal")+SUMIFS(Despesas!$F:$F,Despesas!$J:$J,"&lt;="&amp;$A278,Despesas!$L:$L,"&gt;="&amp;$A278,Despesas!$C:$C,F$1,Despesas!$M:$M,$B278)</f>
        <v>13000</v>
      </c>
      <c r="G278" s="5">
        <f>SUMIFS(Despesas!$F:$F,Despesas!$J:$J,"&lt;="&amp;$A278,Despesas!$L:$L,"&gt;="&amp;$A278,Despesas!$C:$C,G$1,Despesas!$M:$M,"Mensal")+SUMIFS(Despesas!$F:$F,Despesas!$J:$J,"&lt;="&amp;$A278,Despesas!$L:$L,"&gt;="&amp;$A278,Despesas!$C:$C,G$1,Despesas!$M:$M,$B278)</f>
        <v>0</v>
      </c>
      <c r="H278" s="18">
        <f>SUMIFS(Despesas!$F:$F,Despesas!$J:$J,"&lt;="&amp;$A278,Despesas!$L:$L,"&gt;="&amp;$A278,Despesas!$C:$C,H$1,Despesas!$M:$M,"Mensal")+SUMIFS(Despesas!$F:$F,Despesas!$J:$J,"&lt;="&amp;$A278,Despesas!$L:$L,"&gt;="&amp;$A278,Despesas!$C:$C,H$1,Despesas!$M:$M,$B278)</f>
        <v>1000</v>
      </c>
      <c r="I278" s="18">
        <f>IF(Imóveis!$F$2="PRICE",IF(AND(Dados!$A278&gt;=Imóveis!$Q$2,Dados!$A278&lt;=Imóveis!$T$2),Imóveis!$U$2,0),IF((IF(AND(Dados!$A278&gt;=Imóveis!$Q$2,Dados!$A278&lt;=Imóveis!$T$2),Imóveis!$S$2-(DATEDIF(Imóveis!$Q$2,Dados!$A278,"m")),0))=0,0,((Imóveis!$N$2/Imóveis!$S$2)+((Imóveis!$N$2-((Imóveis!$S$2-(IF(AND(Dados!$A278&gt;=Imóveis!$Q$2,Dados!$A278&lt;=Imóveis!$T$2),Imóveis!$S$2-(DATEDIF(Imóveis!$Q$2,Dados!$A278,"m")),)))*(Imóveis!$N$2/Imóveis!$S$2)))*Imóveis!$P$2))))*IF(AND(Imóveis!$E$2&gt;0,Dados!$A278&gt;Imóveis!$E$2),0,1)</f>
        <v>0</v>
      </c>
      <c r="J278" s="18">
        <f>IF(Imóveis!$F$3="PRICE",IF(AND(Dados!$A278&gt;=Imóveis!$Q$3,Dados!$A278&lt;=Imóveis!$T$3),Imóveis!$U$3,0),IF((IF(AND(Dados!$A278&gt;=Imóveis!$Q$3,Dados!$A278&lt;=Imóveis!$T$3),Imóveis!$S$3-(DATEDIF(Imóveis!$Q$3,Dados!$A278,"m")),0))=0,0,((Imóveis!$N$3/Imóveis!$S$3)+((Imóveis!$N$3-((Imóveis!$S$3-(IF(AND(Dados!$A278&gt;=Imóveis!$Q$3,Dados!$A278&lt;=Imóveis!$T$3),Imóveis!$S$3-(DATEDIF(Imóveis!$Q$3,Dados!$A278,"m")),)))*(Imóveis!$N$3/Imóveis!$S$3)))*Imóveis!$P$3))))*IF(AND(Imóveis!$E$3&gt;0,Dados!$A278&gt;Imóveis!$E$3),0,1)</f>
        <v>0</v>
      </c>
      <c r="K278" s="18">
        <f>IF(Imóveis!$F$4="PRICE",IF(AND(Dados!$A278&gt;=Imóveis!$Q$4,Dados!$A278&lt;=Imóveis!$T$4),Imóveis!$U$4,0),IF((IF(AND(Dados!$A278&gt;=Imóveis!$Q$4,Dados!$A278&lt;=Imóveis!$T$4),Imóveis!$S$4-(DATEDIF(Imóveis!$Q$4,Dados!$A278,"m")),0))=0,0,((Imóveis!$N$4/Imóveis!$S$4)+((Imóveis!$N$4-((Imóveis!$S$4-(IF(AND(Dados!$A278&gt;=Imóveis!$Q$4,Dados!$A278&lt;=Imóveis!$T$4),Imóveis!$S$4-(DATEDIF(Imóveis!$Q$4,Dados!$A278,"m")),)))*(Imóveis!$N$4/Imóveis!$S$4)))*Imóveis!$P$4))))*IF(AND(Imóveis!$E$4&gt;0,Dados!$A278&gt;Imóveis!$E$4),0,1)</f>
        <v>0</v>
      </c>
      <c r="L278" s="18">
        <f>IF(Imóveis!$F$5="PRICE",IF(AND(Dados!$A278&gt;=Imóveis!$Q$5,Dados!$A278&lt;=Imóveis!$T$5),Imóveis!$U$5,0),IF((IF(AND(Dados!$A278&gt;=Imóveis!$Q$5,Dados!$A278&lt;=Imóveis!$T$5),Imóveis!$S$5-(DATEDIF(Imóveis!$Q$5,Dados!$A278,"m")),0))=0,0,((Imóveis!$N$5/Imóveis!$S$5)+((Imóveis!$N$5-((Imóveis!$S$5-(IF(AND(Dados!$A278 &gt;=Imóveis!$Q$5,Dados!$A278&lt;=Imóveis!$T$5),Imóveis!$S$5-(DATEDIF(Imóveis!$Q$5,Dados!$A278,"m")),)))*(Imóveis!$N$5/Imóveis!$S$5)))*Imóveis!$P$5))))*IF(AND(Imóveis!$E$5&gt;0,Dados!$A278&gt;Imóveis!$E$5),0,1)*Imóveis!$I$5</f>
        <v>0</v>
      </c>
      <c r="M278" s="18">
        <f>IF(Imóveis!$F$6="PRICE",IF(AND(Dados!$A278&gt;=Imóveis!$Q$6,Dados!$A278&lt;=Imóveis!$T$6),Imóveis!$U$6,0),IF((IF(AND(Dados!$A278&gt;=Imóveis!$Q$6,Dados!$A278&lt;=Imóveis!$T$6),Imóveis!$S$6-(DATEDIF(Imóveis!$Q$6,Dados!$A278,"m")),0))=0,0,((Imóveis!$N$6/Imóveis!$S$6)+((Imóveis!$N$6-((Imóveis!$S$6-(IF(AND(Dados!$A278&gt;=Imóveis!$Q$6,Dados!$A278&lt;=Imóveis!$T$6),Imóveis!$S$6-(DATEDIF(Imóveis!$Q$6,Dados!$A278,"m")),)))*(Imóveis!$N$6/Imóveis!$S$6)))*Imóveis!$P$6))))*IF(AND(Imóveis!$E$6&gt;0,Dados!$A278&gt;Imóveis!$E$6),0,1)*Imóveis!$I$6</f>
        <v>0</v>
      </c>
      <c r="N278" s="18">
        <f t="shared" si="37"/>
        <v>37000</v>
      </c>
      <c r="O278" s="18">
        <f>SUMIFS(Receitas!$F:$F,Receitas!$J:$J,"&lt;="&amp;$A278,Receitas!$L:$L,"&gt;="&amp;$A278,Receitas!$C:$C,O$1,Receitas!$M:$M,"Mensal")+SUMIFS(Receitas!$F:$F,Receitas!$J:$J,"&lt;="&amp;$A278,Receitas!$L:$L,"&gt;="&amp;$A278,Receitas!$C:$C,O$1,Receitas!$M:$M,$B278)</f>
        <v>50000</v>
      </c>
      <c r="P278" s="18">
        <f>SUMIFS(Receitas!$F:$F,Receitas!$J:$J,"&lt;="&amp;$A278,Receitas!$L:$L,"&gt;="&amp;$A278,Receitas!$C:$C,P$1,Receitas!$M:$M,"Mensal")+SUMIFS(Receitas!$F:$F,Receitas!$J:$J,"&lt;="&amp;$A278,Receitas!$L:$L,"&gt;="&amp;$A278,Receitas!$C:$C,P$1,Receitas!$M:$M,$B278)</f>
        <v>20000</v>
      </c>
      <c r="Q278" s="18">
        <f>SUMIFS(Receitas!$F:$F,Receitas!$J:$J,"&lt;="&amp;$A278,Receitas!$L:$L,"&gt;="&amp;$A278,Receitas!$C:$C,Q$1,Receitas!$M:$M,"Mensal")+SUMIFS(Receitas!$F:$F,Receitas!$J:$J,"&lt;="&amp;$A278,Receitas!$L:$L,"&gt;="&amp;$A278,Receitas!$C:$C,Q$1,Receitas!$M:$M,$B278)</f>
        <v>0</v>
      </c>
      <c r="R278" s="18" cm="1">
        <f t="array" ref="R278">(IF(AND(Membros!$F$2="Sim",A278&lt;=MAX(Membros!$E$2:$E$5)),Membros!K$2,IF(AND(A278&gt;=Membros!J$2,A278&lt;=MAX(Membros!$E$2:$E$5)),Membros!K$2,0))+IF(AND(Membros!$F$3="Sim",A278&lt;=MAX(Membros!$E$2:$E$5)),Membros!K$3,IF(AND(A278&gt;=Membros!J$3,A278&lt;=MAX(Membros!$E$2:$E$5)),Membros!K$3,0)))*IF(AND(COUNTIFS(Tabela3[Tipo],"Provedor",Tabela3[Simulação Seguro],"Sim")=2,A278&gt;=MAX(IF(Tabela3[Tipo]="Dependente",Tabela3[Expectativa de Vida (Data)]))),0,1)</f>
        <v>0</v>
      </c>
      <c r="S278" s="18">
        <f t="shared" si="38"/>
        <v>70000</v>
      </c>
      <c r="U278" s="18">
        <f t="shared" ca="1" si="41"/>
        <v>15942035.359960105</v>
      </c>
      <c r="V278" s="18">
        <f>SUMIF(Imóveis!E:E,Dados!A:A,Imóveis!Z:Z)-SUMIF(Imóveis!E:E,Dados!A:A,Imóveis!Y:Y)</f>
        <v>0</v>
      </c>
      <c r="W278" s="18">
        <f>-SUMIF(Projetos!N:N,A278,Projetos!F:F)</f>
        <v>0</v>
      </c>
      <c r="X278" s="18">
        <f t="shared" si="35"/>
        <v>33000</v>
      </c>
      <c r="Y278" s="26">
        <f ca="1">(U278*((Indicadores_Economicos!D$2+1)^(1/12)-1))</f>
        <v>52190.075367123187</v>
      </c>
      <c r="Z278" s="18">
        <f t="shared" ca="1" si="39"/>
        <v>16027225.435327228</v>
      </c>
      <c r="AA278" s="18">
        <f ca="1">Auxiliar_Projetos!E278</f>
        <v>9.6374563799992807E-10</v>
      </c>
      <c r="AB278" s="18">
        <f ca="1">Auxiliar_Projetos!K278</f>
        <v>7.4134279846148233E-10</v>
      </c>
      <c r="AC278" s="18">
        <f ca="1">IF(Z278-AA278-AB278&gt;Investimentos!$C$14,Investimentos!$C$14,IF(Z278-AA278-AB278&lt;Investimentos!$C$14,Z278-AA278-AB278,0))</f>
        <v>300000</v>
      </c>
      <c r="AD278" s="18">
        <f t="shared" ca="1" si="40"/>
        <v>15727225.435327226</v>
      </c>
      <c r="AE278" s="18"/>
    </row>
    <row r="279" spans="1:31" x14ac:dyDescent="0.2">
      <c r="A279" s="4">
        <v>54089</v>
      </c>
      <c r="B279" s="5" t="str">
        <f t="shared" si="36"/>
        <v>fevereiro</v>
      </c>
      <c r="C279" s="5" t="str">
        <f t="shared" si="34"/>
        <v>2048</v>
      </c>
      <c r="D279" s="5">
        <f>SUMIFS(Despesas!$F:$F,Despesas!$J:$J,"&lt;="&amp;$A279,Despesas!$L:$L,"&gt;="&amp;$A279,Despesas!$C:$C,D$1,Despesas!$M:$M,"Mensal")+SUMIFS(Despesas!$F:$F,Despesas!$J:$J,"&lt;="&amp;$A279,Despesas!$L:$L,"&gt;="&amp;$A279,Despesas!$C:$C,D$1,Despesas!$M:$M,$B279)</f>
        <v>23000</v>
      </c>
      <c r="E279" s="18">
        <f>SUMIFS(Despesas!$F:$F,Despesas!$J:$J,"&lt;="&amp;$A279,Despesas!$L:$L,"&gt;="&amp;$A279,Despesas!$C:$C,E$1,Despesas!$M:$M,"Mensal")+SUMIFS(Despesas!$F:$F,Despesas!$J:$J,"&lt;="&amp;$A279,Despesas!$L:$L,"&gt;="&amp;$A279,Despesas!$C:$C,E$1,Despesas!$M:$M,$B279)</f>
        <v>0</v>
      </c>
      <c r="F279" s="5">
        <f>SUMIFS(Despesas!$F:$F,Despesas!$J:$J,"&lt;="&amp;$A279,Despesas!$L:$L,"&gt;="&amp;$A279,Despesas!$C:$C,F$1,Despesas!$M:$M,"Mensal")+SUMIFS(Despesas!$F:$F,Despesas!$J:$J,"&lt;="&amp;$A279,Despesas!$L:$L,"&gt;="&amp;$A279,Despesas!$C:$C,F$1,Despesas!$M:$M,$B279)</f>
        <v>13000</v>
      </c>
      <c r="G279" s="5">
        <f>SUMIFS(Despesas!$F:$F,Despesas!$J:$J,"&lt;="&amp;$A279,Despesas!$L:$L,"&gt;="&amp;$A279,Despesas!$C:$C,G$1,Despesas!$M:$M,"Mensal")+SUMIFS(Despesas!$F:$F,Despesas!$J:$J,"&lt;="&amp;$A279,Despesas!$L:$L,"&gt;="&amp;$A279,Despesas!$C:$C,G$1,Despesas!$M:$M,$B279)</f>
        <v>0</v>
      </c>
      <c r="H279" s="18">
        <f>SUMIFS(Despesas!$F:$F,Despesas!$J:$J,"&lt;="&amp;$A279,Despesas!$L:$L,"&gt;="&amp;$A279,Despesas!$C:$C,H$1,Despesas!$M:$M,"Mensal")+SUMIFS(Despesas!$F:$F,Despesas!$J:$J,"&lt;="&amp;$A279,Despesas!$L:$L,"&gt;="&amp;$A279,Despesas!$C:$C,H$1,Despesas!$M:$M,$B279)</f>
        <v>2200</v>
      </c>
      <c r="I279" s="18">
        <f>IF(Imóveis!$F$2="PRICE",IF(AND(Dados!$A279&gt;=Imóveis!$Q$2,Dados!$A279&lt;=Imóveis!$T$2),Imóveis!$U$2,0),IF((IF(AND(Dados!$A279&gt;=Imóveis!$Q$2,Dados!$A279&lt;=Imóveis!$T$2),Imóveis!$S$2-(DATEDIF(Imóveis!$Q$2,Dados!$A279,"m")),0))=0,0,((Imóveis!$N$2/Imóveis!$S$2)+((Imóveis!$N$2-((Imóveis!$S$2-(IF(AND(Dados!$A279&gt;=Imóveis!$Q$2,Dados!$A279&lt;=Imóveis!$T$2),Imóveis!$S$2-(DATEDIF(Imóveis!$Q$2,Dados!$A279,"m")),)))*(Imóveis!$N$2/Imóveis!$S$2)))*Imóveis!$P$2))))*IF(AND(Imóveis!$E$2&gt;0,Dados!$A279&gt;Imóveis!$E$2),0,1)</f>
        <v>0</v>
      </c>
      <c r="J279" s="18">
        <f>IF(Imóveis!$F$3="PRICE",IF(AND(Dados!$A279&gt;=Imóveis!$Q$3,Dados!$A279&lt;=Imóveis!$T$3),Imóveis!$U$3,0),IF((IF(AND(Dados!$A279&gt;=Imóveis!$Q$3,Dados!$A279&lt;=Imóveis!$T$3),Imóveis!$S$3-(DATEDIF(Imóveis!$Q$3,Dados!$A279,"m")),0))=0,0,((Imóveis!$N$3/Imóveis!$S$3)+((Imóveis!$N$3-((Imóveis!$S$3-(IF(AND(Dados!$A279&gt;=Imóveis!$Q$3,Dados!$A279&lt;=Imóveis!$T$3),Imóveis!$S$3-(DATEDIF(Imóveis!$Q$3,Dados!$A279,"m")),)))*(Imóveis!$N$3/Imóveis!$S$3)))*Imóveis!$P$3))))*IF(AND(Imóveis!$E$3&gt;0,Dados!$A279&gt;Imóveis!$E$3),0,1)</f>
        <v>0</v>
      </c>
      <c r="K279" s="18">
        <f>IF(Imóveis!$F$4="PRICE",IF(AND(Dados!$A279&gt;=Imóveis!$Q$4,Dados!$A279&lt;=Imóveis!$T$4),Imóveis!$U$4,0),IF((IF(AND(Dados!$A279&gt;=Imóveis!$Q$4,Dados!$A279&lt;=Imóveis!$T$4),Imóveis!$S$4-(DATEDIF(Imóveis!$Q$4,Dados!$A279,"m")),0))=0,0,((Imóveis!$N$4/Imóveis!$S$4)+((Imóveis!$N$4-((Imóveis!$S$4-(IF(AND(Dados!$A279&gt;=Imóveis!$Q$4,Dados!$A279&lt;=Imóveis!$T$4),Imóveis!$S$4-(DATEDIF(Imóveis!$Q$4,Dados!$A279,"m")),)))*(Imóveis!$N$4/Imóveis!$S$4)))*Imóveis!$P$4))))*IF(AND(Imóveis!$E$4&gt;0,Dados!$A279&gt;Imóveis!$E$4),0,1)</f>
        <v>0</v>
      </c>
      <c r="L279" s="18">
        <f>IF(Imóveis!$F$5="PRICE",IF(AND(Dados!$A279&gt;=Imóveis!$Q$5,Dados!$A279&lt;=Imóveis!$T$5),Imóveis!$U$5,0),IF((IF(AND(Dados!$A279&gt;=Imóveis!$Q$5,Dados!$A279&lt;=Imóveis!$T$5),Imóveis!$S$5-(DATEDIF(Imóveis!$Q$5,Dados!$A279,"m")),0))=0,0,((Imóveis!$N$5/Imóveis!$S$5)+((Imóveis!$N$5-((Imóveis!$S$5-(IF(AND(Dados!$A279 &gt;=Imóveis!$Q$5,Dados!$A279&lt;=Imóveis!$T$5),Imóveis!$S$5-(DATEDIF(Imóveis!$Q$5,Dados!$A279,"m")),)))*(Imóveis!$N$5/Imóveis!$S$5)))*Imóveis!$P$5))))*IF(AND(Imóveis!$E$5&gt;0,Dados!$A279&gt;Imóveis!$E$5),0,1)*Imóveis!$I$5</f>
        <v>0</v>
      </c>
      <c r="M279" s="18">
        <f>IF(Imóveis!$F$6="PRICE",IF(AND(Dados!$A279&gt;=Imóveis!$Q$6,Dados!$A279&lt;=Imóveis!$T$6),Imóveis!$U$6,0),IF((IF(AND(Dados!$A279&gt;=Imóveis!$Q$6,Dados!$A279&lt;=Imóveis!$T$6),Imóveis!$S$6-(DATEDIF(Imóveis!$Q$6,Dados!$A279,"m")),0))=0,0,((Imóveis!$N$6/Imóveis!$S$6)+((Imóveis!$N$6-((Imóveis!$S$6-(IF(AND(Dados!$A279&gt;=Imóveis!$Q$6,Dados!$A279&lt;=Imóveis!$T$6),Imóveis!$S$6-(DATEDIF(Imóveis!$Q$6,Dados!$A279,"m")),)))*(Imóveis!$N$6/Imóveis!$S$6)))*Imóveis!$P$6))))*IF(AND(Imóveis!$E$6&gt;0,Dados!$A279&gt;Imóveis!$E$6),0,1)*Imóveis!$I$6</f>
        <v>0</v>
      </c>
      <c r="N279" s="18">
        <f t="shared" si="37"/>
        <v>38200</v>
      </c>
      <c r="O279" s="18">
        <f>SUMIFS(Receitas!$F:$F,Receitas!$J:$J,"&lt;="&amp;$A279,Receitas!$L:$L,"&gt;="&amp;$A279,Receitas!$C:$C,O$1,Receitas!$M:$M,"Mensal")+SUMIFS(Receitas!$F:$F,Receitas!$J:$J,"&lt;="&amp;$A279,Receitas!$L:$L,"&gt;="&amp;$A279,Receitas!$C:$C,O$1,Receitas!$M:$M,$B279)</f>
        <v>50000</v>
      </c>
      <c r="P279" s="18">
        <f>SUMIFS(Receitas!$F:$F,Receitas!$J:$J,"&lt;="&amp;$A279,Receitas!$L:$L,"&gt;="&amp;$A279,Receitas!$C:$C,P$1,Receitas!$M:$M,"Mensal")+SUMIFS(Receitas!$F:$F,Receitas!$J:$J,"&lt;="&amp;$A279,Receitas!$L:$L,"&gt;="&amp;$A279,Receitas!$C:$C,P$1,Receitas!$M:$M,$B279)</f>
        <v>20000</v>
      </c>
      <c r="Q279" s="18">
        <f>SUMIFS(Receitas!$F:$F,Receitas!$J:$J,"&lt;="&amp;$A279,Receitas!$L:$L,"&gt;="&amp;$A279,Receitas!$C:$C,Q$1,Receitas!$M:$M,"Mensal")+SUMIFS(Receitas!$F:$F,Receitas!$J:$J,"&lt;="&amp;$A279,Receitas!$L:$L,"&gt;="&amp;$A279,Receitas!$C:$C,Q$1,Receitas!$M:$M,$B279)</f>
        <v>0</v>
      </c>
      <c r="R279" s="18" cm="1">
        <f t="array" ref="R279">(IF(AND(Membros!$F$2="Sim",A279&lt;=MAX(Membros!$E$2:$E$5)),Membros!K$2,IF(AND(A279&gt;=Membros!J$2,A279&lt;=MAX(Membros!$E$2:$E$5)),Membros!K$2,0))+IF(AND(Membros!$F$3="Sim",A279&lt;=MAX(Membros!$E$2:$E$5)),Membros!K$3,IF(AND(A279&gt;=Membros!J$3,A279&lt;=MAX(Membros!$E$2:$E$5)),Membros!K$3,0)))*IF(AND(COUNTIFS(Tabela3[Tipo],"Provedor",Tabela3[Simulação Seguro],"Sim")=2,A279&gt;=MAX(IF(Tabela3[Tipo]="Dependente",Tabela3[Expectativa de Vida (Data)]))),0,1)</f>
        <v>0</v>
      </c>
      <c r="S279" s="18">
        <f t="shared" si="38"/>
        <v>70000</v>
      </c>
      <c r="U279" s="18">
        <f t="shared" ca="1" si="41"/>
        <v>16027225.435327228</v>
      </c>
      <c r="V279" s="18">
        <f>SUMIF(Imóveis!E:E,Dados!A:A,Imóveis!Z:Z)-SUMIF(Imóveis!E:E,Dados!A:A,Imóveis!Y:Y)</f>
        <v>0</v>
      </c>
      <c r="W279" s="18">
        <f>-SUMIF(Projetos!N:N,A279,Projetos!F:F)</f>
        <v>0</v>
      </c>
      <c r="X279" s="18">
        <f t="shared" si="35"/>
        <v>31800</v>
      </c>
      <c r="Y279" s="26">
        <f ca="1">(U279*((Indicadores_Economicos!D$2+1)^(1/12)-1))</f>
        <v>52468.965505901062</v>
      </c>
      <c r="Z279" s="18">
        <f t="shared" ca="1" si="39"/>
        <v>16111494.40083313</v>
      </c>
      <c r="AA279" s="18">
        <f ca="1">Auxiliar_Projetos!E279</f>
        <v>9.6690069043496901E-10</v>
      </c>
      <c r="AB279" s="18">
        <f ca="1">Auxiliar_Projetos!K279</f>
        <v>7.4376976187305234E-10</v>
      </c>
      <c r="AC279" s="18">
        <f ca="1">IF(Z279-AA279-AB279&gt;Investimentos!$C$14,Investimentos!$C$14,IF(Z279-AA279-AB279&lt;Investimentos!$C$14,Z279-AA279-AB279,0))</f>
        <v>300000</v>
      </c>
      <c r="AD279" s="18">
        <f t="shared" ca="1" si="40"/>
        <v>15811494.400833128</v>
      </c>
      <c r="AE279" s="18"/>
    </row>
    <row r="280" spans="1:31" x14ac:dyDescent="0.2">
      <c r="A280" s="4">
        <v>54118</v>
      </c>
      <c r="B280" s="5" t="str">
        <f t="shared" si="36"/>
        <v>março</v>
      </c>
      <c r="C280" s="5" t="str">
        <f t="shared" ref="C280:C343" si="42">TEXT(A280,"AAAA")</f>
        <v>2048</v>
      </c>
      <c r="D280" s="5">
        <f>SUMIFS(Despesas!$F:$F,Despesas!$J:$J,"&lt;="&amp;$A280,Despesas!$L:$L,"&gt;="&amp;$A280,Despesas!$C:$C,D$1,Despesas!$M:$M,"Mensal")+SUMIFS(Despesas!$F:$F,Despesas!$J:$J,"&lt;="&amp;$A280,Despesas!$L:$L,"&gt;="&amp;$A280,Despesas!$C:$C,D$1,Despesas!$M:$M,$B280)</f>
        <v>23000</v>
      </c>
      <c r="E280" s="18">
        <f>SUMIFS(Despesas!$F:$F,Despesas!$J:$J,"&lt;="&amp;$A280,Despesas!$L:$L,"&gt;="&amp;$A280,Despesas!$C:$C,E$1,Despesas!$M:$M,"Mensal")+SUMIFS(Despesas!$F:$F,Despesas!$J:$J,"&lt;="&amp;$A280,Despesas!$L:$L,"&gt;="&amp;$A280,Despesas!$C:$C,E$1,Despesas!$M:$M,$B280)</f>
        <v>0</v>
      </c>
      <c r="F280" s="5">
        <f>SUMIFS(Despesas!$F:$F,Despesas!$J:$J,"&lt;="&amp;$A280,Despesas!$L:$L,"&gt;="&amp;$A280,Despesas!$C:$C,F$1,Despesas!$M:$M,"Mensal")+SUMIFS(Despesas!$F:$F,Despesas!$J:$J,"&lt;="&amp;$A280,Despesas!$L:$L,"&gt;="&amp;$A280,Despesas!$C:$C,F$1,Despesas!$M:$M,$B280)</f>
        <v>13000</v>
      </c>
      <c r="G280" s="5">
        <f>SUMIFS(Despesas!$F:$F,Despesas!$J:$J,"&lt;="&amp;$A280,Despesas!$L:$L,"&gt;="&amp;$A280,Despesas!$C:$C,G$1,Despesas!$M:$M,"Mensal")+SUMIFS(Despesas!$F:$F,Despesas!$J:$J,"&lt;="&amp;$A280,Despesas!$L:$L,"&gt;="&amp;$A280,Despesas!$C:$C,G$1,Despesas!$M:$M,$B280)</f>
        <v>0</v>
      </c>
      <c r="H280" s="18">
        <f>SUMIFS(Despesas!$F:$F,Despesas!$J:$J,"&lt;="&amp;$A280,Despesas!$L:$L,"&gt;="&amp;$A280,Despesas!$C:$C,H$1,Despesas!$M:$M,"Mensal")+SUMIFS(Despesas!$F:$F,Despesas!$J:$J,"&lt;="&amp;$A280,Despesas!$L:$L,"&gt;="&amp;$A280,Despesas!$C:$C,H$1,Despesas!$M:$M,$B280)</f>
        <v>1000</v>
      </c>
      <c r="I280" s="18">
        <f>IF(Imóveis!$F$2="PRICE",IF(AND(Dados!$A280&gt;=Imóveis!$Q$2,Dados!$A280&lt;=Imóveis!$T$2),Imóveis!$U$2,0),IF((IF(AND(Dados!$A280&gt;=Imóveis!$Q$2,Dados!$A280&lt;=Imóveis!$T$2),Imóveis!$S$2-(DATEDIF(Imóveis!$Q$2,Dados!$A280,"m")),0))=0,0,((Imóveis!$N$2/Imóveis!$S$2)+((Imóveis!$N$2-((Imóveis!$S$2-(IF(AND(Dados!$A280&gt;=Imóveis!$Q$2,Dados!$A280&lt;=Imóveis!$T$2),Imóveis!$S$2-(DATEDIF(Imóveis!$Q$2,Dados!$A280,"m")),)))*(Imóveis!$N$2/Imóveis!$S$2)))*Imóveis!$P$2))))*IF(AND(Imóveis!$E$2&gt;0,Dados!$A280&gt;Imóveis!$E$2),0,1)</f>
        <v>0</v>
      </c>
      <c r="J280" s="18">
        <f>IF(Imóveis!$F$3="PRICE",IF(AND(Dados!$A280&gt;=Imóveis!$Q$3,Dados!$A280&lt;=Imóveis!$T$3),Imóveis!$U$3,0),IF((IF(AND(Dados!$A280&gt;=Imóveis!$Q$3,Dados!$A280&lt;=Imóveis!$T$3),Imóveis!$S$3-(DATEDIF(Imóveis!$Q$3,Dados!$A280,"m")),0))=0,0,((Imóveis!$N$3/Imóveis!$S$3)+((Imóveis!$N$3-((Imóveis!$S$3-(IF(AND(Dados!$A280&gt;=Imóveis!$Q$3,Dados!$A280&lt;=Imóveis!$T$3),Imóveis!$S$3-(DATEDIF(Imóveis!$Q$3,Dados!$A280,"m")),)))*(Imóveis!$N$3/Imóveis!$S$3)))*Imóveis!$P$3))))*IF(AND(Imóveis!$E$3&gt;0,Dados!$A280&gt;Imóveis!$E$3),0,1)</f>
        <v>0</v>
      </c>
      <c r="K280" s="18">
        <f>IF(Imóveis!$F$4="PRICE",IF(AND(Dados!$A280&gt;=Imóveis!$Q$4,Dados!$A280&lt;=Imóveis!$T$4),Imóveis!$U$4,0),IF((IF(AND(Dados!$A280&gt;=Imóveis!$Q$4,Dados!$A280&lt;=Imóveis!$T$4),Imóveis!$S$4-(DATEDIF(Imóveis!$Q$4,Dados!$A280,"m")),0))=0,0,((Imóveis!$N$4/Imóveis!$S$4)+((Imóveis!$N$4-((Imóveis!$S$4-(IF(AND(Dados!$A280&gt;=Imóveis!$Q$4,Dados!$A280&lt;=Imóveis!$T$4),Imóveis!$S$4-(DATEDIF(Imóveis!$Q$4,Dados!$A280,"m")),)))*(Imóveis!$N$4/Imóveis!$S$4)))*Imóveis!$P$4))))*IF(AND(Imóveis!$E$4&gt;0,Dados!$A280&gt;Imóveis!$E$4),0,1)</f>
        <v>0</v>
      </c>
      <c r="L280" s="18">
        <f>IF(Imóveis!$F$5="PRICE",IF(AND(Dados!$A280&gt;=Imóveis!$Q$5,Dados!$A280&lt;=Imóveis!$T$5),Imóveis!$U$5,0),IF((IF(AND(Dados!$A280&gt;=Imóveis!$Q$5,Dados!$A280&lt;=Imóveis!$T$5),Imóveis!$S$5-(DATEDIF(Imóveis!$Q$5,Dados!$A280,"m")),0))=0,0,((Imóveis!$N$5/Imóveis!$S$5)+((Imóveis!$N$5-((Imóveis!$S$5-(IF(AND(Dados!$A280 &gt;=Imóveis!$Q$5,Dados!$A280&lt;=Imóveis!$T$5),Imóveis!$S$5-(DATEDIF(Imóveis!$Q$5,Dados!$A280,"m")),)))*(Imóveis!$N$5/Imóveis!$S$5)))*Imóveis!$P$5))))*IF(AND(Imóveis!$E$5&gt;0,Dados!$A280&gt;Imóveis!$E$5),0,1)*Imóveis!$I$5</f>
        <v>0</v>
      </c>
      <c r="M280" s="18">
        <f>IF(Imóveis!$F$6="PRICE",IF(AND(Dados!$A280&gt;=Imóveis!$Q$6,Dados!$A280&lt;=Imóveis!$T$6),Imóveis!$U$6,0),IF((IF(AND(Dados!$A280&gt;=Imóveis!$Q$6,Dados!$A280&lt;=Imóveis!$T$6),Imóveis!$S$6-(DATEDIF(Imóveis!$Q$6,Dados!$A280,"m")),0))=0,0,((Imóveis!$N$6/Imóveis!$S$6)+((Imóveis!$N$6-((Imóveis!$S$6-(IF(AND(Dados!$A280&gt;=Imóveis!$Q$6,Dados!$A280&lt;=Imóveis!$T$6),Imóveis!$S$6-(DATEDIF(Imóveis!$Q$6,Dados!$A280,"m")),)))*(Imóveis!$N$6/Imóveis!$S$6)))*Imóveis!$P$6))))*IF(AND(Imóveis!$E$6&gt;0,Dados!$A280&gt;Imóveis!$E$6),0,1)*Imóveis!$I$6</f>
        <v>0</v>
      </c>
      <c r="N280" s="18">
        <f t="shared" si="37"/>
        <v>37000</v>
      </c>
      <c r="O280" s="18">
        <f>SUMIFS(Receitas!$F:$F,Receitas!$J:$J,"&lt;="&amp;$A280,Receitas!$L:$L,"&gt;="&amp;$A280,Receitas!$C:$C,O$1,Receitas!$M:$M,"Mensal")+SUMIFS(Receitas!$F:$F,Receitas!$J:$J,"&lt;="&amp;$A280,Receitas!$L:$L,"&gt;="&amp;$A280,Receitas!$C:$C,O$1,Receitas!$M:$M,$B280)</f>
        <v>50000</v>
      </c>
      <c r="P280" s="18">
        <f>SUMIFS(Receitas!$F:$F,Receitas!$J:$J,"&lt;="&amp;$A280,Receitas!$L:$L,"&gt;="&amp;$A280,Receitas!$C:$C,P$1,Receitas!$M:$M,"Mensal")+SUMIFS(Receitas!$F:$F,Receitas!$J:$J,"&lt;="&amp;$A280,Receitas!$L:$L,"&gt;="&amp;$A280,Receitas!$C:$C,P$1,Receitas!$M:$M,$B280)</f>
        <v>20000</v>
      </c>
      <c r="Q280" s="18">
        <f>SUMIFS(Receitas!$F:$F,Receitas!$J:$J,"&lt;="&amp;$A280,Receitas!$L:$L,"&gt;="&amp;$A280,Receitas!$C:$C,Q$1,Receitas!$M:$M,"Mensal")+SUMIFS(Receitas!$F:$F,Receitas!$J:$J,"&lt;="&amp;$A280,Receitas!$L:$L,"&gt;="&amp;$A280,Receitas!$C:$C,Q$1,Receitas!$M:$M,$B280)</f>
        <v>0</v>
      </c>
      <c r="R280" s="18" cm="1">
        <f t="array" ref="R280">(IF(AND(Membros!$F$2="Sim",A280&lt;=MAX(Membros!$E$2:$E$5)),Membros!K$2,IF(AND(A280&gt;=Membros!J$2,A280&lt;=MAX(Membros!$E$2:$E$5)),Membros!K$2,0))+IF(AND(Membros!$F$3="Sim",A280&lt;=MAX(Membros!$E$2:$E$5)),Membros!K$3,IF(AND(A280&gt;=Membros!J$3,A280&lt;=MAX(Membros!$E$2:$E$5)),Membros!K$3,0)))*IF(AND(COUNTIFS(Tabela3[Tipo],"Provedor",Tabela3[Simulação Seguro],"Sim")=2,A280&gt;=MAX(IF(Tabela3[Tipo]="Dependente",Tabela3[Expectativa de Vida (Data)]))),0,1)</f>
        <v>0</v>
      </c>
      <c r="S280" s="18">
        <f t="shared" si="38"/>
        <v>70000</v>
      </c>
      <c r="U280" s="18">
        <f t="shared" ca="1" si="41"/>
        <v>16111494.40083313</v>
      </c>
      <c r="V280" s="18">
        <f>SUMIF(Imóveis!E:E,Dados!A:A,Imóveis!Z:Z)-SUMIF(Imóveis!E:E,Dados!A:A,Imóveis!Y:Y)</f>
        <v>0</v>
      </c>
      <c r="W280" s="18">
        <f>-SUMIF(Projetos!N:N,A280,Projetos!F:F)</f>
        <v>0</v>
      </c>
      <c r="X280" s="18">
        <f t="shared" si="35"/>
        <v>33000</v>
      </c>
      <c r="Y280" s="26">
        <f ca="1">(U280*((Indicadores_Economicos!D$2+1)^(1/12)-1))</f>
        <v>52744.840170682481</v>
      </c>
      <c r="Z280" s="18">
        <f t="shared" ca="1" si="39"/>
        <v>16197239.241003813</v>
      </c>
      <c r="AA280" s="18">
        <f ca="1">Auxiliar_Projetos!E280</f>
        <v>9.7006607169068149E-10</v>
      </c>
      <c r="AB280" s="18">
        <f ca="1">Auxiliar_Projetos!K280</f>
        <v>7.4620467053129282E-10</v>
      </c>
      <c r="AC280" s="18">
        <f ca="1">IF(Z280-AA280-AB280&gt;Investimentos!$C$14,Investimentos!$C$14,IF(Z280-AA280-AB280&lt;Investimentos!$C$14,Z280-AA280-AB280,0))</f>
        <v>300000</v>
      </c>
      <c r="AD280" s="18">
        <f t="shared" ca="1" si="40"/>
        <v>15897239.241003811</v>
      </c>
      <c r="AE280" s="18"/>
    </row>
    <row r="281" spans="1:31" x14ac:dyDescent="0.2">
      <c r="A281" s="4">
        <v>54149</v>
      </c>
      <c r="B281" s="5" t="str">
        <f t="shared" si="36"/>
        <v>abril</v>
      </c>
      <c r="C281" s="5" t="str">
        <f t="shared" si="42"/>
        <v>2048</v>
      </c>
      <c r="D281" s="5">
        <f>SUMIFS(Despesas!$F:$F,Despesas!$J:$J,"&lt;="&amp;$A281,Despesas!$L:$L,"&gt;="&amp;$A281,Despesas!$C:$C,D$1,Despesas!$M:$M,"Mensal")+SUMIFS(Despesas!$F:$F,Despesas!$J:$J,"&lt;="&amp;$A281,Despesas!$L:$L,"&gt;="&amp;$A281,Despesas!$C:$C,D$1,Despesas!$M:$M,$B281)</f>
        <v>23000</v>
      </c>
      <c r="E281" s="18">
        <f>SUMIFS(Despesas!$F:$F,Despesas!$J:$J,"&lt;="&amp;$A281,Despesas!$L:$L,"&gt;="&amp;$A281,Despesas!$C:$C,E$1,Despesas!$M:$M,"Mensal")+SUMIFS(Despesas!$F:$F,Despesas!$J:$J,"&lt;="&amp;$A281,Despesas!$L:$L,"&gt;="&amp;$A281,Despesas!$C:$C,E$1,Despesas!$M:$M,$B281)</f>
        <v>0</v>
      </c>
      <c r="F281" s="5">
        <f>SUMIFS(Despesas!$F:$F,Despesas!$J:$J,"&lt;="&amp;$A281,Despesas!$L:$L,"&gt;="&amp;$A281,Despesas!$C:$C,F$1,Despesas!$M:$M,"Mensal")+SUMIFS(Despesas!$F:$F,Despesas!$J:$J,"&lt;="&amp;$A281,Despesas!$L:$L,"&gt;="&amp;$A281,Despesas!$C:$C,F$1,Despesas!$M:$M,$B281)</f>
        <v>13000</v>
      </c>
      <c r="G281" s="5">
        <f>SUMIFS(Despesas!$F:$F,Despesas!$J:$J,"&lt;="&amp;$A281,Despesas!$L:$L,"&gt;="&amp;$A281,Despesas!$C:$C,G$1,Despesas!$M:$M,"Mensal")+SUMIFS(Despesas!$F:$F,Despesas!$J:$J,"&lt;="&amp;$A281,Despesas!$L:$L,"&gt;="&amp;$A281,Despesas!$C:$C,G$1,Despesas!$M:$M,$B281)</f>
        <v>0</v>
      </c>
      <c r="H281" s="18">
        <f>SUMIFS(Despesas!$F:$F,Despesas!$J:$J,"&lt;="&amp;$A281,Despesas!$L:$L,"&gt;="&amp;$A281,Despesas!$C:$C,H$1,Despesas!$M:$M,"Mensal")+SUMIFS(Despesas!$F:$F,Despesas!$J:$J,"&lt;="&amp;$A281,Despesas!$L:$L,"&gt;="&amp;$A281,Despesas!$C:$C,H$1,Despesas!$M:$M,$B281)</f>
        <v>1000</v>
      </c>
      <c r="I281" s="18">
        <f>IF(Imóveis!$F$2="PRICE",IF(AND(Dados!$A281&gt;=Imóveis!$Q$2,Dados!$A281&lt;=Imóveis!$T$2),Imóveis!$U$2,0),IF((IF(AND(Dados!$A281&gt;=Imóveis!$Q$2,Dados!$A281&lt;=Imóveis!$T$2),Imóveis!$S$2-(DATEDIF(Imóveis!$Q$2,Dados!$A281,"m")),0))=0,0,((Imóveis!$N$2/Imóveis!$S$2)+((Imóveis!$N$2-((Imóveis!$S$2-(IF(AND(Dados!$A281&gt;=Imóveis!$Q$2,Dados!$A281&lt;=Imóveis!$T$2),Imóveis!$S$2-(DATEDIF(Imóveis!$Q$2,Dados!$A281,"m")),)))*(Imóveis!$N$2/Imóveis!$S$2)))*Imóveis!$P$2))))*IF(AND(Imóveis!$E$2&gt;0,Dados!$A281&gt;Imóveis!$E$2),0,1)</f>
        <v>0</v>
      </c>
      <c r="J281" s="18">
        <f>IF(Imóveis!$F$3="PRICE",IF(AND(Dados!$A281&gt;=Imóveis!$Q$3,Dados!$A281&lt;=Imóveis!$T$3),Imóveis!$U$3,0),IF((IF(AND(Dados!$A281&gt;=Imóveis!$Q$3,Dados!$A281&lt;=Imóveis!$T$3),Imóveis!$S$3-(DATEDIF(Imóveis!$Q$3,Dados!$A281,"m")),0))=0,0,((Imóveis!$N$3/Imóveis!$S$3)+((Imóveis!$N$3-((Imóveis!$S$3-(IF(AND(Dados!$A281&gt;=Imóveis!$Q$3,Dados!$A281&lt;=Imóveis!$T$3),Imóveis!$S$3-(DATEDIF(Imóveis!$Q$3,Dados!$A281,"m")),)))*(Imóveis!$N$3/Imóveis!$S$3)))*Imóveis!$P$3))))*IF(AND(Imóveis!$E$3&gt;0,Dados!$A281&gt;Imóveis!$E$3),0,1)</f>
        <v>0</v>
      </c>
      <c r="K281" s="18">
        <f>IF(Imóveis!$F$4="PRICE",IF(AND(Dados!$A281&gt;=Imóveis!$Q$4,Dados!$A281&lt;=Imóveis!$T$4),Imóveis!$U$4,0),IF((IF(AND(Dados!$A281&gt;=Imóveis!$Q$4,Dados!$A281&lt;=Imóveis!$T$4),Imóveis!$S$4-(DATEDIF(Imóveis!$Q$4,Dados!$A281,"m")),0))=0,0,((Imóveis!$N$4/Imóveis!$S$4)+((Imóveis!$N$4-((Imóveis!$S$4-(IF(AND(Dados!$A281&gt;=Imóveis!$Q$4,Dados!$A281&lt;=Imóveis!$T$4),Imóveis!$S$4-(DATEDIF(Imóveis!$Q$4,Dados!$A281,"m")),)))*(Imóveis!$N$4/Imóveis!$S$4)))*Imóveis!$P$4))))*IF(AND(Imóveis!$E$4&gt;0,Dados!$A281&gt;Imóveis!$E$4),0,1)</f>
        <v>0</v>
      </c>
      <c r="L281" s="18">
        <f>IF(Imóveis!$F$5="PRICE",IF(AND(Dados!$A281&gt;=Imóveis!$Q$5,Dados!$A281&lt;=Imóveis!$T$5),Imóveis!$U$5,0),IF((IF(AND(Dados!$A281&gt;=Imóveis!$Q$5,Dados!$A281&lt;=Imóveis!$T$5),Imóveis!$S$5-(DATEDIF(Imóveis!$Q$5,Dados!$A281,"m")),0))=0,0,((Imóveis!$N$5/Imóveis!$S$5)+((Imóveis!$N$5-((Imóveis!$S$5-(IF(AND(Dados!$A281 &gt;=Imóveis!$Q$5,Dados!$A281&lt;=Imóveis!$T$5),Imóveis!$S$5-(DATEDIF(Imóveis!$Q$5,Dados!$A281,"m")),)))*(Imóveis!$N$5/Imóveis!$S$5)))*Imóveis!$P$5))))*IF(AND(Imóveis!$E$5&gt;0,Dados!$A281&gt;Imóveis!$E$5),0,1)*Imóveis!$I$5</f>
        <v>0</v>
      </c>
      <c r="M281" s="18">
        <f>IF(Imóveis!$F$6="PRICE",IF(AND(Dados!$A281&gt;=Imóveis!$Q$6,Dados!$A281&lt;=Imóveis!$T$6),Imóveis!$U$6,0),IF((IF(AND(Dados!$A281&gt;=Imóveis!$Q$6,Dados!$A281&lt;=Imóveis!$T$6),Imóveis!$S$6-(DATEDIF(Imóveis!$Q$6,Dados!$A281,"m")),0))=0,0,((Imóveis!$N$6/Imóveis!$S$6)+((Imóveis!$N$6-((Imóveis!$S$6-(IF(AND(Dados!$A281&gt;=Imóveis!$Q$6,Dados!$A281&lt;=Imóveis!$T$6),Imóveis!$S$6-(DATEDIF(Imóveis!$Q$6,Dados!$A281,"m")),)))*(Imóveis!$N$6/Imóveis!$S$6)))*Imóveis!$P$6))))*IF(AND(Imóveis!$E$6&gt;0,Dados!$A281&gt;Imóveis!$E$6),0,1)*Imóveis!$I$6</f>
        <v>0</v>
      </c>
      <c r="N281" s="18">
        <f t="shared" si="37"/>
        <v>37000</v>
      </c>
      <c r="O281" s="18">
        <f>SUMIFS(Receitas!$F:$F,Receitas!$J:$J,"&lt;="&amp;$A281,Receitas!$L:$L,"&gt;="&amp;$A281,Receitas!$C:$C,O$1,Receitas!$M:$M,"Mensal")+SUMIFS(Receitas!$F:$F,Receitas!$J:$J,"&lt;="&amp;$A281,Receitas!$L:$L,"&gt;="&amp;$A281,Receitas!$C:$C,O$1,Receitas!$M:$M,$B281)</f>
        <v>50000</v>
      </c>
      <c r="P281" s="18">
        <f>SUMIFS(Receitas!$F:$F,Receitas!$J:$J,"&lt;="&amp;$A281,Receitas!$L:$L,"&gt;="&amp;$A281,Receitas!$C:$C,P$1,Receitas!$M:$M,"Mensal")+SUMIFS(Receitas!$F:$F,Receitas!$J:$J,"&lt;="&amp;$A281,Receitas!$L:$L,"&gt;="&amp;$A281,Receitas!$C:$C,P$1,Receitas!$M:$M,$B281)</f>
        <v>85000</v>
      </c>
      <c r="Q281" s="18">
        <f>SUMIFS(Receitas!$F:$F,Receitas!$J:$J,"&lt;="&amp;$A281,Receitas!$L:$L,"&gt;="&amp;$A281,Receitas!$C:$C,Q$1,Receitas!$M:$M,"Mensal")+SUMIFS(Receitas!$F:$F,Receitas!$J:$J,"&lt;="&amp;$A281,Receitas!$L:$L,"&gt;="&amp;$A281,Receitas!$C:$C,Q$1,Receitas!$M:$M,$B281)</f>
        <v>0</v>
      </c>
      <c r="R281" s="18" cm="1">
        <f t="array" ref="R281">(IF(AND(Membros!$F$2="Sim",A281&lt;=MAX(Membros!$E$2:$E$5)),Membros!K$2,IF(AND(A281&gt;=Membros!J$2,A281&lt;=MAX(Membros!$E$2:$E$5)),Membros!K$2,0))+IF(AND(Membros!$F$3="Sim",A281&lt;=MAX(Membros!$E$2:$E$5)),Membros!K$3,IF(AND(A281&gt;=Membros!J$3,A281&lt;=MAX(Membros!$E$2:$E$5)),Membros!K$3,0)))*IF(AND(COUNTIFS(Tabela3[Tipo],"Provedor",Tabela3[Simulação Seguro],"Sim")=2,A281&gt;=MAX(IF(Tabela3[Tipo]="Dependente",Tabela3[Expectativa de Vida (Data)]))),0,1)</f>
        <v>0</v>
      </c>
      <c r="S281" s="18">
        <f t="shared" si="38"/>
        <v>135000</v>
      </c>
      <c r="U281" s="18">
        <f t="shared" ca="1" si="41"/>
        <v>16197239.241003813</v>
      </c>
      <c r="V281" s="18">
        <f>SUMIF(Imóveis!E:E,Dados!A:A,Imóveis!Z:Z)-SUMIF(Imóveis!E:E,Dados!A:A,Imóveis!Y:Y)</f>
        <v>0</v>
      </c>
      <c r="W281" s="18">
        <f>-SUMIF(Projetos!N:N,A281,Projetos!F:F)</f>
        <v>0</v>
      </c>
      <c r="X281" s="18">
        <f t="shared" si="35"/>
        <v>98000</v>
      </c>
      <c r="Y281" s="26">
        <f ca="1">(U281*((Indicadores_Economicos!D$2+1)^(1/12)-1))</f>
        <v>53025.546465067535</v>
      </c>
      <c r="Z281" s="18">
        <f t="shared" ca="1" si="39"/>
        <v>16348264.78746888</v>
      </c>
      <c r="AA281" s="18">
        <f ca="1">Auxiliar_Projetos!E281</f>
        <v>9.7324181558093676E-10</v>
      </c>
      <c r="AB281" s="18">
        <f ca="1">Auxiliar_Projetos!K281</f>
        <v>7.4864755044687372E-10</v>
      </c>
      <c r="AC281" s="18">
        <f ca="1">IF(Z281-AA281-AB281&gt;Investimentos!$C$14,Investimentos!$C$14,IF(Z281-AA281-AB281&lt;Investimentos!$C$14,Z281-AA281-AB281,0))</f>
        <v>300000</v>
      </c>
      <c r="AD281" s="18">
        <f t="shared" ca="1" si="40"/>
        <v>16048264.787468879</v>
      </c>
      <c r="AE281" s="18"/>
    </row>
    <row r="282" spans="1:31" x14ac:dyDescent="0.2">
      <c r="A282" s="4">
        <v>54179</v>
      </c>
      <c r="B282" s="5" t="str">
        <f t="shared" si="36"/>
        <v>maio</v>
      </c>
      <c r="C282" s="5" t="str">
        <f t="shared" si="42"/>
        <v>2048</v>
      </c>
      <c r="D282" s="5">
        <f>SUMIFS(Despesas!$F:$F,Despesas!$J:$J,"&lt;="&amp;$A282,Despesas!$L:$L,"&gt;="&amp;$A282,Despesas!$C:$C,D$1,Despesas!$M:$M,"Mensal")+SUMIFS(Despesas!$F:$F,Despesas!$J:$J,"&lt;="&amp;$A282,Despesas!$L:$L,"&gt;="&amp;$A282,Despesas!$C:$C,D$1,Despesas!$M:$M,$B282)</f>
        <v>23000</v>
      </c>
      <c r="E282" s="18">
        <f>SUMIFS(Despesas!$F:$F,Despesas!$J:$J,"&lt;="&amp;$A282,Despesas!$L:$L,"&gt;="&amp;$A282,Despesas!$C:$C,E$1,Despesas!$M:$M,"Mensal")+SUMIFS(Despesas!$F:$F,Despesas!$J:$J,"&lt;="&amp;$A282,Despesas!$L:$L,"&gt;="&amp;$A282,Despesas!$C:$C,E$1,Despesas!$M:$M,$B282)</f>
        <v>0</v>
      </c>
      <c r="F282" s="5">
        <f>SUMIFS(Despesas!$F:$F,Despesas!$J:$J,"&lt;="&amp;$A282,Despesas!$L:$L,"&gt;="&amp;$A282,Despesas!$C:$C,F$1,Despesas!$M:$M,"Mensal")+SUMIFS(Despesas!$F:$F,Despesas!$J:$J,"&lt;="&amp;$A282,Despesas!$L:$L,"&gt;="&amp;$A282,Despesas!$C:$C,F$1,Despesas!$M:$M,$B282)</f>
        <v>13000</v>
      </c>
      <c r="G282" s="5">
        <f>SUMIFS(Despesas!$F:$F,Despesas!$J:$J,"&lt;="&amp;$A282,Despesas!$L:$L,"&gt;="&amp;$A282,Despesas!$C:$C,G$1,Despesas!$M:$M,"Mensal")+SUMIFS(Despesas!$F:$F,Despesas!$J:$J,"&lt;="&amp;$A282,Despesas!$L:$L,"&gt;="&amp;$A282,Despesas!$C:$C,G$1,Despesas!$M:$M,$B282)</f>
        <v>0</v>
      </c>
      <c r="H282" s="18">
        <f>SUMIFS(Despesas!$F:$F,Despesas!$J:$J,"&lt;="&amp;$A282,Despesas!$L:$L,"&gt;="&amp;$A282,Despesas!$C:$C,H$1,Despesas!$M:$M,"Mensal")+SUMIFS(Despesas!$F:$F,Despesas!$J:$J,"&lt;="&amp;$A282,Despesas!$L:$L,"&gt;="&amp;$A282,Despesas!$C:$C,H$1,Despesas!$M:$M,$B282)</f>
        <v>1000</v>
      </c>
      <c r="I282" s="18">
        <f>IF(Imóveis!$F$2="PRICE",IF(AND(Dados!$A282&gt;=Imóveis!$Q$2,Dados!$A282&lt;=Imóveis!$T$2),Imóveis!$U$2,0),IF((IF(AND(Dados!$A282&gt;=Imóveis!$Q$2,Dados!$A282&lt;=Imóveis!$T$2),Imóveis!$S$2-(DATEDIF(Imóveis!$Q$2,Dados!$A282,"m")),0))=0,0,((Imóveis!$N$2/Imóveis!$S$2)+((Imóveis!$N$2-((Imóveis!$S$2-(IF(AND(Dados!$A282&gt;=Imóveis!$Q$2,Dados!$A282&lt;=Imóveis!$T$2),Imóveis!$S$2-(DATEDIF(Imóveis!$Q$2,Dados!$A282,"m")),)))*(Imóveis!$N$2/Imóveis!$S$2)))*Imóveis!$P$2))))*IF(AND(Imóveis!$E$2&gt;0,Dados!$A282&gt;Imóveis!$E$2),0,1)</f>
        <v>0</v>
      </c>
      <c r="J282" s="18">
        <f>IF(Imóveis!$F$3="PRICE",IF(AND(Dados!$A282&gt;=Imóveis!$Q$3,Dados!$A282&lt;=Imóveis!$T$3),Imóveis!$U$3,0),IF((IF(AND(Dados!$A282&gt;=Imóveis!$Q$3,Dados!$A282&lt;=Imóveis!$T$3),Imóveis!$S$3-(DATEDIF(Imóveis!$Q$3,Dados!$A282,"m")),0))=0,0,((Imóveis!$N$3/Imóveis!$S$3)+((Imóveis!$N$3-((Imóveis!$S$3-(IF(AND(Dados!$A282&gt;=Imóveis!$Q$3,Dados!$A282&lt;=Imóveis!$T$3),Imóveis!$S$3-(DATEDIF(Imóveis!$Q$3,Dados!$A282,"m")),)))*(Imóveis!$N$3/Imóveis!$S$3)))*Imóveis!$P$3))))*IF(AND(Imóveis!$E$3&gt;0,Dados!$A282&gt;Imóveis!$E$3),0,1)</f>
        <v>0</v>
      </c>
      <c r="K282" s="18">
        <f>IF(Imóveis!$F$4="PRICE",IF(AND(Dados!$A282&gt;=Imóveis!$Q$4,Dados!$A282&lt;=Imóveis!$T$4),Imóveis!$U$4,0),IF((IF(AND(Dados!$A282&gt;=Imóveis!$Q$4,Dados!$A282&lt;=Imóveis!$T$4),Imóveis!$S$4-(DATEDIF(Imóveis!$Q$4,Dados!$A282,"m")),0))=0,0,((Imóveis!$N$4/Imóveis!$S$4)+((Imóveis!$N$4-((Imóveis!$S$4-(IF(AND(Dados!$A282&gt;=Imóveis!$Q$4,Dados!$A282&lt;=Imóveis!$T$4),Imóveis!$S$4-(DATEDIF(Imóveis!$Q$4,Dados!$A282,"m")),)))*(Imóveis!$N$4/Imóveis!$S$4)))*Imóveis!$P$4))))*IF(AND(Imóveis!$E$4&gt;0,Dados!$A282&gt;Imóveis!$E$4),0,1)</f>
        <v>0</v>
      </c>
      <c r="L282" s="18">
        <f>IF(Imóveis!$F$5="PRICE",IF(AND(Dados!$A282&gt;=Imóveis!$Q$5,Dados!$A282&lt;=Imóveis!$T$5),Imóveis!$U$5,0),IF((IF(AND(Dados!$A282&gt;=Imóveis!$Q$5,Dados!$A282&lt;=Imóveis!$T$5),Imóveis!$S$5-(DATEDIF(Imóveis!$Q$5,Dados!$A282,"m")),0))=0,0,((Imóveis!$N$5/Imóveis!$S$5)+((Imóveis!$N$5-((Imóveis!$S$5-(IF(AND(Dados!$A282 &gt;=Imóveis!$Q$5,Dados!$A282&lt;=Imóveis!$T$5),Imóveis!$S$5-(DATEDIF(Imóveis!$Q$5,Dados!$A282,"m")),)))*(Imóveis!$N$5/Imóveis!$S$5)))*Imóveis!$P$5))))*IF(AND(Imóveis!$E$5&gt;0,Dados!$A282&gt;Imóveis!$E$5),0,1)*Imóveis!$I$5</f>
        <v>0</v>
      </c>
      <c r="M282" s="18">
        <f>IF(Imóveis!$F$6="PRICE",IF(AND(Dados!$A282&gt;=Imóveis!$Q$6,Dados!$A282&lt;=Imóveis!$T$6),Imóveis!$U$6,0),IF((IF(AND(Dados!$A282&gt;=Imóveis!$Q$6,Dados!$A282&lt;=Imóveis!$T$6),Imóveis!$S$6-(DATEDIF(Imóveis!$Q$6,Dados!$A282,"m")),0))=0,0,((Imóveis!$N$6/Imóveis!$S$6)+((Imóveis!$N$6-((Imóveis!$S$6-(IF(AND(Dados!$A282&gt;=Imóveis!$Q$6,Dados!$A282&lt;=Imóveis!$T$6),Imóveis!$S$6-(DATEDIF(Imóveis!$Q$6,Dados!$A282,"m")),)))*(Imóveis!$N$6/Imóveis!$S$6)))*Imóveis!$P$6))))*IF(AND(Imóveis!$E$6&gt;0,Dados!$A282&gt;Imóveis!$E$6),0,1)*Imóveis!$I$6</f>
        <v>0</v>
      </c>
      <c r="N282" s="18">
        <f t="shared" si="37"/>
        <v>37000</v>
      </c>
      <c r="O282" s="18">
        <f>SUMIFS(Receitas!$F:$F,Receitas!$J:$J,"&lt;="&amp;$A282,Receitas!$L:$L,"&gt;="&amp;$A282,Receitas!$C:$C,O$1,Receitas!$M:$M,"Mensal")+SUMIFS(Receitas!$F:$F,Receitas!$J:$J,"&lt;="&amp;$A282,Receitas!$L:$L,"&gt;="&amp;$A282,Receitas!$C:$C,O$1,Receitas!$M:$M,$B282)</f>
        <v>50000</v>
      </c>
      <c r="P282" s="18">
        <f>SUMIFS(Receitas!$F:$F,Receitas!$J:$J,"&lt;="&amp;$A282,Receitas!$L:$L,"&gt;="&amp;$A282,Receitas!$C:$C,P$1,Receitas!$M:$M,"Mensal")+SUMIFS(Receitas!$F:$F,Receitas!$J:$J,"&lt;="&amp;$A282,Receitas!$L:$L,"&gt;="&amp;$A282,Receitas!$C:$C,P$1,Receitas!$M:$M,$B282)</f>
        <v>20000</v>
      </c>
      <c r="Q282" s="18">
        <f>SUMIFS(Receitas!$F:$F,Receitas!$J:$J,"&lt;="&amp;$A282,Receitas!$L:$L,"&gt;="&amp;$A282,Receitas!$C:$C,Q$1,Receitas!$M:$M,"Mensal")+SUMIFS(Receitas!$F:$F,Receitas!$J:$J,"&lt;="&amp;$A282,Receitas!$L:$L,"&gt;="&amp;$A282,Receitas!$C:$C,Q$1,Receitas!$M:$M,$B282)</f>
        <v>0</v>
      </c>
      <c r="R282" s="18" cm="1">
        <f t="array" ref="R282">(IF(AND(Membros!$F$2="Sim",A282&lt;=MAX(Membros!$E$2:$E$5)),Membros!K$2,IF(AND(A282&gt;=Membros!J$2,A282&lt;=MAX(Membros!$E$2:$E$5)),Membros!K$2,0))+IF(AND(Membros!$F$3="Sim",A282&lt;=MAX(Membros!$E$2:$E$5)),Membros!K$3,IF(AND(A282&gt;=Membros!J$3,A282&lt;=MAX(Membros!$E$2:$E$5)),Membros!K$3,0)))*IF(AND(COUNTIFS(Tabela3[Tipo],"Provedor",Tabela3[Simulação Seguro],"Sim")=2,A282&gt;=MAX(IF(Tabela3[Tipo]="Dependente",Tabela3[Expectativa de Vida (Data)]))),0,1)</f>
        <v>0</v>
      </c>
      <c r="S282" s="18">
        <f t="shared" si="38"/>
        <v>70000</v>
      </c>
      <c r="U282" s="18">
        <f t="shared" ca="1" si="41"/>
        <v>16348264.78746888</v>
      </c>
      <c r="V282" s="18">
        <f>SUMIF(Imóveis!E:E,Dados!A:A,Imóveis!Z:Z)-SUMIF(Imóveis!E:E,Dados!A:A,Imóveis!Y:Y)</f>
        <v>0</v>
      </c>
      <c r="W282" s="18">
        <f>-SUMIF(Projetos!N:N,A282,Projetos!F:F)</f>
        <v>0</v>
      </c>
      <c r="X282" s="18">
        <f t="shared" si="35"/>
        <v>33000</v>
      </c>
      <c r="Y282" s="26">
        <f ca="1">(U282*((Indicadores_Economicos!D$2+1)^(1/12)-1))</f>
        <v>53519.964804658557</v>
      </c>
      <c r="Z282" s="18">
        <f t="shared" ca="1" si="39"/>
        <v>16434784.752273539</v>
      </c>
      <c r="AA282" s="18">
        <f ca="1">Auxiliar_Projetos!E282</f>
        <v>9.7642795603030349E-10</v>
      </c>
      <c r="AB282" s="18">
        <f ca="1">Auxiliar_Projetos!K282</f>
        <v>7.5109842771561744E-10</v>
      </c>
      <c r="AC282" s="18">
        <f ca="1">IF(Z282-AA282-AB282&gt;Investimentos!$C$14,Investimentos!$C$14,IF(Z282-AA282-AB282&lt;Investimentos!$C$14,Z282-AA282-AB282,0))</f>
        <v>300000</v>
      </c>
      <c r="AD282" s="18">
        <f t="shared" ca="1" si="40"/>
        <v>16134784.752273537</v>
      </c>
      <c r="AE282" s="18"/>
    </row>
    <row r="283" spans="1:31" x14ac:dyDescent="0.2">
      <c r="A283" s="4">
        <v>54210</v>
      </c>
      <c r="B283" s="5" t="str">
        <f t="shared" si="36"/>
        <v>junho</v>
      </c>
      <c r="C283" s="5" t="str">
        <f t="shared" si="42"/>
        <v>2048</v>
      </c>
      <c r="D283" s="5">
        <f>SUMIFS(Despesas!$F:$F,Despesas!$J:$J,"&lt;="&amp;$A283,Despesas!$L:$L,"&gt;="&amp;$A283,Despesas!$C:$C,D$1,Despesas!$M:$M,"Mensal")+SUMIFS(Despesas!$F:$F,Despesas!$J:$J,"&lt;="&amp;$A283,Despesas!$L:$L,"&gt;="&amp;$A283,Despesas!$C:$C,D$1,Despesas!$M:$M,$B283)</f>
        <v>23000</v>
      </c>
      <c r="E283" s="18">
        <f>SUMIFS(Despesas!$F:$F,Despesas!$J:$J,"&lt;="&amp;$A283,Despesas!$L:$L,"&gt;="&amp;$A283,Despesas!$C:$C,E$1,Despesas!$M:$M,"Mensal")+SUMIFS(Despesas!$F:$F,Despesas!$J:$J,"&lt;="&amp;$A283,Despesas!$L:$L,"&gt;="&amp;$A283,Despesas!$C:$C,E$1,Despesas!$M:$M,$B283)</f>
        <v>0</v>
      </c>
      <c r="F283" s="5">
        <f>SUMIFS(Despesas!$F:$F,Despesas!$J:$J,"&lt;="&amp;$A283,Despesas!$L:$L,"&gt;="&amp;$A283,Despesas!$C:$C,F$1,Despesas!$M:$M,"Mensal")+SUMIFS(Despesas!$F:$F,Despesas!$J:$J,"&lt;="&amp;$A283,Despesas!$L:$L,"&gt;="&amp;$A283,Despesas!$C:$C,F$1,Despesas!$M:$M,$B283)</f>
        <v>13000</v>
      </c>
      <c r="G283" s="5">
        <f>SUMIFS(Despesas!$F:$F,Despesas!$J:$J,"&lt;="&amp;$A283,Despesas!$L:$L,"&gt;="&amp;$A283,Despesas!$C:$C,G$1,Despesas!$M:$M,"Mensal")+SUMIFS(Despesas!$F:$F,Despesas!$J:$J,"&lt;="&amp;$A283,Despesas!$L:$L,"&gt;="&amp;$A283,Despesas!$C:$C,G$1,Despesas!$M:$M,$B283)</f>
        <v>0</v>
      </c>
      <c r="H283" s="18">
        <f>SUMIFS(Despesas!$F:$F,Despesas!$J:$J,"&lt;="&amp;$A283,Despesas!$L:$L,"&gt;="&amp;$A283,Despesas!$C:$C,H$1,Despesas!$M:$M,"Mensal")+SUMIFS(Despesas!$F:$F,Despesas!$J:$J,"&lt;="&amp;$A283,Despesas!$L:$L,"&gt;="&amp;$A283,Despesas!$C:$C,H$1,Despesas!$M:$M,$B283)</f>
        <v>1000</v>
      </c>
      <c r="I283" s="18">
        <f>IF(Imóveis!$F$2="PRICE",IF(AND(Dados!$A283&gt;=Imóveis!$Q$2,Dados!$A283&lt;=Imóveis!$T$2),Imóveis!$U$2,0),IF((IF(AND(Dados!$A283&gt;=Imóveis!$Q$2,Dados!$A283&lt;=Imóveis!$T$2),Imóveis!$S$2-(DATEDIF(Imóveis!$Q$2,Dados!$A283,"m")),0))=0,0,((Imóveis!$N$2/Imóveis!$S$2)+((Imóveis!$N$2-((Imóveis!$S$2-(IF(AND(Dados!$A283&gt;=Imóveis!$Q$2,Dados!$A283&lt;=Imóveis!$T$2),Imóveis!$S$2-(DATEDIF(Imóveis!$Q$2,Dados!$A283,"m")),)))*(Imóveis!$N$2/Imóveis!$S$2)))*Imóveis!$P$2))))*IF(AND(Imóveis!$E$2&gt;0,Dados!$A283&gt;Imóveis!$E$2),0,1)</f>
        <v>0</v>
      </c>
      <c r="J283" s="18">
        <f>IF(Imóveis!$F$3="PRICE",IF(AND(Dados!$A283&gt;=Imóveis!$Q$3,Dados!$A283&lt;=Imóveis!$T$3),Imóveis!$U$3,0),IF((IF(AND(Dados!$A283&gt;=Imóveis!$Q$3,Dados!$A283&lt;=Imóveis!$T$3),Imóveis!$S$3-(DATEDIF(Imóveis!$Q$3,Dados!$A283,"m")),0))=0,0,((Imóveis!$N$3/Imóveis!$S$3)+((Imóveis!$N$3-((Imóveis!$S$3-(IF(AND(Dados!$A283&gt;=Imóveis!$Q$3,Dados!$A283&lt;=Imóveis!$T$3),Imóveis!$S$3-(DATEDIF(Imóveis!$Q$3,Dados!$A283,"m")),)))*(Imóveis!$N$3/Imóveis!$S$3)))*Imóveis!$P$3))))*IF(AND(Imóveis!$E$3&gt;0,Dados!$A283&gt;Imóveis!$E$3),0,1)</f>
        <v>0</v>
      </c>
      <c r="K283" s="18">
        <f>IF(Imóveis!$F$4="PRICE",IF(AND(Dados!$A283&gt;=Imóveis!$Q$4,Dados!$A283&lt;=Imóveis!$T$4),Imóveis!$U$4,0),IF((IF(AND(Dados!$A283&gt;=Imóveis!$Q$4,Dados!$A283&lt;=Imóveis!$T$4),Imóveis!$S$4-(DATEDIF(Imóveis!$Q$4,Dados!$A283,"m")),0))=0,0,((Imóveis!$N$4/Imóveis!$S$4)+((Imóveis!$N$4-((Imóveis!$S$4-(IF(AND(Dados!$A283&gt;=Imóveis!$Q$4,Dados!$A283&lt;=Imóveis!$T$4),Imóveis!$S$4-(DATEDIF(Imóveis!$Q$4,Dados!$A283,"m")),)))*(Imóveis!$N$4/Imóveis!$S$4)))*Imóveis!$P$4))))*IF(AND(Imóveis!$E$4&gt;0,Dados!$A283&gt;Imóveis!$E$4),0,1)</f>
        <v>0</v>
      </c>
      <c r="L283" s="18">
        <f>IF(Imóveis!$F$5="PRICE",IF(AND(Dados!$A283&gt;=Imóveis!$Q$5,Dados!$A283&lt;=Imóveis!$T$5),Imóveis!$U$5,0),IF((IF(AND(Dados!$A283&gt;=Imóveis!$Q$5,Dados!$A283&lt;=Imóveis!$T$5),Imóveis!$S$5-(DATEDIF(Imóveis!$Q$5,Dados!$A283,"m")),0))=0,0,((Imóveis!$N$5/Imóveis!$S$5)+((Imóveis!$N$5-((Imóveis!$S$5-(IF(AND(Dados!$A283 &gt;=Imóveis!$Q$5,Dados!$A283&lt;=Imóveis!$T$5),Imóveis!$S$5-(DATEDIF(Imóveis!$Q$5,Dados!$A283,"m")),)))*(Imóveis!$N$5/Imóveis!$S$5)))*Imóveis!$P$5))))*IF(AND(Imóveis!$E$5&gt;0,Dados!$A283&gt;Imóveis!$E$5),0,1)*Imóveis!$I$5</f>
        <v>0</v>
      </c>
      <c r="M283" s="18">
        <f>IF(Imóveis!$F$6="PRICE",IF(AND(Dados!$A283&gt;=Imóveis!$Q$6,Dados!$A283&lt;=Imóveis!$T$6),Imóveis!$U$6,0),IF((IF(AND(Dados!$A283&gt;=Imóveis!$Q$6,Dados!$A283&lt;=Imóveis!$T$6),Imóveis!$S$6-(DATEDIF(Imóveis!$Q$6,Dados!$A283,"m")),0))=0,0,((Imóveis!$N$6/Imóveis!$S$6)+((Imóveis!$N$6-((Imóveis!$S$6-(IF(AND(Dados!$A283&gt;=Imóveis!$Q$6,Dados!$A283&lt;=Imóveis!$T$6),Imóveis!$S$6-(DATEDIF(Imóveis!$Q$6,Dados!$A283,"m")),)))*(Imóveis!$N$6/Imóveis!$S$6)))*Imóveis!$P$6))))*IF(AND(Imóveis!$E$6&gt;0,Dados!$A283&gt;Imóveis!$E$6),0,1)*Imóveis!$I$6</f>
        <v>0</v>
      </c>
      <c r="N283" s="18">
        <f t="shared" si="37"/>
        <v>37000</v>
      </c>
      <c r="O283" s="18">
        <f>SUMIFS(Receitas!$F:$F,Receitas!$J:$J,"&lt;="&amp;$A283,Receitas!$L:$L,"&gt;="&amp;$A283,Receitas!$C:$C,O$1,Receitas!$M:$M,"Mensal")+SUMIFS(Receitas!$F:$F,Receitas!$J:$J,"&lt;="&amp;$A283,Receitas!$L:$L,"&gt;="&amp;$A283,Receitas!$C:$C,O$1,Receitas!$M:$M,$B283)</f>
        <v>50000</v>
      </c>
      <c r="P283" s="18">
        <f>SUMIFS(Receitas!$F:$F,Receitas!$J:$J,"&lt;="&amp;$A283,Receitas!$L:$L,"&gt;="&amp;$A283,Receitas!$C:$C,P$1,Receitas!$M:$M,"Mensal")+SUMIFS(Receitas!$F:$F,Receitas!$J:$J,"&lt;="&amp;$A283,Receitas!$L:$L,"&gt;="&amp;$A283,Receitas!$C:$C,P$1,Receitas!$M:$M,$B283)</f>
        <v>20000</v>
      </c>
      <c r="Q283" s="18">
        <f>SUMIFS(Receitas!$F:$F,Receitas!$J:$J,"&lt;="&amp;$A283,Receitas!$L:$L,"&gt;="&amp;$A283,Receitas!$C:$C,Q$1,Receitas!$M:$M,"Mensal")+SUMIFS(Receitas!$F:$F,Receitas!$J:$J,"&lt;="&amp;$A283,Receitas!$L:$L,"&gt;="&amp;$A283,Receitas!$C:$C,Q$1,Receitas!$M:$M,$B283)</f>
        <v>0</v>
      </c>
      <c r="R283" s="18" cm="1">
        <f t="array" ref="R283">(IF(AND(Membros!$F$2="Sim",A283&lt;=MAX(Membros!$E$2:$E$5)),Membros!K$2,IF(AND(A283&gt;=Membros!J$2,A283&lt;=MAX(Membros!$E$2:$E$5)),Membros!K$2,0))+IF(AND(Membros!$F$3="Sim",A283&lt;=MAX(Membros!$E$2:$E$5)),Membros!K$3,IF(AND(A283&gt;=Membros!J$3,A283&lt;=MAX(Membros!$E$2:$E$5)),Membros!K$3,0)))*IF(AND(COUNTIFS(Tabela3[Tipo],"Provedor",Tabela3[Simulação Seguro],"Sim")=2,A283&gt;=MAX(IF(Tabela3[Tipo]="Dependente",Tabela3[Expectativa de Vida (Data)]))),0,1)</f>
        <v>0</v>
      </c>
      <c r="S283" s="18">
        <f t="shared" si="38"/>
        <v>70000</v>
      </c>
      <c r="U283" s="18">
        <f t="shared" ca="1" si="41"/>
        <v>16434784.752273539</v>
      </c>
      <c r="V283" s="18">
        <f>SUMIF(Imóveis!E:E,Dados!A:A,Imóveis!Z:Z)-SUMIF(Imóveis!E:E,Dados!A:A,Imóveis!Y:Y)</f>
        <v>0</v>
      </c>
      <c r="W283" s="18">
        <f>-SUMIF(Projetos!N:N,A283,Projetos!F:F)</f>
        <v>0</v>
      </c>
      <c r="X283" s="18">
        <f t="shared" si="35"/>
        <v>33000</v>
      </c>
      <c r="Y283" s="26">
        <f ca="1">(U283*((Indicadores_Economicos!D$2+1)^(1/12)-1))</f>
        <v>53803.208655394017</v>
      </c>
      <c r="Z283" s="18">
        <f t="shared" ca="1" si="39"/>
        <v>16521587.960928934</v>
      </c>
      <c r="AA283" s="18">
        <f ca="1">Auxiliar_Projetos!E283</f>
        <v>9.7962452707441116E-10</v>
      </c>
      <c r="AB283" s="18">
        <f ca="1">Auxiliar_Projetos!K283</f>
        <v>7.5355732851877712E-10</v>
      </c>
      <c r="AC283" s="18">
        <f ca="1">IF(Z283-AA283-AB283&gt;Investimentos!$C$14,Investimentos!$C$14,IF(Z283-AA283-AB283&lt;Investimentos!$C$14,Z283-AA283-AB283,0))</f>
        <v>300000</v>
      </c>
      <c r="AD283" s="18">
        <f t="shared" ca="1" si="40"/>
        <v>16221587.960928932</v>
      </c>
      <c r="AE283" s="18"/>
    </row>
    <row r="284" spans="1:31" x14ac:dyDescent="0.2">
      <c r="A284" s="4">
        <v>54240</v>
      </c>
      <c r="B284" s="5" t="str">
        <f t="shared" si="36"/>
        <v>julho</v>
      </c>
      <c r="C284" s="5" t="str">
        <f t="shared" si="42"/>
        <v>2048</v>
      </c>
      <c r="D284" s="5">
        <f>SUMIFS(Despesas!$F:$F,Despesas!$J:$J,"&lt;="&amp;$A284,Despesas!$L:$L,"&gt;="&amp;$A284,Despesas!$C:$C,D$1,Despesas!$M:$M,"Mensal")+SUMIFS(Despesas!$F:$F,Despesas!$J:$J,"&lt;="&amp;$A284,Despesas!$L:$L,"&gt;="&amp;$A284,Despesas!$C:$C,D$1,Despesas!$M:$M,$B284)</f>
        <v>23000</v>
      </c>
      <c r="E284" s="18">
        <f>SUMIFS(Despesas!$F:$F,Despesas!$J:$J,"&lt;="&amp;$A284,Despesas!$L:$L,"&gt;="&amp;$A284,Despesas!$C:$C,E$1,Despesas!$M:$M,"Mensal")+SUMIFS(Despesas!$F:$F,Despesas!$J:$J,"&lt;="&amp;$A284,Despesas!$L:$L,"&gt;="&amp;$A284,Despesas!$C:$C,E$1,Despesas!$M:$M,$B284)</f>
        <v>0</v>
      </c>
      <c r="F284" s="5">
        <f>SUMIFS(Despesas!$F:$F,Despesas!$J:$J,"&lt;="&amp;$A284,Despesas!$L:$L,"&gt;="&amp;$A284,Despesas!$C:$C,F$1,Despesas!$M:$M,"Mensal")+SUMIFS(Despesas!$F:$F,Despesas!$J:$J,"&lt;="&amp;$A284,Despesas!$L:$L,"&gt;="&amp;$A284,Despesas!$C:$C,F$1,Despesas!$M:$M,$B284)</f>
        <v>13000</v>
      </c>
      <c r="G284" s="5">
        <f ca="1">SUMIFS(Despesas!$F:$F,Despesas!$J:$J,"&lt;="&amp;$A284,Despesas!$L:$L,"&gt;="&amp;$A284,Despesas!$C:$C,G$1,Despesas!$M:$M,"Mensal")+SUMIFS(Despesas!$F:$F,Despesas!$J:$J,"&lt;="&amp;$A284,Despesas!$L:$L,"&gt;="&amp;$A284,Despesas!$C:$C,G$1,Despesas!$M:$M,$B284)</f>
        <v>55757</v>
      </c>
      <c r="H284" s="18">
        <f>SUMIFS(Despesas!$F:$F,Despesas!$J:$J,"&lt;="&amp;$A284,Despesas!$L:$L,"&gt;="&amp;$A284,Despesas!$C:$C,H$1,Despesas!$M:$M,"Mensal")+SUMIFS(Despesas!$F:$F,Despesas!$J:$J,"&lt;="&amp;$A284,Despesas!$L:$L,"&gt;="&amp;$A284,Despesas!$C:$C,H$1,Despesas!$M:$M,$B284)</f>
        <v>1000</v>
      </c>
      <c r="I284" s="18">
        <f>IF(Imóveis!$F$2="PRICE",IF(AND(Dados!$A284&gt;=Imóveis!$Q$2,Dados!$A284&lt;=Imóveis!$T$2),Imóveis!$U$2,0),IF((IF(AND(Dados!$A284&gt;=Imóveis!$Q$2,Dados!$A284&lt;=Imóveis!$T$2),Imóveis!$S$2-(DATEDIF(Imóveis!$Q$2,Dados!$A284,"m")),0))=0,0,((Imóveis!$N$2/Imóveis!$S$2)+((Imóveis!$N$2-((Imóveis!$S$2-(IF(AND(Dados!$A284&gt;=Imóveis!$Q$2,Dados!$A284&lt;=Imóveis!$T$2),Imóveis!$S$2-(DATEDIF(Imóveis!$Q$2,Dados!$A284,"m")),)))*(Imóveis!$N$2/Imóveis!$S$2)))*Imóveis!$P$2))))*IF(AND(Imóveis!$E$2&gt;0,Dados!$A284&gt;Imóveis!$E$2),0,1)</f>
        <v>0</v>
      </c>
      <c r="J284" s="18">
        <f>IF(Imóveis!$F$3="PRICE",IF(AND(Dados!$A284&gt;=Imóveis!$Q$3,Dados!$A284&lt;=Imóveis!$T$3),Imóveis!$U$3,0),IF((IF(AND(Dados!$A284&gt;=Imóveis!$Q$3,Dados!$A284&lt;=Imóveis!$T$3),Imóveis!$S$3-(DATEDIF(Imóveis!$Q$3,Dados!$A284,"m")),0))=0,0,((Imóveis!$N$3/Imóveis!$S$3)+((Imóveis!$N$3-((Imóveis!$S$3-(IF(AND(Dados!$A284&gt;=Imóveis!$Q$3,Dados!$A284&lt;=Imóveis!$T$3),Imóveis!$S$3-(DATEDIF(Imóveis!$Q$3,Dados!$A284,"m")),)))*(Imóveis!$N$3/Imóveis!$S$3)))*Imóveis!$P$3))))*IF(AND(Imóveis!$E$3&gt;0,Dados!$A284&gt;Imóveis!$E$3),0,1)</f>
        <v>0</v>
      </c>
      <c r="K284" s="18">
        <f>IF(Imóveis!$F$4="PRICE",IF(AND(Dados!$A284&gt;=Imóveis!$Q$4,Dados!$A284&lt;=Imóveis!$T$4),Imóveis!$U$4,0),IF((IF(AND(Dados!$A284&gt;=Imóveis!$Q$4,Dados!$A284&lt;=Imóveis!$T$4),Imóveis!$S$4-(DATEDIF(Imóveis!$Q$4,Dados!$A284,"m")),0))=0,0,((Imóveis!$N$4/Imóveis!$S$4)+((Imóveis!$N$4-((Imóveis!$S$4-(IF(AND(Dados!$A284&gt;=Imóveis!$Q$4,Dados!$A284&lt;=Imóveis!$T$4),Imóveis!$S$4-(DATEDIF(Imóveis!$Q$4,Dados!$A284,"m")),)))*(Imóveis!$N$4/Imóveis!$S$4)))*Imóveis!$P$4))))*IF(AND(Imóveis!$E$4&gt;0,Dados!$A284&gt;Imóveis!$E$4),0,1)</f>
        <v>0</v>
      </c>
      <c r="L284" s="18">
        <f>IF(Imóveis!$F$5="PRICE",IF(AND(Dados!$A284&gt;=Imóveis!$Q$5,Dados!$A284&lt;=Imóveis!$T$5),Imóveis!$U$5,0),IF((IF(AND(Dados!$A284&gt;=Imóveis!$Q$5,Dados!$A284&lt;=Imóveis!$T$5),Imóveis!$S$5-(DATEDIF(Imóveis!$Q$5,Dados!$A284,"m")),0))=0,0,((Imóveis!$N$5/Imóveis!$S$5)+((Imóveis!$N$5-((Imóveis!$S$5-(IF(AND(Dados!$A284 &gt;=Imóveis!$Q$5,Dados!$A284&lt;=Imóveis!$T$5),Imóveis!$S$5-(DATEDIF(Imóveis!$Q$5,Dados!$A284,"m")),)))*(Imóveis!$N$5/Imóveis!$S$5)))*Imóveis!$P$5))))*IF(AND(Imóveis!$E$5&gt;0,Dados!$A284&gt;Imóveis!$E$5),0,1)*Imóveis!$I$5</f>
        <v>0</v>
      </c>
      <c r="M284" s="18">
        <f>IF(Imóveis!$F$6="PRICE",IF(AND(Dados!$A284&gt;=Imóveis!$Q$6,Dados!$A284&lt;=Imóveis!$T$6),Imóveis!$U$6,0),IF((IF(AND(Dados!$A284&gt;=Imóveis!$Q$6,Dados!$A284&lt;=Imóveis!$T$6),Imóveis!$S$6-(DATEDIF(Imóveis!$Q$6,Dados!$A284,"m")),0))=0,0,((Imóveis!$N$6/Imóveis!$S$6)+((Imóveis!$N$6-((Imóveis!$S$6-(IF(AND(Dados!$A284&gt;=Imóveis!$Q$6,Dados!$A284&lt;=Imóveis!$T$6),Imóveis!$S$6-(DATEDIF(Imóveis!$Q$6,Dados!$A284,"m")),)))*(Imóveis!$N$6/Imóveis!$S$6)))*Imóveis!$P$6))))*IF(AND(Imóveis!$E$6&gt;0,Dados!$A284&gt;Imóveis!$E$6),0,1)*Imóveis!$I$6</f>
        <v>0</v>
      </c>
      <c r="N284" s="18">
        <f t="shared" ca="1" si="37"/>
        <v>92757</v>
      </c>
      <c r="O284" s="18">
        <f>SUMIFS(Receitas!$F:$F,Receitas!$J:$J,"&lt;="&amp;$A284,Receitas!$L:$L,"&gt;="&amp;$A284,Receitas!$C:$C,O$1,Receitas!$M:$M,"Mensal")+SUMIFS(Receitas!$F:$F,Receitas!$J:$J,"&lt;="&amp;$A284,Receitas!$L:$L,"&gt;="&amp;$A284,Receitas!$C:$C,O$1,Receitas!$M:$M,$B284)</f>
        <v>50000</v>
      </c>
      <c r="P284" s="18">
        <f>SUMIFS(Receitas!$F:$F,Receitas!$J:$J,"&lt;="&amp;$A284,Receitas!$L:$L,"&gt;="&amp;$A284,Receitas!$C:$C,P$1,Receitas!$M:$M,"Mensal")+SUMIFS(Receitas!$F:$F,Receitas!$J:$J,"&lt;="&amp;$A284,Receitas!$L:$L,"&gt;="&amp;$A284,Receitas!$C:$C,P$1,Receitas!$M:$M,$B284)</f>
        <v>20000</v>
      </c>
      <c r="Q284" s="18">
        <f>SUMIFS(Receitas!$F:$F,Receitas!$J:$J,"&lt;="&amp;$A284,Receitas!$L:$L,"&gt;="&amp;$A284,Receitas!$C:$C,Q$1,Receitas!$M:$M,"Mensal")+SUMIFS(Receitas!$F:$F,Receitas!$J:$J,"&lt;="&amp;$A284,Receitas!$L:$L,"&gt;="&amp;$A284,Receitas!$C:$C,Q$1,Receitas!$M:$M,$B284)</f>
        <v>0</v>
      </c>
      <c r="R284" s="18" cm="1">
        <f t="array" ref="R284">(IF(AND(Membros!$F$2="Sim",A284&lt;=MAX(Membros!$E$2:$E$5)),Membros!K$2,IF(AND(A284&gt;=Membros!J$2,A284&lt;=MAX(Membros!$E$2:$E$5)),Membros!K$2,0))+IF(AND(Membros!$F$3="Sim",A284&lt;=MAX(Membros!$E$2:$E$5)),Membros!K$3,IF(AND(A284&gt;=Membros!J$3,A284&lt;=MAX(Membros!$E$2:$E$5)),Membros!K$3,0)))*IF(AND(COUNTIFS(Tabela3[Tipo],"Provedor",Tabela3[Simulação Seguro],"Sim")=2,A284&gt;=MAX(IF(Tabela3[Tipo]="Dependente",Tabela3[Expectativa de Vida (Data)]))),0,1)</f>
        <v>0</v>
      </c>
      <c r="S284" s="18">
        <f t="shared" si="38"/>
        <v>70000</v>
      </c>
      <c r="U284" s="18">
        <f t="shared" ca="1" si="41"/>
        <v>16521587.960928934</v>
      </c>
      <c r="V284" s="18">
        <f>SUMIF(Imóveis!E:E,Dados!A:A,Imóveis!Z:Z)-SUMIF(Imóveis!E:E,Dados!A:A,Imóveis!Y:Y)</f>
        <v>0</v>
      </c>
      <c r="W284" s="18">
        <f>-SUMIF(Projetos!N:N,A284,Projetos!F:F)</f>
        <v>0</v>
      </c>
      <c r="X284" s="18">
        <f t="shared" ca="1" si="35"/>
        <v>-22757</v>
      </c>
      <c r="Y284" s="26">
        <f ca="1">(U284*((Indicadores_Economicos!D$2+1)^(1/12)-1))</f>
        <v>54087.379772791697</v>
      </c>
      <c r="Z284" s="18">
        <f t="shared" ca="1" si="39"/>
        <v>16552918.340701725</v>
      </c>
      <c r="AA284" s="18">
        <f ca="1">Auxiliar_Projetos!E284</f>
        <v>9.8283156286031252E-10</v>
      </c>
      <c r="AB284" s="18">
        <f ca="1">Auxiliar_Projetos!K284</f>
        <v>7.5602427912331654E-10</v>
      </c>
      <c r="AC284" s="18">
        <f ca="1">IF(Z284-AA284-AB284&gt;Investimentos!$C$14,Investimentos!$C$14,IF(Z284-AA284-AB284&lt;Investimentos!$C$14,Z284-AA284-AB284,0))</f>
        <v>300000</v>
      </c>
      <c r="AD284" s="18">
        <f t="shared" ca="1" si="40"/>
        <v>16252918.340701723</v>
      </c>
      <c r="AE284" s="18"/>
    </row>
    <row r="285" spans="1:31" x14ac:dyDescent="0.2">
      <c r="A285" s="4">
        <v>54271</v>
      </c>
      <c r="B285" s="5" t="str">
        <f t="shared" si="36"/>
        <v>agosto</v>
      </c>
      <c r="C285" s="5" t="str">
        <f t="shared" si="42"/>
        <v>2048</v>
      </c>
      <c r="D285" s="5">
        <f>SUMIFS(Despesas!$F:$F,Despesas!$J:$J,"&lt;="&amp;$A285,Despesas!$L:$L,"&gt;="&amp;$A285,Despesas!$C:$C,D$1,Despesas!$M:$M,"Mensal")+SUMIFS(Despesas!$F:$F,Despesas!$J:$J,"&lt;="&amp;$A285,Despesas!$L:$L,"&gt;="&amp;$A285,Despesas!$C:$C,D$1,Despesas!$M:$M,$B285)</f>
        <v>23000</v>
      </c>
      <c r="E285" s="18">
        <f>SUMIFS(Despesas!$F:$F,Despesas!$J:$J,"&lt;="&amp;$A285,Despesas!$L:$L,"&gt;="&amp;$A285,Despesas!$C:$C,E$1,Despesas!$M:$M,"Mensal")+SUMIFS(Despesas!$F:$F,Despesas!$J:$J,"&lt;="&amp;$A285,Despesas!$L:$L,"&gt;="&amp;$A285,Despesas!$C:$C,E$1,Despesas!$M:$M,$B285)</f>
        <v>0</v>
      </c>
      <c r="F285" s="5">
        <f>SUMIFS(Despesas!$F:$F,Despesas!$J:$J,"&lt;="&amp;$A285,Despesas!$L:$L,"&gt;="&amp;$A285,Despesas!$C:$C,F$1,Despesas!$M:$M,"Mensal")+SUMIFS(Despesas!$F:$F,Despesas!$J:$J,"&lt;="&amp;$A285,Despesas!$L:$L,"&gt;="&amp;$A285,Despesas!$C:$C,F$1,Despesas!$M:$M,$B285)</f>
        <v>13000</v>
      </c>
      <c r="G285" s="5">
        <f>SUMIFS(Despesas!$F:$F,Despesas!$J:$J,"&lt;="&amp;$A285,Despesas!$L:$L,"&gt;="&amp;$A285,Despesas!$C:$C,G$1,Despesas!$M:$M,"Mensal")+SUMIFS(Despesas!$F:$F,Despesas!$J:$J,"&lt;="&amp;$A285,Despesas!$L:$L,"&gt;="&amp;$A285,Despesas!$C:$C,G$1,Despesas!$M:$M,$B285)</f>
        <v>0</v>
      </c>
      <c r="H285" s="18">
        <f>SUMIFS(Despesas!$F:$F,Despesas!$J:$J,"&lt;="&amp;$A285,Despesas!$L:$L,"&gt;="&amp;$A285,Despesas!$C:$C,H$1,Despesas!$M:$M,"Mensal")+SUMIFS(Despesas!$F:$F,Despesas!$J:$J,"&lt;="&amp;$A285,Despesas!$L:$L,"&gt;="&amp;$A285,Despesas!$C:$C,H$1,Despesas!$M:$M,$B285)</f>
        <v>1000</v>
      </c>
      <c r="I285" s="18">
        <f>IF(Imóveis!$F$2="PRICE",IF(AND(Dados!$A285&gt;=Imóveis!$Q$2,Dados!$A285&lt;=Imóveis!$T$2),Imóveis!$U$2,0),IF((IF(AND(Dados!$A285&gt;=Imóveis!$Q$2,Dados!$A285&lt;=Imóveis!$T$2),Imóveis!$S$2-(DATEDIF(Imóveis!$Q$2,Dados!$A285,"m")),0))=0,0,((Imóveis!$N$2/Imóveis!$S$2)+((Imóveis!$N$2-((Imóveis!$S$2-(IF(AND(Dados!$A285&gt;=Imóveis!$Q$2,Dados!$A285&lt;=Imóveis!$T$2),Imóveis!$S$2-(DATEDIF(Imóveis!$Q$2,Dados!$A285,"m")),)))*(Imóveis!$N$2/Imóveis!$S$2)))*Imóveis!$P$2))))*IF(AND(Imóveis!$E$2&gt;0,Dados!$A285&gt;Imóveis!$E$2),0,1)</f>
        <v>0</v>
      </c>
      <c r="J285" s="18">
        <f>IF(Imóveis!$F$3="PRICE",IF(AND(Dados!$A285&gt;=Imóveis!$Q$3,Dados!$A285&lt;=Imóveis!$T$3),Imóveis!$U$3,0),IF((IF(AND(Dados!$A285&gt;=Imóveis!$Q$3,Dados!$A285&lt;=Imóveis!$T$3),Imóveis!$S$3-(DATEDIF(Imóveis!$Q$3,Dados!$A285,"m")),0))=0,0,((Imóveis!$N$3/Imóveis!$S$3)+((Imóveis!$N$3-((Imóveis!$S$3-(IF(AND(Dados!$A285&gt;=Imóveis!$Q$3,Dados!$A285&lt;=Imóveis!$T$3),Imóveis!$S$3-(DATEDIF(Imóveis!$Q$3,Dados!$A285,"m")),)))*(Imóveis!$N$3/Imóveis!$S$3)))*Imóveis!$P$3))))*IF(AND(Imóveis!$E$3&gt;0,Dados!$A285&gt;Imóveis!$E$3),0,1)</f>
        <v>0</v>
      </c>
      <c r="K285" s="18">
        <f>IF(Imóveis!$F$4="PRICE",IF(AND(Dados!$A285&gt;=Imóveis!$Q$4,Dados!$A285&lt;=Imóveis!$T$4),Imóveis!$U$4,0),IF((IF(AND(Dados!$A285&gt;=Imóveis!$Q$4,Dados!$A285&lt;=Imóveis!$T$4),Imóveis!$S$4-(DATEDIF(Imóveis!$Q$4,Dados!$A285,"m")),0))=0,0,((Imóveis!$N$4/Imóveis!$S$4)+((Imóveis!$N$4-((Imóveis!$S$4-(IF(AND(Dados!$A285&gt;=Imóveis!$Q$4,Dados!$A285&lt;=Imóveis!$T$4),Imóveis!$S$4-(DATEDIF(Imóveis!$Q$4,Dados!$A285,"m")),)))*(Imóveis!$N$4/Imóveis!$S$4)))*Imóveis!$P$4))))*IF(AND(Imóveis!$E$4&gt;0,Dados!$A285&gt;Imóveis!$E$4),0,1)</f>
        <v>0</v>
      </c>
      <c r="L285" s="18">
        <f>IF(Imóveis!$F$5="PRICE",IF(AND(Dados!$A285&gt;=Imóveis!$Q$5,Dados!$A285&lt;=Imóveis!$T$5),Imóveis!$U$5,0),IF((IF(AND(Dados!$A285&gt;=Imóveis!$Q$5,Dados!$A285&lt;=Imóveis!$T$5),Imóveis!$S$5-(DATEDIF(Imóveis!$Q$5,Dados!$A285,"m")),0))=0,0,((Imóveis!$N$5/Imóveis!$S$5)+((Imóveis!$N$5-((Imóveis!$S$5-(IF(AND(Dados!$A285 &gt;=Imóveis!$Q$5,Dados!$A285&lt;=Imóveis!$T$5),Imóveis!$S$5-(DATEDIF(Imóveis!$Q$5,Dados!$A285,"m")),)))*(Imóveis!$N$5/Imóveis!$S$5)))*Imóveis!$P$5))))*IF(AND(Imóveis!$E$5&gt;0,Dados!$A285&gt;Imóveis!$E$5),0,1)*Imóveis!$I$5</f>
        <v>0</v>
      </c>
      <c r="M285" s="18">
        <f>IF(Imóveis!$F$6="PRICE",IF(AND(Dados!$A285&gt;=Imóveis!$Q$6,Dados!$A285&lt;=Imóveis!$T$6),Imóveis!$U$6,0),IF((IF(AND(Dados!$A285&gt;=Imóveis!$Q$6,Dados!$A285&lt;=Imóveis!$T$6),Imóveis!$S$6-(DATEDIF(Imóveis!$Q$6,Dados!$A285,"m")),0))=0,0,((Imóveis!$N$6/Imóveis!$S$6)+((Imóveis!$N$6-((Imóveis!$S$6-(IF(AND(Dados!$A285&gt;=Imóveis!$Q$6,Dados!$A285&lt;=Imóveis!$T$6),Imóveis!$S$6-(DATEDIF(Imóveis!$Q$6,Dados!$A285,"m")),)))*(Imóveis!$N$6/Imóveis!$S$6)))*Imóveis!$P$6))))*IF(AND(Imóveis!$E$6&gt;0,Dados!$A285&gt;Imóveis!$E$6),0,1)*Imóveis!$I$6</f>
        <v>0</v>
      </c>
      <c r="N285" s="18">
        <f t="shared" si="37"/>
        <v>37000</v>
      </c>
      <c r="O285" s="18">
        <f>SUMIFS(Receitas!$F:$F,Receitas!$J:$J,"&lt;="&amp;$A285,Receitas!$L:$L,"&gt;="&amp;$A285,Receitas!$C:$C,O$1,Receitas!$M:$M,"Mensal")+SUMIFS(Receitas!$F:$F,Receitas!$J:$J,"&lt;="&amp;$A285,Receitas!$L:$L,"&gt;="&amp;$A285,Receitas!$C:$C,O$1,Receitas!$M:$M,$B285)</f>
        <v>50000</v>
      </c>
      <c r="P285" s="18">
        <f>SUMIFS(Receitas!$F:$F,Receitas!$J:$J,"&lt;="&amp;$A285,Receitas!$L:$L,"&gt;="&amp;$A285,Receitas!$C:$C,P$1,Receitas!$M:$M,"Mensal")+SUMIFS(Receitas!$F:$F,Receitas!$J:$J,"&lt;="&amp;$A285,Receitas!$L:$L,"&gt;="&amp;$A285,Receitas!$C:$C,P$1,Receitas!$M:$M,$B285)</f>
        <v>20000</v>
      </c>
      <c r="Q285" s="18">
        <f>SUMIFS(Receitas!$F:$F,Receitas!$J:$J,"&lt;="&amp;$A285,Receitas!$L:$L,"&gt;="&amp;$A285,Receitas!$C:$C,Q$1,Receitas!$M:$M,"Mensal")+SUMIFS(Receitas!$F:$F,Receitas!$J:$J,"&lt;="&amp;$A285,Receitas!$L:$L,"&gt;="&amp;$A285,Receitas!$C:$C,Q$1,Receitas!$M:$M,$B285)</f>
        <v>0</v>
      </c>
      <c r="R285" s="18" cm="1">
        <f t="array" ref="R285">(IF(AND(Membros!$F$2="Sim",A285&lt;=MAX(Membros!$E$2:$E$5)),Membros!K$2,IF(AND(A285&gt;=Membros!J$2,A285&lt;=MAX(Membros!$E$2:$E$5)),Membros!K$2,0))+IF(AND(Membros!$F$3="Sim",A285&lt;=MAX(Membros!$E$2:$E$5)),Membros!K$3,IF(AND(A285&gt;=Membros!J$3,A285&lt;=MAX(Membros!$E$2:$E$5)),Membros!K$3,0)))*IF(AND(COUNTIFS(Tabela3[Tipo],"Provedor",Tabela3[Simulação Seguro],"Sim")=2,A285&gt;=MAX(IF(Tabela3[Tipo]="Dependente",Tabela3[Expectativa de Vida (Data)]))),0,1)</f>
        <v>0</v>
      </c>
      <c r="S285" s="18">
        <f t="shared" si="38"/>
        <v>70000</v>
      </c>
      <c r="U285" s="18">
        <f t="shared" ca="1" si="41"/>
        <v>16552918.340701725</v>
      </c>
      <c r="V285" s="18">
        <f>SUMIF(Imóveis!E:E,Dados!A:A,Imóveis!Z:Z)-SUMIF(Imóveis!E:E,Dados!A:A,Imóveis!Y:Y)</f>
        <v>0</v>
      </c>
      <c r="W285" s="18">
        <f>-SUMIF(Projetos!N:N,A285,Projetos!F:F)</f>
        <v>0</v>
      </c>
      <c r="X285" s="18">
        <f t="shared" si="35"/>
        <v>33000</v>
      </c>
      <c r="Y285" s="26">
        <f ca="1">(U285*((Indicadores_Economicos!D$2+1)^(1/12)-1))</f>
        <v>54189.947283445283</v>
      </c>
      <c r="Z285" s="18">
        <f t="shared" ca="1" si="39"/>
        <v>16640108.28798517</v>
      </c>
      <c r="AA285" s="18">
        <f ca="1">Auxiliar_Projetos!E285</f>
        <v>9.8604909764684905E-10</v>
      </c>
      <c r="AB285" s="18">
        <f ca="1">Auxiliar_Projetos!K285</f>
        <v>7.5849930588219083E-10</v>
      </c>
      <c r="AC285" s="18">
        <f ca="1">IF(Z285-AA285-AB285&gt;Investimentos!$C$14,Investimentos!$C$14,IF(Z285-AA285-AB285&lt;Investimentos!$C$14,Z285-AA285-AB285,0))</f>
        <v>300000</v>
      </c>
      <c r="AD285" s="18">
        <f t="shared" ca="1" si="40"/>
        <v>16340108.287985168</v>
      </c>
      <c r="AE285" s="18"/>
    </row>
    <row r="286" spans="1:31" x14ac:dyDescent="0.2">
      <c r="A286" s="4">
        <v>54302</v>
      </c>
      <c r="B286" s="5" t="str">
        <f t="shared" si="36"/>
        <v>setembro</v>
      </c>
      <c r="C286" s="5" t="str">
        <f t="shared" si="42"/>
        <v>2048</v>
      </c>
      <c r="D286" s="5">
        <f>SUMIFS(Despesas!$F:$F,Despesas!$J:$J,"&lt;="&amp;$A286,Despesas!$L:$L,"&gt;="&amp;$A286,Despesas!$C:$C,D$1,Despesas!$M:$M,"Mensal")+SUMIFS(Despesas!$F:$F,Despesas!$J:$J,"&lt;="&amp;$A286,Despesas!$L:$L,"&gt;="&amp;$A286,Despesas!$C:$C,D$1,Despesas!$M:$M,$B286)</f>
        <v>23000</v>
      </c>
      <c r="E286" s="18">
        <f>SUMIFS(Despesas!$F:$F,Despesas!$J:$J,"&lt;="&amp;$A286,Despesas!$L:$L,"&gt;="&amp;$A286,Despesas!$C:$C,E$1,Despesas!$M:$M,"Mensal")+SUMIFS(Despesas!$F:$F,Despesas!$J:$J,"&lt;="&amp;$A286,Despesas!$L:$L,"&gt;="&amp;$A286,Despesas!$C:$C,E$1,Despesas!$M:$M,$B286)</f>
        <v>0</v>
      </c>
      <c r="F286" s="5">
        <f>SUMIFS(Despesas!$F:$F,Despesas!$J:$J,"&lt;="&amp;$A286,Despesas!$L:$L,"&gt;="&amp;$A286,Despesas!$C:$C,F$1,Despesas!$M:$M,"Mensal")+SUMIFS(Despesas!$F:$F,Despesas!$J:$J,"&lt;="&amp;$A286,Despesas!$L:$L,"&gt;="&amp;$A286,Despesas!$C:$C,F$1,Despesas!$M:$M,$B286)</f>
        <v>13000</v>
      </c>
      <c r="G286" s="5">
        <f>SUMIFS(Despesas!$F:$F,Despesas!$J:$J,"&lt;="&amp;$A286,Despesas!$L:$L,"&gt;="&amp;$A286,Despesas!$C:$C,G$1,Despesas!$M:$M,"Mensal")+SUMIFS(Despesas!$F:$F,Despesas!$J:$J,"&lt;="&amp;$A286,Despesas!$L:$L,"&gt;="&amp;$A286,Despesas!$C:$C,G$1,Despesas!$M:$M,$B286)</f>
        <v>0</v>
      </c>
      <c r="H286" s="18">
        <f>SUMIFS(Despesas!$F:$F,Despesas!$J:$J,"&lt;="&amp;$A286,Despesas!$L:$L,"&gt;="&amp;$A286,Despesas!$C:$C,H$1,Despesas!$M:$M,"Mensal")+SUMIFS(Despesas!$F:$F,Despesas!$J:$J,"&lt;="&amp;$A286,Despesas!$L:$L,"&gt;="&amp;$A286,Despesas!$C:$C,H$1,Despesas!$M:$M,$B286)</f>
        <v>1000</v>
      </c>
      <c r="I286" s="18">
        <f>IF(Imóveis!$F$2="PRICE",IF(AND(Dados!$A286&gt;=Imóveis!$Q$2,Dados!$A286&lt;=Imóveis!$T$2),Imóveis!$U$2,0),IF((IF(AND(Dados!$A286&gt;=Imóveis!$Q$2,Dados!$A286&lt;=Imóveis!$T$2),Imóveis!$S$2-(DATEDIF(Imóveis!$Q$2,Dados!$A286,"m")),0))=0,0,((Imóveis!$N$2/Imóveis!$S$2)+((Imóveis!$N$2-((Imóveis!$S$2-(IF(AND(Dados!$A286&gt;=Imóveis!$Q$2,Dados!$A286&lt;=Imóveis!$T$2),Imóveis!$S$2-(DATEDIF(Imóveis!$Q$2,Dados!$A286,"m")),)))*(Imóveis!$N$2/Imóveis!$S$2)))*Imóveis!$P$2))))*IF(AND(Imóveis!$E$2&gt;0,Dados!$A286&gt;Imóveis!$E$2),0,1)</f>
        <v>0</v>
      </c>
      <c r="J286" s="18">
        <f>IF(Imóveis!$F$3="PRICE",IF(AND(Dados!$A286&gt;=Imóveis!$Q$3,Dados!$A286&lt;=Imóveis!$T$3),Imóveis!$U$3,0),IF((IF(AND(Dados!$A286&gt;=Imóveis!$Q$3,Dados!$A286&lt;=Imóveis!$T$3),Imóveis!$S$3-(DATEDIF(Imóveis!$Q$3,Dados!$A286,"m")),0))=0,0,((Imóveis!$N$3/Imóveis!$S$3)+((Imóveis!$N$3-((Imóveis!$S$3-(IF(AND(Dados!$A286&gt;=Imóveis!$Q$3,Dados!$A286&lt;=Imóveis!$T$3),Imóveis!$S$3-(DATEDIF(Imóveis!$Q$3,Dados!$A286,"m")),)))*(Imóveis!$N$3/Imóveis!$S$3)))*Imóveis!$P$3))))*IF(AND(Imóveis!$E$3&gt;0,Dados!$A286&gt;Imóveis!$E$3),0,1)</f>
        <v>0</v>
      </c>
      <c r="K286" s="18">
        <f>IF(Imóveis!$F$4="PRICE",IF(AND(Dados!$A286&gt;=Imóveis!$Q$4,Dados!$A286&lt;=Imóveis!$T$4),Imóveis!$U$4,0),IF((IF(AND(Dados!$A286&gt;=Imóveis!$Q$4,Dados!$A286&lt;=Imóveis!$T$4),Imóveis!$S$4-(DATEDIF(Imóveis!$Q$4,Dados!$A286,"m")),0))=0,0,((Imóveis!$N$4/Imóveis!$S$4)+((Imóveis!$N$4-((Imóveis!$S$4-(IF(AND(Dados!$A286&gt;=Imóveis!$Q$4,Dados!$A286&lt;=Imóveis!$T$4),Imóveis!$S$4-(DATEDIF(Imóveis!$Q$4,Dados!$A286,"m")),)))*(Imóveis!$N$4/Imóveis!$S$4)))*Imóveis!$P$4))))*IF(AND(Imóveis!$E$4&gt;0,Dados!$A286&gt;Imóveis!$E$4),0,1)</f>
        <v>0</v>
      </c>
      <c r="L286" s="18">
        <f>IF(Imóveis!$F$5="PRICE",IF(AND(Dados!$A286&gt;=Imóveis!$Q$5,Dados!$A286&lt;=Imóveis!$T$5),Imóveis!$U$5,0),IF((IF(AND(Dados!$A286&gt;=Imóveis!$Q$5,Dados!$A286&lt;=Imóveis!$T$5),Imóveis!$S$5-(DATEDIF(Imóveis!$Q$5,Dados!$A286,"m")),0))=0,0,((Imóveis!$N$5/Imóveis!$S$5)+((Imóveis!$N$5-((Imóveis!$S$5-(IF(AND(Dados!$A286 &gt;=Imóveis!$Q$5,Dados!$A286&lt;=Imóveis!$T$5),Imóveis!$S$5-(DATEDIF(Imóveis!$Q$5,Dados!$A286,"m")),)))*(Imóveis!$N$5/Imóveis!$S$5)))*Imóveis!$P$5))))*IF(AND(Imóveis!$E$5&gt;0,Dados!$A286&gt;Imóveis!$E$5),0,1)*Imóveis!$I$5</f>
        <v>0</v>
      </c>
      <c r="M286" s="18">
        <f>IF(Imóveis!$F$6="PRICE",IF(AND(Dados!$A286&gt;=Imóveis!$Q$6,Dados!$A286&lt;=Imóveis!$T$6),Imóveis!$U$6,0),IF((IF(AND(Dados!$A286&gt;=Imóveis!$Q$6,Dados!$A286&lt;=Imóveis!$T$6),Imóveis!$S$6-(DATEDIF(Imóveis!$Q$6,Dados!$A286,"m")),0))=0,0,((Imóveis!$N$6/Imóveis!$S$6)+((Imóveis!$N$6-((Imóveis!$S$6-(IF(AND(Dados!$A286&gt;=Imóveis!$Q$6,Dados!$A286&lt;=Imóveis!$T$6),Imóveis!$S$6-(DATEDIF(Imóveis!$Q$6,Dados!$A286,"m")),)))*(Imóveis!$N$6/Imóveis!$S$6)))*Imóveis!$P$6))))*IF(AND(Imóveis!$E$6&gt;0,Dados!$A286&gt;Imóveis!$E$6),0,1)*Imóveis!$I$6</f>
        <v>0</v>
      </c>
      <c r="N286" s="18">
        <f t="shared" si="37"/>
        <v>37000</v>
      </c>
      <c r="O286" s="18">
        <f>SUMIFS(Receitas!$F:$F,Receitas!$J:$J,"&lt;="&amp;$A286,Receitas!$L:$L,"&gt;="&amp;$A286,Receitas!$C:$C,O$1,Receitas!$M:$M,"Mensal")+SUMIFS(Receitas!$F:$F,Receitas!$J:$J,"&lt;="&amp;$A286,Receitas!$L:$L,"&gt;="&amp;$A286,Receitas!$C:$C,O$1,Receitas!$M:$M,$B286)</f>
        <v>50000</v>
      </c>
      <c r="P286" s="18">
        <f>SUMIFS(Receitas!$F:$F,Receitas!$J:$J,"&lt;="&amp;$A286,Receitas!$L:$L,"&gt;="&amp;$A286,Receitas!$C:$C,P$1,Receitas!$M:$M,"Mensal")+SUMIFS(Receitas!$F:$F,Receitas!$J:$J,"&lt;="&amp;$A286,Receitas!$L:$L,"&gt;="&amp;$A286,Receitas!$C:$C,P$1,Receitas!$M:$M,$B286)</f>
        <v>20000</v>
      </c>
      <c r="Q286" s="18">
        <f>SUMIFS(Receitas!$F:$F,Receitas!$J:$J,"&lt;="&amp;$A286,Receitas!$L:$L,"&gt;="&amp;$A286,Receitas!$C:$C,Q$1,Receitas!$M:$M,"Mensal")+SUMIFS(Receitas!$F:$F,Receitas!$J:$J,"&lt;="&amp;$A286,Receitas!$L:$L,"&gt;="&amp;$A286,Receitas!$C:$C,Q$1,Receitas!$M:$M,$B286)</f>
        <v>0</v>
      </c>
      <c r="R286" s="18" cm="1">
        <f t="array" ref="R286">(IF(AND(Membros!$F$2="Sim",A286&lt;=MAX(Membros!$E$2:$E$5)),Membros!K$2,IF(AND(A286&gt;=Membros!J$2,A286&lt;=MAX(Membros!$E$2:$E$5)),Membros!K$2,0))+IF(AND(Membros!$F$3="Sim",A286&lt;=MAX(Membros!$E$2:$E$5)),Membros!K$3,IF(AND(A286&gt;=Membros!J$3,A286&lt;=MAX(Membros!$E$2:$E$5)),Membros!K$3,0)))*IF(AND(COUNTIFS(Tabela3[Tipo],"Provedor",Tabela3[Simulação Seguro],"Sim")=2,A286&gt;=MAX(IF(Tabela3[Tipo]="Dependente",Tabela3[Expectativa de Vida (Data)]))),0,1)</f>
        <v>0</v>
      </c>
      <c r="S286" s="18">
        <f t="shared" si="38"/>
        <v>70000</v>
      </c>
      <c r="U286" s="18">
        <f t="shared" ca="1" si="41"/>
        <v>16640108.28798517</v>
      </c>
      <c r="V286" s="18">
        <f>SUMIF(Imóveis!E:E,Dados!A:A,Imóveis!Z:Z)-SUMIF(Imóveis!E:E,Dados!A:A,Imóveis!Y:Y)</f>
        <v>0</v>
      </c>
      <c r="W286" s="18">
        <f>-SUMIF(Projetos!N:N,A286,Projetos!F:F)</f>
        <v>0</v>
      </c>
      <c r="X286" s="18">
        <f t="shared" si="35"/>
        <v>33000</v>
      </c>
      <c r="Y286" s="26">
        <f ca="1">(U286*((Indicadores_Economicos!D$2+1)^(1/12)-1))</f>
        <v>54475.384482474925</v>
      </c>
      <c r="Z286" s="18">
        <f t="shared" ca="1" si="39"/>
        <v>16727583.672467645</v>
      </c>
      <c r="AA286" s="18">
        <f ca="1">Auxiliar_Projetos!E286</f>
        <v>9.8927716580501693E-10</v>
      </c>
      <c r="AB286" s="18">
        <f ca="1">Auxiliar_Projetos!K286</f>
        <v>7.6098243523462759E-10</v>
      </c>
      <c r="AC286" s="18">
        <f ca="1">IF(Z286-AA286-AB286&gt;Investimentos!$C$14,Investimentos!$C$14,IF(Z286-AA286-AB286&lt;Investimentos!$C$14,Z286-AA286-AB286,0))</f>
        <v>300000</v>
      </c>
      <c r="AD286" s="18">
        <f t="shared" ca="1" si="40"/>
        <v>16427583.672467643</v>
      </c>
      <c r="AE286" s="18"/>
    </row>
    <row r="287" spans="1:31" x14ac:dyDescent="0.2">
      <c r="A287" s="4">
        <v>54332</v>
      </c>
      <c r="B287" s="5" t="str">
        <f t="shared" si="36"/>
        <v>outubro</v>
      </c>
      <c r="C287" s="5" t="str">
        <f t="shared" si="42"/>
        <v>2048</v>
      </c>
      <c r="D287" s="5">
        <f>SUMIFS(Despesas!$F:$F,Despesas!$J:$J,"&lt;="&amp;$A287,Despesas!$L:$L,"&gt;="&amp;$A287,Despesas!$C:$C,D$1,Despesas!$M:$M,"Mensal")+SUMIFS(Despesas!$F:$F,Despesas!$J:$J,"&lt;="&amp;$A287,Despesas!$L:$L,"&gt;="&amp;$A287,Despesas!$C:$C,D$1,Despesas!$M:$M,$B287)</f>
        <v>23000</v>
      </c>
      <c r="E287" s="18">
        <f>SUMIFS(Despesas!$F:$F,Despesas!$J:$J,"&lt;="&amp;$A287,Despesas!$L:$L,"&gt;="&amp;$A287,Despesas!$C:$C,E$1,Despesas!$M:$M,"Mensal")+SUMIFS(Despesas!$F:$F,Despesas!$J:$J,"&lt;="&amp;$A287,Despesas!$L:$L,"&gt;="&amp;$A287,Despesas!$C:$C,E$1,Despesas!$M:$M,$B287)</f>
        <v>0</v>
      </c>
      <c r="F287" s="5">
        <f>SUMIFS(Despesas!$F:$F,Despesas!$J:$J,"&lt;="&amp;$A287,Despesas!$L:$L,"&gt;="&amp;$A287,Despesas!$C:$C,F$1,Despesas!$M:$M,"Mensal")+SUMIFS(Despesas!$F:$F,Despesas!$J:$J,"&lt;="&amp;$A287,Despesas!$L:$L,"&gt;="&amp;$A287,Despesas!$C:$C,F$1,Despesas!$M:$M,$B287)</f>
        <v>13000</v>
      </c>
      <c r="G287" s="5">
        <f>SUMIFS(Despesas!$F:$F,Despesas!$J:$J,"&lt;="&amp;$A287,Despesas!$L:$L,"&gt;="&amp;$A287,Despesas!$C:$C,G$1,Despesas!$M:$M,"Mensal")+SUMIFS(Despesas!$F:$F,Despesas!$J:$J,"&lt;="&amp;$A287,Despesas!$L:$L,"&gt;="&amp;$A287,Despesas!$C:$C,G$1,Despesas!$M:$M,$B287)</f>
        <v>0</v>
      </c>
      <c r="H287" s="18">
        <f>SUMIFS(Despesas!$F:$F,Despesas!$J:$J,"&lt;="&amp;$A287,Despesas!$L:$L,"&gt;="&amp;$A287,Despesas!$C:$C,H$1,Despesas!$M:$M,"Mensal")+SUMIFS(Despesas!$F:$F,Despesas!$J:$J,"&lt;="&amp;$A287,Despesas!$L:$L,"&gt;="&amp;$A287,Despesas!$C:$C,H$1,Despesas!$M:$M,$B287)</f>
        <v>1000</v>
      </c>
      <c r="I287" s="18">
        <f>IF(Imóveis!$F$2="PRICE",IF(AND(Dados!$A287&gt;=Imóveis!$Q$2,Dados!$A287&lt;=Imóveis!$T$2),Imóveis!$U$2,0),IF((IF(AND(Dados!$A287&gt;=Imóveis!$Q$2,Dados!$A287&lt;=Imóveis!$T$2),Imóveis!$S$2-(DATEDIF(Imóveis!$Q$2,Dados!$A287,"m")),0))=0,0,((Imóveis!$N$2/Imóveis!$S$2)+((Imóveis!$N$2-((Imóveis!$S$2-(IF(AND(Dados!$A287&gt;=Imóveis!$Q$2,Dados!$A287&lt;=Imóveis!$T$2),Imóveis!$S$2-(DATEDIF(Imóveis!$Q$2,Dados!$A287,"m")),)))*(Imóveis!$N$2/Imóveis!$S$2)))*Imóveis!$P$2))))*IF(AND(Imóveis!$E$2&gt;0,Dados!$A287&gt;Imóveis!$E$2),0,1)</f>
        <v>0</v>
      </c>
      <c r="J287" s="18">
        <f>IF(Imóveis!$F$3="PRICE",IF(AND(Dados!$A287&gt;=Imóveis!$Q$3,Dados!$A287&lt;=Imóveis!$T$3),Imóveis!$U$3,0),IF((IF(AND(Dados!$A287&gt;=Imóveis!$Q$3,Dados!$A287&lt;=Imóveis!$T$3),Imóveis!$S$3-(DATEDIF(Imóveis!$Q$3,Dados!$A287,"m")),0))=0,0,((Imóveis!$N$3/Imóveis!$S$3)+((Imóveis!$N$3-((Imóveis!$S$3-(IF(AND(Dados!$A287&gt;=Imóveis!$Q$3,Dados!$A287&lt;=Imóveis!$T$3),Imóveis!$S$3-(DATEDIF(Imóveis!$Q$3,Dados!$A287,"m")),)))*(Imóveis!$N$3/Imóveis!$S$3)))*Imóveis!$P$3))))*IF(AND(Imóveis!$E$3&gt;0,Dados!$A287&gt;Imóveis!$E$3),0,1)</f>
        <v>0</v>
      </c>
      <c r="K287" s="18">
        <f>IF(Imóveis!$F$4="PRICE",IF(AND(Dados!$A287&gt;=Imóveis!$Q$4,Dados!$A287&lt;=Imóveis!$T$4),Imóveis!$U$4,0),IF((IF(AND(Dados!$A287&gt;=Imóveis!$Q$4,Dados!$A287&lt;=Imóveis!$T$4),Imóveis!$S$4-(DATEDIF(Imóveis!$Q$4,Dados!$A287,"m")),0))=0,0,((Imóveis!$N$4/Imóveis!$S$4)+((Imóveis!$N$4-((Imóveis!$S$4-(IF(AND(Dados!$A287&gt;=Imóveis!$Q$4,Dados!$A287&lt;=Imóveis!$T$4),Imóveis!$S$4-(DATEDIF(Imóveis!$Q$4,Dados!$A287,"m")),)))*(Imóveis!$N$4/Imóveis!$S$4)))*Imóveis!$P$4))))*IF(AND(Imóveis!$E$4&gt;0,Dados!$A287&gt;Imóveis!$E$4),0,1)</f>
        <v>0</v>
      </c>
      <c r="L287" s="18">
        <f>IF(Imóveis!$F$5="PRICE",IF(AND(Dados!$A287&gt;=Imóveis!$Q$5,Dados!$A287&lt;=Imóveis!$T$5),Imóveis!$U$5,0),IF((IF(AND(Dados!$A287&gt;=Imóveis!$Q$5,Dados!$A287&lt;=Imóveis!$T$5),Imóveis!$S$5-(DATEDIF(Imóveis!$Q$5,Dados!$A287,"m")),0))=0,0,((Imóveis!$N$5/Imóveis!$S$5)+((Imóveis!$N$5-((Imóveis!$S$5-(IF(AND(Dados!$A287 &gt;=Imóveis!$Q$5,Dados!$A287&lt;=Imóveis!$T$5),Imóveis!$S$5-(DATEDIF(Imóveis!$Q$5,Dados!$A287,"m")),)))*(Imóveis!$N$5/Imóveis!$S$5)))*Imóveis!$P$5))))*IF(AND(Imóveis!$E$5&gt;0,Dados!$A287&gt;Imóveis!$E$5),0,1)*Imóveis!$I$5</f>
        <v>0</v>
      </c>
      <c r="M287" s="18">
        <f>IF(Imóveis!$F$6="PRICE",IF(AND(Dados!$A287&gt;=Imóveis!$Q$6,Dados!$A287&lt;=Imóveis!$T$6),Imóveis!$U$6,0),IF((IF(AND(Dados!$A287&gt;=Imóveis!$Q$6,Dados!$A287&lt;=Imóveis!$T$6),Imóveis!$S$6-(DATEDIF(Imóveis!$Q$6,Dados!$A287,"m")),0))=0,0,((Imóveis!$N$6/Imóveis!$S$6)+((Imóveis!$N$6-((Imóveis!$S$6-(IF(AND(Dados!$A287&gt;=Imóveis!$Q$6,Dados!$A287&lt;=Imóveis!$T$6),Imóveis!$S$6-(DATEDIF(Imóveis!$Q$6,Dados!$A287,"m")),)))*(Imóveis!$N$6/Imóveis!$S$6)))*Imóveis!$P$6))))*IF(AND(Imóveis!$E$6&gt;0,Dados!$A287&gt;Imóveis!$E$6),0,1)*Imóveis!$I$6</f>
        <v>0</v>
      </c>
      <c r="N287" s="18">
        <f t="shared" si="37"/>
        <v>37000</v>
      </c>
      <c r="O287" s="18">
        <f>SUMIFS(Receitas!$F:$F,Receitas!$J:$J,"&lt;="&amp;$A287,Receitas!$L:$L,"&gt;="&amp;$A287,Receitas!$C:$C,O$1,Receitas!$M:$M,"Mensal")+SUMIFS(Receitas!$F:$F,Receitas!$J:$J,"&lt;="&amp;$A287,Receitas!$L:$L,"&gt;="&amp;$A287,Receitas!$C:$C,O$1,Receitas!$M:$M,$B287)</f>
        <v>50000</v>
      </c>
      <c r="P287" s="18">
        <f>SUMIFS(Receitas!$F:$F,Receitas!$J:$J,"&lt;="&amp;$A287,Receitas!$L:$L,"&gt;="&amp;$A287,Receitas!$C:$C,P$1,Receitas!$M:$M,"Mensal")+SUMIFS(Receitas!$F:$F,Receitas!$J:$J,"&lt;="&amp;$A287,Receitas!$L:$L,"&gt;="&amp;$A287,Receitas!$C:$C,P$1,Receitas!$M:$M,$B287)</f>
        <v>20000</v>
      </c>
      <c r="Q287" s="18">
        <f>SUMIFS(Receitas!$F:$F,Receitas!$J:$J,"&lt;="&amp;$A287,Receitas!$L:$L,"&gt;="&amp;$A287,Receitas!$C:$C,Q$1,Receitas!$M:$M,"Mensal")+SUMIFS(Receitas!$F:$F,Receitas!$J:$J,"&lt;="&amp;$A287,Receitas!$L:$L,"&gt;="&amp;$A287,Receitas!$C:$C,Q$1,Receitas!$M:$M,$B287)</f>
        <v>0</v>
      </c>
      <c r="R287" s="18" cm="1">
        <f t="array" ref="R287">(IF(AND(Membros!$F$2="Sim",A287&lt;=MAX(Membros!$E$2:$E$5)),Membros!K$2,IF(AND(A287&gt;=Membros!J$2,A287&lt;=MAX(Membros!$E$2:$E$5)),Membros!K$2,0))+IF(AND(Membros!$F$3="Sim",A287&lt;=MAX(Membros!$E$2:$E$5)),Membros!K$3,IF(AND(A287&gt;=Membros!J$3,A287&lt;=MAX(Membros!$E$2:$E$5)),Membros!K$3,0)))*IF(AND(COUNTIFS(Tabela3[Tipo],"Provedor",Tabela3[Simulação Seguro],"Sim")=2,A287&gt;=MAX(IF(Tabela3[Tipo]="Dependente",Tabela3[Expectativa de Vida (Data)]))),0,1)</f>
        <v>0</v>
      </c>
      <c r="S287" s="18">
        <f t="shared" si="38"/>
        <v>70000</v>
      </c>
      <c r="U287" s="18">
        <f t="shared" ca="1" si="41"/>
        <v>16727583.672467645</v>
      </c>
      <c r="V287" s="18">
        <f>SUMIF(Imóveis!E:E,Dados!A:A,Imóveis!Z:Z)-SUMIF(Imóveis!E:E,Dados!A:A,Imóveis!Y:Y)</f>
        <v>0</v>
      </c>
      <c r="W287" s="18">
        <f>-SUMIF(Projetos!N:N,A287,Projetos!F:F)</f>
        <v>0</v>
      </c>
      <c r="X287" s="18">
        <f t="shared" si="35"/>
        <v>33000</v>
      </c>
      <c r="Y287" s="26">
        <f ca="1">(U287*((Indicadores_Economicos!D$2+1)^(1/12)-1))</f>
        <v>54761.756128618348</v>
      </c>
      <c r="Z287" s="18">
        <f t="shared" ca="1" si="39"/>
        <v>16815345.428596262</v>
      </c>
      <c r="AA287" s="18">
        <f ca="1">Auxiliar_Projetos!E287</f>
        <v>9.9251580181833376E-10</v>
      </c>
      <c r="AB287" s="18">
        <f ca="1">Auxiliar_Projetos!K287</f>
        <v>7.6347369370640985E-10</v>
      </c>
      <c r="AC287" s="18">
        <f ca="1">IF(Z287-AA287-AB287&gt;Investimentos!$C$14,Investimentos!$C$14,IF(Z287-AA287-AB287&lt;Investimentos!$C$14,Z287-AA287-AB287,0))</f>
        <v>300000</v>
      </c>
      <c r="AD287" s="18">
        <f t="shared" ca="1" si="40"/>
        <v>16515345.428596262</v>
      </c>
      <c r="AE287" s="18"/>
    </row>
    <row r="288" spans="1:31" x14ac:dyDescent="0.2">
      <c r="A288" s="4">
        <v>54363</v>
      </c>
      <c r="B288" s="5" t="str">
        <f t="shared" si="36"/>
        <v>novembro</v>
      </c>
      <c r="C288" s="5" t="str">
        <f t="shared" si="42"/>
        <v>2048</v>
      </c>
      <c r="D288" s="5">
        <f>SUMIFS(Despesas!$F:$F,Despesas!$J:$J,"&lt;="&amp;$A288,Despesas!$L:$L,"&gt;="&amp;$A288,Despesas!$C:$C,D$1,Despesas!$M:$M,"Mensal")+SUMIFS(Despesas!$F:$F,Despesas!$J:$J,"&lt;="&amp;$A288,Despesas!$L:$L,"&gt;="&amp;$A288,Despesas!$C:$C,D$1,Despesas!$M:$M,$B288)</f>
        <v>23000</v>
      </c>
      <c r="E288" s="18">
        <f>SUMIFS(Despesas!$F:$F,Despesas!$J:$J,"&lt;="&amp;$A288,Despesas!$L:$L,"&gt;="&amp;$A288,Despesas!$C:$C,E$1,Despesas!$M:$M,"Mensal")+SUMIFS(Despesas!$F:$F,Despesas!$J:$J,"&lt;="&amp;$A288,Despesas!$L:$L,"&gt;="&amp;$A288,Despesas!$C:$C,E$1,Despesas!$M:$M,$B288)</f>
        <v>0</v>
      </c>
      <c r="F288" s="5">
        <f>SUMIFS(Despesas!$F:$F,Despesas!$J:$J,"&lt;="&amp;$A288,Despesas!$L:$L,"&gt;="&amp;$A288,Despesas!$C:$C,F$1,Despesas!$M:$M,"Mensal")+SUMIFS(Despesas!$F:$F,Despesas!$J:$J,"&lt;="&amp;$A288,Despesas!$L:$L,"&gt;="&amp;$A288,Despesas!$C:$C,F$1,Despesas!$M:$M,$B288)</f>
        <v>13000</v>
      </c>
      <c r="G288" s="5">
        <f>SUMIFS(Despesas!$F:$F,Despesas!$J:$J,"&lt;="&amp;$A288,Despesas!$L:$L,"&gt;="&amp;$A288,Despesas!$C:$C,G$1,Despesas!$M:$M,"Mensal")+SUMIFS(Despesas!$F:$F,Despesas!$J:$J,"&lt;="&amp;$A288,Despesas!$L:$L,"&gt;="&amp;$A288,Despesas!$C:$C,G$1,Despesas!$M:$M,$B288)</f>
        <v>0</v>
      </c>
      <c r="H288" s="18">
        <f>SUMIFS(Despesas!$F:$F,Despesas!$J:$J,"&lt;="&amp;$A288,Despesas!$L:$L,"&gt;="&amp;$A288,Despesas!$C:$C,H$1,Despesas!$M:$M,"Mensal")+SUMIFS(Despesas!$F:$F,Despesas!$J:$J,"&lt;="&amp;$A288,Despesas!$L:$L,"&gt;="&amp;$A288,Despesas!$C:$C,H$1,Despesas!$M:$M,$B288)</f>
        <v>1000</v>
      </c>
      <c r="I288" s="18">
        <f>IF(Imóveis!$F$2="PRICE",IF(AND(Dados!$A288&gt;=Imóveis!$Q$2,Dados!$A288&lt;=Imóveis!$T$2),Imóveis!$U$2,0),IF((IF(AND(Dados!$A288&gt;=Imóveis!$Q$2,Dados!$A288&lt;=Imóveis!$T$2),Imóveis!$S$2-(DATEDIF(Imóveis!$Q$2,Dados!$A288,"m")),0))=0,0,((Imóveis!$N$2/Imóveis!$S$2)+((Imóveis!$N$2-((Imóveis!$S$2-(IF(AND(Dados!$A288&gt;=Imóveis!$Q$2,Dados!$A288&lt;=Imóveis!$T$2),Imóveis!$S$2-(DATEDIF(Imóveis!$Q$2,Dados!$A288,"m")),)))*(Imóveis!$N$2/Imóveis!$S$2)))*Imóveis!$P$2))))*IF(AND(Imóveis!$E$2&gt;0,Dados!$A288&gt;Imóveis!$E$2),0,1)</f>
        <v>0</v>
      </c>
      <c r="J288" s="18">
        <f>IF(Imóveis!$F$3="PRICE",IF(AND(Dados!$A288&gt;=Imóveis!$Q$3,Dados!$A288&lt;=Imóveis!$T$3),Imóveis!$U$3,0),IF((IF(AND(Dados!$A288&gt;=Imóveis!$Q$3,Dados!$A288&lt;=Imóveis!$T$3),Imóveis!$S$3-(DATEDIF(Imóveis!$Q$3,Dados!$A288,"m")),0))=0,0,((Imóveis!$N$3/Imóveis!$S$3)+((Imóveis!$N$3-((Imóveis!$S$3-(IF(AND(Dados!$A288&gt;=Imóveis!$Q$3,Dados!$A288&lt;=Imóveis!$T$3),Imóveis!$S$3-(DATEDIF(Imóveis!$Q$3,Dados!$A288,"m")),)))*(Imóveis!$N$3/Imóveis!$S$3)))*Imóveis!$P$3))))*IF(AND(Imóveis!$E$3&gt;0,Dados!$A288&gt;Imóveis!$E$3),0,1)</f>
        <v>0</v>
      </c>
      <c r="K288" s="18">
        <f>IF(Imóveis!$F$4="PRICE",IF(AND(Dados!$A288&gt;=Imóveis!$Q$4,Dados!$A288&lt;=Imóveis!$T$4),Imóveis!$U$4,0),IF((IF(AND(Dados!$A288&gt;=Imóveis!$Q$4,Dados!$A288&lt;=Imóveis!$T$4),Imóveis!$S$4-(DATEDIF(Imóveis!$Q$4,Dados!$A288,"m")),0))=0,0,((Imóveis!$N$4/Imóveis!$S$4)+((Imóveis!$N$4-((Imóveis!$S$4-(IF(AND(Dados!$A288&gt;=Imóveis!$Q$4,Dados!$A288&lt;=Imóveis!$T$4),Imóveis!$S$4-(DATEDIF(Imóveis!$Q$4,Dados!$A288,"m")),)))*(Imóveis!$N$4/Imóveis!$S$4)))*Imóveis!$P$4))))*IF(AND(Imóveis!$E$4&gt;0,Dados!$A288&gt;Imóveis!$E$4),0,1)</f>
        <v>0</v>
      </c>
      <c r="L288" s="18">
        <f>IF(Imóveis!$F$5="PRICE",IF(AND(Dados!$A288&gt;=Imóveis!$Q$5,Dados!$A288&lt;=Imóveis!$T$5),Imóveis!$U$5,0),IF((IF(AND(Dados!$A288&gt;=Imóveis!$Q$5,Dados!$A288&lt;=Imóveis!$T$5),Imóveis!$S$5-(DATEDIF(Imóveis!$Q$5,Dados!$A288,"m")),0))=0,0,((Imóveis!$N$5/Imóveis!$S$5)+((Imóveis!$N$5-((Imóveis!$S$5-(IF(AND(Dados!$A288 &gt;=Imóveis!$Q$5,Dados!$A288&lt;=Imóveis!$T$5),Imóveis!$S$5-(DATEDIF(Imóveis!$Q$5,Dados!$A288,"m")),)))*(Imóveis!$N$5/Imóveis!$S$5)))*Imóveis!$P$5))))*IF(AND(Imóveis!$E$5&gt;0,Dados!$A288&gt;Imóveis!$E$5),0,1)*Imóveis!$I$5</f>
        <v>0</v>
      </c>
      <c r="M288" s="18">
        <f>IF(Imóveis!$F$6="PRICE",IF(AND(Dados!$A288&gt;=Imóveis!$Q$6,Dados!$A288&lt;=Imóveis!$T$6),Imóveis!$U$6,0),IF((IF(AND(Dados!$A288&gt;=Imóveis!$Q$6,Dados!$A288&lt;=Imóveis!$T$6),Imóveis!$S$6-(DATEDIF(Imóveis!$Q$6,Dados!$A288,"m")),0))=0,0,((Imóveis!$N$6/Imóveis!$S$6)+((Imóveis!$N$6-((Imóveis!$S$6-(IF(AND(Dados!$A288&gt;=Imóveis!$Q$6,Dados!$A288&lt;=Imóveis!$T$6),Imóveis!$S$6-(DATEDIF(Imóveis!$Q$6,Dados!$A288,"m")),)))*(Imóveis!$N$6/Imóveis!$S$6)))*Imóveis!$P$6))))*IF(AND(Imóveis!$E$6&gt;0,Dados!$A288&gt;Imóveis!$E$6),0,1)*Imóveis!$I$6</f>
        <v>0</v>
      </c>
      <c r="N288" s="18">
        <f t="shared" si="37"/>
        <v>37000</v>
      </c>
      <c r="O288" s="18">
        <f>SUMIFS(Receitas!$F:$F,Receitas!$J:$J,"&lt;="&amp;$A288,Receitas!$L:$L,"&gt;="&amp;$A288,Receitas!$C:$C,O$1,Receitas!$M:$M,"Mensal")+SUMIFS(Receitas!$F:$F,Receitas!$J:$J,"&lt;="&amp;$A288,Receitas!$L:$L,"&gt;="&amp;$A288,Receitas!$C:$C,O$1,Receitas!$M:$M,$B288)</f>
        <v>50000</v>
      </c>
      <c r="P288" s="18">
        <f>SUMIFS(Receitas!$F:$F,Receitas!$J:$J,"&lt;="&amp;$A288,Receitas!$L:$L,"&gt;="&amp;$A288,Receitas!$C:$C,P$1,Receitas!$M:$M,"Mensal")+SUMIFS(Receitas!$F:$F,Receitas!$J:$J,"&lt;="&amp;$A288,Receitas!$L:$L,"&gt;="&amp;$A288,Receitas!$C:$C,P$1,Receitas!$M:$M,$B288)</f>
        <v>86666.666666666672</v>
      </c>
      <c r="Q288" s="18">
        <f>SUMIFS(Receitas!$F:$F,Receitas!$J:$J,"&lt;="&amp;$A288,Receitas!$L:$L,"&gt;="&amp;$A288,Receitas!$C:$C,Q$1,Receitas!$M:$M,"Mensal")+SUMIFS(Receitas!$F:$F,Receitas!$J:$J,"&lt;="&amp;$A288,Receitas!$L:$L,"&gt;="&amp;$A288,Receitas!$C:$C,Q$1,Receitas!$M:$M,$B288)</f>
        <v>0</v>
      </c>
      <c r="R288" s="18" cm="1">
        <f t="array" ref="R288">(IF(AND(Membros!$F$2="Sim",A288&lt;=MAX(Membros!$E$2:$E$5)),Membros!K$2,IF(AND(A288&gt;=Membros!J$2,A288&lt;=MAX(Membros!$E$2:$E$5)),Membros!K$2,0))+IF(AND(Membros!$F$3="Sim",A288&lt;=MAX(Membros!$E$2:$E$5)),Membros!K$3,IF(AND(A288&gt;=Membros!J$3,A288&lt;=MAX(Membros!$E$2:$E$5)),Membros!K$3,0)))*IF(AND(COUNTIFS(Tabela3[Tipo],"Provedor",Tabela3[Simulação Seguro],"Sim")=2,A288&gt;=MAX(IF(Tabela3[Tipo]="Dependente",Tabela3[Expectativa de Vida (Data)]))),0,1)</f>
        <v>0</v>
      </c>
      <c r="S288" s="18">
        <f t="shared" si="38"/>
        <v>136666.66666666669</v>
      </c>
      <c r="U288" s="18">
        <f t="shared" ca="1" si="41"/>
        <v>16815345.428596262</v>
      </c>
      <c r="V288" s="18">
        <f>SUMIF(Imóveis!E:E,Dados!A:A,Imóveis!Z:Z)-SUMIF(Imóveis!E:E,Dados!A:A,Imóveis!Y:Y)</f>
        <v>0</v>
      </c>
      <c r="W288" s="18">
        <f>-SUMIF(Projetos!N:N,A288,Projetos!F:F)</f>
        <v>0</v>
      </c>
      <c r="X288" s="18">
        <f t="shared" si="35"/>
        <v>99666.666666666686</v>
      </c>
      <c r="Y288" s="26">
        <f ca="1">(U288*((Indicadores_Economicos!D$2+1)^(1/12)-1))</f>
        <v>55049.065281012241</v>
      </c>
      <c r="Z288" s="18">
        <f t="shared" ca="1" si="39"/>
        <v>16970061.160543941</v>
      </c>
      <c r="AA288" s="18">
        <f ca="1">Auxiliar_Projetos!E288</f>
        <v>9.9576504028320741E-10</v>
      </c>
      <c r="AB288" s="18">
        <f ca="1">Auxiliar_Projetos!K288</f>
        <v>7.6597310791015888E-10</v>
      </c>
      <c r="AC288" s="18">
        <f ca="1">IF(Z288-AA288-AB288&gt;Investimentos!$C$14,Investimentos!$C$14,IF(Z288-AA288-AB288&lt;Investimentos!$C$14,Z288-AA288-AB288,0))</f>
        <v>300000</v>
      </c>
      <c r="AD288" s="18">
        <f t="shared" ca="1" si="40"/>
        <v>16670061.160543941</v>
      </c>
      <c r="AE288" s="18"/>
    </row>
    <row r="289" spans="1:31" x14ac:dyDescent="0.2">
      <c r="A289" s="4">
        <v>54393</v>
      </c>
      <c r="B289" s="5" t="str">
        <f t="shared" si="36"/>
        <v>dezembro</v>
      </c>
      <c r="C289" s="5" t="str">
        <f t="shared" si="42"/>
        <v>2048</v>
      </c>
      <c r="D289" s="5">
        <f>SUMIFS(Despesas!$F:$F,Despesas!$J:$J,"&lt;="&amp;$A289,Despesas!$L:$L,"&gt;="&amp;$A289,Despesas!$C:$C,D$1,Despesas!$M:$M,"Mensal")+SUMIFS(Despesas!$F:$F,Despesas!$J:$J,"&lt;="&amp;$A289,Despesas!$L:$L,"&gt;="&amp;$A289,Despesas!$C:$C,D$1,Despesas!$M:$M,$B289)</f>
        <v>23000</v>
      </c>
      <c r="E289" s="18">
        <f>SUMIFS(Despesas!$F:$F,Despesas!$J:$J,"&lt;="&amp;$A289,Despesas!$L:$L,"&gt;="&amp;$A289,Despesas!$C:$C,E$1,Despesas!$M:$M,"Mensal")+SUMIFS(Despesas!$F:$F,Despesas!$J:$J,"&lt;="&amp;$A289,Despesas!$L:$L,"&gt;="&amp;$A289,Despesas!$C:$C,E$1,Despesas!$M:$M,$B289)</f>
        <v>0</v>
      </c>
      <c r="F289" s="5">
        <f>SUMIFS(Despesas!$F:$F,Despesas!$J:$J,"&lt;="&amp;$A289,Despesas!$L:$L,"&gt;="&amp;$A289,Despesas!$C:$C,F$1,Despesas!$M:$M,"Mensal")+SUMIFS(Despesas!$F:$F,Despesas!$J:$J,"&lt;="&amp;$A289,Despesas!$L:$L,"&gt;="&amp;$A289,Despesas!$C:$C,F$1,Despesas!$M:$M,$B289)</f>
        <v>13000</v>
      </c>
      <c r="G289" s="5">
        <f ca="1">SUMIFS(Despesas!$F:$F,Despesas!$J:$J,"&lt;="&amp;$A289,Despesas!$L:$L,"&gt;="&amp;$A289,Despesas!$C:$C,G$1,Despesas!$M:$M,"Mensal")+SUMIFS(Despesas!$F:$F,Despesas!$J:$J,"&lt;="&amp;$A289,Despesas!$L:$L,"&gt;="&amp;$A289,Despesas!$C:$C,G$1,Despesas!$M:$M,$B289)</f>
        <v>55757</v>
      </c>
      <c r="H289" s="18">
        <f>SUMIFS(Despesas!$F:$F,Despesas!$J:$J,"&lt;="&amp;$A289,Despesas!$L:$L,"&gt;="&amp;$A289,Despesas!$C:$C,H$1,Despesas!$M:$M,"Mensal")+SUMIFS(Despesas!$F:$F,Despesas!$J:$J,"&lt;="&amp;$A289,Despesas!$L:$L,"&gt;="&amp;$A289,Despesas!$C:$C,H$1,Despesas!$M:$M,$B289)</f>
        <v>1000</v>
      </c>
      <c r="I289" s="18">
        <f>IF(Imóveis!$F$2="PRICE",IF(AND(Dados!$A289&gt;=Imóveis!$Q$2,Dados!$A289&lt;=Imóveis!$T$2),Imóveis!$U$2,0),IF((IF(AND(Dados!$A289&gt;=Imóveis!$Q$2,Dados!$A289&lt;=Imóveis!$T$2),Imóveis!$S$2-(DATEDIF(Imóveis!$Q$2,Dados!$A289,"m")),0))=0,0,((Imóveis!$N$2/Imóveis!$S$2)+((Imóveis!$N$2-((Imóveis!$S$2-(IF(AND(Dados!$A289&gt;=Imóveis!$Q$2,Dados!$A289&lt;=Imóveis!$T$2),Imóveis!$S$2-(DATEDIF(Imóveis!$Q$2,Dados!$A289,"m")),)))*(Imóveis!$N$2/Imóveis!$S$2)))*Imóveis!$P$2))))*IF(AND(Imóveis!$E$2&gt;0,Dados!$A289&gt;Imóveis!$E$2),0,1)</f>
        <v>0</v>
      </c>
      <c r="J289" s="18">
        <f>IF(Imóveis!$F$3="PRICE",IF(AND(Dados!$A289&gt;=Imóveis!$Q$3,Dados!$A289&lt;=Imóveis!$T$3),Imóveis!$U$3,0),IF((IF(AND(Dados!$A289&gt;=Imóveis!$Q$3,Dados!$A289&lt;=Imóveis!$T$3),Imóveis!$S$3-(DATEDIF(Imóveis!$Q$3,Dados!$A289,"m")),0))=0,0,((Imóveis!$N$3/Imóveis!$S$3)+((Imóveis!$N$3-((Imóveis!$S$3-(IF(AND(Dados!$A289&gt;=Imóveis!$Q$3,Dados!$A289&lt;=Imóveis!$T$3),Imóveis!$S$3-(DATEDIF(Imóveis!$Q$3,Dados!$A289,"m")),)))*(Imóveis!$N$3/Imóveis!$S$3)))*Imóveis!$P$3))))*IF(AND(Imóveis!$E$3&gt;0,Dados!$A289&gt;Imóveis!$E$3),0,1)</f>
        <v>0</v>
      </c>
      <c r="K289" s="18">
        <f>IF(Imóveis!$F$4="PRICE",IF(AND(Dados!$A289&gt;=Imóveis!$Q$4,Dados!$A289&lt;=Imóveis!$T$4),Imóveis!$U$4,0),IF((IF(AND(Dados!$A289&gt;=Imóveis!$Q$4,Dados!$A289&lt;=Imóveis!$T$4),Imóveis!$S$4-(DATEDIF(Imóveis!$Q$4,Dados!$A289,"m")),0))=0,0,((Imóveis!$N$4/Imóveis!$S$4)+((Imóveis!$N$4-((Imóveis!$S$4-(IF(AND(Dados!$A289&gt;=Imóveis!$Q$4,Dados!$A289&lt;=Imóveis!$T$4),Imóveis!$S$4-(DATEDIF(Imóveis!$Q$4,Dados!$A289,"m")),)))*(Imóveis!$N$4/Imóveis!$S$4)))*Imóveis!$P$4))))*IF(AND(Imóveis!$E$4&gt;0,Dados!$A289&gt;Imóveis!$E$4),0,1)</f>
        <v>0</v>
      </c>
      <c r="L289" s="18">
        <f>IF(Imóveis!$F$5="PRICE",IF(AND(Dados!$A289&gt;=Imóveis!$Q$5,Dados!$A289&lt;=Imóveis!$T$5),Imóveis!$U$5,0),IF((IF(AND(Dados!$A289&gt;=Imóveis!$Q$5,Dados!$A289&lt;=Imóveis!$T$5),Imóveis!$S$5-(DATEDIF(Imóveis!$Q$5,Dados!$A289,"m")),0))=0,0,((Imóveis!$N$5/Imóveis!$S$5)+((Imóveis!$N$5-((Imóveis!$S$5-(IF(AND(Dados!$A289 &gt;=Imóveis!$Q$5,Dados!$A289&lt;=Imóveis!$T$5),Imóveis!$S$5-(DATEDIF(Imóveis!$Q$5,Dados!$A289,"m")),)))*(Imóveis!$N$5/Imóveis!$S$5)))*Imóveis!$P$5))))*IF(AND(Imóveis!$E$5&gt;0,Dados!$A289&gt;Imóveis!$E$5),0,1)*Imóveis!$I$5</f>
        <v>0</v>
      </c>
      <c r="M289" s="18">
        <f>IF(Imóveis!$F$6="PRICE",IF(AND(Dados!$A289&gt;=Imóveis!$Q$6,Dados!$A289&lt;=Imóveis!$T$6),Imóveis!$U$6,0),IF((IF(AND(Dados!$A289&gt;=Imóveis!$Q$6,Dados!$A289&lt;=Imóveis!$T$6),Imóveis!$S$6-(DATEDIF(Imóveis!$Q$6,Dados!$A289,"m")),0))=0,0,((Imóveis!$N$6/Imóveis!$S$6)+((Imóveis!$N$6-((Imóveis!$S$6-(IF(AND(Dados!$A289&gt;=Imóveis!$Q$6,Dados!$A289&lt;=Imóveis!$T$6),Imóveis!$S$6-(DATEDIF(Imóveis!$Q$6,Dados!$A289,"m")),)))*(Imóveis!$N$6/Imóveis!$S$6)))*Imóveis!$P$6))))*IF(AND(Imóveis!$E$6&gt;0,Dados!$A289&gt;Imóveis!$E$6),0,1)*Imóveis!$I$6</f>
        <v>0</v>
      </c>
      <c r="N289" s="18">
        <f t="shared" ca="1" si="37"/>
        <v>92757</v>
      </c>
      <c r="O289" s="18">
        <f>SUMIFS(Receitas!$F:$F,Receitas!$J:$J,"&lt;="&amp;$A289,Receitas!$L:$L,"&gt;="&amp;$A289,Receitas!$C:$C,O$1,Receitas!$M:$M,"Mensal")+SUMIFS(Receitas!$F:$F,Receitas!$J:$J,"&lt;="&amp;$A289,Receitas!$L:$L,"&gt;="&amp;$A289,Receitas!$C:$C,O$1,Receitas!$M:$M,$B289)</f>
        <v>50000</v>
      </c>
      <c r="P289" s="18">
        <f>SUMIFS(Receitas!$F:$F,Receitas!$J:$J,"&lt;="&amp;$A289,Receitas!$L:$L,"&gt;="&amp;$A289,Receitas!$C:$C,P$1,Receitas!$M:$M,"Mensal")+SUMIFS(Receitas!$F:$F,Receitas!$J:$J,"&lt;="&amp;$A289,Receitas!$L:$L,"&gt;="&amp;$A289,Receitas!$C:$C,P$1,Receitas!$M:$M,$B289)</f>
        <v>20000</v>
      </c>
      <c r="Q289" s="18">
        <f>SUMIFS(Receitas!$F:$F,Receitas!$J:$J,"&lt;="&amp;$A289,Receitas!$L:$L,"&gt;="&amp;$A289,Receitas!$C:$C,Q$1,Receitas!$M:$M,"Mensal")+SUMIFS(Receitas!$F:$F,Receitas!$J:$J,"&lt;="&amp;$A289,Receitas!$L:$L,"&gt;="&amp;$A289,Receitas!$C:$C,Q$1,Receitas!$M:$M,$B289)</f>
        <v>0</v>
      </c>
      <c r="R289" s="18" cm="1">
        <f t="array" ref="R289">(IF(AND(Membros!$F$2="Sim",A289&lt;=MAX(Membros!$E$2:$E$5)),Membros!K$2,IF(AND(A289&gt;=Membros!J$2,A289&lt;=MAX(Membros!$E$2:$E$5)),Membros!K$2,0))+IF(AND(Membros!$F$3="Sim",A289&lt;=MAX(Membros!$E$2:$E$5)),Membros!K$3,IF(AND(A289&gt;=Membros!J$3,A289&lt;=MAX(Membros!$E$2:$E$5)),Membros!K$3,0)))*IF(AND(COUNTIFS(Tabela3[Tipo],"Provedor",Tabela3[Simulação Seguro],"Sim")=2,A289&gt;=MAX(IF(Tabela3[Tipo]="Dependente",Tabela3[Expectativa de Vida (Data)]))),0,1)</f>
        <v>0</v>
      </c>
      <c r="S289" s="18">
        <f t="shared" si="38"/>
        <v>70000</v>
      </c>
      <c r="U289" s="18">
        <f t="shared" ca="1" si="41"/>
        <v>16970061.160543941</v>
      </c>
      <c r="V289" s="18">
        <f>SUMIF(Imóveis!E:E,Dados!A:A,Imóveis!Z:Z)-SUMIF(Imóveis!E:E,Dados!A:A,Imóveis!Y:Y)</f>
        <v>0</v>
      </c>
      <c r="W289" s="18">
        <f>-SUMIF(Projetos!N:N,A289,Projetos!F:F)</f>
        <v>0</v>
      </c>
      <c r="X289" s="18">
        <f t="shared" ca="1" si="35"/>
        <v>-22757</v>
      </c>
      <c r="Y289" s="26">
        <f ca="1">(U289*((Indicadores_Economicos!D$2+1)^(1/12)-1))</f>
        <v>55555.564327621381</v>
      </c>
      <c r="Z289" s="18">
        <f t="shared" ca="1" si="39"/>
        <v>17002859.724871561</v>
      </c>
      <c r="AA289" s="18">
        <f ca="1">Auxiliar_Projetos!E289</f>
        <v>9.9902491590930538E-10</v>
      </c>
      <c r="AB289" s="18">
        <f ca="1">Auxiliar_Projetos!K289</f>
        <v>7.6848070454561889E-10</v>
      </c>
      <c r="AC289" s="18">
        <f ca="1">IF(Z289-AA289-AB289&gt;Investimentos!$C$14,Investimentos!$C$14,IF(Z289-AA289-AB289&lt;Investimentos!$C$14,Z289-AA289-AB289,0))</f>
        <v>300000</v>
      </c>
      <c r="AD289" s="18">
        <f t="shared" ca="1" si="40"/>
        <v>16702859.724871561</v>
      </c>
      <c r="AE289" s="18"/>
    </row>
    <row r="290" spans="1:31" x14ac:dyDescent="0.2">
      <c r="A290" s="4">
        <v>54424</v>
      </c>
      <c r="B290" s="5" t="str">
        <f t="shared" si="36"/>
        <v>janeiro</v>
      </c>
      <c r="C290" s="5" t="str">
        <f t="shared" si="42"/>
        <v>2049</v>
      </c>
      <c r="D290" s="5">
        <f>SUMIFS(Despesas!$F:$F,Despesas!$J:$J,"&lt;="&amp;$A290,Despesas!$L:$L,"&gt;="&amp;$A290,Despesas!$C:$C,D$1,Despesas!$M:$M,"Mensal")+SUMIFS(Despesas!$F:$F,Despesas!$J:$J,"&lt;="&amp;$A290,Despesas!$L:$L,"&gt;="&amp;$A290,Despesas!$C:$C,D$1,Despesas!$M:$M,$B290)</f>
        <v>23000</v>
      </c>
      <c r="E290" s="18">
        <f>SUMIFS(Despesas!$F:$F,Despesas!$J:$J,"&lt;="&amp;$A290,Despesas!$L:$L,"&gt;="&amp;$A290,Despesas!$C:$C,E$1,Despesas!$M:$M,"Mensal")+SUMIFS(Despesas!$F:$F,Despesas!$J:$J,"&lt;="&amp;$A290,Despesas!$L:$L,"&gt;="&amp;$A290,Despesas!$C:$C,E$1,Despesas!$M:$M,$B290)</f>
        <v>0</v>
      </c>
      <c r="F290" s="5">
        <f>SUMIFS(Despesas!$F:$F,Despesas!$J:$J,"&lt;="&amp;$A290,Despesas!$L:$L,"&gt;="&amp;$A290,Despesas!$C:$C,F$1,Despesas!$M:$M,"Mensal")+SUMIFS(Despesas!$F:$F,Despesas!$J:$J,"&lt;="&amp;$A290,Despesas!$L:$L,"&gt;="&amp;$A290,Despesas!$C:$C,F$1,Despesas!$M:$M,$B290)</f>
        <v>13000</v>
      </c>
      <c r="G290" s="5">
        <f>SUMIFS(Despesas!$F:$F,Despesas!$J:$J,"&lt;="&amp;$A290,Despesas!$L:$L,"&gt;="&amp;$A290,Despesas!$C:$C,G$1,Despesas!$M:$M,"Mensal")+SUMIFS(Despesas!$F:$F,Despesas!$J:$J,"&lt;="&amp;$A290,Despesas!$L:$L,"&gt;="&amp;$A290,Despesas!$C:$C,G$1,Despesas!$M:$M,$B290)</f>
        <v>0</v>
      </c>
      <c r="H290" s="18">
        <f>SUMIFS(Despesas!$F:$F,Despesas!$J:$J,"&lt;="&amp;$A290,Despesas!$L:$L,"&gt;="&amp;$A290,Despesas!$C:$C,H$1,Despesas!$M:$M,"Mensal")+SUMIFS(Despesas!$F:$F,Despesas!$J:$J,"&lt;="&amp;$A290,Despesas!$L:$L,"&gt;="&amp;$A290,Despesas!$C:$C,H$1,Despesas!$M:$M,$B290)</f>
        <v>1000</v>
      </c>
      <c r="I290" s="18">
        <f>IF(Imóveis!$F$2="PRICE",IF(AND(Dados!$A290&gt;=Imóveis!$Q$2,Dados!$A290&lt;=Imóveis!$T$2),Imóveis!$U$2,0),IF((IF(AND(Dados!$A290&gt;=Imóveis!$Q$2,Dados!$A290&lt;=Imóveis!$T$2),Imóveis!$S$2-(DATEDIF(Imóveis!$Q$2,Dados!$A290,"m")),0))=0,0,((Imóveis!$N$2/Imóveis!$S$2)+((Imóveis!$N$2-((Imóveis!$S$2-(IF(AND(Dados!$A290&gt;=Imóveis!$Q$2,Dados!$A290&lt;=Imóveis!$T$2),Imóveis!$S$2-(DATEDIF(Imóveis!$Q$2,Dados!$A290,"m")),)))*(Imóveis!$N$2/Imóveis!$S$2)))*Imóveis!$P$2))))*IF(AND(Imóveis!$E$2&gt;0,Dados!$A290&gt;Imóveis!$E$2),0,1)</f>
        <v>0</v>
      </c>
      <c r="J290" s="18">
        <f>IF(Imóveis!$F$3="PRICE",IF(AND(Dados!$A290&gt;=Imóveis!$Q$3,Dados!$A290&lt;=Imóveis!$T$3),Imóveis!$U$3,0),IF((IF(AND(Dados!$A290&gt;=Imóveis!$Q$3,Dados!$A290&lt;=Imóveis!$T$3),Imóveis!$S$3-(DATEDIF(Imóveis!$Q$3,Dados!$A290,"m")),0))=0,0,((Imóveis!$N$3/Imóveis!$S$3)+((Imóveis!$N$3-((Imóveis!$S$3-(IF(AND(Dados!$A290&gt;=Imóveis!$Q$3,Dados!$A290&lt;=Imóveis!$T$3),Imóveis!$S$3-(DATEDIF(Imóveis!$Q$3,Dados!$A290,"m")),)))*(Imóveis!$N$3/Imóveis!$S$3)))*Imóveis!$P$3))))*IF(AND(Imóveis!$E$3&gt;0,Dados!$A290&gt;Imóveis!$E$3),0,1)</f>
        <v>0</v>
      </c>
      <c r="K290" s="18">
        <f>IF(Imóveis!$F$4="PRICE",IF(AND(Dados!$A290&gt;=Imóveis!$Q$4,Dados!$A290&lt;=Imóveis!$T$4),Imóveis!$U$4,0),IF((IF(AND(Dados!$A290&gt;=Imóveis!$Q$4,Dados!$A290&lt;=Imóveis!$T$4),Imóveis!$S$4-(DATEDIF(Imóveis!$Q$4,Dados!$A290,"m")),0))=0,0,((Imóveis!$N$4/Imóveis!$S$4)+((Imóveis!$N$4-((Imóveis!$S$4-(IF(AND(Dados!$A290&gt;=Imóveis!$Q$4,Dados!$A290&lt;=Imóveis!$T$4),Imóveis!$S$4-(DATEDIF(Imóveis!$Q$4,Dados!$A290,"m")),)))*(Imóveis!$N$4/Imóveis!$S$4)))*Imóveis!$P$4))))*IF(AND(Imóveis!$E$4&gt;0,Dados!$A290&gt;Imóveis!$E$4),0,1)</f>
        <v>0</v>
      </c>
      <c r="L290" s="18">
        <f>IF(Imóveis!$F$5="PRICE",IF(AND(Dados!$A290&gt;=Imóveis!$Q$5,Dados!$A290&lt;=Imóveis!$T$5),Imóveis!$U$5,0),IF((IF(AND(Dados!$A290&gt;=Imóveis!$Q$5,Dados!$A290&lt;=Imóveis!$T$5),Imóveis!$S$5-(DATEDIF(Imóveis!$Q$5,Dados!$A290,"m")),0))=0,0,((Imóveis!$N$5/Imóveis!$S$5)+((Imóveis!$N$5-((Imóveis!$S$5-(IF(AND(Dados!$A290 &gt;=Imóveis!$Q$5,Dados!$A290&lt;=Imóveis!$T$5),Imóveis!$S$5-(DATEDIF(Imóveis!$Q$5,Dados!$A290,"m")),)))*(Imóveis!$N$5/Imóveis!$S$5)))*Imóveis!$P$5))))*IF(AND(Imóveis!$E$5&gt;0,Dados!$A290&gt;Imóveis!$E$5),0,1)*Imóveis!$I$5</f>
        <v>0</v>
      </c>
      <c r="M290" s="18">
        <f>IF(Imóveis!$F$6="PRICE",IF(AND(Dados!$A290&gt;=Imóveis!$Q$6,Dados!$A290&lt;=Imóveis!$T$6),Imóveis!$U$6,0),IF((IF(AND(Dados!$A290&gt;=Imóveis!$Q$6,Dados!$A290&lt;=Imóveis!$T$6),Imóveis!$S$6-(DATEDIF(Imóveis!$Q$6,Dados!$A290,"m")),0))=0,0,((Imóveis!$N$6/Imóveis!$S$6)+((Imóveis!$N$6-((Imóveis!$S$6-(IF(AND(Dados!$A290&gt;=Imóveis!$Q$6,Dados!$A290&lt;=Imóveis!$T$6),Imóveis!$S$6-(DATEDIF(Imóveis!$Q$6,Dados!$A290,"m")),)))*(Imóveis!$N$6/Imóveis!$S$6)))*Imóveis!$P$6))))*IF(AND(Imóveis!$E$6&gt;0,Dados!$A290&gt;Imóveis!$E$6),0,1)*Imóveis!$I$6</f>
        <v>0</v>
      </c>
      <c r="N290" s="18">
        <f t="shared" si="37"/>
        <v>37000</v>
      </c>
      <c r="O290" s="18">
        <f>SUMIFS(Receitas!$F:$F,Receitas!$J:$J,"&lt;="&amp;$A290,Receitas!$L:$L,"&gt;="&amp;$A290,Receitas!$C:$C,O$1,Receitas!$M:$M,"Mensal")+SUMIFS(Receitas!$F:$F,Receitas!$J:$J,"&lt;="&amp;$A290,Receitas!$L:$L,"&gt;="&amp;$A290,Receitas!$C:$C,O$1,Receitas!$M:$M,$B290)</f>
        <v>50000</v>
      </c>
      <c r="P290" s="18">
        <f>SUMIFS(Receitas!$F:$F,Receitas!$J:$J,"&lt;="&amp;$A290,Receitas!$L:$L,"&gt;="&amp;$A290,Receitas!$C:$C,P$1,Receitas!$M:$M,"Mensal")+SUMIFS(Receitas!$F:$F,Receitas!$J:$J,"&lt;="&amp;$A290,Receitas!$L:$L,"&gt;="&amp;$A290,Receitas!$C:$C,P$1,Receitas!$M:$M,$B290)</f>
        <v>20000</v>
      </c>
      <c r="Q290" s="18">
        <f>SUMIFS(Receitas!$F:$F,Receitas!$J:$J,"&lt;="&amp;$A290,Receitas!$L:$L,"&gt;="&amp;$A290,Receitas!$C:$C,Q$1,Receitas!$M:$M,"Mensal")+SUMIFS(Receitas!$F:$F,Receitas!$J:$J,"&lt;="&amp;$A290,Receitas!$L:$L,"&gt;="&amp;$A290,Receitas!$C:$C,Q$1,Receitas!$M:$M,$B290)</f>
        <v>0</v>
      </c>
      <c r="R290" s="18" cm="1">
        <f t="array" ref="R290">(IF(AND(Membros!$F$2="Sim",A290&lt;=MAX(Membros!$E$2:$E$5)),Membros!K$2,IF(AND(A290&gt;=Membros!J$2,A290&lt;=MAX(Membros!$E$2:$E$5)),Membros!K$2,0))+IF(AND(Membros!$F$3="Sim",A290&lt;=MAX(Membros!$E$2:$E$5)),Membros!K$3,IF(AND(A290&gt;=Membros!J$3,A290&lt;=MAX(Membros!$E$2:$E$5)),Membros!K$3,0)))*IF(AND(COUNTIFS(Tabela3[Tipo],"Provedor",Tabela3[Simulação Seguro],"Sim")=2,A290&gt;=MAX(IF(Tabela3[Tipo]="Dependente",Tabela3[Expectativa de Vida (Data)]))),0,1)</f>
        <v>0</v>
      </c>
      <c r="S290" s="18">
        <f t="shared" si="38"/>
        <v>70000</v>
      </c>
      <c r="U290" s="18">
        <f t="shared" ca="1" si="41"/>
        <v>17002859.724871561</v>
      </c>
      <c r="V290" s="18">
        <f>SUMIF(Imóveis!E:E,Dados!A:A,Imóveis!Z:Z)-SUMIF(Imóveis!E:E,Dados!A:A,Imóveis!Y:Y)</f>
        <v>0</v>
      </c>
      <c r="W290" s="18">
        <f>-SUMIF(Projetos!N:N,A290,Projetos!F:F)</f>
        <v>0</v>
      </c>
      <c r="X290" s="18">
        <f t="shared" si="35"/>
        <v>33000</v>
      </c>
      <c r="Y290" s="26">
        <f ca="1">(U290*((Indicadores_Economicos!D$2+1)^(1/12)-1))</f>
        <v>55662.938292459716</v>
      </c>
      <c r="Z290" s="18">
        <f t="shared" ca="1" si="39"/>
        <v>17091522.66316402</v>
      </c>
      <c r="AA290" s="18">
        <f ca="1">Auxiliar_Projetos!E290</f>
        <v>1.0022954635199256E-9</v>
      </c>
      <c r="AB290" s="18">
        <f ca="1">Auxiliar_Projetos!K290</f>
        <v>7.7099651039994213E-10</v>
      </c>
      <c r="AC290" s="18">
        <f ca="1">IF(Z290-AA290-AB290&gt;Investimentos!$C$14,Investimentos!$C$14,IF(Z290-AA290-AB290&lt;Investimentos!$C$14,Z290-AA290-AB290,0))</f>
        <v>300000</v>
      </c>
      <c r="AD290" s="18">
        <f t="shared" ca="1" si="40"/>
        <v>16791522.66316402</v>
      </c>
      <c r="AE290" s="18"/>
    </row>
    <row r="291" spans="1:31" x14ac:dyDescent="0.2">
      <c r="A291" s="4">
        <v>54455</v>
      </c>
      <c r="B291" s="5" t="str">
        <f t="shared" si="36"/>
        <v>fevereiro</v>
      </c>
      <c r="C291" s="5" t="str">
        <f t="shared" si="42"/>
        <v>2049</v>
      </c>
      <c r="D291" s="5">
        <f>SUMIFS(Despesas!$F:$F,Despesas!$J:$J,"&lt;="&amp;$A291,Despesas!$L:$L,"&gt;="&amp;$A291,Despesas!$C:$C,D$1,Despesas!$M:$M,"Mensal")+SUMIFS(Despesas!$F:$F,Despesas!$J:$J,"&lt;="&amp;$A291,Despesas!$L:$L,"&gt;="&amp;$A291,Despesas!$C:$C,D$1,Despesas!$M:$M,$B291)</f>
        <v>23000</v>
      </c>
      <c r="E291" s="18">
        <f>SUMIFS(Despesas!$F:$F,Despesas!$J:$J,"&lt;="&amp;$A291,Despesas!$L:$L,"&gt;="&amp;$A291,Despesas!$C:$C,E$1,Despesas!$M:$M,"Mensal")+SUMIFS(Despesas!$F:$F,Despesas!$J:$J,"&lt;="&amp;$A291,Despesas!$L:$L,"&gt;="&amp;$A291,Despesas!$C:$C,E$1,Despesas!$M:$M,$B291)</f>
        <v>0</v>
      </c>
      <c r="F291" s="5">
        <f>SUMIFS(Despesas!$F:$F,Despesas!$J:$J,"&lt;="&amp;$A291,Despesas!$L:$L,"&gt;="&amp;$A291,Despesas!$C:$C,F$1,Despesas!$M:$M,"Mensal")+SUMIFS(Despesas!$F:$F,Despesas!$J:$J,"&lt;="&amp;$A291,Despesas!$L:$L,"&gt;="&amp;$A291,Despesas!$C:$C,F$1,Despesas!$M:$M,$B291)</f>
        <v>13000</v>
      </c>
      <c r="G291" s="5">
        <f>SUMIFS(Despesas!$F:$F,Despesas!$J:$J,"&lt;="&amp;$A291,Despesas!$L:$L,"&gt;="&amp;$A291,Despesas!$C:$C,G$1,Despesas!$M:$M,"Mensal")+SUMIFS(Despesas!$F:$F,Despesas!$J:$J,"&lt;="&amp;$A291,Despesas!$L:$L,"&gt;="&amp;$A291,Despesas!$C:$C,G$1,Despesas!$M:$M,$B291)</f>
        <v>0</v>
      </c>
      <c r="H291" s="18">
        <f>SUMIFS(Despesas!$F:$F,Despesas!$J:$J,"&lt;="&amp;$A291,Despesas!$L:$L,"&gt;="&amp;$A291,Despesas!$C:$C,H$1,Despesas!$M:$M,"Mensal")+SUMIFS(Despesas!$F:$F,Despesas!$J:$J,"&lt;="&amp;$A291,Despesas!$L:$L,"&gt;="&amp;$A291,Despesas!$C:$C,H$1,Despesas!$M:$M,$B291)</f>
        <v>2200</v>
      </c>
      <c r="I291" s="18">
        <f>IF(Imóveis!$F$2="PRICE",IF(AND(Dados!$A291&gt;=Imóveis!$Q$2,Dados!$A291&lt;=Imóveis!$T$2),Imóveis!$U$2,0),IF((IF(AND(Dados!$A291&gt;=Imóveis!$Q$2,Dados!$A291&lt;=Imóveis!$T$2),Imóveis!$S$2-(DATEDIF(Imóveis!$Q$2,Dados!$A291,"m")),0))=0,0,((Imóveis!$N$2/Imóveis!$S$2)+((Imóveis!$N$2-((Imóveis!$S$2-(IF(AND(Dados!$A291&gt;=Imóveis!$Q$2,Dados!$A291&lt;=Imóveis!$T$2),Imóveis!$S$2-(DATEDIF(Imóveis!$Q$2,Dados!$A291,"m")),)))*(Imóveis!$N$2/Imóveis!$S$2)))*Imóveis!$P$2))))*IF(AND(Imóveis!$E$2&gt;0,Dados!$A291&gt;Imóveis!$E$2),0,1)</f>
        <v>0</v>
      </c>
      <c r="J291" s="18">
        <f>IF(Imóveis!$F$3="PRICE",IF(AND(Dados!$A291&gt;=Imóveis!$Q$3,Dados!$A291&lt;=Imóveis!$T$3),Imóveis!$U$3,0),IF((IF(AND(Dados!$A291&gt;=Imóveis!$Q$3,Dados!$A291&lt;=Imóveis!$T$3),Imóveis!$S$3-(DATEDIF(Imóveis!$Q$3,Dados!$A291,"m")),0))=0,0,((Imóveis!$N$3/Imóveis!$S$3)+((Imóveis!$N$3-((Imóveis!$S$3-(IF(AND(Dados!$A291&gt;=Imóveis!$Q$3,Dados!$A291&lt;=Imóveis!$T$3),Imóveis!$S$3-(DATEDIF(Imóveis!$Q$3,Dados!$A291,"m")),)))*(Imóveis!$N$3/Imóveis!$S$3)))*Imóveis!$P$3))))*IF(AND(Imóveis!$E$3&gt;0,Dados!$A291&gt;Imóveis!$E$3),0,1)</f>
        <v>0</v>
      </c>
      <c r="K291" s="18">
        <f>IF(Imóveis!$F$4="PRICE",IF(AND(Dados!$A291&gt;=Imóveis!$Q$4,Dados!$A291&lt;=Imóveis!$T$4),Imóveis!$U$4,0),IF((IF(AND(Dados!$A291&gt;=Imóveis!$Q$4,Dados!$A291&lt;=Imóveis!$T$4),Imóveis!$S$4-(DATEDIF(Imóveis!$Q$4,Dados!$A291,"m")),0))=0,0,((Imóveis!$N$4/Imóveis!$S$4)+((Imóveis!$N$4-((Imóveis!$S$4-(IF(AND(Dados!$A291&gt;=Imóveis!$Q$4,Dados!$A291&lt;=Imóveis!$T$4),Imóveis!$S$4-(DATEDIF(Imóveis!$Q$4,Dados!$A291,"m")),)))*(Imóveis!$N$4/Imóveis!$S$4)))*Imóveis!$P$4))))*IF(AND(Imóveis!$E$4&gt;0,Dados!$A291&gt;Imóveis!$E$4),0,1)</f>
        <v>0</v>
      </c>
      <c r="L291" s="18">
        <f>IF(Imóveis!$F$5="PRICE",IF(AND(Dados!$A291&gt;=Imóveis!$Q$5,Dados!$A291&lt;=Imóveis!$T$5),Imóveis!$U$5,0),IF((IF(AND(Dados!$A291&gt;=Imóveis!$Q$5,Dados!$A291&lt;=Imóveis!$T$5),Imóveis!$S$5-(DATEDIF(Imóveis!$Q$5,Dados!$A291,"m")),0))=0,0,((Imóveis!$N$5/Imóveis!$S$5)+((Imóveis!$N$5-((Imóveis!$S$5-(IF(AND(Dados!$A291 &gt;=Imóveis!$Q$5,Dados!$A291&lt;=Imóveis!$T$5),Imóveis!$S$5-(DATEDIF(Imóveis!$Q$5,Dados!$A291,"m")),)))*(Imóveis!$N$5/Imóveis!$S$5)))*Imóveis!$P$5))))*IF(AND(Imóveis!$E$5&gt;0,Dados!$A291&gt;Imóveis!$E$5),0,1)*Imóveis!$I$5</f>
        <v>0</v>
      </c>
      <c r="M291" s="18">
        <f>IF(Imóveis!$F$6="PRICE",IF(AND(Dados!$A291&gt;=Imóveis!$Q$6,Dados!$A291&lt;=Imóveis!$T$6),Imóveis!$U$6,0),IF((IF(AND(Dados!$A291&gt;=Imóveis!$Q$6,Dados!$A291&lt;=Imóveis!$T$6),Imóveis!$S$6-(DATEDIF(Imóveis!$Q$6,Dados!$A291,"m")),0))=0,0,((Imóveis!$N$6/Imóveis!$S$6)+((Imóveis!$N$6-((Imóveis!$S$6-(IF(AND(Dados!$A291&gt;=Imóveis!$Q$6,Dados!$A291&lt;=Imóveis!$T$6),Imóveis!$S$6-(DATEDIF(Imóveis!$Q$6,Dados!$A291,"m")),)))*(Imóveis!$N$6/Imóveis!$S$6)))*Imóveis!$P$6))))*IF(AND(Imóveis!$E$6&gt;0,Dados!$A291&gt;Imóveis!$E$6),0,1)*Imóveis!$I$6</f>
        <v>0</v>
      </c>
      <c r="N291" s="18">
        <f t="shared" si="37"/>
        <v>38200</v>
      </c>
      <c r="O291" s="18">
        <f>SUMIFS(Receitas!$F:$F,Receitas!$J:$J,"&lt;="&amp;$A291,Receitas!$L:$L,"&gt;="&amp;$A291,Receitas!$C:$C,O$1,Receitas!$M:$M,"Mensal")+SUMIFS(Receitas!$F:$F,Receitas!$J:$J,"&lt;="&amp;$A291,Receitas!$L:$L,"&gt;="&amp;$A291,Receitas!$C:$C,O$1,Receitas!$M:$M,$B291)</f>
        <v>50000</v>
      </c>
      <c r="P291" s="18">
        <f>SUMIFS(Receitas!$F:$F,Receitas!$J:$J,"&lt;="&amp;$A291,Receitas!$L:$L,"&gt;="&amp;$A291,Receitas!$C:$C,P$1,Receitas!$M:$M,"Mensal")+SUMIFS(Receitas!$F:$F,Receitas!$J:$J,"&lt;="&amp;$A291,Receitas!$L:$L,"&gt;="&amp;$A291,Receitas!$C:$C,P$1,Receitas!$M:$M,$B291)</f>
        <v>20000</v>
      </c>
      <c r="Q291" s="18">
        <f>SUMIFS(Receitas!$F:$F,Receitas!$J:$J,"&lt;="&amp;$A291,Receitas!$L:$L,"&gt;="&amp;$A291,Receitas!$C:$C,Q$1,Receitas!$M:$M,"Mensal")+SUMIFS(Receitas!$F:$F,Receitas!$J:$J,"&lt;="&amp;$A291,Receitas!$L:$L,"&gt;="&amp;$A291,Receitas!$C:$C,Q$1,Receitas!$M:$M,$B291)</f>
        <v>0</v>
      </c>
      <c r="R291" s="18" cm="1">
        <f t="array" ref="R291">(IF(AND(Membros!$F$2="Sim",A291&lt;=MAX(Membros!$E$2:$E$5)),Membros!K$2,IF(AND(A291&gt;=Membros!J$2,A291&lt;=MAX(Membros!$E$2:$E$5)),Membros!K$2,0))+IF(AND(Membros!$F$3="Sim",A291&lt;=MAX(Membros!$E$2:$E$5)),Membros!K$3,IF(AND(A291&gt;=Membros!J$3,A291&lt;=MAX(Membros!$E$2:$E$5)),Membros!K$3,0)))*IF(AND(COUNTIFS(Tabela3[Tipo],"Provedor",Tabela3[Simulação Seguro],"Sim")=2,A291&gt;=MAX(IF(Tabela3[Tipo]="Dependente",Tabela3[Expectativa de Vida (Data)]))),0,1)</f>
        <v>0</v>
      </c>
      <c r="S291" s="18">
        <f t="shared" si="38"/>
        <v>70000</v>
      </c>
      <c r="U291" s="18">
        <f t="shared" ca="1" si="41"/>
        <v>17091522.66316402</v>
      </c>
      <c r="V291" s="18">
        <f>SUMIF(Imóveis!E:E,Dados!A:A,Imóveis!Z:Z)-SUMIF(Imóveis!E:E,Dados!A:A,Imóveis!Y:Y)</f>
        <v>0</v>
      </c>
      <c r="W291" s="18">
        <f>-SUMIF(Projetos!N:N,A291,Projetos!F:F)</f>
        <v>0</v>
      </c>
      <c r="X291" s="18">
        <f t="shared" si="35"/>
        <v>31800</v>
      </c>
      <c r="Y291" s="26">
        <f ca="1">(U291*((Indicadores_Economicos!D$2+1)^(1/12)-1))</f>
        <v>55953.197680754391</v>
      </c>
      <c r="Z291" s="18">
        <f t="shared" ca="1" si="39"/>
        <v>17179275.860844772</v>
      </c>
      <c r="AA291" s="18">
        <f ca="1">Auxiliar_Projetos!E291</f>
        <v>1.0055767180523683E-9</v>
      </c>
      <c r="AB291" s="18">
        <f ca="1">Auxiliar_Projetos!K291</f>
        <v>7.7352055234797492E-10</v>
      </c>
      <c r="AC291" s="18">
        <f ca="1">IF(Z291-AA291-AB291&gt;Investimentos!$C$14,Investimentos!$C$14,IF(Z291-AA291-AB291&lt;Investimentos!$C$14,Z291-AA291-AB291,0))</f>
        <v>300000</v>
      </c>
      <c r="AD291" s="18">
        <f t="shared" ca="1" si="40"/>
        <v>16879275.860844772</v>
      </c>
      <c r="AE291" s="18"/>
    </row>
    <row r="292" spans="1:31" x14ac:dyDescent="0.2">
      <c r="A292" s="4">
        <v>54483</v>
      </c>
      <c r="B292" s="5" t="str">
        <f t="shared" si="36"/>
        <v>março</v>
      </c>
      <c r="C292" s="5" t="str">
        <f t="shared" si="42"/>
        <v>2049</v>
      </c>
      <c r="D292" s="5">
        <f>SUMIFS(Despesas!$F:$F,Despesas!$J:$J,"&lt;="&amp;$A292,Despesas!$L:$L,"&gt;="&amp;$A292,Despesas!$C:$C,D$1,Despesas!$M:$M,"Mensal")+SUMIFS(Despesas!$F:$F,Despesas!$J:$J,"&lt;="&amp;$A292,Despesas!$L:$L,"&gt;="&amp;$A292,Despesas!$C:$C,D$1,Despesas!$M:$M,$B292)</f>
        <v>23000</v>
      </c>
      <c r="E292" s="18">
        <f>SUMIFS(Despesas!$F:$F,Despesas!$J:$J,"&lt;="&amp;$A292,Despesas!$L:$L,"&gt;="&amp;$A292,Despesas!$C:$C,E$1,Despesas!$M:$M,"Mensal")+SUMIFS(Despesas!$F:$F,Despesas!$J:$J,"&lt;="&amp;$A292,Despesas!$L:$L,"&gt;="&amp;$A292,Despesas!$C:$C,E$1,Despesas!$M:$M,$B292)</f>
        <v>0</v>
      </c>
      <c r="F292" s="5">
        <f>SUMIFS(Despesas!$F:$F,Despesas!$J:$J,"&lt;="&amp;$A292,Despesas!$L:$L,"&gt;="&amp;$A292,Despesas!$C:$C,F$1,Despesas!$M:$M,"Mensal")+SUMIFS(Despesas!$F:$F,Despesas!$J:$J,"&lt;="&amp;$A292,Despesas!$L:$L,"&gt;="&amp;$A292,Despesas!$C:$C,F$1,Despesas!$M:$M,$B292)</f>
        <v>13000</v>
      </c>
      <c r="G292" s="5">
        <f>SUMIFS(Despesas!$F:$F,Despesas!$J:$J,"&lt;="&amp;$A292,Despesas!$L:$L,"&gt;="&amp;$A292,Despesas!$C:$C,G$1,Despesas!$M:$M,"Mensal")+SUMIFS(Despesas!$F:$F,Despesas!$J:$J,"&lt;="&amp;$A292,Despesas!$L:$L,"&gt;="&amp;$A292,Despesas!$C:$C,G$1,Despesas!$M:$M,$B292)</f>
        <v>0</v>
      </c>
      <c r="H292" s="18">
        <f>SUMIFS(Despesas!$F:$F,Despesas!$J:$J,"&lt;="&amp;$A292,Despesas!$L:$L,"&gt;="&amp;$A292,Despesas!$C:$C,H$1,Despesas!$M:$M,"Mensal")+SUMIFS(Despesas!$F:$F,Despesas!$J:$J,"&lt;="&amp;$A292,Despesas!$L:$L,"&gt;="&amp;$A292,Despesas!$C:$C,H$1,Despesas!$M:$M,$B292)</f>
        <v>1000</v>
      </c>
      <c r="I292" s="18">
        <f>IF(Imóveis!$F$2="PRICE",IF(AND(Dados!$A292&gt;=Imóveis!$Q$2,Dados!$A292&lt;=Imóveis!$T$2),Imóveis!$U$2,0),IF((IF(AND(Dados!$A292&gt;=Imóveis!$Q$2,Dados!$A292&lt;=Imóveis!$T$2),Imóveis!$S$2-(DATEDIF(Imóveis!$Q$2,Dados!$A292,"m")),0))=0,0,((Imóveis!$N$2/Imóveis!$S$2)+((Imóveis!$N$2-((Imóveis!$S$2-(IF(AND(Dados!$A292&gt;=Imóveis!$Q$2,Dados!$A292&lt;=Imóveis!$T$2),Imóveis!$S$2-(DATEDIF(Imóveis!$Q$2,Dados!$A292,"m")),)))*(Imóveis!$N$2/Imóveis!$S$2)))*Imóveis!$P$2))))*IF(AND(Imóveis!$E$2&gt;0,Dados!$A292&gt;Imóveis!$E$2),0,1)</f>
        <v>0</v>
      </c>
      <c r="J292" s="18">
        <f>IF(Imóveis!$F$3="PRICE",IF(AND(Dados!$A292&gt;=Imóveis!$Q$3,Dados!$A292&lt;=Imóveis!$T$3),Imóveis!$U$3,0),IF((IF(AND(Dados!$A292&gt;=Imóveis!$Q$3,Dados!$A292&lt;=Imóveis!$T$3),Imóveis!$S$3-(DATEDIF(Imóveis!$Q$3,Dados!$A292,"m")),0))=0,0,((Imóveis!$N$3/Imóveis!$S$3)+((Imóveis!$N$3-((Imóveis!$S$3-(IF(AND(Dados!$A292&gt;=Imóveis!$Q$3,Dados!$A292&lt;=Imóveis!$T$3),Imóveis!$S$3-(DATEDIF(Imóveis!$Q$3,Dados!$A292,"m")),)))*(Imóveis!$N$3/Imóveis!$S$3)))*Imóveis!$P$3))))*IF(AND(Imóveis!$E$3&gt;0,Dados!$A292&gt;Imóveis!$E$3),0,1)</f>
        <v>0</v>
      </c>
      <c r="K292" s="18">
        <f>IF(Imóveis!$F$4="PRICE",IF(AND(Dados!$A292&gt;=Imóveis!$Q$4,Dados!$A292&lt;=Imóveis!$T$4),Imóveis!$U$4,0),IF((IF(AND(Dados!$A292&gt;=Imóveis!$Q$4,Dados!$A292&lt;=Imóveis!$T$4),Imóveis!$S$4-(DATEDIF(Imóveis!$Q$4,Dados!$A292,"m")),0))=0,0,((Imóveis!$N$4/Imóveis!$S$4)+((Imóveis!$N$4-((Imóveis!$S$4-(IF(AND(Dados!$A292&gt;=Imóveis!$Q$4,Dados!$A292&lt;=Imóveis!$T$4),Imóveis!$S$4-(DATEDIF(Imóveis!$Q$4,Dados!$A292,"m")),)))*(Imóveis!$N$4/Imóveis!$S$4)))*Imóveis!$P$4))))*IF(AND(Imóveis!$E$4&gt;0,Dados!$A292&gt;Imóveis!$E$4),0,1)</f>
        <v>0</v>
      </c>
      <c r="L292" s="18">
        <f>IF(Imóveis!$F$5="PRICE",IF(AND(Dados!$A292&gt;=Imóveis!$Q$5,Dados!$A292&lt;=Imóveis!$T$5),Imóveis!$U$5,0),IF((IF(AND(Dados!$A292&gt;=Imóveis!$Q$5,Dados!$A292&lt;=Imóveis!$T$5),Imóveis!$S$5-(DATEDIF(Imóveis!$Q$5,Dados!$A292,"m")),0))=0,0,((Imóveis!$N$5/Imóveis!$S$5)+((Imóveis!$N$5-((Imóveis!$S$5-(IF(AND(Dados!$A292 &gt;=Imóveis!$Q$5,Dados!$A292&lt;=Imóveis!$T$5),Imóveis!$S$5-(DATEDIF(Imóveis!$Q$5,Dados!$A292,"m")),)))*(Imóveis!$N$5/Imóveis!$S$5)))*Imóveis!$P$5))))*IF(AND(Imóveis!$E$5&gt;0,Dados!$A292&gt;Imóveis!$E$5),0,1)*Imóveis!$I$5</f>
        <v>0</v>
      </c>
      <c r="M292" s="18">
        <f>IF(Imóveis!$F$6="PRICE",IF(AND(Dados!$A292&gt;=Imóveis!$Q$6,Dados!$A292&lt;=Imóveis!$T$6),Imóveis!$U$6,0),IF((IF(AND(Dados!$A292&gt;=Imóveis!$Q$6,Dados!$A292&lt;=Imóveis!$T$6),Imóveis!$S$6-(DATEDIF(Imóveis!$Q$6,Dados!$A292,"m")),0))=0,0,((Imóveis!$N$6/Imóveis!$S$6)+((Imóveis!$N$6-((Imóveis!$S$6-(IF(AND(Dados!$A292&gt;=Imóveis!$Q$6,Dados!$A292&lt;=Imóveis!$T$6),Imóveis!$S$6-(DATEDIF(Imóveis!$Q$6,Dados!$A292,"m")),)))*(Imóveis!$N$6/Imóveis!$S$6)))*Imóveis!$P$6))))*IF(AND(Imóveis!$E$6&gt;0,Dados!$A292&gt;Imóveis!$E$6),0,1)*Imóveis!$I$6</f>
        <v>0</v>
      </c>
      <c r="N292" s="18">
        <f t="shared" si="37"/>
        <v>37000</v>
      </c>
      <c r="O292" s="18">
        <f>SUMIFS(Receitas!$F:$F,Receitas!$J:$J,"&lt;="&amp;$A292,Receitas!$L:$L,"&gt;="&amp;$A292,Receitas!$C:$C,O$1,Receitas!$M:$M,"Mensal")+SUMIFS(Receitas!$F:$F,Receitas!$J:$J,"&lt;="&amp;$A292,Receitas!$L:$L,"&gt;="&amp;$A292,Receitas!$C:$C,O$1,Receitas!$M:$M,$B292)</f>
        <v>50000</v>
      </c>
      <c r="P292" s="18">
        <f>SUMIFS(Receitas!$F:$F,Receitas!$J:$J,"&lt;="&amp;$A292,Receitas!$L:$L,"&gt;="&amp;$A292,Receitas!$C:$C,P$1,Receitas!$M:$M,"Mensal")+SUMIFS(Receitas!$F:$F,Receitas!$J:$J,"&lt;="&amp;$A292,Receitas!$L:$L,"&gt;="&amp;$A292,Receitas!$C:$C,P$1,Receitas!$M:$M,$B292)</f>
        <v>20000</v>
      </c>
      <c r="Q292" s="18">
        <f>SUMIFS(Receitas!$F:$F,Receitas!$J:$J,"&lt;="&amp;$A292,Receitas!$L:$L,"&gt;="&amp;$A292,Receitas!$C:$C,Q$1,Receitas!$M:$M,"Mensal")+SUMIFS(Receitas!$F:$F,Receitas!$J:$J,"&lt;="&amp;$A292,Receitas!$L:$L,"&gt;="&amp;$A292,Receitas!$C:$C,Q$1,Receitas!$M:$M,$B292)</f>
        <v>0</v>
      </c>
      <c r="R292" s="18" cm="1">
        <f t="array" ref="R292">(IF(AND(Membros!$F$2="Sim",A292&lt;=MAX(Membros!$E$2:$E$5)),Membros!K$2,IF(AND(A292&gt;=Membros!J$2,A292&lt;=MAX(Membros!$E$2:$E$5)),Membros!K$2,0))+IF(AND(Membros!$F$3="Sim",A292&lt;=MAX(Membros!$E$2:$E$5)),Membros!K$3,IF(AND(A292&gt;=Membros!J$3,A292&lt;=MAX(Membros!$E$2:$E$5)),Membros!K$3,0)))*IF(AND(COUNTIFS(Tabela3[Tipo],"Provedor",Tabela3[Simulação Seguro],"Sim")=2,A292&gt;=MAX(IF(Tabela3[Tipo]="Dependente",Tabela3[Expectativa de Vida (Data)]))),0,1)</f>
        <v>0</v>
      </c>
      <c r="S292" s="18">
        <f t="shared" si="38"/>
        <v>70000</v>
      </c>
      <c r="U292" s="18">
        <f t="shared" ca="1" si="41"/>
        <v>17179275.860844772</v>
      </c>
      <c r="V292" s="18">
        <f>SUMIF(Imóveis!E:E,Dados!A:A,Imóveis!Z:Z)-SUMIF(Imóveis!E:E,Dados!A:A,Imóveis!Y:Y)</f>
        <v>0</v>
      </c>
      <c r="W292" s="18">
        <f>-SUMIF(Projetos!N:N,A292,Projetos!F:F)</f>
        <v>0</v>
      </c>
      <c r="X292" s="18">
        <f t="shared" si="35"/>
        <v>33000</v>
      </c>
      <c r="Y292" s="26">
        <f ca="1">(U292*((Indicadores_Economicos!D$2+1)^(1/12)-1))</f>
        <v>56240.478815017035</v>
      </c>
      <c r="Z292" s="18">
        <f t="shared" ca="1" si="39"/>
        <v>17268516.339659788</v>
      </c>
      <c r="AA292" s="18">
        <f ca="1">Auxiliar_Projetos!E292</f>
        <v>1.0088687145583094E-9</v>
      </c>
      <c r="AB292" s="18">
        <f ca="1">Auxiliar_Projetos!K292</f>
        <v>7.7605285735254501E-10</v>
      </c>
      <c r="AC292" s="18">
        <f ca="1">IF(Z292-AA292-AB292&gt;Investimentos!$C$14,Investimentos!$C$14,IF(Z292-AA292-AB292&lt;Investimentos!$C$14,Z292-AA292-AB292,0))</f>
        <v>300000</v>
      </c>
      <c r="AD292" s="18">
        <f t="shared" ca="1" si="40"/>
        <v>16968516.339659788</v>
      </c>
      <c r="AE292" s="18"/>
    </row>
    <row r="293" spans="1:31" x14ac:dyDescent="0.2">
      <c r="A293" s="4">
        <v>54514</v>
      </c>
      <c r="B293" s="5" t="str">
        <f t="shared" si="36"/>
        <v>abril</v>
      </c>
      <c r="C293" s="5" t="str">
        <f t="shared" si="42"/>
        <v>2049</v>
      </c>
      <c r="D293" s="5">
        <f>SUMIFS(Despesas!$F:$F,Despesas!$J:$J,"&lt;="&amp;$A293,Despesas!$L:$L,"&gt;="&amp;$A293,Despesas!$C:$C,D$1,Despesas!$M:$M,"Mensal")+SUMIFS(Despesas!$F:$F,Despesas!$J:$J,"&lt;="&amp;$A293,Despesas!$L:$L,"&gt;="&amp;$A293,Despesas!$C:$C,D$1,Despesas!$M:$M,$B293)</f>
        <v>23000</v>
      </c>
      <c r="E293" s="18">
        <f>SUMIFS(Despesas!$F:$F,Despesas!$J:$J,"&lt;="&amp;$A293,Despesas!$L:$L,"&gt;="&amp;$A293,Despesas!$C:$C,E$1,Despesas!$M:$M,"Mensal")+SUMIFS(Despesas!$F:$F,Despesas!$J:$J,"&lt;="&amp;$A293,Despesas!$L:$L,"&gt;="&amp;$A293,Despesas!$C:$C,E$1,Despesas!$M:$M,$B293)</f>
        <v>0</v>
      </c>
      <c r="F293" s="5">
        <f>SUMIFS(Despesas!$F:$F,Despesas!$J:$J,"&lt;="&amp;$A293,Despesas!$L:$L,"&gt;="&amp;$A293,Despesas!$C:$C,F$1,Despesas!$M:$M,"Mensal")+SUMIFS(Despesas!$F:$F,Despesas!$J:$J,"&lt;="&amp;$A293,Despesas!$L:$L,"&gt;="&amp;$A293,Despesas!$C:$C,F$1,Despesas!$M:$M,$B293)</f>
        <v>13000</v>
      </c>
      <c r="G293" s="5">
        <f>SUMIFS(Despesas!$F:$F,Despesas!$J:$J,"&lt;="&amp;$A293,Despesas!$L:$L,"&gt;="&amp;$A293,Despesas!$C:$C,G$1,Despesas!$M:$M,"Mensal")+SUMIFS(Despesas!$F:$F,Despesas!$J:$J,"&lt;="&amp;$A293,Despesas!$L:$L,"&gt;="&amp;$A293,Despesas!$C:$C,G$1,Despesas!$M:$M,$B293)</f>
        <v>0</v>
      </c>
      <c r="H293" s="18">
        <f>SUMIFS(Despesas!$F:$F,Despesas!$J:$J,"&lt;="&amp;$A293,Despesas!$L:$L,"&gt;="&amp;$A293,Despesas!$C:$C,H$1,Despesas!$M:$M,"Mensal")+SUMIFS(Despesas!$F:$F,Despesas!$J:$J,"&lt;="&amp;$A293,Despesas!$L:$L,"&gt;="&amp;$A293,Despesas!$C:$C,H$1,Despesas!$M:$M,$B293)</f>
        <v>1000</v>
      </c>
      <c r="I293" s="18">
        <f>IF(Imóveis!$F$2="PRICE",IF(AND(Dados!$A293&gt;=Imóveis!$Q$2,Dados!$A293&lt;=Imóveis!$T$2),Imóveis!$U$2,0),IF((IF(AND(Dados!$A293&gt;=Imóveis!$Q$2,Dados!$A293&lt;=Imóveis!$T$2),Imóveis!$S$2-(DATEDIF(Imóveis!$Q$2,Dados!$A293,"m")),0))=0,0,((Imóveis!$N$2/Imóveis!$S$2)+((Imóveis!$N$2-((Imóveis!$S$2-(IF(AND(Dados!$A293&gt;=Imóveis!$Q$2,Dados!$A293&lt;=Imóveis!$T$2),Imóveis!$S$2-(DATEDIF(Imóveis!$Q$2,Dados!$A293,"m")),)))*(Imóveis!$N$2/Imóveis!$S$2)))*Imóveis!$P$2))))*IF(AND(Imóveis!$E$2&gt;0,Dados!$A293&gt;Imóveis!$E$2),0,1)</f>
        <v>0</v>
      </c>
      <c r="J293" s="18">
        <f>IF(Imóveis!$F$3="PRICE",IF(AND(Dados!$A293&gt;=Imóveis!$Q$3,Dados!$A293&lt;=Imóveis!$T$3),Imóveis!$U$3,0),IF((IF(AND(Dados!$A293&gt;=Imóveis!$Q$3,Dados!$A293&lt;=Imóveis!$T$3),Imóveis!$S$3-(DATEDIF(Imóveis!$Q$3,Dados!$A293,"m")),0))=0,0,((Imóveis!$N$3/Imóveis!$S$3)+((Imóveis!$N$3-((Imóveis!$S$3-(IF(AND(Dados!$A293&gt;=Imóveis!$Q$3,Dados!$A293&lt;=Imóveis!$T$3),Imóveis!$S$3-(DATEDIF(Imóveis!$Q$3,Dados!$A293,"m")),)))*(Imóveis!$N$3/Imóveis!$S$3)))*Imóveis!$P$3))))*IF(AND(Imóveis!$E$3&gt;0,Dados!$A293&gt;Imóveis!$E$3),0,1)</f>
        <v>0</v>
      </c>
      <c r="K293" s="18">
        <f>IF(Imóveis!$F$4="PRICE",IF(AND(Dados!$A293&gt;=Imóveis!$Q$4,Dados!$A293&lt;=Imóveis!$T$4),Imóveis!$U$4,0),IF((IF(AND(Dados!$A293&gt;=Imóveis!$Q$4,Dados!$A293&lt;=Imóveis!$T$4),Imóveis!$S$4-(DATEDIF(Imóveis!$Q$4,Dados!$A293,"m")),0))=0,0,((Imóveis!$N$4/Imóveis!$S$4)+((Imóveis!$N$4-((Imóveis!$S$4-(IF(AND(Dados!$A293&gt;=Imóveis!$Q$4,Dados!$A293&lt;=Imóveis!$T$4),Imóveis!$S$4-(DATEDIF(Imóveis!$Q$4,Dados!$A293,"m")),)))*(Imóveis!$N$4/Imóveis!$S$4)))*Imóveis!$P$4))))*IF(AND(Imóveis!$E$4&gt;0,Dados!$A293&gt;Imóveis!$E$4),0,1)</f>
        <v>0</v>
      </c>
      <c r="L293" s="18">
        <f>IF(Imóveis!$F$5="PRICE",IF(AND(Dados!$A293&gt;=Imóveis!$Q$5,Dados!$A293&lt;=Imóveis!$T$5),Imóveis!$U$5,0),IF((IF(AND(Dados!$A293&gt;=Imóveis!$Q$5,Dados!$A293&lt;=Imóveis!$T$5),Imóveis!$S$5-(DATEDIF(Imóveis!$Q$5,Dados!$A293,"m")),0))=0,0,((Imóveis!$N$5/Imóveis!$S$5)+((Imóveis!$N$5-((Imóveis!$S$5-(IF(AND(Dados!$A293 &gt;=Imóveis!$Q$5,Dados!$A293&lt;=Imóveis!$T$5),Imóveis!$S$5-(DATEDIF(Imóveis!$Q$5,Dados!$A293,"m")),)))*(Imóveis!$N$5/Imóveis!$S$5)))*Imóveis!$P$5))))*IF(AND(Imóveis!$E$5&gt;0,Dados!$A293&gt;Imóveis!$E$5),0,1)*Imóveis!$I$5</f>
        <v>0</v>
      </c>
      <c r="M293" s="18">
        <f>IF(Imóveis!$F$6="PRICE",IF(AND(Dados!$A293&gt;=Imóveis!$Q$6,Dados!$A293&lt;=Imóveis!$T$6),Imóveis!$U$6,0),IF((IF(AND(Dados!$A293&gt;=Imóveis!$Q$6,Dados!$A293&lt;=Imóveis!$T$6),Imóveis!$S$6-(DATEDIF(Imóveis!$Q$6,Dados!$A293,"m")),0))=0,0,((Imóveis!$N$6/Imóveis!$S$6)+((Imóveis!$N$6-((Imóveis!$S$6-(IF(AND(Dados!$A293&gt;=Imóveis!$Q$6,Dados!$A293&lt;=Imóveis!$T$6),Imóveis!$S$6-(DATEDIF(Imóveis!$Q$6,Dados!$A293,"m")),)))*(Imóveis!$N$6/Imóveis!$S$6)))*Imóveis!$P$6))))*IF(AND(Imóveis!$E$6&gt;0,Dados!$A293&gt;Imóveis!$E$6),0,1)*Imóveis!$I$6</f>
        <v>0</v>
      </c>
      <c r="N293" s="18">
        <f t="shared" si="37"/>
        <v>37000</v>
      </c>
      <c r="O293" s="18">
        <f>SUMIFS(Receitas!$F:$F,Receitas!$J:$J,"&lt;="&amp;$A293,Receitas!$L:$L,"&gt;="&amp;$A293,Receitas!$C:$C,O$1,Receitas!$M:$M,"Mensal")+SUMIFS(Receitas!$F:$F,Receitas!$J:$J,"&lt;="&amp;$A293,Receitas!$L:$L,"&gt;="&amp;$A293,Receitas!$C:$C,O$1,Receitas!$M:$M,$B293)</f>
        <v>50000</v>
      </c>
      <c r="P293" s="18">
        <f>SUMIFS(Receitas!$F:$F,Receitas!$J:$J,"&lt;="&amp;$A293,Receitas!$L:$L,"&gt;="&amp;$A293,Receitas!$C:$C,P$1,Receitas!$M:$M,"Mensal")+SUMIFS(Receitas!$F:$F,Receitas!$J:$J,"&lt;="&amp;$A293,Receitas!$L:$L,"&gt;="&amp;$A293,Receitas!$C:$C,P$1,Receitas!$M:$M,$B293)</f>
        <v>85000</v>
      </c>
      <c r="Q293" s="18">
        <f>SUMIFS(Receitas!$F:$F,Receitas!$J:$J,"&lt;="&amp;$A293,Receitas!$L:$L,"&gt;="&amp;$A293,Receitas!$C:$C,Q$1,Receitas!$M:$M,"Mensal")+SUMIFS(Receitas!$F:$F,Receitas!$J:$J,"&lt;="&amp;$A293,Receitas!$L:$L,"&gt;="&amp;$A293,Receitas!$C:$C,Q$1,Receitas!$M:$M,$B293)</f>
        <v>0</v>
      </c>
      <c r="R293" s="18" cm="1">
        <f t="array" ref="R293">(IF(AND(Membros!$F$2="Sim",A293&lt;=MAX(Membros!$E$2:$E$5)),Membros!K$2,IF(AND(A293&gt;=Membros!J$2,A293&lt;=MAX(Membros!$E$2:$E$5)),Membros!K$2,0))+IF(AND(Membros!$F$3="Sim",A293&lt;=MAX(Membros!$E$2:$E$5)),Membros!K$3,IF(AND(A293&gt;=Membros!J$3,A293&lt;=MAX(Membros!$E$2:$E$5)),Membros!K$3,0)))*IF(AND(COUNTIFS(Tabela3[Tipo],"Provedor",Tabela3[Simulação Seguro],"Sim")=2,A293&gt;=MAX(IF(Tabela3[Tipo]="Dependente",Tabela3[Expectativa de Vida (Data)]))),0,1)</f>
        <v>0</v>
      </c>
      <c r="S293" s="18">
        <f t="shared" si="38"/>
        <v>135000</v>
      </c>
      <c r="U293" s="18">
        <f t="shared" ca="1" si="41"/>
        <v>17268516.339659788</v>
      </c>
      <c r="V293" s="18">
        <f>SUMIF(Imóveis!E:E,Dados!A:A,Imóveis!Z:Z)-SUMIF(Imóveis!E:E,Dados!A:A,Imóveis!Y:Y)</f>
        <v>0</v>
      </c>
      <c r="W293" s="18">
        <f>-SUMIF(Projetos!N:N,A293,Projetos!F:F)</f>
        <v>0</v>
      </c>
      <c r="X293" s="18">
        <f t="shared" si="35"/>
        <v>98000</v>
      </c>
      <c r="Y293" s="26">
        <f ca="1">(U293*((Indicadores_Economicos!D$2+1)^(1/12)-1))</f>
        <v>56532.628920696232</v>
      </c>
      <c r="Z293" s="18">
        <f t="shared" ca="1" si="39"/>
        <v>17423048.968580484</v>
      </c>
      <c r="AA293" s="18">
        <f ca="1">Auxiliar_Projetos!E293</f>
        <v>1.0121714882041748E-9</v>
      </c>
      <c r="AB293" s="18">
        <f ca="1">Auxiliar_Projetos!K293</f>
        <v>7.785934524647492E-10</v>
      </c>
      <c r="AC293" s="18">
        <f ca="1">IF(Z293-AA293-AB293&gt;Investimentos!$C$14,Investimentos!$C$14,IF(Z293-AA293-AB293&lt;Investimentos!$C$14,Z293-AA293-AB293,0))</f>
        <v>300000</v>
      </c>
      <c r="AD293" s="18">
        <f t="shared" ca="1" si="40"/>
        <v>17123048.968580484</v>
      </c>
      <c r="AE293" s="18"/>
    </row>
    <row r="294" spans="1:31" x14ac:dyDescent="0.2">
      <c r="A294" s="4">
        <v>54544</v>
      </c>
      <c r="B294" s="5" t="str">
        <f t="shared" si="36"/>
        <v>maio</v>
      </c>
      <c r="C294" s="5" t="str">
        <f t="shared" si="42"/>
        <v>2049</v>
      </c>
      <c r="D294" s="5">
        <f>SUMIFS(Despesas!$F:$F,Despesas!$J:$J,"&lt;="&amp;$A294,Despesas!$L:$L,"&gt;="&amp;$A294,Despesas!$C:$C,D$1,Despesas!$M:$M,"Mensal")+SUMIFS(Despesas!$F:$F,Despesas!$J:$J,"&lt;="&amp;$A294,Despesas!$L:$L,"&gt;="&amp;$A294,Despesas!$C:$C,D$1,Despesas!$M:$M,$B294)</f>
        <v>23000</v>
      </c>
      <c r="E294" s="18">
        <f>SUMIFS(Despesas!$F:$F,Despesas!$J:$J,"&lt;="&amp;$A294,Despesas!$L:$L,"&gt;="&amp;$A294,Despesas!$C:$C,E$1,Despesas!$M:$M,"Mensal")+SUMIFS(Despesas!$F:$F,Despesas!$J:$J,"&lt;="&amp;$A294,Despesas!$L:$L,"&gt;="&amp;$A294,Despesas!$C:$C,E$1,Despesas!$M:$M,$B294)</f>
        <v>0</v>
      </c>
      <c r="F294" s="5">
        <f>SUMIFS(Despesas!$F:$F,Despesas!$J:$J,"&lt;="&amp;$A294,Despesas!$L:$L,"&gt;="&amp;$A294,Despesas!$C:$C,F$1,Despesas!$M:$M,"Mensal")+SUMIFS(Despesas!$F:$F,Despesas!$J:$J,"&lt;="&amp;$A294,Despesas!$L:$L,"&gt;="&amp;$A294,Despesas!$C:$C,F$1,Despesas!$M:$M,$B294)</f>
        <v>13000</v>
      </c>
      <c r="G294" s="5">
        <f>SUMIFS(Despesas!$F:$F,Despesas!$J:$J,"&lt;="&amp;$A294,Despesas!$L:$L,"&gt;="&amp;$A294,Despesas!$C:$C,G$1,Despesas!$M:$M,"Mensal")+SUMIFS(Despesas!$F:$F,Despesas!$J:$J,"&lt;="&amp;$A294,Despesas!$L:$L,"&gt;="&amp;$A294,Despesas!$C:$C,G$1,Despesas!$M:$M,$B294)</f>
        <v>0</v>
      </c>
      <c r="H294" s="18">
        <f>SUMIFS(Despesas!$F:$F,Despesas!$J:$J,"&lt;="&amp;$A294,Despesas!$L:$L,"&gt;="&amp;$A294,Despesas!$C:$C,H$1,Despesas!$M:$M,"Mensal")+SUMIFS(Despesas!$F:$F,Despesas!$J:$J,"&lt;="&amp;$A294,Despesas!$L:$L,"&gt;="&amp;$A294,Despesas!$C:$C,H$1,Despesas!$M:$M,$B294)</f>
        <v>1000</v>
      </c>
      <c r="I294" s="18">
        <f>IF(Imóveis!$F$2="PRICE",IF(AND(Dados!$A294&gt;=Imóveis!$Q$2,Dados!$A294&lt;=Imóveis!$T$2),Imóveis!$U$2,0),IF((IF(AND(Dados!$A294&gt;=Imóveis!$Q$2,Dados!$A294&lt;=Imóveis!$T$2),Imóveis!$S$2-(DATEDIF(Imóveis!$Q$2,Dados!$A294,"m")),0))=0,0,((Imóveis!$N$2/Imóveis!$S$2)+((Imóveis!$N$2-((Imóveis!$S$2-(IF(AND(Dados!$A294&gt;=Imóveis!$Q$2,Dados!$A294&lt;=Imóveis!$T$2),Imóveis!$S$2-(DATEDIF(Imóveis!$Q$2,Dados!$A294,"m")),)))*(Imóveis!$N$2/Imóveis!$S$2)))*Imóveis!$P$2))))*IF(AND(Imóveis!$E$2&gt;0,Dados!$A294&gt;Imóveis!$E$2),0,1)</f>
        <v>0</v>
      </c>
      <c r="J294" s="18">
        <f>IF(Imóveis!$F$3="PRICE",IF(AND(Dados!$A294&gt;=Imóveis!$Q$3,Dados!$A294&lt;=Imóveis!$T$3),Imóveis!$U$3,0),IF((IF(AND(Dados!$A294&gt;=Imóveis!$Q$3,Dados!$A294&lt;=Imóveis!$T$3),Imóveis!$S$3-(DATEDIF(Imóveis!$Q$3,Dados!$A294,"m")),0))=0,0,((Imóveis!$N$3/Imóveis!$S$3)+((Imóveis!$N$3-((Imóveis!$S$3-(IF(AND(Dados!$A294&gt;=Imóveis!$Q$3,Dados!$A294&lt;=Imóveis!$T$3),Imóveis!$S$3-(DATEDIF(Imóveis!$Q$3,Dados!$A294,"m")),)))*(Imóveis!$N$3/Imóveis!$S$3)))*Imóveis!$P$3))))*IF(AND(Imóveis!$E$3&gt;0,Dados!$A294&gt;Imóveis!$E$3),0,1)</f>
        <v>0</v>
      </c>
      <c r="K294" s="18">
        <f>IF(Imóveis!$F$4="PRICE",IF(AND(Dados!$A294&gt;=Imóveis!$Q$4,Dados!$A294&lt;=Imóveis!$T$4),Imóveis!$U$4,0),IF((IF(AND(Dados!$A294&gt;=Imóveis!$Q$4,Dados!$A294&lt;=Imóveis!$T$4),Imóveis!$S$4-(DATEDIF(Imóveis!$Q$4,Dados!$A294,"m")),0))=0,0,((Imóveis!$N$4/Imóveis!$S$4)+((Imóveis!$N$4-((Imóveis!$S$4-(IF(AND(Dados!$A294&gt;=Imóveis!$Q$4,Dados!$A294&lt;=Imóveis!$T$4),Imóveis!$S$4-(DATEDIF(Imóveis!$Q$4,Dados!$A294,"m")),)))*(Imóveis!$N$4/Imóveis!$S$4)))*Imóveis!$P$4))))*IF(AND(Imóveis!$E$4&gt;0,Dados!$A294&gt;Imóveis!$E$4),0,1)</f>
        <v>0</v>
      </c>
      <c r="L294" s="18">
        <f>IF(Imóveis!$F$5="PRICE",IF(AND(Dados!$A294&gt;=Imóveis!$Q$5,Dados!$A294&lt;=Imóveis!$T$5),Imóveis!$U$5,0),IF((IF(AND(Dados!$A294&gt;=Imóveis!$Q$5,Dados!$A294&lt;=Imóveis!$T$5),Imóveis!$S$5-(DATEDIF(Imóveis!$Q$5,Dados!$A294,"m")),0))=0,0,((Imóveis!$N$5/Imóveis!$S$5)+((Imóveis!$N$5-((Imóveis!$S$5-(IF(AND(Dados!$A294 &gt;=Imóveis!$Q$5,Dados!$A294&lt;=Imóveis!$T$5),Imóveis!$S$5-(DATEDIF(Imóveis!$Q$5,Dados!$A294,"m")),)))*(Imóveis!$N$5/Imóveis!$S$5)))*Imóveis!$P$5))))*IF(AND(Imóveis!$E$5&gt;0,Dados!$A294&gt;Imóveis!$E$5),0,1)*Imóveis!$I$5</f>
        <v>0</v>
      </c>
      <c r="M294" s="18">
        <f>IF(Imóveis!$F$6="PRICE",IF(AND(Dados!$A294&gt;=Imóveis!$Q$6,Dados!$A294&lt;=Imóveis!$T$6),Imóveis!$U$6,0),IF((IF(AND(Dados!$A294&gt;=Imóveis!$Q$6,Dados!$A294&lt;=Imóveis!$T$6),Imóveis!$S$6-(DATEDIF(Imóveis!$Q$6,Dados!$A294,"m")),0))=0,0,((Imóveis!$N$6/Imóveis!$S$6)+((Imóveis!$N$6-((Imóveis!$S$6-(IF(AND(Dados!$A294&gt;=Imóveis!$Q$6,Dados!$A294&lt;=Imóveis!$T$6),Imóveis!$S$6-(DATEDIF(Imóveis!$Q$6,Dados!$A294,"m")),)))*(Imóveis!$N$6/Imóveis!$S$6)))*Imóveis!$P$6))))*IF(AND(Imóveis!$E$6&gt;0,Dados!$A294&gt;Imóveis!$E$6),0,1)*Imóveis!$I$6</f>
        <v>0</v>
      </c>
      <c r="N294" s="18">
        <f t="shared" si="37"/>
        <v>37000</v>
      </c>
      <c r="O294" s="18">
        <f>SUMIFS(Receitas!$F:$F,Receitas!$J:$J,"&lt;="&amp;$A294,Receitas!$L:$L,"&gt;="&amp;$A294,Receitas!$C:$C,O$1,Receitas!$M:$M,"Mensal")+SUMIFS(Receitas!$F:$F,Receitas!$J:$J,"&lt;="&amp;$A294,Receitas!$L:$L,"&gt;="&amp;$A294,Receitas!$C:$C,O$1,Receitas!$M:$M,$B294)</f>
        <v>50000</v>
      </c>
      <c r="P294" s="18">
        <f>SUMIFS(Receitas!$F:$F,Receitas!$J:$J,"&lt;="&amp;$A294,Receitas!$L:$L,"&gt;="&amp;$A294,Receitas!$C:$C,P$1,Receitas!$M:$M,"Mensal")+SUMIFS(Receitas!$F:$F,Receitas!$J:$J,"&lt;="&amp;$A294,Receitas!$L:$L,"&gt;="&amp;$A294,Receitas!$C:$C,P$1,Receitas!$M:$M,$B294)</f>
        <v>20000</v>
      </c>
      <c r="Q294" s="18">
        <f>SUMIFS(Receitas!$F:$F,Receitas!$J:$J,"&lt;="&amp;$A294,Receitas!$L:$L,"&gt;="&amp;$A294,Receitas!$C:$C,Q$1,Receitas!$M:$M,"Mensal")+SUMIFS(Receitas!$F:$F,Receitas!$J:$J,"&lt;="&amp;$A294,Receitas!$L:$L,"&gt;="&amp;$A294,Receitas!$C:$C,Q$1,Receitas!$M:$M,$B294)</f>
        <v>0</v>
      </c>
      <c r="R294" s="18" cm="1">
        <f t="array" ref="R294">(IF(AND(Membros!$F$2="Sim",A294&lt;=MAX(Membros!$E$2:$E$5)),Membros!K$2,IF(AND(A294&gt;=Membros!J$2,A294&lt;=MAX(Membros!$E$2:$E$5)),Membros!K$2,0))+IF(AND(Membros!$F$3="Sim",A294&lt;=MAX(Membros!$E$2:$E$5)),Membros!K$3,IF(AND(A294&gt;=Membros!J$3,A294&lt;=MAX(Membros!$E$2:$E$5)),Membros!K$3,0)))*IF(AND(COUNTIFS(Tabela3[Tipo],"Provedor",Tabela3[Simulação Seguro],"Sim")=2,A294&gt;=MAX(IF(Tabela3[Tipo]="Dependente",Tabela3[Expectativa de Vida (Data)]))),0,1)</f>
        <v>0</v>
      </c>
      <c r="S294" s="18">
        <f t="shared" si="38"/>
        <v>70000</v>
      </c>
      <c r="U294" s="18">
        <f t="shared" ca="1" si="41"/>
        <v>17423048.968580484</v>
      </c>
      <c r="V294" s="18">
        <f>SUMIF(Imóveis!E:E,Dados!A:A,Imóveis!Z:Z)-SUMIF(Imóveis!E:E,Dados!A:A,Imóveis!Y:Y)</f>
        <v>0</v>
      </c>
      <c r="W294" s="18">
        <f>-SUMIF(Projetos!N:N,A294,Projetos!F:F)</f>
        <v>0</v>
      </c>
      <c r="X294" s="18">
        <f t="shared" si="35"/>
        <v>33000</v>
      </c>
      <c r="Y294" s="26">
        <f ca="1">(U294*((Indicadores_Economicos!D$2+1)^(1/12)-1))</f>
        <v>57038.528535641693</v>
      </c>
      <c r="Z294" s="18">
        <f t="shared" ca="1" si="39"/>
        <v>17513087.497116126</v>
      </c>
      <c r="AA294" s="18">
        <f ca="1">Auxiliar_Projetos!E294</f>
        <v>1.0154850742715164E-9</v>
      </c>
      <c r="AB294" s="18">
        <f ca="1">Auxiliar_Projetos!K294</f>
        <v>7.8114236482424267E-10</v>
      </c>
      <c r="AC294" s="18">
        <f ca="1">IF(Z294-AA294-AB294&gt;Investimentos!$C$14,Investimentos!$C$14,IF(Z294-AA294-AB294&lt;Investimentos!$C$14,Z294-AA294-AB294,0))</f>
        <v>300000</v>
      </c>
      <c r="AD294" s="18">
        <f t="shared" ca="1" si="40"/>
        <v>17213087.497116126</v>
      </c>
      <c r="AE294" s="18"/>
    </row>
    <row r="295" spans="1:31" x14ac:dyDescent="0.2">
      <c r="A295" s="4">
        <v>54575</v>
      </c>
      <c r="B295" s="5" t="str">
        <f t="shared" si="36"/>
        <v>junho</v>
      </c>
      <c r="C295" s="5" t="str">
        <f t="shared" si="42"/>
        <v>2049</v>
      </c>
      <c r="D295" s="5">
        <f>SUMIFS(Despesas!$F:$F,Despesas!$J:$J,"&lt;="&amp;$A295,Despesas!$L:$L,"&gt;="&amp;$A295,Despesas!$C:$C,D$1,Despesas!$M:$M,"Mensal")+SUMIFS(Despesas!$F:$F,Despesas!$J:$J,"&lt;="&amp;$A295,Despesas!$L:$L,"&gt;="&amp;$A295,Despesas!$C:$C,D$1,Despesas!$M:$M,$B295)</f>
        <v>23000</v>
      </c>
      <c r="E295" s="18">
        <f>SUMIFS(Despesas!$F:$F,Despesas!$J:$J,"&lt;="&amp;$A295,Despesas!$L:$L,"&gt;="&amp;$A295,Despesas!$C:$C,E$1,Despesas!$M:$M,"Mensal")+SUMIFS(Despesas!$F:$F,Despesas!$J:$J,"&lt;="&amp;$A295,Despesas!$L:$L,"&gt;="&amp;$A295,Despesas!$C:$C,E$1,Despesas!$M:$M,$B295)</f>
        <v>0</v>
      </c>
      <c r="F295" s="5">
        <f>SUMIFS(Despesas!$F:$F,Despesas!$J:$J,"&lt;="&amp;$A295,Despesas!$L:$L,"&gt;="&amp;$A295,Despesas!$C:$C,F$1,Despesas!$M:$M,"Mensal")+SUMIFS(Despesas!$F:$F,Despesas!$J:$J,"&lt;="&amp;$A295,Despesas!$L:$L,"&gt;="&amp;$A295,Despesas!$C:$C,F$1,Despesas!$M:$M,$B295)</f>
        <v>13000</v>
      </c>
      <c r="G295" s="5">
        <f>SUMIFS(Despesas!$F:$F,Despesas!$J:$J,"&lt;="&amp;$A295,Despesas!$L:$L,"&gt;="&amp;$A295,Despesas!$C:$C,G$1,Despesas!$M:$M,"Mensal")+SUMIFS(Despesas!$F:$F,Despesas!$J:$J,"&lt;="&amp;$A295,Despesas!$L:$L,"&gt;="&amp;$A295,Despesas!$C:$C,G$1,Despesas!$M:$M,$B295)</f>
        <v>0</v>
      </c>
      <c r="H295" s="18">
        <f>SUMIFS(Despesas!$F:$F,Despesas!$J:$J,"&lt;="&amp;$A295,Despesas!$L:$L,"&gt;="&amp;$A295,Despesas!$C:$C,H$1,Despesas!$M:$M,"Mensal")+SUMIFS(Despesas!$F:$F,Despesas!$J:$J,"&lt;="&amp;$A295,Despesas!$L:$L,"&gt;="&amp;$A295,Despesas!$C:$C,H$1,Despesas!$M:$M,$B295)</f>
        <v>1000</v>
      </c>
      <c r="I295" s="18">
        <f>IF(Imóveis!$F$2="PRICE",IF(AND(Dados!$A295&gt;=Imóveis!$Q$2,Dados!$A295&lt;=Imóveis!$T$2),Imóveis!$U$2,0),IF((IF(AND(Dados!$A295&gt;=Imóveis!$Q$2,Dados!$A295&lt;=Imóveis!$T$2),Imóveis!$S$2-(DATEDIF(Imóveis!$Q$2,Dados!$A295,"m")),0))=0,0,((Imóveis!$N$2/Imóveis!$S$2)+((Imóveis!$N$2-((Imóveis!$S$2-(IF(AND(Dados!$A295&gt;=Imóveis!$Q$2,Dados!$A295&lt;=Imóveis!$T$2),Imóveis!$S$2-(DATEDIF(Imóveis!$Q$2,Dados!$A295,"m")),)))*(Imóveis!$N$2/Imóveis!$S$2)))*Imóveis!$P$2))))*IF(AND(Imóveis!$E$2&gt;0,Dados!$A295&gt;Imóveis!$E$2),0,1)</f>
        <v>0</v>
      </c>
      <c r="J295" s="18">
        <f>IF(Imóveis!$F$3="PRICE",IF(AND(Dados!$A295&gt;=Imóveis!$Q$3,Dados!$A295&lt;=Imóveis!$T$3),Imóveis!$U$3,0),IF((IF(AND(Dados!$A295&gt;=Imóveis!$Q$3,Dados!$A295&lt;=Imóveis!$T$3),Imóveis!$S$3-(DATEDIF(Imóveis!$Q$3,Dados!$A295,"m")),0))=0,0,((Imóveis!$N$3/Imóveis!$S$3)+((Imóveis!$N$3-((Imóveis!$S$3-(IF(AND(Dados!$A295&gt;=Imóveis!$Q$3,Dados!$A295&lt;=Imóveis!$T$3),Imóveis!$S$3-(DATEDIF(Imóveis!$Q$3,Dados!$A295,"m")),)))*(Imóveis!$N$3/Imóveis!$S$3)))*Imóveis!$P$3))))*IF(AND(Imóveis!$E$3&gt;0,Dados!$A295&gt;Imóveis!$E$3),0,1)</f>
        <v>0</v>
      </c>
      <c r="K295" s="18">
        <f>IF(Imóveis!$F$4="PRICE",IF(AND(Dados!$A295&gt;=Imóveis!$Q$4,Dados!$A295&lt;=Imóveis!$T$4),Imóveis!$U$4,0),IF((IF(AND(Dados!$A295&gt;=Imóveis!$Q$4,Dados!$A295&lt;=Imóveis!$T$4),Imóveis!$S$4-(DATEDIF(Imóveis!$Q$4,Dados!$A295,"m")),0))=0,0,((Imóveis!$N$4/Imóveis!$S$4)+((Imóveis!$N$4-((Imóveis!$S$4-(IF(AND(Dados!$A295&gt;=Imóveis!$Q$4,Dados!$A295&lt;=Imóveis!$T$4),Imóveis!$S$4-(DATEDIF(Imóveis!$Q$4,Dados!$A295,"m")),)))*(Imóveis!$N$4/Imóveis!$S$4)))*Imóveis!$P$4))))*IF(AND(Imóveis!$E$4&gt;0,Dados!$A295&gt;Imóveis!$E$4),0,1)</f>
        <v>0</v>
      </c>
      <c r="L295" s="18">
        <f>IF(Imóveis!$F$5="PRICE",IF(AND(Dados!$A295&gt;=Imóveis!$Q$5,Dados!$A295&lt;=Imóveis!$T$5),Imóveis!$U$5,0),IF((IF(AND(Dados!$A295&gt;=Imóveis!$Q$5,Dados!$A295&lt;=Imóveis!$T$5),Imóveis!$S$5-(DATEDIF(Imóveis!$Q$5,Dados!$A295,"m")),0))=0,0,((Imóveis!$N$5/Imóveis!$S$5)+((Imóveis!$N$5-((Imóveis!$S$5-(IF(AND(Dados!$A295 &gt;=Imóveis!$Q$5,Dados!$A295&lt;=Imóveis!$T$5),Imóveis!$S$5-(DATEDIF(Imóveis!$Q$5,Dados!$A295,"m")),)))*(Imóveis!$N$5/Imóveis!$S$5)))*Imóveis!$P$5))))*IF(AND(Imóveis!$E$5&gt;0,Dados!$A295&gt;Imóveis!$E$5),0,1)*Imóveis!$I$5</f>
        <v>0</v>
      </c>
      <c r="M295" s="18">
        <f>IF(Imóveis!$F$6="PRICE",IF(AND(Dados!$A295&gt;=Imóveis!$Q$6,Dados!$A295&lt;=Imóveis!$T$6),Imóveis!$U$6,0),IF((IF(AND(Dados!$A295&gt;=Imóveis!$Q$6,Dados!$A295&lt;=Imóveis!$T$6),Imóveis!$S$6-(DATEDIF(Imóveis!$Q$6,Dados!$A295,"m")),0))=0,0,((Imóveis!$N$6/Imóveis!$S$6)+((Imóveis!$N$6-((Imóveis!$S$6-(IF(AND(Dados!$A295&gt;=Imóveis!$Q$6,Dados!$A295&lt;=Imóveis!$T$6),Imóveis!$S$6-(DATEDIF(Imóveis!$Q$6,Dados!$A295,"m")),)))*(Imóveis!$N$6/Imóveis!$S$6)))*Imóveis!$P$6))))*IF(AND(Imóveis!$E$6&gt;0,Dados!$A295&gt;Imóveis!$E$6),0,1)*Imóveis!$I$6</f>
        <v>0</v>
      </c>
      <c r="N295" s="18">
        <f t="shared" si="37"/>
        <v>37000</v>
      </c>
      <c r="O295" s="18">
        <f>SUMIFS(Receitas!$F:$F,Receitas!$J:$J,"&lt;="&amp;$A295,Receitas!$L:$L,"&gt;="&amp;$A295,Receitas!$C:$C,O$1,Receitas!$M:$M,"Mensal")+SUMIFS(Receitas!$F:$F,Receitas!$J:$J,"&lt;="&amp;$A295,Receitas!$L:$L,"&gt;="&amp;$A295,Receitas!$C:$C,O$1,Receitas!$M:$M,$B295)</f>
        <v>50000</v>
      </c>
      <c r="P295" s="18">
        <f>SUMIFS(Receitas!$F:$F,Receitas!$J:$J,"&lt;="&amp;$A295,Receitas!$L:$L,"&gt;="&amp;$A295,Receitas!$C:$C,P$1,Receitas!$M:$M,"Mensal")+SUMIFS(Receitas!$F:$F,Receitas!$J:$J,"&lt;="&amp;$A295,Receitas!$L:$L,"&gt;="&amp;$A295,Receitas!$C:$C,P$1,Receitas!$M:$M,$B295)</f>
        <v>20000</v>
      </c>
      <c r="Q295" s="18">
        <f>SUMIFS(Receitas!$F:$F,Receitas!$J:$J,"&lt;="&amp;$A295,Receitas!$L:$L,"&gt;="&amp;$A295,Receitas!$C:$C,Q$1,Receitas!$M:$M,"Mensal")+SUMIFS(Receitas!$F:$F,Receitas!$J:$J,"&lt;="&amp;$A295,Receitas!$L:$L,"&gt;="&amp;$A295,Receitas!$C:$C,Q$1,Receitas!$M:$M,$B295)</f>
        <v>0</v>
      </c>
      <c r="R295" s="18" cm="1">
        <f t="array" ref="R295">(IF(AND(Membros!$F$2="Sim",A295&lt;=MAX(Membros!$E$2:$E$5)),Membros!K$2,IF(AND(A295&gt;=Membros!J$2,A295&lt;=MAX(Membros!$E$2:$E$5)),Membros!K$2,0))+IF(AND(Membros!$F$3="Sim",A295&lt;=MAX(Membros!$E$2:$E$5)),Membros!K$3,IF(AND(A295&gt;=Membros!J$3,A295&lt;=MAX(Membros!$E$2:$E$5)),Membros!K$3,0)))*IF(AND(COUNTIFS(Tabela3[Tipo],"Provedor",Tabela3[Simulação Seguro],"Sim")=2,A295&gt;=MAX(IF(Tabela3[Tipo]="Dependente",Tabela3[Expectativa de Vida (Data)]))),0,1)</f>
        <v>0</v>
      </c>
      <c r="S295" s="18">
        <f t="shared" si="38"/>
        <v>70000</v>
      </c>
      <c r="U295" s="18">
        <f t="shared" ca="1" si="41"/>
        <v>17513087.497116126</v>
      </c>
      <c r="V295" s="18">
        <f>SUMIF(Imóveis!E:E,Dados!A:A,Imóveis!Z:Z)-SUMIF(Imóveis!E:E,Dados!A:A,Imóveis!Y:Y)</f>
        <v>0</v>
      </c>
      <c r="W295" s="18">
        <f>-SUMIF(Projetos!N:N,A295,Projetos!F:F)</f>
        <v>0</v>
      </c>
      <c r="X295" s="18">
        <f t="shared" si="35"/>
        <v>33000</v>
      </c>
      <c r="Y295" s="26">
        <f ca="1">(U295*((Indicadores_Economicos!D$2+1)^(1/12)-1))</f>
        <v>57333.291248439476</v>
      </c>
      <c r="Z295" s="18">
        <f t="shared" ca="1" si="39"/>
        <v>17603420.788364567</v>
      </c>
      <c r="AA295" s="18">
        <f ca="1">Auxiliar_Projetos!E295</f>
        <v>1.0188095081573882E-9</v>
      </c>
      <c r="AB295" s="18">
        <f ca="1">Auxiliar_Projetos!K295</f>
        <v>7.8369962165952878E-10</v>
      </c>
      <c r="AC295" s="18">
        <f ca="1">IF(Z295-AA295-AB295&gt;Investimentos!$C$14,Investimentos!$C$14,IF(Z295-AA295-AB295&lt;Investimentos!$C$14,Z295-AA295-AB295,0))</f>
        <v>300000</v>
      </c>
      <c r="AD295" s="18">
        <f t="shared" ca="1" si="40"/>
        <v>17303420.788364567</v>
      </c>
      <c r="AE295" s="18"/>
    </row>
    <row r="296" spans="1:31" x14ac:dyDescent="0.2">
      <c r="A296" s="4">
        <v>54605</v>
      </c>
      <c r="B296" s="5" t="str">
        <f t="shared" si="36"/>
        <v>julho</v>
      </c>
      <c r="C296" s="5" t="str">
        <f t="shared" si="42"/>
        <v>2049</v>
      </c>
      <c r="D296" s="5">
        <f>SUMIFS(Despesas!$F:$F,Despesas!$J:$J,"&lt;="&amp;$A296,Despesas!$L:$L,"&gt;="&amp;$A296,Despesas!$C:$C,D$1,Despesas!$M:$M,"Mensal")+SUMIFS(Despesas!$F:$F,Despesas!$J:$J,"&lt;="&amp;$A296,Despesas!$L:$L,"&gt;="&amp;$A296,Despesas!$C:$C,D$1,Despesas!$M:$M,$B296)</f>
        <v>23000</v>
      </c>
      <c r="E296" s="18">
        <f>SUMIFS(Despesas!$F:$F,Despesas!$J:$J,"&lt;="&amp;$A296,Despesas!$L:$L,"&gt;="&amp;$A296,Despesas!$C:$C,E$1,Despesas!$M:$M,"Mensal")+SUMIFS(Despesas!$F:$F,Despesas!$J:$J,"&lt;="&amp;$A296,Despesas!$L:$L,"&gt;="&amp;$A296,Despesas!$C:$C,E$1,Despesas!$M:$M,$B296)</f>
        <v>0</v>
      </c>
      <c r="F296" s="5">
        <f>SUMIFS(Despesas!$F:$F,Despesas!$J:$J,"&lt;="&amp;$A296,Despesas!$L:$L,"&gt;="&amp;$A296,Despesas!$C:$C,F$1,Despesas!$M:$M,"Mensal")+SUMIFS(Despesas!$F:$F,Despesas!$J:$J,"&lt;="&amp;$A296,Despesas!$L:$L,"&gt;="&amp;$A296,Despesas!$C:$C,F$1,Despesas!$M:$M,$B296)</f>
        <v>13000</v>
      </c>
      <c r="G296" s="5">
        <f ca="1">SUMIFS(Despesas!$F:$F,Despesas!$J:$J,"&lt;="&amp;$A296,Despesas!$L:$L,"&gt;="&amp;$A296,Despesas!$C:$C,G$1,Despesas!$M:$M,"Mensal")+SUMIFS(Despesas!$F:$F,Despesas!$J:$J,"&lt;="&amp;$A296,Despesas!$L:$L,"&gt;="&amp;$A296,Despesas!$C:$C,G$1,Despesas!$M:$M,$B296)</f>
        <v>55757</v>
      </c>
      <c r="H296" s="18">
        <f>SUMIFS(Despesas!$F:$F,Despesas!$J:$J,"&lt;="&amp;$A296,Despesas!$L:$L,"&gt;="&amp;$A296,Despesas!$C:$C,H$1,Despesas!$M:$M,"Mensal")+SUMIFS(Despesas!$F:$F,Despesas!$J:$J,"&lt;="&amp;$A296,Despesas!$L:$L,"&gt;="&amp;$A296,Despesas!$C:$C,H$1,Despesas!$M:$M,$B296)</f>
        <v>1000</v>
      </c>
      <c r="I296" s="18">
        <f>IF(Imóveis!$F$2="PRICE",IF(AND(Dados!$A296&gt;=Imóveis!$Q$2,Dados!$A296&lt;=Imóveis!$T$2),Imóveis!$U$2,0),IF((IF(AND(Dados!$A296&gt;=Imóveis!$Q$2,Dados!$A296&lt;=Imóveis!$T$2),Imóveis!$S$2-(DATEDIF(Imóveis!$Q$2,Dados!$A296,"m")),0))=0,0,((Imóveis!$N$2/Imóveis!$S$2)+((Imóveis!$N$2-((Imóveis!$S$2-(IF(AND(Dados!$A296&gt;=Imóveis!$Q$2,Dados!$A296&lt;=Imóveis!$T$2),Imóveis!$S$2-(DATEDIF(Imóveis!$Q$2,Dados!$A296,"m")),)))*(Imóveis!$N$2/Imóveis!$S$2)))*Imóveis!$P$2))))*IF(AND(Imóveis!$E$2&gt;0,Dados!$A296&gt;Imóveis!$E$2),0,1)</f>
        <v>0</v>
      </c>
      <c r="J296" s="18">
        <f>IF(Imóveis!$F$3="PRICE",IF(AND(Dados!$A296&gt;=Imóveis!$Q$3,Dados!$A296&lt;=Imóveis!$T$3),Imóveis!$U$3,0),IF((IF(AND(Dados!$A296&gt;=Imóveis!$Q$3,Dados!$A296&lt;=Imóveis!$T$3),Imóveis!$S$3-(DATEDIF(Imóveis!$Q$3,Dados!$A296,"m")),0))=0,0,((Imóveis!$N$3/Imóveis!$S$3)+((Imóveis!$N$3-((Imóveis!$S$3-(IF(AND(Dados!$A296&gt;=Imóveis!$Q$3,Dados!$A296&lt;=Imóveis!$T$3),Imóveis!$S$3-(DATEDIF(Imóveis!$Q$3,Dados!$A296,"m")),)))*(Imóveis!$N$3/Imóveis!$S$3)))*Imóveis!$P$3))))*IF(AND(Imóveis!$E$3&gt;0,Dados!$A296&gt;Imóveis!$E$3),0,1)</f>
        <v>0</v>
      </c>
      <c r="K296" s="18">
        <f>IF(Imóveis!$F$4="PRICE",IF(AND(Dados!$A296&gt;=Imóveis!$Q$4,Dados!$A296&lt;=Imóveis!$T$4),Imóveis!$U$4,0),IF((IF(AND(Dados!$A296&gt;=Imóveis!$Q$4,Dados!$A296&lt;=Imóveis!$T$4),Imóveis!$S$4-(DATEDIF(Imóveis!$Q$4,Dados!$A296,"m")),0))=0,0,((Imóveis!$N$4/Imóveis!$S$4)+((Imóveis!$N$4-((Imóveis!$S$4-(IF(AND(Dados!$A296&gt;=Imóveis!$Q$4,Dados!$A296&lt;=Imóveis!$T$4),Imóveis!$S$4-(DATEDIF(Imóveis!$Q$4,Dados!$A296,"m")),)))*(Imóveis!$N$4/Imóveis!$S$4)))*Imóveis!$P$4))))*IF(AND(Imóveis!$E$4&gt;0,Dados!$A296&gt;Imóveis!$E$4),0,1)</f>
        <v>0</v>
      </c>
      <c r="L296" s="18">
        <f>IF(Imóveis!$F$5="PRICE",IF(AND(Dados!$A296&gt;=Imóveis!$Q$5,Dados!$A296&lt;=Imóveis!$T$5),Imóveis!$U$5,0),IF((IF(AND(Dados!$A296&gt;=Imóveis!$Q$5,Dados!$A296&lt;=Imóveis!$T$5),Imóveis!$S$5-(DATEDIF(Imóveis!$Q$5,Dados!$A296,"m")),0))=0,0,((Imóveis!$N$5/Imóveis!$S$5)+((Imóveis!$N$5-((Imóveis!$S$5-(IF(AND(Dados!$A296 &gt;=Imóveis!$Q$5,Dados!$A296&lt;=Imóveis!$T$5),Imóveis!$S$5-(DATEDIF(Imóveis!$Q$5,Dados!$A296,"m")),)))*(Imóveis!$N$5/Imóveis!$S$5)))*Imóveis!$P$5))))*IF(AND(Imóveis!$E$5&gt;0,Dados!$A296&gt;Imóveis!$E$5),0,1)*Imóveis!$I$5</f>
        <v>0</v>
      </c>
      <c r="M296" s="18">
        <f>IF(Imóveis!$F$6="PRICE",IF(AND(Dados!$A296&gt;=Imóveis!$Q$6,Dados!$A296&lt;=Imóveis!$T$6),Imóveis!$U$6,0),IF((IF(AND(Dados!$A296&gt;=Imóveis!$Q$6,Dados!$A296&lt;=Imóveis!$T$6),Imóveis!$S$6-(DATEDIF(Imóveis!$Q$6,Dados!$A296,"m")),0))=0,0,((Imóveis!$N$6/Imóveis!$S$6)+((Imóveis!$N$6-((Imóveis!$S$6-(IF(AND(Dados!$A296&gt;=Imóveis!$Q$6,Dados!$A296&lt;=Imóveis!$T$6),Imóveis!$S$6-(DATEDIF(Imóveis!$Q$6,Dados!$A296,"m")),)))*(Imóveis!$N$6/Imóveis!$S$6)))*Imóveis!$P$6))))*IF(AND(Imóveis!$E$6&gt;0,Dados!$A296&gt;Imóveis!$E$6),0,1)*Imóveis!$I$6</f>
        <v>0</v>
      </c>
      <c r="N296" s="18">
        <f t="shared" ca="1" si="37"/>
        <v>92757</v>
      </c>
      <c r="O296" s="18">
        <f>SUMIFS(Receitas!$F:$F,Receitas!$J:$J,"&lt;="&amp;$A296,Receitas!$L:$L,"&gt;="&amp;$A296,Receitas!$C:$C,O$1,Receitas!$M:$M,"Mensal")+SUMIFS(Receitas!$F:$F,Receitas!$J:$J,"&lt;="&amp;$A296,Receitas!$L:$L,"&gt;="&amp;$A296,Receitas!$C:$C,O$1,Receitas!$M:$M,$B296)</f>
        <v>50000</v>
      </c>
      <c r="P296" s="18">
        <f>SUMIFS(Receitas!$F:$F,Receitas!$J:$J,"&lt;="&amp;$A296,Receitas!$L:$L,"&gt;="&amp;$A296,Receitas!$C:$C,P$1,Receitas!$M:$M,"Mensal")+SUMIFS(Receitas!$F:$F,Receitas!$J:$J,"&lt;="&amp;$A296,Receitas!$L:$L,"&gt;="&amp;$A296,Receitas!$C:$C,P$1,Receitas!$M:$M,$B296)</f>
        <v>20000</v>
      </c>
      <c r="Q296" s="18">
        <f>SUMIFS(Receitas!$F:$F,Receitas!$J:$J,"&lt;="&amp;$A296,Receitas!$L:$L,"&gt;="&amp;$A296,Receitas!$C:$C,Q$1,Receitas!$M:$M,"Mensal")+SUMIFS(Receitas!$F:$F,Receitas!$J:$J,"&lt;="&amp;$A296,Receitas!$L:$L,"&gt;="&amp;$A296,Receitas!$C:$C,Q$1,Receitas!$M:$M,$B296)</f>
        <v>0</v>
      </c>
      <c r="R296" s="18" cm="1">
        <f t="array" ref="R296">(IF(AND(Membros!$F$2="Sim",A296&lt;=MAX(Membros!$E$2:$E$5)),Membros!K$2,IF(AND(A296&gt;=Membros!J$2,A296&lt;=MAX(Membros!$E$2:$E$5)),Membros!K$2,0))+IF(AND(Membros!$F$3="Sim",A296&lt;=MAX(Membros!$E$2:$E$5)),Membros!K$3,IF(AND(A296&gt;=Membros!J$3,A296&lt;=MAX(Membros!$E$2:$E$5)),Membros!K$3,0)))*IF(AND(COUNTIFS(Tabela3[Tipo],"Provedor",Tabela3[Simulação Seguro],"Sim")=2,A296&gt;=MAX(IF(Tabela3[Tipo]="Dependente",Tabela3[Expectativa de Vida (Data)]))),0,1)</f>
        <v>0</v>
      </c>
      <c r="S296" s="18">
        <f t="shared" si="38"/>
        <v>70000</v>
      </c>
      <c r="U296" s="18">
        <f t="shared" ca="1" si="41"/>
        <v>17603420.788364567</v>
      </c>
      <c r="V296" s="18">
        <f>SUMIF(Imóveis!E:E,Dados!A:A,Imóveis!Z:Z)-SUMIF(Imóveis!E:E,Dados!A:A,Imóveis!Y:Y)</f>
        <v>0</v>
      </c>
      <c r="W296" s="18">
        <f>-SUMIF(Projetos!N:N,A296,Projetos!F:F)</f>
        <v>0</v>
      </c>
      <c r="X296" s="18">
        <f t="shared" ca="1" si="35"/>
        <v>-22757</v>
      </c>
      <c r="Y296" s="26">
        <f ca="1">(U296*((Indicadores_Economicos!D$2+1)^(1/12)-1))</f>
        <v>57629.018937656459</v>
      </c>
      <c r="Z296" s="18">
        <f t="shared" ca="1" si="39"/>
        <v>17638292.807302222</v>
      </c>
      <c r="AA296" s="18">
        <f ca="1">Auxiliar_Projetos!E296</f>
        <v>1.0221448253747255E-9</v>
      </c>
      <c r="AB296" s="18">
        <f ca="1">Auxiliar_Projetos!K296</f>
        <v>7.8626525028824985E-10</v>
      </c>
      <c r="AC296" s="18">
        <f ca="1">IF(Z296-AA296-AB296&gt;Investimentos!$C$14,Investimentos!$C$14,IF(Z296-AA296-AB296&lt;Investimentos!$C$14,Z296-AA296-AB296,0))</f>
        <v>300000</v>
      </c>
      <c r="AD296" s="18">
        <f t="shared" ca="1" si="40"/>
        <v>17338292.807302222</v>
      </c>
      <c r="AE296" s="18"/>
    </row>
    <row r="297" spans="1:31" x14ac:dyDescent="0.2">
      <c r="A297" s="4">
        <v>54636</v>
      </c>
      <c r="B297" s="5" t="str">
        <f t="shared" si="36"/>
        <v>agosto</v>
      </c>
      <c r="C297" s="5" t="str">
        <f t="shared" si="42"/>
        <v>2049</v>
      </c>
      <c r="D297" s="5">
        <f>SUMIFS(Despesas!$F:$F,Despesas!$J:$J,"&lt;="&amp;$A297,Despesas!$L:$L,"&gt;="&amp;$A297,Despesas!$C:$C,D$1,Despesas!$M:$M,"Mensal")+SUMIFS(Despesas!$F:$F,Despesas!$J:$J,"&lt;="&amp;$A297,Despesas!$L:$L,"&gt;="&amp;$A297,Despesas!$C:$C,D$1,Despesas!$M:$M,$B297)</f>
        <v>23000</v>
      </c>
      <c r="E297" s="18">
        <f>SUMIFS(Despesas!$F:$F,Despesas!$J:$J,"&lt;="&amp;$A297,Despesas!$L:$L,"&gt;="&amp;$A297,Despesas!$C:$C,E$1,Despesas!$M:$M,"Mensal")+SUMIFS(Despesas!$F:$F,Despesas!$J:$J,"&lt;="&amp;$A297,Despesas!$L:$L,"&gt;="&amp;$A297,Despesas!$C:$C,E$1,Despesas!$M:$M,$B297)</f>
        <v>0</v>
      </c>
      <c r="F297" s="5">
        <f>SUMIFS(Despesas!$F:$F,Despesas!$J:$J,"&lt;="&amp;$A297,Despesas!$L:$L,"&gt;="&amp;$A297,Despesas!$C:$C,F$1,Despesas!$M:$M,"Mensal")+SUMIFS(Despesas!$F:$F,Despesas!$J:$J,"&lt;="&amp;$A297,Despesas!$L:$L,"&gt;="&amp;$A297,Despesas!$C:$C,F$1,Despesas!$M:$M,$B297)</f>
        <v>13000</v>
      </c>
      <c r="G297" s="5">
        <f>SUMIFS(Despesas!$F:$F,Despesas!$J:$J,"&lt;="&amp;$A297,Despesas!$L:$L,"&gt;="&amp;$A297,Despesas!$C:$C,G$1,Despesas!$M:$M,"Mensal")+SUMIFS(Despesas!$F:$F,Despesas!$J:$J,"&lt;="&amp;$A297,Despesas!$L:$L,"&gt;="&amp;$A297,Despesas!$C:$C,G$1,Despesas!$M:$M,$B297)</f>
        <v>0</v>
      </c>
      <c r="H297" s="18">
        <f>SUMIFS(Despesas!$F:$F,Despesas!$J:$J,"&lt;="&amp;$A297,Despesas!$L:$L,"&gt;="&amp;$A297,Despesas!$C:$C,H$1,Despesas!$M:$M,"Mensal")+SUMIFS(Despesas!$F:$F,Despesas!$J:$J,"&lt;="&amp;$A297,Despesas!$L:$L,"&gt;="&amp;$A297,Despesas!$C:$C,H$1,Despesas!$M:$M,$B297)</f>
        <v>1000</v>
      </c>
      <c r="I297" s="18">
        <f>IF(Imóveis!$F$2="PRICE",IF(AND(Dados!$A297&gt;=Imóveis!$Q$2,Dados!$A297&lt;=Imóveis!$T$2),Imóveis!$U$2,0),IF((IF(AND(Dados!$A297&gt;=Imóveis!$Q$2,Dados!$A297&lt;=Imóveis!$T$2),Imóveis!$S$2-(DATEDIF(Imóveis!$Q$2,Dados!$A297,"m")),0))=0,0,((Imóveis!$N$2/Imóveis!$S$2)+((Imóveis!$N$2-((Imóveis!$S$2-(IF(AND(Dados!$A297&gt;=Imóveis!$Q$2,Dados!$A297&lt;=Imóveis!$T$2),Imóveis!$S$2-(DATEDIF(Imóveis!$Q$2,Dados!$A297,"m")),)))*(Imóveis!$N$2/Imóveis!$S$2)))*Imóveis!$P$2))))*IF(AND(Imóveis!$E$2&gt;0,Dados!$A297&gt;Imóveis!$E$2),0,1)</f>
        <v>0</v>
      </c>
      <c r="J297" s="18">
        <f>IF(Imóveis!$F$3="PRICE",IF(AND(Dados!$A297&gt;=Imóveis!$Q$3,Dados!$A297&lt;=Imóveis!$T$3),Imóveis!$U$3,0),IF((IF(AND(Dados!$A297&gt;=Imóveis!$Q$3,Dados!$A297&lt;=Imóveis!$T$3),Imóveis!$S$3-(DATEDIF(Imóveis!$Q$3,Dados!$A297,"m")),0))=0,0,((Imóveis!$N$3/Imóveis!$S$3)+((Imóveis!$N$3-((Imóveis!$S$3-(IF(AND(Dados!$A297&gt;=Imóveis!$Q$3,Dados!$A297&lt;=Imóveis!$T$3),Imóveis!$S$3-(DATEDIF(Imóveis!$Q$3,Dados!$A297,"m")),)))*(Imóveis!$N$3/Imóveis!$S$3)))*Imóveis!$P$3))))*IF(AND(Imóveis!$E$3&gt;0,Dados!$A297&gt;Imóveis!$E$3),0,1)</f>
        <v>0</v>
      </c>
      <c r="K297" s="18">
        <f>IF(Imóveis!$F$4="PRICE",IF(AND(Dados!$A297&gt;=Imóveis!$Q$4,Dados!$A297&lt;=Imóveis!$T$4),Imóveis!$U$4,0),IF((IF(AND(Dados!$A297&gt;=Imóveis!$Q$4,Dados!$A297&lt;=Imóveis!$T$4),Imóveis!$S$4-(DATEDIF(Imóveis!$Q$4,Dados!$A297,"m")),0))=0,0,((Imóveis!$N$4/Imóveis!$S$4)+((Imóveis!$N$4-((Imóveis!$S$4-(IF(AND(Dados!$A297&gt;=Imóveis!$Q$4,Dados!$A297&lt;=Imóveis!$T$4),Imóveis!$S$4-(DATEDIF(Imóveis!$Q$4,Dados!$A297,"m")),)))*(Imóveis!$N$4/Imóveis!$S$4)))*Imóveis!$P$4))))*IF(AND(Imóveis!$E$4&gt;0,Dados!$A297&gt;Imóveis!$E$4),0,1)</f>
        <v>0</v>
      </c>
      <c r="L297" s="18">
        <f>IF(Imóveis!$F$5="PRICE",IF(AND(Dados!$A297&gt;=Imóveis!$Q$5,Dados!$A297&lt;=Imóveis!$T$5),Imóveis!$U$5,0),IF((IF(AND(Dados!$A297&gt;=Imóveis!$Q$5,Dados!$A297&lt;=Imóveis!$T$5),Imóveis!$S$5-(DATEDIF(Imóveis!$Q$5,Dados!$A297,"m")),0))=0,0,((Imóveis!$N$5/Imóveis!$S$5)+((Imóveis!$N$5-((Imóveis!$S$5-(IF(AND(Dados!$A297 &gt;=Imóveis!$Q$5,Dados!$A297&lt;=Imóveis!$T$5),Imóveis!$S$5-(DATEDIF(Imóveis!$Q$5,Dados!$A297,"m")),)))*(Imóveis!$N$5/Imóveis!$S$5)))*Imóveis!$P$5))))*IF(AND(Imóveis!$E$5&gt;0,Dados!$A297&gt;Imóveis!$E$5),0,1)*Imóveis!$I$5</f>
        <v>0</v>
      </c>
      <c r="M297" s="18">
        <f>IF(Imóveis!$F$6="PRICE",IF(AND(Dados!$A297&gt;=Imóveis!$Q$6,Dados!$A297&lt;=Imóveis!$T$6),Imóveis!$U$6,0),IF((IF(AND(Dados!$A297&gt;=Imóveis!$Q$6,Dados!$A297&lt;=Imóveis!$T$6),Imóveis!$S$6-(DATEDIF(Imóveis!$Q$6,Dados!$A297,"m")),0))=0,0,((Imóveis!$N$6/Imóveis!$S$6)+((Imóveis!$N$6-((Imóveis!$S$6-(IF(AND(Dados!$A297&gt;=Imóveis!$Q$6,Dados!$A297&lt;=Imóveis!$T$6),Imóveis!$S$6-(DATEDIF(Imóveis!$Q$6,Dados!$A297,"m")),)))*(Imóveis!$N$6/Imóveis!$S$6)))*Imóveis!$P$6))))*IF(AND(Imóveis!$E$6&gt;0,Dados!$A297&gt;Imóveis!$E$6),0,1)*Imóveis!$I$6</f>
        <v>0</v>
      </c>
      <c r="N297" s="18">
        <f t="shared" si="37"/>
        <v>37000</v>
      </c>
      <c r="O297" s="18">
        <f>SUMIFS(Receitas!$F:$F,Receitas!$J:$J,"&lt;="&amp;$A297,Receitas!$L:$L,"&gt;="&amp;$A297,Receitas!$C:$C,O$1,Receitas!$M:$M,"Mensal")+SUMIFS(Receitas!$F:$F,Receitas!$J:$J,"&lt;="&amp;$A297,Receitas!$L:$L,"&gt;="&amp;$A297,Receitas!$C:$C,O$1,Receitas!$M:$M,$B297)</f>
        <v>50000</v>
      </c>
      <c r="P297" s="18">
        <f>SUMIFS(Receitas!$F:$F,Receitas!$J:$J,"&lt;="&amp;$A297,Receitas!$L:$L,"&gt;="&amp;$A297,Receitas!$C:$C,P$1,Receitas!$M:$M,"Mensal")+SUMIFS(Receitas!$F:$F,Receitas!$J:$J,"&lt;="&amp;$A297,Receitas!$L:$L,"&gt;="&amp;$A297,Receitas!$C:$C,P$1,Receitas!$M:$M,$B297)</f>
        <v>20000</v>
      </c>
      <c r="Q297" s="18">
        <f>SUMIFS(Receitas!$F:$F,Receitas!$J:$J,"&lt;="&amp;$A297,Receitas!$L:$L,"&gt;="&amp;$A297,Receitas!$C:$C,Q$1,Receitas!$M:$M,"Mensal")+SUMIFS(Receitas!$F:$F,Receitas!$J:$J,"&lt;="&amp;$A297,Receitas!$L:$L,"&gt;="&amp;$A297,Receitas!$C:$C,Q$1,Receitas!$M:$M,$B297)</f>
        <v>0</v>
      </c>
      <c r="R297" s="18" cm="1">
        <f t="array" ref="R297">(IF(AND(Membros!$F$2="Sim",A297&lt;=MAX(Membros!$E$2:$E$5)),Membros!K$2,IF(AND(A297&gt;=Membros!J$2,A297&lt;=MAX(Membros!$E$2:$E$5)),Membros!K$2,0))+IF(AND(Membros!$F$3="Sim",A297&lt;=MAX(Membros!$E$2:$E$5)),Membros!K$3,IF(AND(A297&gt;=Membros!J$3,A297&lt;=MAX(Membros!$E$2:$E$5)),Membros!K$3,0)))*IF(AND(COUNTIFS(Tabela3[Tipo],"Provedor",Tabela3[Simulação Seguro],"Sim")=2,A297&gt;=MAX(IF(Tabela3[Tipo]="Dependente",Tabela3[Expectativa de Vida (Data)]))),0,1)</f>
        <v>0</v>
      </c>
      <c r="S297" s="18">
        <f t="shared" si="38"/>
        <v>70000</v>
      </c>
      <c r="U297" s="18">
        <f t="shared" ca="1" si="41"/>
        <v>17638292.807302222</v>
      </c>
      <c r="V297" s="18">
        <f>SUMIF(Imóveis!E:E,Dados!A:A,Imóveis!Z:Z)-SUMIF(Imóveis!E:E,Dados!A:A,Imóveis!Y:Y)</f>
        <v>0</v>
      </c>
      <c r="W297" s="18">
        <f>-SUMIF(Projetos!N:N,A297,Projetos!F:F)</f>
        <v>0</v>
      </c>
      <c r="X297" s="18">
        <f t="shared" si="35"/>
        <v>33000</v>
      </c>
      <c r="Y297" s="26">
        <f ca="1">(U297*((Indicadores_Economicos!D$2+1)^(1/12)-1))</f>
        <v>57743.180853338257</v>
      </c>
      <c r="Z297" s="18">
        <f t="shared" ca="1" si="39"/>
        <v>17729035.988155559</v>
      </c>
      <c r="AA297" s="18">
        <f ca="1">Auxiliar_Projetos!E297</f>
        <v>1.0254910615527234E-9</v>
      </c>
      <c r="AB297" s="18">
        <f ca="1">Auxiliar_Projetos!K297</f>
        <v>7.8883927811747903E-10</v>
      </c>
      <c r="AC297" s="18">
        <f ca="1">IF(Z297-AA297-AB297&gt;Investimentos!$C$14,Investimentos!$C$14,IF(Z297-AA297-AB297&lt;Investimentos!$C$14,Z297-AA297-AB297,0))</f>
        <v>300000</v>
      </c>
      <c r="AD297" s="18">
        <f t="shared" ca="1" si="40"/>
        <v>17429035.988155559</v>
      </c>
      <c r="AE297" s="18"/>
    </row>
    <row r="298" spans="1:31" x14ac:dyDescent="0.2">
      <c r="A298" s="4">
        <v>54667</v>
      </c>
      <c r="B298" s="5" t="str">
        <f t="shared" si="36"/>
        <v>setembro</v>
      </c>
      <c r="C298" s="5" t="str">
        <f t="shared" si="42"/>
        <v>2049</v>
      </c>
      <c r="D298" s="5">
        <f>SUMIFS(Despesas!$F:$F,Despesas!$J:$J,"&lt;="&amp;$A298,Despesas!$L:$L,"&gt;="&amp;$A298,Despesas!$C:$C,D$1,Despesas!$M:$M,"Mensal")+SUMIFS(Despesas!$F:$F,Despesas!$J:$J,"&lt;="&amp;$A298,Despesas!$L:$L,"&gt;="&amp;$A298,Despesas!$C:$C,D$1,Despesas!$M:$M,$B298)</f>
        <v>23000</v>
      </c>
      <c r="E298" s="18">
        <f>SUMIFS(Despesas!$F:$F,Despesas!$J:$J,"&lt;="&amp;$A298,Despesas!$L:$L,"&gt;="&amp;$A298,Despesas!$C:$C,E$1,Despesas!$M:$M,"Mensal")+SUMIFS(Despesas!$F:$F,Despesas!$J:$J,"&lt;="&amp;$A298,Despesas!$L:$L,"&gt;="&amp;$A298,Despesas!$C:$C,E$1,Despesas!$M:$M,$B298)</f>
        <v>0</v>
      </c>
      <c r="F298" s="5">
        <f>SUMIFS(Despesas!$F:$F,Despesas!$J:$J,"&lt;="&amp;$A298,Despesas!$L:$L,"&gt;="&amp;$A298,Despesas!$C:$C,F$1,Despesas!$M:$M,"Mensal")+SUMIFS(Despesas!$F:$F,Despesas!$J:$J,"&lt;="&amp;$A298,Despesas!$L:$L,"&gt;="&amp;$A298,Despesas!$C:$C,F$1,Despesas!$M:$M,$B298)</f>
        <v>13000</v>
      </c>
      <c r="G298" s="5">
        <f>SUMIFS(Despesas!$F:$F,Despesas!$J:$J,"&lt;="&amp;$A298,Despesas!$L:$L,"&gt;="&amp;$A298,Despesas!$C:$C,G$1,Despesas!$M:$M,"Mensal")+SUMIFS(Despesas!$F:$F,Despesas!$J:$J,"&lt;="&amp;$A298,Despesas!$L:$L,"&gt;="&amp;$A298,Despesas!$C:$C,G$1,Despesas!$M:$M,$B298)</f>
        <v>0</v>
      </c>
      <c r="H298" s="18">
        <f>SUMIFS(Despesas!$F:$F,Despesas!$J:$J,"&lt;="&amp;$A298,Despesas!$L:$L,"&gt;="&amp;$A298,Despesas!$C:$C,H$1,Despesas!$M:$M,"Mensal")+SUMIFS(Despesas!$F:$F,Despesas!$J:$J,"&lt;="&amp;$A298,Despesas!$L:$L,"&gt;="&amp;$A298,Despesas!$C:$C,H$1,Despesas!$M:$M,$B298)</f>
        <v>1000</v>
      </c>
      <c r="I298" s="18">
        <f>IF(Imóveis!$F$2="PRICE",IF(AND(Dados!$A298&gt;=Imóveis!$Q$2,Dados!$A298&lt;=Imóveis!$T$2),Imóveis!$U$2,0),IF((IF(AND(Dados!$A298&gt;=Imóveis!$Q$2,Dados!$A298&lt;=Imóveis!$T$2),Imóveis!$S$2-(DATEDIF(Imóveis!$Q$2,Dados!$A298,"m")),0))=0,0,((Imóveis!$N$2/Imóveis!$S$2)+((Imóveis!$N$2-((Imóveis!$S$2-(IF(AND(Dados!$A298&gt;=Imóveis!$Q$2,Dados!$A298&lt;=Imóveis!$T$2),Imóveis!$S$2-(DATEDIF(Imóveis!$Q$2,Dados!$A298,"m")),)))*(Imóveis!$N$2/Imóveis!$S$2)))*Imóveis!$P$2))))*IF(AND(Imóveis!$E$2&gt;0,Dados!$A298&gt;Imóveis!$E$2),0,1)</f>
        <v>0</v>
      </c>
      <c r="J298" s="18">
        <f>IF(Imóveis!$F$3="PRICE",IF(AND(Dados!$A298&gt;=Imóveis!$Q$3,Dados!$A298&lt;=Imóveis!$T$3),Imóveis!$U$3,0),IF((IF(AND(Dados!$A298&gt;=Imóveis!$Q$3,Dados!$A298&lt;=Imóveis!$T$3),Imóveis!$S$3-(DATEDIF(Imóveis!$Q$3,Dados!$A298,"m")),0))=0,0,((Imóveis!$N$3/Imóveis!$S$3)+((Imóveis!$N$3-((Imóveis!$S$3-(IF(AND(Dados!$A298&gt;=Imóveis!$Q$3,Dados!$A298&lt;=Imóveis!$T$3),Imóveis!$S$3-(DATEDIF(Imóveis!$Q$3,Dados!$A298,"m")),)))*(Imóveis!$N$3/Imóveis!$S$3)))*Imóveis!$P$3))))*IF(AND(Imóveis!$E$3&gt;0,Dados!$A298&gt;Imóveis!$E$3),0,1)</f>
        <v>0</v>
      </c>
      <c r="K298" s="18">
        <f>IF(Imóveis!$F$4="PRICE",IF(AND(Dados!$A298&gt;=Imóveis!$Q$4,Dados!$A298&lt;=Imóveis!$T$4),Imóveis!$U$4,0),IF((IF(AND(Dados!$A298&gt;=Imóveis!$Q$4,Dados!$A298&lt;=Imóveis!$T$4),Imóveis!$S$4-(DATEDIF(Imóveis!$Q$4,Dados!$A298,"m")),0))=0,0,((Imóveis!$N$4/Imóveis!$S$4)+((Imóveis!$N$4-((Imóveis!$S$4-(IF(AND(Dados!$A298&gt;=Imóveis!$Q$4,Dados!$A298&lt;=Imóveis!$T$4),Imóveis!$S$4-(DATEDIF(Imóveis!$Q$4,Dados!$A298,"m")),)))*(Imóveis!$N$4/Imóveis!$S$4)))*Imóveis!$P$4))))*IF(AND(Imóveis!$E$4&gt;0,Dados!$A298&gt;Imóveis!$E$4),0,1)</f>
        <v>0</v>
      </c>
      <c r="L298" s="18">
        <f>IF(Imóveis!$F$5="PRICE",IF(AND(Dados!$A298&gt;=Imóveis!$Q$5,Dados!$A298&lt;=Imóveis!$T$5),Imóveis!$U$5,0),IF((IF(AND(Dados!$A298&gt;=Imóveis!$Q$5,Dados!$A298&lt;=Imóveis!$T$5),Imóveis!$S$5-(DATEDIF(Imóveis!$Q$5,Dados!$A298,"m")),0))=0,0,((Imóveis!$N$5/Imóveis!$S$5)+((Imóveis!$N$5-((Imóveis!$S$5-(IF(AND(Dados!$A298 &gt;=Imóveis!$Q$5,Dados!$A298&lt;=Imóveis!$T$5),Imóveis!$S$5-(DATEDIF(Imóveis!$Q$5,Dados!$A298,"m")),)))*(Imóveis!$N$5/Imóveis!$S$5)))*Imóveis!$P$5))))*IF(AND(Imóveis!$E$5&gt;0,Dados!$A298&gt;Imóveis!$E$5),0,1)*Imóveis!$I$5</f>
        <v>0</v>
      </c>
      <c r="M298" s="18">
        <f>IF(Imóveis!$F$6="PRICE",IF(AND(Dados!$A298&gt;=Imóveis!$Q$6,Dados!$A298&lt;=Imóveis!$T$6),Imóveis!$U$6,0),IF((IF(AND(Dados!$A298&gt;=Imóveis!$Q$6,Dados!$A298&lt;=Imóveis!$T$6),Imóveis!$S$6-(DATEDIF(Imóveis!$Q$6,Dados!$A298,"m")),0))=0,0,((Imóveis!$N$6/Imóveis!$S$6)+((Imóveis!$N$6-((Imóveis!$S$6-(IF(AND(Dados!$A298&gt;=Imóveis!$Q$6,Dados!$A298&lt;=Imóveis!$T$6),Imóveis!$S$6-(DATEDIF(Imóveis!$Q$6,Dados!$A298,"m")),)))*(Imóveis!$N$6/Imóveis!$S$6)))*Imóveis!$P$6))))*IF(AND(Imóveis!$E$6&gt;0,Dados!$A298&gt;Imóveis!$E$6),0,1)*Imóveis!$I$6</f>
        <v>0</v>
      </c>
      <c r="N298" s="18">
        <f t="shared" si="37"/>
        <v>37000</v>
      </c>
      <c r="O298" s="18">
        <f>SUMIFS(Receitas!$F:$F,Receitas!$J:$J,"&lt;="&amp;$A298,Receitas!$L:$L,"&gt;="&amp;$A298,Receitas!$C:$C,O$1,Receitas!$M:$M,"Mensal")+SUMIFS(Receitas!$F:$F,Receitas!$J:$J,"&lt;="&amp;$A298,Receitas!$L:$L,"&gt;="&amp;$A298,Receitas!$C:$C,O$1,Receitas!$M:$M,$B298)</f>
        <v>50000</v>
      </c>
      <c r="P298" s="18">
        <f>SUMIFS(Receitas!$F:$F,Receitas!$J:$J,"&lt;="&amp;$A298,Receitas!$L:$L,"&gt;="&amp;$A298,Receitas!$C:$C,P$1,Receitas!$M:$M,"Mensal")+SUMIFS(Receitas!$F:$F,Receitas!$J:$J,"&lt;="&amp;$A298,Receitas!$L:$L,"&gt;="&amp;$A298,Receitas!$C:$C,P$1,Receitas!$M:$M,$B298)</f>
        <v>20000</v>
      </c>
      <c r="Q298" s="18">
        <f>SUMIFS(Receitas!$F:$F,Receitas!$J:$J,"&lt;="&amp;$A298,Receitas!$L:$L,"&gt;="&amp;$A298,Receitas!$C:$C,Q$1,Receitas!$M:$M,"Mensal")+SUMIFS(Receitas!$F:$F,Receitas!$J:$J,"&lt;="&amp;$A298,Receitas!$L:$L,"&gt;="&amp;$A298,Receitas!$C:$C,Q$1,Receitas!$M:$M,$B298)</f>
        <v>0</v>
      </c>
      <c r="R298" s="18" cm="1">
        <f t="array" ref="R298">(IF(AND(Membros!$F$2="Sim",A298&lt;=MAX(Membros!$E$2:$E$5)),Membros!K$2,IF(AND(A298&gt;=Membros!J$2,A298&lt;=MAX(Membros!$E$2:$E$5)),Membros!K$2,0))+IF(AND(Membros!$F$3="Sim",A298&lt;=MAX(Membros!$E$2:$E$5)),Membros!K$3,IF(AND(A298&gt;=Membros!J$3,A298&lt;=MAX(Membros!$E$2:$E$5)),Membros!K$3,0)))*IF(AND(COUNTIFS(Tabela3[Tipo],"Provedor",Tabela3[Simulação Seguro],"Sim")=2,A298&gt;=MAX(IF(Tabela3[Tipo]="Dependente",Tabela3[Expectativa de Vida (Data)]))),0,1)</f>
        <v>0</v>
      </c>
      <c r="S298" s="18">
        <f t="shared" si="38"/>
        <v>70000</v>
      </c>
      <c r="U298" s="18">
        <f t="shared" ca="1" si="41"/>
        <v>17729035.988155559</v>
      </c>
      <c r="V298" s="18">
        <f>SUMIF(Imóveis!E:E,Dados!A:A,Imóveis!Z:Z)-SUMIF(Imóveis!E:E,Dados!A:A,Imóveis!Y:Y)</f>
        <v>0</v>
      </c>
      <c r="W298" s="18">
        <f>-SUMIF(Projetos!N:N,A298,Projetos!F:F)</f>
        <v>0</v>
      </c>
      <c r="X298" s="18">
        <f t="shared" si="35"/>
        <v>33000</v>
      </c>
      <c r="Y298" s="26">
        <f ca="1">(U298*((Indicadores_Economicos!D$2+1)^(1/12)-1))</f>
        <v>58040.250414461094</v>
      </c>
      <c r="Z298" s="18">
        <f t="shared" ca="1" si="39"/>
        <v>17820076.23857002</v>
      </c>
      <c r="AA298" s="18">
        <f ca="1">Auxiliar_Projetos!E298</f>
        <v>1.0288482524372179E-9</v>
      </c>
      <c r="AB298" s="18">
        <f ca="1">Auxiliar_Projetos!K298</f>
        <v>7.9142173264401334E-10</v>
      </c>
      <c r="AC298" s="18">
        <f ca="1">IF(Z298-AA298-AB298&gt;Investimentos!$C$14,Investimentos!$C$14,IF(Z298-AA298-AB298&lt;Investimentos!$C$14,Z298-AA298-AB298,0))</f>
        <v>300000</v>
      </c>
      <c r="AD298" s="18">
        <f t="shared" ca="1" si="40"/>
        <v>17520076.23857002</v>
      </c>
      <c r="AE298" s="18"/>
    </row>
    <row r="299" spans="1:31" x14ac:dyDescent="0.2">
      <c r="A299" s="4">
        <v>54697</v>
      </c>
      <c r="B299" s="5" t="str">
        <f t="shared" si="36"/>
        <v>outubro</v>
      </c>
      <c r="C299" s="5" t="str">
        <f t="shared" si="42"/>
        <v>2049</v>
      </c>
      <c r="D299" s="5">
        <f>SUMIFS(Despesas!$F:$F,Despesas!$J:$J,"&lt;="&amp;$A299,Despesas!$L:$L,"&gt;="&amp;$A299,Despesas!$C:$C,D$1,Despesas!$M:$M,"Mensal")+SUMIFS(Despesas!$F:$F,Despesas!$J:$J,"&lt;="&amp;$A299,Despesas!$L:$L,"&gt;="&amp;$A299,Despesas!$C:$C,D$1,Despesas!$M:$M,$B299)</f>
        <v>23000</v>
      </c>
      <c r="E299" s="18">
        <f>SUMIFS(Despesas!$F:$F,Despesas!$J:$J,"&lt;="&amp;$A299,Despesas!$L:$L,"&gt;="&amp;$A299,Despesas!$C:$C,E$1,Despesas!$M:$M,"Mensal")+SUMIFS(Despesas!$F:$F,Despesas!$J:$J,"&lt;="&amp;$A299,Despesas!$L:$L,"&gt;="&amp;$A299,Despesas!$C:$C,E$1,Despesas!$M:$M,$B299)</f>
        <v>0</v>
      </c>
      <c r="F299" s="5">
        <f>SUMIFS(Despesas!$F:$F,Despesas!$J:$J,"&lt;="&amp;$A299,Despesas!$L:$L,"&gt;="&amp;$A299,Despesas!$C:$C,F$1,Despesas!$M:$M,"Mensal")+SUMIFS(Despesas!$F:$F,Despesas!$J:$J,"&lt;="&amp;$A299,Despesas!$L:$L,"&gt;="&amp;$A299,Despesas!$C:$C,F$1,Despesas!$M:$M,$B299)</f>
        <v>13000</v>
      </c>
      <c r="G299" s="5">
        <f>SUMIFS(Despesas!$F:$F,Despesas!$J:$J,"&lt;="&amp;$A299,Despesas!$L:$L,"&gt;="&amp;$A299,Despesas!$C:$C,G$1,Despesas!$M:$M,"Mensal")+SUMIFS(Despesas!$F:$F,Despesas!$J:$J,"&lt;="&amp;$A299,Despesas!$L:$L,"&gt;="&amp;$A299,Despesas!$C:$C,G$1,Despesas!$M:$M,$B299)</f>
        <v>0</v>
      </c>
      <c r="H299" s="18">
        <f>SUMIFS(Despesas!$F:$F,Despesas!$J:$J,"&lt;="&amp;$A299,Despesas!$L:$L,"&gt;="&amp;$A299,Despesas!$C:$C,H$1,Despesas!$M:$M,"Mensal")+SUMIFS(Despesas!$F:$F,Despesas!$J:$J,"&lt;="&amp;$A299,Despesas!$L:$L,"&gt;="&amp;$A299,Despesas!$C:$C,H$1,Despesas!$M:$M,$B299)</f>
        <v>1000</v>
      </c>
      <c r="I299" s="18">
        <f>IF(Imóveis!$F$2="PRICE",IF(AND(Dados!$A299&gt;=Imóveis!$Q$2,Dados!$A299&lt;=Imóveis!$T$2),Imóveis!$U$2,0),IF((IF(AND(Dados!$A299&gt;=Imóveis!$Q$2,Dados!$A299&lt;=Imóveis!$T$2),Imóveis!$S$2-(DATEDIF(Imóveis!$Q$2,Dados!$A299,"m")),0))=0,0,((Imóveis!$N$2/Imóveis!$S$2)+((Imóveis!$N$2-((Imóveis!$S$2-(IF(AND(Dados!$A299&gt;=Imóveis!$Q$2,Dados!$A299&lt;=Imóveis!$T$2),Imóveis!$S$2-(DATEDIF(Imóveis!$Q$2,Dados!$A299,"m")),)))*(Imóveis!$N$2/Imóveis!$S$2)))*Imóveis!$P$2))))*IF(AND(Imóveis!$E$2&gt;0,Dados!$A299&gt;Imóveis!$E$2),0,1)</f>
        <v>0</v>
      </c>
      <c r="J299" s="18">
        <f>IF(Imóveis!$F$3="PRICE",IF(AND(Dados!$A299&gt;=Imóveis!$Q$3,Dados!$A299&lt;=Imóveis!$T$3),Imóveis!$U$3,0),IF((IF(AND(Dados!$A299&gt;=Imóveis!$Q$3,Dados!$A299&lt;=Imóveis!$T$3),Imóveis!$S$3-(DATEDIF(Imóveis!$Q$3,Dados!$A299,"m")),0))=0,0,((Imóveis!$N$3/Imóveis!$S$3)+((Imóveis!$N$3-((Imóveis!$S$3-(IF(AND(Dados!$A299&gt;=Imóveis!$Q$3,Dados!$A299&lt;=Imóveis!$T$3),Imóveis!$S$3-(DATEDIF(Imóveis!$Q$3,Dados!$A299,"m")),)))*(Imóveis!$N$3/Imóveis!$S$3)))*Imóveis!$P$3))))*IF(AND(Imóveis!$E$3&gt;0,Dados!$A299&gt;Imóveis!$E$3),0,1)</f>
        <v>0</v>
      </c>
      <c r="K299" s="18">
        <f>IF(Imóveis!$F$4="PRICE",IF(AND(Dados!$A299&gt;=Imóveis!$Q$4,Dados!$A299&lt;=Imóveis!$T$4),Imóveis!$U$4,0),IF((IF(AND(Dados!$A299&gt;=Imóveis!$Q$4,Dados!$A299&lt;=Imóveis!$T$4),Imóveis!$S$4-(DATEDIF(Imóveis!$Q$4,Dados!$A299,"m")),0))=0,0,((Imóveis!$N$4/Imóveis!$S$4)+((Imóveis!$N$4-((Imóveis!$S$4-(IF(AND(Dados!$A299&gt;=Imóveis!$Q$4,Dados!$A299&lt;=Imóveis!$T$4),Imóveis!$S$4-(DATEDIF(Imóveis!$Q$4,Dados!$A299,"m")),)))*(Imóveis!$N$4/Imóveis!$S$4)))*Imóveis!$P$4))))*IF(AND(Imóveis!$E$4&gt;0,Dados!$A299&gt;Imóveis!$E$4),0,1)</f>
        <v>0</v>
      </c>
      <c r="L299" s="18">
        <f>IF(Imóveis!$F$5="PRICE",IF(AND(Dados!$A299&gt;=Imóveis!$Q$5,Dados!$A299&lt;=Imóveis!$T$5),Imóveis!$U$5,0),IF((IF(AND(Dados!$A299&gt;=Imóveis!$Q$5,Dados!$A299&lt;=Imóveis!$T$5),Imóveis!$S$5-(DATEDIF(Imóveis!$Q$5,Dados!$A299,"m")),0))=0,0,((Imóveis!$N$5/Imóveis!$S$5)+((Imóveis!$N$5-((Imóveis!$S$5-(IF(AND(Dados!$A299 &gt;=Imóveis!$Q$5,Dados!$A299&lt;=Imóveis!$T$5),Imóveis!$S$5-(DATEDIF(Imóveis!$Q$5,Dados!$A299,"m")),)))*(Imóveis!$N$5/Imóveis!$S$5)))*Imóveis!$P$5))))*IF(AND(Imóveis!$E$5&gt;0,Dados!$A299&gt;Imóveis!$E$5),0,1)*Imóveis!$I$5</f>
        <v>0</v>
      </c>
      <c r="M299" s="18">
        <f>IF(Imóveis!$F$6="PRICE",IF(AND(Dados!$A299&gt;=Imóveis!$Q$6,Dados!$A299&lt;=Imóveis!$T$6),Imóveis!$U$6,0),IF((IF(AND(Dados!$A299&gt;=Imóveis!$Q$6,Dados!$A299&lt;=Imóveis!$T$6),Imóveis!$S$6-(DATEDIF(Imóveis!$Q$6,Dados!$A299,"m")),0))=0,0,((Imóveis!$N$6/Imóveis!$S$6)+((Imóveis!$N$6-((Imóveis!$S$6-(IF(AND(Dados!$A299&gt;=Imóveis!$Q$6,Dados!$A299&lt;=Imóveis!$T$6),Imóveis!$S$6-(DATEDIF(Imóveis!$Q$6,Dados!$A299,"m")),)))*(Imóveis!$N$6/Imóveis!$S$6)))*Imóveis!$P$6))))*IF(AND(Imóveis!$E$6&gt;0,Dados!$A299&gt;Imóveis!$E$6),0,1)*Imóveis!$I$6</f>
        <v>0</v>
      </c>
      <c r="N299" s="18">
        <f t="shared" si="37"/>
        <v>37000</v>
      </c>
      <c r="O299" s="18">
        <f>SUMIFS(Receitas!$F:$F,Receitas!$J:$J,"&lt;="&amp;$A299,Receitas!$L:$L,"&gt;="&amp;$A299,Receitas!$C:$C,O$1,Receitas!$M:$M,"Mensal")+SUMIFS(Receitas!$F:$F,Receitas!$J:$J,"&lt;="&amp;$A299,Receitas!$L:$L,"&gt;="&amp;$A299,Receitas!$C:$C,O$1,Receitas!$M:$M,$B299)</f>
        <v>50000</v>
      </c>
      <c r="P299" s="18">
        <f>SUMIFS(Receitas!$F:$F,Receitas!$J:$J,"&lt;="&amp;$A299,Receitas!$L:$L,"&gt;="&amp;$A299,Receitas!$C:$C,P$1,Receitas!$M:$M,"Mensal")+SUMIFS(Receitas!$F:$F,Receitas!$J:$J,"&lt;="&amp;$A299,Receitas!$L:$L,"&gt;="&amp;$A299,Receitas!$C:$C,P$1,Receitas!$M:$M,$B299)</f>
        <v>20000</v>
      </c>
      <c r="Q299" s="18">
        <f>SUMIFS(Receitas!$F:$F,Receitas!$J:$J,"&lt;="&amp;$A299,Receitas!$L:$L,"&gt;="&amp;$A299,Receitas!$C:$C,Q$1,Receitas!$M:$M,"Mensal")+SUMIFS(Receitas!$F:$F,Receitas!$J:$J,"&lt;="&amp;$A299,Receitas!$L:$L,"&gt;="&amp;$A299,Receitas!$C:$C,Q$1,Receitas!$M:$M,$B299)</f>
        <v>0</v>
      </c>
      <c r="R299" s="18" cm="1">
        <f t="array" ref="R299">(IF(AND(Membros!$F$2="Sim",A299&lt;=MAX(Membros!$E$2:$E$5)),Membros!K$2,IF(AND(A299&gt;=Membros!J$2,A299&lt;=MAX(Membros!$E$2:$E$5)),Membros!K$2,0))+IF(AND(Membros!$F$3="Sim",A299&lt;=MAX(Membros!$E$2:$E$5)),Membros!K$3,IF(AND(A299&gt;=Membros!J$3,A299&lt;=MAX(Membros!$E$2:$E$5)),Membros!K$3,0)))*IF(AND(COUNTIFS(Tabela3[Tipo],"Provedor",Tabela3[Simulação Seguro],"Sim")=2,A299&gt;=MAX(IF(Tabela3[Tipo]="Dependente",Tabela3[Expectativa de Vida (Data)]))),0,1)</f>
        <v>0</v>
      </c>
      <c r="S299" s="18">
        <f t="shared" si="38"/>
        <v>70000</v>
      </c>
      <c r="U299" s="18">
        <f t="shared" ca="1" si="41"/>
        <v>17820076.23857002</v>
      </c>
      <c r="V299" s="18">
        <f>SUMIF(Imóveis!E:E,Dados!A:A,Imóveis!Z:Z)-SUMIF(Imóveis!E:E,Dados!A:A,Imóveis!Y:Y)</f>
        <v>0</v>
      </c>
      <c r="W299" s="18">
        <f>-SUMIF(Projetos!N:N,A299,Projetos!F:F)</f>
        <v>0</v>
      </c>
      <c r="X299" s="18">
        <f t="shared" si="35"/>
        <v>33000</v>
      </c>
      <c r="Y299" s="26">
        <f ca="1">(U299*((Indicadores_Economicos!D$2+1)^(1/12)-1))</f>
        <v>58338.29250402427</v>
      </c>
      <c r="Z299" s="18">
        <f t="shared" ca="1" si="39"/>
        <v>17911414.531074043</v>
      </c>
      <c r="AA299" s="18">
        <f ca="1">Auxiliar_Projetos!E299</f>
        <v>1.0322164338910673E-9</v>
      </c>
      <c r="AB299" s="18">
        <f ca="1">Auxiliar_Projetos!K299</f>
        <v>7.940126414546668E-10</v>
      </c>
      <c r="AC299" s="18">
        <f ca="1">IF(Z299-AA299-AB299&gt;Investimentos!$C$14,Investimentos!$C$14,IF(Z299-AA299-AB299&lt;Investimentos!$C$14,Z299-AA299-AB299,0))</f>
        <v>300000</v>
      </c>
      <c r="AD299" s="18">
        <f t="shared" ca="1" si="40"/>
        <v>17611414.531074043</v>
      </c>
      <c r="AE299" s="18"/>
    </row>
    <row r="300" spans="1:31" x14ac:dyDescent="0.2">
      <c r="A300" s="4">
        <v>54728</v>
      </c>
      <c r="B300" s="5" t="str">
        <f t="shared" si="36"/>
        <v>novembro</v>
      </c>
      <c r="C300" s="5" t="str">
        <f t="shared" si="42"/>
        <v>2049</v>
      </c>
      <c r="D300" s="5">
        <f>SUMIFS(Despesas!$F:$F,Despesas!$J:$J,"&lt;="&amp;$A300,Despesas!$L:$L,"&gt;="&amp;$A300,Despesas!$C:$C,D$1,Despesas!$M:$M,"Mensal")+SUMIFS(Despesas!$F:$F,Despesas!$J:$J,"&lt;="&amp;$A300,Despesas!$L:$L,"&gt;="&amp;$A300,Despesas!$C:$C,D$1,Despesas!$M:$M,$B300)</f>
        <v>23000</v>
      </c>
      <c r="E300" s="18">
        <f>SUMIFS(Despesas!$F:$F,Despesas!$J:$J,"&lt;="&amp;$A300,Despesas!$L:$L,"&gt;="&amp;$A300,Despesas!$C:$C,E$1,Despesas!$M:$M,"Mensal")+SUMIFS(Despesas!$F:$F,Despesas!$J:$J,"&lt;="&amp;$A300,Despesas!$L:$L,"&gt;="&amp;$A300,Despesas!$C:$C,E$1,Despesas!$M:$M,$B300)</f>
        <v>0</v>
      </c>
      <c r="F300" s="5">
        <f>SUMIFS(Despesas!$F:$F,Despesas!$J:$J,"&lt;="&amp;$A300,Despesas!$L:$L,"&gt;="&amp;$A300,Despesas!$C:$C,F$1,Despesas!$M:$M,"Mensal")+SUMIFS(Despesas!$F:$F,Despesas!$J:$J,"&lt;="&amp;$A300,Despesas!$L:$L,"&gt;="&amp;$A300,Despesas!$C:$C,F$1,Despesas!$M:$M,$B300)</f>
        <v>13000</v>
      </c>
      <c r="G300" s="5">
        <f>SUMIFS(Despesas!$F:$F,Despesas!$J:$J,"&lt;="&amp;$A300,Despesas!$L:$L,"&gt;="&amp;$A300,Despesas!$C:$C,G$1,Despesas!$M:$M,"Mensal")+SUMIFS(Despesas!$F:$F,Despesas!$J:$J,"&lt;="&amp;$A300,Despesas!$L:$L,"&gt;="&amp;$A300,Despesas!$C:$C,G$1,Despesas!$M:$M,$B300)</f>
        <v>0</v>
      </c>
      <c r="H300" s="18">
        <f>SUMIFS(Despesas!$F:$F,Despesas!$J:$J,"&lt;="&amp;$A300,Despesas!$L:$L,"&gt;="&amp;$A300,Despesas!$C:$C,H$1,Despesas!$M:$M,"Mensal")+SUMIFS(Despesas!$F:$F,Despesas!$J:$J,"&lt;="&amp;$A300,Despesas!$L:$L,"&gt;="&amp;$A300,Despesas!$C:$C,H$1,Despesas!$M:$M,$B300)</f>
        <v>1000</v>
      </c>
      <c r="I300" s="18">
        <f>IF(Imóveis!$F$2="PRICE",IF(AND(Dados!$A300&gt;=Imóveis!$Q$2,Dados!$A300&lt;=Imóveis!$T$2),Imóveis!$U$2,0),IF((IF(AND(Dados!$A300&gt;=Imóveis!$Q$2,Dados!$A300&lt;=Imóveis!$T$2),Imóveis!$S$2-(DATEDIF(Imóveis!$Q$2,Dados!$A300,"m")),0))=0,0,((Imóveis!$N$2/Imóveis!$S$2)+((Imóveis!$N$2-((Imóveis!$S$2-(IF(AND(Dados!$A300&gt;=Imóveis!$Q$2,Dados!$A300&lt;=Imóveis!$T$2),Imóveis!$S$2-(DATEDIF(Imóveis!$Q$2,Dados!$A300,"m")),)))*(Imóveis!$N$2/Imóveis!$S$2)))*Imóveis!$P$2))))*IF(AND(Imóveis!$E$2&gt;0,Dados!$A300&gt;Imóveis!$E$2),0,1)</f>
        <v>0</v>
      </c>
      <c r="J300" s="18">
        <f>IF(Imóveis!$F$3="PRICE",IF(AND(Dados!$A300&gt;=Imóveis!$Q$3,Dados!$A300&lt;=Imóveis!$T$3),Imóveis!$U$3,0),IF((IF(AND(Dados!$A300&gt;=Imóveis!$Q$3,Dados!$A300&lt;=Imóveis!$T$3),Imóveis!$S$3-(DATEDIF(Imóveis!$Q$3,Dados!$A300,"m")),0))=0,0,((Imóveis!$N$3/Imóveis!$S$3)+((Imóveis!$N$3-((Imóveis!$S$3-(IF(AND(Dados!$A300&gt;=Imóveis!$Q$3,Dados!$A300&lt;=Imóveis!$T$3),Imóveis!$S$3-(DATEDIF(Imóveis!$Q$3,Dados!$A300,"m")),)))*(Imóveis!$N$3/Imóveis!$S$3)))*Imóveis!$P$3))))*IF(AND(Imóveis!$E$3&gt;0,Dados!$A300&gt;Imóveis!$E$3),0,1)</f>
        <v>0</v>
      </c>
      <c r="K300" s="18">
        <f>IF(Imóveis!$F$4="PRICE",IF(AND(Dados!$A300&gt;=Imóveis!$Q$4,Dados!$A300&lt;=Imóveis!$T$4),Imóveis!$U$4,0),IF((IF(AND(Dados!$A300&gt;=Imóveis!$Q$4,Dados!$A300&lt;=Imóveis!$T$4),Imóveis!$S$4-(DATEDIF(Imóveis!$Q$4,Dados!$A300,"m")),0))=0,0,((Imóveis!$N$4/Imóveis!$S$4)+((Imóveis!$N$4-((Imóveis!$S$4-(IF(AND(Dados!$A300&gt;=Imóveis!$Q$4,Dados!$A300&lt;=Imóveis!$T$4),Imóveis!$S$4-(DATEDIF(Imóveis!$Q$4,Dados!$A300,"m")),)))*(Imóveis!$N$4/Imóveis!$S$4)))*Imóveis!$P$4))))*IF(AND(Imóveis!$E$4&gt;0,Dados!$A300&gt;Imóveis!$E$4),0,1)</f>
        <v>0</v>
      </c>
      <c r="L300" s="18">
        <f>IF(Imóveis!$F$5="PRICE",IF(AND(Dados!$A300&gt;=Imóveis!$Q$5,Dados!$A300&lt;=Imóveis!$T$5),Imóveis!$U$5,0),IF((IF(AND(Dados!$A300&gt;=Imóveis!$Q$5,Dados!$A300&lt;=Imóveis!$T$5),Imóveis!$S$5-(DATEDIF(Imóveis!$Q$5,Dados!$A300,"m")),0))=0,0,((Imóveis!$N$5/Imóveis!$S$5)+((Imóveis!$N$5-((Imóveis!$S$5-(IF(AND(Dados!$A300 &gt;=Imóveis!$Q$5,Dados!$A300&lt;=Imóveis!$T$5),Imóveis!$S$5-(DATEDIF(Imóveis!$Q$5,Dados!$A300,"m")),)))*(Imóveis!$N$5/Imóveis!$S$5)))*Imóveis!$P$5))))*IF(AND(Imóveis!$E$5&gt;0,Dados!$A300&gt;Imóveis!$E$5),0,1)*Imóveis!$I$5</f>
        <v>0</v>
      </c>
      <c r="M300" s="18">
        <f>IF(Imóveis!$F$6="PRICE",IF(AND(Dados!$A300&gt;=Imóveis!$Q$6,Dados!$A300&lt;=Imóveis!$T$6),Imóveis!$U$6,0),IF((IF(AND(Dados!$A300&gt;=Imóveis!$Q$6,Dados!$A300&lt;=Imóveis!$T$6),Imóveis!$S$6-(DATEDIF(Imóveis!$Q$6,Dados!$A300,"m")),0))=0,0,((Imóveis!$N$6/Imóveis!$S$6)+((Imóveis!$N$6-((Imóveis!$S$6-(IF(AND(Dados!$A300&gt;=Imóveis!$Q$6,Dados!$A300&lt;=Imóveis!$T$6),Imóveis!$S$6-(DATEDIF(Imóveis!$Q$6,Dados!$A300,"m")),)))*(Imóveis!$N$6/Imóveis!$S$6)))*Imóveis!$P$6))))*IF(AND(Imóveis!$E$6&gt;0,Dados!$A300&gt;Imóveis!$E$6),0,1)*Imóveis!$I$6</f>
        <v>0</v>
      </c>
      <c r="N300" s="18">
        <f t="shared" si="37"/>
        <v>37000</v>
      </c>
      <c r="O300" s="18">
        <f>SUMIFS(Receitas!$F:$F,Receitas!$J:$J,"&lt;="&amp;$A300,Receitas!$L:$L,"&gt;="&amp;$A300,Receitas!$C:$C,O$1,Receitas!$M:$M,"Mensal")+SUMIFS(Receitas!$F:$F,Receitas!$J:$J,"&lt;="&amp;$A300,Receitas!$L:$L,"&gt;="&amp;$A300,Receitas!$C:$C,O$1,Receitas!$M:$M,$B300)</f>
        <v>50000</v>
      </c>
      <c r="P300" s="18">
        <f>SUMIFS(Receitas!$F:$F,Receitas!$J:$J,"&lt;="&amp;$A300,Receitas!$L:$L,"&gt;="&amp;$A300,Receitas!$C:$C,P$1,Receitas!$M:$M,"Mensal")+SUMIFS(Receitas!$F:$F,Receitas!$J:$J,"&lt;="&amp;$A300,Receitas!$L:$L,"&gt;="&amp;$A300,Receitas!$C:$C,P$1,Receitas!$M:$M,$B300)</f>
        <v>86666.666666666672</v>
      </c>
      <c r="Q300" s="18">
        <f>SUMIFS(Receitas!$F:$F,Receitas!$J:$J,"&lt;="&amp;$A300,Receitas!$L:$L,"&gt;="&amp;$A300,Receitas!$C:$C,Q$1,Receitas!$M:$M,"Mensal")+SUMIFS(Receitas!$F:$F,Receitas!$J:$J,"&lt;="&amp;$A300,Receitas!$L:$L,"&gt;="&amp;$A300,Receitas!$C:$C,Q$1,Receitas!$M:$M,$B300)</f>
        <v>0</v>
      </c>
      <c r="R300" s="18" cm="1">
        <f t="array" ref="R300">(IF(AND(Membros!$F$2="Sim",A300&lt;=MAX(Membros!$E$2:$E$5)),Membros!K$2,IF(AND(A300&gt;=Membros!J$2,A300&lt;=MAX(Membros!$E$2:$E$5)),Membros!K$2,0))+IF(AND(Membros!$F$3="Sim",A300&lt;=MAX(Membros!$E$2:$E$5)),Membros!K$3,IF(AND(A300&gt;=Membros!J$3,A300&lt;=MAX(Membros!$E$2:$E$5)),Membros!K$3,0)))*IF(AND(COUNTIFS(Tabela3[Tipo],"Provedor",Tabela3[Simulação Seguro],"Sim")=2,A300&gt;=MAX(IF(Tabela3[Tipo]="Dependente",Tabela3[Expectativa de Vida (Data)]))),0,1)</f>
        <v>0</v>
      </c>
      <c r="S300" s="18">
        <f t="shared" si="38"/>
        <v>136666.66666666669</v>
      </c>
      <c r="U300" s="18">
        <f t="shared" ca="1" si="41"/>
        <v>17911414.531074043</v>
      </c>
      <c r="V300" s="18">
        <f>SUMIF(Imóveis!E:E,Dados!A:A,Imóveis!Z:Z)-SUMIF(Imóveis!E:E,Dados!A:A,Imóveis!Y:Y)</f>
        <v>0</v>
      </c>
      <c r="W300" s="18">
        <f>-SUMIF(Projetos!N:N,A300,Projetos!F:F)</f>
        <v>0</v>
      </c>
      <c r="X300" s="18">
        <f t="shared" si="35"/>
        <v>99666.666666666686</v>
      </c>
      <c r="Y300" s="26">
        <f ca="1">(U300*((Indicadores_Economicos!D$2+1)^(1/12)-1))</f>
        <v>58637.310305832812</v>
      </c>
      <c r="Z300" s="18">
        <f t="shared" ca="1" si="39"/>
        <v>18069718.508046545</v>
      </c>
      <c r="AA300" s="18">
        <f ca="1">Auxiliar_Projetos!E300</f>
        <v>1.035595641894536E-9</v>
      </c>
      <c r="AB300" s="18">
        <f ca="1">Auxiliar_Projetos!K300</f>
        <v>7.9661203222656574E-10</v>
      </c>
      <c r="AC300" s="18">
        <f ca="1">IF(Z300-AA300-AB300&gt;Investimentos!$C$14,Investimentos!$C$14,IF(Z300-AA300-AB300&lt;Investimentos!$C$14,Z300-AA300-AB300,0))</f>
        <v>300000</v>
      </c>
      <c r="AD300" s="18">
        <f t="shared" ca="1" si="40"/>
        <v>17769718.508046545</v>
      </c>
      <c r="AE300" s="18"/>
    </row>
    <row r="301" spans="1:31" x14ac:dyDescent="0.2">
      <c r="A301" s="4">
        <v>54758</v>
      </c>
      <c r="B301" s="5" t="str">
        <f t="shared" si="36"/>
        <v>dezembro</v>
      </c>
      <c r="C301" s="5" t="str">
        <f t="shared" si="42"/>
        <v>2049</v>
      </c>
      <c r="D301" s="5">
        <f>SUMIFS(Despesas!$F:$F,Despesas!$J:$J,"&lt;="&amp;$A301,Despesas!$L:$L,"&gt;="&amp;$A301,Despesas!$C:$C,D$1,Despesas!$M:$M,"Mensal")+SUMIFS(Despesas!$F:$F,Despesas!$J:$J,"&lt;="&amp;$A301,Despesas!$L:$L,"&gt;="&amp;$A301,Despesas!$C:$C,D$1,Despesas!$M:$M,$B301)</f>
        <v>23000</v>
      </c>
      <c r="E301" s="18">
        <f>SUMIFS(Despesas!$F:$F,Despesas!$J:$J,"&lt;="&amp;$A301,Despesas!$L:$L,"&gt;="&amp;$A301,Despesas!$C:$C,E$1,Despesas!$M:$M,"Mensal")+SUMIFS(Despesas!$F:$F,Despesas!$J:$J,"&lt;="&amp;$A301,Despesas!$L:$L,"&gt;="&amp;$A301,Despesas!$C:$C,E$1,Despesas!$M:$M,$B301)</f>
        <v>0</v>
      </c>
      <c r="F301" s="5">
        <f>SUMIFS(Despesas!$F:$F,Despesas!$J:$J,"&lt;="&amp;$A301,Despesas!$L:$L,"&gt;="&amp;$A301,Despesas!$C:$C,F$1,Despesas!$M:$M,"Mensal")+SUMIFS(Despesas!$F:$F,Despesas!$J:$J,"&lt;="&amp;$A301,Despesas!$L:$L,"&gt;="&amp;$A301,Despesas!$C:$C,F$1,Despesas!$M:$M,$B301)</f>
        <v>13000</v>
      </c>
      <c r="G301" s="5">
        <f ca="1">SUMIFS(Despesas!$F:$F,Despesas!$J:$J,"&lt;="&amp;$A301,Despesas!$L:$L,"&gt;="&amp;$A301,Despesas!$C:$C,G$1,Despesas!$M:$M,"Mensal")+SUMIFS(Despesas!$F:$F,Despesas!$J:$J,"&lt;="&amp;$A301,Despesas!$L:$L,"&gt;="&amp;$A301,Despesas!$C:$C,G$1,Despesas!$M:$M,$B301)</f>
        <v>55757</v>
      </c>
      <c r="H301" s="18">
        <f>SUMIFS(Despesas!$F:$F,Despesas!$J:$J,"&lt;="&amp;$A301,Despesas!$L:$L,"&gt;="&amp;$A301,Despesas!$C:$C,H$1,Despesas!$M:$M,"Mensal")+SUMIFS(Despesas!$F:$F,Despesas!$J:$J,"&lt;="&amp;$A301,Despesas!$L:$L,"&gt;="&amp;$A301,Despesas!$C:$C,H$1,Despesas!$M:$M,$B301)</f>
        <v>1000</v>
      </c>
      <c r="I301" s="18">
        <f>IF(Imóveis!$F$2="PRICE",IF(AND(Dados!$A301&gt;=Imóveis!$Q$2,Dados!$A301&lt;=Imóveis!$T$2),Imóveis!$U$2,0),IF((IF(AND(Dados!$A301&gt;=Imóveis!$Q$2,Dados!$A301&lt;=Imóveis!$T$2),Imóveis!$S$2-(DATEDIF(Imóveis!$Q$2,Dados!$A301,"m")),0))=0,0,((Imóveis!$N$2/Imóveis!$S$2)+((Imóveis!$N$2-((Imóveis!$S$2-(IF(AND(Dados!$A301&gt;=Imóveis!$Q$2,Dados!$A301&lt;=Imóveis!$T$2),Imóveis!$S$2-(DATEDIF(Imóveis!$Q$2,Dados!$A301,"m")),)))*(Imóveis!$N$2/Imóveis!$S$2)))*Imóveis!$P$2))))*IF(AND(Imóveis!$E$2&gt;0,Dados!$A301&gt;Imóveis!$E$2),0,1)</f>
        <v>0</v>
      </c>
      <c r="J301" s="18">
        <f>IF(Imóveis!$F$3="PRICE",IF(AND(Dados!$A301&gt;=Imóveis!$Q$3,Dados!$A301&lt;=Imóveis!$T$3),Imóveis!$U$3,0),IF((IF(AND(Dados!$A301&gt;=Imóveis!$Q$3,Dados!$A301&lt;=Imóveis!$T$3),Imóveis!$S$3-(DATEDIF(Imóveis!$Q$3,Dados!$A301,"m")),0))=0,0,((Imóveis!$N$3/Imóveis!$S$3)+((Imóveis!$N$3-((Imóveis!$S$3-(IF(AND(Dados!$A301&gt;=Imóveis!$Q$3,Dados!$A301&lt;=Imóveis!$T$3),Imóveis!$S$3-(DATEDIF(Imóveis!$Q$3,Dados!$A301,"m")),)))*(Imóveis!$N$3/Imóveis!$S$3)))*Imóveis!$P$3))))*IF(AND(Imóveis!$E$3&gt;0,Dados!$A301&gt;Imóveis!$E$3),0,1)</f>
        <v>0</v>
      </c>
      <c r="K301" s="18">
        <f>IF(Imóveis!$F$4="PRICE",IF(AND(Dados!$A301&gt;=Imóveis!$Q$4,Dados!$A301&lt;=Imóveis!$T$4),Imóveis!$U$4,0),IF((IF(AND(Dados!$A301&gt;=Imóveis!$Q$4,Dados!$A301&lt;=Imóveis!$T$4),Imóveis!$S$4-(DATEDIF(Imóveis!$Q$4,Dados!$A301,"m")),0))=0,0,((Imóveis!$N$4/Imóveis!$S$4)+((Imóveis!$N$4-((Imóveis!$S$4-(IF(AND(Dados!$A301&gt;=Imóveis!$Q$4,Dados!$A301&lt;=Imóveis!$T$4),Imóveis!$S$4-(DATEDIF(Imóveis!$Q$4,Dados!$A301,"m")),)))*(Imóveis!$N$4/Imóveis!$S$4)))*Imóveis!$P$4))))*IF(AND(Imóveis!$E$4&gt;0,Dados!$A301&gt;Imóveis!$E$4),0,1)</f>
        <v>0</v>
      </c>
      <c r="L301" s="18">
        <f>IF(Imóveis!$F$5="PRICE",IF(AND(Dados!$A301&gt;=Imóveis!$Q$5,Dados!$A301&lt;=Imóveis!$T$5),Imóveis!$U$5,0),IF((IF(AND(Dados!$A301&gt;=Imóveis!$Q$5,Dados!$A301&lt;=Imóveis!$T$5),Imóveis!$S$5-(DATEDIF(Imóveis!$Q$5,Dados!$A301,"m")),0))=0,0,((Imóveis!$N$5/Imóveis!$S$5)+((Imóveis!$N$5-((Imóveis!$S$5-(IF(AND(Dados!$A301 &gt;=Imóveis!$Q$5,Dados!$A301&lt;=Imóveis!$T$5),Imóveis!$S$5-(DATEDIF(Imóveis!$Q$5,Dados!$A301,"m")),)))*(Imóveis!$N$5/Imóveis!$S$5)))*Imóveis!$P$5))))*IF(AND(Imóveis!$E$5&gt;0,Dados!$A301&gt;Imóveis!$E$5),0,1)*Imóveis!$I$5</f>
        <v>0</v>
      </c>
      <c r="M301" s="18">
        <f>IF(Imóveis!$F$6="PRICE",IF(AND(Dados!$A301&gt;=Imóveis!$Q$6,Dados!$A301&lt;=Imóveis!$T$6),Imóveis!$U$6,0),IF((IF(AND(Dados!$A301&gt;=Imóveis!$Q$6,Dados!$A301&lt;=Imóveis!$T$6),Imóveis!$S$6-(DATEDIF(Imóveis!$Q$6,Dados!$A301,"m")),0))=0,0,((Imóveis!$N$6/Imóveis!$S$6)+((Imóveis!$N$6-((Imóveis!$S$6-(IF(AND(Dados!$A301&gt;=Imóveis!$Q$6,Dados!$A301&lt;=Imóveis!$T$6),Imóveis!$S$6-(DATEDIF(Imóveis!$Q$6,Dados!$A301,"m")),)))*(Imóveis!$N$6/Imóveis!$S$6)))*Imóveis!$P$6))))*IF(AND(Imóveis!$E$6&gt;0,Dados!$A301&gt;Imóveis!$E$6),0,1)*Imóveis!$I$6</f>
        <v>0</v>
      </c>
      <c r="N301" s="18">
        <f t="shared" ca="1" si="37"/>
        <v>92757</v>
      </c>
      <c r="O301" s="18">
        <f>SUMIFS(Receitas!$F:$F,Receitas!$J:$J,"&lt;="&amp;$A301,Receitas!$L:$L,"&gt;="&amp;$A301,Receitas!$C:$C,O$1,Receitas!$M:$M,"Mensal")+SUMIFS(Receitas!$F:$F,Receitas!$J:$J,"&lt;="&amp;$A301,Receitas!$L:$L,"&gt;="&amp;$A301,Receitas!$C:$C,O$1,Receitas!$M:$M,$B301)</f>
        <v>50000</v>
      </c>
      <c r="P301" s="18">
        <f>SUMIFS(Receitas!$F:$F,Receitas!$J:$J,"&lt;="&amp;$A301,Receitas!$L:$L,"&gt;="&amp;$A301,Receitas!$C:$C,P$1,Receitas!$M:$M,"Mensal")+SUMIFS(Receitas!$F:$F,Receitas!$J:$J,"&lt;="&amp;$A301,Receitas!$L:$L,"&gt;="&amp;$A301,Receitas!$C:$C,P$1,Receitas!$M:$M,$B301)</f>
        <v>20000</v>
      </c>
      <c r="Q301" s="18">
        <f>SUMIFS(Receitas!$F:$F,Receitas!$J:$J,"&lt;="&amp;$A301,Receitas!$L:$L,"&gt;="&amp;$A301,Receitas!$C:$C,Q$1,Receitas!$M:$M,"Mensal")+SUMIFS(Receitas!$F:$F,Receitas!$J:$J,"&lt;="&amp;$A301,Receitas!$L:$L,"&gt;="&amp;$A301,Receitas!$C:$C,Q$1,Receitas!$M:$M,$B301)</f>
        <v>0</v>
      </c>
      <c r="R301" s="18" cm="1">
        <f t="array" ref="R301">(IF(AND(Membros!$F$2="Sim",A301&lt;=MAX(Membros!$E$2:$E$5)),Membros!K$2,IF(AND(A301&gt;=Membros!J$2,A301&lt;=MAX(Membros!$E$2:$E$5)),Membros!K$2,0))+IF(AND(Membros!$F$3="Sim",A301&lt;=MAX(Membros!$E$2:$E$5)),Membros!K$3,IF(AND(A301&gt;=Membros!J$3,A301&lt;=MAX(Membros!$E$2:$E$5)),Membros!K$3,0)))*IF(AND(COUNTIFS(Tabela3[Tipo],"Provedor",Tabela3[Simulação Seguro],"Sim")=2,A301&gt;=MAX(IF(Tabela3[Tipo]="Dependente",Tabela3[Expectativa de Vida (Data)]))),0,1)</f>
        <v>0</v>
      </c>
      <c r="S301" s="18">
        <f t="shared" si="38"/>
        <v>70000</v>
      </c>
      <c r="U301" s="18">
        <f t="shared" ca="1" si="41"/>
        <v>18069718.508046545</v>
      </c>
      <c r="V301" s="18">
        <f>SUMIF(Imóveis!E:E,Dados!A:A,Imóveis!Z:Z)-SUMIF(Imóveis!E:E,Dados!A:A,Imóveis!Y:Y)</f>
        <v>0</v>
      </c>
      <c r="W301" s="18">
        <f>-SUMIF(Projetos!N:N,A301,Projetos!F:F)</f>
        <v>0</v>
      </c>
      <c r="X301" s="18">
        <f t="shared" ca="1" si="35"/>
        <v>-22757</v>
      </c>
      <c r="Y301" s="26">
        <f ca="1">(U301*((Indicadores_Economicos!D$2+1)^(1/12)-1))</f>
        <v>59155.55633292799</v>
      </c>
      <c r="Z301" s="18">
        <f t="shared" ca="1" si="39"/>
        <v>18106117.064379472</v>
      </c>
      <c r="AA301" s="18">
        <f ca="1">Auxiliar_Projetos!E301</f>
        <v>1.038985912545678E-9</v>
      </c>
      <c r="AB301" s="18">
        <f ca="1">Auxiliar_Projetos!K301</f>
        <v>7.9921993272744418E-10</v>
      </c>
      <c r="AC301" s="18">
        <f ca="1">IF(Z301-AA301-AB301&gt;Investimentos!$C$14,Investimentos!$C$14,IF(Z301-AA301-AB301&lt;Investimentos!$C$14,Z301-AA301-AB301,0))</f>
        <v>300000</v>
      </c>
      <c r="AD301" s="18">
        <f t="shared" ca="1" si="40"/>
        <v>17806117.064379472</v>
      </c>
      <c r="AE301" s="18"/>
    </row>
    <row r="302" spans="1:31" x14ac:dyDescent="0.2">
      <c r="A302" s="4">
        <v>54789</v>
      </c>
      <c r="B302" s="5" t="str">
        <f t="shared" si="36"/>
        <v>janeiro</v>
      </c>
      <c r="C302" s="5" t="str">
        <f t="shared" si="42"/>
        <v>2050</v>
      </c>
      <c r="D302" s="5">
        <f>SUMIFS(Despesas!$F:$F,Despesas!$J:$J,"&lt;="&amp;$A302,Despesas!$L:$L,"&gt;="&amp;$A302,Despesas!$C:$C,D$1,Despesas!$M:$M,"Mensal")+SUMIFS(Despesas!$F:$F,Despesas!$J:$J,"&lt;="&amp;$A302,Despesas!$L:$L,"&gt;="&amp;$A302,Despesas!$C:$C,D$1,Despesas!$M:$M,$B302)</f>
        <v>23000</v>
      </c>
      <c r="E302" s="18">
        <f>SUMIFS(Despesas!$F:$F,Despesas!$J:$J,"&lt;="&amp;$A302,Despesas!$L:$L,"&gt;="&amp;$A302,Despesas!$C:$C,E$1,Despesas!$M:$M,"Mensal")+SUMIFS(Despesas!$F:$F,Despesas!$J:$J,"&lt;="&amp;$A302,Despesas!$L:$L,"&gt;="&amp;$A302,Despesas!$C:$C,E$1,Despesas!$M:$M,$B302)</f>
        <v>0</v>
      </c>
      <c r="F302" s="5">
        <f>SUMIFS(Despesas!$F:$F,Despesas!$J:$J,"&lt;="&amp;$A302,Despesas!$L:$L,"&gt;="&amp;$A302,Despesas!$C:$C,F$1,Despesas!$M:$M,"Mensal")+SUMIFS(Despesas!$F:$F,Despesas!$J:$J,"&lt;="&amp;$A302,Despesas!$L:$L,"&gt;="&amp;$A302,Despesas!$C:$C,F$1,Despesas!$M:$M,$B302)</f>
        <v>13000</v>
      </c>
      <c r="G302" s="5">
        <f>SUMIFS(Despesas!$F:$F,Despesas!$J:$J,"&lt;="&amp;$A302,Despesas!$L:$L,"&gt;="&amp;$A302,Despesas!$C:$C,G$1,Despesas!$M:$M,"Mensal")+SUMIFS(Despesas!$F:$F,Despesas!$J:$J,"&lt;="&amp;$A302,Despesas!$L:$L,"&gt;="&amp;$A302,Despesas!$C:$C,G$1,Despesas!$M:$M,$B302)</f>
        <v>0</v>
      </c>
      <c r="H302" s="18">
        <f>SUMIFS(Despesas!$F:$F,Despesas!$J:$J,"&lt;="&amp;$A302,Despesas!$L:$L,"&gt;="&amp;$A302,Despesas!$C:$C,H$1,Despesas!$M:$M,"Mensal")+SUMIFS(Despesas!$F:$F,Despesas!$J:$J,"&lt;="&amp;$A302,Despesas!$L:$L,"&gt;="&amp;$A302,Despesas!$C:$C,H$1,Despesas!$M:$M,$B302)</f>
        <v>1000</v>
      </c>
      <c r="I302" s="18">
        <f>IF(Imóveis!$F$2="PRICE",IF(AND(Dados!$A302&gt;=Imóveis!$Q$2,Dados!$A302&lt;=Imóveis!$T$2),Imóveis!$U$2,0),IF((IF(AND(Dados!$A302&gt;=Imóveis!$Q$2,Dados!$A302&lt;=Imóveis!$T$2),Imóveis!$S$2-(DATEDIF(Imóveis!$Q$2,Dados!$A302,"m")),0))=0,0,((Imóveis!$N$2/Imóveis!$S$2)+((Imóveis!$N$2-((Imóveis!$S$2-(IF(AND(Dados!$A302&gt;=Imóveis!$Q$2,Dados!$A302&lt;=Imóveis!$T$2),Imóveis!$S$2-(DATEDIF(Imóveis!$Q$2,Dados!$A302,"m")),)))*(Imóveis!$N$2/Imóveis!$S$2)))*Imóveis!$P$2))))*IF(AND(Imóveis!$E$2&gt;0,Dados!$A302&gt;Imóveis!$E$2),0,1)</f>
        <v>0</v>
      </c>
      <c r="J302" s="18">
        <f>IF(Imóveis!$F$3="PRICE",IF(AND(Dados!$A302&gt;=Imóveis!$Q$3,Dados!$A302&lt;=Imóveis!$T$3),Imóveis!$U$3,0),IF((IF(AND(Dados!$A302&gt;=Imóveis!$Q$3,Dados!$A302&lt;=Imóveis!$T$3),Imóveis!$S$3-(DATEDIF(Imóveis!$Q$3,Dados!$A302,"m")),0))=0,0,((Imóveis!$N$3/Imóveis!$S$3)+((Imóveis!$N$3-((Imóveis!$S$3-(IF(AND(Dados!$A302&gt;=Imóveis!$Q$3,Dados!$A302&lt;=Imóveis!$T$3),Imóveis!$S$3-(DATEDIF(Imóveis!$Q$3,Dados!$A302,"m")),)))*(Imóveis!$N$3/Imóveis!$S$3)))*Imóveis!$P$3))))*IF(AND(Imóveis!$E$3&gt;0,Dados!$A302&gt;Imóveis!$E$3),0,1)</f>
        <v>0</v>
      </c>
      <c r="K302" s="18">
        <f>IF(Imóveis!$F$4="PRICE",IF(AND(Dados!$A302&gt;=Imóveis!$Q$4,Dados!$A302&lt;=Imóveis!$T$4),Imóveis!$U$4,0),IF((IF(AND(Dados!$A302&gt;=Imóveis!$Q$4,Dados!$A302&lt;=Imóveis!$T$4),Imóveis!$S$4-(DATEDIF(Imóveis!$Q$4,Dados!$A302,"m")),0))=0,0,((Imóveis!$N$4/Imóveis!$S$4)+((Imóveis!$N$4-((Imóveis!$S$4-(IF(AND(Dados!$A302&gt;=Imóveis!$Q$4,Dados!$A302&lt;=Imóveis!$T$4),Imóveis!$S$4-(DATEDIF(Imóveis!$Q$4,Dados!$A302,"m")),)))*(Imóveis!$N$4/Imóveis!$S$4)))*Imóveis!$P$4))))*IF(AND(Imóveis!$E$4&gt;0,Dados!$A302&gt;Imóveis!$E$4),0,1)</f>
        <v>0</v>
      </c>
      <c r="L302" s="18">
        <f>IF(Imóveis!$F$5="PRICE",IF(AND(Dados!$A302&gt;=Imóveis!$Q$5,Dados!$A302&lt;=Imóveis!$T$5),Imóveis!$U$5,0),IF((IF(AND(Dados!$A302&gt;=Imóveis!$Q$5,Dados!$A302&lt;=Imóveis!$T$5),Imóveis!$S$5-(DATEDIF(Imóveis!$Q$5,Dados!$A302,"m")),0))=0,0,((Imóveis!$N$5/Imóveis!$S$5)+((Imóveis!$N$5-((Imóveis!$S$5-(IF(AND(Dados!$A302 &gt;=Imóveis!$Q$5,Dados!$A302&lt;=Imóveis!$T$5),Imóveis!$S$5-(DATEDIF(Imóveis!$Q$5,Dados!$A302,"m")),)))*(Imóveis!$N$5/Imóveis!$S$5)))*Imóveis!$P$5))))*IF(AND(Imóveis!$E$5&gt;0,Dados!$A302&gt;Imóveis!$E$5),0,1)*Imóveis!$I$5</f>
        <v>0</v>
      </c>
      <c r="M302" s="18">
        <f>IF(Imóveis!$F$6="PRICE",IF(AND(Dados!$A302&gt;=Imóveis!$Q$6,Dados!$A302&lt;=Imóveis!$T$6),Imóveis!$U$6,0),IF((IF(AND(Dados!$A302&gt;=Imóveis!$Q$6,Dados!$A302&lt;=Imóveis!$T$6),Imóveis!$S$6-(DATEDIF(Imóveis!$Q$6,Dados!$A302,"m")),0))=0,0,((Imóveis!$N$6/Imóveis!$S$6)+((Imóveis!$N$6-((Imóveis!$S$6-(IF(AND(Dados!$A302&gt;=Imóveis!$Q$6,Dados!$A302&lt;=Imóveis!$T$6),Imóveis!$S$6-(DATEDIF(Imóveis!$Q$6,Dados!$A302,"m")),)))*(Imóveis!$N$6/Imóveis!$S$6)))*Imóveis!$P$6))))*IF(AND(Imóveis!$E$6&gt;0,Dados!$A302&gt;Imóveis!$E$6),0,1)*Imóveis!$I$6</f>
        <v>0</v>
      </c>
      <c r="N302" s="18">
        <f t="shared" si="37"/>
        <v>37000</v>
      </c>
      <c r="O302" s="18">
        <f>SUMIFS(Receitas!$F:$F,Receitas!$J:$J,"&lt;="&amp;$A302,Receitas!$L:$L,"&gt;="&amp;$A302,Receitas!$C:$C,O$1,Receitas!$M:$M,"Mensal")+SUMIFS(Receitas!$F:$F,Receitas!$J:$J,"&lt;="&amp;$A302,Receitas!$L:$L,"&gt;="&amp;$A302,Receitas!$C:$C,O$1,Receitas!$M:$M,$B302)</f>
        <v>50000</v>
      </c>
      <c r="P302" s="18">
        <f>SUMIFS(Receitas!$F:$F,Receitas!$J:$J,"&lt;="&amp;$A302,Receitas!$L:$L,"&gt;="&amp;$A302,Receitas!$C:$C,P$1,Receitas!$M:$M,"Mensal")+SUMIFS(Receitas!$F:$F,Receitas!$J:$J,"&lt;="&amp;$A302,Receitas!$L:$L,"&gt;="&amp;$A302,Receitas!$C:$C,P$1,Receitas!$M:$M,$B302)</f>
        <v>20000</v>
      </c>
      <c r="Q302" s="18">
        <f>SUMIFS(Receitas!$F:$F,Receitas!$J:$J,"&lt;="&amp;$A302,Receitas!$L:$L,"&gt;="&amp;$A302,Receitas!$C:$C,Q$1,Receitas!$M:$M,"Mensal")+SUMIFS(Receitas!$F:$F,Receitas!$J:$J,"&lt;="&amp;$A302,Receitas!$L:$L,"&gt;="&amp;$A302,Receitas!$C:$C,Q$1,Receitas!$M:$M,$B302)</f>
        <v>0</v>
      </c>
      <c r="R302" s="18" cm="1">
        <f t="array" ref="R302">(IF(AND(Membros!$F$2="Sim",A302&lt;=MAX(Membros!$E$2:$E$5)),Membros!K$2,IF(AND(A302&gt;=Membros!J$2,A302&lt;=MAX(Membros!$E$2:$E$5)),Membros!K$2,0))+IF(AND(Membros!$F$3="Sim",A302&lt;=MAX(Membros!$E$2:$E$5)),Membros!K$3,IF(AND(A302&gt;=Membros!J$3,A302&lt;=MAX(Membros!$E$2:$E$5)),Membros!K$3,0)))*IF(AND(COUNTIFS(Tabela3[Tipo],"Provedor",Tabela3[Simulação Seguro],"Sim")=2,A302&gt;=MAX(IF(Tabela3[Tipo]="Dependente",Tabela3[Expectativa de Vida (Data)]))),0,1)</f>
        <v>0</v>
      </c>
      <c r="S302" s="18">
        <f t="shared" si="38"/>
        <v>70000</v>
      </c>
      <c r="U302" s="18">
        <f t="shared" ca="1" si="41"/>
        <v>18106117.064379472</v>
      </c>
      <c r="V302" s="18">
        <f>SUMIF(Imóveis!E:E,Dados!A:A,Imóveis!Z:Z)-SUMIF(Imóveis!E:E,Dados!A:A,Imóveis!Y:Y)</f>
        <v>0</v>
      </c>
      <c r="W302" s="18">
        <f>-SUMIF(Projetos!N:N,A302,Projetos!F:F)</f>
        <v>0</v>
      </c>
      <c r="X302" s="18">
        <f t="shared" si="35"/>
        <v>33000</v>
      </c>
      <c r="Y302" s="26">
        <f ca="1">(U302*((Indicadores_Economicos!D$2+1)^(1/12)-1))</f>
        <v>59274.715734809703</v>
      </c>
      <c r="Z302" s="18">
        <f t="shared" ca="1" si="39"/>
        <v>18198391.780114282</v>
      </c>
      <c r="AA302" s="18">
        <f ca="1">Auxiliar_Projetos!E302</f>
        <v>1.042387282060723E-9</v>
      </c>
      <c r="AB302" s="18">
        <f ca="1">Auxiliar_Projetos!K302</f>
        <v>8.0183637081594032E-10</v>
      </c>
      <c r="AC302" s="18">
        <f ca="1">IF(Z302-AA302-AB302&gt;Investimentos!$C$14,Investimentos!$C$14,IF(Z302-AA302-AB302&lt;Investimentos!$C$14,Z302-AA302-AB302,0))</f>
        <v>300000</v>
      </c>
      <c r="AD302" s="18">
        <f t="shared" ca="1" si="40"/>
        <v>17898391.780114282</v>
      </c>
      <c r="AE302" s="18"/>
    </row>
    <row r="303" spans="1:31" x14ac:dyDescent="0.2">
      <c r="A303" s="4">
        <v>54820</v>
      </c>
      <c r="B303" s="5" t="str">
        <f t="shared" si="36"/>
        <v>fevereiro</v>
      </c>
      <c r="C303" s="5" t="str">
        <f t="shared" si="42"/>
        <v>2050</v>
      </c>
      <c r="D303" s="5">
        <f>SUMIFS(Despesas!$F:$F,Despesas!$J:$J,"&lt;="&amp;$A303,Despesas!$L:$L,"&gt;="&amp;$A303,Despesas!$C:$C,D$1,Despesas!$M:$M,"Mensal")+SUMIFS(Despesas!$F:$F,Despesas!$J:$J,"&lt;="&amp;$A303,Despesas!$L:$L,"&gt;="&amp;$A303,Despesas!$C:$C,D$1,Despesas!$M:$M,$B303)</f>
        <v>23000</v>
      </c>
      <c r="E303" s="18">
        <f>SUMIFS(Despesas!$F:$F,Despesas!$J:$J,"&lt;="&amp;$A303,Despesas!$L:$L,"&gt;="&amp;$A303,Despesas!$C:$C,E$1,Despesas!$M:$M,"Mensal")+SUMIFS(Despesas!$F:$F,Despesas!$J:$J,"&lt;="&amp;$A303,Despesas!$L:$L,"&gt;="&amp;$A303,Despesas!$C:$C,E$1,Despesas!$M:$M,$B303)</f>
        <v>0</v>
      </c>
      <c r="F303" s="5">
        <f>SUMIFS(Despesas!$F:$F,Despesas!$J:$J,"&lt;="&amp;$A303,Despesas!$L:$L,"&gt;="&amp;$A303,Despesas!$C:$C,F$1,Despesas!$M:$M,"Mensal")+SUMIFS(Despesas!$F:$F,Despesas!$J:$J,"&lt;="&amp;$A303,Despesas!$L:$L,"&gt;="&amp;$A303,Despesas!$C:$C,F$1,Despesas!$M:$M,$B303)</f>
        <v>13000</v>
      </c>
      <c r="G303" s="5">
        <f>SUMIFS(Despesas!$F:$F,Despesas!$J:$J,"&lt;="&amp;$A303,Despesas!$L:$L,"&gt;="&amp;$A303,Despesas!$C:$C,G$1,Despesas!$M:$M,"Mensal")+SUMIFS(Despesas!$F:$F,Despesas!$J:$J,"&lt;="&amp;$A303,Despesas!$L:$L,"&gt;="&amp;$A303,Despesas!$C:$C,G$1,Despesas!$M:$M,$B303)</f>
        <v>0</v>
      </c>
      <c r="H303" s="18">
        <f>SUMIFS(Despesas!$F:$F,Despesas!$J:$J,"&lt;="&amp;$A303,Despesas!$L:$L,"&gt;="&amp;$A303,Despesas!$C:$C,H$1,Despesas!$M:$M,"Mensal")+SUMIFS(Despesas!$F:$F,Despesas!$J:$J,"&lt;="&amp;$A303,Despesas!$L:$L,"&gt;="&amp;$A303,Despesas!$C:$C,H$1,Despesas!$M:$M,$B303)</f>
        <v>2200</v>
      </c>
      <c r="I303" s="18">
        <f>IF(Imóveis!$F$2="PRICE",IF(AND(Dados!$A303&gt;=Imóveis!$Q$2,Dados!$A303&lt;=Imóveis!$T$2),Imóveis!$U$2,0),IF((IF(AND(Dados!$A303&gt;=Imóveis!$Q$2,Dados!$A303&lt;=Imóveis!$T$2),Imóveis!$S$2-(DATEDIF(Imóveis!$Q$2,Dados!$A303,"m")),0))=0,0,((Imóveis!$N$2/Imóveis!$S$2)+((Imóveis!$N$2-((Imóveis!$S$2-(IF(AND(Dados!$A303&gt;=Imóveis!$Q$2,Dados!$A303&lt;=Imóveis!$T$2),Imóveis!$S$2-(DATEDIF(Imóveis!$Q$2,Dados!$A303,"m")),)))*(Imóveis!$N$2/Imóveis!$S$2)))*Imóveis!$P$2))))*IF(AND(Imóveis!$E$2&gt;0,Dados!$A303&gt;Imóveis!$E$2),0,1)</f>
        <v>0</v>
      </c>
      <c r="J303" s="18">
        <f>IF(Imóveis!$F$3="PRICE",IF(AND(Dados!$A303&gt;=Imóveis!$Q$3,Dados!$A303&lt;=Imóveis!$T$3),Imóveis!$U$3,0),IF((IF(AND(Dados!$A303&gt;=Imóveis!$Q$3,Dados!$A303&lt;=Imóveis!$T$3),Imóveis!$S$3-(DATEDIF(Imóveis!$Q$3,Dados!$A303,"m")),0))=0,0,((Imóveis!$N$3/Imóveis!$S$3)+((Imóveis!$N$3-((Imóveis!$S$3-(IF(AND(Dados!$A303&gt;=Imóveis!$Q$3,Dados!$A303&lt;=Imóveis!$T$3),Imóveis!$S$3-(DATEDIF(Imóveis!$Q$3,Dados!$A303,"m")),)))*(Imóveis!$N$3/Imóveis!$S$3)))*Imóveis!$P$3))))*IF(AND(Imóveis!$E$3&gt;0,Dados!$A303&gt;Imóveis!$E$3),0,1)</f>
        <v>0</v>
      </c>
      <c r="K303" s="18">
        <f>IF(Imóveis!$F$4="PRICE",IF(AND(Dados!$A303&gt;=Imóveis!$Q$4,Dados!$A303&lt;=Imóveis!$T$4),Imóveis!$U$4,0),IF((IF(AND(Dados!$A303&gt;=Imóveis!$Q$4,Dados!$A303&lt;=Imóveis!$T$4),Imóveis!$S$4-(DATEDIF(Imóveis!$Q$4,Dados!$A303,"m")),0))=0,0,((Imóveis!$N$4/Imóveis!$S$4)+((Imóveis!$N$4-((Imóveis!$S$4-(IF(AND(Dados!$A303&gt;=Imóveis!$Q$4,Dados!$A303&lt;=Imóveis!$T$4),Imóveis!$S$4-(DATEDIF(Imóveis!$Q$4,Dados!$A303,"m")),)))*(Imóveis!$N$4/Imóveis!$S$4)))*Imóveis!$P$4))))*IF(AND(Imóveis!$E$4&gt;0,Dados!$A303&gt;Imóveis!$E$4),0,1)</f>
        <v>0</v>
      </c>
      <c r="L303" s="18">
        <f>IF(Imóveis!$F$5="PRICE",IF(AND(Dados!$A303&gt;=Imóveis!$Q$5,Dados!$A303&lt;=Imóveis!$T$5),Imóveis!$U$5,0),IF((IF(AND(Dados!$A303&gt;=Imóveis!$Q$5,Dados!$A303&lt;=Imóveis!$T$5),Imóveis!$S$5-(DATEDIF(Imóveis!$Q$5,Dados!$A303,"m")),0))=0,0,((Imóveis!$N$5/Imóveis!$S$5)+((Imóveis!$N$5-((Imóveis!$S$5-(IF(AND(Dados!$A303 &gt;=Imóveis!$Q$5,Dados!$A303&lt;=Imóveis!$T$5),Imóveis!$S$5-(DATEDIF(Imóveis!$Q$5,Dados!$A303,"m")),)))*(Imóveis!$N$5/Imóveis!$S$5)))*Imóveis!$P$5))))*IF(AND(Imóveis!$E$5&gt;0,Dados!$A303&gt;Imóveis!$E$5),0,1)*Imóveis!$I$5</f>
        <v>0</v>
      </c>
      <c r="M303" s="18">
        <f>IF(Imóveis!$F$6="PRICE",IF(AND(Dados!$A303&gt;=Imóveis!$Q$6,Dados!$A303&lt;=Imóveis!$T$6),Imóveis!$U$6,0),IF((IF(AND(Dados!$A303&gt;=Imóveis!$Q$6,Dados!$A303&lt;=Imóveis!$T$6),Imóveis!$S$6-(DATEDIF(Imóveis!$Q$6,Dados!$A303,"m")),0))=0,0,((Imóveis!$N$6/Imóveis!$S$6)+((Imóveis!$N$6-((Imóveis!$S$6-(IF(AND(Dados!$A303&gt;=Imóveis!$Q$6,Dados!$A303&lt;=Imóveis!$T$6),Imóveis!$S$6-(DATEDIF(Imóveis!$Q$6,Dados!$A303,"m")),)))*(Imóveis!$N$6/Imóveis!$S$6)))*Imóveis!$P$6))))*IF(AND(Imóveis!$E$6&gt;0,Dados!$A303&gt;Imóveis!$E$6),0,1)*Imóveis!$I$6</f>
        <v>0</v>
      </c>
      <c r="N303" s="18">
        <f t="shared" si="37"/>
        <v>38200</v>
      </c>
      <c r="O303" s="18">
        <f>SUMIFS(Receitas!$F:$F,Receitas!$J:$J,"&lt;="&amp;$A303,Receitas!$L:$L,"&gt;="&amp;$A303,Receitas!$C:$C,O$1,Receitas!$M:$M,"Mensal")+SUMIFS(Receitas!$F:$F,Receitas!$J:$J,"&lt;="&amp;$A303,Receitas!$L:$L,"&gt;="&amp;$A303,Receitas!$C:$C,O$1,Receitas!$M:$M,$B303)</f>
        <v>50000</v>
      </c>
      <c r="P303" s="18">
        <f>SUMIFS(Receitas!$F:$F,Receitas!$J:$J,"&lt;="&amp;$A303,Receitas!$L:$L,"&gt;="&amp;$A303,Receitas!$C:$C,P$1,Receitas!$M:$M,"Mensal")+SUMIFS(Receitas!$F:$F,Receitas!$J:$J,"&lt;="&amp;$A303,Receitas!$L:$L,"&gt;="&amp;$A303,Receitas!$C:$C,P$1,Receitas!$M:$M,$B303)</f>
        <v>20000</v>
      </c>
      <c r="Q303" s="18">
        <f>SUMIFS(Receitas!$F:$F,Receitas!$J:$J,"&lt;="&amp;$A303,Receitas!$L:$L,"&gt;="&amp;$A303,Receitas!$C:$C,Q$1,Receitas!$M:$M,"Mensal")+SUMIFS(Receitas!$F:$F,Receitas!$J:$J,"&lt;="&amp;$A303,Receitas!$L:$L,"&gt;="&amp;$A303,Receitas!$C:$C,Q$1,Receitas!$M:$M,$B303)</f>
        <v>0</v>
      </c>
      <c r="R303" s="18" cm="1">
        <f t="array" ref="R303">(IF(AND(Membros!$F$2="Sim",A303&lt;=MAX(Membros!$E$2:$E$5)),Membros!K$2,IF(AND(A303&gt;=Membros!J$2,A303&lt;=MAX(Membros!$E$2:$E$5)),Membros!K$2,0))+IF(AND(Membros!$F$3="Sim",A303&lt;=MAX(Membros!$E$2:$E$5)),Membros!K$3,IF(AND(A303&gt;=Membros!J$3,A303&lt;=MAX(Membros!$E$2:$E$5)),Membros!K$3,0)))*IF(AND(COUNTIFS(Tabela3[Tipo],"Provedor",Tabela3[Simulação Seguro],"Sim")=2,A303&gt;=MAX(IF(Tabela3[Tipo]="Dependente",Tabela3[Expectativa de Vida (Data)]))),0,1)</f>
        <v>0</v>
      </c>
      <c r="S303" s="18">
        <f t="shared" si="38"/>
        <v>70000</v>
      </c>
      <c r="U303" s="18">
        <f t="shared" ca="1" si="41"/>
        <v>18198391.780114282</v>
      </c>
      <c r="V303" s="18">
        <f>SUMIF(Imóveis!E:E,Dados!A:A,Imóveis!Z:Z)-SUMIF(Imóveis!E:E,Dados!A:A,Imóveis!Y:Y)</f>
        <v>0</v>
      </c>
      <c r="W303" s="18">
        <f>-SUMIF(Projetos!N:N,A303,Projetos!F:F)</f>
        <v>0</v>
      </c>
      <c r="X303" s="18">
        <f t="shared" si="35"/>
        <v>31800</v>
      </c>
      <c r="Y303" s="26">
        <f ca="1">(U303*((Indicadores_Economicos!D$2+1)^(1/12)-1))</f>
        <v>59576.799142601842</v>
      </c>
      <c r="Z303" s="18">
        <f t="shared" ca="1" si="39"/>
        <v>18289768.579256885</v>
      </c>
      <c r="AA303" s="18">
        <f ca="1">Auxiliar_Projetos!E303</f>
        <v>1.0457997867744635E-9</v>
      </c>
      <c r="AB303" s="18">
        <f ca="1">Auxiliar_Projetos!K303</f>
        <v>8.0446137444189447E-10</v>
      </c>
      <c r="AC303" s="18">
        <f ca="1">IF(Z303-AA303-AB303&gt;Investimentos!$C$14,Investimentos!$C$14,IF(Z303-AA303-AB303&lt;Investimentos!$C$14,Z303-AA303-AB303,0))</f>
        <v>300000</v>
      </c>
      <c r="AD303" s="18">
        <f t="shared" ca="1" si="40"/>
        <v>17989768.579256885</v>
      </c>
      <c r="AE303" s="18"/>
    </row>
    <row r="304" spans="1:31" x14ac:dyDescent="0.2">
      <c r="A304" s="4">
        <v>54848</v>
      </c>
      <c r="B304" s="5" t="str">
        <f t="shared" si="36"/>
        <v>março</v>
      </c>
      <c r="C304" s="5" t="str">
        <f t="shared" si="42"/>
        <v>2050</v>
      </c>
      <c r="D304" s="5">
        <f>SUMIFS(Despesas!$F:$F,Despesas!$J:$J,"&lt;="&amp;$A304,Despesas!$L:$L,"&gt;="&amp;$A304,Despesas!$C:$C,D$1,Despesas!$M:$M,"Mensal")+SUMIFS(Despesas!$F:$F,Despesas!$J:$J,"&lt;="&amp;$A304,Despesas!$L:$L,"&gt;="&amp;$A304,Despesas!$C:$C,D$1,Despesas!$M:$M,$B304)</f>
        <v>23000</v>
      </c>
      <c r="E304" s="18">
        <f>SUMIFS(Despesas!$F:$F,Despesas!$J:$J,"&lt;="&amp;$A304,Despesas!$L:$L,"&gt;="&amp;$A304,Despesas!$C:$C,E$1,Despesas!$M:$M,"Mensal")+SUMIFS(Despesas!$F:$F,Despesas!$J:$J,"&lt;="&amp;$A304,Despesas!$L:$L,"&gt;="&amp;$A304,Despesas!$C:$C,E$1,Despesas!$M:$M,$B304)</f>
        <v>0</v>
      </c>
      <c r="F304" s="5">
        <f>SUMIFS(Despesas!$F:$F,Despesas!$J:$J,"&lt;="&amp;$A304,Despesas!$L:$L,"&gt;="&amp;$A304,Despesas!$C:$C,F$1,Despesas!$M:$M,"Mensal")+SUMIFS(Despesas!$F:$F,Despesas!$J:$J,"&lt;="&amp;$A304,Despesas!$L:$L,"&gt;="&amp;$A304,Despesas!$C:$C,F$1,Despesas!$M:$M,$B304)</f>
        <v>13000</v>
      </c>
      <c r="G304" s="5">
        <f>SUMIFS(Despesas!$F:$F,Despesas!$J:$J,"&lt;="&amp;$A304,Despesas!$L:$L,"&gt;="&amp;$A304,Despesas!$C:$C,G$1,Despesas!$M:$M,"Mensal")+SUMIFS(Despesas!$F:$F,Despesas!$J:$J,"&lt;="&amp;$A304,Despesas!$L:$L,"&gt;="&amp;$A304,Despesas!$C:$C,G$1,Despesas!$M:$M,$B304)</f>
        <v>0</v>
      </c>
      <c r="H304" s="18">
        <f>SUMIFS(Despesas!$F:$F,Despesas!$J:$J,"&lt;="&amp;$A304,Despesas!$L:$L,"&gt;="&amp;$A304,Despesas!$C:$C,H$1,Despesas!$M:$M,"Mensal")+SUMIFS(Despesas!$F:$F,Despesas!$J:$J,"&lt;="&amp;$A304,Despesas!$L:$L,"&gt;="&amp;$A304,Despesas!$C:$C,H$1,Despesas!$M:$M,$B304)</f>
        <v>1000</v>
      </c>
      <c r="I304" s="18">
        <f>IF(Imóveis!$F$2="PRICE",IF(AND(Dados!$A304&gt;=Imóveis!$Q$2,Dados!$A304&lt;=Imóveis!$T$2),Imóveis!$U$2,0),IF((IF(AND(Dados!$A304&gt;=Imóveis!$Q$2,Dados!$A304&lt;=Imóveis!$T$2),Imóveis!$S$2-(DATEDIF(Imóveis!$Q$2,Dados!$A304,"m")),0))=0,0,((Imóveis!$N$2/Imóveis!$S$2)+((Imóveis!$N$2-((Imóveis!$S$2-(IF(AND(Dados!$A304&gt;=Imóveis!$Q$2,Dados!$A304&lt;=Imóveis!$T$2),Imóveis!$S$2-(DATEDIF(Imóveis!$Q$2,Dados!$A304,"m")),)))*(Imóveis!$N$2/Imóveis!$S$2)))*Imóveis!$P$2))))*IF(AND(Imóveis!$E$2&gt;0,Dados!$A304&gt;Imóveis!$E$2),0,1)</f>
        <v>0</v>
      </c>
      <c r="J304" s="18">
        <f>IF(Imóveis!$F$3="PRICE",IF(AND(Dados!$A304&gt;=Imóveis!$Q$3,Dados!$A304&lt;=Imóveis!$T$3),Imóveis!$U$3,0),IF((IF(AND(Dados!$A304&gt;=Imóveis!$Q$3,Dados!$A304&lt;=Imóveis!$T$3),Imóveis!$S$3-(DATEDIF(Imóveis!$Q$3,Dados!$A304,"m")),0))=0,0,((Imóveis!$N$3/Imóveis!$S$3)+((Imóveis!$N$3-((Imóveis!$S$3-(IF(AND(Dados!$A304&gt;=Imóveis!$Q$3,Dados!$A304&lt;=Imóveis!$T$3),Imóveis!$S$3-(DATEDIF(Imóveis!$Q$3,Dados!$A304,"m")),)))*(Imóveis!$N$3/Imóveis!$S$3)))*Imóveis!$P$3))))*IF(AND(Imóveis!$E$3&gt;0,Dados!$A304&gt;Imóveis!$E$3),0,1)</f>
        <v>0</v>
      </c>
      <c r="K304" s="18">
        <f>IF(Imóveis!$F$4="PRICE",IF(AND(Dados!$A304&gt;=Imóveis!$Q$4,Dados!$A304&lt;=Imóveis!$T$4),Imóveis!$U$4,0),IF((IF(AND(Dados!$A304&gt;=Imóveis!$Q$4,Dados!$A304&lt;=Imóveis!$T$4),Imóveis!$S$4-(DATEDIF(Imóveis!$Q$4,Dados!$A304,"m")),0))=0,0,((Imóveis!$N$4/Imóveis!$S$4)+((Imóveis!$N$4-((Imóveis!$S$4-(IF(AND(Dados!$A304&gt;=Imóveis!$Q$4,Dados!$A304&lt;=Imóveis!$T$4),Imóveis!$S$4-(DATEDIF(Imóveis!$Q$4,Dados!$A304,"m")),)))*(Imóveis!$N$4/Imóveis!$S$4)))*Imóveis!$P$4))))*IF(AND(Imóveis!$E$4&gt;0,Dados!$A304&gt;Imóveis!$E$4),0,1)</f>
        <v>0</v>
      </c>
      <c r="L304" s="18">
        <f>IF(Imóveis!$F$5="PRICE",IF(AND(Dados!$A304&gt;=Imóveis!$Q$5,Dados!$A304&lt;=Imóveis!$T$5),Imóveis!$U$5,0),IF((IF(AND(Dados!$A304&gt;=Imóveis!$Q$5,Dados!$A304&lt;=Imóveis!$T$5),Imóveis!$S$5-(DATEDIF(Imóveis!$Q$5,Dados!$A304,"m")),0))=0,0,((Imóveis!$N$5/Imóveis!$S$5)+((Imóveis!$N$5-((Imóveis!$S$5-(IF(AND(Dados!$A304 &gt;=Imóveis!$Q$5,Dados!$A304&lt;=Imóveis!$T$5),Imóveis!$S$5-(DATEDIF(Imóveis!$Q$5,Dados!$A304,"m")),)))*(Imóveis!$N$5/Imóveis!$S$5)))*Imóveis!$P$5))))*IF(AND(Imóveis!$E$5&gt;0,Dados!$A304&gt;Imóveis!$E$5),0,1)*Imóveis!$I$5</f>
        <v>0</v>
      </c>
      <c r="M304" s="18">
        <f>IF(Imóveis!$F$6="PRICE",IF(AND(Dados!$A304&gt;=Imóveis!$Q$6,Dados!$A304&lt;=Imóveis!$T$6),Imóveis!$U$6,0),IF((IF(AND(Dados!$A304&gt;=Imóveis!$Q$6,Dados!$A304&lt;=Imóveis!$T$6),Imóveis!$S$6-(DATEDIF(Imóveis!$Q$6,Dados!$A304,"m")),0))=0,0,((Imóveis!$N$6/Imóveis!$S$6)+((Imóveis!$N$6-((Imóveis!$S$6-(IF(AND(Dados!$A304&gt;=Imóveis!$Q$6,Dados!$A304&lt;=Imóveis!$T$6),Imóveis!$S$6-(DATEDIF(Imóveis!$Q$6,Dados!$A304,"m")),)))*(Imóveis!$N$6/Imóveis!$S$6)))*Imóveis!$P$6))))*IF(AND(Imóveis!$E$6&gt;0,Dados!$A304&gt;Imóveis!$E$6),0,1)*Imóveis!$I$6</f>
        <v>0</v>
      </c>
      <c r="N304" s="18">
        <f t="shared" si="37"/>
        <v>37000</v>
      </c>
      <c r="O304" s="18">
        <f>SUMIFS(Receitas!$F:$F,Receitas!$J:$J,"&lt;="&amp;$A304,Receitas!$L:$L,"&gt;="&amp;$A304,Receitas!$C:$C,O$1,Receitas!$M:$M,"Mensal")+SUMIFS(Receitas!$F:$F,Receitas!$J:$J,"&lt;="&amp;$A304,Receitas!$L:$L,"&gt;="&amp;$A304,Receitas!$C:$C,O$1,Receitas!$M:$M,$B304)</f>
        <v>50000</v>
      </c>
      <c r="P304" s="18">
        <f>SUMIFS(Receitas!$F:$F,Receitas!$J:$J,"&lt;="&amp;$A304,Receitas!$L:$L,"&gt;="&amp;$A304,Receitas!$C:$C,P$1,Receitas!$M:$M,"Mensal")+SUMIFS(Receitas!$F:$F,Receitas!$J:$J,"&lt;="&amp;$A304,Receitas!$L:$L,"&gt;="&amp;$A304,Receitas!$C:$C,P$1,Receitas!$M:$M,$B304)</f>
        <v>20000</v>
      </c>
      <c r="Q304" s="18">
        <f>SUMIFS(Receitas!$F:$F,Receitas!$J:$J,"&lt;="&amp;$A304,Receitas!$L:$L,"&gt;="&amp;$A304,Receitas!$C:$C,Q$1,Receitas!$M:$M,"Mensal")+SUMIFS(Receitas!$F:$F,Receitas!$J:$J,"&lt;="&amp;$A304,Receitas!$L:$L,"&gt;="&amp;$A304,Receitas!$C:$C,Q$1,Receitas!$M:$M,$B304)</f>
        <v>0</v>
      </c>
      <c r="R304" s="18" cm="1">
        <f t="array" ref="R304">(IF(AND(Membros!$F$2="Sim",A304&lt;=MAX(Membros!$E$2:$E$5)),Membros!K$2,IF(AND(A304&gt;=Membros!J$2,A304&lt;=MAX(Membros!$E$2:$E$5)),Membros!K$2,0))+IF(AND(Membros!$F$3="Sim",A304&lt;=MAX(Membros!$E$2:$E$5)),Membros!K$3,IF(AND(A304&gt;=Membros!J$3,A304&lt;=MAX(Membros!$E$2:$E$5)),Membros!K$3,0)))*IF(AND(COUNTIFS(Tabela3[Tipo],"Provedor",Tabela3[Simulação Seguro],"Sim")=2,A304&gt;=MAX(IF(Tabela3[Tipo]="Dependente",Tabela3[Expectativa de Vida (Data)]))),0,1)</f>
        <v>0</v>
      </c>
      <c r="S304" s="18">
        <f t="shared" si="38"/>
        <v>70000</v>
      </c>
      <c r="U304" s="18">
        <f t="shared" ca="1" si="41"/>
        <v>18289768.579256885</v>
      </c>
      <c r="V304" s="18">
        <f>SUMIF(Imóveis!E:E,Dados!A:A,Imóveis!Z:Z)-SUMIF(Imóveis!E:E,Dados!A:A,Imóveis!Y:Y)</f>
        <v>0</v>
      </c>
      <c r="W304" s="18">
        <f>-SUMIF(Projetos!N:N,A304,Projetos!F:F)</f>
        <v>0</v>
      </c>
      <c r="X304" s="18">
        <f t="shared" si="35"/>
        <v>33000</v>
      </c>
      <c r="Y304" s="26">
        <f ca="1">(U304*((Indicadores_Economicos!D$2+1)^(1/12)-1))</f>
        <v>59875.94300512498</v>
      </c>
      <c r="Z304" s="18">
        <f t="shared" ca="1" si="39"/>
        <v>18382644.522262011</v>
      </c>
      <c r="AA304" s="18">
        <f ca="1">Auxiliar_Projetos!E304</f>
        <v>1.0492234631406422E-9</v>
      </c>
      <c r="AB304" s="18">
        <f ca="1">Auxiliar_Projetos!K304</f>
        <v>8.0709497164664731E-10</v>
      </c>
      <c r="AC304" s="18">
        <f ca="1">IF(Z304-AA304-AB304&gt;Investimentos!$C$14,Investimentos!$C$14,IF(Z304-AA304-AB304&lt;Investimentos!$C$14,Z304-AA304-AB304,0))</f>
        <v>300000</v>
      </c>
      <c r="AD304" s="18">
        <f t="shared" ca="1" si="40"/>
        <v>18082644.522262011</v>
      </c>
      <c r="AE304" s="18"/>
    </row>
    <row r="305" spans="1:31" x14ac:dyDescent="0.2">
      <c r="A305" s="4">
        <v>54879</v>
      </c>
      <c r="B305" s="5" t="str">
        <f t="shared" si="36"/>
        <v>abril</v>
      </c>
      <c r="C305" s="5" t="str">
        <f t="shared" si="42"/>
        <v>2050</v>
      </c>
      <c r="D305" s="5">
        <f>SUMIFS(Despesas!$F:$F,Despesas!$J:$J,"&lt;="&amp;$A305,Despesas!$L:$L,"&gt;="&amp;$A305,Despesas!$C:$C,D$1,Despesas!$M:$M,"Mensal")+SUMIFS(Despesas!$F:$F,Despesas!$J:$J,"&lt;="&amp;$A305,Despesas!$L:$L,"&gt;="&amp;$A305,Despesas!$C:$C,D$1,Despesas!$M:$M,$B305)</f>
        <v>23000</v>
      </c>
      <c r="E305" s="18">
        <f>SUMIFS(Despesas!$F:$F,Despesas!$J:$J,"&lt;="&amp;$A305,Despesas!$L:$L,"&gt;="&amp;$A305,Despesas!$C:$C,E$1,Despesas!$M:$M,"Mensal")+SUMIFS(Despesas!$F:$F,Despesas!$J:$J,"&lt;="&amp;$A305,Despesas!$L:$L,"&gt;="&amp;$A305,Despesas!$C:$C,E$1,Despesas!$M:$M,$B305)</f>
        <v>0</v>
      </c>
      <c r="F305" s="5">
        <f>SUMIFS(Despesas!$F:$F,Despesas!$J:$J,"&lt;="&amp;$A305,Despesas!$L:$L,"&gt;="&amp;$A305,Despesas!$C:$C,F$1,Despesas!$M:$M,"Mensal")+SUMIFS(Despesas!$F:$F,Despesas!$J:$J,"&lt;="&amp;$A305,Despesas!$L:$L,"&gt;="&amp;$A305,Despesas!$C:$C,F$1,Despesas!$M:$M,$B305)</f>
        <v>13000</v>
      </c>
      <c r="G305" s="5">
        <f>SUMIFS(Despesas!$F:$F,Despesas!$J:$J,"&lt;="&amp;$A305,Despesas!$L:$L,"&gt;="&amp;$A305,Despesas!$C:$C,G$1,Despesas!$M:$M,"Mensal")+SUMIFS(Despesas!$F:$F,Despesas!$J:$J,"&lt;="&amp;$A305,Despesas!$L:$L,"&gt;="&amp;$A305,Despesas!$C:$C,G$1,Despesas!$M:$M,$B305)</f>
        <v>0</v>
      </c>
      <c r="H305" s="18">
        <f>SUMIFS(Despesas!$F:$F,Despesas!$J:$J,"&lt;="&amp;$A305,Despesas!$L:$L,"&gt;="&amp;$A305,Despesas!$C:$C,H$1,Despesas!$M:$M,"Mensal")+SUMIFS(Despesas!$F:$F,Despesas!$J:$J,"&lt;="&amp;$A305,Despesas!$L:$L,"&gt;="&amp;$A305,Despesas!$C:$C,H$1,Despesas!$M:$M,$B305)</f>
        <v>1000</v>
      </c>
      <c r="I305" s="18">
        <f>IF(Imóveis!$F$2="PRICE",IF(AND(Dados!$A305&gt;=Imóveis!$Q$2,Dados!$A305&lt;=Imóveis!$T$2),Imóveis!$U$2,0),IF((IF(AND(Dados!$A305&gt;=Imóveis!$Q$2,Dados!$A305&lt;=Imóveis!$T$2),Imóveis!$S$2-(DATEDIF(Imóveis!$Q$2,Dados!$A305,"m")),0))=0,0,((Imóveis!$N$2/Imóveis!$S$2)+((Imóveis!$N$2-((Imóveis!$S$2-(IF(AND(Dados!$A305&gt;=Imóveis!$Q$2,Dados!$A305&lt;=Imóveis!$T$2),Imóveis!$S$2-(DATEDIF(Imóveis!$Q$2,Dados!$A305,"m")),)))*(Imóveis!$N$2/Imóveis!$S$2)))*Imóveis!$P$2))))*IF(AND(Imóveis!$E$2&gt;0,Dados!$A305&gt;Imóveis!$E$2),0,1)</f>
        <v>0</v>
      </c>
      <c r="J305" s="18">
        <f>IF(Imóveis!$F$3="PRICE",IF(AND(Dados!$A305&gt;=Imóveis!$Q$3,Dados!$A305&lt;=Imóveis!$T$3),Imóveis!$U$3,0),IF((IF(AND(Dados!$A305&gt;=Imóveis!$Q$3,Dados!$A305&lt;=Imóveis!$T$3),Imóveis!$S$3-(DATEDIF(Imóveis!$Q$3,Dados!$A305,"m")),0))=0,0,((Imóveis!$N$3/Imóveis!$S$3)+((Imóveis!$N$3-((Imóveis!$S$3-(IF(AND(Dados!$A305&gt;=Imóveis!$Q$3,Dados!$A305&lt;=Imóveis!$T$3),Imóveis!$S$3-(DATEDIF(Imóveis!$Q$3,Dados!$A305,"m")),)))*(Imóveis!$N$3/Imóveis!$S$3)))*Imóveis!$P$3))))*IF(AND(Imóveis!$E$3&gt;0,Dados!$A305&gt;Imóveis!$E$3),0,1)</f>
        <v>0</v>
      </c>
      <c r="K305" s="18">
        <f>IF(Imóveis!$F$4="PRICE",IF(AND(Dados!$A305&gt;=Imóveis!$Q$4,Dados!$A305&lt;=Imóveis!$T$4),Imóveis!$U$4,0),IF((IF(AND(Dados!$A305&gt;=Imóveis!$Q$4,Dados!$A305&lt;=Imóveis!$T$4),Imóveis!$S$4-(DATEDIF(Imóveis!$Q$4,Dados!$A305,"m")),0))=0,0,((Imóveis!$N$4/Imóveis!$S$4)+((Imóveis!$N$4-((Imóveis!$S$4-(IF(AND(Dados!$A305&gt;=Imóveis!$Q$4,Dados!$A305&lt;=Imóveis!$T$4),Imóveis!$S$4-(DATEDIF(Imóveis!$Q$4,Dados!$A305,"m")),)))*(Imóveis!$N$4/Imóveis!$S$4)))*Imóveis!$P$4))))*IF(AND(Imóveis!$E$4&gt;0,Dados!$A305&gt;Imóveis!$E$4),0,1)</f>
        <v>0</v>
      </c>
      <c r="L305" s="18">
        <f>IF(Imóveis!$F$5="PRICE",IF(AND(Dados!$A305&gt;=Imóveis!$Q$5,Dados!$A305&lt;=Imóveis!$T$5),Imóveis!$U$5,0),IF((IF(AND(Dados!$A305&gt;=Imóveis!$Q$5,Dados!$A305&lt;=Imóveis!$T$5),Imóveis!$S$5-(DATEDIF(Imóveis!$Q$5,Dados!$A305,"m")),0))=0,0,((Imóveis!$N$5/Imóveis!$S$5)+((Imóveis!$N$5-((Imóveis!$S$5-(IF(AND(Dados!$A305 &gt;=Imóveis!$Q$5,Dados!$A305&lt;=Imóveis!$T$5),Imóveis!$S$5-(DATEDIF(Imóveis!$Q$5,Dados!$A305,"m")),)))*(Imóveis!$N$5/Imóveis!$S$5)))*Imóveis!$P$5))))*IF(AND(Imóveis!$E$5&gt;0,Dados!$A305&gt;Imóveis!$E$5),0,1)*Imóveis!$I$5</f>
        <v>0</v>
      </c>
      <c r="M305" s="18">
        <f>IF(Imóveis!$F$6="PRICE",IF(AND(Dados!$A305&gt;=Imóveis!$Q$6,Dados!$A305&lt;=Imóveis!$T$6),Imóveis!$U$6,0),IF((IF(AND(Dados!$A305&gt;=Imóveis!$Q$6,Dados!$A305&lt;=Imóveis!$T$6),Imóveis!$S$6-(DATEDIF(Imóveis!$Q$6,Dados!$A305,"m")),0))=0,0,((Imóveis!$N$6/Imóveis!$S$6)+((Imóveis!$N$6-((Imóveis!$S$6-(IF(AND(Dados!$A305&gt;=Imóveis!$Q$6,Dados!$A305&lt;=Imóveis!$T$6),Imóveis!$S$6-(DATEDIF(Imóveis!$Q$6,Dados!$A305,"m")),)))*(Imóveis!$N$6/Imóveis!$S$6)))*Imóveis!$P$6))))*IF(AND(Imóveis!$E$6&gt;0,Dados!$A305&gt;Imóveis!$E$6),0,1)*Imóveis!$I$6</f>
        <v>0</v>
      </c>
      <c r="N305" s="18">
        <f t="shared" si="37"/>
        <v>37000</v>
      </c>
      <c r="O305" s="18">
        <f>SUMIFS(Receitas!$F:$F,Receitas!$J:$J,"&lt;="&amp;$A305,Receitas!$L:$L,"&gt;="&amp;$A305,Receitas!$C:$C,O$1,Receitas!$M:$M,"Mensal")+SUMIFS(Receitas!$F:$F,Receitas!$J:$J,"&lt;="&amp;$A305,Receitas!$L:$L,"&gt;="&amp;$A305,Receitas!$C:$C,O$1,Receitas!$M:$M,$B305)</f>
        <v>50000</v>
      </c>
      <c r="P305" s="18">
        <f>SUMIFS(Receitas!$F:$F,Receitas!$J:$J,"&lt;="&amp;$A305,Receitas!$L:$L,"&gt;="&amp;$A305,Receitas!$C:$C,P$1,Receitas!$M:$M,"Mensal")+SUMIFS(Receitas!$F:$F,Receitas!$J:$J,"&lt;="&amp;$A305,Receitas!$L:$L,"&gt;="&amp;$A305,Receitas!$C:$C,P$1,Receitas!$M:$M,$B305)</f>
        <v>85000</v>
      </c>
      <c r="Q305" s="18">
        <f>SUMIFS(Receitas!$F:$F,Receitas!$J:$J,"&lt;="&amp;$A305,Receitas!$L:$L,"&gt;="&amp;$A305,Receitas!$C:$C,Q$1,Receitas!$M:$M,"Mensal")+SUMIFS(Receitas!$F:$F,Receitas!$J:$J,"&lt;="&amp;$A305,Receitas!$L:$L,"&gt;="&amp;$A305,Receitas!$C:$C,Q$1,Receitas!$M:$M,$B305)</f>
        <v>0</v>
      </c>
      <c r="R305" s="18" cm="1">
        <f t="array" ref="R305">(IF(AND(Membros!$F$2="Sim",A305&lt;=MAX(Membros!$E$2:$E$5)),Membros!K$2,IF(AND(A305&gt;=Membros!J$2,A305&lt;=MAX(Membros!$E$2:$E$5)),Membros!K$2,0))+IF(AND(Membros!$F$3="Sim",A305&lt;=MAX(Membros!$E$2:$E$5)),Membros!K$3,IF(AND(A305&gt;=Membros!J$3,A305&lt;=MAX(Membros!$E$2:$E$5)),Membros!K$3,0)))*IF(AND(COUNTIFS(Tabela3[Tipo],"Provedor",Tabela3[Simulação Seguro],"Sim")=2,A305&gt;=MAX(IF(Tabela3[Tipo]="Dependente",Tabela3[Expectativa de Vida (Data)]))),0,1)</f>
        <v>0</v>
      </c>
      <c r="S305" s="18">
        <f t="shared" si="38"/>
        <v>135000</v>
      </c>
      <c r="U305" s="18">
        <f t="shared" ca="1" si="41"/>
        <v>18382644.522262011</v>
      </c>
      <c r="V305" s="18">
        <f>SUMIF(Imóveis!E:E,Dados!A:A,Imóveis!Z:Z)-SUMIF(Imóveis!E:E,Dados!A:A,Imóveis!Y:Y)</f>
        <v>0</v>
      </c>
      <c r="W305" s="18">
        <f>-SUMIF(Projetos!N:N,A305,Projetos!F:F)</f>
        <v>0</v>
      </c>
      <c r="X305" s="18">
        <f t="shared" si="35"/>
        <v>98000</v>
      </c>
      <c r="Y305" s="26">
        <f ca="1">(U305*((Indicadores_Economicos!D$2+1)^(1/12)-1))</f>
        <v>60179.9946745501</v>
      </c>
      <c r="Z305" s="18">
        <f t="shared" ca="1" si="39"/>
        <v>18540824.516936559</v>
      </c>
      <c r="AA305" s="18">
        <f ca="1">Auxiliar_Projetos!E305</f>
        <v>1.0526583477323423E-9</v>
      </c>
      <c r="AB305" s="18">
        <f ca="1">Auxiliar_Projetos!K305</f>
        <v>8.097371905633396E-10</v>
      </c>
      <c r="AC305" s="18">
        <f ca="1">IF(Z305-AA305-AB305&gt;Investimentos!$C$14,Investimentos!$C$14,IF(Z305-AA305-AB305&lt;Investimentos!$C$14,Z305-AA305-AB305,0))</f>
        <v>300000</v>
      </c>
      <c r="AD305" s="18">
        <f t="shared" ca="1" si="40"/>
        <v>18240824.516936559</v>
      </c>
      <c r="AE305" s="18"/>
    </row>
    <row r="306" spans="1:31" x14ac:dyDescent="0.2">
      <c r="A306" s="4">
        <v>54909</v>
      </c>
      <c r="B306" s="5" t="str">
        <f t="shared" si="36"/>
        <v>maio</v>
      </c>
      <c r="C306" s="5" t="str">
        <f t="shared" si="42"/>
        <v>2050</v>
      </c>
      <c r="D306" s="5">
        <f>SUMIFS(Despesas!$F:$F,Despesas!$J:$J,"&lt;="&amp;$A306,Despesas!$L:$L,"&gt;="&amp;$A306,Despesas!$C:$C,D$1,Despesas!$M:$M,"Mensal")+SUMIFS(Despesas!$F:$F,Despesas!$J:$J,"&lt;="&amp;$A306,Despesas!$L:$L,"&gt;="&amp;$A306,Despesas!$C:$C,D$1,Despesas!$M:$M,$B306)</f>
        <v>23000</v>
      </c>
      <c r="E306" s="18">
        <f>SUMIFS(Despesas!$F:$F,Despesas!$J:$J,"&lt;="&amp;$A306,Despesas!$L:$L,"&gt;="&amp;$A306,Despesas!$C:$C,E$1,Despesas!$M:$M,"Mensal")+SUMIFS(Despesas!$F:$F,Despesas!$J:$J,"&lt;="&amp;$A306,Despesas!$L:$L,"&gt;="&amp;$A306,Despesas!$C:$C,E$1,Despesas!$M:$M,$B306)</f>
        <v>0</v>
      </c>
      <c r="F306" s="5">
        <f>SUMIFS(Despesas!$F:$F,Despesas!$J:$J,"&lt;="&amp;$A306,Despesas!$L:$L,"&gt;="&amp;$A306,Despesas!$C:$C,F$1,Despesas!$M:$M,"Mensal")+SUMIFS(Despesas!$F:$F,Despesas!$J:$J,"&lt;="&amp;$A306,Despesas!$L:$L,"&gt;="&amp;$A306,Despesas!$C:$C,F$1,Despesas!$M:$M,$B306)</f>
        <v>13000</v>
      </c>
      <c r="G306" s="5">
        <f>SUMIFS(Despesas!$F:$F,Despesas!$J:$J,"&lt;="&amp;$A306,Despesas!$L:$L,"&gt;="&amp;$A306,Despesas!$C:$C,G$1,Despesas!$M:$M,"Mensal")+SUMIFS(Despesas!$F:$F,Despesas!$J:$J,"&lt;="&amp;$A306,Despesas!$L:$L,"&gt;="&amp;$A306,Despesas!$C:$C,G$1,Despesas!$M:$M,$B306)</f>
        <v>0</v>
      </c>
      <c r="H306" s="18">
        <f>SUMIFS(Despesas!$F:$F,Despesas!$J:$J,"&lt;="&amp;$A306,Despesas!$L:$L,"&gt;="&amp;$A306,Despesas!$C:$C,H$1,Despesas!$M:$M,"Mensal")+SUMIFS(Despesas!$F:$F,Despesas!$J:$J,"&lt;="&amp;$A306,Despesas!$L:$L,"&gt;="&amp;$A306,Despesas!$C:$C,H$1,Despesas!$M:$M,$B306)</f>
        <v>1000</v>
      </c>
      <c r="I306" s="18">
        <f>IF(Imóveis!$F$2="PRICE",IF(AND(Dados!$A306&gt;=Imóveis!$Q$2,Dados!$A306&lt;=Imóveis!$T$2),Imóveis!$U$2,0),IF((IF(AND(Dados!$A306&gt;=Imóveis!$Q$2,Dados!$A306&lt;=Imóveis!$T$2),Imóveis!$S$2-(DATEDIF(Imóveis!$Q$2,Dados!$A306,"m")),0))=0,0,((Imóveis!$N$2/Imóveis!$S$2)+((Imóveis!$N$2-((Imóveis!$S$2-(IF(AND(Dados!$A306&gt;=Imóveis!$Q$2,Dados!$A306&lt;=Imóveis!$T$2),Imóveis!$S$2-(DATEDIF(Imóveis!$Q$2,Dados!$A306,"m")),)))*(Imóveis!$N$2/Imóveis!$S$2)))*Imóveis!$P$2))))*IF(AND(Imóveis!$E$2&gt;0,Dados!$A306&gt;Imóveis!$E$2),0,1)</f>
        <v>0</v>
      </c>
      <c r="J306" s="18">
        <f>IF(Imóveis!$F$3="PRICE",IF(AND(Dados!$A306&gt;=Imóveis!$Q$3,Dados!$A306&lt;=Imóveis!$T$3),Imóveis!$U$3,0),IF((IF(AND(Dados!$A306&gt;=Imóveis!$Q$3,Dados!$A306&lt;=Imóveis!$T$3),Imóveis!$S$3-(DATEDIF(Imóveis!$Q$3,Dados!$A306,"m")),0))=0,0,((Imóveis!$N$3/Imóveis!$S$3)+((Imóveis!$N$3-((Imóveis!$S$3-(IF(AND(Dados!$A306&gt;=Imóveis!$Q$3,Dados!$A306&lt;=Imóveis!$T$3),Imóveis!$S$3-(DATEDIF(Imóveis!$Q$3,Dados!$A306,"m")),)))*(Imóveis!$N$3/Imóveis!$S$3)))*Imóveis!$P$3))))*IF(AND(Imóveis!$E$3&gt;0,Dados!$A306&gt;Imóveis!$E$3),0,1)</f>
        <v>0</v>
      </c>
      <c r="K306" s="18">
        <f>IF(Imóveis!$F$4="PRICE",IF(AND(Dados!$A306&gt;=Imóveis!$Q$4,Dados!$A306&lt;=Imóveis!$T$4),Imóveis!$U$4,0),IF((IF(AND(Dados!$A306&gt;=Imóveis!$Q$4,Dados!$A306&lt;=Imóveis!$T$4),Imóveis!$S$4-(DATEDIF(Imóveis!$Q$4,Dados!$A306,"m")),0))=0,0,((Imóveis!$N$4/Imóveis!$S$4)+((Imóveis!$N$4-((Imóveis!$S$4-(IF(AND(Dados!$A306&gt;=Imóveis!$Q$4,Dados!$A306&lt;=Imóveis!$T$4),Imóveis!$S$4-(DATEDIF(Imóveis!$Q$4,Dados!$A306,"m")),)))*(Imóveis!$N$4/Imóveis!$S$4)))*Imóveis!$P$4))))*IF(AND(Imóveis!$E$4&gt;0,Dados!$A306&gt;Imóveis!$E$4),0,1)</f>
        <v>0</v>
      </c>
      <c r="L306" s="18">
        <f>IF(Imóveis!$F$5="PRICE",IF(AND(Dados!$A306&gt;=Imóveis!$Q$5,Dados!$A306&lt;=Imóveis!$T$5),Imóveis!$U$5,0),IF((IF(AND(Dados!$A306&gt;=Imóveis!$Q$5,Dados!$A306&lt;=Imóveis!$T$5),Imóveis!$S$5-(DATEDIF(Imóveis!$Q$5,Dados!$A306,"m")),0))=0,0,((Imóveis!$N$5/Imóveis!$S$5)+((Imóveis!$N$5-((Imóveis!$S$5-(IF(AND(Dados!$A306 &gt;=Imóveis!$Q$5,Dados!$A306&lt;=Imóveis!$T$5),Imóveis!$S$5-(DATEDIF(Imóveis!$Q$5,Dados!$A306,"m")),)))*(Imóveis!$N$5/Imóveis!$S$5)))*Imóveis!$P$5))))*IF(AND(Imóveis!$E$5&gt;0,Dados!$A306&gt;Imóveis!$E$5),0,1)*Imóveis!$I$5</f>
        <v>0</v>
      </c>
      <c r="M306" s="18">
        <f>IF(Imóveis!$F$6="PRICE",IF(AND(Dados!$A306&gt;=Imóveis!$Q$6,Dados!$A306&lt;=Imóveis!$T$6),Imóveis!$U$6,0),IF((IF(AND(Dados!$A306&gt;=Imóveis!$Q$6,Dados!$A306&lt;=Imóveis!$T$6),Imóveis!$S$6-(DATEDIF(Imóveis!$Q$6,Dados!$A306,"m")),0))=0,0,((Imóveis!$N$6/Imóveis!$S$6)+((Imóveis!$N$6-((Imóveis!$S$6-(IF(AND(Dados!$A306&gt;=Imóveis!$Q$6,Dados!$A306&lt;=Imóveis!$T$6),Imóveis!$S$6-(DATEDIF(Imóveis!$Q$6,Dados!$A306,"m")),)))*(Imóveis!$N$6/Imóveis!$S$6)))*Imóveis!$P$6))))*IF(AND(Imóveis!$E$6&gt;0,Dados!$A306&gt;Imóveis!$E$6),0,1)*Imóveis!$I$6</f>
        <v>0</v>
      </c>
      <c r="N306" s="18">
        <f t="shared" si="37"/>
        <v>37000</v>
      </c>
      <c r="O306" s="18">
        <f>SUMIFS(Receitas!$F:$F,Receitas!$J:$J,"&lt;="&amp;$A306,Receitas!$L:$L,"&gt;="&amp;$A306,Receitas!$C:$C,O$1,Receitas!$M:$M,"Mensal")+SUMIFS(Receitas!$F:$F,Receitas!$J:$J,"&lt;="&amp;$A306,Receitas!$L:$L,"&gt;="&amp;$A306,Receitas!$C:$C,O$1,Receitas!$M:$M,$B306)</f>
        <v>50000</v>
      </c>
      <c r="P306" s="18">
        <f>SUMIFS(Receitas!$F:$F,Receitas!$J:$J,"&lt;="&amp;$A306,Receitas!$L:$L,"&gt;="&amp;$A306,Receitas!$C:$C,P$1,Receitas!$M:$M,"Mensal")+SUMIFS(Receitas!$F:$F,Receitas!$J:$J,"&lt;="&amp;$A306,Receitas!$L:$L,"&gt;="&amp;$A306,Receitas!$C:$C,P$1,Receitas!$M:$M,$B306)</f>
        <v>20000</v>
      </c>
      <c r="Q306" s="18">
        <f>SUMIFS(Receitas!$F:$F,Receitas!$J:$J,"&lt;="&amp;$A306,Receitas!$L:$L,"&gt;="&amp;$A306,Receitas!$C:$C,Q$1,Receitas!$M:$M,"Mensal")+SUMIFS(Receitas!$F:$F,Receitas!$J:$J,"&lt;="&amp;$A306,Receitas!$L:$L,"&gt;="&amp;$A306,Receitas!$C:$C,Q$1,Receitas!$M:$M,$B306)</f>
        <v>0</v>
      </c>
      <c r="R306" s="18" cm="1">
        <f t="array" ref="R306">(IF(AND(Membros!$F$2="Sim",A306&lt;=MAX(Membros!$E$2:$E$5)),Membros!K$2,IF(AND(A306&gt;=Membros!J$2,A306&lt;=MAX(Membros!$E$2:$E$5)),Membros!K$2,0))+IF(AND(Membros!$F$3="Sim",A306&lt;=MAX(Membros!$E$2:$E$5)),Membros!K$3,IF(AND(A306&gt;=Membros!J$3,A306&lt;=MAX(Membros!$E$2:$E$5)),Membros!K$3,0)))*IF(AND(COUNTIFS(Tabela3[Tipo],"Provedor",Tabela3[Simulação Seguro],"Sim")=2,A306&gt;=MAX(IF(Tabela3[Tipo]="Dependente",Tabela3[Expectativa de Vida (Data)]))),0,1)</f>
        <v>0</v>
      </c>
      <c r="S306" s="18">
        <f t="shared" si="38"/>
        <v>70000</v>
      </c>
      <c r="U306" s="18">
        <f t="shared" ca="1" si="41"/>
        <v>18540824.516936559</v>
      </c>
      <c r="V306" s="18">
        <f>SUMIF(Imóveis!E:E,Dados!A:A,Imóveis!Z:Z)-SUMIF(Imóveis!E:E,Dados!A:A,Imóveis!Y:Y)</f>
        <v>0</v>
      </c>
      <c r="W306" s="18">
        <f>-SUMIF(Projetos!N:N,A306,Projetos!F:F)</f>
        <v>0</v>
      </c>
      <c r="X306" s="18">
        <f t="shared" si="35"/>
        <v>33000</v>
      </c>
      <c r="Y306" s="26">
        <f ca="1">(U306*((Indicadores_Economicos!D$2+1)^(1/12)-1))</f>
        <v>60697.834815864182</v>
      </c>
      <c r="Z306" s="18">
        <f t="shared" ca="1" si="39"/>
        <v>18634522.351752423</v>
      </c>
      <c r="AA306" s="18">
        <f ca="1">Auxiliar_Projetos!E306</f>
        <v>1.0561044772423775E-9</v>
      </c>
      <c r="AB306" s="18">
        <f ca="1">Auxiliar_Projetos!K306</f>
        <v>8.1238805941721276E-10</v>
      </c>
      <c r="AC306" s="18">
        <f ca="1">IF(Z306-AA306-AB306&gt;Investimentos!$C$14,Investimentos!$C$14,IF(Z306-AA306-AB306&lt;Investimentos!$C$14,Z306-AA306-AB306,0))</f>
        <v>300000</v>
      </c>
      <c r="AD306" s="18">
        <f t="shared" ca="1" si="40"/>
        <v>18334522.351752423</v>
      </c>
      <c r="AE306" s="18"/>
    </row>
    <row r="307" spans="1:31" x14ac:dyDescent="0.2">
      <c r="A307" s="4">
        <v>54940</v>
      </c>
      <c r="B307" s="5" t="str">
        <f t="shared" si="36"/>
        <v>junho</v>
      </c>
      <c r="C307" s="5" t="str">
        <f t="shared" si="42"/>
        <v>2050</v>
      </c>
      <c r="D307" s="5">
        <f>SUMIFS(Despesas!$F:$F,Despesas!$J:$J,"&lt;="&amp;$A307,Despesas!$L:$L,"&gt;="&amp;$A307,Despesas!$C:$C,D$1,Despesas!$M:$M,"Mensal")+SUMIFS(Despesas!$F:$F,Despesas!$J:$J,"&lt;="&amp;$A307,Despesas!$L:$L,"&gt;="&amp;$A307,Despesas!$C:$C,D$1,Despesas!$M:$M,$B307)</f>
        <v>23000</v>
      </c>
      <c r="E307" s="18">
        <f>SUMIFS(Despesas!$F:$F,Despesas!$J:$J,"&lt;="&amp;$A307,Despesas!$L:$L,"&gt;="&amp;$A307,Despesas!$C:$C,E$1,Despesas!$M:$M,"Mensal")+SUMIFS(Despesas!$F:$F,Despesas!$J:$J,"&lt;="&amp;$A307,Despesas!$L:$L,"&gt;="&amp;$A307,Despesas!$C:$C,E$1,Despesas!$M:$M,$B307)</f>
        <v>0</v>
      </c>
      <c r="F307" s="5">
        <f>SUMIFS(Despesas!$F:$F,Despesas!$J:$J,"&lt;="&amp;$A307,Despesas!$L:$L,"&gt;="&amp;$A307,Despesas!$C:$C,F$1,Despesas!$M:$M,"Mensal")+SUMIFS(Despesas!$F:$F,Despesas!$J:$J,"&lt;="&amp;$A307,Despesas!$L:$L,"&gt;="&amp;$A307,Despesas!$C:$C,F$1,Despesas!$M:$M,$B307)</f>
        <v>13000</v>
      </c>
      <c r="G307" s="5">
        <f>SUMIFS(Despesas!$F:$F,Despesas!$J:$J,"&lt;="&amp;$A307,Despesas!$L:$L,"&gt;="&amp;$A307,Despesas!$C:$C,G$1,Despesas!$M:$M,"Mensal")+SUMIFS(Despesas!$F:$F,Despesas!$J:$J,"&lt;="&amp;$A307,Despesas!$L:$L,"&gt;="&amp;$A307,Despesas!$C:$C,G$1,Despesas!$M:$M,$B307)</f>
        <v>0</v>
      </c>
      <c r="H307" s="18">
        <f>SUMIFS(Despesas!$F:$F,Despesas!$J:$J,"&lt;="&amp;$A307,Despesas!$L:$L,"&gt;="&amp;$A307,Despesas!$C:$C,H$1,Despesas!$M:$M,"Mensal")+SUMIFS(Despesas!$F:$F,Despesas!$J:$J,"&lt;="&amp;$A307,Despesas!$L:$L,"&gt;="&amp;$A307,Despesas!$C:$C,H$1,Despesas!$M:$M,$B307)</f>
        <v>1000</v>
      </c>
      <c r="I307" s="18">
        <f>IF(Imóveis!$F$2="PRICE",IF(AND(Dados!$A307&gt;=Imóveis!$Q$2,Dados!$A307&lt;=Imóveis!$T$2),Imóveis!$U$2,0),IF((IF(AND(Dados!$A307&gt;=Imóveis!$Q$2,Dados!$A307&lt;=Imóveis!$T$2),Imóveis!$S$2-(DATEDIF(Imóveis!$Q$2,Dados!$A307,"m")),0))=0,0,((Imóveis!$N$2/Imóveis!$S$2)+((Imóveis!$N$2-((Imóveis!$S$2-(IF(AND(Dados!$A307&gt;=Imóveis!$Q$2,Dados!$A307&lt;=Imóveis!$T$2),Imóveis!$S$2-(DATEDIF(Imóveis!$Q$2,Dados!$A307,"m")),)))*(Imóveis!$N$2/Imóveis!$S$2)))*Imóveis!$P$2))))*IF(AND(Imóveis!$E$2&gt;0,Dados!$A307&gt;Imóveis!$E$2),0,1)</f>
        <v>0</v>
      </c>
      <c r="J307" s="18">
        <f>IF(Imóveis!$F$3="PRICE",IF(AND(Dados!$A307&gt;=Imóveis!$Q$3,Dados!$A307&lt;=Imóveis!$T$3),Imóveis!$U$3,0),IF((IF(AND(Dados!$A307&gt;=Imóveis!$Q$3,Dados!$A307&lt;=Imóveis!$T$3),Imóveis!$S$3-(DATEDIF(Imóveis!$Q$3,Dados!$A307,"m")),0))=0,0,((Imóveis!$N$3/Imóveis!$S$3)+((Imóveis!$N$3-((Imóveis!$S$3-(IF(AND(Dados!$A307&gt;=Imóveis!$Q$3,Dados!$A307&lt;=Imóveis!$T$3),Imóveis!$S$3-(DATEDIF(Imóveis!$Q$3,Dados!$A307,"m")),)))*(Imóveis!$N$3/Imóveis!$S$3)))*Imóveis!$P$3))))*IF(AND(Imóveis!$E$3&gt;0,Dados!$A307&gt;Imóveis!$E$3),0,1)</f>
        <v>0</v>
      </c>
      <c r="K307" s="18">
        <f>IF(Imóveis!$F$4="PRICE",IF(AND(Dados!$A307&gt;=Imóveis!$Q$4,Dados!$A307&lt;=Imóveis!$T$4),Imóveis!$U$4,0),IF((IF(AND(Dados!$A307&gt;=Imóveis!$Q$4,Dados!$A307&lt;=Imóveis!$T$4),Imóveis!$S$4-(DATEDIF(Imóveis!$Q$4,Dados!$A307,"m")),0))=0,0,((Imóveis!$N$4/Imóveis!$S$4)+((Imóveis!$N$4-((Imóveis!$S$4-(IF(AND(Dados!$A307&gt;=Imóveis!$Q$4,Dados!$A307&lt;=Imóveis!$T$4),Imóveis!$S$4-(DATEDIF(Imóveis!$Q$4,Dados!$A307,"m")),)))*(Imóveis!$N$4/Imóveis!$S$4)))*Imóveis!$P$4))))*IF(AND(Imóveis!$E$4&gt;0,Dados!$A307&gt;Imóveis!$E$4),0,1)</f>
        <v>0</v>
      </c>
      <c r="L307" s="18">
        <f>IF(Imóveis!$F$5="PRICE",IF(AND(Dados!$A307&gt;=Imóveis!$Q$5,Dados!$A307&lt;=Imóveis!$T$5),Imóveis!$U$5,0),IF((IF(AND(Dados!$A307&gt;=Imóveis!$Q$5,Dados!$A307&lt;=Imóveis!$T$5),Imóveis!$S$5-(DATEDIF(Imóveis!$Q$5,Dados!$A307,"m")),0))=0,0,((Imóveis!$N$5/Imóveis!$S$5)+((Imóveis!$N$5-((Imóveis!$S$5-(IF(AND(Dados!$A307 &gt;=Imóveis!$Q$5,Dados!$A307&lt;=Imóveis!$T$5),Imóveis!$S$5-(DATEDIF(Imóveis!$Q$5,Dados!$A307,"m")),)))*(Imóveis!$N$5/Imóveis!$S$5)))*Imóveis!$P$5))))*IF(AND(Imóveis!$E$5&gt;0,Dados!$A307&gt;Imóveis!$E$5),0,1)*Imóveis!$I$5</f>
        <v>0</v>
      </c>
      <c r="M307" s="18">
        <f>IF(Imóveis!$F$6="PRICE",IF(AND(Dados!$A307&gt;=Imóveis!$Q$6,Dados!$A307&lt;=Imóveis!$T$6),Imóveis!$U$6,0),IF((IF(AND(Dados!$A307&gt;=Imóveis!$Q$6,Dados!$A307&lt;=Imóveis!$T$6),Imóveis!$S$6-(DATEDIF(Imóveis!$Q$6,Dados!$A307,"m")),0))=0,0,((Imóveis!$N$6/Imóveis!$S$6)+((Imóveis!$N$6-((Imóveis!$S$6-(IF(AND(Dados!$A307&gt;=Imóveis!$Q$6,Dados!$A307&lt;=Imóveis!$T$6),Imóveis!$S$6-(DATEDIF(Imóveis!$Q$6,Dados!$A307,"m")),)))*(Imóveis!$N$6/Imóveis!$S$6)))*Imóveis!$P$6))))*IF(AND(Imóveis!$E$6&gt;0,Dados!$A307&gt;Imóveis!$E$6),0,1)*Imóveis!$I$6</f>
        <v>0</v>
      </c>
      <c r="N307" s="18">
        <f t="shared" si="37"/>
        <v>37000</v>
      </c>
      <c r="O307" s="18">
        <f>SUMIFS(Receitas!$F:$F,Receitas!$J:$J,"&lt;="&amp;$A307,Receitas!$L:$L,"&gt;="&amp;$A307,Receitas!$C:$C,O$1,Receitas!$M:$M,"Mensal")+SUMIFS(Receitas!$F:$F,Receitas!$J:$J,"&lt;="&amp;$A307,Receitas!$L:$L,"&gt;="&amp;$A307,Receitas!$C:$C,O$1,Receitas!$M:$M,$B307)</f>
        <v>50000</v>
      </c>
      <c r="P307" s="18">
        <f>SUMIFS(Receitas!$F:$F,Receitas!$J:$J,"&lt;="&amp;$A307,Receitas!$L:$L,"&gt;="&amp;$A307,Receitas!$C:$C,P$1,Receitas!$M:$M,"Mensal")+SUMIFS(Receitas!$F:$F,Receitas!$J:$J,"&lt;="&amp;$A307,Receitas!$L:$L,"&gt;="&amp;$A307,Receitas!$C:$C,P$1,Receitas!$M:$M,$B307)</f>
        <v>20000</v>
      </c>
      <c r="Q307" s="18">
        <f>SUMIFS(Receitas!$F:$F,Receitas!$J:$J,"&lt;="&amp;$A307,Receitas!$L:$L,"&gt;="&amp;$A307,Receitas!$C:$C,Q$1,Receitas!$M:$M,"Mensal")+SUMIFS(Receitas!$F:$F,Receitas!$J:$J,"&lt;="&amp;$A307,Receitas!$L:$L,"&gt;="&amp;$A307,Receitas!$C:$C,Q$1,Receitas!$M:$M,$B307)</f>
        <v>0</v>
      </c>
      <c r="R307" s="18" cm="1">
        <f t="array" ref="R307">(IF(AND(Membros!$F$2="Sim",A307&lt;=MAX(Membros!$E$2:$E$5)),Membros!K$2,IF(AND(A307&gt;=Membros!J$2,A307&lt;=MAX(Membros!$E$2:$E$5)),Membros!K$2,0))+IF(AND(Membros!$F$3="Sim",A307&lt;=MAX(Membros!$E$2:$E$5)),Membros!K$3,IF(AND(A307&gt;=Membros!J$3,A307&lt;=MAX(Membros!$E$2:$E$5)),Membros!K$3,0)))*IF(AND(COUNTIFS(Tabela3[Tipo],"Provedor",Tabela3[Simulação Seguro],"Sim")=2,A307&gt;=MAX(IF(Tabela3[Tipo]="Dependente",Tabela3[Expectativa de Vida (Data)]))),0,1)</f>
        <v>0</v>
      </c>
      <c r="S307" s="18">
        <f t="shared" si="38"/>
        <v>70000</v>
      </c>
      <c r="U307" s="18">
        <f t="shared" ca="1" si="41"/>
        <v>18634522.351752423</v>
      </c>
      <c r="V307" s="18">
        <f>SUMIF(Imóveis!E:E,Dados!A:A,Imóveis!Z:Z)-SUMIF(Imóveis!E:E,Dados!A:A,Imóveis!Y:Y)</f>
        <v>0</v>
      </c>
      <c r="W307" s="18">
        <f>-SUMIF(Projetos!N:N,A307,Projetos!F:F)</f>
        <v>0</v>
      </c>
      <c r="X307" s="18">
        <f t="shared" si="35"/>
        <v>33000</v>
      </c>
      <c r="Y307" s="26">
        <f ca="1">(U307*((Indicadores_Economicos!D$2+1)^(1/12)-1))</f>
        <v>61004.577145206778</v>
      </c>
      <c r="Z307" s="18">
        <f t="shared" ca="1" si="39"/>
        <v>18728526.92889763</v>
      </c>
      <c r="AA307" s="18">
        <f ca="1">Auxiliar_Projetos!E307</f>
        <v>1.0595618884836842E-9</v>
      </c>
      <c r="AB307" s="18">
        <f ca="1">Auxiliar_Projetos!K307</f>
        <v>8.1504760652591029E-10</v>
      </c>
      <c r="AC307" s="18">
        <f ca="1">IF(Z307-AA307-AB307&gt;Investimentos!$C$14,Investimentos!$C$14,IF(Z307-AA307-AB307&lt;Investimentos!$C$14,Z307-AA307-AB307,0))</f>
        <v>300000</v>
      </c>
      <c r="AD307" s="18">
        <f t="shared" ca="1" si="40"/>
        <v>18428526.92889763</v>
      </c>
      <c r="AE307" s="18"/>
    </row>
    <row r="308" spans="1:31" x14ac:dyDescent="0.2">
      <c r="A308" s="4">
        <v>54970</v>
      </c>
      <c r="B308" s="5" t="str">
        <f t="shared" si="36"/>
        <v>julho</v>
      </c>
      <c r="C308" s="5" t="str">
        <f t="shared" si="42"/>
        <v>2050</v>
      </c>
      <c r="D308" s="5">
        <f>SUMIFS(Despesas!$F:$F,Despesas!$J:$J,"&lt;="&amp;$A308,Despesas!$L:$L,"&gt;="&amp;$A308,Despesas!$C:$C,D$1,Despesas!$M:$M,"Mensal")+SUMIFS(Despesas!$F:$F,Despesas!$J:$J,"&lt;="&amp;$A308,Despesas!$L:$L,"&gt;="&amp;$A308,Despesas!$C:$C,D$1,Despesas!$M:$M,$B308)</f>
        <v>23000</v>
      </c>
      <c r="E308" s="18">
        <f>SUMIFS(Despesas!$F:$F,Despesas!$J:$J,"&lt;="&amp;$A308,Despesas!$L:$L,"&gt;="&amp;$A308,Despesas!$C:$C,E$1,Despesas!$M:$M,"Mensal")+SUMIFS(Despesas!$F:$F,Despesas!$J:$J,"&lt;="&amp;$A308,Despesas!$L:$L,"&gt;="&amp;$A308,Despesas!$C:$C,E$1,Despesas!$M:$M,$B308)</f>
        <v>0</v>
      </c>
      <c r="F308" s="5">
        <f>SUMIFS(Despesas!$F:$F,Despesas!$J:$J,"&lt;="&amp;$A308,Despesas!$L:$L,"&gt;="&amp;$A308,Despesas!$C:$C,F$1,Despesas!$M:$M,"Mensal")+SUMIFS(Despesas!$F:$F,Despesas!$J:$J,"&lt;="&amp;$A308,Despesas!$L:$L,"&gt;="&amp;$A308,Despesas!$C:$C,F$1,Despesas!$M:$M,$B308)</f>
        <v>13000</v>
      </c>
      <c r="G308" s="5">
        <f ca="1">SUMIFS(Despesas!$F:$F,Despesas!$J:$J,"&lt;="&amp;$A308,Despesas!$L:$L,"&gt;="&amp;$A308,Despesas!$C:$C,G$1,Despesas!$M:$M,"Mensal")+SUMIFS(Despesas!$F:$F,Despesas!$J:$J,"&lt;="&amp;$A308,Despesas!$L:$L,"&gt;="&amp;$A308,Despesas!$C:$C,G$1,Despesas!$M:$M,$B308)</f>
        <v>55757</v>
      </c>
      <c r="H308" s="18">
        <f>SUMIFS(Despesas!$F:$F,Despesas!$J:$J,"&lt;="&amp;$A308,Despesas!$L:$L,"&gt;="&amp;$A308,Despesas!$C:$C,H$1,Despesas!$M:$M,"Mensal")+SUMIFS(Despesas!$F:$F,Despesas!$J:$J,"&lt;="&amp;$A308,Despesas!$L:$L,"&gt;="&amp;$A308,Despesas!$C:$C,H$1,Despesas!$M:$M,$B308)</f>
        <v>1000</v>
      </c>
      <c r="I308" s="18">
        <f>IF(Imóveis!$F$2="PRICE",IF(AND(Dados!$A308&gt;=Imóveis!$Q$2,Dados!$A308&lt;=Imóveis!$T$2),Imóveis!$U$2,0),IF((IF(AND(Dados!$A308&gt;=Imóveis!$Q$2,Dados!$A308&lt;=Imóveis!$T$2),Imóveis!$S$2-(DATEDIF(Imóveis!$Q$2,Dados!$A308,"m")),0))=0,0,((Imóveis!$N$2/Imóveis!$S$2)+((Imóveis!$N$2-((Imóveis!$S$2-(IF(AND(Dados!$A308&gt;=Imóveis!$Q$2,Dados!$A308&lt;=Imóveis!$T$2),Imóveis!$S$2-(DATEDIF(Imóveis!$Q$2,Dados!$A308,"m")),)))*(Imóveis!$N$2/Imóveis!$S$2)))*Imóveis!$P$2))))*IF(AND(Imóveis!$E$2&gt;0,Dados!$A308&gt;Imóveis!$E$2),0,1)</f>
        <v>0</v>
      </c>
      <c r="J308" s="18">
        <f>IF(Imóveis!$F$3="PRICE",IF(AND(Dados!$A308&gt;=Imóveis!$Q$3,Dados!$A308&lt;=Imóveis!$T$3),Imóveis!$U$3,0),IF((IF(AND(Dados!$A308&gt;=Imóveis!$Q$3,Dados!$A308&lt;=Imóveis!$T$3),Imóveis!$S$3-(DATEDIF(Imóveis!$Q$3,Dados!$A308,"m")),0))=0,0,((Imóveis!$N$3/Imóveis!$S$3)+((Imóveis!$N$3-((Imóveis!$S$3-(IF(AND(Dados!$A308&gt;=Imóveis!$Q$3,Dados!$A308&lt;=Imóveis!$T$3),Imóveis!$S$3-(DATEDIF(Imóveis!$Q$3,Dados!$A308,"m")),)))*(Imóveis!$N$3/Imóveis!$S$3)))*Imóveis!$P$3))))*IF(AND(Imóveis!$E$3&gt;0,Dados!$A308&gt;Imóveis!$E$3),0,1)</f>
        <v>0</v>
      </c>
      <c r="K308" s="18">
        <f>IF(Imóveis!$F$4="PRICE",IF(AND(Dados!$A308&gt;=Imóveis!$Q$4,Dados!$A308&lt;=Imóveis!$T$4),Imóveis!$U$4,0),IF((IF(AND(Dados!$A308&gt;=Imóveis!$Q$4,Dados!$A308&lt;=Imóveis!$T$4),Imóveis!$S$4-(DATEDIF(Imóveis!$Q$4,Dados!$A308,"m")),0))=0,0,((Imóveis!$N$4/Imóveis!$S$4)+((Imóveis!$N$4-((Imóveis!$S$4-(IF(AND(Dados!$A308&gt;=Imóveis!$Q$4,Dados!$A308&lt;=Imóveis!$T$4),Imóveis!$S$4-(DATEDIF(Imóveis!$Q$4,Dados!$A308,"m")),)))*(Imóveis!$N$4/Imóveis!$S$4)))*Imóveis!$P$4))))*IF(AND(Imóveis!$E$4&gt;0,Dados!$A308&gt;Imóveis!$E$4),0,1)</f>
        <v>0</v>
      </c>
      <c r="L308" s="18">
        <f>IF(Imóveis!$F$5="PRICE",IF(AND(Dados!$A308&gt;=Imóveis!$Q$5,Dados!$A308&lt;=Imóveis!$T$5),Imóveis!$U$5,0),IF((IF(AND(Dados!$A308&gt;=Imóveis!$Q$5,Dados!$A308&lt;=Imóveis!$T$5),Imóveis!$S$5-(DATEDIF(Imóveis!$Q$5,Dados!$A308,"m")),0))=0,0,((Imóveis!$N$5/Imóveis!$S$5)+((Imóveis!$N$5-((Imóveis!$S$5-(IF(AND(Dados!$A308 &gt;=Imóveis!$Q$5,Dados!$A308&lt;=Imóveis!$T$5),Imóveis!$S$5-(DATEDIF(Imóveis!$Q$5,Dados!$A308,"m")),)))*(Imóveis!$N$5/Imóveis!$S$5)))*Imóveis!$P$5))))*IF(AND(Imóveis!$E$5&gt;0,Dados!$A308&gt;Imóveis!$E$5),0,1)*Imóveis!$I$5</f>
        <v>0</v>
      </c>
      <c r="M308" s="18">
        <f>IF(Imóveis!$F$6="PRICE",IF(AND(Dados!$A308&gt;=Imóveis!$Q$6,Dados!$A308&lt;=Imóveis!$T$6),Imóveis!$U$6,0),IF((IF(AND(Dados!$A308&gt;=Imóveis!$Q$6,Dados!$A308&lt;=Imóveis!$T$6),Imóveis!$S$6-(DATEDIF(Imóveis!$Q$6,Dados!$A308,"m")),0))=0,0,((Imóveis!$N$6/Imóveis!$S$6)+((Imóveis!$N$6-((Imóveis!$S$6-(IF(AND(Dados!$A308&gt;=Imóveis!$Q$6,Dados!$A308&lt;=Imóveis!$T$6),Imóveis!$S$6-(DATEDIF(Imóveis!$Q$6,Dados!$A308,"m")),)))*(Imóveis!$N$6/Imóveis!$S$6)))*Imóveis!$P$6))))*IF(AND(Imóveis!$E$6&gt;0,Dados!$A308&gt;Imóveis!$E$6),0,1)*Imóveis!$I$6</f>
        <v>0</v>
      </c>
      <c r="N308" s="18">
        <f t="shared" ca="1" si="37"/>
        <v>92757</v>
      </c>
      <c r="O308" s="18">
        <f>SUMIFS(Receitas!$F:$F,Receitas!$J:$J,"&lt;="&amp;$A308,Receitas!$L:$L,"&gt;="&amp;$A308,Receitas!$C:$C,O$1,Receitas!$M:$M,"Mensal")+SUMIFS(Receitas!$F:$F,Receitas!$J:$J,"&lt;="&amp;$A308,Receitas!$L:$L,"&gt;="&amp;$A308,Receitas!$C:$C,O$1,Receitas!$M:$M,$B308)</f>
        <v>50000</v>
      </c>
      <c r="P308" s="18">
        <f>SUMIFS(Receitas!$F:$F,Receitas!$J:$J,"&lt;="&amp;$A308,Receitas!$L:$L,"&gt;="&amp;$A308,Receitas!$C:$C,P$1,Receitas!$M:$M,"Mensal")+SUMIFS(Receitas!$F:$F,Receitas!$J:$J,"&lt;="&amp;$A308,Receitas!$L:$L,"&gt;="&amp;$A308,Receitas!$C:$C,P$1,Receitas!$M:$M,$B308)</f>
        <v>20000</v>
      </c>
      <c r="Q308" s="18">
        <f>SUMIFS(Receitas!$F:$F,Receitas!$J:$J,"&lt;="&amp;$A308,Receitas!$L:$L,"&gt;="&amp;$A308,Receitas!$C:$C,Q$1,Receitas!$M:$M,"Mensal")+SUMIFS(Receitas!$F:$F,Receitas!$J:$J,"&lt;="&amp;$A308,Receitas!$L:$L,"&gt;="&amp;$A308,Receitas!$C:$C,Q$1,Receitas!$M:$M,$B308)</f>
        <v>0</v>
      </c>
      <c r="R308" s="18" cm="1">
        <f t="array" ref="R308">(IF(AND(Membros!$F$2="Sim",A308&lt;=MAX(Membros!$E$2:$E$5)),Membros!K$2,IF(AND(A308&gt;=Membros!J$2,A308&lt;=MAX(Membros!$E$2:$E$5)),Membros!K$2,0))+IF(AND(Membros!$F$3="Sim",A308&lt;=MAX(Membros!$E$2:$E$5)),Membros!K$3,IF(AND(A308&gt;=Membros!J$3,A308&lt;=MAX(Membros!$E$2:$E$5)),Membros!K$3,0)))*IF(AND(COUNTIFS(Tabela3[Tipo],"Provedor",Tabela3[Simulação Seguro],"Sim")=2,A308&gt;=MAX(IF(Tabela3[Tipo]="Dependente",Tabela3[Expectativa de Vida (Data)]))),0,1)</f>
        <v>0</v>
      </c>
      <c r="S308" s="18">
        <f t="shared" si="38"/>
        <v>70000</v>
      </c>
      <c r="U308" s="18">
        <f t="shared" ca="1" si="41"/>
        <v>18728526.92889763</v>
      </c>
      <c r="V308" s="18">
        <f>SUMIF(Imóveis!E:E,Dados!A:A,Imóveis!Z:Z)-SUMIF(Imóveis!E:E,Dados!A:A,Imóveis!Y:Y)</f>
        <v>0</v>
      </c>
      <c r="W308" s="18">
        <f>-SUMIF(Projetos!N:N,A308,Projetos!F:F)</f>
        <v>0</v>
      </c>
      <c r="X308" s="18">
        <f t="shared" ca="1" si="35"/>
        <v>-22757</v>
      </c>
      <c r="Y308" s="26">
        <f ca="1">(U308*((Indicadores_Economicos!D$2+1)^(1/12)-1))</f>
        <v>61312.323669115831</v>
      </c>
      <c r="Z308" s="18">
        <f t="shared" ca="1" si="39"/>
        <v>18767082.252566747</v>
      </c>
      <c r="AA308" s="18">
        <f ca="1">Auxiliar_Projetos!E308</f>
        <v>1.063030618389715E-9</v>
      </c>
      <c r="AB308" s="18">
        <f ca="1">Auxiliar_Projetos!K308</f>
        <v>8.1771586029978019E-10</v>
      </c>
      <c r="AC308" s="18">
        <f ca="1">IF(Z308-AA308-AB308&gt;Investimentos!$C$14,Investimentos!$C$14,IF(Z308-AA308-AB308&lt;Investimentos!$C$14,Z308-AA308-AB308,0))</f>
        <v>300000</v>
      </c>
      <c r="AD308" s="18">
        <f t="shared" ca="1" si="40"/>
        <v>18467082.252566747</v>
      </c>
      <c r="AE308" s="18"/>
    </row>
    <row r="309" spans="1:31" x14ac:dyDescent="0.2">
      <c r="A309" s="4">
        <v>55001</v>
      </c>
      <c r="B309" s="5" t="str">
        <f t="shared" si="36"/>
        <v>agosto</v>
      </c>
      <c r="C309" s="5" t="str">
        <f t="shared" si="42"/>
        <v>2050</v>
      </c>
      <c r="D309" s="5">
        <f>SUMIFS(Despesas!$F:$F,Despesas!$J:$J,"&lt;="&amp;$A309,Despesas!$L:$L,"&gt;="&amp;$A309,Despesas!$C:$C,D$1,Despesas!$M:$M,"Mensal")+SUMIFS(Despesas!$F:$F,Despesas!$J:$J,"&lt;="&amp;$A309,Despesas!$L:$L,"&gt;="&amp;$A309,Despesas!$C:$C,D$1,Despesas!$M:$M,$B309)</f>
        <v>23000</v>
      </c>
      <c r="E309" s="18">
        <f>SUMIFS(Despesas!$F:$F,Despesas!$J:$J,"&lt;="&amp;$A309,Despesas!$L:$L,"&gt;="&amp;$A309,Despesas!$C:$C,E$1,Despesas!$M:$M,"Mensal")+SUMIFS(Despesas!$F:$F,Despesas!$J:$J,"&lt;="&amp;$A309,Despesas!$L:$L,"&gt;="&amp;$A309,Despesas!$C:$C,E$1,Despesas!$M:$M,$B309)</f>
        <v>0</v>
      </c>
      <c r="F309" s="5">
        <f>SUMIFS(Despesas!$F:$F,Despesas!$J:$J,"&lt;="&amp;$A309,Despesas!$L:$L,"&gt;="&amp;$A309,Despesas!$C:$C,F$1,Despesas!$M:$M,"Mensal")+SUMIFS(Despesas!$F:$F,Despesas!$J:$J,"&lt;="&amp;$A309,Despesas!$L:$L,"&gt;="&amp;$A309,Despesas!$C:$C,F$1,Despesas!$M:$M,$B309)</f>
        <v>13000</v>
      </c>
      <c r="G309" s="5">
        <f>SUMIFS(Despesas!$F:$F,Despesas!$J:$J,"&lt;="&amp;$A309,Despesas!$L:$L,"&gt;="&amp;$A309,Despesas!$C:$C,G$1,Despesas!$M:$M,"Mensal")+SUMIFS(Despesas!$F:$F,Despesas!$J:$J,"&lt;="&amp;$A309,Despesas!$L:$L,"&gt;="&amp;$A309,Despesas!$C:$C,G$1,Despesas!$M:$M,$B309)</f>
        <v>0</v>
      </c>
      <c r="H309" s="18">
        <f>SUMIFS(Despesas!$F:$F,Despesas!$J:$J,"&lt;="&amp;$A309,Despesas!$L:$L,"&gt;="&amp;$A309,Despesas!$C:$C,H$1,Despesas!$M:$M,"Mensal")+SUMIFS(Despesas!$F:$F,Despesas!$J:$J,"&lt;="&amp;$A309,Despesas!$L:$L,"&gt;="&amp;$A309,Despesas!$C:$C,H$1,Despesas!$M:$M,$B309)</f>
        <v>1000</v>
      </c>
      <c r="I309" s="18">
        <f>IF(Imóveis!$F$2="PRICE",IF(AND(Dados!$A309&gt;=Imóveis!$Q$2,Dados!$A309&lt;=Imóveis!$T$2),Imóveis!$U$2,0),IF((IF(AND(Dados!$A309&gt;=Imóveis!$Q$2,Dados!$A309&lt;=Imóveis!$T$2),Imóveis!$S$2-(DATEDIF(Imóveis!$Q$2,Dados!$A309,"m")),0))=0,0,((Imóveis!$N$2/Imóveis!$S$2)+((Imóveis!$N$2-((Imóveis!$S$2-(IF(AND(Dados!$A309&gt;=Imóveis!$Q$2,Dados!$A309&lt;=Imóveis!$T$2),Imóveis!$S$2-(DATEDIF(Imóveis!$Q$2,Dados!$A309,"m")),)))*(Imóveis!$N$2/Imóveis!$S$2)))*Imóveis!$P$2))))*IF(AND(Imóveis!$E$2&gt;0,Dados!$A309&gt;Imóveis!$E$2),0,1)</f>
        <v>0</v>
      </c>
      <c r="J309" s="18">
        <f>IF(Imóveis!$F$3="PRICE",IF(AND(Dados!$A309&gt;=Imóveis!$Q$3,Dados!$A309&lt;=Imóveis!$T$3),Imóveis!$U$3,0),IF((IF(AND(Dados!$A309&gt;=Imóveis!$Q$3,Dados!$A309&lt;=Imóveis!$T$3),Imóveis!$S$3-(DATEDIF(Imóveis!$Q$3,Dados!$A309,"m")),0))=0,0,((Imóveis!$N$3/Imóveis!$S$3)+((Imóveis!$N$3-((Imóveis!$S$3-(IF(AND(Dados!$A309&gt;=Imóveis!$Q$3,Dados!$A309&lt;=Imóveis!$T$3),Imóveis!$S$3-(DATEDIF(Imóveis!$Q$3,Dados!$A309,"m")),)))*(Imóveis!$N$3/Imóveis!$S$3)))*Imóveis!$P$3))))*IF(AND(Imóveis!$E$3&gt;0,Dados!$A309&gt;Imóveis!$E$3),0,1)</f>
        <v>0</v>
      </c>
      <c r="K309" s="18">
        <f>IF(Imóveis!$F$4="PRICE",IF(AND(Dados!$A309&gt;=Imóveis!$Q$4,Dados!$A309&lt;=Imóveis!$T$4),Imóveis!$U$4,0),IF((IF(AND(Dados!$A309&gt;=Imóveis!$Q$4,Dados!$A309&lt;=Imóveis!$T$4),Imóveis!$S$4-(DATEDIF(Imóveis!$Q$4,Dados!$A309,"m")),0))=0,0,((Imóveis!$N$4/Imóveis!$S$4)+((Imóveis!$N$4-((Imóveis!$S$4-(IF(AND(Dados!$A309&gt;=Imóveis!$Q$4,Dados!$A309&lt;=Imóveis!$T$4),Imóveis!$S$4-(DATEDIF(Imóveis!$Q$4,Dados!$A309,"m")),)))*(Imóveis!$N$4/Imóveis!$S$4)))*Imóveis!$P$4))))*IF(AND(Imóveis!$E$4&gt;0,Dados!$A309&gt;Imóveis!$E$4),0,1)</f>
        <v>0</v>
      </c>
      <c r="L309" s="18">
        <f>IF(Imóveis!$F$5="PRICE",IF(AND(Dados!$A309&gt;=Imóveis!$Q$5,Dados!$A309&lt;=Imóveis!$T$5),Imóveis!$U$5,0),IF((IF(AND(Dados!$A309&gt;=Imóveis!$Q$5,Dados!$A309&lt;=Imóveis!$T$5),Imóveis!$S$5-(DATEDIF(Imóveis!$Q$5,Dados!$A309,"m")),0))=0,0,((Imóveis!$N$5/Imóveis!$S$5)+((Imóveis!$N$5-((Imóveis!$S$5-(IF(AND(Dados!$A309 &gt;=Imóveis!$Q$5,Dados!$A309&lt;=Imóveis!$T$5),Imóveis!$S$5-(DATEDIF(Imóveis!$Q$5,Dados!$A309,"m")),)))*(Imóveis!$N$5/Imóveis!$S$5)))*Imóveis!$P$5))))*IF(AND(Imóveis!$E$5&gt;0,Dados!$A309&gt;Imóveis!$E$5),0,1)*Imóveis!$I$5</f>
        <v>0</v>
      </c>
      <c r="M309" s="18">
        <f>IF(Imóveis!$F$6="PRICE",IF(AND(Dados!$A309&gt;=Imóveis!$Q$6,Dados!$A309&lt;=Imóveis!$T$6),Imóveis!$U$6,0),IF((IF(AND(Dados!$A309&gt;=Imóveis!$Q$6,Dados!$A309&lt;=Imóveis!$T$6),Imóveis!$S$6-(DATEDIF(Imóveis!$Q$6,Dados!$A309,"m")),0))=0,0,((Imóveis!$N$6/Imóveis!$S$6)+((Imóveis!$N$6-((Imóveis!$S$6-(IF(AND(Dados!$A309&gt;=Imóveis!$Q$6,Dados!$A309&lt;=Imóveis!$T$6),Imóveis!$S$6-(DATEDIF(Imóveis!$Q$6,Dados!$A309,"m")),)))*(Imóveis!$N$6/Imóveis!$S$6)))*Imóveis!$P$6))))*IF(AND(Imóveis!$E$6&gt;0,Dados!$A309&gt;Imóveis!$E$6),0,1)*Imóveis!$I$6</f>
        <v>0</v>
      </c>
      <c r="N309" s="18">
        <f t="shared" si="37"/>
        <v>37000</v>
      </c>
      <c r="O309" s="18">
        <f>SUMIFS(Receitas!$F:$F,Receitas!$J:$J,"&lt;="&amp;$A309,Receitas!$L:$L,"&gt;="&amp;$A309,Receitas!$C:$C,O$1,Receitas!$M:$M,"Mensal")+SUMIFS(Receitas!$F:$F,Receitas!$J:$J,"&lt;="&amp;$A309,Receitas!$L:$L,"&gt;="&amp;$A309,Receitas!$C:$C,O$1,Receitas!$M:$M,$B309)</f>
        <v>50000</v>
      </c>
      <c r="P309" s="18">
        <f>SUMIFS(Receitas!$F:$F,Receitas!$J:$J,"&lt;="&amp;$A309,Receitas!$L:$L,"&gt;="&amp;$A309,Receitas!$C:$C,P$1,Receitas!$M:$M,"Mensal")+SUMIFS(Receitas!$F:$F,Receitas!$J:$J,"&lt;="&amp;$A309,Receitas!$L:$L,"&gt;="&amp;$A309,Receitas!$C:$C,P$1,Receitas!$M:$M,$B309)</f>
        <v>20000</v>
      </c>
      <c r="Q309" s="18">
        <f>SUMIFS(Receitas!$F:$F,Receitas!$J:$J,"&lt;="&amp;$A309,Receitas!$L:$L,"&gt;="&amp;$A309,Receitas!$C:$C,Q$1,Receitas!$M:$M,"Mensal")+SUMIFS(Receitas!$F:$F,Receitas!$J:$J,"&lt;="&amp;$A309,Receitas!$L:$L,"&gt;="&amp;$A309,Receitas!$C:$C,Q$1,Receitas!$M:$M,$B309)</f>
        <v>0</v>
      </c>
      <c r="R309" s="18" cm="1">
        <f t="array" ref="R309">(IF(AND(Membros!$F$2="Sim",A309&lt;=MAX(Membros!$E$2:$E$5)),Membros!K$2,IF(AND(A309&gt;=Membros!J$2,A309&lt;=MAX(Membros!$E$2:$E$5)),Membros!K$2,0))+IF(AND(Membros!$F$3="Sim",A309&lt;=MAX(Membros!$E$2:$E$5)),Membros!K$3,IF(AND(A309&gt;=Membros!J$3,A309&lt;=MAX(Membros!$E$2:$E$5)),Membros!K$3,0)))*IF(AND(COUNTIFS(Tabela3[Tipo],"Provedor",Tabela3[Simulação Seguro],"Sim")=2,A309&gt;=MAX(IF(Tabela3[Tipo]="Dependente",Tabela3[Expectativa de Vida (Data)]))),0,1)</f>
        <v>0</v>
      </c>
      <c r="S309" s="18">
        <f t="shared" si="38"/>
        <v>70000</v>
      </c>
      <c r="U309" s="18">
        <f t="shared" ca="1" si="41"/>
        <v>18767082.252566747</v>
      </c>
      <c r="V309" s="18">
        <f>SUMIF(Imóveis!E:E,Dados!A:A,Imóveis!Z:Z)-SUMIF(Imóveis!E:E,Dados!A:A,Imóveis!Y:Y)</f>
        <v>0</v>
      </c>
      <c r="W309" s="18">
        <f>-SUMIF(Projetos!N:N,A309,Projetos!F:F)</f>
        <v>0</v>
      </c>
      <c r="X309" s="18">
        <f t="shared" si="35"/>
        <v>33000</v>
      </c>
      <c r="Y309" s="26">
        <f ca="1">(U309*((Indicadores_Economicos!D$2+1)^(1/12)-1))</f>
        <v>61438.543766026974</v>
      </c>
      <c r="Z309" s="18">
        <f t="shared" ca="1" si="39"/>
        <v>18861520.796332773</v>
      </c>
      <c r="AA309" s="18">
        <f ca="1">Auxiliar_Projetos!E309</f>
        <v>1.0665107040148329E-9</v>
      </c>
      <c r="AB309" s="18">
        <f ca="1">Auxiliar_Projetos!K309</f>
        <v>8.2039284924217856E-10</v>
      </c>
      <c r="AC309" s="18">
        <f ca="1">IF(Z309-AA309-AB309&gt;Investimentos!$C$14,Investimentos!$C$14,IF(Z309-AA309-AB309&lt;Investimentos!$C$14,Z309-AA309-AB309,0))</f>
        <v>300000</v>
      </c>
      <c r="AD309" s="18">
        <f t="shared" ca="1" si="40"/>
        <v>18561520.796332773</v>
      </c>
      <c r="AE309" s="18"/>
    </row>
    <row r="310" spans="1:31" x14ac:dyDescent="0.2">
      <c r="A310" s="4">
        <v>55032</v>
      </c>
      <c r="B310" s="5" t="str">
        <f t="shared" si="36"/>
        <v>setembro</v>
      </c>
      <c r="C310" s="5" t="str">
        <f t="shared" si="42"/>
        <v>2050</v>
      </c>
      <c r="D310" s="5">
        <f>SUMIFS(Despesas!$F:$F,Despesas!$J:$J,"&lt;="&amp;$A310,Despesas!$L:$L,"&gt;="&amp;$A310,Despesas!$C:$C,D$1,Despesas!$M:$M,"Mensal")+SUMIFS(Despesas!$F:$F,Despesas!$J:$J,"&lt;="&amp;$A310,Despesas!$L:$L,"&gt;="&amp;$A310,Despesas!$C:$C,D$1,Despesas!$M:$M,$B310)</f>
        <v>23000</v>
      </c>
      <c r="E310" s="18">
        <f>SUMIFS(Despesas!$F:$F,Despesas!$J:$J,"&lt;="&amp;$A310,Despesas!$L:$L,"&gt;="&amp;$A310,Despesas!$C:$C,E$1,Despesas!$M:$M,"Mensal")+SUMIFS(Despesas!$F:$F,Despesas!$J:$J,"&lt;="&amp;$A310,Despesas!$L:$L,"&gt;="&amp;$A310,Despesas!$C:$C,E$1,Despesas!$M:$M,$B310)</f>
        <v>0</v>
      </c>
      <c r="F310" s="5">
        <f>SUMIFS(Despesas!$F:$F,Despesas!$J:$J,"&lt;="&amp;$A310,Despesas!$L:$L,"&gt;="&amp;$A310,Despesas!$C:$C,F$1,Despesas!$M:$M,"Mensal")+SUMIFS(Despesas!$F:$F,Despesas!$J:$J,"&lt;="&amp;$A310,Despesas!$L:$L,"&gt;="&amp;$A310,Despesas!$C:$C,F$1,Despesas!$M:$M,$B310)</f>
        <v>13000</v>
      </c>
      <c r="G310" s="5">
        <f>SUMIFS(Despesas!$F:$F,Despesas!$J:$J,"&lt;="&amp;$A310,Despesas!$L:$L,"&gt;="&amp;$A310,Despesas!$C:$C,G$1,Despesas!$M:$M,"Mensal")+SUMIFS(Despesas!$F:$F,Despesas!$J:$J,"&lt;="&amp;$A310,Despesas!$L:$L,"&gt;="&amp;$A310,Despesas!$C:$C,G$1,Despesas!$M:$M,$B310)</f>
        <v>0</v>
      </c>
      <c r="H310" s="18">
        <f>SUMIFS(Despesas!$F:$F,Despesas!$J:$J,"&lt;="&amp;$A310,Despesas!$L:$L,"&gt;="&amp;$A310,Despesas!$C:$C,H$1,Despesas!$M:$M,"Mensal")+SUMIFS(Despesas!$F:$F,Despesas!$J:$J,"&lt;="&amp;$A310,Despesas!$L:$L,"&gt;="&amp;$A310,Despesas!$C:$C,H$1,Despesas!$M:$M,$B310)</f>
        <v>1000</v>
      </c>
      <c r="I310" s="18">
        <f>IF(Imóveis!$F$2="PRICE",IF(AND(Dados!$A310&gt;=Imóveis!$Q$2,Dados!$A310&lt;=Imóveis!$T$2),Imóveis!$U$2,0),IF((IF(AND(Dados!$A310&gt;=Imóveis!$Q$2,Dados!$A310&lt;=Imóveis!$T$2),Imóveis!$S$2-(DATEDIF(Imóveis!$Q$2,Dados!$A310,"m")),0))=0,0,((Imóveis!$N$2/Imóveis!$S$2)+((Imóveis!$N$2-((Imóveis!$S$2-(IF(AND(Dados!$A310&gt;=Imóveis!$Q$2,Dados!$A310&lt;=Imóveis!$T$2),Imóveis!$S$2-(DATEDIF(Imóveis!$Q$2,Dados!$A310,"m")),)))*(Imóveis!$N$2/Imóveis!$S$2)))*Imóveis!$P$2))))*IF(AND(Imóveis!$E$2&gt;0,Dados!$A310&gt;Imóveis!$E$2),0,1)</f>
        <v>0</v>
      </c>
      <c r="J310" s="18">
        <f>IF(Imóveis!$F$3="PRICE",IF(AND(Dados!$A310&gt;=Imóveis!$Q$3,Dados!$A310&lt;=Imóveis!$T$3),Imóveis!$U$3,0),IF((IF(AND(Dados!$A310&gt;=Imóveis!$Q$3,Dados!$A310&lt;=Imóveis!$T$3),Imóveis!$S$3-(DATEDIF(Imóveis!$Q$3,Dados!$A310,"m")),0))=0,0,((Imóveis!$N$3/Imóveis!$S$3)+((Imóveis!$N$3-((Imóveis!$S$3-(IF(AND(Dados!$A310&gt;=Imóveis!$Q$3,Dados!$A310&lt;=Imóveis!$T$3),Imóveis!$S$3-(DATEDIF(Imóveis!$Q$3,Dados!$A310,"m")),)))*(Imóveis!$N$3/Imóveis!$S$3)))*Imóveis!$P$3))))*IF(AND(Imóveis!$E$3&gt;0,Dados!$A310&gt;Imóveis!$E$3),0,1)</f>
        <v>0</v>
      </c>
      <c r="K310" s="18">
        <f>IF(Imóveis!$F$4="PRICE",IF(AND(Dados!$A310&gt;=Imóveis!$Q$4,Dados!$A310&lt;=Imóveis!$T$4),Imóveis!$U$4,0),IF((IF(AND(Dados!$A310&gt;=Imóveis!$Q$4,Dados!$A310&lt;=Imóveis!$T$4),Imóveis!$S$4-(DATEDIF(Imóveis!$Q$4,Dados!$A310,"m")),0))=0,0,((Imóveis!$N$4/Imóveis!$S$4)+((Imóveis!$N$4-((Imóveis!$S$4-(IF(AND(Dados!$A310&gt;=Imóveis!$Q$4,Dados!$A310&lt;=Imóveis!$T$4),Imóveis!$S$4-(DATEDIF(Imóveis!$Q$4,Dados!$A310,"m")),)))*(Imóveis!$N$4/Imóveis!$S$4)))*Imóveis!$P$4))))*IF(AND(Imóveis!$E$4&gt;0,Dados!$A310&gt;Imóveis!$E$4),0,1)</f>
        <v>0</v>
      </c>
      <c r="L310" s="18">
        <f>IF(Imóveis!$F$5="PRICE",IF(AND(Dados!$A310&gt;=Imóveis!$Q$5,Dados!$A310&lt;=Imóveis!$T$5),Imóveis!$U$5,0),IF((IF(AND(Dados!$A310&gt;=Imóveis!$Q$5,Dados!$A310&lt;=Imóveis!$T$5),Imóveis!$S$5-(DATEDIF(Imóveis!$Q$5,Dados!$A310,"m")),0))=0,0,((Imóveis!$N$5/Imóveis!$S$5)+((Imóveis!$N$5-((Imóveis!$S$5-(IF(AND(Dados!$A310 &gt;=Imóveis!$Q$5,Dados!$A310&lt;=Imóveis!$T$5),Imóveis!$S$5-(DATEDIF(Imóveis!$Q$5,Dados!$A310,"m")),)))*(Imóveis!$N$5/Imóveis!$S$5)))*Imóveis!$P$5))))*IF(AND(Imóveis!$E$5&gt;0,Dados!$A310&gt;Imóveis!$E$5),0,1)*Imóveis!$I$5</f>
        <v>0</v>
      </c>
      <c r="M310" s="18">
        <f>IF(Imóveis!$F$6="PRICE",IF(AND(Dados!$A310&gt;=Imóveis!$Q$6,Dados!$A310&lt;=Imóveis!$T$6),Imóveis!$U$6,0),IF((IF(AND(Dados!$A310&gt;=Imóveis!$Q$6,Dados!$A310&lt;=Imóveis!$T$6),Imóveis!$S$6-(DATEDIF(Imóveis!$Q$6,Dados!$A310,"m")),0))=0,0,((Imóveis!$N$6/Imóveis!$S$6)+((Imóveis!$N$6-((Imóveis!$S$6-(IF(AND(Dados!$A310&gt;=Imóveis!$Q$6,Dados!$A310&lt;=Imóveis!$T$6),Imóveis!$S$6-(DATEDIF(Imóveis!$Q$6,Dados!$A310,"m")),)))*(Imóveis!$N$6/Imóveis!$S$6)))*Imóveis!$P$6))))*IF(AND(Imóveis!$E$6&gt;0,Dados!$A310&gt;Imóveis!$E$6),0,1)*Imóveis!$I$6</f>
        <v>0</v>
      </c>
      <c r="N310" s="18">
        <f t="shared" si="37"/>
        <v>37000</v>
      </c>
      <c r="O310" s="18">
        <f>SUMIFS(Receitas!$F:$F,Receitas!$J:$J,"&lt;="&amp;$A310,Receitas!$L:$L,"&gt;="&amp;$A310,Receitas!$C:$C,O$1,Receitas!$M:$M,"Mensal")+SUMIFS(Receitas!$F:$F,Receitas!$J:$J,"&lt;="&amp;$A310,Receitas!$L:$L,"&gt;="&amp;$A310,Receitas!$C:$C,O$1,Receitas!$M:$M,$B310)</f>
        <v>50000</v>
      </c>
      <c r="P310" s="18">
        <f>SUMIFS(Receitas!$F:$F,Receitas!$J:$J,"&lt;="&amp;$A310,Receitas!$L:$L,"&gt;="&amp;$A310,Receitas!$C:$C,P$1,Receitas!$M:$M,"Mensal")+SUMIFS(Receitas!$F:$F,Receitas!$J:$J,"&lt;="&amp;$A310,Receitas!$L:$L,"&gt;="&amp;$A310,Receitas!$C:$C,P$1,Receitas!$M:$M,$B310)</f>
        <v>20000</v>
      </c>
      <c r="Q310" s="18">
        <f>SUMIFS(Receitas!$F:$F,Receitas!$J:$J,"&lt;="&amp;$A310,Receitas!$L:$L,"&gt;="&amp;$A310,Receitas!$C:$C,Q$1,Receitas!$M:$M,"Mensal")+SUMIFS(Receitas!$F:$F,Receitas!$J:$J,"&lt;="&amp;$A310,Receitas!$L:$L,"&gt;="&amp;$A310,Receitas!$C:$C,Q$1,Receitas!$M:$M,$B310)</f>
        <v>0</v>
      </c>
      <c r="R310" s="18" cm="1">
        <f t="array" ref="R310">(IF(AND(Membros!$F$2="Sim",A310&lt;=MAX(Membros!$E$2:$E$5)),Membros!K$2,IF(AND(A310&gt;=Membros!J$2,A310&lt;=MAX(Membros!$E$2:$E$5)),Membros!K$2,0))+IF(AND(Membros!$F$3="Sim",A310&lt;=MAX(Membros!$E$2:$E$5)),Membros!K$3,IF(AND(A310&gt;=Membros!J$3,A310&lt;=MAX(Membros!$E$2:$E$5)),Membros!K$3,0)))*IF(AND(COUNTIFS(Tabela3[Tipo],"Provedor",Tabela3[Simulação Seguro],"Sim")=2,A310&gt;=MAX(IF(Tabela3[Tipo]="Dependente",Tabela3[Expectativa de Vida (Data)]))),0,1)</f>
        <v>0</v>
      </c>
      <c r="S310" s="18">
        <f t="shared" si="38"/>
        <v>70000</v>
      </c>
      <c r="U310" s="18">
        <f t="shared" ca="1" si="41"/>
        <v>18861520.796332773</v>
      </c>
      <c r="V310" s="18">
        <f>SUMIF(Imóveis!E:E,Dados!A:A,Imóveis!Z:Z)-SUMIF(Imóveis!E:E,Dados!A:A,Imóveis!Y:Y)</f>
        <v>0</v>
      </c>
      <c r="W310" s="18">
        <f>-SUMIF(Projetos!N:N,A310,Projetos!F:F)</f>
        <v>0</v>
      </c>
      <c r="X310" s="18">
        <f t="shared" si="35"/>
        <v>33000</v>
      </c>
      <c r="Y310" s="26">
        <f ca="1">(U310*((Indicadores_Economicos!D$2+1)^(1/12)-1))</f>
        <v>61747.710983726749</v>
      </c>
      <c r="Z310" s="18">
        <f t="shared" ca="1" si="39"/>
        <v>18956268.5073165</v>
      </c>
      <c r="AA310" s="18">
        <f ca="1">Auxiliar_Projetos!E310</f>
        <v>1.0700021825347072E-9</v>
      </c>
      <c r="AB310" s="18">
        <f ca="1">Auxiliar_Projetos!K310</f>
        <v>8.2307860194977418E-10</v>
      </c>
      <c r="AC310" s="18">
        <f ca="1">IF(Z310-AA310-AB310&gt;Investimentos!$C$14,Investimentos!$C$14,IF(Z310-AA310-AB310&lt;Investimentos!$C$14,Z310-AA310-AB310,0))</f>
        <v>300000</v>
      </c>
      <c r="AD310" s="18">
        <f t="shared" ca="1" si="40"/>
        <v>18656268.5073165</v>
      </c>
      <c r="AE310" s="18"/>
    </row>
    <row r="311" spans="1:31" x14ac:dyDescent="0.2">
      <c r="A311" s="4">
        <v>55062</v>
      </c>
      <c r="B311" s="5" t="str">
        <f t="shared" si="36"/>
        <v>outubro</v>
      </c>
      <c r="C311" s="5" t="str">
        <f t="shared" si="42"/>
        <v>2050</v>
      </c>
      <c r="D311" s="5">
        <f>SUMIFS(Despesas!$F:$F,Despesas!$J:$J,"&lt;="&amp;$A311,Despesas!$L:$L,"&gt;="&amp;$A311,Despesas!$C:$C,D$1,Despesas!$M:$M,"Mensal")+SUMIFS(Despesas!$F:$F,Despesas!$J:$J,"&lt;="&amp;$A311,Despesas!$L:$L,"&gt;="&amp;$A311,Despesas!$C:$C,D$1,Despesas!$M:$M,$B311)</f>
        <v>23000</v>
      </c>
      <c r="E311" s="18">
        <f>SUMIFS(Despesas!$F:$F,Despesas!$J:$J,"&lt;="&amp;$A311,Despesas!$L:$L,"&gt;="&amp;$A311,Despesas!$C:$C,E$1,Despesas!$M:$M,"Mensal")+SUMIFS(Despesas!$F:$F,Despesas!$J:$J,"&lt;="&amp;$A311,Despesas!$L:$L,"&gt;="&amp;$A311,Despesas!$C:$C,E$1,Despesas!$M:$M,$B311)</f>
        <v>0</v>
      </c>
      <c r="F311" s="5">
        <f>SUMIFS(Despesas!$F:$F,Despesas!$J:$J,"&lt;="&amp;$A311,Despesas!$L:$L,"&gt;="&amp;$A311,Despesas!$C:$C,F$1,Despesas!$M:$M,"Mensal")+SUMIFS(Despesas!$F:$F,Despesas!$J:$J,"&lt;="&amp;$A311,Despesas!$L:$L,"&gt;="&amp;$A311,Despesas!$C:$C,F$1,Despesas!$M:$M,$B311)</f>
        <v>13000</v>
      </c>
      <c r="G311" s="5">
        <f>SUMIFS(Despesas!$F:$F,Despesas!$J:$J,"&lt;="&amp;$A311,Despesas!$L:$L,"&gt;="&amp;$A311,Despesas!$C:$C,G$1,Despesas!$M:$M,"Mensal")+SUMIFS(Despesas!$F:$F,Despesas!$J:$J,"&lt;="&amp;$A311,Despesas!$L:$L,"&gt;="&amp;$A311,Despesas!$C:$C,G$1,Despesas!$M:$M,$B311)</f>
        <v>0</v>
      </c>
      <c r="H311" s="18">
        <f>SUMIFS(Despesas!$F:$F,Despesas!$J:$J,"&lt;="&amp;$A311,Despesas!$L:$L,"&gt;="&amp;$A311,Despesas!$C:$C,H$1,Despesas!$M:$M,"Mensal")+SUMIFS(Despesas!$F:$F,Despesas!$J:$J,"&lt;="&amp;$A311,Despesas!$L:$L,"&gt;="&amp;$A311,Despesas!$C:$C,H$1,Despesas!$M:$M,$B311)</f>
        <v>1000</v>
      </c>
      <c r="I311" s="18">
        <f>IF(Imóveis!$F$2="PRICE",IF(AND(Dados!$A311&gt;=Imóveis!$Q$2,Dados!$A311&lt;=Imóveis!$T$2),Imóveis!$U$2,0),IF((IF(AND(Dados!$A311&gt;=Imóveis!$Q$2,Dados!$A311&lt;=Imóveis!$T$2),Imóveis!$S$2-(DATEDIF(Imóveis!$Q$2,Dados!$A311,"m")),0))=0,0,((Imóveis!$N$2/Imóveis!$S$2)+((Imóveis!$N$2-((Imóveis!$S$2-(IF(AND(Dados!$A311&gt;=Imóveis!$Q$2,Dados!$A311&lt;=Imóveis!$T$2),Imóveis!$S$2-(DATEDIF(Imóveis!$Q$2,Dados!$A311,"m")),)))*(Imóveis!$N$2/Imóveis!$S$2)))*Imóveis!$P$2))))*IF(AND(Imóveis!$E$2&gt;0,Dados!$A311&gt;Imóveis!$E$2),0,1)</f>
        <v>0</v>
      </c>
      <c r="J311" s="18">
        <f>IF(Imóveis!$F$3="PRICE",IF(AND(Dados!$A311&gt;=Imóveis!$Q$3,Dados!$A311&lt;=Imóveis!$T$3),Imóveis!$U$3,0),IF((IF(AND(Dados!$A311&gt;=Imóveis!$Q$3,Dados!$A311&lt;=Imóveis!$T$3),Imóveis!$S$3-(DATEDIF(Imóveis!$Q$3,Dados!$A311,"m")),0))=0,0,((Imóveis!$N$3/Imóveis!$S$3)+((Imóveis!$N$3-((Imóveis!$S$3-(IF(AND(Dados!$A311&gt;=Imóveis!$Q$3,Dados!$A311&lt;=Imóveis!$T$3),Imóveis!$S$3-(DATEDIF(Imóveis!$Q$3,Dados!$A311,"m")),)))*(Imóveis!$N$3/Imóveis!$S$3)))*Imóveis!$P$3))))*IF(AND(Imóveis!$E$3&gt;0,Dados!$A311&gt;Imóveis!$E$3),0,1)</f>
        <v>0</v>
      </c>
      <c r="K311" s="18">
        <f>IF(Imóveis!$F$4="PRICE",IF(AND(Dados!$A311&gt;=Imóveis!$Q$4,Dados!$A311&lt;=Imóveis!$T$4),Imóveis!$U$4,0),IF((IF(AND(Dados!$A311&gt;=Imóveis!$Q$4,Dados!$A311&lt;=Imóveis!$T$4),Imóveis!$S$4-(DATEDIF(Imóveis!$Q$4,Dados!$A311,"m")),0))=0,0,((Imóveis!$N$4/Imóveis!$S$4)+((Imóveis!$N$4-((Imóveis!$S$4-(IF(AND(Dados!$A311&gt;=Imóveis!$Q$4,Dados!$A311&lt;=Imóveis!$T$4),Imóveis!$S$4-(DATEDIF(Imóveis!$Q$4,Dados!$A311,"m")),)))*(Imóveis!$N$4/Imóveis!$S$4)))*Imóveis!$P$4))))*IF(AND(Imóveis!$E$4&gt;0,Dados!$A311&gt;Imóveis!$E$4),0,1)</f>
        <v>0</v>
      </c>
      <c r="L311" s="18">
        <f>IF(Imóveis!$F$5="PRICE",IF(AND(Dados!$A311&gt;=Imóveis!$Q$5,Dados!$A311&lt;=Imóveis!$T$5),Imóveis!$U$5,0),IF((IF(AND(Dados!$A311&gt;=Imóveis!$Q$5,Dados!$A311&lt;=Imóveis!$T$5),Imóveis!$S$5-(DATEDIF(Imóveis!$Q$5,Dados!$A311,"m")),0))=0,0,((Imóveis!$N$5/Imóveis!$S$5)+((Imóveis!$N$5-((Imóveis!$S$5-(IF(AND(Dados!$A311 &gt;=Imóveis!$Q$5,Dados!$A311&lt;=Imóveis!$T$5),Imóveis!$S$5-(DATEDIF(Imóveis!$Q$5,Dados!$A311,"m")),)))*(Imóveis!$N$5/Imóveis!$S$5)))*Imóveis!$P$5))))*IF(AND(Imóveis!$E$5&gt;0,Dados!$A311&gt;Imóveis!$E$5),0,1)*Imóveis!$I$5</f>
        <v>0</v>
      </c>
      <c r="M311" s="18">
        <f>IF(Imóveis!$F$6="PRICE",IF(AND(Dados!$A311&gt;=Imóveis!$Q$6,Dados!$A311&lt;=Imóveis!$T$6),Imóveis!$U$6,0),IF((IF(AND(Dados!$A311&gt;=Imóveis!$Q$6,Dados!$A311&lt;=Imóveis!$T$6),Imóveis!$S$6-(DATEDIF(Imóveis!$Q$6,Dados!$A311,"m")),0))=0,0,((Imóveis!$N$6/Imóveis!$S$6)+((Imóveis!$N$6-((Imóveis!$S$6-(IF(AND(Dados!$A311&gt;=Imóveis!$Q$6,Dados!$A311&lt;=Imóveis!$T$6),Imóveis!$S$6-(DATEDIF(Imóveis!$Q$6,Dados!$A311,"m")),)))*(Imóveis!$N$6/Imóveis!$S$6)))*Imóveis!$P$6))))*IF(AND(Imóveis!$E$6&gt;0,Dados!$A311&gt;Imóveis!$E$6),0,1)*Imóveis!$I$6</f>
        <v>0</v>
      </c>
      <c r="N311" s="18">
        <f t="shared" si="37"/>
        <v>37000</v>
      </c>
      <c r="O311" s="18">
        <f>SUMIFS(Receitas!$F:$F,Receitas!$J:$J,"&lt;="&amp;$A311,Receitas!$L:$L,"&gt;="&amp;$A311,Receitas!$C:$C,O$1,Receitas!$M:$M,"Mensal")+SUMIFS(Receitas!$F:$F,Receitas!$J:$J,"&lt;="&amp;$A311,Receitas!$L:$L,"&gt;="&amp;$A311,Receitas!$C:$C,O$1,Receitas!$M:$M,$B311)</f>
        <v>50000</v>
      </c>
      <c r="P311" s="18">
        <f>SUMIFS(Receitas!$F:$F,Receitas!$J:$J,"&lt;="&amp;$A311,Receitas!$L:$L,"&gt;="&amp;$A311,Receitas!$C:$C,P$1,Receitas!$M:$M,"Mensal")+SUMIFS(Receitas!$F:$F,Receitas!$J:$J,"&lt;="&amp;$A311,Receitas!$L:$L,"&gt;="&amp;$A311,Receitas!$C:$C,P$1,Receitas!$M:$M,$B311)</f>
        <v>20000</v>
      </c>
      <c r="Q311" s="18">
        <f>SUMIFS(Receitas!$F:$F,Receitas!$J:$J,"&lt;="&amp;$A311,Receitas!$L:$L,"&gt;="&amp;$A311,Receitas!$C:$C,Q$1,Receitas!$M:$M,"Mensal")+SUMIFS(Receitas!$F:$F,Receitas!$J:$J,"&lt;="&amp;$A311,Receitas!$L:$L,"&gt;="&amp;$A311,Receitas!$C:$C,Q$1,Receitas!$M:$M,$B311)</f>
        <v>0</v>
      </c>
      <c r="R311" s="18" cm="1">
        <f t="array" ref="R311">(IF(AND(Membros!$F$2="Sim",A311&lt;=MAX(Membros!$E$2:$E$5)),Membros!K$2,IF(AND(A311&gt;=Membros!J$2,A311&lt;=MAX(Membros!$E$2:$E$5)),Membros!K$2,0))+IF(AND(Membros!$F$3="Sim",A311&lt;=MAX(Membros!$E$2:$E$5)),Membros!K$3,IF(AND(A311&gt;=Membros!J$3,A311&lt;=MAX(Membros!$E$2:$E$5)),Membros!K$3,0)))*IF(AND(COUNTIFS(Tabela3[Tipo],"Provedor",Tabela3[Simulação Seguro],"Sim")=2,A311&gt;=MAX(IF(Tabela3[Tipo]="Dependente",Tabela3[Expectativa de Vida (Data)]))),0,1)</f>
        <v>0</v>
      </c>
      <c r="S311" s="18">
        <f t="shared" si="38"/>
        <v>70000</v>
      </c>
      <c r="U311" s="18">
        <f t="shared" ca="1" si="41"/>
        <v>18956268.5073165</v>
      </c>
      <c r="V311" s="18">
        <f>SUMIF(Imóveis!E:E,Dados!A:A,Imóveis!Z:Z)-SUMIF(Imóveis!E:E,Dados!A:A,Imóveis!Y:Y)</f>
        <v>0</v>
      </c>
      <c r="W311" s="18">
        <f>-SUMIF(Projetos!N:N,A311,Projetos!F:F)</f>
        <v>0</v>
      </c>
      <c r="X311" s="18">
        <f t="shared" si="35"/>
        <v>33000</v>
      </c>
      <c r="Y311" s="26">
        <f ca="1">(U311*((Indicadores_Economicos!D$2+1)^(1/12)-1))</f>
        <v>62057.890334446463</v>
      </c>
      <c r="Z311" s="18">
        <f t="shared" ca="1" si="39"/>
        <v>19051326.397650946</v>
      </c>
      <c r="AA311" s="18">
        <f ca="1">Auxiliar_Projetos!E311</f>
        <v>1.0735050912467107E-9</v>
      </c>
      <c r="AB311" s="18">
        <f ca="1">Auxiliar_Projetos!K311</f>
        <v>8.2577314711285388E-10</v>
      </c>
      <c r="AC311" s="18">
        <f ca="1">IF(Z311-AA311-AB311&gt;Investimentos!$C$14,Investimentos!$C$14,IF(Z311-AA311-AB311&lt;Investimentos!$C$14,Z311-AA311-AB311,0))</f>
        <v>300000</v>
      </c>
      <c r="AD311" s="18">
        <f t="shared" ca="1" si="40"/>
        <v>18751326.397650946</v>
      </c>
      <c r="AE311" s="18"/>
    </row>
    <row r="312" spans="1:31" x14ac:dyDescent="0.2">
      <c r="A312" s="4">
        <v>55093</v>
      </c>
      <c r="B312" s="5" t="str">
        <f t="shared" si="36"/>
        <v>novembro</v>
      </c>
      <c r="C312" s="5" t="str">
        <f t="shared" si="42"/>
        <v>2050</v>
      </c>
      <c r="D312" s="5">
        <f>SUMIFS(Despesas!$F:$F,Despesas!$J:$J,"&lt;="&amp;$A312,Despesas!$L:$L,"&gt;="&amp;$A312,Despesas!$C:$C,D$1,Despesas!$M:$M,"Mensal")+SUMIFS(Despesas!$F:$F,Despesas!$J:$J,"&lt;="&amp;$A312,Despesas!$L:$L,"&gt;="&amp;$A312,Despesas!$C:$C,D$1,Despesas!$M:$M,$B312)</f>
        <v>23000</v>
      </c>
      <c r="E312" s="18">
        <f>SUMIFS(Despesas!$F:$F,Despesas!$J:$J,"&lt;="&amp;$A312,Despesas!$L:$L,"&gt;="&amp;$A312,Despesas!$C:$C,E$1,Despesas!$M:$M,"Mensal")+SUMIFS(Despesas!$F:$F,Despesas!$J:$J,"&lt;="&amp;$A312,Despesas!$L:$L,"&gt;="&amp;$A312,Despesas!$C:$C,E$1,Despesas!$M:$M,$B312)</f>
        <v>0</v>
      </c>
      <c r="F312" s="5">
        <f>SUMIFS(Despesas!$F:$F,Despesas!$J:$J,"&lt;="&amp;$A312,Despesas!$L:$L,"&gt;="&amp;$A312,Despesas!$C:$C,F$1,Despesas!$M:$M,"Mensal")+SUMIFS(Despesas!$F:$F,Despesas!$J:$J,"&lt;="&amp;$A312,Despesas!$L:$L,"&gt;="&amp;$A312,Despesas!$C:$C,F$1,Despesas!$M:$M,$B312)</f>
        <v>13000</v>
      </c>
      <c r="G312" s="5">
        <f>SUMIFS(Despesas!$F:$F,Despesas!$J:$J,"&lt;="&amp;$A312,Despesas!$L:$L,"&gt;="&amp;$A312,Despesas!$C:$C,G$1,Despesas!$M:$M,"Mensal")+SUMIFS(Despesas!$F:$F,Despesas!$J:$J,"&lt;="&amp;$A312,Despesas!$L:$L,"&gt;="&amp;$A312,Despesas!$C:$C,G$1,Despesas!$M:$M,$B312)</f>
        <v>0</v>
      </c>
      <c r="H312" s="18">
        <f>SUMIFS(Despesas!$F:$F,Despesas!$J:$J,"&lt;="&amp;$A312,Despesas!$L:$L,"&gt;="&amp;$A312,Despesas!$C:$C,H$1,Despesas!$M:$M,"Mensal")+SUMIFS(Despesas!$F:$F,Despesas!$J:$J,"&lt;="&amp;$A312,Despesas!$L:$L,"&gt;="&amp;$A312,Despesas!$C:$C,H$1,Despesas!$M:$M,$B312)</f>
        <v>1000</v>
      </c>
      <c r="I312" s="18">
        <f>IF(Imóveis!$F$2="PRICE",IF(AND(Dados!$A312&gt;=Imóveis!$Q$2,Dados!$A312&lt;=Imóveis!$T$2),Imóveis!$U$2,0),IF((IF(AND(Dados!$A312&gt;=Imóveis!$Q$2,Dados!$A312&lt;=Imóveis!$T$2),Imóveis!$S$2-(DATEDIF(Imóveis!$Q$2,Dados!$A312,"m")),0))=0,0,((Imóveis!$N$2/Imóveis!$S$2)+((Imóveis!$N$2-((Imóveis!$S$2-(IF(AND(Dados!$A312&gt;=Imóveis!$Q$2,Dados!$A312&lt;=Imóveis!$T$2),Imóveis!$S$2-(DATEDIF(Imóveis!$Q$2,Dados!$A312,"m")),)))*(Imóveis!$N$2/Imóveis!$S$2)))*Imóveis!$P$2))))*IF(AND(Imóveis!$E$2&gt;0,Dados!$A312&gt;Imóveis!$E$2),0,1)</f>
        <v>0</v>
      </c>
      <c r="J312" s="18">
        <f>IF(Imóveis!$F$3="PRICE",IF(AND(Dados!$A312&gt;=Imóveis!$Q$3,Dados!$A312&lt;=Imóveis!$T$3),Imóveis!$U$3,0),IF((IF(AND(Dados!$A312&gt;=Imóveis!$Q$3,Dados!$A312&lt;=Imóveis!$T$3),Imóveis!$S$3-(DATEDIF(Imóveis!$Q$3,Dados!$A312,"m")),0))=0,0,((Imóveis!$N$3/Imóveis!$S$3)+((Imóveis!$N$3-((Imóveis!$S$3-(IF(AND(Dados!$A312&gt;=Imóveis!$Q$3,Dados!$A312&lt;=Imóveis!$T$3),Imóveis!$S$3-(DATEDIF(Imóveis!$Q$3,Dados!$A312,"m")),)))*(Imóveis!$N$3/Imóveis!$S$3)))*Imóveis!$P$3))))*IF(AND(Imóveis!$E$3&gt;0,Dados!$A312&gt;Imóveis!$E$3),0,1)</f>
        <v>0</v>
      </c>
      <c r="K312" s="18">
        <f>IF(Imóveis!$F$4="PRICE",IF(AND(Dados!$A312&gt;=Imóveis!$Q$4,Dados!$A312&lt;=Imóveis!$T$4),Imóveis!$U$4,0),IF((IF(AND(Dados!$A312&gt;=Imóveis!$Q$4,Dados!$A312&lt;=Imóveis!$T$4),Imóveis!$S$4-(DATEDIF(Imóveis!$Q$4,Dados!$A312,"m")),0))=0,0,((Imóveis!$N$4/Imóveis!$S$4)+((Imóveis!$N$4-((Imóveis!$S$4-(IF(AND(Dados!$A312&gt;=Imóveis!$Q$4,Dados!$A312&lt;=Imóveis!$T$4),Imóveis!$S$4-(DATEDIF(Imóveis!$Q$4,Dados!$A312,"m")),)))*(Imóveis!$N$4/Imóveis!$S$4)))*Imóveis!$P$4))))*IF(AND(Imóveis!$E$4&gt;0,Dados!$A312&gt;Imóveis!$E$4),0,1)</f>
        <v>0</v>
      </c>
      <c r="L312" s="18">
        <f>IF(Imóveis!$F$5="PRICE",IF(AND(Dados!$A312&gt;=Imóveis!$Q$5,Dados!$A312&lt;=Imóveis!$T$5),Imóveis!$U$5,0),IF((IF(AND(Dados!$A312&gt;=Imóveis!$Q$5,Dados!$A312&lt;=Imóveis!$T$5),Imóveis!$S$5-(DATEDIF(Imóveis!$Q$5,Dados!$A312,"m")),0))=0,0,((Imóveis!$N$5/Imóveis!$S$5)+((Imóveis!$N$5-((Imóveis!$S$5-(IF(AND(Dados!$A312 &gt;=Imóveis!$Q$5,Dados!$A312&lt;=Imóveis!$T$5),Imóveis!$S$5-(DATEDIF(Imóveis!$Q$5,Dados!$A312,"m")),)))*(Imóveis!$N$5/Imóveis!$S$5)))*Imóveis!$P$5))))*IF(AND(Imóveis!$E$5&gt;0,Dados!$A312&gt;Imóveis!$E$5),0,1)*Imóveis!$I$5</f>
        <v>0</v>
      </c>
      <c r="M312" s="18">
        <f>IF(Imóveis!$F$6="PRICE",IF(AND(Dados!$A312&gt;=Imóveis!$Q$6,Dados!$A312&lt;=Imóveis!$T$6),Imóveis!$U$6,0),IF((IF(AND(Dados!$A312&gt;=Imóveis!$Q$6,Dados!$A312&lt;=Imóveis!$T$6),Imóveis!$S$6-(DATEDIF(Imóveis!$Q$6,Dados!$A312,"m")),0))=0,0,((Imóveis!$N$6/Imóveis!$S$6)+((Imóveis!$N$6-((Imóveis!$S$6-(IF(AND(Dados!$A312&gt;=Imóveis!$Q$6,Dados!$A312&lt;=Imóveis!$T$6),Imóveis!$S$6-(DATEDIF(Imóveis!$Q$6,Dados!$A312,"m")),)))*(Imóveis!$N$6/Imóveis!$S$6)))*Imóveis!$P$6))))*IF(AND(Imóveis!$E$6&gt;0,Dados!$A312&gt;Imóveis!$E$6),0,1)*Imóveis!$I$6</f>
        <v>0</v>
      </c>
      <c r="N312" s="18">
        <f t="shared" si="37"/>
        <v>37000</v>
      </c>
      <c r="O312" s="18">
        <f>SUMIFS(Receitas!$F:$F,Receitas!$J:$J,"&lt;="&amp;$A312,Receitas!$L:$L,"&gt;="&amp;$A312,Receitas!$C:$C,O$1,Receitas!$M:$M,"Mensal")+SUMIFS(Receitas!$F:$F,Receitas!$J:$J,"&lt;="&amp;$A312,Receitas!$L:$L,"&gt;="&amp;$A312,Receitas!$C:$C,O$1,Receitas!$M:$M,$B312)</f>
        <v>50000</v>
      </c>
      <c r="P312" s="18">
        <f>SUMIFS(Receitas!$F:$F,Receitas!$J:$J,"&lt;="&amp;$A312,Receitas!$L:$L,"&gt;="&amp;$A312,Receitas!$C:$C,P$1,Receitas!$M:$M,"Mensal")+SUMIFS(Receitas!$F:$F,Receitas!$J:$J,"&lt;="&amp;$A312,Receitas!$L:$L,"&gt;="&amp;$A312,Receitas!$C:$C,P$1,Receitas!$M:$M,$B312)</f>
        <v>86666.666666666672</v>
      </c>
      <c r="Q312" s="18">
        <f>SUMIFS(Receitas!$F:$F,Receitas!$J:$J,"&lt;="&amp;$A312,Receitas!$L:$L,"&gt;="&amp;$A312,Receitas!$C:$C,Q$1,Receitas!$M:$M,"Mensal")+SUMIFS(Receitas!$F:$F,Receitas!$J:$J,"&lt;="&amp;$A312,Receitas!$L:$L,"&gt;="&amp;$A312,Receitas!$C:$C,Q$1,Receitas!$M:$M,$B312)</f>
        <v>0</v>
      </c>
      <c r="R312" s="18" cm="1">
        <f t="array" ref="R312">(IF(AND(Membros!$F$2="Sim",A312&lt;=MAX(Membros!$E$2:$E$5)),Membros!K$2,IF(AND(A312&gt;=Membros!J$2,A312&lt;=MAX(Membros!$E$2:$E$5)),Membros!K$2,0))+IF(AND(Membros!$F$3="Sim",A312&lt;=MAX(Membros!$E$2:$E$5)),Membros!K$3,IF(AND(A312&gt;=Membros!J$3,A312&lt;=MAX(Membros!$E$2:$E$5)),Membros!K$3,0)))*IF(AND(COUNTIFS(Tabela3[Tipo],"Provedor",Tabela3[Simulação Seguro],"Sim")=2,A312&gt;=MAX(IF(Tabela3[Tipo]="Dependente",Tabela3[Expectativa de Vida (Data)]))),0,1)</f>
        <v>0</v>
      </c>
      <c r="S312" s="18">
        <f t="shared" si="38"/>
        <v>136666.66666666669</v>
      </c>
      <c r="U312" s="18">
        <f t="shared" ca="1" si="41"/>
        <v>19051326.397650946</v>
      </c>
      <c r="V312" s="18">
        <f>SUMIF(Imóveis!E:E,Dados!A:A,Imóveis!Z:Z)-SUMIF(Imóveis!E:E,Dados!A:A,Imóveis!Y:Y)</f>
        <v>0</v>
      </c>
      <c r="W312" s="18">
        <f>-SUMIF(Projetos!N:N,A312,Projetos!F:F)</f>
        <v>0</v>
      </c>
      <c r="X312" s="18">
        <f t="shared" si="35"/>
        <v>99666.666666666686</v>
      </c>
      <c r="Y312" s="26">
        <f ca="1">(U312*((Indicadores_Economicos!D$2+1)^(1/12)-1))</f>
        <v>62369.085131646236</v>
      </c>
      <c r="Z312" s="18">
        <f t="shared" ca="1" si="39"/>
        <v>19213362.149449259</v>
      </c>
      <c r="AA312" s="18">
        <f ca="1">Auxiliar_Projetos!E312</f>
        <v>1.077019467570318E-9</v>
      </c>
      <c r="AB312" s="18">
        <f ca="1">Auxiliar_Projetos!K312</f>
        <v>8.2847651351562884E-10</v>
      </c>
      <c r="AC312" s="18">
        <f ca="1">IF(Z312-AA312-AB312&gt;Investimentos!$C$14,Investimentos!$C$14,IF(Z312-AA312-AB312&lt;Investimentos!$C$14,Z312-AA312-AB312,0))</f>
        <v>300000</v>
      </c>
      <c r="AD312" s="18">
        <f t="shared" ca="1" si="40"/>
        <v>18913362.149449259</v>
      </c>
      <c r="AE312" s="18"/>
    </row>
    <row r="313" spans="1:31" x14ac:dyDescent="0.2">
      <c r="A313" s="4">
        <v>55123</v>
      </c>
      <c r="B313" s="5" t="str">
        <f t="shared" si="36"/>
        <v>dezembro</v>
      </c>
      <c r="C313" s="5" t="str">
        <f t="shared" si="42"/>
        <v>2050</v>
      </c>
      <c r="D313" s="5">
        <f>SUMIFS(Despesas!$F:$F,Despesas!$J:$J,"&lt;="&amp;$A313,Despesas!$L:$L,"&gt;="&amp;$A313,Despesas!$C:$C,D$1,Despesas!$M:$M,"Mensal")+SUMIFS(Despesas!$F:$F,Despesas!$J:$J,"&lt;="&amp;$A313,Despesas!$L:$L,"&gt;="&amp;$A313,Despesas!$C:$C,D$1,Despesas!$M:$M,$B313)</f>
        <v>23000</v>
      </c>
      <c r="E313" s="18">
        <f>SUMIFS(Despesas!$F:$F,Despesas!$J:$J,"&lt;="&amp;$A313,Despesas!$L:$L,"&gt;="&amp;$A313,Despesas!$C:$C,E$1,Despesas!$M:$M,"Mensal")+SUMIFS(Despesas!$F:$F,Despesas!$J:$J,"&lt;="&amp;$A313,Despesas!$L:$L,"&gt;="&amp;$A313,Despesas!$C:$C,E$1,Despesas!$M:$M,$B313)</f>
        <v>0</v>
      </c>
      <c r="F313" s="5">
        <f>SUMIFS(Despesas!$F:$F,Despesas!$J:$J,"&lt;="&amp;$A313,Despesas!$L:$L,"&gt;="&amp;$A313,Despesas!$C:$C,F$1,Despesas!$M:$M,"Mensal")+SUMIFS(Despesas!$F:$F,Despesas!$J:$J,"&lt;="&amp;$A313,Despesas!$L:$L,"&gt;="&amp;$A313,Despesas!$C:$C,F$1,Despesas!$M:$M,$B313)</f>
        <v>13000</v>
      </c>
      <c r="G313" s="5">
        <f ca="1">SUMIFS(Despesas!$F:$F,Despesas!$J:$J,"&lt;="&amp;$A313,Despesas!$L:$L,"&gt;="&amp;$A313,Despesas!$C:$C,G$1,Despesas!$M:$M,"Mensal")+SUMIFS(Despesas!$F:$F,Despesas!$J:$J,"&lt;="&amp;$A313,Despesas!$L:$L,"&gt;="&amp;$A313,Despesas!$C:$C,G$1,Despesas!$M:$M,$B313)</f>
        <v>55757</v>
      </c>
      <c r="H313" s="18">
        <f>SUMIFS(Despesas!$F:$F,Despesas!$J:$J,"&lt;="&amp;$A313,Despesas!$L:$L,"&gt;="&amp;$A313,Despesas!$C:$C,H$1,Despesas!$M:$M,"Mensal")+SUMIFS(Despesas!$F:$F,Despesas!$J:$J,"&lt;="&amp;$A313,Despesas!$L:$L,"&gt;="&amp;$A313,Despesas!$C:$C,H$1,Despesas!$M:$M,$B313)</f>
        <v>1000</v>
      </c>
      <c r="I313" s="18">
        <f>IF(Imóveis!$F$2="PRICE",IF(AND(Dados!$A313&gt;=Imóveis!$Q$2,Dados!$A313&lt;=Imóveis!$T$2),Imóveis!$U$2,0),IF((IF(AND(Dados!$A313&gt;=Imóveis!$Q$2,Dados!$A313&lt;=Imóveis!$T$2),Imóveis!$S$2-(DATEDIF(Imóveis!$Q$2,Dados!$A313,"m")),0))=0,0,((Imóveis!$N$2/Imóveis!$S$2)+((Imóveis!$N$2-((Imóveis!$S$2-(IF(AND(Dados!$A313&gt;=Imóveis!$Q$2,Dados!$A313&lt;=Imóveis!$T$2),Imóveis!$S$2-(DATEDIF(Imóveis!$Q$2,Dados!$A313,"m")),)))*(Imóveis!$N$2/Imóveis!$S$2)))*Imóveis!$P$2))))*IF(AND(Imóveis!$E$2&gt;0,Dados!$A313&gt;Imóveis!$E$2),0,1)</f>
        <v>0</v>
      </c>
      <c r="J313" s="18">
        <f>IF(Imóveis!$F$3="PRICE",IF(AND(Dados!$A313&gt;=Imóveis!$Q$3,Dados!$A313&lt;=Imóveis!$T$3),Imóveis!$U$3,0),IF((IF(AND(Dados!$A313&gt;=Imóveis!$Q$3,Dados!$A313&lt;=Imóveis!$T$3),Imóveis!$S$3-(DATEDIF(Imóveis!$Q$3,Dados!$A313,"m")),0))=0,0,((Imóveis!$N$3/Imóveis!$S$3)+((Imóveis!$N$3-((Imóveis!$S$3-(IF(AND(Dados!$A313&gt;=Imóveis!$Q$3,Dados!$A313&lt;=Imóveis!$T$3),Imóveis!$S$3-(DATEDIF(Imóveis!$Q$3,Dados!$A313,"m")),)))*(Imóveis!$N$3/Imóveis!$S$3)))*Imóveis!$P$3))))*IF(AND(Imóveis!$E$3&gt;0,Dados!$A313&gt;Imóveis!$E$3),0,1)</f>
        <v>0</v>
      </c>
      <c r="K313" s="18">
        <f>IF(Imóveis!$F$4="PRICE",IF(AND(Dados!$A313&gt;=Imóveis!$Q$4,Dados!$A313&lt;=Imóveis!$T$4),Imóveis!$U$4,0),IF((IF(AND(Dados!$A313&gt;=Imóveis!$Q$4,Dados!$A313&lt;=Imóveis!$T$4),Imóveis!$S$4-(DATEDIF(Imóveis!$Q$4,Dados!$A313,"m")),0))=0,0,((Imóveis!$N$4/Imóveis!$S$4)+((Imóveis!$N$4-((Imóveis!$S$4-(IF(AND(Dados!$A313&gt;=Imóveis!$Q$4,Dados!$A313&lt;=Imóveis!$T$4),Imóveis!$S$4-(DATEDIF(Imóveis!$Q$4,Dados!$A313,"m")),)))*(Imóveis!$N$4/Imóveis!$S$4)))*Imóveis!$P$4))))*IF(AND(Imóveis!$E$4&gt;0,Dados!$A313&gt;Imóveis!$E$4),0,1)</f>
        <v>0</v>
      </c>
      <c r="L313" s="18">
        <f>IF(Imóveis!$F$5="PRICE",IF(AND(Dados!$A313&gt;=Imóveis!$Q$5,Dados!$A313&lt;=Imóveis!$T$5),Imóveis!$U$5,0),IF((IF(AND(Dados!$A313&gt;=Imóveis!$Q$5,Dados!$A313&lt;=Imóveis!$T$5),Imóveis!$S$5-(DATEDIF(Imóveis!$Q$5,Dados!$A313,"m")),0))=0,0,((Imóveis!$N$5/Imóveis!$S$5)+((Imóveis!$N$5-((Imóveis!$S$5-(IF(AND(Dados!$A313 &gt;=Imóveis!$Q$5,Dados!$A313&lt;=Imóveis!$T$5),Imóveis!$S$5-(DATEDIF(Imóveis!$Q$5,Dados!$A313,"m")),)))*(Imóveis!$N$5/Imóveis!$S$5)))*Imóveis!$P$5))))*IF(AND(Imóveis!$E$5&gt;0,Dados!$A313&gt;Imóveis!$E$5),0,1)*Imóveis!$I$5</f>
        <v>0</v>
      </c>
      <c r="M313" s="18">
        <f>IF(Imóveis!$F$6="PRICE",IF(AND(Dados!$A313&gt;=Imóveis!$Q$6,Dados!$A313&lt;=Imóveis!$T$6),Imóveis!$U$6,0),IF((IF(AND(Dados!$A313&gt;=Imóveis!$Q$6,Dados!$A313&lt;=Imóveis!$T$6),Imóveis!$S$6-(DATEDIF(Imóveis!$Q$6,Dados!$A313,"m")),0))=0,0,((Imóveis!$N$6/Imóveis!$S$6)+((Imóveis!$N$6-((Imóveis!$S$6-(IF(AND(Dados!$A313&gt;=Imóveis!$Q$6,Dados!$A313&lt;=Imóveis!$T$6),Imóveis!$S$6-(DATEDIF(Imóveis!$Q$6,Dados!$A313,"m")),)))*(Imóveis!$N$6/Imóveis!$S$6)))*Imóveis!$P$6))))*IF(AND(Imóveis!$E$6&gt;0,Dados!$A313&gt;Imóveis!$E$6),0,1)*Imóveis!$I$6</f>
        <v>0</v>
      </c>
      <c r="N313" s="18">
        <f t="shared" ca="1" si="37"/>
        <v>92757</v>
      </c>
      <c r="O313" s="18">
        <f>SUMIFS(Receitas!$F:$F,Receitas!$J:$J,"&lt;="&amp;$A313,Receitas!$L:$L,"&gt;="&amp;$A313,Receitas!$C:$C,O$1,Receitas!$M:$M,"Mensal")+SUMIFS(Receitas!$F:$F,Receitas!$J:$J,"&lt;="&amp;$A313,Receitas!$L:$L,"&gt;="&amp;$A313,Receitas!$C:$C,O$1,Receitas!$M:$M,$B313)</f>
        <v>50000</v>
      </c>
      <c r="P313" s="18">
        <f>SUMIFS(Receitas!$F:$F,Receitas!$J:$J,"&lt;="&amp;$A313,Receitas!$L:$L,"&gt;="&amp;$A313,Receitas!$C:$C,P$1,Receitas!$M:$M,"Mensal")+SUMIFS(Receitas!$F:$F,Receitas!$J:$J,"&lt;="&amp;$A313,Receitas!$L:$L,"&gt;="&amp;$A313,Receitas!$C:$C,P$1,Receitas!$M:$M,$B313)</f>
        <v>20000</v>
      </c>
      <c r="Q313" s="18">
        <f>SUMIFS(Receitas!$F:$F,Receitas!$J:$J,"&lt;="&amp;$A313,Receitas!$L:$L,"&gt;="&amp;$A313,Receitas!$C:$C,Q$1,Receitas!$M:$M,"Mensal")+SUMIFS(Receitas!$F:$F,Receitas!$J:$J,"&lt;="&amp;$A313,Receitas!$L:$L,"&gt;="&amp;$A313,Receitas!$C:$C,Q$1,Receitas!$M:$M,$B313)</f>
        <v>0</v>
      </c>
      <c r="R313" s="18" cm="1">
        <f t="array" ref="R313">(IF(AND(Membros!$F$2="Sim",A313&lt;=MAX(Membros!$E$2:$E$5)),Membros!K$2,IF(AND(A313&gt;=Membros!J$2,A313&lt;=MAX(Membros!$E$2:$E$5)),Membros!K$2,0))+IF(AND(Membros!$F$3="Sim",A313&lt;=MAX(Membros!$E$2:$E$5)),Membros!K$3,IF(AND(A313&gt;=Membros!J$3,A313&lt;=MAX(Membros!$E$2:$E$5)),Membros!K$3,0)))*IF(AND(COUNTIFS(Tabela3[Tipo],"Provedor",Tabela3[Simulação Seguro],"Sim")=2,A313&gt;=MAX(IF(Tabela3[Tipo]="Dependente",Tabela3[Expectativa de Vida (Data)]))),0,1)</f>
        <v>0</v>
      </c>
      <c r="S313" s="18">
        <f t="shared" si="38"/>
        <v>70000</v>
      </c>
      <c r="U313" s="18">
        <f t="shared" ca="1" si="41"/>
        <v>19213362.149449259</v>
      </c>
      <c r="V313" s="18">
        <f>SUMIF(Imóveis!E:E,Dados!A:A,Imóveis!Z:Z)-SUMIF(Imóveis!E:E,Dados!A:A,Imóveis!Y:Y)</f>
        <v>0</v>
      </c>
      <c r="W313" s="18">
        <f>-SUMIF(Projetos!N:N,A313,Projetos!F:F)</f>
        <v>0</v>
      </c>
      <c r="X313" s="18">
        <f t="shared" ca="1" si="35"/>
        <v>-22757</v>
      </c>
      <c r="Y313" s="26">
        <f ca="1">(U313*((Indicadores_Economicos!D$2+1)^(1/12)-1))</f>
        <v>62899.548018446883</v>
      </c>
      <c r="Z313" s="18">
        <f t="shared" ca="1" si="39"/>
        <v>19253504.697467707</v>
      </c>
      <c r="AA313" s="18">
        <f ca="1">Auxiliar_Projetos!E313</f>
        <v>1.0805453490475056E-9</v>
      </c>
      <c r="AB313" s="18">
        <f ca="1">Auxiliar_Projetos!K313</f>
        <v>8.3118873003654239E-10</v>
      </c>
      <c r="AC313" s="18">
        <f ca="1">IF(Z313-AA313-AB313&gt;Investimentos!$C$14,Investimentos!$C$14,IF(Z313-AA313-AB313&lt;Investimentos!$C$14,Z313-AA313-AB313,0))</f>
        <v>300000</v>
      </c>
      <c r="AD313" s="18">
        <f t="shared" ca="1" si="40"/>
        <v>18953504.697467707</v>
      </c>
      <c r="AE313" s="18"/>
    </row>
    <row r="314" spans="1:31" x14ac:dyDescent="0.2">
      <c r="A314" s="4">
        <v>55154</v>
      </c>
      <c r="B314" s="5" t="str">
        <f t="shared" si="36"/>
        <v>janeiro</v>
      </c>
      <c r="C314" s="5" t="str">
        <f t="shared" si="42"/>
        <v>2051</v>
      </c>
      <c r="D314" s="5">
        <f>SUMIFS(Despesas!$F:$F,Despesas!$J:$J,"&lt;="&amp;$A314,Despesas!$L:$L,"&gt;="&amp;$A314,Despesas!$C:$C,D$1,Despesas!$M:$M,"Mensal")+SUMIFS(Despesas!$F:$F,Despesas!$J:$J,"&lt;="&amp;$A314,Despesas!$L:$L,"&gt;="&amp;$A314,Despesas!$C:$C,D$1,Despesas!$M:$M,$B314)</f>
        <v>23000</v>
      </c>
      <c r="E314" s="18">
        <f>SUMIFS(Despesas!$F:$F,Despesas!$J:$J,"&lt;="&amp;$A314,Despesas!$L:$L,"&gt;="&amp;$A314,Despesas!$C:$C,E$1,Despesas!$M:$M,"Mensal")+SUMIFS(Despesas!$F:$F,Despesas!$J:$J,"&lt;="&amp;$A314,Despesas!$L:$L,"&gt;="&amp;$A314,Despesas!$C:$C,E$1,Despesas!$M:$M,$B314)</f>
        <v>0</v>
      </c>
      <c r="F314" s="5">
        <f>SUMIFS(Despesas!$F:$F,Despesas!$J:$J,"&lt;="&amp;$A314,Despesas!$L:$L,"&gt;="&amp;$A314,Despesas!$C:$C,F$1,Despesas!$M:$M,"Mensal")+SUMIFS(Despesas!$F:$F,Despesas!$J:$J,"&lt;="&amp;$A314,Despesas!$L:$L,"&gt;="&amp;$A314,Despesas!$C:$C,F$1,Despesas!$M:$M,$B314)</f>
        <v>13000</v>
      </c>
      <c r="G314" s="5">
        <f>SUMIFS(Despesas!$F:$F,Despesas!$J:$J,"&lt;="&amp;$A314,Despesas!$L:$L,"&gt;="&amp;$A314,Despesas!$C:$C,G$1,Despesas!$M:$M,"Mensal")+SUMIFS(Despesas!$F:$F,Despesas!$J:$J,"&lt;="&amp;$A314,Despesas!$L:$L,"&gt;="&amp;$A314,Despesas!$C:$C,G$1,Despesas!$M:$M,$B314)</f>
        <v>0</v>
      </c>
      <c r="H314" s="18">
        <f>SUMIFS(Despesas!$F:$F,Despesas!$J:$J,"&lt;="&amp;$A314,Despesas!$L:$L,"&gt;="&amp;$A314,Despesas!$C:$C,H$1,Despesas!$M:$M,"Mensal")+SUMIFS(Despesas!$F:$F,Despesas!$J:$J,"&lt;="&amp;$A314,Despesas!$L:$L,"&gt;="&amp;$A314,Despesas!$C:$C,H$1,Despesas!$M:$M,$B314)</f>
        <v>1000</v>
      </c>
      <c r="I314" s="18">
        <f>IF(Imóveis!$F$2="PRICE",IF(AND(Dados!$A314&gt;=Imóveis!$Q$2,Dados!$A314&lt;=Imóveis!$T$2),Imóveis!$U$2,0),IF((IF(AND(Dados!$A314&gt;=Imóveis!$Q$2,Dados!$A314&lt;=Imóveis!$T$2),Imóveis!$S$2-(DATEDIF(Imóveis!$Q$2,Dados!$A314,"m")),0))=0,0,((Imóveis!$N$2/Imóveis!$S$2)+((Imóveis!$N$2-((Imóveis!$S$2-(IF(AND(Dados!$A314&gt;=Imóveis!$Q$2,Dados!$A314&lt;=Imóveis!$T$2),Imóveis!$S$2-(DATEDIF(Imóveis!$Q$2,Dados!$A314,"m")),)))*(Imóveis!$N$2/Imóveis!$S$2)))*Imóveis!$P$2))))*IF(AND(Imóveis!$E$2&gt;0,Dados!$A314&gt;Imóveis!$E$2),0,1)</f>
        <v>0</v>
      </c>
      <c r="J314" s="18">
        <f>IF(Imóveis!$F$3="PRICE",IF(AND(Dados!$A314&gt;=Imóveis!$Q$3,Dados!$A314&lt;=Imóveis!$T$3),Imóveis!$U$3,0),IF((IF(AND(Dados!$A314&gt;=Imóveis!$Q$3,Dados!$A314&lt;=Imóveis!$T$3),Imóveis!$S$3-(DATEDIF(Imóveis!$Q$3,Dados!$A314,"m")),0))=0,0,((Imóveis!$N$3/Imóveis!$S$3)+((Imóveis!$N$3-((Imóveis!$S$3-(IF(AND(Dados!$A314&gt;=Imóveis!$Q$3,Dados!$A314&lt;=Imóveis!$T$3),Imóveis!$S$3-(DATEDIF(Imóveis!$Q$3,Dados!$A314,"m")),)))*(Imóveis!$N$3/Imóveis!$S$3)))*Imóveis!$P$3))))*IF(AND(Imóveis!$E$3&gt;0,Dados!$A314&gt;Imóveis!$E$3),0,1)</f>
        <v>0</v>
      </c>
      <c r="K314" s="18">
        <f>IF(Imóveis!$F$4="PRICE",IF(AND(Dados!$A314&gt;=Imóveis!$Q$4,Dados!$A314&lt;=Imóveis!$T$4),Imóveis!$U$4,0),IF((IF(AND(Dados!$A314&gt;=Imóveis!$Q$4,Dados!$A314&lt;=Imóveis!$T$4),Imóveis!$S$4-(DATEDIF(Imóveis!$Q$4,Dados!$A314,"m")),0))=0,0,((Imóveis!$N$4/Imóveis!$S$4)+((Imóveis!$N$4-((Imóveis!$S$4-(IF(AND(Dados!$A314&gt;=Imóveis!$Q$4,Dados!$A314&lt;=Imóveis!$T$4),Imóveis!$S$4-(DATEDIF(Imóveis!$Q$4,Dados!$A314,"m")),)))*(Imóveis!$N$4/Imóveis!$S$4)))*Imóveis!$P$4))))*IF(AND(Imóveis!$E$4&gt;0,Dados!$A314&gt;Imóveis!$E$4),0,1)</f>
        <v>0</v>
      </c>
      <c r="L314" s="18">
        <f>IF(Imóveis!$F$5="PRICE",IF(AND(Dados!$A314&gt;=Imóveis!$Q$5,Dados!$A314&lt;=Imóveis!$T$5),Imóveis!$U$5,0),IF((IF(AND(Dados!$A314&gt;=Imóveis!$Q$5,Dados!$A314&lt;=Imóveis!$T$5),Imóveis!$S$5-(DATEDIF(Imóveis!$Q$5,Dados!$A314,"m")),0))=0,0,((Imóveis!$N$5/Imóveis!$S$5)+((Imóveis!$N$5-((Imóveis!$S$5-(IF(AND(Dados!$A314 &gt;=Imóveis!$Q$5,Dados!$A314&lt;=Imóveis!$T$5),Imóveis!$S$5-(DATEDIF(Imóveis!$Q$5,Dados!$A314,"m")),)))*(Imóveis!$N$5/Imóveis!$S$5)))*Imóveis!$P$5))))*IF(AND(Imóveis!$E$5&gt;0,Dados!$A314&gt;Imóveis!$E$5),0,1)*Imóveis!$I$5</f>
        <v>0</v>
      </c>
      <c r="M314" s="18">
        <f>IF(Imóveis!$F$6="PRICE",IF(AND(Dados!$A314&gt;=Imóveis!$Q$6,Dados!$A314&lt;=Imóveis!$T$6),Imóveis!$U$6,0),IF((IF(AND(Dados!$A314&gt;=Imóveis!$Q$6,Dados!$A314&lt;=Imóveis!$T$6),Imóveis!$S$6-(DATEDIF(Imóveis!$Q$6,Dados!$A314,"m")),0))=0,0,((Imóveis!$N$6/Imóveis!$S$6)+((Imóveis!$N$6-((Imóveis!$S$6-(IF(AND(Dados!$A314&gt;=Imóveis!$Q$6,Dados!$A314&lt;=Imóveis!$T$6),Imóveis!$S$6-(DATEDIF(Imóveis!$Q$6,Dados!$A314,"m")),)))*(Imóveis!$N$6/Imóveis!$S$6)))*Imóveis!$P$6))))*IF(AND(Imóveis!$E$6&gt;0,Dados!$A314&gt;Imóveis!$E$6),0,1)*Imóveis!$I$6</f>
        <v>0</v>
      </c>
      <c r="N314" s="18">
        <f t="shared" si="37"/>
        <v>37000</v>
      </c>
      <c r="O314" s="18">
        <f>SUMIFS(Receitas!$F:$F,Receitas!$J:$J,"&lt;="&amp;$A314,Receitas!$L:$L,"&gt;="&amp;$A314,Receitas!$C:$C,O$1,Receitas!$M:$M,"Mensal")+SUMIFS(Receitas!$F:$F,Receitas!$J:$J,"&lt;="&amp;$A314,Receitas!$L:$L,"&gt;="&amp;$A314,Receitas!$C:$C,O$1,Receitas!$M:$M,$B314)</f>
        <v>50000</v>
      </c>
      <c r="P314" s="18">
        <f>SUMIFS(Receitas!$F:$F,Receitas!$J:$J,"&lt;="&amp;$A314,Receitas!$L:$L,"&gt;="&amp;$A314,Receitas!$C:$C,P$1,Receitas!$M:$M,"Mensal")+SUMIFS(Receitas!$F:$F,Receitas!$J:$J,"&lt;="&amp;$A314,Receitas!$L:$L,"&gt;="&amp;$A314,Receitas!$C:$C,P$1,Receitas!$M:$M,$B314)</f>
        <v>20000</v>
      </c>
      <c r="Q314" s="18">
        <f>SUMIFS(Receitas!$F:$F,Receitas!$J:$J,"&lt;="&amp;$A314,Receitas!$L:$L,"&gt;="&amp;$A314,Receitas!$C:$C,Q$1,Receitas!$M:$M,"Mensal")+SUMIFS(Receitas!$F:$F,Receitas!$J:$J,"&lt;="&amp;$A314,Receitas!$L:$L,"&gt;="&amp;$A314,Receitas!$C:$C,Q$1,Receitas!$M:$M,$B314)</f>
        <v>0</v>
      </c>
      <c r="R314" s="18" cm="1">
        <f t="array" ref="R314">(IF(AND(Membros!$F$2="Sim",A314&lt;=MAX(Membros!$E$2:$E$5)),Membros!K$2,IF(AND(A314&gt;=Membros!J$2,A314&lt;=MAX(Membros!$E$2:$E$5)),Membros!K$2,0))+IF(AND(Membros!$F$3="Sim",A314&lt;=MAX(Membros!$E$2:$E$5)),Membros!K$3,IF(AND(A314&gt;=Membros!J$3,A314&lt;=MAX(Membros!$E$2:$E$5)),Membros!K$3,0)))*IF(AND(COUNTIFS(Tabela3[Tipo],"Provedor",Tabela3[Simulação Seguro],"Sim")=2,A314&gt;=MAX(IF(Tabela3[Tipo]="Dependente",Tabela3[Expectativa de Vida (Data)]))),0,1)</f>
        <v>0</v>
      </c>
      <c r="S314" s="18">
        <f t="shared" si="38"/>
        <v>70000</v>
      </c>
      <c r="U314" s="18">
        <f t="shared" ca="1" si="41"/>
        <v>19253504.697467707</v>
      </c>
      <c r="V314" s="18">
        <f>SUMIF(Imóveis!E:E,Dados!A:A,Imóveis!Z:Z)-SUMIF(Imóveis!E:E,Dados!A:A,Imóveis!Y:Y)</f>
        <v>0</v>
      </c>
      <c r="W314" s="18">
        <f>-SUMIF(Projetos!N:N,A314,Projetos!F:F)</f>
        <v>0</v>
      </c>
      <c r="X314" s="18">
        <f t="shared" si="35"/>
        <v>33000</v>
      </c>
      <c r="Y314" s="26">
        <f ca="1">(U314*((Indicadores_Economicos!D$2+1)^(1/12)-1))</f>
        <v>63030.964274853708</v>
      </c>
      <c r="Z314" s="18">
        <f t="shared" ca="1" si="39"/>
        <v>19349535.661742561</v>
      </c>
      <c r="AA314" s="18">
        <f ca="1">Auxiliar_Projetos!E314</f>
        <v>1.0840827733431524E-9</v>
      </c>
      <c r="AB314" s="18">
        <f ca="1">Auxiliar_Projetos!K314</f>
        <v>8.3390982564857837E-10</v>
      </c>
      <c r="AC314" s="18">
        <f ca="1">IF(Z314-AA314-AB314&gt;Investimentos!$C$14,Investimentos!$C$14,IF(Z314-AA314-AB314&lt;Investimentos!$C$14,Z314-AA314-AB314,0))</f>
        <v>300000</v>
      </c>
      <c r="AD314" s="18">
        <f t="shared" ca="1" si="40"/>
        <v>19049535.661742561</v>
      </c>
      <c r="AE314" s="18"/>
    </row>
    <row r="315" spans="1:31" x14ac:dyDescent="0.2">
      <c r="A315" s="4">
        <v>55185</v>
      </c>
      <c r="B315" s="5" t="str">
        <f t="shared" si="36"/>
        <v>fevereiro</v>
      </c>
      <c r="C315" s="5" t="str">
        <f t="shared" si="42"/>
        <v>2051</v>
      </c>
      <c r="D315" s="5">
        <f>SUMIFS(Despesas!$F:$F,Despesas!$J:$J,"&lt;="&amp;$A315,Despesas!$L:$L,"&gt;="&amp;$A315,Despesas!$C:$C,D$1,Despesas!$M:$M,"Mensal")+SUMIFS(Despesas!$F:$F,Despesas!$J:$J,"&lt;="&amp;$A315,Despesas!$L:$L,"&gt;="&amp;$A315,Despesas!$C:$C,D$1,Despesas!$M:$M,$B315)</f>
        <v>23000</v>
      </c>
      <c r="E315" s="18">
        <f>SUMIFS(Despesas!$F:$F,Despesas!$J:$J,"&lt;="&amp;$A315,Despesas!$L:$L,"&gt;="&amp;$A315,Despesas!$C:$C,E$1,Despesas!$M:$M,"Mensal")+SUMIFS(Despesas!$F:$F,Despesas!$J:$J,"&lt;="&amp;$A315,Despesas!$L:$L,"&gt;="&amp;$A315,Despesas!$C:$C,E$1,Despesas!$M:$M,$B315)</f>
        <v>0</v>
      </c>
      <c r="F315" s="5">
        <f>SUMIFS(Despesas!$F:$F,Despesas!$J:$J,"&lt;="&amp;$A315,Despesas!$L:$L,"&gt;="&amp;$A315,Despesas!$C:$C,F$1,Despesas!$M:$M,"Mensal")+SUMIFS(Despesas!$F:$F,Despesas!$J:$J,"&lt;="&amp;$A315,Despesas!$L:$L,"&gt;="&amp;$A315,Despesas!$C:$C,F$1,Despesas!$M:$M,$B315)</f>
        <v>13000</v>
      </c>
      <c r="G315" s="5">
        <f>SUMIFS(Despesas!$F:$F,Despesas!$J:$J,"&lt;="&amp;$A315,Despesas!$L:$L,"&gt;="&amp;$A315,Despesas!$C:$C,G$1,Despesas!$M:$M,"Mensal")+SUMIFS(Despesas!$F:$F,Despesas!$J:$J,"&lt;="&amp;$A315,Despesas!$L:$L,"&gt;="&amp;$A315,Despesas!$C:$C,G$1,Despesas!$M:$M,$B315)</f>
        <v>0</v>
      </c>
      <c r="H315" s="18">
        <f>SUMIFS(Despesas!$F:$F,Despesas!$J:$J,"&lt;="&amp;$A315,Despesas!$L:$L,"&gt;="&amp;$A315,Despesas!$C:$C,H$1,Despesas!$M:$M,"Mensal")+SUMIFS(Despesas!$F:$F,Despesas!$J:$J,"&lt;="&amp;$A315,Despesas!$L:$L,"&gt;="&amp;$A315,Despesas!$C:$C,H$1,Despesas!$M:$M,$B315)</f>
        <v>2200</v>
      </c>
      <c r="I315" s="18">
        <f>IF(Imóveis!$F$2="PRICE",IF(AND(Dados!$A315&gt;=Imóveis!$Q$2,Dados!$A315&lt;=Imóveis!$T$2),Imóveis!$U$2,0),IF((IF(AND(Dados!$A315&gt;=Imóveis!$Q$2,Dados!$A315&lt;=Imóveis!$T$2),Imóveis!$S$2-(DATEDIF(Imóveis!$Q$2,Dados!$A315,"m")),0))=0,0,((Imóveis!$N$2/Imóveis!$S$2)+((Imóveis!$N$2-((Imóveis!$S$2-(IF(AND(Dados!$A315&gt;=Imóveis!$Q$2,Dados!$A315&lt;=Imóveis!$T$2),Imóveis!$S$2-(DATEDIF(Imóveis!$Q$2,Dados!$A315,"m")),)))*(Imóveis!$N$2/Imóveis!$S$2)))*Imóveis!$P$2))))*IF(AND(Imóveis!$E$2&gt;0,Dados!$A315&gt;Imóveis!$E$2),0,1)</f>
        <v>0</v>
      </c>
      <c r="J315" s="18">
        <f>IF(Imóveis!$F$3="PRICE",IF(AND(Dados!$A315&gt;=Imóveis!$Q$3,Dados!$A315&lt;=Imóveis!$T$3),Imóveis!$U$3,0),IF((IF(AND(Dados!$A315&gt;=Imóveis!$Q$3,Dados!$A315&lt;=Imóveis!$T$3),Imóveis!$S$3-(DATEDIF(Imóveis!$Q$3,Dados!$A315,"m")),0))=0,0,((Imóveis!$N$3/Imóveis!$S$3)+((Imóveis!$N$3-((Imóveis!$S$3-(IF(AND(Dados!$A315&gt;=Imóveis!$Q$3,Dados!$A315&lt;=Imóveis!$T$3),Imóveis!$S$3-(DATEDIF(Imóveis!$Q$3,Dados!$A315,"m")),)))*(Imóveis!$N$3/Imóveis!$S$3)))*Imóveis!$P$3))))*IF(AND(Imóveis!$E$3&gt;0,Dados!$A315&gt;Imóveis!$E$3),0,1)</f>
        <v>0</v>
      </c>
      <c r="K315" s="18">
        <f>IF(Imóveis!$F$4="PRICE",IF(AND(Dados!$A315&gt;=Imóveis!$Q$4,Dados!$A315&lt;=Imóveis!$T$4),Imóveis!$U$4,0),IF((IF(AND(Dados!$A315&gt;=Imóveis!$Q$4,Dados!$A315&lt;=Imóveis!$T$4),Imóveis!$S$4-(DATEDIF(Imóveis!$Q$4,Dados!$A315,"m")),0))=0,0,((Imóveis!$N$4/Imóveis!$S$4)+((Imóveis!$N$4-((Imóveis!$S$4-(IF(AND(Dados!$A315&gt;=Imóveis!$Q$4,Dados!$A315&lt;=Imóveis!$T$4),Imóveis!$S$4-(DATEDIF(Imóveis!$Q$4,Dados!$A315,"m")),)))*(Imóveis!$N$4/Imóveis!$S$4)))*Imóveis!$P$4))))*IF(AND(Imóveis!$E$4&gt;0,Dados!$A315&gt;Imóveis!$E$4),0,1)</f>
        <v>0</v>
      </c>
      <c r="L315" s="18">
        <f>IF(Imóveis!$F$5="PRICE",IF(AND(Dados!$A315&gt;=Imóveis!$Q$5,Dados!$A315&lt;=Imóveis!$T$5),Imóveis!$U$5,0),IF((IF(AND(Dados!$A315&gt;=Imóveis!$Q$5,Dados!$A315&lt;=Imóveis!$T$5),Imóveis!$S$5-(DATEDIF(Imóveis!$Q$5,Dados!$A315,"m")),0))=0,0,((Imóveis!$N$5/Imóveis!$S$5)+((Imóveis!$N$5-((Imóveis!$S$5-(IF(AND(Dados!$A315 &gt;=Imóveis!$Q$5,Dados!$A315&lt;=Imóveis!$T$5),Imóveis!$S$5-(DATEDIF(Imóveis!$Q$5,Dados!$A315,"m")),)))*(Imóveis!$N$5/Imóveis!$S$5)))*Imóveis!$P$5))))*IF(AND(Imóveis!$E$5&gt;0,Dados!$A315&gt;Imóveis!$E$5),0,1)*Imóveis!$I$5</f>
        <v>0</v>
      </c>
      <c r="M315" s="18">
        <f>IF(Imóveis!$F$6="PRICE",IF(AND(Dados!$A315&gt;=Imóveis!$Q$6,Dados!$A315&lt;=Imóveis!$T$6),Imóveis!$U$6,0),IF((IF(AND(Dados!$A315&gt;=Imóveis!$Q$6,Dados!$A315&lt;=Imóveis!$T$6),Imóveis!$S$6-(DATEDIF(Imóveis!$Q$6,Dados!$A315,"m")),0))=0,0,((Imóveis!$N$6/Imóveis!$S$6)+((Imóveis!$N$6-((Imóveis!$S$6-(IF(AND(Dados!$A315&gt;=Imóveis!$Q$6,Dados!$A315&lt;=Imóveis!$T$6),Imóveis!$S$6-(DATEDIF(Imóveis!$Q$6,Dados!$A315,"m")),)))*(Imóveis!$N$6/Imóveis!$S$6)))*Imóveis!$P$6))))*IF(AND(Imóveis!$E$6&gt;0,Dados!$A315&gt;Imóveis!$E$6),0,1)*Imóveis!$I$6</f>
        <v>0</v>
      </c>
      <c r="N315" s="18">
        <f t="shared" si="37"/>
        <v>38200</v>
      </c>
      <c r="O315" s="18">
        <f>SUMIFS(Receitas!$F:$F,Receitas!$J:$J,"&lt;="&amp;$A315,Receitas!$L:$L,"&gt;="&amp;$A315,Receitas!$C:$C,O$1,Receitas!$M:$M,"Mensal")+SUMIFS(Receitas!$F:$F,Receitas!$J:$J,"&lt;="&amp;$A315,Receitas!$L:$L,"&gt;="&amp;$A315,Receitas!$C:$C,O$1,Receitas!$M:$M,$B315)</f>
        <v>50000</v>
      </c>
      <c r="P315" s="18">
        <f>SUMIFS(Receitas!$F:$F,Receitas!$J:$J,"&lt;="&amp;$A315,Receitas!$L:$L,"&gt;="&amp;$A315,Receitas!$C:$C,P$1,Receitas!$M:$M,"Mensal")+SUMIFS(Receitas!$F:$F,Receitas!$J:$J,"&lt;="&amp;$A315,Receitas!$L:$L,"&gt;="&amp;$A315,Receitas!$C:$C,P$1,Receitas!$M:$M,$B315)</f>
        <v>20000</v>
      </c>
      <c r="Q315" s="18">
        <f>SUMIFS(Receitas!$F:$F,Receitas!$J:$J,"&lt;="&amp;$A315,Receitas!$L:$L,"&gt;="&amp;$A315,Receitas!$C:$C,Q$1,Receitas!$M:$M,"Mensal")+SUMIFS(Receitas!$F:$F,Receitas!$J:$J,"&lt;="&amp;$A315,Receitas!$L:$L,"&gt;="&amp;$A315,Receitas!$C:$C,Q$1,Receitas!$M:$M,$B315)</f>
        <v>0</v>
      </c>
      <c r="R315" s="18" cm="1">
        <f t="array" ref="R315">(IF(AND(Membros!$F$2="Sim",A315&lt;=MAX(Membros!$E$2:$E$5)),Membros!K$2,IF(AND(A315&gt;=Membros!J$2,A315&lt;=MAX(Membros!$E$2:$E$5)),Membros!K$2,0))+IF(AND(Membros!$F$3="Sim",A315&lt;=MAX(Membros!$E$2:$E$5)),Membros!K$3,IF(AND(A315&gt;=Membros!J$3,A315&lt;=MAX(Membros!$E$2:$E$5)),Membros!K$3,0)))*IF(AND(COUNTIFS(Tabela3[Tipo],"Provedor",Tabela3[Simulação Seguro],"Sim")=2,A315&gt;=MAX(IF(Tabela3[Tipo]="Dependente",Tabela3[Expectativa de Vida (Data)]))),0,1)</f>
        <v>0</v>
      </c>
      <c r="S315" s="18">
        <f t="shared" si="38"/>
        <v>70000</v>
      </c>
      <c r="U315" s="18">
        <f t="shared" ca="1" si="41"/>
        <v>19349535.661742561</v>
      </c>
      <c r="V315" s="18">
        <f>SUMIF(Imóveis!E:E,Dados!A:A,Imóveis!Z:Z)-SUMIF(Imóveis!E:E,Dados!A:A,Imóveis!Y:Y)</f>
        <v>0</v>
      </c>
      <c r="W315" s="18">
        <f>-SUMIF(Projetos!N:N,A315,Projetos!F:F)</f>
        <v>0</v>
      </c>
      <c r="X315" s="18">
        <f t="shared" si="35"/>
        <v>31800</v>
      </c>
      <c r="Y315" s="26">
        <f ca="1">(U315*((Indicadores_Economicos!D$2+1)^(1/12)-1))</f>
        <v>63345.34466292322</v>
      </c>
      <c r="Z315" s="18">
        <f t="shared" ca="1" si="39"/>
        <v>19444681.006405484</v>
      </c>
      <c r="AA315" s="18">
        <f ca="1">Auxiliar_Projetos!E315</f>
        <v>1.0876317782454424E-9</v>
      </c>
      <c r="AB315" s="18">
        <f ca="1">Auxiliar_Projetos!K315</f>
        <v>8.3663982941957066E-10</v>
      </c>
      <c r="AC315" s="18">
        <f ca="1">IF(Z315-AA315-AB315&gt;Investimentos!$C$14,Investimentos!$C$14,IF(Z315-AA315-AB315&lt;Investimentos!$C$14,Z315-AA315-AB315,0))</f>
        <v>300000</v>
      </c>
      <c r="AD315" s="18">
        <f t="shared" ca="1" si="40"/>
        <v>19144681.006405484</v>
      </c>
      <c r="AE315" s="18"/>
    </row>
    <row r="316" spans="1:31" x14ac:dyDescent="0.2">
      <c r="A316" s="4">
        <v>55213</v>
      </c>
      <c r="B316" s="5" t="str">
        <f t="shared" si="36"/>
        <v>março</v>
      </c>
      <c r="C316" s="5" t="str">
        <f t="shared" si="42"/>
        <v>2051</v>
      </c>
      <c r="D316" s="5">
        <f>SUMIFS(Despesas!$F:$F,Despesas!$J:$J,"&lt;="&amp;$A316,Despesas!$L:$L,"&gt;="&amp;$A316,Despesas!$C:$C,D$1,Despesas!$M:$M,"Mensal")+SUMIFS(Despesas!$F:$F,Despesas!$J:$J,"&lt;="&amp;$A316,Despesas!$L:$L,"&gt;="&amp;$A316,Despesas!$C:$C,D$1,Despesas!$M:$M,$B316)</f>
        <v>23000</v>
      </c>
      <c r="E316" s="18">
        <f>SUMIFS(Despesas!$F:$F,Despesas!$J:$J,"&lt;="&amp;$A316,Despesas!$L:$L,"&gt;="&amp;$A316,Despesas!$C:$C,E$1,Despesas!$M:$M,"Mensal")+SUMIFS(Despesas!$F:$F,Despesas!$J:$J,"&lt;="&amp;$A316,Despesas!$L:$L,"&gt;="&amp;$A316,Despesas!$C:$C,E$1,Despesas!$M:$M,$B316)</f>
        <v>0</v>
      </c>
      <c r="F316" s="5">
        <f>SUMIFS(Despesas!$F:$F,Despesas!$J:$J,"&lt;="&amp;$A316,Despesas!$L:$L,"&gt;="&amp;$A316,Despesas!$C:$C,F$1,Despesas!$M:$M,"Mensal")+SUMIFS(Despesas!$F:$F,Despesas!$J:$J,"&lt;="&amp;$A316,Despesas!$L:$L,"&gt;="&amp;$A316,Despesas!$C:$C,F$1,Despesas!$M:$M,$B316)</f>
        <v>13000</v>
      </c>
      <c r="G316" s="5">
        <f>SUMIFS(Despesas!$F:$F,Despesas!$J:$J,"&lt;="&amp;$A316,Despesas!$L:$L,"&gt;="&amp;$A316,Despesas!$C:$C,G$1,Despesas!$M:$M,"Mensal")+SUMIFS(Despesas!$F:$F,Despesas!$J:$J,"&lt;="&amp;$A316,Despesas!$L:$L,"&gt;="&amp;$A316,Despesas!$C:$C,G$1,Despesas!$M:$M,$B316)</f>
        <v>0</v>
      </c>
      <c r="H316" s="18">
        <f>SUMIFS(Despesas!$F:$F,Despesas!$J:$J,"&lt;="&amp;$A316,Despesas!$L:$L,"&gt;="&amp;$A316,Despesas!$C:$C,H$1,Despesas!$M:$M,"Mensal")+SUMIFS(Despesas!$F:$F,Despesas!$J:$J,"&lt;="&amp;$A316,Despesas!$L:$L,"&gt;="&amp;$A316,Despesas!$C:$C,H$1,Despesas!$M:$M,$B316)</f>
        <v>1000</v>
      </c>
      <c r="I316" s="18">
        <f>IF(Imóveis!$F$2="PRICE",IF(AND(Dados!$A316&gt;=Imóveis!$Q$2,Dados!$A316&lt;=Imóveis!$T$2),Imóveis!$U$2,0),IF((IF(AND(Dados!$A316&gt;=Imóveis!$Q$2,Dados!$A316&lt;=Imóveis!$T$2),Imóveis!$S$2-(DATEDIF(Imóveis!$Q$2,Dados!$A316,"m")),0))=0,0,((Imóveis!$N$2/Imóveis!$S$2)+((Imóveis!$N$2-((Imóveis!$S$2-(IF(AND(Dados!$A316&gt;=Imóveis!$Q$2,Dados!$A316&lt;=Imóveis!$T$2),Imóveis!$S$2-(DATEDIF(Imóveis!$Q$2,Dados!$A316,"m")),)))*(Imóveis!$N$2/Imóveis!$S$2)))*Imóveis!$P$2))))*IF(AND(Imóveis!$E$2&gt;0,Dados!$A316&gt;Imóveis!$E$2),0,1)</f>
        <v>0</v>
      </c>
      <c r="J316" s="18">
        <f>IF(Imóveis!$F$3="PRICE",IF(AND(Dados!$A316&gt;=Imóveis!$Q$3,Dados!$A316&lt;=Imóveis!$T$3),Imóveis!$U$3,0),IF((IF(AND(Dados!$A316&gt;=Imóveis!$Q$3,Dados!$A316&lt;=Imóveis!$T$3),Imóveis!$S$3-(DATEDIF(Imóveis!$Q$3,Dados!$A316,"m")),0))=0,0,((Imóveis!$N$3/Imóveis!$S$3)+((Imóveis!$N$3-((Imóveis!$S$3-(IF(AND(Dados!$A316&gt;=Imóveis!$Q$3,Dados!$A316&lt;=Imóveis!$T$3),Imóveis!$S$3-(DATEDIF(Imóveis!$Q$3,Dados!$A316,"m")),)))*(Imóveis!$N$3/Imóveis!$S$3)))*Imóveis!$P$3))))*IF(AND(Imóveis!$E$3&gt;0,Dados!$A316&gt;Imóveis!$E$3),0,1)</f>
        <v>0</v>
      </c>
      <c r="K316" s="18">
        <f>IF(Imóveis!$F$4="PRICE",IF(AND(Dados!$A316&gt;=Imóveis!$Q$4,Dados!$A316&lt;=Imóveis!$T$4),Imóveis!$U$4,0),IF((IF(AND(Dados!$A316&gt;=Imóveis!$Q$4,Dados!$A316&lt;=Imóveis!$T$4),Imóveis!$S$4-(DATEDIF(Imóveis!$Q$4,Dados!$A316,"m")),0))=0,0,((Imóveis!$N$4/Imóveis!$S$4)+((Imóveis!$N$4-((Imóveis!$S$4-(IF(AND(Dados!$A316&gt;=Imóveis!$Q$4,Dados!$A316&lt;=Imóveis!$T$4),Imóveis!$S$4-(DATEDIF(Imóveis!$Q$4,Dados!$A316,"m")),)))*(Imóveis!$N$4/Imóveis!$S$4)))*Imóveis!$P$4))))*IF(AND(Imóveis!$E$4&gt;0,Dados!$A316&gt;Imóveis!$E$4),0,1)</f>
        <v>0</v>
      </c>
      <c r="L316" s="18">
        <f>IF(Imóveis!$F$5="PRICE",IF(AND(Dados!$A316&gt;=Imóveis!$Q$5,Dados!$A316&lt;=Imóveis!$T$5),Imóveis!$U$5,0),IF((IF(AND(Dados!$A316&gt;=Imóveis!$Q$5,Dados!$A316&lt;=Imóveis!$T$5),Imóveis!$S$5-(DATEDIF(Imóveis!$Q$5,Dados!$A316,"m")),0))=0,0,((Imóveis!$N$5/Imóveis!$S$5)+((Imóveis!$N$5-((Imóveis!$S$5-(IF(AND(Dados!$A316 &gt;=Imóveis!$Q$5,Dados!$A316&lt;=Imóveis!$T$5),Imóveis!$S$5-(DATEDIF(Imóveis!$Q$5,Dados!$A316,"m")),)))*(Imóveis!$N$5/Imóveis!$S$5)))*Imóveis!$P$5))))*IF(AND(Imóveis!$E$5&gt;0,Dados!$A316&gt;Imóveis!$E$5),0,1)*Imóveis!$I$5</f>
        <v>0</v>
      </c>
      <c r="M316" s="18">
        <f>IF(Imóveis!$F$6="PRICE",IF(AND(Dados!$A316&gt;=Imóveis!$Q$6,Dados!$A316&lt;=Imóveis!$T$6),Imóveis!$U$6,0),IF((IF(AND(Dados!$A316&gt;=Imóveis!$Q$6,Dados!$A316&lt;=Imóveis!$T$6),Imóveis!$S$6-(DATEDIF(Imóveis!$Q$6,Dados!$A316,"m")),0))=0,0,((Imóveis!$N$6/Imóveis!$S$6)+((Imóveis!$N$6-((Imóveis!$S$6-(IF(AND(Dados!$A316&gt;=Imóveis!$Q$6,Dados!$A316&lt;=Imóveis!$T$6),Imóveis!$S$6-(DATEDIF(Imóveis!$Q$6,Dados!$A316,"m")),)))*(Imóveis!$N$6/Imóveis!$S$6)))*Imóveis!$P$6))))*IF(AND(Imóveis!$E$6&gt;0,Dados!$A316&gt;Imóveis!$E$6),0,1)*Imóveis!$I$6</f>
        <v>0</v>
      </c>
      <c r="N316" s="18">
        <f t="shared" si="37"/>
        <v>37000</v>
      </c>
      <c r="O316" s="18">
        <f>SUMIFS(Receitas!$F:$F,Receitas!$J:$J,"&lt;="&amp;$A316,Receitas!$L:$L,"&gt;="&amp;$A316,Receitas!$C:$C,O$1,Receitas!$M:$M,"Mensal")+SUMIFS(Receitas!$F:$F,Receitas!$J:$J,"&lt;="&amp;$A316,Receitas!$L:$L,"&gt;="&amp;$A316,Receitas!$C:$C,O$1,Receitas!$M:$M,$B316)</f>
        <v>50000</v>
      </c>
      <c r="P316" s="18">
        <f>SUMIFS(Receitas!$F:$F,Receitas!$J:$J,"&lt;="&amp;$A316,Receitas!$L:$L,"&gt;="&amp;$A316,Receitas!$C:$C,P$1,Receitas!$M:$M,"Mensal")+SUMIFS(Receitas!$F:$F,Receitas!$J:$J,"&lt;="&amp;$A316,Receitas!$L:$L,"&gt;="&amp;$A316,Receitas!$C:$C,P$1,Receitas!$M:$M,$B316)</f>
        <v>20000</v>
      </c>
      <c r="Q316" s="18">
        <f>SUMIFS(Receitas!$F:$F,Receitas!$J:$J,"&lt;="&amp;$A316,Receitas!$L:$L,"&gt;="&amp;$A316,Receitas!$C:$C,Q$1,Receitas!$M:$M,"Mensal")+SUMIFS(Receitas!$F:$F,Receitas!$J:$J,"&lt;="&amp;$A316,Receitas!$L:$L,"&gt;="&amp;$A316,Receitas!$C:$C,Q$1,Receitas!$M:$M,$B316)</f>
        <v>0</v>
      </c>
      <c r="R316" s="18" cm="1">
        <f t="array" ref="R316">(IF(AND(Membros!$F$2="Sim",A316&lt;=MAX(Membros!$E$2:$E$5)),Membros!K$2,IF(AND(A316&gt;=Membros!J$2,A316&lt;=MAX(Membros!$E$2:$E$5)),Membros!K$2,0))+IF(AND(Membros!$F$3="Sim",A316&lt;=MAX(Membros!$E$2:$E$5)),Membros!K$3,IF(AND(A316&gt;=Membros!J$3,A316&lt;=MAX(Membros!$E$2:$E$5)),Membros!K$3,0)))*IF(AND(COUNTIFS(Tabela3[Tipo],"Provedor",Tabela3[Simulação Seguro],"Sim")=2,A316&gt;=MAX(IF(Tabela3[Tipo]="Dependente",Tabela3[Expectativa de Vida (Data)]))),0,1)</f>
        <v>0</v>
      </c>
      <c r="S316" s="18">
        <f t="shared" si="38"/>
        <v>70000</v>
      </c>
      <c r="U316" s="18">
        <f t="shared" ca="1" si="41"/>
        <v>19444681.006405484</v>
      </c>
      <c r="V316" s="18">
        <f>SUMIF(Imóveis!E:E,Dados!A:A,Imóveis!Z:Z)-SUMIF(Imóveis!E:E,Dados!A:A,Imóveis!Y:Y)</f>
        <v>0</v>
      </c>
      <c r="W316" s="18">
        <f>-SUMIF(Projetos!N:N,A316,Projetos!F:F)</f>
        <v>0</v>
      </c>
      <c r="X316" s="18">
        <f t="shared" si="35"/>
        <v>33000</v>
      </c>
      <c r="Y316" s="26">
        <f ca="1">(U316*((Indicadores_Economicos!D$2+1)^(1/12)-1))</f>
        <v>63656.825762837259</v>
      </c>
      <c r="Z316" s="18">
        <f t="shared" ca="1" si="39"/>
        <v>19541337.832168322</v>
      </c>
      <c r="AA316" s="18">
        <f ca="1">Auxiliar_Projetos!E316</f>
        <v>1.0911924016662683E-9</v>
      </c>
      <c r="AB316" s="18">
        <f ca="1">Auxiliar_Projetos!K316</f>
        <v>8.3937877051251361E-10</v>
      </c>
      <c r="AC316" s="18">
        <f ca="1">IF(Z316-AA316-AB316&gt;Investimentos!$C$14,Investimentos!$C$14,IF(Z316-AA316-AB316&lt;Investimentos!$C$14,Z316-AA316-AB316,0))</f>
        <v>300000</v>
      </c>
      <c r="AD316" s="18">
        <f t="shared" ca="1" si="40"/>
        <v>19241337.832168322</v>
      </c>
      <c r="AE316" s="18"/>
    </row>
    <row r="317" spans="1:31" x14ac:dyDescent="0.2">
      <c r="A317" s="4">
        <v>55244</v>
      </c>
      <c r="B317" s="5" t="str">
        <f t="shared" si="36"/>
        <v>abril</v>
      </c>
      <c r="C317" s="5" t="str">
        <f t="shared" si="42"/>
        <v>2051</v>
      </c>
      <c r="D317" s="5">
        <f>SUMIFS(Despesas!$F:$F,Despesas!$J:$J,"&lt;="&amp;$A317,Despesas!$L:$L,"&gt;="&amp;$A317,Despesas!$C:$C,D$1,Despesas!$M:$M,"Mensal")+SUMIFS(Despesas!$F:$F,Despesas!$J:$J,"&lt;="&amp;$A317,Despesas!$L:$L,"&gt;="&amp;$A317,Despesas!$C:$C,D$1,Despesas!$M:$M,$B317)</f>
        <v>23000</v>
      </c>
      <c r="E317" s="18">
        <f>SUMIFS(Despesas!$F:$F,Despesas!$J:$J,"&lt;="&amp;$A317,Despesas!$L:$L,"&gt;="&amp;$A317,Despesas!$C:$C,E$1,Despesas!$M:$M,"Mensal")+SUMIFS(Despesas!$F:$F,Despesas!$J:$J,"&lt;="&amp;$A317,Despesas!$L:$L,"&gt;="&amp;$A317,Despesas!$C:$C,E$1,Despesas!$M:$M,$B317)</f>
        <v>0</v>
      </c>
      <c r="F317" s="5">
        <f>SUMIFS(Despesas!$F:$F,Despesas!$J:$J,"&lt;="&amp;$A317,Despesas!$L:$L,"&gt;="&amp;$A317,Despesas!$C:$C,F$1,Despesas!$M:$M,"Mensal")+SUMIFS(Despesas!$F:$F,Despesas!$J:$J,"&lt;="&amp;$A317,Despesas!$L:$L,"&gt;="&amp;$A317,Despesas!$C:$C,F$1,Despesas!$M:$M,$B317)</f>
        <v>13000</v>
      </c>
      <c r="G317" s="5">
        <f>SUMIFS(Despesas!$F:$F,Despesas!$J:$J,"&lt;="&amp;$A317,Despesas!$L:$L,"&gt;="&amp;$A317,Despesas!$C:$C,G$1,Despesas!$M:$M,"Mensal")+SUMIFS(Despesas!$F:$F,Despesas!$J:$J,"&lt;="&amp;$A317,Despesas!$L:$L,"&gt;="&amp;$A317,Despesas!$C:$C,G$1,Despesas!$M:$M,$B317)</f>
        <v>0</v>
      </c>
      <c r="H317" s="18">
        <f>SUMIFS(Despesas!$F:$F,Despesas!$J:$J,"&lt;="&amp;$A317,Despesas!$L:$L,"&gt;="&amp;$A317,Despesas!$C:$C,H$1,Despesas!$M:$M,"Mensal")+SUMIFS(Despesas!$F:$F,Despesas!$J:$J,"&lt;="&amp;$A317,Despesas!$L:$L,"&gt;="&amp;$A317,Despesas!$C:$C,H$1,Despesas!$M:$M,$B317)</f>
        <v>1000</v>
      </c>
      <c r="I317" s="18">
        <f>IF(Imóveis!$F$2="PRICE",IF(AND(Dados!$A317&gt;=Imóveis!$Q$2,Dados!$A317&lt;=Imóveis!$T$2),Imóveis!$U$2,0),IF((IF(AND(Dados!$A317&gt;=Imóveis!$Q$2,Dados!$A317&lt;=Imóveis!$T$2),Imóveis!$S$2-(DATEDIF(Imóveis!$Q$2,Dados!$A317,"m")),0))=0,0,((Imóveis!$N$2/Imóveis!$S$2)+((Imóveis!$N$2-((Imóveis!$S$2-(IF(AND(Dados!$A317&gt;=Imóveis!$Q$2,Dados!$A317&lt;=Imóveis!$T$2),Imóveis!$S$2-(DATEDIF(Imóveis!$Q$2,Dados!$A317,"m")),)))*(Imóveis!$N$2/Imóveis!$S$2)))*Imóveis!$P$2))))*IF(AND(Imóveis!$E$2&gt;0,Dados!$A317&gt;Imóveis!$E$2),0,1)</f>
        <v>0</v>
      </c>
      <c r="J317" s="18">
        <f>IF(Imóveis!$F$3="PRICE",IF(AND(Dados!$A317&gt;=Imóveis!$Q$3,Dados!$A317&lt;=Imóveis!$T$3),Imóveis!$U$3,0),IF((IF(AND(Dados!$A317&gt;=Imóveis!$Q$3,Dados!$A317&lt;=Imóveis!$T$3),Imóveis!$S$3-(DATEDIF(Imóveis!$Q$3,Dados!$A317,"m")),0))=0,0,((Imóveis!$N$3/Imóveis!$S$3)+((Imóveis!$N$3-((Imóveis!$S$3-(IF(AND(Dados!$A317&gt;=Imóveis!$Q$3,Dados!$A317&lt;=Imóveis!$T$3),Imóveis!$S$3-(DATEDIF(Imóveis!$Q$3,Dados!$A317,"m")),)))*(Imóveis!$N$3/Imóveis!$S$3)))*Imóveis!$P$3))))*IF(AND(Imóveis!$E$3&gt;0,Dados!$A317&gt;Imóveis!$E$3),0,1)</f>
        <v>0</v>
      </c>
      <c r="K317" s="18">
        <f>IF(Imóveis!$F$4="PRICE",IF(AND(Dados!$A317&gt;=Imóveis!$Q$4,Dados!$A317&lt;=Imóveis!$T$4),Imóveis!$U$4,0),IF((IF(AND(Dados!$A317&gt;=Imóveis!$Q$4,Dados!$A317&lt;=Imóveis!$T$4),Imóveis!$S$4-(DATEDIF(Imóveis!$Q$4,Dados!$A317,"m")),0))=0,0,((Imóveis!$N$4/Imóveis!$S$4)+((Imóveis!$N$4-((Imóveis!$S$4-(IF(AND(Dados!$A317&gt;=Imóveis!$Q$4,Dados!$A317&lt;=Imóveis!$T$4),Imóveis!$S$4-(DATEDIF(Imóveis!$Q$4,Dados!$A317,"m")),)))*(Imóveis!$N$4/Imóveis!$S$4)))*Imóveis!$P$4))))*IF(AND(Imóveis!$E$4&gt;0,Dados!$A317&gt;Imóveis!$E$4),0,1)</f>
        <v>0</v>
      </c>
      <c r="L317" s="18">
        <f>IF(Imóveis!$F$5="PRICE",IF(AND(Dados!$A317&gt;=Imóveis!$Q$5,Dados!$A317&lt;=Imóveis!$T$5),Imóveis!$U$5,0),IF((IF(AND(Dados!$A317&gt;=Imóveis!$Q$5,Dados!$A317&lt;=Imóveis!$T$5),Imóveis!$S$5-(DATEDIF(Imóveis!$Q$5,Dados!$A317,"m")),0))=0,0,((Imóveis!$N$5/Imóveis!$S$5)+((Imóveis!$N$5-((Imóveis!$S$5-(IF(AND(Dados!$A317 &gt;=Imóveis!$Q$5,Dados!$A317&lt;=Imóveis!$T$5),Imóveis!$S$5-(DATEDIF(Imóveis!$Q$5,Dados!$A317,"m")),)))*(Imóveis!$N$5/Imóveis!$S$5)))*Imóveis!$P$5))))*IF(AND(Imóveis!$E$5&gt;0,Dados!$A317&gt;Imóveis!$E$5),0,1)*Imóveis!$I$5</f>
        <v>0</v>
      </c>
      <c r="M317" s="18">
        <f>IF(Imóveis!$F$6="PRICE",IF(AND(Dados!$A317&gt;=Imóveis!$Q$6,Dados!$A317&lt;=Imóveis!$T$6),Imóveis!$U$6,0),IF((IF(AND(Dados!$A317&gt;=Imóveis!$Q$6,Dados!$A317&lt;=Imóveis!$T$6),Imóveis!$S$6-(DATEDIF(Imóveis!$Q$6,Dados!$A317,"m")),0))=0,0,((Imóveis!$N$6/Imóveis!$S$6)+((Imóveis!$N$6-((Imóveis!$S$6-(IF(AND(Dados!$A317&gt;=Imóveis!$Q$6,Dados!$A317&lt;=Imóveis!$T$6),Imóveis!$S$6-(DATEDIF(Imóveis!$Q$6,Dados!$A317,"m")),)))*(Imóveis!$N$6/Imóveis!$S$6)))*Imóveis!$P$6))))*IF(AND(Imóveis!$E$6&gt;0,Dados!$A317&gt;Imóveis!$E$6),0,1)*Imóveis!$I$6</f>
        <v>0</v>
      </c>
      <c r="N317" s="18">
        <f t="shared" si="37"/>
        <v>37000</v>
      </c>
      <c r="O317" s="18">
        <f>SUMIFS(Receitas!$F:$F,Receitas!$J:$J,"&lt;="&amp;$A317,Receitas!$L:$L,"&gt;="&amp;$A317,Receitas!$C:$C,O$1,Receitas!$M:$M,"Mensal")+SUMIFS(Receitas!$F:$F,Receitas!$J:$J,"&lt;="&amp;$A317,Receitas!$L:$L,"&gt;="&amp;$A317,Receitas!$C:$C,O$1,Receitas!$M:$M,$B317)</f>
        <v>50000</v>
      </c>
      <c r="P317" s="18">
        <f>SUMIFS(Receitas!$F:$F,Receitas!$J:$J,"&lt;="&amp;$A317,Receitas!$L:$L,"&gt;="&amp;$A317,Receitas!$C:$C,P$1,Receitas!$M:$M,"Mensal")+SUMIFS(Receitas!$F:$F,Receitas!$J:$J,"&lt;="&amp;$A317,Receitas!$L:$L,"&gt;="&amp;$A317,Receitas!$C:$C,P$1,Receitas!$M:$M,$B317)</f>
        <v>85000</v>
      </c>
      <c r="Q317" s="18">
        <f>SUMIFS(Receitas!$F:$F,Receitas!$J:$J,"&lt;="&amp;$A317,Receitas!$L:$L,"&gt;="&amp;$A317,Receitas!$C:$C,Q$1,Receitas!$M:$M,"Mensal")+SUMIFS(Receitas!$F:$F,Receitas!$J:$J,"&lt;="&amp;$A317,Receitas!$L:$L,"&gt;="&amp;$A317,Receitas!$C:$C,Q$1,Receitas!$M:$M,$B317)</f>
        <v>0</v>
      </c>
      <c r="R317" s="18" cm="1">
        <f t="array" ref="R317">(IF(AND(Membros!$F$2="Sim",A317&lt;=MAX(Membros!$E$2:$E$5)),Membros!K$2,IF(AND(A317&gt;=Membros!J$2,A317&lt;=MAX(Membros!$E$2:$E$5)),Membros!K$2,0))+IF(AND(Membros!$F$3="Sim",A317&lt;=MAX(Membros!$E$2:$E$5)),Membros!K$3,IF(AND(A317&gt;=Membros!J$3,A317&lt;=MAX(Membros!$E$2:$E$5)),Membros!K$3,0)))*IF(AND(COUNTIFS(Tabela3[Tipo],"Provedor",Tabela3[Simulação Seguro],"Sim")=2,A317&gt;=MAX(IF(Tabela3[Tipo]="Dependente",Tabela3[Expectativa de Vida (Data)]))),0,1)</f>
        <v>0</v>
      </c>
      <c r="S317" s="18">
        <f t="shared" si="38"/>
        <v>135000</v>
      </c>
      <c r="U317" s="18">
        <f t="shared" ca="1" si="41"/>
        <v>19541337.832168322</v>
      </c>
      <c r="V317" s="18">
        <f>SUMIF(Imóveis!E:E,Dados!A:A,Imóveis!Z:Z)-SUMIF(Imóveis!E:E,Dados!A:A,Imóveis!Y:Y)</f>
        <v>0</v>
      </c>
      <c r="W317" s="18">
        <f>-SUMIF(Projetos!N:N,A317,Projetos!F:F)</f>
        <v>0</v>
      </c>
      <c r="X317" s="18">
        <f t="shared" si="35"/>
        <v>98000</v>
      </c>
      <c r="Y317" s="26">
        <f ca="1">(U317*((Indicadores_Economicos!D$2+1)^(1/12)-1))</f>
        <v>63973.255058558134</v>
      </c>
      <c r="Z317" s="18">
        <f t="shared" ca="1" si="39"/>
        <v>19703311.087226879</v>
      </c>
      <c r="AA317" s="18">
        <f ca="1">Auxiliar_Projetos!E317</f>
        <v>1.0947646816416363E-9</v>
      </c>
      <c r="AB317" s="18">
        <f ca="1">Auxiliar_Projetos!K317</f>
        <v>8.4212667818587366E-10</v>
      </c>
      <c r="AC317" s="18">
        <f ca="1">IF(Z317-AA317-AB317&gt;Investimentos!$C$14,Investimentos!$C$14,IF(Z317-AA317-AB317&lt;Investimentos!$C$14,Z317-AA317-AB317,0))</f>
        <v>300000</v>
      </c>
      <c r="AD317" s="18">
        <f t="shared" ca="1" si="40"/>
        <v>19403311.087226879</v>
      </c>
      <c r="AE317" s="18"/>
    </row>
    <row r="318" spans="1:31" x14ac:dyDescent="0.2">
      <c r="A318" s="4">
        <v>55274</v>
      </c>
      <c r="B318" s="5" t="str">
        <f t="shared" si="36"/>
        <v>maio</v>
      </c>
      <c r="C318" s="5" t="str">
        <f t="shared" si="42"/>
        <v>2051</v>
      </c>
      <c r="D318" s="5">
        <f>SUMIFS(Despesas!$F:$F,Despesas!$J:$J,"&lt;="&amp;$A318,Despesas!$L:$L,"&gt;="&amp;$A318,Despesas!$C:$C,D$1,Despesas!$M:$M,"Mensal")+SUMIFS(Despesas!$F:$F,Despesas!$J:$J,"&lt;="&amp;$A318,Despesas!$L:$L,"&gt;="&amp;$A318,Despesas!$C:$C,D$1,Despesas!$M:$M,$B318)</f>
        <v>23000</v>
      </c>
      <c r="E318" s="18">
        <f>SUMIFS(Despesas!$F:$F,Despesas!$J:$J,"&lt;="&amp;$A318,Despesas!$L:$L,"&gt;="&amp;$A318,Despesas!$C:$C,E$1,Despesas!$M:$M,"Mensal")+SUMIFS(Despesas!$F:$F,Despesas!$J:$J,"&lt;="&amp;$A318,Despesas!$L:$L,"&gt;="&amp;$A318,Despesas!$C:$C,E$1,Despesas!$M:$M,$B318)</f>
        <v>0</v>
      </c>
      <c r="F318" s="5">
        <f>SUMIFS(Despesas!$F:$F,Despesas!$J:$J,"&lt;="&amp;$A318,Despesas!$L:$L,"&gt;="&amp;$A318,Despesas!$C:$C,F$1,Despesas!$M:$M,"Mensal")+SUMIFS(Despesas!$F:$F,Despesas!$J:$J,"&lt;="&amp;$A318,Despesas!$L:$L,"&gt;="&amp;$A318,Despesas!$C:$C,F$1,Despesas!$M:$M,$B318)</f>
        <v>13000</v>
      </c>
      <c r="G318" s="5">
        <f>SUMIFS(Despesas!$F:$F,Despesas!$J:$J,"&lt;="&amp;$A318,Despesas!$L:$L,"&gt;="&amp;$A318,Despesas!$C:$C,G$1,Despesas!$M:$M,"Mensal")+SUMIFS(Despesas!$F:$F,Despesas!$J:$J,"&lt;="&amp;$A318,Despesas!$L:$L,"&gt;="&amp;$A318,Despesas!$C:$C,G$1,Despesas!$M:$M,$B318)</f>
        <v>0</v>
      </c>
      <c r="H318" s="18">
        <f>SUMIFS(Despesas!$F:$F,Despesas!$J:$J,"&lt;="&amp;$A318,Despesas!$L:$L,"&gt;="&amp;$A318,Despesas!$C:$C,H$1,Despesas!$M:$M,"Mensal")+SUMIFS(Despesas!$F:$F,Despesas!$J:$J,"&lt;="&amp;$A318,Despesas!$L:$L,"&gt;="&amp;$A318,Despesas!$C:$C,H$1,Despesas!$M:$M,$B318)</f>
        <v>1000</v>
      </c>
      <c r="I318" s="18">
        <f>IF(Imóveis!$F$2="PRICE",IF(AND(Dados!$A318&gt;=Imóveis!$Q$2,Dados!$A318&lt;=Imóveis!$T$2),Imóveis!$U$2,0),IF((IF(AND(Dados!$A318&gt;=Imóveis!$Q$2,Dados!$A318&lt;=Imóveis!$T$2),Imóveis!$S$2-(DATEDIF(Imóveis!$Q$2,Dados!$A318,"m")),0))=0,0,((Imóveis!$N$2/Imóveis!$S$2)+((Imóveis!$N$2-((Imóveis!$S$2-(IF(AND(Dados!$A318&gt;=Imóveis!$Q$2,Dados!$A318&lt;=Imóveis!$T$2),Imóveis!$S$2-(DATEDIF(Imóveis!$Q$2,Dados!$A318,"m")),)))*(Imóveis!$N$2/Imóveis!$S$2)))*Imóveis!$P$2))))*IF(AND(Imóveis!$E$2&gt;0,Dados!$A318&gt;Imóveis!$E$2),0,1)</f>
        <v>0</v>
      </c>
      <c r="J318" s="18">
        <f>IF(Imóveis!$F$3="PRICE",IF(AND(Dados!$A318&gt;=Imóveis!$Q$3,Dados!$A318&lt;=Imóveis!$T$3),Imóveis!$U$3,0),IF((IF(AND(Dados!$A318&gt;=Imóveis!$Q$3,Dados!$A318&lt;=Imóveis!$T$3),Imóveis!$S$3-(DATEDIF(Imóveis!$Q$3,Dados!$A318,"m")),0))=0,0,((Imóveis!$N$3/Imóveis!$S$3)+((Imóveis!$N$3-((Imóveis!$S$3-(IF(AND(Dados!$A318&gt;=Imóveis!$Q$3,Dados!$A318&lt;=Imóveis!$T$3),Imóveis!$S$3-(DATEDIF(Imóveis!$Q$3,Dados!$A318,"m")),)))*(Imóveis!$N$3/Imóveis!$S$3)))*Imóveis!$P$3))))*IF(AND(Imóveis!$E$3&gt;0,Dados!$A318&gt;Imóveis!$E$3),0,1)</f>
        <v>0</v>
      </c>
      <c r="K318" s="18">
        <f>IF(Imóveis!$F$4="PRICE",IF(AND(Dados!$A318&gt;=Imóveis!$Q$4,Dados!$A318&lt;=Imóveis!$T$4),Imóveis!$U$4,0),IF((IF(AND(Dados!$A318&gt;=Imóveis!$Q$4,Dados!$A318&lt;=Imóveis!$T$4),Imóveis!$S$4-(DATEDIF(Imóveis!$Q$4,Dados!$A318,"m")),0))=0,0,((Imóveis!$N$4/Imóveis!$S$4)+((Imóveis!$N$4-((Imóveis!$S$4-(IF(AND(Dados!$A318&gt;=Imóveis!$Q$4,Dados!$A318&lt;=Imóveis!$T$4),Imóveis!$S$4-(DATEDIF(Imóveis!$Q$4,Dados!$A318,"m")),)))*(Imóveis!$N$4/Imóveis!$S$4)))*Imóveis!$P$4))))*IF(AND(Imóveis!$E$4&gt;0,Dados!$A318&gt;Imóveis!$E$4),0,1)</f>
        <v>0</v>
      </c>
      <c r="L318" s="18">
        <f>IF(Imóveis!$F$5="PRICE",IF(AND(Dados!$A318&gt;=Imóveis!$Q$5,Dados!$A318&lt;=Imóveis!$T$5),Imóveis!$U$5,0),IF((IF(AND(Dados!$A318&gt;=Imóveis!$Q$5,Dados!$A318&lt;=Imóveis!$T$5),Imóveis!$S$5-(DATEDIF(Imóveis!$Q$5,Dados!$A318,"m")),0))=0,0,((Imóveis!$N$5/Imóveis!$S$5)+((Imóveis!$N$5-((Imóveis!$S$5-(IF(AND(Dados!$A318 &gt;=Imóveis!$Q$5,Dados!$A318&lt;=Imóveis!$T$5),Imóveis!$S$5-(DATEDIF(Imóveis!$Q$5,Dados!$A318,"m")),)))*(Imóveis!$N$5/Imóveis!$S$5)))*Imóveis!$P$5))))*IF(AND(Imóveis!$E$5&gt;0,Dados!$A318&gt;Imóveis!$E$5),0,1)*Imóveis!$I$5</f>
        <v>0</v>
      </c>
      <c r="M318" s="18">
        <f>IF(Imóveis!$F$6="PRICE",IF(AND(Dados!$A318&gt;=Imóveis!$Q$6,Dados!$A318&lt;=Imóveis!$T$6),Imóveis!$U$6,0),IF((IF(AND(Dados!$A318&gt;=Imóveis!$Q$6,Dados!$A318&lt;=Imóveis!$T$6),Imóveis!$S$6-(DATEDIF(Imóveis!$Q$6,Dados!$A318,"m")),0))=0,0,((Imóveis!$N$6/Imóveis!$S$6)+((Imóveis!$N$6-((Imóveis!$S$6-(IF(AND(Dados!$A318&gt;=Imóveis!$Q$6,Dados!$A318&lt;=Imóveis!$T$6),Imóveis!$S$6-(DATEDIF(Imóveis!$Q$6,Dados!$A318,"m")),)))*(Imóveis!$N$6/Imóveis!$S$6)))*Imóveis!$P$6))))*IF(AND(Imóveis!$E$6&gt;0,Dados!$A318&gt;Imóveis!$E$6),0,1)*Imóveis!$I$6</f>
        <v>0</v>
      </c>
      <c r="N318" s="18">
        <f t="shared" si="37"/>
        <v>37000</v>
      </c>
      <c r="O318" s="18">
        <f>SUMIFS(Receitas!$F:$F,Receitas!$J:$J,"&lt;="&amp;$A318,Receitas!$L:$L,"&gt;="&amp;$A318,Receitas!$C:$C,O$1,Receitas!$M:$M,"Mensal")+SUMIFS(Receitas!$F:$F,Receitas!$J:$J,"&lt;="&amp;$A318,Receitas!$L:$L,"&gt;="&amp;$A318,Receitas!$C:$C,O$1,Receitas!$M:$M,$B318)</f>
        <v>50000</v>
      </c>
      <c r="P318" s="18">
        <f>SUMIFS(Receitas!$F:$F,Receitas!$J:$J,"&lt;="&amp;$A318,Receitas!$L:$L,"&gt;="&amp;$A318,Receitas!$C:$C,P$1,Receitas!$M:$M,"Mensal")+SUMIFS(Receitas!$F:$F,Receitas!$J:$J,"&lt;="&amp;$A318,Receitas!$L:$L,"&gt;="&amp;$A318,Receitas!$C:$C,P$1,Receitas!$M:$M,$B318)</f>
        <v>20000</v>
      </c>
      <c r="Q318" s="18">
        <f>SUMIFS(Receitas!$F:$F,Receitas!$J:$J,"&lt;="&amp;$A318,Receitas!$L:$L,"&gt;="&amp;$A318,Receitas!$C:$C,Q$1,Receitas!$M:$M,"Mensal")+SUMIFS(Receitas!$F:$F,Receitas!$J:$J,"&lt;="&amp;$A318,Receitas!$L:$L,"&gt;="&amp;$A318,Receitas!$C:$C,Q$1,Receitas!$M:$M,$B318)</f>
        <v>0</v>
      </c>
      <c r="R318" s="18" cm="1">
        <f t="array" ref="R318">(IF(AND(Membros!$F$2="Sim",A318&lt;=MAX(Membros!$E$2:$E$5)),Membros!K$2,IF(AND(A318&gt;=Membros!J$2,A318&lt;=MAX(Membros!$E$2:$E$5)),Membros!K$2,0))+IF(AND(Membros!$F$3="Sim",A318&lt;=MAX(Membros!$E$2:$E$5)),Membros!K$3,IF(AND(A318&gt;=Membros!J$3,A318&lt;=MAX(Membros!$E$2:$E$5)),Membros!K$3,0)))*IF(AND(COUNTIFS(Tabela3[Tipo],"Provedor",Tabela3[Simulação Seguro],"Sim")=2,A318&gt;=MAX(IF(Tabela3[Tipo]="Dependente",Tabela3[Expectativa de Vida (Data)]))),0,1)</f>
        <v>0</v>
      </c>
      <c r="S318" s="18">
        <f t="shared" si="38"/>
        <v>70000</v>
      </c>
      <c r="U318" s="18">
        <f t="shared" ca="1" si="41"/>
        <v>19703311.087226879</v>
      </c>
      <c r="V318" s="18">
        <f>SUMIF(Imóveis!E:E,Dados!A:A,Imóveis!Z:Z)-SUMIF(Imóveis!E:E,Dados!A:A,Imóveis!Y:Y)</f>
        <v>0</v>
      </c>
      <c r="W318" s="18">
        <f>-SUMIF(Projetos!N:N,A318,Projetos!F:F)</f>
        <v>0</v>
      </c>
      <c r="X318" s="18">
        <f t="shared" si="35"/>
        <v>33000</v>
      </c>
      <c r="Y318" s="26">
        <f ca="1">(U318*((Indicadores_Economicos!D$2+1)^(1/12)-1))</f>
        <v>64503.513347295579</v>
      </c>
      <c r="Z318" s="18">
        <f t="shared" ca="1" si="39"/>
        <v>19800814.600574173</v>
      </c>
      <c r="AA318" s="18">
        <f ca="1">Auxiliar_Projetos!E318</f>
        <v>1.0983486563320728E-9</v>
      </c>
      <c r="AB318" s="18">
        <f ca="1">Auxiliar_Projetos!K318</f>
        <v>8.4488358179390174E-10</v>
      </c>
      <c r="AC318" s="18">
        <f ca="1">IF(Z318-AA318-AB318&gt;Investimentos!$C$14,Investimentos!$C$14,IF(Z318-AA318-AB318&lt;Investimentos!$C$14,Z318-AA318-AB318,0))</f>
        <v>300000</v>
      </c>
      <c r="AD318" s="18">
        <f t="shared" ca="1" si="40"/>
        <v>19500814.600574173</v>
      </c>
      <c r="AE318" s="18"/>
    </row>
    <row r="319" spans="1:31" x14ac:dyDescent="0.2">
      <c r="A319" s="4">
        <v>55305</v>
      </c>
      <c r="B319" s="5" t="str">
        <f t="shared" si="36"/>
        <v>junho</v>
      </c>
      <c r="C319" s="5" t="str">
        <f t="shared" si="42"/>
        <v>2051</v>
      </c>
      <c r="D319" s="5">
        <f>SUMIFS(Despesas!$F:$F,Despesas!$J:$J,"&lt;="&amp;$A319,Despesas!$L:$L,"&gt;="&amp;$A319,Despesas!$C:$C,D$1,Despesas!$M:$M,"Mensal")+SUMIFS(Despesas!$F:$F,Despesas!$J:$J,"&lt;="&amp;$A319,Despesas!$L:$L,"&gt;="&amp;$A319,Despesas!$C:$C,D$1,Despesas!$M:$M,$B319)</f>
        <v>23000</v>
      </c>
      <c r="E319" s="18">
        <f>SUMIFS(Despesas!$F:$F,Despesas!$J:$J,"&lt;="&amp;$A319,Despesas!$L:$L,"&gt;="&amp;$A319,Despesas!$C:$C,E$1,Despesas!$M:$M,"Mensal")+SUMIFS(Despesas!$F:$F,Despesas!$J:$J,"&lt;="&amp;$A319,Despesas!$L:$L,"&gt;="&amp;$A319,Despesas!$C:$C,E$1,Despesas!$M:$M,$B319)</f>
        <v>0</v>
      </c>
      <c r="F319" s="5">
        <f>SUMIFS(Despesas!$F:$F,Despesas!$J:$J,"&lt;="&amp;$A319,Despesas!$L:$L,"&gt;="&amp;$A319,Despesas!$C:$C,F$1,Despesas!$M:$M,"Mensal")+SUMIFS(Despesas!$F:$F,Despesas!$J:$J,"&lt;="&amp;$A319,Despesas!$L:$L,"&gt;="&amp;$A319,Despesas!$C:$C,F$1,Despesas!$M:$M,$B319)</f>
        <v>13000</v>
      </c>
      <c r="G319" s="5">
        <f>SUMIFS(Despesas!$F:$F,Despesas!$J:$J,"&lt;="&amp;$A319,Despesas!$L:$L,"&gt;="&amp;$A319,Despesas!$C:$C,G$1,Despesas!$M:$M,"Mensal")+SUMIFS(Despesas!$F:$F,Despesas!$J:$J,"&lt;="&amp;$A319,Despesas!$L:$L,"&gt;="&amp;$A319,Despesas!$C:$C,G$1,Despesas!$M:$M,$B319)</f>
        <v>0</v>
      </c>
      <c r="H319" s="18">
        <f>SUMIFS(Despesas!$F:$F,Despesas!$J:$J,"&lt;="&amp;$A319,Despesas!$L:$L,"&gt;="&amp;$A319,Despesas!$C:$C,H$1,Despesas!$M:$M,"Mensal")+SUMIFS(Despesas!$F:$F,Despesas!$J:$J,"&lt;="&amp;$A319,Despesas!$L:$L,"&gt;="&amp;$A319,Despesas!$C:$C,H$1,Despesas!$M:$M,$B319)</f>
        <v>1000</v>
      </c>
      <c r="I319" s="18">
        <f>IF(Imóveis!$F$2="PRICE",IF(AND(Dados!$A319&gt;=Imóveis!$Q$2,Dados!$A319&lt;=Imóveis!$T$2),Imóveis!$U$2,0),IF((IF(AND(Dados!$A319&gt;=Imóveis!$Q$2,Dados!$A319&lt;=Imóveis!$T$2),Imóveis!$S$2-(DATEDIF(Imóveis!$Q$2,Dados!$A319,"m")),0))=0,0,((Imóveis!$N$2/Imóveis!$S$2)+((Imóveis!$N$2-((Imóveis!$S$2-(IF(AND(Dados!$A319&gt;=Imóveis!$Q$2,Dados!$A319&lt;=Imóveis!$T$2),Imóveis!$S$2-(DATEDIF(Imóveis!$Q$2,Dados!$A319,"m")),)))*(Imóveis!$N$2/Imóveis!$S$2)))*Imóveis!$P$2))))*IF(AND(Imóveis!$E$2&gt;0,Dados!$A319&gt;Imóveis!$E$2),0,1)</f>
        <v>0</v>
      </c>
      <c r="J319" s="18">
        <f>IF(Imóveis!$F$3="PRICE",IF(AND(Dados!$A319&gt;=Imóveis!$Q$3,Dados!$A319&lt;=Imóveis!$T$3),Imóveis!$U$3,0),IF((IF(AND(Dados!$A319&gt;=Imóveis!$Q$3,Dados!$A319&lt;=Imóveis!$T$3),Imóveis!$S$3-(DATEDIF(Imóveis!$Q$3,Dados!$A319,"m")),0))=0,0,((Imóveis!$N$3/Imóveis!$S$3)+((Imóveis!$N$3-((Imóveis!$S$3-(IF(AND(Dados!$A319&gt;=Imóveis!$Q$3,Dados!$A319&lt;=Imóveis!$T$3),Imóveis!$S$3-(DATEDIF(Imóveis!$Q$3,Dados!$A319,"m")),)))*(Imóveis!$N$3/Imóveis!$S$3)))*Imóveis!$P$3))))*IF(AND(Imóveis!$E$3&gt;0,Dados!$A319&gt;Imóveis!$E$3),0,1)</f>
        <v>0</v>
      </c>
      <c r="K319" s="18">
        <f>IF(Imóveis!$F$4="PRICE",IF(AND(Dados!$A319&gt;=Imóveis!$Q$4,Dados!$A319&lt;=Imóveis!$T$4),Imóveis!$U$4,0),IF((IF(AND(Dados!$A319&gt;=Imóveis!$Q$4,Dados!$A319&lt;=Imóveis!$T$4),Imóveis!$S$4-(DATEDIF(Imóveis!$Q$4,Dados!$A319,"m")),0))=0,0,((Imóveis!$N$4/Imóveis!$S$4)+((Imóveis!$N$4-((Imóveis!$S$4-(IF(AND(Dados!$A319&gt;=Imóveis!$Q$4,Dados!$A319&lt;=Imóveis!$T$4),Imóveis!$S$4-(DATEDIF(Imóveis!$Q$4,Dados!$A319,"m")),)))*(Imóveis!$N$4/Imóveis!$S$4)))*Imóveis!$P$4))))*IF(AND(Imóveis!$E$4&gt;0,Dados!$A319&gt;Imóveis!$E$4),0,1)</f>
        <v>0</v>
      </c>
      <c r="L319" s="18">
        <f>IF(Imóveis!$F$5="PRICE",IF(AND(Dados!$A319&gt;=Imóveis!$Q$5,Dados!$A319&lt;=Imóveis!$T$5),Imóveis!$U$5,0),IF((IF(AND(Dados!$A319&gt;=Imóveis!$Q$5,Dados!$A319&lt;=Imóveis!$T$5),Imóveis!$S$5-(DATEDIF(Imóveis!$Q$5,Dados!$A319,"m")),0))=0,0,((Imóveis!$N$5/Imóveis!$S$5)+((Imóveis!$N$5-((Imóveis!$S$5-(IF(AND(Dados!$A319 &gt;=Imóveis!$Q$5,Dados!$A319&lt;=Imóveis!$T$5),Imóveis!$S$5-(DATEDIF(Imóveis!$Q$5,Dados!$A319,"m")),)))*(Imóveis!$N$5/Imóveis!$S$5)))*Imóveis!$P$5))))*IF(AND(Imóveis!$E$5&gt;0,Dados!$A319&gt;Imóveis!$E$5),0,1)*Imóveis!$I$5</f>
        <v>0</v>
      </c>
      <c r="M319" s="18">
        <f>IF(Imóveis!$F$6="PRICE",IF(AND(Dados!$A319&gt;=Imóveis!$Q$6,Dados!$A319&lt;=Imóveis!$T$6),Imóveis!$U$6,0),IF((IF(AND(Dados!$A319&gt;=Imóveis!$Q$6,Dados!$A319&lt;=Imóveis!$T$6),Imóveis!$S$6-(DATEDIF(Imóveis!$Q$6,Dados!$A319,"m")),0))=0,0,((Imóveis!$N$6/Imóveis!$S$6)+((Imóveis!$N$6-((Imóveis!$S$6-(IF(AND(Dados!$A319&gt;=Imóveis!$Q$6,Dados!$A319&lt;=Imóveis!$T$6),Imóveis!$S$6-(DATEDIF(Imóveis!$Q$6,Dados!$A319,"m")),)))*(Imóveis!$N$6/Imóveis!$S$6)))*Imóveis!$P$6))))*IF(AND(Imóveis!$E$6&gt;0,Dados!$A319&gt;Imóveis!$E$6),0,1)*Imóveis!$I$6</f>
        <v>0</v>
      </c>
      <c r="N319" s="18">
        <f t="shared" si="37"/>
        <v>37000</v>
      </c>
      <c r="O319" s="18">
        <f>SUMIFS(Receitas!$F:$F,Receitas!$J:$J,"&lt;="&amp;$A319,Receitas!$L:$L,"&gt;="&amp;$A319,Receitas!$C:$C,O$1,Receitas!$M:$M,"Mensal")+SUMIFS(Receitas!$F:$F,Receitas!$J:$J,"&lt;="&amp;$A319,Receitas!$L:$L,"&gt;="&amp;$A319,Receitas!$C:$C,O$1,Receitas!$M:$M,$B319)</f>
        <v>50000</v>
      </c>
      <c r="P319" s="18">
        <f>SUMIFS(Receitas!$F:$F,Receitas!$J:$J,"&lt;="&amp;$A319,Receitas!$L:$L,"&gt;="&amp;$A319,Receitas!$C:$C,P$1,Receitas!$M:$M,"Mensal")+SUMIFS(Receitas!$F:$F,Receitas!$J:$J,"&lt;="&amp;$A319,Receitas!$L:$L,"&gt;="&amp;$A319,Receitas!$C:$C,P$1,Receitas!$M:$M,$B319)</f>
        <v>20000</v>
      </c>
      <c r="Q319" s="18">
        <f>SUMIFS(Receitas!$F:$F,Receitas!$J:$J,"&lt;="&amp;$A319,Receitas!$L:$L,"&gt;="&amp;$A319,Receitas!$C:$C,Q$1,Receitas!$M:$M,"Mensal")+SUMIFS(Receitas!$F:$F,Receitas!$J:$J,"&lt;="&amp;$A319,Receitas!$L:$L,"&gt;="&amp;$A319,Receitas!$C:$C,Q$1,Receitas!$M:$M,$B319)</f>
        <v>0</v>
      </c>
      <c r="R319" s="18" cm="1">
        <f t="array" ref="R319">(IF(AND(Membros!$F$2="Sim",A319&lt;=MAX(Membros!$E$2:$E$5)),Membros!K$2,IF(AND(A319&gt;=Membros!J$2,A319&lt;=MAX(Membros!$E$2:$E$5)),Membros!K$2,0))+IF(AND(Membros!$F$3="Sim",A319&lt;=MAX(Membros!$E$2:$E$5)),Membros!K$3,IF(AND(A319&gt;=Membros!J$3,A319&lt;=MAX(Membros!$E$2:$E$5)),Membros!K$3,0)))*IF(AND(COUNTIFS(Tabela3[Tipo],"Provedor",Tabela3[Simulação Seguro],"Sim")=2,A319&gt;=MAX(IF(Tabela3[Tipo]="Dependente",Tabela3[Expectativa de Vida (Data)]))),0,1)</f>
        <v>0</v>
      </c>
      <c r="S319" s="18">
        <f t="shared" si="38"/>
        <v>70000</v>
      </c>
      <c r="U319" s="18">
        <f t="shared" ca="1" si="41"/>
        <v>19800814.600574173</v>
      </c>
      <c r="V319" s="18">
        <f>SUMIF(Imóveis!E:E,Dados!A:A,Imóveis!Z:Z)-SUMIF(Imóveis!E:E,Dados!A:A,Imóveis!Y:Y)</f>
        <v>0</v>
      </c>
      <c r="W319" s="18">
        <f>-SUMIF(Projetos!N:N,A319,Projetos!F:F)</f>
        <v>0</v>
      </c>
      <c r="X319" s="18">
        <f t="shared" si="35"/>
        <v>33000</v>
      </c>
      <c r="Y319" s="26">
        <f ca="1">(U319*((Indicadores_Economicos!D$2+1)^(1/12)-1))</f>
        <v>64822.714477844776</v>
      </c>
      <c r="Z319" s="18">
        <f t="shared" ca="1" si="39"/>
        <v>19898637.315052018</v>
      </c>
      <c r="AA319" s="18">
        <f ca="1">Auxiliar_Projetos!E319</f>
        <v>1.1019443640230318E-9</v>
      </c>
      <c r="AB319" s="18">
        <f ca="1">Auxiliar_Projetos!K319</f>
        <v>8.4764951078694712E-10</v>
      </c>
      <c r="AC319" s="18">
        <f ca="1">IF(Z319-AA319-AB319&gt;Investimentos!$C$14,Investimentos!$C$14,IF(Z319-AA319-AB319&lt;Investimentos!$C$14,Z319-AA319-AB319,0))</f>
        <v>300000</v>
      </c>
      <c r="AD319" s="18">
        <f t="shared" ca="1" si="40"/>
        <v>19598637.315052018</v>
      </c>
      <c r="AE319" s="18"/>
    </row>
    <row r="320" spans="1:31" x14ac:dyDescent="0.2">
      <c r="A320" s="4">
        <v>55335</v>
      </c>
      <c r="B320" s="5" t="str">
        <f t="shared" si="36"/>
        <v>julho</v>
      </c>
      <c r="C320" s="5" t="str">
        <f t="shared" si="42"/>
        <v>2051</v>
      </c>
      <c r="D320" s="5">
        <f>SUMIFS(Despesas!$F:$F,Despesas!$J:$J,"&lt;="&amp;$A320,Despesas!$L:$L,"&gt;="&amp;$A320,Despesas!$C:$C,D$1,Despesas!$M:$M,"Mensal")+SUMIFS(Despesas!$F:$F,Despesas!$J:$J,"&lt;="&amp;$A320,Despesas!$L:$L,"&gt;="&amp;$A320,Despesas!$C:$C,D$1,Despesas!$M:$M,$B320)</f>
        <v>23000</v>
      </c>
      <c r="E320" s="18">
        <f>SUMIFS(Despesas!$F:$F,Despesas!$J:$J,"&lt;="&amp;$A320,Despesas!$L:$L,"&gt;="&amp;$A320,Despesas!$C:$C,E$1,Despesas!$M:$M,"Mensal")+SUMIFS(Despesas!$F:$F,Despesas!$J:$J,"&lt;="&amp;$A320,Despesas!$L:$L,"&gt;="&amp;$A320,Despesas!$C:$C,E$1,Despesas!$M:$M,$B320)</f>
        <v>0</v>
      </c>
      <c r="F320" s="5">
        <f>SUMIFS(Despesas!$F:$F,Despesas!$J:$J,"&lt;="&amp;$A320,Despesas!$L:$L,"&gt;="&amp;$A320,Despesas!$C:$C,F$1,Despesas!$M:$M,"Mensal")+SUMIFS(Despesas!$F:$F,Despesas!$J:$J,"&lt;="&amp;$A320,Despesas!$L:$L,"&gt;="&amp;$A320,Despesas!$C:$C,F$1,Despesas!$M:$M,$B320)</f>
        <v>13000</v>
      </c>
      <c r="G320" s="5">
        <f ca="1">SUMIFS(Despesas!$F:$F,Despesas!$J:$J,"&lt;="&amp;$A320,Despesas!$L:$L,"&gt;="&amp;$A320,Despesas!$C:$C,G$1,Despesas!$M:$M,"Mensal")+SUMIFS(Despesas!$F:$F,Despesas!$J:$J,"&lt;="&amp;$A320,Despesas!$L:$L,"&gt;="&amp;$A320,Despesas!$C:$C,G$1,Despesas!$M:$M,$B320)</f>
        <v>55757</v>
      </c>
      <c r="H320" s="18">
        <f>SUMIFS(Despesas!$F:$F,Despesas!$J:$J,"&lt;="&amp;$A320,Despesas!$L:$L,"&gt;="&amp;$A320,Despesas!$C:$C,H$1,Despesas!$M:$M,"Mensal")+SUMIFS(Despesas!$F:$F,Despesas!$J:$J,"&lt;="&amp;$A320,Despesas!$L:$L,"&gt;="&amp;$A320,Despesas!$C:$C,H$1,Despesas!$M:$M,$B320)</f>
        <v>1000</v>
      </c>
      <c r="I320" s="18">
        <f>IF(Imóveis!$F$2="PRICE",IF(AND(Dados!$A320&gt;=Imóveis!$Q$2,Dados!$A320&lt;=Imóveis!$T$2),Imóveis!$U$2,0),IF((IF(AND(Dados!$A320&gt;=Imóveis!$Q$2,Dados!$A320&lt;=Imóveis!$T$2),Imóveis!$S$2-(DATEDIF(Imóveis!$Q$2,Dados!$A320,"m")),0))=0,0,((Imóveis!$N$2/Imóveis!$S$2)+((Imóveis!$N$2-((Imóveis!$S$2-(IF(AND(Dados!$A320&gt;=Imóveis!$Q$2,Dados!$A320&lt;=Imóveis!$T$2),Imóveis!$S$2-(DATEDIF(Imóveis!$Q$2,Dados!$A320,"m")),)))*(Imóveis!$N$2/Imóveis!$S$2)))*Imóveis!$P$2))))*IF(AND(Imóveis!$E$2&gt;0,Dados!$A320&gt;Imóveis!$E$2),0,1)</f>
        <v>0</v>
      </c>
      <c r="J320" s="18">
        <f>IF(Imóveis!$F$3="PRICE",IF(AND(Dados!$A320&gt;=Imóveis!$Q$3,Dados!$A320&lt;=Imóveis!$T$3),Imóveis!$U$3,0),IF((IF(AND(Dados!$A320&gt;=Imóveis!$Q$3,Dados!$A320&lt;=Imóveis!$T$3),Imóveis!$S$3-(DATEDIF(Imóveis!$Q$3,Dados!$A320,"m")),0))=0,0,((Imóveis!$N$3/Imóveis!$S$3)+((Imóveis!$N$3-((Imóveis!$S$3-(IF(AND(Dados!$A320&gt;=Imóveis!$Q$3,Dados!$A320&lt;=Imóveis!$T$3),Imóveis!$S$3-(DATEDIF(Imóveis!$Q$3,Dados!$A320,"m")),)))*(Imóveis!$N$3/Imóveis!$S$3)))*Imóveis!$P$3))))*IF(AND(Imóveis!$E$3&gt;0,Dados!$A320&gt;Imóveis!$E$3),0,1)</f>
        <v>0</v>
      </c>
      <c r="K320" s="18">
        <f>IF(Imóveis!$F$4="PRICE",IF(AND(Dados!$A320&gt;=Imóveis!$Q$4,Dados!$A320&lt;=Imóveis!$T$4),Imóveis!$U$4,0),IF((IF(AND(Dados!$A320&gt;=Imóveis!$Q$4,Dados!$A320&lt;=Imóveis!$T$4),Imóveis!$S$4-(DATEDIF(Imóveis!$Q$4,Dados!$A320,"m")),0))=0,0,((Imóveis!$N$4/Imóveis!$S$4)+((Imóveis!$N$4-((Imóveis!$S$4-(IF(AND(Dados!$A320&gt;=Imóveis!$Q$4,Dados!$A320&lt;=Imóveis!$T$4),Imóveis!$S$4-(DATEDIF(Imóveis!$Q$4,Dados!$A320,"m")),)))*(Imóveis!$N$4/Imóveis!$S$4)))*Imóveis!$P$4))))*IF(AND(Imóveis!$E$4&gt;0,Dados!$A320&gt;Imóveis!$E$4),0,1)</f>
        <v>0</v>
      </c>
      <c r="L320" s="18">
        <f>IF(Imóveis!$F$5="PRICE",IF(AND(Dados!$A320&gt;=Imóveis!$Q$5,Dados!$A320&lt;=Imóveis!$T$5),Imóveis!$U$5,0),IF((IF(AND(Dados!$A320&gt;=Imóveis!$Q$5,Dados!$A320&lt;=Imóveis!$T$5),Imóveis!$S$5-(DATEDIF(Imóveis!$Q$5,Dados!$A320,"m")),0))=0,0,((Imóveis!$N$5/Imóveis!$S$5)+((Imóveis!$N$5-((Imóveis!$S$5-(IF(AND(Dados!$A320 &gt;=Imóveis!$Q$5,Dados!$A320&lt;=Imóveis!$T$5),Imóveis!$S$5-(DATEDIF(Imóveis!$Q$5,Dados!$A320,"m")),)))*(Imóveis!$N$5/Imóveis!$S$5)))*Imóveis!$P$5))))*IF(AND(Imóveis!$E$5&gt;0,Dados!$A320&gt;Imóveis!$E$5),0,1)*Imóveis!$I$5</f>
        <v>0</v>
      </c>
      <c r="M320" s="18">
        <f>IF(Imóveis!$F$6="PRICE",IF(AND(Dados!$A320&gt;=Imóveis!$Q$6,Dados!$A320&lt;=Imóveis!$T$6),Imóveis!$U$6,0),IF((IF(AND(Dados!$A320&gt;=Imóveis!$Q$6,Dados!$A320&lt;=Imóveis!$T$6),Imóveis!$S$6-(DATEDIF(Imóveis!$Q$6,Dados!$A320,"m")),0))=0,0,((Imóveis!$N$6/Imóveis!$S$6)+((Imóveis!$N$6-((Imóveis!$S$6-(IF(AND(Dados!$A320&gt;=Imóveis!$Q$6,Dados!$A320&lt;=Imóveis!$T$6),Imóveis!$S$6-(DATEDIF(Imóveis!$Q$6,Dados!$A320,"m")),)))*(Imóveis!$N$6/Imóveis!$S$6)))*Imóveis!$P$6))))*IF(AND(Imóveis!$E$6&gt;0,Dados!$A320&gt;Imóveis!$E$6),0,1)*Imóveis!$I$6</f>
        <v>0</v>
      </c>
      <c r="N320" s="18">
        <f t="shared" ca="1" si="37"/>
        <v>92757</v>
      </c>
      <c r="O320" s="18">
        <f>SUMIFS(Receitas!$F:$F,Receitas!$J:$J,"&lt;="&amp;$A320,Receitas!$L:$L,"&gt;="&amp;$A320,Receitas!$C:$C,O$1,Receitas!$M:$M,"Mensal")+SUMIFS(Receitas!$F:$F,Receitas!$J:$J,"&lt;="&amp;$A320,Receitas!$L:$L,"&gt;="&amp;$A320,Receitas!$C:$C,O$1,Receitas!$M:$M,$B320)</f>
        <v>50000</v>
      </c>
      <c r="P320" s="18">
        <f>SUMIFS(Receitas!$F:$F,Receitas!$J:$J,"&lt;="&amp;$A320,Receitas!$L:$L,"&gt;="&amp;$A320,Receitas!$C:$C,P$1,Receitas!$M:$M,"Mensal")+SUMIFS(Receitas!$F:$F,Receitas!$J:$J,"&lt;="&amp;$A320,Receitas!$L:$L,"&gt;="&amp;$A320,Receitas!$C:$C,P$1,Receitas!$M:$M,$B320)</f>
        <v>20000</v>
      </c>
      <c r="Q320" s="18">
        <f>SUMIFS(Receitas!$F:$F,Receitas!$J:$J,"&lt;="&amp;$A320,Receitas!$L:$L,"&gt;="&amp;$A320,Receitas!$C:$C,Q$1,Receitas!$M:$M,"Mensal")+SUMIFS(Receitas!$F:$F,Receitas!$J:$J,"&lt;="&amp;$A320,Receitas!$L:$L,"&gt;="&amp;$A320,Receitas!$C:$C,Q$1,Receitas!$M:$M,$B320)</f>
        <v>0</v>
      </c>
      <c r="R320" s="18" cm="1">
        <f t="array" ref="R320">(IF(AND(Membros!$F$2="Sim",A320&lt;=MAX(Membros!$E$2:$E$5)),Membros!K$2,IF(AND(A320&gt;=Membros!J$2,A320&lt;=MAX(Membros!$E$2:$E$5)),Membros!K$2,0))+IF(AND(Membros!$F$3="Sim",A320&lt;=MAX(Membros!$E$2:$E$5)),Membros!K$3,IF(AND(A320&gt;=Membros!J$3,A320&lt;=MAX(Membros!$E$2:$E$5)),Membros!K$3,0)))*IF(AND(COUNTIFS(Tabela3[Tipo],"Provedor",Tabela3[Simulação Seguro],"Sim")=2,A320&gt;=MAX(IF(Tabela3[Tipo]="Dependente",Tabela3[Expectativa de Vida (Data)]))),0,1)</f>
        <v>0</v>
      </c>
      <c r="S320" s="18">
        <f t="shared" si="38"/>
        <v>70000</v>
      </c>
      <c r="U320" s="18">
        <f t="shared" ca="1" si="41"/>
        <v>19898637.315052018</v>
      </c>
      <c r="V320" s="18">
        <f>SUMIF(Imóveis!E:E,Dados!A:A,Imóveis!Z:Z)-SUMIF(Imóveis!E:E,Dados!A:A,Imóveis!Y:Y)</f>
        <v>0</v>
      </c>
      <c r="W320" s="18">
        <f>-SUMIF(Projetos!N:N,A320,Projetos!F:F)</f>
        <v>0</v>
      </c>
      <c r="X320" s="18">
        <f t="shared" ca="1" si="35"/>
        <v>-22757</v>
      </c>
      <c r="Y320" s="26">
        <f ca="1">(U320*((Indicadores_Economicos!D$2+1)^(1/12)-1))</f>
        <v>65142.960589833587</v>
      </c>
      <c r="Z320" s="18">
        <f t="shared" ca="1" si="39"/>
        <v>19941023.275641851</v>
      </c>
      <c r="AA320" s="18">
        <f ca="1">Auxiliar_Projetos!E320</f>
        <v>1.1055518431253039E-9</v>
      </c>
      <c r="AB320" s="18">
        <f ca="1">Auxiliar_Projetos!K320</f>
        <v>8.5042449471177182E-10</v>
      </c>
      <c r="AC320" s="18">
        <f ca="1">IF(Z320-AA320-AB320&gt;Investimentos!$C$14,Investimentos!$C$14,IF(Z320-AA320-AB320&lt;Investimentos!$C$14,Z320-AA320-AB320,0))</f>
        <v>300000</v>
      </c>
      <c r="AD320" s="18">
        <f t="shared" ca="1" si="40"/>
        <v>19641023.275641851</v>
      </c>
      <c r="AE320" s="18"/>
    </row>
    <row r="321" spans="1:31" x14ac:dyDescent="0.2">
      <c r="A321" s="4">
        <v>55366</v>
      </c>
      <c r="B321" s="5" t="str">
        <f t="shared" si="36"/>
        <v>agosto</v>
      </c>
      <c r="C321" s="5" t="str">
        <f t="shared" si="42"/>
        <v>2051</v>
      </c>
      <c r="D321" s="5">
        <f>SUMIFS(Despesas!$F:$F,Despesas!$J:$J,"&lt;="&amp;$A321,Despesas!$L:$L,"&gt;="&amp;$A321,Despesas!$C:$C,D$1,Despesas!$M:$M,"Mensal")+SUMIFS(Despesas!$F:$F,Despesas!$J:$J,"&lt;="&amp;$A321,Despesas!$L:$L,"&gt;="&amp;$A321,Despesas!$C:$C,D$1,Despesas!$M:$M,$B321)</f>
        <v>23000</v>
      </c>
      <c r="E321" s="18">
        <f>SUMIFS(Despesas!$F:$F,Despesas!$J:$J,"&lt;="&amp;$A321,Despesas!$L:$L,"&gt;="&amp;$A321,Despesas!$C:$C,E$1,Despesas!$M:$M,"Mensal")+SUMIFS(Despesas!$F:$F,Despesas!$J:$J,"&lt;="&amp;$A321,Despesas!$L:$L,"&gt;="&amp;$A321,Despesas!$C:$C,E$1,Despesas!$M:$M,$B321)</f>
        <v>0</v>
      </c>
      <c r="F321" s="5">
        <f>SUMIFS(Despesas!$F:$F,Despesas!$J:$J,"&lt;="&amp;$A321,Despesas!$L:$L,"&gt;="&amp;$A321,Despesas!$C:$C,F$1,Despesas!$M:$M,"Mensal")+SUMIFS(Despesas!$F:$F,Despesas!$J:$J,"&lt;="&amp;$A321,Despesas!$L:$L,"&gt;="&amp;$A321,Despesas!$C:$C,F$1,Despesas!$M:$M,$B321)</f>
        <v>13000</v>
      </c>
      <c r="G321" s="5">
        <f>SUMIFS(Despesas!$F:$F,Despesas!$J:$J,"&lt;="&amp;$A321,Despesas!$L:$L,"&gt;="&amp;$A321,Despesas!$C:$C,G$1,Despesas!$M:$M,"Mensal")+SUMIFS(Despesas!$F:$F,Despesas!$J:$J,"&lt;="&amp;$A321,Despesas!$L:$L,"&gt;="&amp;$A321,Despesas!$C:$C,G$1,Despesas!$M:$M,$B321)</f>
        <v>0</v>
      </c>
      <c r="H321" s="18">
        <f>SUMIFS(Despesas!$F:$F,Despesas!$J:$J,"&lt;="&amp;$A321,Despesas!$L:$L,"&gt;="&amp;$A321,Despesas!$C:$C,H$1,Despesas!$M:$M,"Mensal")+SUMIFS(Despesas!$F:$F,Despesas!$J:$J,"&lt;="&amp;$A321,Despesas!$L:$L,"&gt;="&amp;$A321,Despesas!$C:$C,H$1,Despesas!$M:$M,$B321)</f>
        <v>1000</v>
      </c>
      <c r="I321" s="18">
        <f>IF(Imóveis!$F$2="PRICE",IF(AND(Dados!$A321&gt;=Imóveis!$Q$2,Dados!$A321&lt;=Imóveis!$T$2),Imóveis!$U$2,0),IF((IF(AND(Dados!$A321&gt;=Imóveis!$Q$2,Dados!$A321&lt;=Imóveis!$T$2),Imóveis!$S$2-(DATEDIF(Imóveis!$Q$2,Dados!$A321,"m")),0))=0,0,((Imóveis!$N$2/Imóveis!$S$2)+((Imóveis!$N$2-((Imóveis!$S$2-(IF(AND(Dados!$A321&gt;=Imóveis!$Q$2,Dados!$A321&lt;=Imóveis!$T$2),Imóveis!$S$2-(DATEDIF(Imóveis!$Q$2,Dados!$A321,"m")),)))*(Imóveis!$N$2/Imóveis!$S$2)))*Imóveis!$P$2))))*IF(AND(Imóveis!$E$2&gt;0,Dados!$A321&gt;Imóveis!$E$2),0,1)</f>
        <v>0</v>
      </c>
      <c r="J321" s="18">
        <f>IF(Imóveis!$F$3="PRICE",IF(AND(Dados!$A321&gt;=Imóveis!$Q$3,Dados!$A321&lt;=Imóveis!$T$3),Imóveis!$U$3,0),IF((IF(AND(Dados!$A321&gt;=Imóveis!$Q$3,Dados!$A321&lt;=Imóveis!$T$3),Imóveis!$S$3-(DATEDIF(Imóveis!$Q$3,Dados!$A321,"m")),0))=0,0,((Imóveis!$N$3/Imóveis!$S$3)+((Imóveis!$N$3-((Imóveis!$S$3-(IF(AND(Dados!$A321&gt;=Imóveis!$Q$3,Dados!$A321&lt;=Imóveis!$T$3),Imóveis!$S$3-(DATEDIF(Imóveis!$Q$3,Dados!$A321,"m")),)))*(Imóveis!$N$3/Imóveis!$S$3)))*Imóveis!$P$3))))*IF(AND(Imóveis!$E$3&gt;0,Dados!$A321&gt;Imóveis!$E$3),0,1)</f>
        <v>0</v>
      </c>
      <c r="K321" s="18">
        <f>IF(Imóveis!$F$4="PRICE",IF(AND(Dados!$A321&gt;=Imóveis!$Q$4,Dados!$A321&lt;=Imóveis!$T$4),Imóveis!$U$4,0),IF((IF(AND(Dados!$A321&gt;=Imóveis!$Q$4,Dados!$A321&lt;=Imóveis!$T$4),Imóveis!$S$4-(DATEDIF(Imóveis!$Q$4,Dados!$A321,"m")),0))=0,0,((Imóveis!$N$4/Imóveis!$S$4)+((Imóveis!$N$4-((Imóveis!$S$4-(IF(AND(Dados!$A321&gt;=Imóveis!$Q$4,Dados!$A321&lt;=Imóveis!$T$4),Imóveis!$S$4-(DATEDIF(Imóveis!$Q$4,Dados!$A321,"m")),)))*(Imóveis!$N$4/Imóveis!$S$4)))*Imóveis!$P$4))))*IF(AND(Imóveis!$E$4&gt;0,Dados!$A321&gt;Imóveis!$E$4),0,1)</f>
        <v>0</v>
      </c>
      <c r="L321" s="18">
        <f>IF(Imóveis!$F$5="PRICE",IF(AND(Dados!$A321&gt;=Imóveis!$Q$5,Dados!$A321&lt;=Imóveis!$T$5),Imóveis!$U$5,0),IF((IF(AND(Dados!$A321&gt;=Imóveis!$Q$5,Dados!$A321&lt;=Imóveis!$T$5),Imóveis!$S$5-(DATEDIF(Imóveis!$Q$5,Dados!$A321,"m")),0))=0,0,((Imóveis!$N$5/Imóveis!$S$5)+((Imóveis!$N$5-((Imóveis!$S$5-(IF(AND(Dados!$A321 &gt;=Imóveis!$Q$5,Dados!$A321&lt;=Imóveis!$T$5),Imóveis!$S$5-(DATEDIF(Imóveis!$Q$5,Dados!$A321,"m")),)))*(Imóveis!$N$5/Imóveis!$S$5)))*Imóveis!$P$5))))*IF(AND(Imóveis!$E$5&gt;0,Dados!$A321&gt;Imóveis!$E$5),0,1)*Imóveis!$I$5</f>
        <v>0</v>
      </c>
      <c r="M321" s="18">
        <f>IF(Imóveis!$F$6="PRICE",IF(AND(Dados!$A321&gt;=Imóveis!$Q$6,Dados!$A321&lt;=Imóveis!$T$6),Imóveis!$U$6,0),IF((IF(AND(Dados!$A321&gt;=Imóveis!$Q$6,Dados!$A321&lt;=Imóveis!$T$6),Imóveis!$S$6-(DATEDIF(Imóveis!$Q$6,Dados!$A321,"m")),0))=0,0,((Imóveis!$N$6/Imóveis!$S$6)+((Imóveis!$N$6-((Imóveis!$S$6-(IF(AND(Dados!$A321&gt;=Imóveis!$Q$6,Dados!$A321&lt;=Imóveis!$T$6),Imóveis!$S$6-(DATEDIF(Imóveis!$Q$6,Dados!$A321,"m")),)))*(Imóveis!$N$6/Imóveis!$S$6)))*Imóveis!$P$6))))*IF(AND(Imóveis!$E$6&gt;0,Dados!$A321&gt;Imóveis!$E$6),0,1)*Imóveis!$I$6</f>
        <v>0</v>
      </c>
      <c r="N321" s="18">
        <f t="shared" si="37"/>
        <v>37000</v>
      </c>
      <c r="O321" s="18">
        <f>SUMIFS(Receitas!$F:$F,Receitas!$J:$J,"&lt;="&amp;$A321,Receitas!$L:$L,"&gt;="&amp;$A321,Receitas!$C:$C,O$1,Receitas!$M:$M,"Mensal")+SUMIFS(Receitas!$F:$F,Receitas!$J:$J,"&lt;="&amp;$A321,Receitas!$L:$L,"&gt;="&amp;$A321,Receitas!$C:$C,O$1,Receitas!$M:$M,$B321)</f>
        <v>50000</v>
      </c>
      <c r="P321" s="18">
        <f>SUMIFS(Receitas!$F:$F,Receitas!$J:$J,"&lt;="&amp;$A321,Receitas!$L:$L,"&gt;="&amp;$A321,Receitas!$C:$C,P$1,Receitas!$M:$M,"Mensal")+SUMIFS(Receitas!$F:$F,Receitas!$J:$J,"&lt;="&amp;$A321,Receitas!$L:$L,"&gt;="&amp;$A321,Receitas!$C:$C,P$1,Receitas!$M:$M,$B321)</f>
        <v>20000</v>
      </c>
      <c r="Q321" s="18">
        <f>SUMIFS(Receitas!$F:$F,Receitas!$J:$J,"&lt;="&amp;$A321,Receitas!$L:$L,"&gt;="&amp;$A321,Receitas!$C:$C,Q$1,Receitas!$M:$M,"Mensal")+SUMIFS(Receitas!$F:$F,Receitas!$J:$J,"&lt;="&amp;$A321,Receitas!$L:$L,"&gt;="&amp;$A321,Receitas!$C:$C,Q$1,Receitas!$M:$M,$B321)</f>
        <v>0</v>
      </c>
      <c r="R321" s="18" cm="1">
        <f t="array" ref="R321">(IF(AND(Membros!$F$2="Sim",A321&lt;=MAX(Membros!$E$2:$E$5)),Membros!K$2,IF(AND(A321&gt;=Membros!J$2,A321&lt;=MAX(Membros!$E$2:$E$5)),Membros!K$2,0))+IF(AND(Membros!$F$3="Sim",A321&lt;=MAX(Membros!$E$2:$E$5)),Membros!K$3,IF(AND(A321&gt;=Membros!J$3,A321&lt;=MAX(Membros!$E$2:$E$5)),Membros!K$3,0)))*IF(AND(COUNTIFS(Tabela3[Tipo],"Provedor",Tabela3[Simulação Seguro],"Sim")=2,A321&gt;=MAX(IF(Tabela3[Tipo]="Dependente",Tabela3[Expectativa de Vida (Data)]))),0,1)</f>
        <v>0</v>
      </c>
      <c r="S321" s="18">
        <f t="shared" si="38"/>
        <v>70000</v>
      </c>
      <c r="U321" s="18">
        <f t="shared" ca="1" si="41"/>
        <v>19941023.275641851</v>
      </c>
      <c r="V321" s="18">
        <f>SUMIF(Imóveis!E:E,Dados!A:A,Imóveis!Z:Z)-SUMIF(Imóveis!E:E,Dados!A:A,Imóveis!Y:Y)</f>
        <v>0</v>
      </c>
      <c r="W321" s="18">
        <f>-SUMIF(Projetos!N:N,A321,Projetos!F:F)</f>
        <v>0</v>
      </c>
      <c r="X321" s="18">
        <f t="shared" si="35"/>
        <v>33000</v>
      </c>
      <c r="Y321" s="26">
        <f ca="1">(U321*((Indicadores_Economicos!D$2+1)^(1/12)-1))</f>
        <v>65281.721195223239</v>
      </c>
      <c r="Z321" s="18">
        <f t="shared" ca="1" si="39"/>
        <v>20039304.996837076</v>
      </c>
      <c r="AA321" s="18">
        <f ca="1">Auxiliar_Projetos!E321</f>
        <v>1.1091711321754266E-9</v>
      </c>
      <c r="AB321" s="18">
        <f ca="1">Auxiliar_Projetos!K321</f>
        <v>8.5320856321186621E-10</v>
      </c>
      <c r="AC321" s="18">
        <f ca="1">IF(Z321-AA321-AB321&gt;Investimentos!$C$14,Investimentos!$C$14,IF(Z321-AA321-AB321&lt;Investimentos!$C$14,Z321-AA321-AB321,0))</f>
        <v>300000</v>
      </c>
      <c r="AD321" s="18">
        <f t="shared" ca="1" si="40"/>
        <v>19739304.996837076</v>
      </c>
      <c r="AE321" s="18"/>
    </row>
    <row r="322" spans="1:31" x14ac:dyDescent="0.2">
      <c r="A322" s="4">
        <v>55397</v>
      </c>
      <c r="B322" s="5" t="str">
        <f t="shared" si="36"/>
        <v>setembro</v>
      </c>
      <c r="C322" s="5" t="str">
        <f t="shared" si="42"/>
        <v>2051</v>
      </c>
      <c r="D322" s="5">
        <f>SUMIFS(Despesas!$F:$F,Despesas!$J:$J,"&lt;="&amp;$A322,Despesas!$L:$L,"&gt;="&amp;$A322,Despesas!$C:$C,D$1,Despesas!$M:$M,"Mensal")+SUMIFS(Despesas!$F:$F,Despesas!$J:$J,"&lt;="&amp;$A322,Despesas!$L:$L,"&gt;="&amp;$A322,Despesas!$C:$C,D$1,Despesas!$M:$M,$B322)</f>
        <v>23000</v>
      </c>
      <c r="E322" s="18">
        <f>SUMIFS(Despesas!$F:$F,Despesas!$J:$J,"&lt;="&amp;$A322,Despesas!$L:$L,"&gt;="&amp;$A322,Despesas!$C:$C,E$1,Despesas!$M:$M,"Mensal")+SUMIFS(Despesas!$F:$F,Despesas!$J:$J,"&lt;="&amp;$A322,Despesas!$L:$L,"&gt;="&amp;$A322,Despesas!$C:$C,E$1,Despesas!$M:$M,$B322)</f>
        <v>0</v>
      </c>
      <c r="F322" s="5">
        <f>SUMIFS(Despesas!$F:$F,Despesas!$J:$J,"&lt;="&amp;$A322,Despesas!$L:$L,"&gt;="&amp;$A322,Despesas!$C:$C,F$1,Despesas!$M:$M,"Mensal")+SUMIFS(Despesas!$F:$F,Despesas!$J:$J,"&lt;="&amp;$A322,Despesas!$L:$L,"&gt;="&amp;$A322,Despesas!$C:$C,F$1,Despesas!$M:$M,$B322)</f>
        <v>13000</v>
      </c>
      <c r="G322" s="5">
        <f>SUMIFS(Despesas!$F:$F,Despesas!$J:$J,"&lt;="&amp;$A322,Despesas!$L:$L,"&gt;="&amp;$A322,Despesas!$C:$C,G$1,Despesas!$M:$M,"Mensal")+SUMIFS(Despesas!$F:$F,Despesas!$J:$J,"&lt;="&amp;$A322,Despesas!$L:$L,"&gt;="&amp;$A322,Despesas!$C:$C,G$1,Despesas!$M:$M,$B322)</f>
        <v>0</v>
      </c>
      <c r="H322" s="18">
        <f>SUMIFS(Despesas!$F:$F,Despesas!$J:$J,"&lt;="&amp;$A322,Despesas!$L:$L,"&gt;="&amp;$A322,Despesas!$C:$C,H$1,Despesas!$M:$M,"Mensal")+SUMIFS(Despesas!$F:$F,Despesas!$J:$J,"&lt;="&amp;$A322,Despesas!$L:$L,"&gt;="&amp;$A322,Despesas!$C:$C,H$1,Despesas!$M:$M,$B322)</f>
        <v>1000</v>
      </c>
      <c r="I322" s="18">
        <f>IF(Imóveis!$F$2="PRICE",IF(AND(Dados!$A322&gt;=Imóveis!$Q$2,Dados!$A322&lt;=Imóveis!$T$2),Imóveis!$U$2,0),IF((IF(AND(Dados!$A322&gt;=Imóveis!$Q$2,Dados!$A322&lt;=Imóveis!$T$2),Imóveis!$S$2-(DATEDIF(Imóveis!$Q$2,Dados!$A322,"m")),0))=0,0,((Imóveis!$N$2/Imóveis!$S$2)+((Imóveis!$N$2-((Imóveis!$S$2-(IF(AND(Dados!$A322&gt;=Imóveis!$Q$2,Dados!$A322&lt;=Imóveis!$T$2),Imóveis!$S$2-(DATEDIF(Imóveis!$Q$2,Dados!$A322,"m")),)))*(Imóveis!$N$2/Imóveis!$S$2)))*Imóveis!$P$2))))*IF(AND(Imóveis!$E$2&gt;0,Dados!$A322&gt;Imóveis!$E$2),0,1)</f>
        <v>0</v>
      </c>
      <c r="J322" s="18">
        <f>IF(Imóveis!$F$3="PRICE",IF(AND(Dados!$A322&gt;=Imóveis!$Q$3,Dados!$A322&lt;=Imóveis!$T$3),Imóveis!$U$3,0),IF((IF(AND(Dados!$A322&gt;=Imóveis!$Q$3,Dados!$A322&lt;=Imóveis!$T$3),Imóveis!$S$3-(DATEDIF(Imóveis!$Q$3,Dados!$A322,"m")),0))=0,0,((Imóveis!$N$3/Imóveis!$S$3)+((Imóveis!$N$3-((Imóveis!$S$3-(IF(AND(Dados!$A322&gt;=Imóveis!$Q$3,Dados!$A322&lt;=Imóveis!$T$3),Imóveis!$S$3-(DATEDIF(Imóveis!$Q$3,Dados!$A322,"m")),)))*(Imóveis!$N$3/Imóveis!$S$3)))*Imóveis!$P$3))))*IF(AND(Imóveis!$E$3&gt;0,Dados!$A322&gt;Imóveis!$E$3),0,1)</f>
        <v>0</v>
      </c>
      <c r="K322" s="18">
        <f>IF(Imóveis!$F$4="PRICE",IF(AND(Dados!$A322&gt;=Imóveis!$Q$4,Dados!$A322&lt;=Imóveis!$T$4),Imóveis!$U$4,0),IF((IF(AND(Dados!$A322&gt;=Imóveis!$Q$4,Dados!$A322&lt;=Imóveis!$T$4),Imóveis!$S$4-(DATEDIF(Imóveis!$Q$4,Dados!$A322,"m")),0))=0,0,((Imóveis!$N$4/Imóveis!$S$4)+((Imóveis!$N$4-((Imóveis!$S$4-(IF(AND(Dados!$A322&gt;=Imóveis!$Q$4,Dados!$A322&lt;=Imóveis!$T$4),Imóveis!$S$4-(DATEDIF(Imóveis!$Q$4,Dados!$A322,"m")),)))*(Imóveis!$N$4/Imóveis!$S$4)))*Imóveis!$P$4))))*IF(AND(Imóveis!$E$4&gt;0,Dados!$A322&gt;Imóveis!$E$4),0,1)</f>
        <v>0</v>
      </c>
      <c r="L322" s="18">
        <f>IF(Imóveis!$F$5="PRICE",IF(AND(Dados!$A322&gt;=Imóveis!$Q$5,Dados!$A322&lt;=Imóveis!$T$5),Imóveis!$U$5,0),IF((IF(AND(Dados!$A322&gt;=Imóveis!$Q$5,Dados!$A322&lt;=Imóveis!$T$5),Imóveis!$S$5-(DATEDIF(Imóveis!$Q$5,Dados!$A322,"m")),0))=0,0,((Imóveis!$N$5/Imóveis!$S$5)+((Imóveis!$N$5-((Imóveis!$S$5-(IF(AND(Dados!$A322 &gt;=Imóveis!$Q$5,Dados!$A322&lt;=Imóveis!$T$5),Imóveis!$S$5-(DATEDIF(Imóveis!$Q$5,Dados!$A322,"m")),)))*(Imóveis!$N$5/Imóveis!$S$5)))*Imóveis!$P$5))))*IF(AND(Imóveis!$E$5&gt;0,Dados!$A322&gt;Imóveis!$E$5),0,1)*Imóveis!$I$5</f>
        <v>0</v>
      </c>
      <c r="M322" s="18">
        <f>IF(Imóveis!$F$6="PRICE",IF(AND(Dados!$A322&gt;=Imóveis!$Q$6,Dados!$A322&lt;=Imóveis!$T$6),Imóveis!$U$6,0),IF((IF(AND(Dados!$A322&gt;=Imóveis!$Q$6,Dados!$A322&lt;=Imóveis!$T$6),Imóveis!$S$6-(DATEDIF(Imóveis!$Q$6,Dados!$A322,"m")),0))=0,0,((Imóveis!$N$6/Imóveis!$S$6)+((Imóveis!$N$6-((Imóveis!$S$6-(IF(AND(Dados!$A322&gt;=Imóveis!$Q$6,Dados!$A322&lt;=Imóveis!$T$6),Imóveis!$S$6-(DATEDIF(Imóveis!$Q$6,Dados!$A322,"m")),)))*(Imóveis!$N$6/Imóveis!$S$6)))*Imóveis!$P$6))))*IF(AND(Imóveis!$E$6&gt;0,Dados!$A322&gt;Imóveis!$E$6),0,1)*Imóveis!$I$6</f>
        <v>0</v>
      </c>
      <c r="N322" s="18">
        <f t="shared" si="37"/>
        <v>37000</v>
      </c>
      <c r="O322" s="18">
        <f>SUMIFS(Receitas!$F:$F,Receitas!$J:$J,"&lt;="&amp;$A322,Receitas!$L:$L,"&gt;="&amp;$A322,Receitas!$C:$C,O$1,Receitas!$M:$M,"Mensal")+SUMIFS(Receitas!$F:$F,Receitas!$J:$J,"&lt;="&amp;$A322,Receitas!$L:$L,"&gt;="&amp;$A322,Receitas!$C:$C,O$1,Receitas!$M:$M,$B322)</f>
        <v>50000</v>
      </c>
      <c r="P322" s="18">
        <f>SUMIFS(Receitas!$F:$F,Receitas!$J:$J,"&lt;="&amp;$A322,Receitas!$L:$L,"&gt;="&amp;$A322,Receitas!$C:$C,P$1,Receitas!$M:$M,"Mensal")+SUMIFS(Receitas!$F:$F,Receitas!$J:$J,"&lt;="&amp;$A322,Receitas!$L:$L,"&gt;="&amp;$A322,Receitas!$C:$C,P$1,Receitas!$M:$M,$B322)</f>
        <v>20000</v>
      </c>
      <c r="Q322" s="18">
        <f>SUMIFS(Receitas!$F:$F,Receitas!$J:$J,"&lt;="&amp;$A322,Receitas!$L:$L,"&gt;="&amp;$A322,Receitas!$C:$C,Q$1,Receitas!$M:$M,"Mensal")+SUMIFS(Receitas!$F:$F,Receitas!$J:$J,"&lt;="&amp;$A322,Receitas!$L:$L,"&gt;="&amp;$A322,Receitas!$C:$C,Q$1,Receitas!$M:$M,$B322)</f>
        <v>0</v>
      </c>
      <c r="R322" s="18" cm="1">
        <f t="array" ref="R322">(IF(AND(Membros!$F$2="Sim",A322&lt;=MAX(Membros!$E$2:$E$5)),Membros!K$2,IF(AND(A322&gt;=Membros!J$2,A322&lt;=MAX(Membros!$E$2:$E$5)),Membros!K$2,0))+IF(AND(Membros!$F$3="Sim",A322&lt;=MAX(Membros!$E$2:$E$5)),Membros!K$3,IF(AND(A322&gt;=Membros!J$3,A322&lt;=MAX(Membros!$E$2:$E$5)),Membros!K$3,0)))*IF(AND(COUNTIFS(Tabela3[Tipo],"Provedor",Tabela3[Simulação Seguro],"Sim")=2,A322&gt;=MAX(IF(Tabela3[Tipo]="Dependente",Tabela3[Expectativa de Vida (Data)]))),0,1)</f>
        <v>0</v>
      </c>
      <c r="S322" s="18">
        <f t="shared" si="38"/>
        <v>70000</v>
      </c>
      <c r="U322" s="18">
        <f t="shared" ca="1" si="41"/>
        <v>20039304.996837076</v>
      </c>
      <c r="V322" s="18">
        <f>SUMIF(Imóveis!E:E,Dados!A:A,Imóveis!Z:Z)-SUMIF(Imóveis!E:E,Dados!A:A,Imóveis!Y:Y)</f>
        <v>0</v>
      </c>
      <c r="W322" s="18">
        <f>-SUMIF(Projetos!N:N,A322,Projetos!F:F)</f>
        <v>0</v>
      </c>
      <c r="X322" s="18">
        <f t="shared" ref="X322:X385" si="43">(S322-N322)</f>
        <v>33000</v>
      </c>
      <c r="Y322" s="26">
        <f ca="1">(U322*((Indicadores_Economicos!D$2+1)^(1/12)-1))</f>
        <v>65603.46997576303</v>
      </c>
      <c r="Z322" s="18">
        <f t="shared" ca="1" si="39"/>
        <v>20137908.466812838</v>
      </c>
      <c r="AA322" s="18">
        <f ca="1">Auxiliar_Projetos!E322</f>
        <v>1.1128022698360959E-9</v>
      </c>
      <c r="AB322" s="18">
        <f ca="1">Auxiliar_Projetos!K322</f>
        <v>8.5600174602776566E-10</v>
      </c>
      <c r="AC322" s="18">
        <f ca="1">IF(Z322-AA322-AB322&gt;Investimentos!$C$14,Investimentos!$C$14,IF(Z322-AA322-AB322&lt;Investimentos!$C$14,Z322-AA322-AB322,0))</f>
        <v>300000</v>
      </c>
      <c r="AD322" s="18">
        <f t="shared" ca="1" si="40"/>
        <v>19837908.466812838</v>
      </c>
      <c r="AE322" s="18"/>
    </row>
    <row r="323" spans="1:31" x14ac:dyDescent="0.2">
      <c r="A323" s="4">
        <v>55427</v>
      </c>
      <c r="B323" s="5" t="str">
        <f t="shared" ref="B323:B386" si="44">TEXT(A323,"MMMM")</f>
        <v>outubro</v>
      </c>
      <c r="C323" s="5" t="str">
        <f t="shared" si="42"/>
        <v>2051</v>
      </c>
      <c r="D323" s="5">
        <f>SUMIFS(Despesas!$F:$F,Despesas!$J:$J,"&lt;="&amp;$A323,Despesas!$L:$L,"&gt;="&amp;$A323,Despesas!$C:$C,D$1,Despesas!$M:$M,"Mensal")+SUMIFS(Despesas!$F:$F,Despesas!$J:$J,"&lt;="&amp;$A323,Despesas!$L:$L,"&gt;="&amp;$A323,Despesas!$C:$C,D$1,Despesas!$M:$M,$B323)</f>
        <v>23000</v>
      </c>
      <c r="E323" s="18">
        <f>SUMIFS(Despesas!$F:$F,Despesas!$J:$J,"&lt;="&amp;$A323,Despesas!$L:$L,"&gt;="&amp;$A323,Despesas!$C:$C,E$1,Despesas!$M:$M,"Mensal")+SUMIFS(Despesas!$F:$F,Despesas!$J:$J,"&lt;="&amp;$A323,Despesas!$L:$L,"&gt;="&amp;$A323,Despesas!$C:$C,E$1,Despesas!$M:$M,$B323)</f>
        <v>0</v>
      </c>
      <c r="F323" s="5">
        <f>SUMIFS(Despesas!$F:$F,Despesas!$J:$J,"&lt;="&amp;$A323,Despesas!$L:$L,"&gt;="&amp;$A323,Despesas!$C:$C,F$1,Despesas!$M:$M,"Mensal")+SUMIFS(Despesas!$F:$F,Despesas!$J:$J,"&lt;="&amp;$A323,Despesas!$L:$L,"&gt;="&amp;$A323,Despesas!$C:$C,F$1,Despesas!$M:$M,$B323)</f>
        <v>13000</v>
      </c>
      <c r="G323" s="5">
        <f>SUMIFS(Despesas!$F:$F,Despesas!$J:$J,"&lt;="&amp;$A323,Despesas!$L:$L,"&gt;="&amp;$A323,Despesas!$C:$C,G$1,Despesas!$M:$M,"Mensal")+SUMIFS(Despesas!$F:$F,Despesas!$J:$J,"&lt;="&amp;$A323,Despesas!$L:$L,"&gt;="&amp;$A323,Despesas!$C:$C,G$1,Despesas!$M:$M,$B323)</f>
        <v>0</v>
      </c>
      <c r="H323" s="18">
        <f>SUMIFS(Despesas!$F:$F,Despesas!$J:$J,"&lt;="&amp;$A323,Despesas!$L:$L,"&gt;="&amp;$A323,Despesas!$C:$C,H$1,Despesas!$M:$M,"Mensal")+SUMIFS(Despesas!$F:$F,Despesas!$J:$J,"&lt;="&amp;$A323,Despesas!$L:$L,"&gt;="&amp;$A323,Despesas!$C:$C,H$1,Despesas!$M:$M,$B323)</f>
        <v>1000</v>
      </c>
      <c r="I323" s="18">
        <f>IF(Imóveis!$F$2="PRICE",IF(AND(Dados!$A323&gt;=Imóveis!$Q$2,Dados!$A323&lt;=Imóveis!$T$2),Imóveis!$U$2,0),IF((IF(AND(Dados!$A323&gt;=Imóveis!$Q$2,Dados!$A323&lt;=Imóveis!$T$2),Imóveis!$S$2-(DATEDIF(Imóveis!$Q$2,Dados!$A323,"m")),0))=0,0,((Imóveis!$N$2/Imóveis!$S$2)+((Imóveis!$N$2-((Imóveis!$S$2-(IF(AND(Dados!$A323&gt;=Imóveis!$Q$2,Dados!$A323&lt;=Imóveis!$T$2),Imóveis!$S$2-(DATEDIF(Imóveis!$Q$2,Dados!$A323,"m")),)))*(Imóveis!$N$2/Imóveis!$S$2)))*Imóveis!$P$2))))*IF(AND(Imóveis!$E$2&gt;0,Dados!$A323&gt;Imóveis!$E$2),0,1)</f>
        <v>0</v>
      </c>
      <c r="J323" s="18">
        <f>IF(Imóveis!$F$3="PRICE",IF(AND(Dados!$A323&gt;=Imóveis!$Q$3,Dados!$A323&lt;=Imóveis!$T$3),Imóveis!$U$3,0),IF((IF(AND(Dados!$A323&gt;=Imóveis!$Q$3,Dados!$A323&lt;=Imóveis!$T$3),Imóveis!$S$3-(DATEDIF(Imóveis!$Q$3,Dados!$A323,"m")),0))=0,0,((Imóveis!$N$3/Imóveis!$S$3)+((Imóveis!$N$3-((Imóveis!$S$3-(IF(AND(Dados!$A323&gt;=Imóveis!$Q$3,Dados!$A323&lt;=Imóveis!$T$3),Imóveis!$S$3-(DATEDIF(Imóveis!$Q$3,Dados!$A323,"m")),)))*(Imóveis!$N$3/Imóveis!$S$3)))*Imóveis!$P$3))))*IF(AND(Imóveis!$E$3&gt;0,Dados!$A323&gt;Imóveis!$E$3),0,1)</f>
        <v>0</v>
      </c>
      <c r="K323" s="18">
        <f>IF(Imóveis!$F$4="PRICE",IF(AND(Dados!$A323&gt;=Imóveis!$Q$4,Dados!$A323&lt;=Imóveis!$T$4),Imóveis!$U$4,0),IF((IF(AND(Dados!$A323&gt;=Imóveis!$Q$4,Dados!$A323&lt;=Imóveis!$T$4),Imóveis!$S$4-(DATEDIF(Imóveis!$Q$4,Dados!$A323,"m")),0))=0,0,((Imóveis!$N$4/Imóveis!$S$4)+((Imóveis!$N$4-((Imóveis!$S$4-(IF(AND(Dados!$A323&gt;=Imóveis!$Q$4,Dados!$A323&lt;=Imóveis!$T$4),Imóveis!$S$4-(DATEDIF(Imóveis!$Q$4,Dados!$A323,"m")),)))*(Imóveis!$N$4/Imóveis!$S$4)))*Imóveis!$P$4))))*IF(AND(Imóveis!$E$4&gt;0,Dados!$A323&gt;Imóveis!$E$4),0,1)</f>
        <v>0</v>
      </c>
      <c r="L323" s="18">
        <f>IF(Imóveis!$F$5="PRICE",IF(AND(Dados!$A323&gt;=Imóveis!$Q$5,Dados!$A323&lt;=Imóveis!$T$5),Imóveis!$U$5,0),IF((IF(AND(Dados!$A323&gt;=Imóveis!$Q$5,Dados!$A323&lt;=Imóveis!$T$5),Imóveis!$S$5-(DATEDIF(Imóveis!$Q$5,Dados!$A323,"m")),0))=0,0,((Imóveis!$N$5/Imóveis!$S$5)+((Imóveis!$N$5-((Imóveis!$S$5-(IF(AND(Dados!$A323 &gt;=Imóveis!$Q$5,Dados!$A323&lt;=Imóveis!$T$5),Imóveis!$S$5-(DATEDIF(Imóveis!$Q$5,Dados!$A323,"m")),)))*(Imóveis!$N$5/Imóveis!$S$5)))*Imóveis!$P$5))))*IF(AND(Imóveis!$E$5&gt;0,Dados!$A323&gt;Imóveis!$E$5),0,1)*Imóveis!$I$5</f>
        <v>0</v>
      </c>
      <c r="M323" s="18">
        <f>IF(Imóveis!$F$6="PRICE",IF(AND(Dados!$A323&gt;=Imóveis!$Q$6,Dados!$A323&lt;=Imóveis!$T$6),Imóveis!$U$6,0),IF((IF(AND(Dados!$A323&gt;=Imóveis!$Q$6,Dados!$A323&lt;=Imóveis!$T$6),Imóveis!$S$6-(DATEDIF(Imóveis!$Q$6,Dados!$A323,"m")),0))=0,0,((Imóveis!$N$6/Imóveis!$S$6)+((Imóveis!$N$6-((Imóveis!$S$6-(IF(AND(Dados!$A323&gt;=Imóveis!$Q$6,Dados!$A323&lt;=Imóveis!$T$6),Imóveis!$S$6-(DATEDIF(Imóveis!$Q$6,Dados!$A323,"m")),)))*(Imóveis!$N$6/Imóveis!$S$6)))*Imóveis!$P$6))))*IF(AND(Imóveis!$E$6&gt;0,Dados!$A323&gt;Imóveis!$E$6),0,1)*Imóveis!$I$6</f>
        <v>0</v>
      </c>
      <c r="N323" s="18">
        <f t="shared" ref="N323:N386" si="45">SUM(D323:M323)</f>
        <v>37000</v>
      </c>
      <c r="O323" s="18">
        <f>SUMIFS(Receitas!$F:$F,Receitas!$J:$J,"&lt;="&amp;$A323,Receitas!$L:$L,"&gt;="&amp;$A323,Receitas!$C:$C,O$1,Receitas!$M:$M,"Mensal")+SUMIFS(Receitas!$F:$F,Receitas!$J:$J,"&lt;="&amp;$A323,Receitas!$L:$L,"&gt;="&amp;$A323,Receitas!$C:$C,O$1,Receitas!$M:$M,$B323)</f>
        <v>50000</v>
      </c>
      <c r="P323" s="18">
        <f>SUMIFS(Receitas!$F:$F,Receitas!$J:$J,"&lt;="&amp;$A323,Receitas!$L:$L,"&gt;="&amp;$A323,Receitas!$C:$C,P$1,Receitas!$M:$M,"Mensal")+SUMIFS(Receitas!$F:$F,Receitas!$J:$J,"&lt;="&amp;$A323,Receitas!$L:$L,"&gt;="&amp;$A323,Receitas!$C:$C,P$1,Receitas!$M:$M,$B323)</f>
        <v>20000</v>
      </c>
      <c r="Q323" s="18">
        <f>SUMIFS(Receitas!$F:$F,Receitas!$J:$J,"&lt;="&amp;$A323,Receitas!$L:$L,"&gt;="&amp;$A323,Receitas!$C:$C,Q$1,Receitas!$M:$M,"Mensal")+SUMIFS(Receitas!$F:$F,Receitas!$J:$J,"&lt;="&amp;$A323,Receitas!$L:$L,"&gt;="&amp;$A323,Receitas!$C:$C,Q$1,Receitas!$M:$M,$B323)</f>
        <v>0</v>
      </c>
      <c r="R323" s="18" cm="1">
        <f t="array" ref="R323">(IF(AND(Membros!$F$2="Sim",A323&lt;=MAX(Membros!$E$2:$E$5)),Membros!K$2,IF(AND(A323&gt;=Membros!J$2,A323&lt;=MAX(Membros!$E$2:$E$5)),Membros!K$2,0))+IF(AND(Membros!$F$3="Sim",A323&lt;=MAX(Membros!$E$2:$E$5)),Membros!K$3,IF(AND(A323&gt;=Membros!J$3,A323&lt;=MAX(Membros!$E$2:$E$5)),Membros!K$3,0)))*IF(AND(COUNTIFS(Tabela3[Tipo],"Provedor",Tabela3[Simulação Seguro],"Sim")=2,A323&gt;=MAX(IF(Tabela3[Tipo]="Dependente",Tabela3[Expectativa de Vida (Data)]))),0,1)</f>
        <v>0</v>
      </c>
      <c r="S323" s="18">
        <f t="shared" ref="S323:S386" si="46">O323+P323+Q323+R323</f>
        <v>70000</v>
      </c>
      <c r="U323" s="18">
        <f t="shared" ca="1" si="41"/>
        <v>20137908.466812838</v>
      </c>
      <c r="V323" s="18">
        <f>SUMIF(Imóveis!E:E,Dados!A:A,Imóveis!Z:Z)-SUMIF(Imóveis!E:E,Dados!A:A,Imóveis!Y:Y)</f>
        <v>0</v>
      </c>
      <c r="W323" s="18">
        <f>-SUMIF(Projetos!N:N,A323,Projetos!F:F)</f>
        <v>0</v>
      </c>
      <c r="X323" s="18">
        <f t="shared" si="43"/>
        <v>33000</v>
      </c>
      <c r="Y323" s="26">
        <f ca="1">(U323*((Indicadores_Economicos!D$2+1)^(1/12)-1))</f>
        <v>65926.272078085531</v>
      </c>
      <c r="Z323" s="18">
        <f t="shared" ref="Z323:Z386" ca="1" si="47">U323+V323+W323+X323+Y323</f>
        <v>20236834.738890924</v>
      </c>
      <c r="AA323" s="18">
        <f ca="1">Auxiliar_Projetos!E323</f>
        <v>1.1164452948965795E-9</v>
      </c>
      <c r="AB323" s="18">
        <f ca="1">Auxiliar_Projetos!K323</f>
        <v>8.5880407299736847E-10</v>
      </c>
      <c r="AC323" s="18">
        <f ca="1">IF(Z323-AA323-AB323&gt;Investimentos!$C$14,Investimentos!$C$14,IF(Z323-AA323-AB323&lt;Investimentos!$C$14,Z323-AA323-AB323,0))</f>
        <v>300000</v>
      </c>
      <c r="AD323" s="18">
        <f t="shared" ref="AD323:AD386" ca="1" si="48">Z323-AA323-AB323-AC323</f>
        <v>19936834.738890924</v>
      </c>
      <c r="AE323" s="18"/>
    </row>
    <row r="324" spans="1:31" x14ac:dyDescent="0.2">
      <c r="A324" s="4">
        <v>55458</v>
      </c>
      <c r="B324" s="5" t="str">
        <f t="shared" si="44"/>
        <v>novembro</v>
      </c>
      <c r="C324" s="5" t="str">
        <f t="shared" si="42"/>
        <v>2051</v>
      </c>
      <c r="D324" s="5">
        <f>SUMIFS(Despesas!$F:$F,Despesas!$J:$J,"&lt;="&amp;$A324,Despesas!$L:$L,"&gt;="&amp;$A324,Despesas!$C:$C,D$1,Despesas!$M:$M,"Mensal")+SUMIFS(Despesas!$F:$F,Despesas!$J:$J,"&lt;="&amp;$A324,Despesas!$L:$L,"&gt;="&amp;$A324,Despesas!$C:$C,D$1,Despesas!$M:$M,$B324)</f>
        <v>23000</v>
      </c>
      <c r="E324" s="18">
        <f>SUMIFS(Despesas!$F:$F,Despesas!$J:$J,"&lt;="&amp;$A324,Despesas!$L:$L,"&gt;="&amp;$A324,Despesas!$C:$C,E$1,Despesas!$M:$M,"Mensal")+SUMIFS(Despesas!$F:$F,Despesas!$J:$J,"&lt;="&amp;$A324,Despesas!$L:$L,"&gt;="&amp;$A324,Despesas!$C:$C,E$1,Despesas!$M:$M,$B324)</f>
        <v>0</v>
      </c>
      <c r="F324" s="5">
        <f>SUMIFS(Despesas!$F:$F,Despesas!$J:$J,"&lt;="&amp;$A324,Despesas!$L:$L,"&gt;="&amp;$A324,Despesas!$C:$C,F$1,Despesas!$M:$M,"Mensal")+SUMIFS(Despesas!$F:$F,Despesas!$J:$J,"&lt;="&amp;$A324,Despesas!$L:$L,"&gt;="&amp;$A324,Despesas!$C:$C,F$1,Despesas!$M:$M,$B324)</f>
        <v>13000</v>
      </c>
      <c r="G324" s="5">
        <f>SUMIFS(Despesas!$F:$F,Despesas!$J:$J,"&lt;="&amp;$A324,Despesas!$L:$L,"&gt;="&amp;$A324,Despesas!$C:$C,G$1,Despesas!$M:$M,"Mensal")+SUMIFS(Despesas!$F:$F,Despesas!$J:$J,"&lt;="&amp;$A324,Despesas!$L:$L,"&gt;="&amp;$A324,Despesas!$C:$C,G$1,Despesas!$M:$M,$B324)</f>
        <v>0</v>
      </c>
      <c r="H324" s="18">
        <f>SUMIFS(Despesas!$F:$F,Despesas!$J:$J,"&lt;="&amp;$A324,Despesas!$L:$L,"&gt;="&amp;$A324,Despesas!$C:$C,H$1,Despesas!$M:$M,"Mensal")+SUMIFS(Despesas!$F:$F,Despesas!$J:$J,"&lt;="&amp;$A324,Despesas!$L:$L,"&gt;="&amp;$A324,Despesas!$C:$C,H$1,Despesas!$M:$M,$B324)</f>
        <v>1000</v>
      </c>
      <c r="I324" s="18">
        <f>IF(Imóveis!$F$2="PRICE",IF(AND(Dados!$A324&gt;=Imóveis!$Q$2,Dados!$A324&lt;=Imóveis!$T$2),Imóveis!$U$2,0),IF((IF(AND(Dados!$A324&gt;=Imóveis!$Q$2,Dados!$A324&lt;=Imóveis!$T$2),Imóveis!$S$2-(DATEDIF(Imóveis!$Q$2,Dados!$A324,"m")),0))=0,0,((Imóveis!$N$2/Imóveis!$S$2)+((Imóveis!$N$2-((Imóveis!$S$2-(IF(AND(Dados!$A324&gt;=Imóveis!$Q$2,Dados!$A324&lt;=Imóveis!$T$2),Imóveis!$S$2-(DATEDIF(Imóveis!$Q$2,Dados!$A324,"m")),)))*(Imóveis!$N$2/Imóveis!$S$2)))*Imóveis!$P$2))))*IF(AND(Imóveis!$E$2&gt;0,Dados!$A324&gt;Imóveis!$E$2),0,1)</f>
        <v>0</v>
      </c>
      <c r="J324" s="18">
        <f>IF(Imóveis!$F$3="PRICE",IF(AND(Dados!$A324&gt;=Imóveis!$Q$3,Dados!$A324&lt;=Imóveis!$T$3),Imóveis!$U$3,0),IF((IF(AND(Dados!$A324&gt;=Imóveis!$Q$3,Dados!$A324&lt;=Imóveis!$T$3),Imóveis!$S$3-(DATEDIF(Imóveis!$Q$3,Dados!$A324,"m")),0))=0,0,((Imóveis!$N$3/Imóveis!$S$3)+((Imóveis!$N$3-((Imóveis!$S$3-(IF(AND(Dados!$A324&gt;=Imóveis!$Q$3,Dados!$A324&lt;=Imóveis!$T$3),Imóveis!$S$3-(DATEDIF(Imóveis!$Q$3,Dados!$A324,"m")),)))*(Imóveis!$N$3/Imóveis!$S$3)))*Imóveis!$P$3))))*IF(AND(Imóveis!$E$3&gt;0,Dados!$A324&gt;Imóveis!$E$3),0,1)</f>
        <v>0</v>
      </c>
      <c r="K324" s="18">
        <f>IF(Imóveis!$F$4="PRICE",IF(AND(Dados!$A324&gt;=Imóveis!$Q$4,Dados!$A324&lt;=Imóveis!$T$4),Imóveis!$U$4,0),IF((IF(AND(Dados!$A324&gt;=Imóveis!$Q$4,Dados!$A324&lt;=Imóveis!$T$4),Imóveis!$S$4-(DATEDIF(Imóveis!$Q$4,Dados!$A324,"m")),0))=0,0,((Imóveis!$N$4/Imóveis!$S$4)+((Imóveis!$N$4-((Imóveis!$S$4-(IF(AND(Dados!$A324&gt;=Imóveis!$Q$4,Dados!$A324&lt;=Imóveis!$T$4),Imóveis!$S$4-(DATEDIF(Imóveis!$Q$4,Dados!$A324,"m")),)))*(Imóveis!$N$4/Imóveis!$S$4)))*Imóveis!$P$4))))*IF(AND(Imóveis!$E$4&gt;0,Dados!$A324&gt;Imóveis!$E$4),0,1)</f>
        <v>0</v>
      </c>
      <c r="L324" s="18">
        <f>IF(Imóveis!$F$5="PRICE",IF(AND(Dados!$A324&gt;=Imóveis!$Q$5,Dados!$A324&lt;=Imóveis!$T$5),Imóveis!$U$5,0),IF((IF(AND(Dados!$A324&gt;=Imóveis!$Q$5,Dados!$A324&lt;=Imóveis!$T$5),Imóveis!$S$5-(DATEDIF(Imóveis!$Q$5,Dados!$A324,"m")),0))=0,0,((Imóveis!$N$5/Imóveis!$S$5)+((Imóveis!$N$5-((Imóveis!$S$5-(IF(AND(Dados!$A324 &gt;=Imóveis!$Q$5,Dados!$A324&lt;=Imóveis!$T$5),Imóveis!$S$5-(DATEDIF(Imóveis!$Q$5,Dados!$A324,"m")),)))*(Imóveis!$N$5/Imóveis!$S$5)))*Imóveis!$P$5))))*IF(AND(Imóveis!$E$5&gt;0,Dados!$A324&gt;Imóveis!$E$5),0,1)*Imóveis!$I$5</f>
        <v>0</v>
      </c>
      <c r="M324" s="18">
        <f>IF(Imóveis!$F$6="PRICE",IF(AND(Dados!$A324&gt;=Imóveis!$Q$6,Dados!$A324&lt;=Imóveis!$T$6),Imóveis!$U$6,0),IF((IF(AND(Dados!$A324&gt;=Imóveis!$Q$6,Dados!$A324&lt;=Imóveis!$T$6),Imóveis!$S$6-(DATEDIF(Imóveis!$Q$6,Dados!$A324,"m")),0))=0,0,((Imóveis!$N$6/Imóveis!$S$6)+((Imóveis!$N$6-((Imóveis!$S$6-(IF(AND(Dados!$A324&gt;=Imóveis!$Q$6,Dados!$A324&lt;=Imóveis!$T$6),Imóveis!$S$6-(DATEDIF(Imóveis!$Q$6,Dados!$A324,"m")),)))*(Imóveis!$N$6/Imóveis!$S$6)))*Imóveis!$P$6))))*IF(AND(Imóveis!$E$6&gt;0,Dados!$A324&gt;Imóveis!$E$6),0,1)*Imóveis!$I$6</f>
        <v>0</v>
      </c>
      <c r="N324" s="18">
        <f t="shared" si="45"/>
        <v>37000</v>
      </c>
      <c r="O324" s="18">
        <f>SUMIFS(Receitas!$F:$F,Receitas!$J:$J,"&lt;="&amp;$A324,Receitas!$L:$L,"&gt;="&amp;$A324,Receitas!$C:$C,O$1,Receitas!$M:$M,"Mensal")+SUMIFS(Receitas!$F:$F,Receitas!$J:$J,"&lt;="&amp;$A324,Receitas!$L:$L,"&gt;="&amp;$A324,Receitas!$C:$C,O$1,Receitas!$M:$M,$B324)</f>
        <v>50000</v>
      </c>
      <c r="P324" s="18">
        <f>SUMIFS(Receitas!$F:$F,Receitas!$J:$J,"&lt;="&amp;$A324,Receitas!$L:$L,"&gt;="&amp;$A324,Receitas!$C:$C,P$1,Receitas!$M:$M,"Mensal")+SUMIFS(Receitas!$F:$F,Receitas!$J:$J,"&lt;="&amp;$A324,Receitas!$L:$L,"&gt;="&amp;$A324,Receitas!$C:$C,P$1,Receitas!$M:$M,$B324)</f>
        <v>86666.666666666672</v>
      </c>
      <c r="Q324" s="18">
        <f>SUMIFS(Receitas!$F:$F,Receitas!$J:$J,"&lt;="&amp;$A324,Receitas!$L:$L,"&gt;="&amp;$A324,Receitas!$C:$C,Q$1,Receitas!$M:$M,"Mensal")+SUMIFS(Receitas!$F:$F,Receitas!$J:$J,"&lt;="&amp;$A324,Receitas!$L:$L,"&gt;="&amp;$A324,Receitas!$C:$C,Q$1,Receitas!$M:$M,$B324)</f>
        <v>0</v>
      </c>
      <c r="R324" s="18" cm="1">
        <f t="array" ref="R324">(IF(AND(Membros!$F$2="Sim",A324&lt;=MAX(Membros!$E$2:$E$5)),Membros!K$2,IF(AND(A324&gt;=Membros!J$2,A324&lt;=MAX(Membros!$E$2:$E$5)),Membros!K$2,0))+IF(AND(Membros!$F$3="Sim",A324&lt;=MAX(Membros!$E$2:$E$5)),Membros!K$3,IF(AND(A324&gt;=Membros!J$3,A324&lt;=MAX(Membros!$E$2:$E$5)),Membros!K$3,0)))*IF(AND(COUNTIFS(Tabela3[Tipo],"Provedor",Tabela3[Simulação Seguro],"Sim")=2,A324&gt;=MAX(IF(Tabela3[Tipo]="Dependente",Tabela3[Expectativa de Vida (Data)]))),0,1)</f>
        <v>0</v>
      </c>
      <c r="S324" s="18">
        <f t="shared" si="46"/>
        <v>136666.66666666669</v>
      </c>
      <c r="U324" s="18">
        <f t="shared" ref="U324:U387" ca="1" si="49">Z323</f>
        <v>20236834.738890924</v>
      </c>
      <c r="V324" s="18">
        <f>SUMIF(Imóveis!E:E,Dados!A:A,Imóveis!Z:Z)-SUMIF(Imóveis!E:E,Dados!A:A,Imóveis!Y:Y)</f>
        <v>0</v>
      </c>
      <c r="W324" s="18">
        <f>-SUMIF(Projetos!N:N,A324,Projetos!F:F)</f>
        <v>0</v>
      </c>
      <c r="X324" s="18">
        <f t="shared" si="43"/>
        <v>99666.666666666686</v>
      </c>
      <c r="Y324" s="26">
        <f ca="1">(U324*((Indicadores_Economicos!D$2+1)^(1/12)-1))</f>
        <v>66250.130950492196</v>
      </c>
      <c r="Z324" s="18">
        <f t="shared" ca="1" si="47"/>
        <v>20402751.536508083</v>
      </c>
      <c r="AA324" s="18">
        <f ca="1">Auxiliar_Projetos!E324</f>
        <v>1.1201002462731313E-9</v>
      </c>
      <c r="AB324" s="18">
        <f ca="1">Auxiliar_Projetos!K324</f>
        <v>8.6161557405625444E-10</v>
      </c>
      <c r="AC324" s="18">
        <f ca="1">IF(Z324-AA324-AB324&gt;Investimentos!$C$14,Investimentos!$C$14,IF(Z324-AA324-AB324&lt;Investimentos!$C$14,Z324-AA324-AB324,0))</f>
        <v>300000</v>
      </c>
      <c r="AD324" s="18">
        <f t="shared" ca="1" si="48"/>
        <v>20102751.536508083</v>
      </c>
      <c r="AE324" s="18"/>
    </row>
    <row r="325" spans="1:31" x14ac:dyDescent="0.2">
      <c r="A325" s="4">
        <v>55488</v>
      </c>
      <c r="B325" s="5" t="str">
        <f t="shared" si="44"/>
        <v>dezembro</v>
      </c>
      <c r="C325" s="5" t="str">
        <f t="shared" si="42"/>
        <v>2051</v>
      </c>
      <c r="D325" s="5">
        <f>SUMIFS(Despesas!$F:$F,Despesas!$J:$J,"&lt;="&amp;$A325,Despesas!$L:$L,"&gt;="&amp;$A325,Despesas!$C:$C,D$1,Despesas!$M:$M,"Mensal")+SUMIFS(Despesas!$F:$F,Despesas!$J:$J,"&lt;="&amp;$A325,Despesas!$L:$L,"&gt;="&amp;$A325,Despesas!$C:$C,D$1,Despesas!$M:$M,$B325)</f>
        <v>23000</v>
      </c>
      <c r="E325" s="18">
        <f>SUMIFS(Despesas!$F:$F,Despesas!$J:$J,"&lt;="&amp;$A325,Despesas!$L:$L,"&gt;="&amp;$A325,Despesas!$C:$C,E$1,Despesas!$M:$M,"Mensal")+SUMIFS(Despesas!$F:$F,Despesas!$J:$J,"&lt;="&amp;$A325,Despesas!$L:$L,"&gt;="&amp;$A325,Despesas!$C:$C,E$1,Despesas!$M:$M,$B325)</f>
        <v>0</v>
      </c>
      <c r="F325" s="5">
        <f>SUMIFS(Despesas!$F:$F,Despesas!$J:$J,"&lt;="&amp;$A325,Despesas!$L:$L,"&gt;="&amp;$A325,Despesas!$C:$C,F$1,Despesas!$M:$M,"Mensal")+SUMIFS(Despesas!$F:$F,Despesas!$J:$J,"&lt;="&amp;$A325,Despesas!$L:$L,"&gt;="&amp;$A325,Despesas!$C:$C,F$1,Despesas!$M:$M,$B325)</f>
        <v>13000</v>
      </c>
      <c r="G325" s="5">
        <f ca="1">SUMIFS(Despesas!$F:$F,Despesas!$J:$J,"&lt;="&amp;$A325,Despesas!$L:$L,"&gt;="&amp;$A325,Despesas!$C:$C,G$1,Despesas!$M:$M,"Mensal")+SUMIFS(Despesas!$F:$F,Despesas!$J:$J,"&lt;="&amp;$A325,Despesas!$L:$L,"&gt;="&amp;$A325,Despesas!$C:$C,G$1,Despesas!$M:$M,$B325)</f>
        <v>55757</v>
      </c>
      <c r="H325" s="18">
        <f>SUMIFS(Despesas!$F:$F,Despesas!$J:$J,"&lt;="&amp;$A325,Despesas!$L:$L,"&gt;="&amp;$A325,Despesas!$C:$C,H$1,Despesas!$M:$M,"Mensal")+SUMIFS(Despesas!$F:$F,Despesas!$J:$J,"&lt;="&amp;$A325,Despesas!$L:$L,"&gt;="&amp;$A325,Despesas!$C:$C,H$1,Despesas!$M:$M,$B325)</f>
        <v>1000</v>
      </c>
      <c r="I325" s="18">
        <f>IF(Imóveis!$F$2="PRICE",IF(AND(Dados!$A325&gt;=Imóveis!$Q$2,Dados!$A325&lt;=Imóveis!$T$2),Imóveis!$U$2,0),IF((IF(AND(Dados!$A325&gt;=Imóveis!$Q$2,Dados!$A325&lt;=Imóveis!$T$2),Imóveis!$S$2-(DATEDIF(Imóveis!$Q$2,Dados!$A325,"m")),0))=0,0,((Imóveis!$N$2/Imóveis!$S$2)+((Imóveis!$N$2-((Imóveis!$S$2-(IF(AND(Dados!$A325&gt;=Imóveis!$Q$2,Dados!$A325&lt;=Imóveis!$T$2),Imóveis!$S$2-(DATEDIF(Imóveis!$Q$2,Dados!$A325,"m")),)))*(Imóveis!$N$2/Imóveis!$S$2)))*Imóveis!$P$2))))*IF(AND(Imóveis!$E$2&gt;0,Dados!$A325&gt;Imóveis!$E$2),0,1)</f>
        <v>0</v>
      </c>
      <c r="J325" s="18">
        <f>IF(Imóveis!$F$3="PRICE",IF(AND(Dados!$A325&gt;=Imóveis!$Q$3,Dados!$A325&lt;=Imóveis!$T$3),Imóveis!$U$3,0),IF((IF(AND(Dados!$A325&gt;=Imóveis!$Q$3,Dados!$A325&lt;=Imóveis!$T$3),Imóveis!$S$3-(DATEDIF(Imóveis!$Q$3,Dados!$A325,"m")),0))=0,0,((Imóveis!$N$3/Imóveis!$S$3)+((Imóveis!$N$3-((Imóveis!$S$3-(IF(AND(Dados!$A325&gt;=Imóveis!$Q$3,Dados!$A325&lt;=Imóveis!$T$3),Imóveis!$S$3-(DATEDIF(Imóveis!$Q$3,Dados!$A325,"m")),)))*(Imóveis!$N$3/Imóveis!$S$3)))*Imóveis!$P$3))))*IF(AND(Imóveis!$E$3&gt;0,Dados!$A325&gt;Imóveis!$E$3),0,1)</f>
        <v>0</v>
      </c>
      <c r="K325" s="18">
        <f>IF(Imóveis!$F$4="PRICE",IF(AND(Dados!$A325&gt;=Imóveis!$Q$4,Dados!$A325&lt;=Imóveis!$T$4),Imóveis!$U$4,0),IF((IF(AND(Dados!$A325&gt;=Imóveis!$Q$4,Dados!$A325&lt;=Imóveis!$T$4),Imóveis!$S$4-(DATEDIF(Imóveis!$Q$4,Dados!$A325,"m")),0))=0,0,((Imóveis!$N$4/Imóveis!$S$4)+((Imóveis!$N$4-((Imóveis!$S$4-(IF(AND(Dados!$A325&gt;=Imóveis!$Q$4,Dados!$A325&lt;=Imóveis!$T$4),Imóveis!$S$4-(DATEDIF(Imóveis!$Q$4,Dados!$A325,"m")),)))*(Imóveis!$N$4/Imóveis!$S$4)))*Imóveis!$P$4))))*IF(AND(Imóveis!$E$4&gt;0,Dados!$A325&gt;Imóveis!$E$4),0,1)</f>
        <v>0</v>
      </c>
      <c r="L325" s="18">
        <f>IF(Imóveis!$F$5="PRICE",IF(AND(Dados!$A325&gt;=Imóveis!$Q$5,Dados!$A325&lt;=Imóveis!$T$5),Imóveis!$U$5,0),IF((IF(AND(Dados!$A325&gt;=Imóveis!$Q$5,Dados!$A325&lt;=Imóveis!$T$5),Imóveis!$S$5-(DATEDIF(Imóveis!$Q$5,Dados!$A325,"m")),0))=0,0,((Imóveis!$N$5/Imóveis!$S$5)+((Imóveis!$N$5-((Imóveis!$S$5-(IF(AND(Dados!$A325 &gt;=Imóveis!$Q$5,Dados!$A325&lt;=Imóveis!$T$5),Imóveis!$S$5-(DATEDIF(Imóveis!$Q$5,Dados!$A325,"m")),)))*(Imóveis!$N$5/Imóveis!$S$5)))*Imóveis!$P$5))))*IF(AND(Imóveis!$E$5&gt;0,Dados!$A325&gt;Imóveis!$E$5),0,1)*Imóveis!$I$5</f>
        <v>0</v>
      </c>
      <c r="M325" s="18">
        <f>IF(Imóveis!$F$6="PRICE",IF(AND(Dados!$A325&gt;=Imóveis!$Q$6,Dados!$A325&lt;=Imóveis!$T$6),Imóveis!$U$6,0),IF((IF(AND(Dados!$A325&gt;=Imóveis!$Q$6,Dados!$A325&lt;=Imóveis!$T$6),Imóveis!$S$6-(DATEDIF(Imóveis!$Q$6,Dados!$A325,"m")),0))=0,0,((Imóveis!$N$6/Imóveis!$S$6)+((Imóveis!$N$6-((Imóveis!$S$6-(IF(AND(Dados!$A325&gt;=Imóveis!$Q$6,Dados!$A325&lt;=Imóveis!$T$6),Imóveis!$S$6-(DATEDIF(Imóveis!$Q$6,Dados!$A325,"m")),)))*(Imóveis!$N$6/Imóveis!$S$6)))*Imóveis!$P$6))))*IF(AND(Imóveis!$E$6&gt;0,Dados!$A325&gt;Imóveis!$E$6),0,1)*Imóveis!$I$6</f>
        <v>0</v>
      </c>
      <c r="N325" s="18">
        <f t="shared" ca="1" si="45"/>
        <v>92757</v>
      </c>
      <c r="O325" s="18">
        <f>SUMIFS(Receitas!$F:$F,Receitas!$J:$J,"&lt;="&amp;$A325,Receitas!$L:$L,"&gt;="&amp;$A325,Receitas!$C:$C,O$1,Receitas!$M:$M,"Mensal")+SUMIFS(Receitas!$F:$F,Receitas!$J:$J,"&lt;="&amp;$A325,Receitas!$L:$L,"&gt;="&amp;$A325,Receitas!$C:$C,O$1,Receitas!$M:$M,$B325)</f>
        <v>50000</v>
      </c>
      <c r="P325" s="18">
        <f>SUMIFS(Receitas!$F:$F,Receitas!$J:$J,"&lt;="&amp;$A325,Receitas!$L:$L,"&gt;="&amp;$A325,Receitas!$C:$C,P$1,Receitas!$M:$M,"Mensal")+SUMIFS(Receitas!$F:$F,Receitas!$J:$J,"&lt;="&amp;$A325,Receitas!$L:$L,"&gt;="&amp;$A325,Receitas!$C:$C,P$1,Receitas!$M:$M,$B325)</f>
        <v>20000</v>
      </c>
      <c r="Q325" s="18">
        <f>SUMIFS(Receitas!$F:$F,Receitas!$J:$J,"&lt;="&amp;$A325,Receitas!$L:$L,"&gt;="&amp;$A325,Receitas!$C:$C,Q$1,Receitas!$M:$M,"Mensal")+SUMIFS(Receitas!$F:$F,Receitas!$J:$J,"&lt;="&amp;$A325,Receitas!$L:$L,"&gt;="&amp;$A325,Receitas!$C:$C,Q$1,Receitas!$M:$M,$B325)</f>
        <v>0</v>
      </c>
      <c r="R325" s="18" cm="1">
        <f t="array" ref="R325">(IF(AND(Membros!$F$2="Sim",A325&lt;=MAX(Membros!$E$2:$E$5)),Membros!K$2,IF(AND(A325&gt;=Membros!J$2,A325&lt;=MAX(Membros!$E$2:$E$5)),Membros!K$2,0))+IF(AND(Membros!$F$3="Sim",A325&lt;=MAX(Membros!$E$2:$E$5)),Membros!K$3,IF(AND(A325&gt;=Membros!J$3,A325&lt;=MAX(Membros!$E$2:$E$5)),Membros!K$3,0)))*IF(AND(COUNTIFS(Tabela3[Tipo],"Provedor",Tabela3[Simulação Seguro],"Sim")=2,A325&gt;=MAX(IF(Tabela3[Tipo]="Dependente",Tabela3[Expectativa de Vida (Data)]))),0,1)</f>
        <v>0</v>
      </c>
      <c r="S325" s="18">
        <f t="shared" si="46"/>
        <v>70000</v>
      </c>
      <c r="U325" s="18">
        <f t="shared" ca="1" si="49"/>
        <v>20402751.536508083</v>
      </c>
      <c r="V325" s="18">
        <f>SUMIF(Imóveis!E:E,Dados!A:A,Imóveis!Z:Z)-SUMIF(Imóveis!E:E,Dados!A:A,Imóveis!Y:Y)</f>
        <v>0</v>
      </c>
      <c r="W325" s="18">
        <f>-SUMIF(Projetos!N:N,A325,Projetos!F:F)</f>
        <v>0</v>
      </c>
      <c r="X325" s="18">
        <f t="shared" ca="1" si="43"/>
        <v>-22757</v>
      </c>
      <c r="Y325" s="26">
        <f ca="1">(U325*((Indicadores_Economicos!D$2+1)^(1/12)-1))</f>
        <v>66793.299371386543</v>
      </c>
      <c r="Z325" s="18">
        <f t="shared" ca="1" si="47"/>
        <v>20446787.835879471</v>
      </c>
      <c r="AA325" s="18">
        <f ca="1">Auxiliar_Projetos!E325</f>
        <v>1.1237671630094064E-9</v>
      </c>
      <c r="AB325" s="18">
        <f ca="1">Auxiliar_Projetos!K325</f>
        <v>8.6443627923800457E-10</v>
      </c>
      <c r="AC325" s="18">
        <f ca="1">IF(Z325-AA325-AB325&gt;Investimentos!$C$14,Investimentos!$C$14,IF(Z325-AA325-AB325&lt;Investimentos!$C$14,Z325-AA325-AB325,0))</f>
        <v>300000</v>
      </c>
      <c r="AD325" s="18">
        <f t="shared" ca="1" si="48"/>
        <v>20146787.835879471</v>
      </c>
      <c r="AE325" s="18"/>
    </row>
    <row r="326" spans="1:31" x14ac:dyDescent="0.2">
      <c r="A326" s="4">
        <v>55519</v>
      </c>
      <c r="B326" s="5" t="str">
        <f t="shared" si="44"/>
        <v>janeiro</v>
      </c>
      <c r="C326" s="5" t="str">
        <f t="shared" si="42"/>
        <v>2052</v>
      </c>
      <c r="D326" s="5">
        <f>SUMIFS(Despesas!$F:$F,Despesas!$J:$J,"&lt;="&amp;$A326,Despesas!$L:$L,"&gt;="&amp;$A326,Despesas!$C:$C,D$1,Despesas!$M:$M,"Mensal")+SUMIFS(Despesas!$F:$F,Despesas!$J:$J,"&lt;="&amp;$A326,Despesas!$L:$L,"&gt;="&amp;$A326,Despesas!$C:$C,D$1,Despesas!$M:$M,$B326)</f>
        <v>23000</v>
      </c>
      <c r="E326" s="18">
        <f>SUMIFS(Despesas!$F:$F,Despesas!$J:$J,"&lt;="&amp;$A326,Despesas!$L:$L,"&gt;="&amp;$A326,Despesas!$C:$C,E$1,Despesas!$M:$M,"Mensal")+SUMIFS(Despesas!$F:$F,Despesas!$J:$J,"&lt;="&amp;$A326,Despesas!$L:$L,"&gt;="&amp;$A326,Despesas!$C:$C,E$1,Despesas!$M:$M,$B326)</f>
        <v>0</v>
      </c>
      <c r="F326" s="5">
        <f>SUMIFS(Despesas!$F:$F,Despesas!$J:$J,"&lt;="&amp;$A326,Despesas!$L:$L,"&gt;="&amp;$A326,Despesas!$C:$C,F$1,Despesas!$M:$M,"Mensal")+SUMIFS(Despesas!$F:$F,Despesas!$J:$J,"&lt;="&amp;$A326,Despesas!$L:$L,"&gt;="&amp;$A326,Despesas!$C:$C,F$1,Despesas!$M:$M,$B326)</f>
        <v>13000</v>
      </c>
      <c r="G326" s="5">
        <f>SUMIFS(Despesas!$F:$F,Despesas!$J:$J,"&lt;="&amp;$A326,Despesas!$L:$L,"&gt;="&amp;$A326,Despesas!$C:$C,G$1,Despesas!$M:$M,"Mensal")+SUMIFS(Despesas!$F:$F,Despesas!$J:$J,"&lt;="&amp;$A326,Despesas!$L:$L,"&gt;="&amp;$A326,Despesas!$C:$C,G$1,Despesas!$M:$M,$B326)</f>
        <v>0</v>
      </c>
      <c r="H326" s="18">
        <f>SUMIFS(Despesas!$F:$F,Despesas!$J:$J,"&lt;="&amp;$A326,Despesas!$L:$L,"&gt;="&amp;$A326,Despesas!$C:$C,H$1,Despesas!$M:$M,"Mensal")+SUMIFS(Despesas!$F:$F,Despesas!$J:$J,"&lt;="&amp;$A326,Despesas!$L:$L,"&gt;="&amp;$A326,Despesas!$C:$C,H$1,Despesas!$M:$M,$B326)</f>
        <v>1000</v>
      </c>
      <c r="I326" s="18">
        <f>IF(Imóveis!$F$2="PRICE",IF(AND(Dados!$A326&gt;=Imóveis!$Q$2,Dados!$A326&lt;=Imóveis!$T$2),Imóveis!$U$2,0),IF((IF(AND(Dados!$A326&gt;=Imóveis!$Q$2,Dados!$A326&lt;=Imóveis!$T$2),Imóveis!$S$2-(DATEDIF(Imóveis!$Q$2,Dados!$A326,"m")),0))=0,0,((Imóveis!$N$2/Imóveis!$S$2)+((Imóveis!$N$2-((Imóveis!$S$2-(IF(AND(Dados!$A326&gt;=Imóveis!$Q$2,Dados!$A326&lt;=Imóveis!$T$2),Imóveis!$S$2-(DATEDIF(Imóveis!$Q$2,Dados!$A326,"m")),)))*(Imóveis!$N$2/Imóveis!$S$2)))*Imóveis!$P$2))))*IF(AND(Imóveis!$E$2&gt;0,Dados!$A326&gt;Imóveis!$E$2),0,1)</f>
        <v>0</v>
      </c>
      <c r="J326" s="18">
        <f>IF(Imóveis!$F$3="PRICE",IF(AND(Dados!$A326&gt;=Imóveis!$Q$3,Dados!$A326&lt;=Imóveis!$T$3),Imóveis!$U$3,0),IF((IF(AND(Dados!$A326&gt;=Imóveis!$Q$3,Dados!$A326&lt;=Imóveis!$T$3),Imóveis!$S$3-(DATEDIF(Imóveis!$Q$3,Dados!$A326,"m")),0))=0,0,((Imóveis!$N$3/Imóveis!$S$3)+((Imóveis!$N$3-((Imóveis!$S$3-(IF(AND(Dados!$A326&gt;=Imóveis!$Q$3,Dados!$A326&lt;=Imóveis!$T$3),Imóveis!$S$3-(DATEDIF(Imóveis!$Q$3,Dados!$A326,"m")),)))*(Imóveis!$N$3/Imóveis!$S$3)))*Imóveis!$P$3))))*IF(AND(Imóveis!$E$3&gt;0,Dados!$A326&gt;Imóveis!$E$3),0,1)</f>
        <v>0</v>
      </c>
      <c r="K326" s="18">
        <f>IF(Imóveis!$F$4="PRICE",IF(AND(Dados!$A326&gt;=Imóveis!$Q$4,Dados!$A326&lt;=Imóveis!$T$4),Imóveis!$U$4,0),IF((IF(AND(Dados!$A326&gt;=Imóveis!$Q$4,Dados!$A326&lt;=Imóveis!$T$4),Imóveis!$S$4-(DATEDIF(Imóveis!$Q$4,Dados!$A326,"m")),0))=0,0,((Imóveis!$N$4/Imóveis!$S$4)+((Imóveis!$N$4-((Imóveis!$S$4-(IF(AND(Dados!$A326&gt;=Imóveis!$Q$4,Dados!$A326&lt;=Imóveis!$T$4),Imóveis!$S$4-(DATEDIF(Imóveis!$Q$4,Dados!$A326,"m")),)))*(Imóveis!$N$4/Imóveis!$S$4)))*Imóveis!$P$4))))*IF(AND(Imóveis!$E$4&gt;0,Dados!$A326&gt;Imóveis!$E$4),0,1)</f>
        <v>0</v>
      </c>
      <c r="L326" s="18">
        <f>IF(Imóveis!$F$5="PRICE",IF(AND(Dados!$A326&gt;=Imóveis!$Q$5,Dados!$A326&lt;=Imóveis!$T$5),Imóveis!$U$5,0),IF((IF(AND(Dados!$A326&gt;=Imóveis!$Q$5,Dados!$A326&lt;=Imóveis!$T$5),Imóveis!$S$5-(DATEDIF(Imóveis!$Q$5,Dados!$A326,"m")),0))=0,0,((Imóveis!$N$5/Imóveis!$S$5)+((Imóveis!$N$5-((Imóveis!$S$5-(IF(AND(Dados!$A326 &gt;=Imóveis!$Q$5,Dados!$A326&lt;=Imóveis!$T$5),Imóveis!$S$5-(DATEDIF(Imóveis!$Q$5,Dados!$A326,"m")),)))*(Imóveis!$N$5/Imóveis!$S$5)))*Imóveis!$P$5))))*IF(AND(Imóveis!$E$5&gt;0,Dados!$A326&gt;Imóveis!$E$5),0,1)*Imóveis!$I$5</f>
        <v>0</v>
      </c>
      <c r="M326" s="18">
        <f>IF(Imóveis!$F$6="PRICE",IF(AND(Dados!$A326&gt;=Imóveis!$Q$6,Dados!$A326&lt;=Imóveis!$T$6),Imóveis!$U$6,0),IF((IF(AND(Dados!$A326&gt;=Imóveis!$Q$6,Dados!$A326&lt;=Imóveis!$T$6),Imóveis!$S$6-(DATEDIF(Imóveis!$Q$6,Dados!$A326,"m")),0))=0,0,((Imóveis!$N$6/Imóveis!$S$6)+((Imóveis!$N$6-((Imóveis!$S$6-(IF(AND(Dados!$A326&gt;=Imóveis!$Q$6,Dados!$A326&lt;=Imóveis!$T$6),Imóveis!$S$6-(DATEDIF(Imóveis!$Q$6,Dados!$A326,"m")),)))*(Imóveis!$N$6/Imóveis!$S$6)))*Imóveis!$P$6))))*IF(AND(Imóveis!$E$6&gt;0,Dados!$A326&gt;Imóveis!$E$6),0,1)*Imóveis!$I$6</f>
        <v>0</v>
      </c>
      <c r="N326" s="18">
        <f t="shared" si="45"/>
        <v>37000</v>
      </c>
      <c r="O326" s="18">
        <f>SUMIFS(Receitas!$F:$F,Receitas!$J:$J,"&lt;="&amp;$A326,Receitas!$L:$L,"&gt;="&amp;$A326,Receitas!$C:$C,O$1,Receitas!$M:$M,"Mensal")+SUMIFS(Receitas!$F:$F,Receitas!$J:$J,"&lt;="&amp;$A326,Receitas!$L:$L,"&gt;="&amp;$A326,Receitas!$C:$C,O$1,Receitas!$M:$M,$B326)</f>
        <v>50000</v>
      </c>
      <c r="P326" s="18">
        <f>SUMIFS(Receitas!$F:$F,Receitas!$J:$J,"&lt;="&amp;$A326,Receitas!$L:$L,"&gt;="&amp;$A326,Receitas!$C:$C,P$1,Receitas!$M:$M,"Mensal")+SUMIFS(Receitas!$F:$F,Receitas!$J:$J,"&lt;="&amp;$A326,Receitas!$L:$L,"&gt;="&amp;$A326,Receitas!$C:$C,P$1,Receitas!$M:$M,$B326)</f>
        <v>20000</v>
      </c>
      <c r="Q326" s="18">
        <f>SUMIFS(Receitas!$F:$F,Receitas!$J:$J,"&lt;="&amp;$A326,Receitas!$L:$L,"&gt;="&amp;$A326,Receitas!$C:$C,Q$1,Receitas!$M:$M,"Mensal")+SUMIFS(Receitas!$F:$F,Receitas!$J:$J,"&lt;="&amp;$A326,Receitas!$L:$L,"&gt;="&amp;$A326,Receitas!$C:$C,Q$1,Receitas!$M:$M,$B326)</f>
        <v>0</v>
      </c>
      <c r="R326" s="18" cm="1">
        <f t="array" ref="R326">(IF(AND(Membros!$F$2="Sim",A326&lt;=MAX(Membros!$E$2:$E$5)),Membros!K$2,IF(AND(A326&gt;=Membros!J$2,A326&lt;=MAX(Membros!$E$2:$E$5)),Membros!K$2,0))+IF(AND(Membros!$F$3="Sim",A326&lt;=MAX(Membros!$E$2:$E$5)),Membros!K$3,IF(AND(A326&gt;=Membros!J$3,A326&lt;=MAX(Membros!$E$2:$E$5)),Membros!K$3,0)))*IF(AND(COUNTIFS(Tabela3[Tipo],"Provedor",Tabela3[Simulação Seguro],"Sim")=2,A326&gt;=MAX(IF(Tabela3[Tipo]="Dependente",Tabela3[Expectativa de Vida (Data)]))),0,1)</f>
        <v>0</v>
      </c>
      <c r="S326" s="18">
        <f t="shared" si="46"/>
        <v>70000</v>
      </c>
      <c r="U326" s="18">
        <f t="shared" ca="1" si="49"/>
        <v>20446787.835879471</v>
      </c>
      <c r="V326" s="18">
        <f>SUMIF(Imóveis!E:E,Dados!A:A,Imóveis!Z:Z)-SUMIF(Imóveis!E:E,Dados!A:A,Imóveis!Y:Y)</f>
        <v>0</v>
      </c>
      <c r="W326" s="18">
        <f>-SUMIF(Projetos!N:N,A326,Projetos!F:F)</f>
        <v>0</v>
      </c>
      <c r="X326" s="18">
        <f t="shared" si="43"/>
        <v>33000</v>
      </c>
      <c r="Y326" s="26">
        <f ca="1">(U326*((Indicadores_Economicos!D$2+1)^(1/12)-1))</f>
        <v>66937.462756499473</v>
      </c>
      <c r="Z326" s="18">
        <f t="shared" ca="1" si="47"/>
        <v>20546725.298635971</v>
      </c>
      <c r="AA326" s="18">
        <f ca="1">Auxiliar_Projetos!E326</f>
        <v>1.1274460842768792E-9</v>
      </c>
      <c r="AB326" s="18">
        <f ca="1">Auxiliar_Projetos!K326</f>
        <v>8.6726621867452202E-10</v>
      </c>
      <c r="AC326" s="18">
        <f ca="1">IF(Z326-AA326-AB326&gt;Investimentos!$C$14,Investimentos!$C$14,IF(Z326-AA326-AB326&lt;Investimentos!$C$14,Z326-AA326-AB326,0))</f>
        <v>300000</v>
      </c>
      <c r="AD326" s="18">
        <f t="shared" ca="1" si="48"/>
        <v>20246725.298635971</v>
      </c>
      <c r="AE326" s="18"/>
    </row>
    <row r="327" spans="1:31" x14ac:dyDescent="0.2">
      <c r="A327" s="4">
        <v>55550</v>
      </c>
      <c r="B327" s="5" t="str">
        <f t="shared" si="44"/>
        <v>fevereiro</v>
      </c>
      <c r="C327" s="5" t="str">
        <f t="shared" si="42"/>
        <v>2052</v>
      </c>
      <c r="D327" s="5">
        <f>SUMIFS(Despesas!$F:$F,Despesas!$J:$J,"&lt;="&amp;$A327,Despesas!$L:$L,"&gt;="&amp;$A327,Despesas!$C:$C,D$1,Despesas!$M:$M,"Mensal")+SUMIFS(Despesas!$F:$F,Despesas!$J:$J,"&lt;="&amp;$A327,Despesas!$L:$L,"&gt;="&amp;$A327,Despesas!$C:$C,D$1,Despesas!$M:$M,$B327)</f>
        <v>23000</v>
      </c>
      <c r="E327" s="18">
        <f>SUMIFS(Despesas!$F:$F,Despesas!$J:$J,"&lt;="&amp;$A327,Despesas!$L:$L,"&gt;="&amp;$A327,Despesas!$C:$C,E$1,Despesas!$M:$M,"Mensal")+SUMIFS(Despesas!$F:$F,Despesas!$J:$J,"&lt;="&amp;$A327,Despesas!$L:$L,"&gt;="&amp;$A327,Despesas!$C:$C,E$1,Despesas!$M:$M,$B327)</f>
        <v>0</v>
      </c>
      <c r="F327" s="5">
        <f>SUMIFS(Despesas!$F:$F,Despesas!$J:$J,"&lt;="&amp;$A327,Despesas!$L:$L,"&gt;="&amp;$A327,Despesas!$C:$C,F$1,Despesas!$M:$M,"Mensal")+SUMIFS(Despesas!$F:$F,Despesas!$J:$J,"&lt;="&amp;$A327,Despesas!$L:$L,"&gt;="&amp;$A327,Despesas!$C:$C,F$1,Despesas!$M:$M,$B327)</f>
        <v>13000</v>
      </c>
      <c r="G327" s="5">
        <f>SUMIFS(Despesas!$F:$F,Despesas!$J:$J,"&lt;="&amp;$A327,Despesas!$L:$L,"&gt;="&amp;$A327,Despesas!$C:$C,G$1,Despesas!$M:$M,"Mensal")+SUMIFS(Despesas!$F:$F,Despesas!$J:$J,"&lt;="&amp;$A327,Despesas!$L:$L,"&gt;="&amp;$A327,Despesas!$C:$C,G$1,Despesas!$M:$M,$B327)</f>
        <v>0</v>
      </c>
      <c r="H327" s="18">
        <f>SUMIFS(Despesas!$F:$F,Despesas!$J:$J,"&lt;="&amp;$A327,Despesas!$L:$L,"&gt;="&amp;$A327,Despesas!$C:$C,H$1,Despesas!$M:$M,"Mensal")+SUMIFS(Despesas!$F:$F,Despesas!$J:$J,"&lt;="&amp;$A327,Despesas!$L:$L,"&gt;="&amp;$A327,Despesas!$C:$C,H$1,Despesas!$M:$M,$B327)</f>
        <v>2200</v>
      </c>
      <c r="I327" s="18">
        <f>IF(Imóveis!$F$2="PRICE",IF(AND(Dados!$A327&gt;=Imóveis!$Q$2,Dados!$A327&lt;=Imóveis!$T$2),Imóveis!$U$2,0),IF((IF(AND(Dados!$A327&gt;=Imóveis!$Q$2,Dados!$A327&lt;=Imóveis!$T$2),Imóveis!$S$2-(DATEDIF(Imóveis!$Q$2,Dados!$A327,"m")),0))=0,0,((Imóveis!$N$2/Imóveis!$S$2)+((Imóveis!$N$2-((Imóveis!$S$2-(IF(AND(Dados!$A327&gt;=Imóveis!$Q$2,Dados!$A327&lt;=Imóveis!$T$2),Imóveis!$S$2-(DATEDIF(Imóveis!$Q$2,Dados!$A327,"m")),)))*(Imóveis!$N$2/Imóveis!$S$2)))*Imóveis!$P$2))))*IF(AND(Imóveis!$E$2&gt;0,Dados!$A327&gt;Imóveis!$E$2),0,1)</f>
        <v>0</v>
      </c>
      <c r="J327" s="18">
        <f>IF(Imóveis!$F$3="PRICE",IF(AND(Dados!$A327&gt;=Imóveis!$Q$3,Dados!$A327&lt;=Imóveis!$T$3),Imóveis!$U$3,0),IF((IF(AND(Dados!$A327&gt;=Imóveis!$Q$3,Dados!$A327&lt;=Imóveis!$T$3),Imóveis!$S$3-(DATEDIF(Imóveis!$Q$3,Dados!$A327,"m")),0))=0,0,((Imóveis!$N$3/Imóveis!$S$3)+((Imóveis!$N$3-((Imóveis!$S$3-(IF(AND(Dados!$A327&gt;=Imóveis!$Q$3,Dados!$A327&lt;=Imóveis!$T$3),Imóveis!$S$3-(DATEDIF(Imóveis!$Q$3,Dados!$A327,"m")),)))*(Imóveis!$N$3/Imóveis!$S$3)))*Imóveis!$P$3))))*IF(AND(Imóveis!$E$3&gt;0,Dados!$A327&gt;Imóveis!$E$3),0,1)</f>
        <v>0</v>
      </c>
      <c r="K327" s="18">
        <f>IF(Imóveis!$F$4="PRICE",IF(AND(Dados!$A327&gt;=Imóveis!$Q$4,Dados!$A327&lt;=Imóveis!$T$4),Imóveis!$U$4,0),IF((IF(AND(Dados!$A327&gt;=Imóveis!$Q$4,Dados!$A327&lt;=Imóveis!$T$4),Imóveis!$S$4-(DATEDIF(Imóveis!$Q$4,Dados!$A327,"m")),0))=0,0,((Imóveis!$N$4/Imóveis!$S$4)+((Imóveis!$N$4-((Imóveis!$S$4-(IF(AND(Dados!$A327&gt;=Imóveis!$Q$4,Dados!$A327&lt;=Imóveis!$T$4),Imóveis!$S$4-(DATEDIF(Imóveis!$Q$4,Dados!$A327,"m")),)))*(Imóveis!$N$4/Imóveis!$S$4)))*Imóveis!$P$4))))*IF(AND(Imóveis!$E$4&gt;0,Dados!$A327&gt;Imóveis!$E$4),0,1)</f>
        <v>0</v>
      </c>
      <c r="L327" s="18">
        <f>IF(Imóveis!$F$5="PRICE",IF(AND(Dados!$A327&gt;=Imóveis!$Q$5,Dados!$A327&lt;=Imóveis!$T$5),Imóveis!$U$5,0),IF((IF(AND(Dados!$A327&gt;=Imóveis!$Q$5,Dados!$A327&lt;=Imóveis!$T$5),Imóveis!$S$5-(DATEDIF(Imóveis!$Q$5,Dados!$A327,"m")),0))=0,0,((Imóveis!$N$5/Imóveis!$S$5)+((Imóveis!$N$5-((Imóveis!$S$5-(IF(AND(Dados!$A327 &gt;=Imóveis!$Q$5,Dados!$A327&lt;=Imóveis!$T$5),Imóveis!$S$5-(DATEDIF(Imóveis!$Q$5,Dados!$A327,"m")),)))*(Imóveis!$N$5/Imóveis!$S$5)))*Imóveis!$P$5))))*IF(AND(Imóveis!$E$5&gt;0,Dados!$A327&gt;Imóveis!$E$5),0,1)*Imóveis!$I$5</f>
        <v>0</v>
      </c>
      <c r="M327" s="18">
        <f>IF(Imóveis!$F$6="PRICE",IF(AND(Dados!$A327&gt;=Imóveis!$Q$6,Dados!$A327&lt;=Imóveis!$T$6),Imóveis!$U$6,0),IF((IF(AND(Dados!$A327&gt;=Imóveis!$Q$6,Dados!$A327&lt;=Imóveis!$T$6),Imóveis!$S$6-(DATEDIF(Imóveis!$Q$6,Dados!$A327,"m")),0))=0,0,((Imóveis!$N$6/Imóveis!$S$6)+((Imóveis!$N$6-((Imóveis!$S$6-(IF(AND(Dados!$A327&gt;=Imóveis!$Q$6,Dados!$A327&lt;=Imóveis!$T$6),Imóveis!$S$6-(DATEDIF(Imóveis!$Q$6,Dados!$A327,"m")),)))*(Imóveis!$N$6/Imóveis!$S$6)))*Imóveis!$P$6))))*IF(AND(Imóveis!$E$6&gt;0,Dados!$A327&gt;Imóveis!$E$6),0,1)*Imóveis!$I$6</f>
        <v>0</v>
      </c>
      <c r="N327" s="18">
        <f t="shared" si="45"/>
        <v>38200</v>
      </c>
      <c r="O327" s="18">
        <f>SUMIFS(Receitas!$F:$F,Receitas!$J:$J,"&lt;="&amp;$A327,Receitas!$L:$L,"&gt;="&amp;$A327,Receitas!$C:$C,O$1,Receitas!$M:$M,"Mensal")+SUMIFS(Receitas!$F:$F,Receitas!$J:$J,"&lt;="&amp;$A327,Receitas!$L:$L,"&gt;="&amp;$A327,Receitas!$C:$C,O$1,Receitas!$M:$M,$B327)</f>
        <v>50000</v>
      </c>
      <c r="P327" s="18">
        <f>SUMIFS(Receitas!$F:$F,Receitas!$J:$J,"&lt;="&amp;$A327,Receitas!$L:$L,"&gt;="&amp;$A327,Receitas!$C:$C,P$1,Receitas!$M:$M,"Mensal")+SUMIFS(Receitas!$F:$F,Receitas!$J:$J,"&lt;="&amp;$A327,Receitas!$L:$L,"&gt;="&amp;$A327,Receitas!$C:$C,P$1,Receitas!$M:$M,$B327)</f>
        <v>20000</v>
      </c>
      <c r="Q327" s="18">
        <f>SUMIFS(Receitas!$F:$F,Receitas!$J:$J,"&lt;="&amp;$A327,Receitas!$L:$L,"&gt;="&amp;$A327,Receitas!$C:$C,Q$1,Receitas!$M:$M,"Mensal")+SUMIFS(Receitas!$F:$F,Receitas!$J:$J,"&lt;="&amp;$A327,Receitas!$L:$L,"&gt;="&amp;$A327,Receitas!$C:$C,Q$1,Receitas!$M:$M,$B327)</f>
        <v>0</v>
      </c>
      <c r="R327" s="18" cm="1">
        <f t="array" ref="R327">(IF(AND(Membros!$F$2="Sim",A327&lt;=MAX(Membros!$E$2:$E$5)),Membros!K$2,IF(AND(A327&gt;=Membros!J$2,A327&lt;=MAX(Membros!$E$2:$E$5)),Membros!K$2,0))+IF(AND(Membros!$F$3="Sim",A327&lt;=MAX(Membros!$E$2:$E$5)),Membros!K$3,IF(AND(A327&gt;=Membros!J$3,A327&lt;=MAX(Membros!$E$2:$E$5)),Membros!K$3,0)))*IF(AND(COUNTIFS(Tabela3[Tipo],"Provedor",Tabela3[Simulação Seguro],"Sim")=2,A327&gt;=MAX(IF(Tabela3[Tipo]="Dependente",Tabela3[Expectativa de Vida (Data)]))),0,1)</f>
        <v>0</v>
      </c>
      <c r="S327" s="18">
        <f t="shared" si="46"/>
        <v>70000</v>
      </c>
      <c r="U327" s="18">
        <f t="shared" ca="1" si="49"/>
        <v>20546725.298635971</v>
      </c>
      <c r="V327" s="18">
        <f>SUMIF(Imóveis!E:E,Dados!A:A,Imóveis!Z:Z)-SUMIF(Imóveis!E:E,Dados!A:A,Imóveis!Y:Y)</f>
        <v>0</v>
      </c>
      <c r="W327" s="18">
        <f>-SUMIF(Projetos!N:N,A327,Projetos!F:F)</f>
        <v>0</v>
      </c>
      <c r="X327" s="18">
        <f t="shared" si="43"/>
        <v>31800</v>
      </c>
      <c r="Y327" s="26">
        <f ca="1">(U327*((Indicadores_Economicos!D$2+1)^(1/12)-1))</f>
        <v>67264.63200405745</v>
      </c>
      <c r="Z327" s="18">
        <f t="shared" ca="1" si="47"/>
        <v>20645789.930640027</v>
      </c>
      <c r="AA327" s="18">
        <f ca="1">Auxiliar_Projetos!E327</f>
        <v>1.1311370493752609E-9</v>
      </c>
      <c r="AB327" s="18">
        <f ca="1">Auxiliar_Projetos!K327</f>
        <v>8.7010542259635407E-10</v>
      </c>
      <c r="AC327" s="18">
        <f ca="1">IF(Z327-AA327-AB327&gt;Investimentos!$C$14,Investimentos!$C$14,IF(Z327-AA327-AB327&lt;Investimentos!$C$14,Z327-AA327-AB327,0))</f>
        <v>300000</v>
      </c>
      <c r="AD327" s="18">
        <f t="shared" ca="1" si="48"/>
        <v>20345789.930640027</v>
      </c>
      <c r="AE327" s="18"/>
    </row>
    <row r="328" spans="1:31" x14ac:dyDescent="0.2">
      <c r="A328" s="4">
        <v>55579</v>
      </c>
      <c r="B328" s="5" t="str">
        <f t="shared" si="44"/>
        <v>março</v>
      </c>
      <c r="C328" s="5" t="str">
        <f t="shared" si="42"/>
        <v>2052</v>
      </c>
      <c r="D328" s="5">
        <f>SUMIFS(Despesas!$F:$F,Despesas!$J:$J,"&lt;="&amp;$A328,Despesas!$L:$L,"&gt;="&amp;$A328,Despesas!$C:$C,D$1,Despesas!$M:$M,"Mensal")+SUMIFS(Despesas!$F:$F,Despesas!$J:$J,"&lt;="&amp;$A328,Despesas!$L:$L,"&gt;="&amp;$A328,Despesas!$C:$C,D$1,Despesas!$M:$M,$B328)</f>
        <v>23000</v>
      </c>
      <c r="E328" s="18">
        <f>SUMIFS(Despesas!$F:$F,Despesas!$J:$J,"&lt;="&amp;$A328,Despesas!$L:$L,"&gt;="&amp;$A328,Despesas!$C:$C,E$1,Despesas!$M:$M,"Mensal")+SUMIFS(Despesas!$F:$F,Despesas!$J:$J,"&lt;="&amp;$A328,Despesas!$L:$L,"&gt;="&amp;$A328,Despesas!$C:$C,E$1,Despesas!$M:$M,$B328)</f>
        <v>0</v>
      </c>
      <c r="F328" s="5">
        <f>SUMIFS(Despesas!$F:$F,Despesas!$J:$J,"&lt;="&amp;$A328,Despesas!$L:$L,"&gt;="&amp;$A328,Despesas!$C:$C,F$1,Despesas!$M:$M,"Mensal")+SUMIFS(Despesas!$F:$F,Despesas!$J:$J,"&lt;="&amp;$A328,Despesas!$L:$L,"&gt;="&amp;$A328,Despesas!$C:$C,F$1,Despesas!$M:$M,$B328)</f>
        <v>13000</v>
      </c>
      <c r="G328" s="5">
        <f>SUMIFS(Despesas!$F:$F,Despesas!$J:$J,"&lt;="&amp;$A328,Despesas!$L:$L,"&gt;="&amp;$A328,Despesas!$C:$C,G$1,Despesas!$M:$M,"Mensal")+SUMIFS(Despesas!$F:$F,Despesas!$J:$J,"&lt;="&amp;$A328,Despesas!$L:$L,"&gt;="&amp;$A328,Despesas!$C:$C,G$1,Despesas!$M:$M,$B328)</f>
        <v>0</v>
      </c>
      <c r="H328" s="18">
        <f>SUMIFS(Despesas!$F:$F,Despesas!$J:$J,"&lt;="&amp;$A328,Despesas!$L:$L,"&gt;="&amp;$A328,Despesas!$C:$C,H$1,Despesas!$M:$M,"Mensal")+SUMIFS(Despesas!$F:$F,Despesas!$J:$J,"&lt;="&amp;$A328,Despesas!$L:$L,"&gt;="&amp;$A328,Despesas!$C:$C,H$1,Despesas!$M:$M,$B328)</f>
        <v>1000</v>
      </c>
      <c r="I328" s="18">
        <f>IF(Imóveis!$F$2="PRICE",IF(AND(Dados!$A328&gt;=Imóveis!$Q$2,Dados!$A328&lt;=Imóveis!$T$2),Imóveis!$U$2,0),IF((IF(AND(Dados!$A328&gt;=Imóveis!$Q$2,Dados!$A328&lt;=Imóveis!$T$2),Imóveis!$S$2-(DATEDIF(Imóveis!$Q$2,Dados!$A328,"m")),0))=0,0,((Imóveis!$N$2/Imóveis!$S$2)+((Imóveis!$N$2-((Imóveis!$S$2-(IF(AND(Dados!$A328&gt;=Imóveis!$Q$2,Dados!$A328&lt;=Imóveis!$T$2),Imóveis!$S$2-(DATEDIF(Imóveis!$Q$2,Dados!$A328,"m")),)))*(Imóveis!$N$2/Imóveis!$S$2)))*Imóveis!$P$2))))*IF(AND(Imóveis!$E$2&gt;0,Dados!$A328&gt;Imóveis!$E$2),0,1)</f>
        <v>0</v>
      </c>
      <c r="J328" s="18">
        <f>IF(Imóveis!$F$3="PRICE",IF(AND(Dados!$A328&gt;=Imóveis!$Q$3,Dados!$A328&lt;=Imóveis!$T$3),Imóveis!$U$3,0),IF((IF(AND(Dados!$A328&gt;=Imóveis!$Q$3,Dados!$A328&lt;=Imóveis!$T$3),Imóveis!$S$3-(DATEDIF(Imóveis!$Q$3,Dados!$A328,"m")),0))=0,0,((Imóveis!$N$3/Imóveis!$S$3)+((Imóveis!$N$3-((Imóveis!$S$3-(IF(AND(Dados!$A328&gt;=Imóveis!$Q$3,Dados!$A328&lt;=Imóveis!$T$3),Imóveis!$S$3-(DATEDIF(Imóveis!$Q$3,Dados!$A328,"m")),)))*(Imóveis!$N$3/Imóveis!$S$3)))*Imóveis!$P$3))))*IF(AND(Imóveis!$E$3&gt;0,Dados!$A328&gt;Imóveis!$E$3),0,1)</f>
        <v>0</v>
      </c>
      <c r="K328" s="18">
        <f>IF(Imóveis!$F$4="PRICE",IF(AND(Dados!$A328&gt;=Imóveis!$Q$4,Dados!$A328&lt;=Imóveis!$T$4),Imóveis!$U$4,0),IF((IF(AND(Dados!$A328&gt;=Imóveis!$Q$4,Dados!$A328&lt;=Imóveis!$T$4),Imóveis!$S$4-(DATEDIF(Imóveis!$Q$4,Dados!$A328,"m")),0))=0,0,((Imóveis!$N$4/Imóveis!$S$4)+((Imóveis!$N$4-((Imóveis!$S$4-(IF(AND(Dados!$A328&gt;=Imóveis!$Q$4,Dados!$A328&lt;=Imóveis!$T$4),Imóveis!$S$4-(DATEDIF(Imóveis!$Q$4,Dados!$A328,"m")),)))*(Imóveis!$N$4/Imóveis!$S$4)))*Imóveis!$P$4))))*IF(AND(Imóveis!$E$4&gt;0,Dados!$A328&gt;Imóveis!$E$4),0,1)</f>
        <v>0</v>
      </c>
      <c r="L328" s="18">
        <f>IF(Imóveis!$F$5="PRICE",IF(AND(Dados!$A328&gt;=Imóveis!$Q$5,Dados!$A328&lt;=Imóveis!$T$5),Imóveis!$U$5,0),IF((IF(AND(Dados!$A328&gt;=Imóveis!$Q$5,Dados!$A328&lt;=Imóveis!$T$5),Imóveis!$S$5-(DATEDIF(Imóveis!$Q$5,Dados!$A328,"m")),0))=0,0,((Imóveis!$N$5/Imóveis!$S$5)+((Imóveis!$N$5-((Imóveis!$S$5-(IF(AND(Dados!$A328 &gt;=Imóveis!$Q$5,Dados!$A328&lt;=Imóveis!$T$5),Imóveis!$S$5-(DATEDIF(Imóveis!$Q$5,Dados!$A328,"m")),)))*(Imóveis!$N$5/Imóveis!$S$5)))*Imóveis!$P$5))))*IF(AND(Imóveis!$E$5&gt;0,Dados!$A328&gt;Imóveis!$E$5),0,1)*Imóveis!$I$5</f>
        <v>0</v>
      </c>
      <c r="M328" s="18">
        <f>IF(Imóveis!$F$6="PRICE",IF(AND(Dados!$A328&gt;=Imóveis!$Q$6,Dados!$A328&lt;=Imóveis!$T$6),Imóveis!$U$6,0),IF((IF(AND(Dados!$A328&gt;=Imóveis!$Q$6,Dados!$A328&lt;=Imóveis!$T$6),Imóveis!$S$6-(DATEDIF(Imóveis!$Q$6,Dados!$A328,"m")),0))=0,0,((Imóveis!$N$6/Imóveis!$S$6)+((Imóveis!$N$6-((Imóveis!$S$6-(IF(AND(Dados!$A328&gt;=Imóveis!$Q$6,Dados!$A328&lt;=Imóveis!$T$6),Imóveis!$S$6-(DATEDIF(Imóveis!$Q$6,Dados!$A328,"m")),)))*(Imóveis!$N$6/Imóveis!$S$6)))*Imóveis!$P$6))))*IF(AND(Imóveis!$E$6&gt;0,Dados!$A328&gt;Imóveis!$E$6),0,1)*Imóveis!$I$6</f>
        <v>0</v>
      </c>
      <c r="N328" s="18">
        <f t="shared" si="45"/>
        <v>37000</v>
      </c>
      <c r="O328" s="18">
        <f>SUMIFS(Receitas!$F:$F,Receitas!$J:$J,"&lt;="&amp;$A328,Receitas!$L:$L,"&gt;="&amp;$A328,Receitas!$C:$C,O$1,Receitas!$M:$M,"Mensal")+SUMIFS(Receitas!$F:$F,Receitas!$J:$J,"&lt;="&amp;$A328,Receitas!$L:$L,"&gt;="&amp;$A328,Receitas!$C:$C,O$1,Receitas!$M:$M,$B328)</f>
        <v>50000</v>
      </c>
      <c r="P328" s="18">
        <f>SUMIFS(Receitas!$F:$F,Receitas!$J:$J,"&lt;="&amp;$A328,Receitas!$L:$L,"&gt;="&amp;$A328,Receitas!$C:$C,P$1,Receitas!$M:$M,"Mensal")+SUMIFS(Receitas!$F:$F,Receitas!$J:$J,"&lt;="&amp;$A328,Receitas!$L:$L,"&gt;="&amp;$A328,Receitas!$C:$C,P$1,Receitas!$M:$M,$B328)</f>
        <v>20000</v>
      </c>
      <c r="Q328" s="18">
        <f>SUMIFS(Receitas!$F:$F,Receitas!$J:$J,"&lt;="&amp;$A328,Receitas!$L:$L,"&gt;="&amp;$A328,Receitas!$C:$C,Q$1,Receitas!$M:$M,"Mensal")+SUMIFS(Receitas!$F:$F,Receitas!$J:$J,"&lt;="&amp;$A328,Receitas!$L:$L,"&gt;="&amp;$A328,Receitas!$C:$C,Q$1,Receitas!$M:$M,$B328)</f>
        <v>0</v>
      </c>
      <c r="R328" s="18" cm="1">
        <f t="array" ref="R328">(IF(AND(Membros!$F$2="Sim",A328&lt;=MAX(Membros!$E$2:$E$5)),Membros!K$2,IF(AND(A328&gt;=Membros!J$2,A328&lt;=MAX(Membros!$E$2:$E$5)),Membros!K$2,0))+IF(AND(Membros!$F$3="Sim",A328&lt;=MAX(Membros!$E$2:$E$5)),Membros!K$3,IF(AND(A328&gt;=Membros!J$3,A328&lt;=MAX(Membros!$E$2:$E$5)),Membros!K$3,0)))*IF(AND(COUNTIFS(Tabela3[Tipo],"Provedor",Tabela3[Simulação Seguro],"Sim")=2,A328&gt;=MAX(IF(Tabela3[Tipo]="Dependente",Tabela3[Expectativa de Vida (Data)]))),0,1)</f>
        <v>0</v>
      </c>
      <c r="S328" s="18">
        <f t="shared" si="46"/>
        <v>70000</v>
      </c>
      <c r="U328" s="18">
        <f t="shared" ca="1" si="49"/>
        <v>20645789.930640027</v>
      </c>
      <c r="V328" s="18">
        <f>SUMIF(Imóveis!E:E,Dados!A:A,Imóveis!Z:Z)-SUMIF(Imóveis!E:E,Dados!A:A,Imóveis!Y:Y)</f>
        <v>0</v>
      </c>
      <c r="W328" s="18">
        <f>-SUMIF(Projetos!N:N,A328,Projetos!F:F)</f>
        <v>0</v>
      </c>
      <c r="X328" s="18">
        <f t="shared" si="43"/>
        <v>33000</v>
      </c>
      <c r="Y328" s="26">
        <f ca="1">(U328*((Indicadores_Economicos!D$2+1)^(1/12)-1))</f>
        <v>67588.943830858028</v>
      </c>
      <c r="Z328" s="18">
        <f t="shared" ca="1" si="47"/>
        <v>20746378.874470886</v>
      </c>
      <c r="AA328" s="18">
        <f ca="1">Auxiliar_Projetos!E328</f>
        <v>1.1348400977329198E-9</v>
      </c>
      <c r="AB328" s="18">
        <f ca="1">Auxiliar_Projetos!K328</f>
        <v>8.7295392133301475E-10</v>
      </c>
      <c r="AC328" s="18">
        <f ca="1">IF(Z328-AA328-AB328&gt;Investimentos!$C$14,Investimentos!$C$14,IF(Z328-AA328-AB328&lt;Investimentos!$C$14,Z328-AA328-AB328,0))</f>
        <v>300000</v>
      </c>
      <c r="AD328" s="18">
        <f t="shared" ca="1" si="48"/>
        <v>20446378.874470886</v>
      </c>
      <c r="AE328" s="18"/>
    </row>
    <row r="329" spans="1:31" x14ac:dyDescent="0.2">
      <c r="A329" s="4">
        <v>55610</v>
      </c>
      <c r="B329" s="5" t="str">
        <f t="shared" si="44"/>
        <v>abril</v>
      </c>
      <c r="C329" s="5" t="str">
        <f t="shared" si="42"/>
        <v>2052</v>
      </c>
      <c r="D329" s="5">
        <f>SUMIFS(Despesas!$F:$F,Despesas!$J:$J,"&lt;="&amp;$A329,Despesas!$L:$L,"&gt;="&amp;$A329,Despesas!$C:$C,D$1,Despesas!$M:$M,"Mensal")+SUMIFS(Despesas!$F:$F,Despesas!$J:$J,"&lt;="&amp;$A329,Despesas!$L:$L,"&gt;="&amp;$A329,Despesas!$C:$C,D$1,Despesas!$M:$M,$B329)</f>
        <v>23000</v>
      </c>
      <c r="E329" s="18">
        <f>SUMIFS(Despesas!$F:$F,Despesas!$J:$J,"&lt;="&amp;$A329,Despesas!$L:$L,"&gt;="&amp;$A329,Despesas!$C:$C,E$1,Despesas!$M:$M,"Mensal")+SUMIFS(Despesas!$F:$F,Despesas!$J:$J,"&lt;="&amp;$A329,Despesas!$L:$L,"&gt;="&amp;$A329,Despesas!$C:$C,E$1,Despesas!$M:$M,$B329)</f>
        <v>0</v>
      </c>
      <c r="F329" s="5">
        <f>SUMIFS(Despesas!$F:$F,Despesas!$J:$J,"&lt;="&amp;$A329,Despesas!$L:$L,"&gt;="&amp;$A329,Despesas!$C:$C,F$1,Despesas!$M:$M,"Mensal")+SUMIFS(Despesas!$F:$F,Despesas!$J:$J,"&lt;="&amp;$A329,Despesas!$L:$L,"&gt;="&amp;$A329,Despesas!$C:$C,F$1,Despesas!$M:$M,$B329)</f>
        <v>13000</v>
      </c>
      <c r="G329" s="5">
        <f>SUMIFS(Despesas!$F:$F,Despesas!$J:$J,"&lt;="&amp;$A329,Despesas!$L:$L,"&gt;="&amp;$A329,Despesas!$C:$C,G$1,Despesas!$M:$M,"Mensal")+SUMIFS(Despesas!$F:$F,Despesas!$J:$J,"&lt;="&amp;$A329,Despesas!$L:$L,"&gt;="&amp;$A329,Despesas!$C:$C,G$1,Despesas!$M:$M,$B329)</f>
        <v>0</v>
      </c>
      <c r="H329" s="18">
        <f>SUMIFS(Despesas!$F:$F,Despesas!$J:$J,"&lt;="&amp;$A329,Despesas!$L:$L,"&gt;="&amp;$A329,Despesas!$C:$C,H$1,Despesas!$M:$M,"Mensal")+SUMIFS(Despesas!$F:$F,Despesas!$J:$J,"&lt;="&amp;$A329,Despesas!$L:$L,"&gt;="&amp;$A329,Despesas!$C:$C,H$1,Despesas!$M:$M,$B329)</f>
        <v>1000</v>
      </c>
      <c r="I329" s="18">
        <f>IF(Imóveis!$F$2="PRICE",IF(AND(Dados!$A329&gt;=Imóveis!$Q$2,Dados!$A329&lt;=Imóveis!$T$2),Imóveis!$U$2,0),IF((IF(AND(Dados!$A329&gt;=Imóveis!$Q$2,Dados!$A329&lt;=Imóveis!$T$2),Imóveis!$S$2-(DATEDIF(Imóveis!$Q$2,Dados!$A329,"m")),0))=0,0,((Imóveis!$N$2/Imóveis!$S$2)+((Imóveis!$N$2-((Imóveis!$S$2-(IF(AND(Dados!$A329&gt;=Imóveis!$Q$2,Dados!$A329&lt;=Imóveis!$T$2),Imóveis!$S$2-(DATEDIF(Imóveis!$Q$2,Dados!$A329,"m")),)))*(Imóveis!$N$2/Imóveis!$S$2)))*Imóveis!$P$2))))*IF(AND(Imóveis!$E$2&gt;0,Dados!$A329&gt;Imóveis!$E$2),0,1)</f>
        <v>0</v>
      </c>
      <c r="J329" s="18">
        <f>IF(Imóveis!$F$3="PRICE",IF(AND(Dados!$A329&gt;=Imóveis!$Q$3,Dados!$A329&lt;=Imóveis!$T$3),Imóveis!$U$3,0),IF((IF(AND(Dados!$A329&gt;=Imóveis!$Q$3,Dados!$A329&lt;=Imóveis!$T$3),Imóveis!$S$3-(DATEDIF(Imóveis!$Q$3,Dados!$A329,"m")),0))=0,0,((Imóveis!$N$3/Imóveis!$S$3)+((Imóveis!$N$3-((Imóveis!$S$3-(IF(AND(Dados!$A329&gt;=Imóveis!$Q$3,Dados!$A329&lt;=Imóveis!$T$3),Imóveis!$S$3-(DATEDIF(Imóveis!$Q$3,Dados!$A329,"m")),)))*(Imóveis!$N$3/Imóveis!$S$3)))*Imóveis!$P$3))))*IF(AND(Imóveis!$E$3&gt;0,Dados!$A329&gt;Imóveis!$E$3),0,1)</f>
        <v>0</v>
      </c>
      <c r="K329" s="18">
        <f>IF(Imóveis!$F$4="PRICE",IF(AND(Dados!$A329&gt;=Imóveis!$Q$4,Dados!$A329&lt;=Imóveis!$T$4),Imóveis!$U$4,0),IF((IF(AND(Dados!$A329&gt;=Imóveis!$Q$4,Dados!$A329&lt;=Imóveis!$T$4),Imóveis!$S$4-(DATEDIF(Imóveis!$Q$4,Dados!$A329,"m")),0))=0,0,((Imóveis!$N$4/Imóveis!$S$4)+((Imóveis!$N$4-((Imóveis!$S$4-(IF(AND(Dados!$A329&gt;=Imóveis!$Q$4,Dados!$A329&lt;=Imóveis!$T$4),Imóveis!$S$4-(DATEDIF(Imóveis!$Q$4,Dados!$A329,"m")),)))*(Imóveis!$N$4/Imóveis!$S$4)))*Imóveis!$P$4))))*IF(AND(Imóveis!$E$4&gt;0,Dados!$A329&gt;Imóveis!$E$4),0,1)</f>
        <v>0</v>
      </c>
      <c r="L329" s="18">
        <f>IF(Imóveis!$F$5="PRICE",IF(AND(Dados!$A329&gt;=Imóveis!$Q$5,Dados!$A329&lt;=Imóveis!$T$5),Imóveis!$U$5,0),IF((IF(AND(Dados!$A329&gt;=Imóveis!$Q$5,Dados!$A329&lt;=Imóveis!$T$5),Imóveis!$S$5-(DATEDIF(Imóveis!$Q$5,Dados!$A329,"m")),0))=0,0,((Imóveis!$N$5/Imóveis!$S$5)+((Imóveis!$N$5-((Imóveis!$S$5-(IF(AND(Dados!$A329 &gt;=Imóveis!$Q$5,Dados!$A329&lt;=Imóveis!$T$5),Imóveis!$S$5-(DATEDIF(Imóveis!$Q$5,Dados!$A329,"m")),)))*(Imóveis!$N$5/Imóveis!$S$5)))*Imóveis!$P$5))))*IF(AND(Imóveis!$E$5&gt;0,Dados!$A329&gt;Imóveis!$E$5),0,1)*Imóveis!$I$5</f>
        <v>0</v>
      </c>
      <c r="M329" s="18">
        <f>IF(Imóveis!$F$6="PRICE",IF(AND(Dados!$A329&gt;=Imóveis!$Q$6,Dados!$A329&lt;=Imóveis!$T$6),Imóveis!$U$6,0),IF((IF(AND(Dados!$A329&gt;=Imóveis!$Q$6,Dados!$A329&lt;=Imóveis!$T$6),Imóveis!$S$6-(DATEDIF(Imóveis!$Q$6,Dados!$A329,"m")),0))=0,0,((Imóveis!$N$6/Imóveis!$S$6)+((Imóveis!$N$6-((Imóveis!$S$6-(IF(AND(Dados!$A329&gt;=Imóveis!$Q$6,Dados!$A329&lt;=Imóveis!$T$6),Imóveis!$S$6-(DATEDIF(Imóveis!$Q$6,Dados!$A329,"m")),)))*(Imóveis!$N$6/Imóveis!$S$6)))*Imóveis!$P$6))))*IF(AND(Imóveis!$E$6&gt;0,Dados!$A329&gt;Imóveis!$E$6),0,1)*Imóveis!$I$6</f>
        <v>0</v>
      </c>
      <c r="N329" s="18">
        <f t="shared" si="45"/>
        <v>37000</v>
      </c>
      <c r="O329" s="18">
        <f>SUMIFS(Receitas!$F:$F,Receitas!$J:$J,"&lt;="&amp;$A329,Receitas!$L:$L,"&gt;="&amp;$A329,Receitas!$C:$C,O$1,Receitas!$M:$M,"Mensal")+SUMIFS(Receitas!$F:$F,Receitas!$J:$J,"&lt;="&amp;$A329,Receitas!$L:$L,"&gt;="&amp;$A329,Receitas!$C:$C,O$1,Receitas!$M:$M,$B329)</f>
        <v>50000</v>
      </c>
      <c r="P329" s="18">
        <f>SUMIFS(Receitas!$F:$F,Receitas!$J:$J,"&lt;="&amp;$A329,Receitas!$L:$L,"&gt;="&amp;$A329,Receitas!$C:$C,P$1,Receitas!$M:$M,"Mensal")+SUMIFS(Receitas!$F:$F,Receitas!$J:$J,"&lt;="&amp;$A329,Receitas!$L:$L,"&gt;="&amp;$A329,Receitas!$C:$C,P$1,Receitas!$M:$M,$B329)</f>
        <v>85000</v>
      </c>
      <c r="Q329" s="18">
        <f>SUMIFS(Receitas!$F:$F,Receitas!$J:$J,"&lt;="&amp;$A329,Receitas!$L:$L,"&gt;="&amp;$A329,Receitas!$C:$C,Q$1,Receitas!$M:$M,"Mensal")+SUMIFS(Receitas!$F:$F,Receitas!$J:$J,"&lt;="&amp;$A329,Receitas!$L:$L,"&gt;="&amp;$A329,Receitas!$C:$C,Q$1,Receitas!$M:$M,$B329)</f>
        <v>0</v>
      </c>
      <c r="R329" s="18" cm="1">
        <f t="array" ref="R329">(IF(AND(Membros!$F$2="Sim",A329&lt;=MAX(Membros!$E$2:$E$5)),Membros!K$2,IF(AND(A329&gt;=Membros!J$2,A329&lt;=MAX(Membros!$E$2:$E$5)),Membros!K$2,0))+IF(AND(Membros!$F$3="Sim",A329&lt;=MAX(Membros!$E$2:$E$5)),Membros!K$3,IF(AND(A329&gt;=Membros!J$3,A329&lt;=MAX(Membros!$E$2:$E$5)),Membros!K$3,0)))*IF(AND(COUNTIFS(Tabela3[Tipo],"Provedor",Tabela3[Simulação Seguro],"Sim")=2,A329&gt;=MAX(IF(Tabela3[Tipo]="Dependente",Tabela3[Expectativa de Vida (Data)]))),0,1)</f>
        <v>0</v>
      </c>
      <c r="S329" s="18">
        <f t="shared" si="46"/>
        <v>135000</v>
      </c>
      <c r="U329" s="18">
        <f t="shared" ca="1" si="49"/>
        <v>20746378.874470886</v>
      </c>
      <c r="V329" s="18">
        <f>SUMIF(Imóveis!E:E,Dados!A:A,Imóveis!Z:Z)-SUMIF(Imóveis!E:E,Dados!A:A,Imóveis!Y:Y)</f>
        <v>0</v>
      </c>
      <c r="W329" s="18">
        <f>-SUMIF(Projetos!N:N,A329,Projetos!F:F)</f>
        <v>0</v>
      </c>
      <c r="X329" s="18">
        <f t="shared" si="43"/>
        <v>98000</v>
      </c>
      <c r="Y329" s="26">
        <f ca="1">(U329*((Indicadores_Economicos!D$2+1)^(1/12)-1))</f>
        <v>67918.245857926478</v>
      </c>
      <c r="Z329" s="18">
        <f t="shared" ca="1" si="47"/>
        <v>20912297.120328814</v>
      </c>
      <c r="AA329" s="18">
        <f ca="1">Auxiliar_Projetos!E329</f>
        <v>1.1385552689073025E-9</v>
      </c>
      <c r="AB329" s="18">
        <f ca="1">Auxiliar_Projetos!K329</f>
        <v>8.7581174531330915E-10</v>
      </c>
      <c r="AC329" s="18">
        <f ca="1">IF(Z329-AA329-AB329&gt;Investimentos!$C$14,Investimentos!$C$14,IF(Z329-AA329-AB329&lt;Investimentos!$C$14,Z329-AA329-AB329,0))</f>
        <v>300000</v>
      </c>
      <c r="AD329" s="18">
        <f t="shared" ca="1" si="48"/>
        <v>20612297.120328814</v>
      </c>
      <c r="AE329" s="18"/>
    </row>
    <row r="330" spans="1:31" x14ac:dyDescent="0.2">
      <c r="A330" s="4">
        <v>55640</v>
      </c>
      <c r="B330" s="5" t="str">
        <f t="shared" si="44"/>
        <v>maio</v>
      </c>
      <c r="C330" s="5" t="str">
        <f t="shared" si="42"/>
        <v>2052</v>
      </c>
      <c r="D330" s="5">
        <f>SUMIFS(Despesas!$F:$F,Despesas!$J:$J,"&lt;="&amp;$A330,Despesas!$L:$L,"&gt;="&amp;$A330,Despesas!$C:$C,D$1,Despesas!$M:$M,"Mensal")+SUMIFS(Despesas!$F:$F,Despesas!$J:$J,"&lt;="&amp;$A330,Despesas!$L:$L,"&gt;="&amp;$A330,Despesas!$C:$C,D$1,Despesas!$M:$M,$B330)</f>
        <v>23000</v>
      </c>
      <c r="E330" s="18">
        <f>SUMIFS(Despesas!$F:$F,Despesas!$J:$J,"&lt;="&amp;$A330,Despesas!$L:$L,"&gt;="&amp;$A330,Despesas!$C:$C,E$1,Despesas!$M:$M,"Mensal")+SUMIFS(Despesas!$F:$F,Despesas!$J:$J,"&lt;="&amp;$A330,Despesas!$L:$L,"&gt;="&amp;$A330,Despesas!$C:$C,E$1,Despesas!$M:$M,$B330)</f>
        <v>0</v>
      </c>
      <c r="F330" s="5">
        <f>SUMIFS(Despesas!$F:$F,Despesas!$J:$J,"&lt;="&amp;$A330,Despesas!$L:$L,"&gt;="&amp;$A330,Despesas!$C:$C,F$1,Despesas!$M:$M,"Mensal")+SUMIFS(Despesas!$F:$F,Despesas!$J:$J,"&lt;="&amp;$A330,Despesas!$L:$L,"&gt;="&amp;$A330,Despesas!$C:$C,F$1,Despesas!$M:$M,$B330)</f>
        <v>13000</v>
      </c>
      <c r="G330" s="5">
        <f>SUMIFS(Despesas!$F:$F,Despesas!$J:$J,"&lt;="&amp;$A330,Despesas!$L:$L,"&gt;="&amp;$A330,Despesas!$C:$C,G$1,Despesas!$M:$M,"Mensal")+SUMIFS(Despesas!$F:$F,Despesas!$J:$J,"&lt;="&amp;$A330,Despesas!$L:$L,"&gt;="&amp;$A330,Despesas!$C:$C,G$1,Despesas!$M:$M,$B330)</f>
        <v>0</v>
      </c>
      <c r="H330" s="18">
        <f>SUMIFS(Despesas!$F:$F,Despesas!$J:$J,"&lt;="&amp;$A330,Despesas!$L:$L,"&gt;="&amp;$A330,Despesas!$C:$C,H$1,Despesas!$M:$M,"Mensal")+SUMIFS(Despesas!$F:$F,Despesas!$J:$J,"&lt;="&amp;$A330,Despesas!$L:$L,"&gt;="&amp;$A330,Despesas!$C:$C,H$1,Despesas!$M:$M,$B330)</f>
        <v>1000</v>
      </c>
      <c r="I330" s="18">
        <f>IF(Imóveis!$F$2="PRICE",IF(AND(Dados!$A330&gt;=Imóveis!$Q$2,Dados!$A330&lt;=Imóveis!$T$2),Imóveis!$U$2,0),IF((IF(AND(Dados!$A330&gt;=Imóveis!$Q$2,Dados!$A330&lt;=Imóveis!$T$2),Imóveis!$S$2-(DATEDIF(Imóveis!$Q$2,Dados!$A330,"m")),0))=0,0,((Imóveis!$N$2/Imóveis!$S$2)+((Imóveis!$N$2-((Imóveis!$S$2-(IF(AND(Dados!$A330&gt;=Imóveis!$Q$2,Dados!$A330&lt;=Imóveis!$T$2),Imóveis!$S$2-(DATEDIF(Imóveis!$Q$2,Dados!$A330,"m")),)))*(Imóveis!$N$2/Imóveis!$S$2)))*Imóveis!$P$2))))*IF(AND(Imóveis!$E$2&gt;0,Dados!$A330&gt;Imóveis!$E$2),0,1)</f>
        <v>0</v>
      </c>
      <c r="J330" s="18">
        <f>IF(Imóveis!$F$3="PRICE",IF(AND(Dados!$A330&gt;=Imóveis!$Q$3,Dados!$A330&lt;=Imóveis!$T$3),Imóveis!$U$3,0),IF((IF(AND(Dados!$A330&gt;=Imóveis!$Q$3,Dados!$A330&lt;=Imóveis!$T$3),Imóveis!$S$3-(DATEDIF(Imóveis!$Q$3,Dados!$A330,"m")),0))=0,0,((Imóveis!$N$3/Imóveis!$S$3)+((Imóveis!$N$3-((Imóveis!$S$3-(IF(AND(Dados!$A330&gt;=Imóveis!$Q$3,Dados!$A330&lt;=Imóveis!$T$3),Imóveis!$S$3-(DATEDIF(Imóveis!$Q$3,Dados!$A330,"m")),)))*(Imóveis!$N$3/Imóveis!$S$3)))*Imóveis!$P$3))))*IF(AND(Imóveis!$E$3&gt;0,Dados!$A330&gt;Imóveis!$E$3),0,1)</f>
        <v>0</v>
      </c>
      <c r="K330" s="18">
        <f>IF(Imóveis!$F$4="PRICE",IF(AND(Dados!$A330&gt;=Imóveis!$Q$4,Dados!$A330&lt;=Imóveis!$T$4),Imóveis!$U$4,0),IF((IF(AND(Dados!$A330&gt;=Imóveis!$Q$4,Dados!$A330&lt;=Imóveis!$T$4),Imóveis!$S$4-(DATEDIF(Imóveis!$Q$4,Dados!$A330,"m")),0))=0,0,((Imóveis!$N$4/Imóveis!$S$4)+((Imóveis!$N$4-((Imóveis!$S$4-(IF(AND(Dados!$A330&gt;=Imóveis!$Q$4,Dados!$A330&lt;=Imóveis!$T$4),Imóveis!$S$4-(DATEDIF(Imóveis!$Q$4,Dados!$A330,"m")),)))*(Imóveis!$N$4/Imóveis!$S$4)))*Imóveis!$P$4))))*IF(AND(Imóveis!$E$4&gt;0,Dados!$A330&gt;Imóveis!$E$4),0,1)</f>
        <v>0</v>
      </c>
      <c r="L330" s="18">
        <f>IF(Imóveis!$F$5="PRICE",IF(AND(Dados!$A330&gt;=Imóveis!$Q$5,Dados!$A330&lt;=Imóveis!$T$5),Imóveis!$U$5,0),IF((IF(AND(Dados!$A330&gt;=Imóveis!$Q$5,Dados!$A330&lt;=Imóveis!$T$5),Imóveis!$S$5-(DATEDIF(Imóveis!$Q$5,Dados!$A330,"m")),0))=0,0,((Imóveis!$N$5/Imóveis!$S$5)+((Imóveis!$N$5-((Imóveis!$S$5-(IF(AND(Dados!$A330 &gt;=Imóveis!$Q$5,Dados!$A330&lt;=Imóveis!$T$5),Imóveis!$S$5-(DATEDIF(Imóveis!$Q$5,Dados!$A330,"m")),)))*(Imóveis!$N$5/Imóveis!$S$5)))*Imóveis!$P$5))))*IF(AND(Imóveis!$E$5&gt;0,Dados!$A330&gt;Imóveis!$E$5),0,1)*Imóveis!$I$5</f>
        <v>0</v>
      </c>
      <c r="M330" s="18">
        <f>IF(Imóveis!$F$6="PRICE",IF(AND(Dados!$A330&gt;=Imóveis!$Q$6,Dados!$A330&lt;=Imóveis!$T$6),Imóveis!$U$6,0),IF((IF(AND(Dados!$A330&gt;=Imóveis!$Q$6,Dados!$A330&lt;=Imóveis!$T$6),Imóveis!$S$6-(DATEDIF(Imóveis!$Q$6,Dados!$A330,"m")),0))=0,0,((Imóveis!$N$6/Imóveis!$S$6)+((Imóveis!$N$6-((Imóveis!$S$6-(IF(AND(Dados!$A330&gt;=Imóveis!$Q$6,Dados!$A330&lt;=Imóveis!$T$6),Imóveis!$S$6-(DATEDIF(Imóveis!$Q$6,Dados!$A330,"m")),)))*(Imóveis!$N$6/Imóveis!$S$6)))*Imóveis!$P$6))))*IF(AND(Imóveis!$E$6&gt;0,Dados!$A330&gt;Imóveis!$E$6),0,1)*Imóveis!$I$6</f>
        <v>0</v>
      </c>
      <c r="N330" s="18">
        <f t="shared" si="45"/>
        <v>37000</v>
      </c>
      <c r="O330" s="18">
        <f>SUMIFS(Receitas!$F:$F,Receitas!$J:$J,"&lt;="&amp;$A330,Receitas!$L:$L,"&gt;="&amp;$A330,Receitas!$C:$C,O$1,Receitas!$M:$M,"Mensal")+SUMIFS(Receitas!$F:$F,Receitas!$J:$J,"&lt;="&amp;$A330,Receitas!$L:$L,"&gt;="&amp;$A330,Receitas!$C:$C,O$1,Receitas!$M:$M,$B330)</f>
        <v>50000</v>
      </c>
      <c r="P330" s="18">
        <f>SUMIFS(Receitas!$F:$F,Receitas!$J:$J,"&lt;="&amp;$A330,Receitas!$L:$L,"&gt;="&amp;$A330,Receitas!$C:$C,P$1,Receitas!$M:$M,"Mensal")+SUMIFS(Receitas!$F:$F,Receitas!$J:$J,"&lt;="&amp;$A330,Receitas!$L:$L,"&gt;="&amp;$A330,Receitas!$C:$C,P$1,Receitas!$M:$M,$B330)</f>
        <v>20000</v>
      </c>
      <c r="Q330" s="18">
        <f>SUMIFS(Receitas!$F:$F,Receitas!$J:$J,"&lt;="&amp;$A330,Receitas!$L:$L,"&gt;="&amp;$A330,Receitas!$C:$C,Q$1,Receitas!$M:$M,"Mensal")+SUMIFS(Receitas!$F:$F,Receitas!$J:$J,"&lt;="&amp;$A330,Receitas!$L:$L,"&gt;="&amp;$A330,Receitas!$C:$C,Q$1,Receitas!$M:$M,$B330)</f>
        <v>0</v>
      </c>
      <c r="R330" s="18" cm="1">
        <f t="array" ref="R330">(IF(AND(Membros!$F$2="Sim",A330&lt;=MAX(Membros!$E$2:$E$5)),Membros!K$2,IF(AND(A330&gt;=Membros!J$2,A330&lt;=MAX(Membros!$E$2:$E$5)),Membros!K$2,0))+IF(AND(Membros!$F$3="Sim",A330&lt;=MAX(Membros!$E$2:$E$5)),Membros!K$3,IF(AND(A330&gt;=Membros!J$3,A330&lt;=MAX(Membros!$E$2:$E$5)),Membros!K$3,0)))*IF(AND(COUNTIFS(Tabela3[Tipo],"Provedor",Tabela3[Simulação Seguro],"Sim")=2,A330&gt;=MAX(IF(Tabela3[Tipo]="Dependente",Tabela3[Expectativa de Vida (Data)]))),0,1)</f>
        <v>0</v>
      </c>
      <c r="S330" s="18">
        <f t="shared" si="46"/>
        <v>70000</v>
      </c>
      <c r="U330" s="18">
        <f t="shared" ca="1" si="49"/>
        <v>20912297.120328814</v>
      </c>
      <c r="V330" s="18">
        <f>SUMIF(Imóveis!E:E,Dados!A:A,Imóveis!Z:Z)-SUMIF(Imóveis!E:E,Dados!A:A,Imóveis!Y:Y)</f>
        <v>0</v>
      </c>
      <c r="W330" s="18">
        <f>-SUMIF(Projetos!N:N,A330,Projetos!F:F)</f>
        <v>0</v>
      </c>
      <c r="X330" s="18">
        <f t="shared" si="43"/>
        <v>33000</v>
      </c>
      <c r="Y330" s="26">
        <f ca="1">(U330*((Indicadores_Economicos!D$2+1)^(1/12)-1))</f>
        <v>68461.419019984241</v>
      </c>
      <c r="Z330" s="18">
        <f t="shared" ca="1" si="47"/>
        <v>21013758.5393488</v>
      </c>
      <c r="AA330" s="18">
        <f ca="1">Auxiliar_Projetos!E330</f>
        <v>1.1422826025853566E-9</v>
      </c>
      <c r="AB330" s="18">
        <f ca="1">Auxiliar_Projetos!K330</f>
        <v>8.7867892506565837E-10</v>
      </c>
      <c r="AC330" s="18">
        <f ca="1">IF(Z330-AA330-AB330&gt;Investimentos!$C$14,Investimentos!$C$14,IF(Z330-AA330-AB330&lt;Investimentos!$C$14,Z330-AA330-AB330,0))</f>
        <v>300000</v>
      </c>
      <c r="AD330" s="18">
        <f t="shared" ca="1" si="48"/>
        <v>20713758.5393488</v>
      </c>
      <c r="AE330" s="18"/>
    </row>
    <row r="331" spans="1:31" x14ac:dyDescent="0.2">
      <c r="A331" s="4">
        <v>55671</v>
      </c>
      <c r="B331" s="5" t="str">
        <f t="shared" si="44"/>
        <v>junho</v>
      </c>
      <c r="C331" s="5" t="str">
        <f t="shared" si="42"/>
        <v>2052</v>
      </c>
      <c r="D331" s="5">
        <f>SUMIFS(Despesas!$F:$F,Despesas!$J:$J,"&lt;="&amp;$A331,Despesas!$L:$L,"&gt;="&amp;$A331,Despesas!$C:$C,D$1,Despesas!$M:$M,"Mensal")+SUMIFS(Despesas!$F:$F,Despesas!$J:$J,"&lt;="&amp;$A331,Despesas!$L:$L,"&gt;="&amp;$A331,Despesas!$C:$C,D$1,Despesas!$M:$M,$B331)</f>
        <v>23000</v>
      </c>
      <c r="E331" s="18">
        <f>SUMIFS(Despesas!$F:$F,Despesas!$J:$J,"&lt;="&amp;$A331,Despesas!$L:$L,"&gt;="&amp;$A331,Despesas!$C:$C,E$1,Despesas!$M:$M,"Mensal")+SUMIFS(Despesas!$F:$F,Despesas!$J:$J,"&lt;="&amp;$A331,Despesas!$L:$L,"&gt;="&amp;$A331,Despesas!$C:$C,E$1,Despesas!$M:$M,$B331)</f>
        <v>0</v>
      </c>
      <c r="F331" s="5">
        <f>SUMIFS(Despesas!$F:$F,Despesas!$J:$J,"&lt;="&amp;$A331,Despesas!$L:$L,"&gt;="&amp;$A331,Despesas!$C:$C,F$1,Despesas!$M:$M,"Mensal")+SUMIFS(Despesas!$F:$F,Despesas!$J:$J,"&lt;="&amp;$A331,Despesas!$L:$L,"&gt;="&amp;$A331,Despesas!$C:$C,F$1,Despesas!$M:$M,$B331)</f>
        <v>13000</v>
      </c>
      <c r="G331" s="5">
        <f>SUMIFS(Despesas!$F:$F,Despesas!$J:$J,"&lt;="&amp;$A331,Despesas!$L:$L,"&gt;="&amp;$A331,Despesas!$C:$C,G$1,Despesas!$M:$M,"Mensal")+SUMIFS(Despesas!$F:$F,Despesas!$J:$J,"&lt;="&amp;$A331,Despesas!$L:$L,"&gt;="&amp;$A331,Despesas!$C:$C,G$1,Despesas!$M:$M,$B331)</f>
        <v>0</v>
      </c>
      <c r="H331" s="18">
        <f>SUMIFS(Despesas!$F:$F,Despesas!$J:$J,"&lt;="&amp;$A331,Despesas!$L:$L,"&gt;="&amp;$A331,Despesas!$C:$C,H$1,Despesas!$M:$M,"Mensal")+SUMIFS(Despesas!$F:$F,Despesas!$J:$J,"&lt;="&amp;$A331,Despesas!$L:$L,"&gt;="&amp;$A331,Despesas!$C:$C,H$1,Despesas!$M:$M,$B331)</f>
        <v>1000</v>
      </c>
      <c r="I331" s="18">
        <f>IF(Imóveis!$F$2="PRICE",IF(AND(Dados!$A331&gt;=Imóveis!$Q$2,Dados!$A331&lt;=Imóveis!$T$2),Imóveis!$U$2,0),IF((IF(AND(Dados!$A331&gt;=Imóveis!$Q$2,Dados!$A331&lt;=Imóveis!$T$2),Imóveis!$S$2-(DATEDIF(Imóveis!$Q$2,Dados!$A331,"m")),0))=0,0,((Imóveis!$N$2/Imóveis!$S$2)+((Imóveis!$N$2-((Imóveis!$S$2-(IF(AND(Dados!$A331&gt;=Imóveis!$Q$2,Dados!$A331&lt;=Imóveis!$T$2),Imóveis!$S$2-(DATEDIF(Imóveis!$Q$2,Dados!$A331,"m")),)))*(Imóveis!$N$2/Imóveis!$S$2)))*Imóveis!$P$2))))*IF(AND(Imóveis!$E$2&gt;0,Dados!$A331&gt;Imóveis!$E$2),0,1)</f>
        <v>0</v>
      </c>
      <c r="J331" s="18">
        <f>IF(Imóveis!$F$3="PRICE",IF(AND(Dados!$A331&gt;=Imóveis!$Q$3,Dados!$A331&lt;=Imóveis!$T$3),Imóveis!$U$3,0),IF((IF(AND(Dados!$A331&gt;=Imóveis!$Q$3,Dados!$A331&lt;=Imóveis!$T$3),Imóveis!$S$3-(DATEDIF(Imóveis!$Q$3,Dados!$A331,"m")),0))=0,0,((Imóveis!$N$3/Imóveis!$S$3)+((Imóveis!$N$3-((Imóveis!$S$3-(IF(AND(Dados!$A331&gt;=Imóveis!$Q$3,Dados!$A331&lt;=Imóveis!$T$3),Imóveis!$S$3-(DATEDIF(Imóveis!$Q$3,Dados!$A331,"m")),)))*(Imóveis!$N$3/Imóveis!$S$3)))*Imóveis!$P$3))))*IF(AND(Imóveis!$E$3&gt;0,Dados!$A331&gt;Imóveis!$E$3),0,1)</f>
        <v>0</v>
      </c>
      <c r="K331" s="18">
        <f>IF(Imóveis!$F$4="PRICE",IF(AND(Dados!$A331&gt;=Imóveis!$Q$4,Dados!$A331&lt;=Imóveis!$T$4),Imóveis!$U$4,0),IF((IF(AND(Dados!$A331&gt;=Imóveis!$Q$4,Dados!$A331&lt;=Imóveis!$T$4),Imóveis!$S$4-(DATEDIF(Imóveis!$Q$4,Dados!$A331,"m")),0))=0,0,((Imóveis!$N$4/Imóveis!$S$4)+((Imóveis!$N$4-((Imóveis!$S$4-(IF(AND(Dados!$A331&gt;=Imóveis!$Q$4,Dados!$A331&lt;=Imóveis!$T$4),Imóveis!$S$4-(DATEDIF(Imóveis!$Q$4,Dados!$A331,"m")),)))*(Imóveis!$N$4/Imóveis!$S$4)))*Imóveis!$P$4))))*IF(AND(Imóveis!$E$4&gt;0,Dados!$A331&gt;Imóveis!$E$4),0,1)</f>
        <v>0</v>
      </c>
      <c r="L331" s="18">
        <f>IF(Imóveis!$F$5="PRICE",IF(AND(Dados!$A331&gt;=Imóveis!$Q$5,Dados!$A331&lt;=Imóveis!$T$5),Imóveis!$U$5,0),IF((IF(AND(Dados!$A331&gt;=Imóveis!$Q$5,Dados!$A331&lt;=Imóveis!$T$5),Imóveis!$S$5-(DATEDIF(Imóveis!$Q$5,Dados!$A331,"m")),0))=0,0,((Imóveis!$N$5/Imóveis!$S$5)+((Imóveis!$N$5-((Imóveis!$S$5-(IF(AND(Dados!$A331 &gt;=Imóveis!$Q$5,Dados!$A331&lt;=Imóveis!$T$5),Imóveis!$S$5-(DATEDIF(Imóveis!$Q$5,Dados!$A331,"m")),)))*(Imóveis!$N$5/Imóveis!$S$5)))*Imóveis!$P$5))))*IF(AND(Imóveis!$E$5&gt;0,Dados!$A331&gt;Imóveis!$E$5),0,1)*Imóveis!$I$5</f>
        <v>0</v>
      </c>
      <c r="M331" s="18">
        <f>IF(Imóveis!$F$6="PRICE",IF(AND(Dados!$A331&gt;=Imóveis!$Q$6,Dados!$A331&lt;=Imóveis!$T$6),Imóveis!$U$6,0),IF((IF(AND(Dados!$A331&gt;=Imóveis!$Q$6,Dados!$A331&lt;=Imóveis!$T$6),Imóveis!$S$6-(DATEDIF(Imóveis!$Q$6,Dados!$A331,"m")),0))=0,0,((Imóveis!$N$6/Imóveis!$S$6)+((Imóveis!$N$6-((Imóveis!$S$6-(IF(AND(Dados!$A331&gt;=Imóveis!$Q$6,Dados!$A331&lt;=Imóveis!$T$6),Imóveis!$S$6-(DATEDIF(Imóveis!$Q$6,Dados!$A331,"m")),)))*(Imóveis!$N$6/Imóveis!$S$6)))*Imóveis!$P$6))))*IF(AND(Imóveis!$E$6&gt;0,Dados!$A331&gt;Imóveis!$E$6),0,1)*Imóveis!$I$6</f>
        <v>0</v>
      </c>
      <c r="N331" s="18">
        <f t="shared" si="45"/>
        <v>37000</v>
      </c>
      <c r="O331" s="18">
        <f>SUMIFS(Receitas!$F:$F,Receitas!$J:$J,"&lt;="&amp;$A331,Receitas!$L:$L,"&gt;="&amp;$A331,Receitas!$C:$C,O$1,Receitas!$M:$M,"Mensal")+SUMIFS(Receitas!$F:$F,Receitas!$J:$J,"&lt;="&amp;$A331,Receitas!$L:$L,"&gt;="&amp;$A331,Receitas!$C:$C,O$1,Receitas!$M:$M,$B331)</f>
        <v>50000</v>
      </c>
      <c r="P331" s="18">
        <f>SUMIFS(Receitas!$F:$F,Receitas!$J:$J,"&lt;="&amp;$A331,Receitas!$L:$L,"&gt;="&amp;$A331,Receitas!$C:$C,P$1,Receitas!$M:$M,"Mensal")+SUMIFS(Receitas!$F:$F,Receitas!$J:$J,"&lt;="&amp;$A331,Receitas!$L:$L,"&gt;="&amp;$A331,Receitas!$C:$C,P$1,Receitas!$M:$M,$B331)</f>
        <v>20000</v>
      </c>
      <c r="Q331" s="18">
        <f>SUMIFS(Receitas!$F:$F,Receitas!$J:$J,"&lt;="&amp;$A331,Receitas!$L:$L,"&gt;="&amp;$A331,Receitas!$C:$C,Q$1,Receitas!$M:$M,"Mensal")+SUMIFS(Receitas!$F:$F,Receitas!$J:$J,"&lt;="&amp;$A331,Receitas!$L:$L,"&gt;="&amp;$A331,Receitas!$C:$C,Q$1,Receitas!$M:$M,$B331)</f>
        <v>0</v>
      </c>
      <c r="R331" s="18" cm="1">
        <f t="array" ref="R331">(IF(AND(Membros!$F$2="Sim",A331&lt;=MAX(Membros!$E$2:$E$5)),Membros!K$2,IF(AND(A331&gt;=Membros!J$2,A331&lt;=MAX(Membros!$E$2:$E$5)),Membros!K$2,0))+IF(AND(Membros!$F$3="Sim",A331&lt;=MAX(Membros!$E$2:$E$5)),Membros!K$3,IF(AND(A331&gt;=Membros!J$3,A331&lt;=MAX(Membros!$E$2:$E$5)),Membros!K$3,0)))*IF(AND(COUNTIFS(Tabela3[Tipo],"Provedor",Tabela3[Simulação Seguro],"Sim")=2,A331&gt;=MAX(IF(Tabela3[Tipo]="Dependente",Tabela3[Expectativa de Vida (Data)]))),0,1)</f>
        <v>0</v>
      </c>
      <c r="S331" s="18">
        <f t="shared" si="46"/>
        <v>70000</v>
      </c>
      <c r="U331" s="18">
        <f t="shared" ca="1" si="49"/>
        <v>21013758.5393488</v>
      </c>
      <c r="V331" s="18">
        <f>SUMIF(Imóveis!E:E,Dados!A:A,Imóveis!Z:Z)-SUMIF(Imóveis!E:E,Dados!A:A,Imóveis!Y:Y)</f>
        <v>0</v>
      </c>
      <c r="W331" s="18">
        <f>-SUMIF(Projetos!N:N,A331,Projetos!F:F)</f>
        <v>0</v>
      </c>
      <c r="X331" s="18">
        <f t="shared" si="43"/>
        <v>33000</v>
      </c>
      <c r="Y331" s="26">
        <f ca="1">(U331*((Indicadores_Economicos!D$2+1)^(1/12)-1))</f>
        <v>68793.577303788319</v>
      </c>
      <c r="Z331" s="18">
        <f t="shared" ca="1" si="47"/>
        <v>21115552.116652589</v>
      </c>
      <c r="AA331" s="18">
        <f ca="1">Auxiliar_Projetos!E331</f>
        <v>1.146022138583954E-9</v>
      </c>
      <c r="AB331" s="18">
        <f ca="1">Auxiliar_Projetos!K331</f>
        <v>8.8155549121842564E-10</v>
      </c>
      <c r="AC331" s="18">
        <f ca="1">IF(Z331-AA331-AB331&gt;Investimentos!$C$14,Investimentos!$C$14,IF(Z331-AA331-AB331&lt;Investimentos!$C$14,Z331-AA331-AB331,0))</f>
        <v>300000</v>
      </c>
      <c r="AD331" s="18">
        <f t="shared" ca="1" si="48"/>
        <v>20815552.116652589</v>
      </c>
      <c r="AE331" s="18"/>
    </row>
    <row r="332" spans="1:31" x14ac:dyDescent="0.2">
      <c r="A332" s="4">
        <v>55701</v>
      </c>
      <c r="B332" s="5" t="str">
        <f t="shared" si="44"/>
        <v>julho</v>
      </c>
      <c r="C332" s="5" t="str">
        <f t="shared" si="42"/>
        <v>2052</v>
      </c>
      <c r="D332" s="5">
        <f>SUMIFS(Despesas!$F:$F,Despesas!$J:$J,"&lt;="&amp;$A332,Despesas!$L:$L,"&gt;="&amp;$A332,Despesas!$C:$C,D$1,Despesas!$M:$M,"Mensal")+SUMIFS(Despesas!$F:$F,Despesas!$J:$J,"&lt;="&amp;$A332,Despesas!$L:$L,"&gt;="&amp;$A332,Despesas!$C:$C,D$1,Despesas!$M:$M,$B332)</f>
        <v>23000</v>
      </c>
      <c r="E332" s="18">
        <f>SUMIFS(Despesas!$F:$F,Despesas!$J:$J,"&lt;="&amp;$A332,Despesas!$L:$L,"&gt;="&amp;$A332,Despesas!$C:$C,E$1,Despesas!$M:$M,"Mensal")+SUMIFS(Despesas!$F:$F,Despesas!$J:$J,"&lt;="&amp;$A332,Despesas!$L:$L,"&gt;="&amp;$A332,Despesas!$C:$C,E$1,Despesas!$M:$M,$B332)</f>
        <v>0</v>
      </c>
      <c r="F332" s="5">
        <f>SUMIFS(Despesas!$F:$F,Despesas!$J:$J,"&lt;="&amp;$A332,Despesas!$L:$L,"&gt;="&amp;$A332,Despesas!$C:$C,F$1,Despesas!$M:$M,"Mensal")+SUMIFS(Despesas!$F:$F,Despesas!$J:$J,"&lt;="&amp;$A332,Despesas!$L:$L,"&gt;="&amp;$A332,Despesas!$C:$C,F$1,Despesas!$M:$M,$B332)</f>
        <v>13000</v>
      </c>
      <c r="G332" s="5">
        <f ca="1">SUMIFS(Despesas!$F:$F,Despesas!$J:$J,"&lt;="&amp;$A332,Despesas!$L:$L,"&gt;="&amp;$A332,Despesas!$C:$C,G$1,Despesas!$M:$M,"Mensal")+SUMIFS(Despesas!$F:$F,Despesas!$J:$J,"&lt;="&amp;$A332,Despesas!$L:$L,"&gt;="&amp;$A332,Despesas!$C:$C,G$1,Despesas!$M:$M,$B332)</f>
        <v>55757</v>
      </c>
      <c r="H332" s="18">
        <f>SUMIFS(Despesas!$F:$F,Despesas!$J:$J,"&lt;="&amp;$A332,Despesas!$L:$L,"&gt;="&amp;$A332,Despesas!$C:$C,H$1,Despesas!$M:$M,"Mensal")+SUMIFS(Despesas!$F:$F,Despesas!$J:$J,"&lt;="&amp;$A332,Despesas!$L:$L,"&gt;="&amp;$A332,Despesas!$C:$C,H$1,Despesas!$M:$M,$B332)</f>
        <v>1000</v>
      </c>
      <c r="I332" s="18">
        <f>IF(Imóveis!$F$2="PRICE",IF(AND(Dados!$A332&gt;=Imóveis!$Q$2,Dados!$A332&lt;=Imóveis!$T$2),Imóveis!$U$2,0),IF((IF(AND(Dados!$A332&gt;=Imóveis!$Q$2,Dados!$A332&lt;=Imóveis!$T$2),Imóveis!$S$2-(DATEDIF(Imóveis!$Q$2,Dados!$A332,"m")),0))=0,0,((Imóveis!$N$2/Imóveis!$S$2)+((Imóveis!$N$2-((Imóveis!$S$2-(IF(AND(Dados!$A332&gt;=Imóveis!$Q$2,Dados!$A332&lt;=Imóveis!$T$2),Imóveis!$S$2-(DATEDIF(Imóveis!$Q$2,Dados!$A332,"m")),)))*(Imóveis!$N$2/Imóveis!$S$2)))*Imóveis!$P$2))))*IF(AND(Imóveis!$E$2&gt;0,Dados!$A332&gt;Imóveis!$E$2),0,1)</f>
        <v>0</v>
      </c>
      <c r="J332" s="18">
        <f>IF(Imóveis!$F$3="PRICE",IF(AND(Dados!$A332&gt;=Imóveis!$Q$3,Dados!$A332&lt;=Imóveis!$T$3),Imóveis!$U$3,0),IF((IF(AND(Dados!$A332&gt;=Imóveis!$Q$3,Dados!$A332&lt;=Imóveis!$T$3),Imóveis!$S$3-(DATEDIF(Imóveis!$Q$3,Dados!$A332,"m")),0))=0,0,((Imóveis!$N$3/Imóveis!$S$3)+((Imóveis!$N$3-((Imóveis!$S$3-(IF(AND(Dados!$A332&gt;=Imóveis!$Q$3,Dados!$A332&lt;=Imóveis!$T$3),Imóveis!$S$3-(DATEDIF(Imóveis!$Q$3,Dados!$A332,"m")),)))*(Imóveis!$N$3/Imóveis!$S$3)))*Imóveis!$P$3))))*IF(AND(Imóveis!$E$3&gt;0,Dados!$A332&gt;Imóveis!$E$3),0,1)</f>
        <v>0</v>
      </c>
      <c r="K332" s="18">
        <f>IF(Imóveis!$F$4="PRICE",IF(AND(Dados!$A332&gt;=Imóveis!$Q$4,Dados!$A332&lt;=Imóveis!$T$4),Imóveis!$U$4,0),IF((IF(AND(Dados!$A332&gt;=Imóveis!$Q$4,Dados!$A332&lt;=Imóveis!$T$4),Imóveis!$S$4-(DATEDIF(Imóveis!$Q$4,Dados!$A332,"m")),0))=0,0,((Imóveis!$N$4/Imóveis!$S$4)+((Imóveis!$N$4-((Imóveis!$S$4-(IF(AND(Dados!$A332&gt;=Imóveis!$Q$4,Dados!$A332&lt;=Imóveis!$T$4),Imóveis!$S$4-(DATEDIF(Imóveis!$Q$4,Dados!$A332,"m")),)))*(Imóveis!$N$4/Imóveis!$S$4)))*Imóveis!$P$4))))*IF(AND(Imóveis!$E$4&gt;0,Dados!$A332&gt;Imóveis!$E$4),0,1)</f>
        <v>0</v>
      </c>
      <c r="L332" s="18">
        <f>IF(Imóveis!$F$5="PRICE",IF(AND(Dados!$A332&gt;=Imóveis!$Q$5,Dados!$A332&lt;=Imóveis!$T$5),Imóveis!$U$5,0),IF((IF(AND(Dados!$A332&gt;=Imóveis!$Q$5,Dados!$A332&lt;=Imóveis!$T$5),Imóveis!$S$5-(DATEDIF(Imóveis!$Q$5,Dados!$A332,"m")),0))=0,0,((Imóveis!$N$5/Imóveis!$S$5)+((Imóveis!$N$5-((Imóveis!$S$5-(IF(AND(Dados!$A332 &gt;=Imóveis!$Q$5,Dados!$A332&lt;=Imóveis!$T$5),Imóveis!$S$5-(DATEDIF(Imóveis!$Q$5,Dados!$A332,"m")),)))*(Imóveis!$N$5/Imóveis!$S$5)))*Imóveis!$P$5))))*IF(AND(Imóveis!$E$5&gt;0,Dados!$A332&gt;Imóveis!$E$5),0,1)*Imóveis!$I$5</f>
        <v>0</v>
      </c>
      <c r="M332" s="18">
        <f>IF(Imóveis!$F$6="PRICE",IF(AND(Dados!$A332&gt;=Imóveis!$Q$6,Dados!$A332&lt;=Imóveis!$T$6),Imóveis!$U$6,0),IF((IF(AND(Dados!$A332&gt;=Imóveis!$Q$6,Dados!$A332&lt;=Imóveis!$T$6),Imóveis!$S$6-(DATEDIF(Imóveis!$Q$6,Dados!$A332,"m")),0))=0,0,((Imóveis!$N$6/Imóveis!$S$6)+((Imóveis!$N$6-((Imóveis!$S$6-(IF(AND(Dados!$A332&gt;=Imóveis!$Q$6,Dados!$A332&lt;=Imóveis!$T$6),Imóveis!$S$6-(DATEDIF(Imóveis!$Q$6,Dados!$A332,"m")),)))*(Imóveis!$N$6/Imóveis!$S$6)))*Imóveis!$P$6))))*IF(AND(Imóveis!$E$6&gt;0,Dados!$A332&gt;Imóveis!$E$6),0,1)*Imóveis!$I$6</f>
        <v>0</v>
      </c>
      <c r="N332" s="18">
        <f t="shared" ca="1" si="45"/>
        <v>92757</v>
      </c>
      <c r="O332" s="18">
        <f>SUMIFS(Receitas!$F:$F,Receitas!$J:$J,"&lt;="&amp;$A332,Receitas!$L:$L,"&gt;="&amp;$A332,Receitas!$C:$C,O$1,Receitas!$M:$M,"Mensal")+SUMIFS(Receitas!$F:$F,Receitas!$J:$J,"&lt;="&amp;$A332,Receitas!$L:$L,"&gt;="&amp;$A332,Receitas!$C:$C,O$1,Receitas!$M:$M,$B332)</f>
        <v>50000</v>
      </c>
      <c r="P332" s="18">
        <f>SUMIFS(Receitas!$F:$F,Receitas!$J:$J,"&lt;="&amp;$A332,Receitas!$L:$L,"&gt;="&amp;$A332,Receitas!$C:$C,P$1,Receitas!$M:$M,"Mensal")+SUMIFS(Receitas!$F:$F,Receitas!$J:$J,"&lt;="&amp;$A332,Receitas!$L:$L,"&gt;="&amp;$A332,Receitas!$C:$C,P$1,Receitas!$M:$M,$B332)</f>
        <v>20000</v>
      </c>
      <c r="Q332" s="18">
        <f>SUMIFS(Receitas!$F:$F,Receitas!$J:$J,"&lt;="&amp;$A332,Receitas!$L:$L,"&gt;="&amp;$A332,Receitas!$C:$C,Q$1,Receitas!$M:$M,"Mensal")+SUMIFS(Receitas!$F:$F,Receitas!$J:$J,"&lt;="&amp;$A332,Receitas!$L:$L,"&gt;="&amp;$A332,Receitas!$C:$C,Q$1,Receitas!$M:$M,$B332)</f>
        <v>0</v>
      </c>
      <c r="R332" s="18" cm="1">
        <f t="array" ref="R332">(IF(AND(Membros!$F$2="Sim",A332&lt;=MAX(Membros!$E$2:$E$5)),Membros!K$2,IF(AND(A332&gt;=Membros!J$2,A332&lt;=MAX(Membros!$E$2:$E$5)),Membros!K$2,0))+IF(AND(Membros!$F$3="Sim",A332&lt;=MAX(Membros!$E$2:$E$5)),Membros!K$3,IF(AND(A332&gt;=Membros!J$3,A332&lt;=MAX(Membros!$E$2:$E$5)),Membros!K$3,0)))*IF(AND(COUNTIFS(Tabela3[Tipo],"Provedor",Tabela3[Simulação Seguro],"Sim")=2,A332&gt;=MAX(IF(Tabela3[Tipo]="Dependente",Tabela3[Expectativa de Vida (Data)]))),0,1)</f>
        <v>0</v>
      </c>
      <c r="S332" s="18">
        <f t="shared" si="46"/>
        <v>70000</v>
      </c>
      <c r="U332" s="18">
        <f t="shared" ca="1" si="49"/>
        <v>21115552.116652589</v>
      </c>
      <c r="V332" s="18">
        <f>SUMIF(Imóveis!E:E,Dados!A:A,Imóveis!Z:Z)-SUMIF(Imóveis!E:E,Dados!A:A,Imóveis!Y:Y)</f>
        <v>0</v>
      </c>
      <c r="W332" s="18">
        <f>-SUMIF(Projetos!N:N,A332,Projetos!F:F)</f>
        <v>0</v>
      </c>
      <c r="X332" s="18">
        <f t="shared" ca="1" si="43"/>
        <v>-22757</v>
      </c>
      <c r="Y332" s="26">
        <f ca="1">(U332*((Indicadores_Economicos!D$2+1)^(1/12)-1))</f>
        <v>69126.822987380074</v>
      </c>
      <c r="Z332" s="18">
        <f t="shared" ca="1" si="47"/>
        <v>21161921.939639971</v>
      </c>
      <c r="AA332" s="18">
        <f ca="1">Auxiliar_Projetos!E332</f>
        <v>1.149773916850317E-9</v>
      </c>
      <c r="AB332" s="18">
        <f ca="1">Auxiliar_Projetos!K332</f>
        <v>8.8444147450024327E-10</v>
      </c>
      <c r="AC332" s="18">
        <f ca="1">IF(Z332-AA332-AB332&gt;Investimentos!$C$14,Investimentos!$C$14,IF(Z332-AA332-AB332&lt;Investimentos!$C$14,Z332-AA332-AB332,0))</f>
        <v>300000</v>
      </c>
      <c r="AD332" s="18">
        <f t="shared" ca="1" si="48"/>
        <v>20861921.939639971</v>
      </c>
      <c r="AE332" s="18"/>
    </row>
    <row r="333" spans="1:31" x14ac:dyDescent="0.2">
      <c r="A333" s="4">
        <v>55732</v>
      </c>
      <c r="B333" s="5" t="str">
        <f t="shared" si="44"/>
        <v>agosto</v>
      </c>
      <c r="C333" s="5" t="str">
        <f t="shared" si="42"/>
        <v>2052</v>
      </c>
      <c r="D333" s="5">
        <f>SUMIFS(Despesas!$F:$F,Despesas!$J:$J,"&lt;="&amp;$A333,Despesas!$L:$L,"&gt;="&amp;$A333,Despesas!$C:$C,D$1,Despesas!$M:$M,"Mensal")+SUMIFS(Despesas!$F:$F,Despesas!$J:$J,"&lt;="&amp;$A333,Despesas!$L:$L,"&gt;="&amp;$A333,Despesas!$C:$C,D$1,Despesas!$M:$M,$B333)</f>
        <v>23000</v>
      </c>
      <c r="E333" s="18">
        <f>SUMIFS(Despesas!$F:$F,Despesas!$J:$J,"&lt;="&amp;$A333,Despesas!$L:$L,"&gt;="&amp;$A333,Despesas!$C:$C,E$1,Despesas!$M:$M,"Mensal")+SUMIFS(Despesas!$F:$F,Despesas!$J:$J,"&lt;="&amp;$A333,Despesas!$L:$L,"&gt;="&amp;$A333,Despesas!$C:$C,E$1,Despesas!$M:$M,$B333)</f>
        <v>0</v>
      </c>
      <c r="F333" s="5">
        <f>SUMIFS(Despesas!$F:$F,Despesas!$J:$J,"&lt;="&amp;$A333,Despesas!$L:$L,"&gt;="&amp;$A333,Despesas!$C:$C,F$1,Despesas!$M:$M,"Mensal")+SUMIFS(Despesas!$F:$F,Despesas!$J:$J,"&lt;="&amp;$A333,Despesas!$L:$L,"&gt;="&amp;$A333,Despesas!$C:$C,F$1,Despesas!$M:$M,$B333)</f>
        <v>13000</v>
      </c>
      <c r="G333" s="5">
        <f>SUMIFS(Despesas!$F:$F,Despesas!$J:$J,"&lt;="&amp;$A333,Despesas!$L:$L,"&gt;="&amp;$A333,Despesas!$C:$C,G$1,Despesas!$M:$M,"Mensal")+SUMIFS(Despesas!$F:$F,Despesas!$J:$J,"&lt;="&amp;$A333,Despesas!$L:$L,"&gt;="&amp;$A333,Despesas!$C:$C,G$1,Despesas!$M:$M,$B333)</f>
        <v>0</v>
      </c>
      <c r="H333" s="18">
        <f>SUMIFS(Despesas!$F:$F,Despesas!$J:$J,"&lt;="&amp;$A333,Despesas!$L:$L,"&gt;="&amp;$A333,Despesas!$C:$C,H$1,Despesas!$M:$M,"Mensal")+SUMIFS(Despesas!$F:$F,Despesas!$J:$J,"&lt;="&amp;$A333,Despesas!$L:$L,"&gt;="&amp;$A333,Despesas!$C:$C,H$1,Despesas!$M:$M,$B333)</f>
        <v>1000</v>
      </c>
      <c r="I333" s="18">
        <f>IF(Imóveis!$F$2="PRICE",IF(AND(Dados!$A333&gt;=Imóveis!$Q$2,Dados!$A333&lt;=Imóveis!$T$2),Imóveis!$U$2,0),IF((IF(AND(Dados!$A333&gt;=Imóveis!$Q$2,Dados!$A333&lt;=Imóveis!$T$2),Imóveis!$S$2-(DATEDIF(Imóveis!$Q$2,Dados!$A333,"m")),0))=0,0,((Imóveis!$N$2/Imóveis!$S$2)+((Imóveis!$N$2-((Imóveis!$S$2-(IF(AND(Dados!$A333&gt;=Imóveis!$Q$2,Dados!$A333&lt;=Imóveis!$T$2),Imóveis!$S$2-(DATEDIF(Imóveis!$Q$2,Dados!$A333,"m")),)))*(Imóveis!$N$2/Imóveis!$S$2)))*Imóveis!$P$2))))*IF(AND(Imóveis!$E$2&gt;0,Dados!$A333&gt;Imóveis!$E$2),0,1)</f>
        <v>0</v>
      </c>
      <c r="J333" s="18">
        <f>IF(Imóveis!$F$3="PRICE",IF(AND(Dados!$A333&gt;=Imóveis!$Q$3,Dados!$A333&lt;=Imóveis!$T$3),Imóveis!$U$3,0),IF((IF(AND(Dados!$A333&gt;=Imóveis!$Q$3,Dados!$A333&lt;=Imóveis!$T$3),Imóveis!$S$3-(DATEDIF(Imóveis!$Q$3,Dados!$A333,"m")),0))=0,0,((Imóveis!$N$3/Imóveis!$S$3)+((Imóveis!$N$3-((Imóveis!$S$3-(IF(AND(Dados!$A333&gt;=Imóveis!$Q$3,Dados!$A333&lt;=Imóveis!$T$3),Imóveis!$S$3-(DATEDIF(Imóveis!$Q$3,Dados!$A333,"m")),)))*(Imóveis!$N$3/Imóveis!$S$3)))*Imóveis!$P$3))))*IF(AND(Imóveis!$E$3&gt;0,Dados!$A333&gt;Imóveis!$E$3),0,1)</f>
        <v>0</v>
      </c>
      <c r="K333" s="18">
        <f>IF(Imóveis!$F$4="PRICE",IF(AND(Dados!$A333&gt;=Imóveis!$Q$4,Dados!$A333&lt;=Imóveis!$T$4),Imóveis!$U$4,0),IF((IF(AND(Dados!$A333&gt;=Imóveis!$Q$4,Dados!$A333&lt;=Imóveis!$T$4),Imóveis!$S$4-(DATEDIF(Imóveis!$Q$4,Dados!$A333,"m")),0))=0,0,((Imóveis!$N$4/Imóveis!$S$4)+((Imóveis!$N$4-((Imóveis!$S$4-(IF(AND(Dados!$A333&gt;=Imóveis!$Q$4,Dados!$A333&lt;=Imóveis!$T$4),Imóveis!$S$4-(DATEDIF(Imóveis!$Q$4,Dados!$A333,"m")),)))*(Imóveis!$N$4/Imóveis!$S$4)))*Imóveis!$P$4))))*IF(AND(Imóveis!$E$4&gt;0,Dados!$A333&gt;Imóveis!$E$4),0,1)</f>
        <v>0</v>
      </c>
      <c r="L333" s="18">
        <f>IF(Imóveis!$F$5="PRICE",IF(AND(Dados!$A333&gt;=Imóveis!$Q$5,Dados!$A333&lt;=Imóveis!$T$5),Imóveis!$U$5,0),IF((IF(AND(Dados!$A333&gt;=Imóveis!$Q$5,Dados!$A333&lt;=Imóveis!$T$5),Imóveis!$S$5-(DATEDIF(Imóveis!$Q$5,Dados!$A333,"m")),0))=0,0,((Imóveis!$N$5/Imóveis!$S$5)+((Imóveis!$N$5-((Imóveis!$S$5-(IF(AND(Dados!$A333 &gt;=Imóveis!$Q$5,Dados!$A333&lt;=Imóveis!$T$5),Imóveis!$S$5-(DATEDIF(Imóveis!$Q$5,Dados!$A333,"m")),)))*(Imóveis!$N$5/Imóveis!$S$5)))*Imóveis!$P$5))))*IF(AND(Imóveis!$E$5&gt;0,Dados!$A333&gt;Imóveis!$E$5),0,1)*Imóveis!$I$5</f>
        <v>0</v>
      </c>
      <c r="M333" s="18">
        <f>IF(Imóveis!$F$6="PRICE",IF(AND(Dados!$A333&gt;=Imóveis!$Q$6,Dados!$A333&lt;=Imóveis!$T$6),Imóveis!$U$6,0),IF((IF(AND(Dados!$A333&gt;=Imóveis!$Q$6,Dados!$A333&lt;=Imóveis!$T$6),Imóveis!$S$6-(DATEDIF(Imóveis!$Q$6,Dados!$A333,"m")),0))=0,0,((Imóveis!$N$6/Imóveis!$S$6)+((Imóveis!$N$6-((Imóveis!$S$6-(IF(AND(Dados!$A333&gt;=Imóveis!$Q$6,Dados!$A333&lt;=Imóveis!$T$6),Imóveis!$S$6-(DATEDIF(Imóveis!$Q$6,Dados!$A333,"m")),)))*(Imóveis!$N$6/Imóveis!$S$6)))*Imóveis!$P$6))))*IF(AND(Imóveis!$E$6&gt;0,Dados!$A333&gt;Imóveis!$E$6),0,1)*Imóveis!$I$6</f>
        <v>0</v>
      </c>
      <c r="N333" s="18">
        <f t="shared" si="45"/>
        <v>37000</v>
      </c>
      <c r="O333" s="18">
        <f>SUMIFS(Receitas!$F:$F,Receitas!$J:$J,"&lt;="&amp;$A333,Receitas!$L:$L,"&gt;="&amp;$A333,Receitas!$C:$C,O$1,Receitas!$M:$M,"Mensal")+SUMIFS(Receitas!$F:$F,Receitas!$J:$J,"&lt;="&amp;$A333,Receitas!$L:$L,"&gt;="&amp;$A333,Receitas!$C:$C,O$1,Receitas!$M:$M,$B333)</f>
        <v>50000</v>
      </c>
      <c r="P333" s="18">
        <f>SUMIFS(Receitas!$F:$F,Receitas!$J:$J,"&lt;="&amp;$A333,Receitas!$L:$L,"&gt;="&amp;$A333,Receitas!$C:$C,P$1,Receitas!$M:$M,"Mensal")+SUMIFS(Receitas!$F:$F,Receitas!$J:$J,"&lt;="&amp;$A333,Receitas!$L:$L,"&gt;="&amp;$A333,Receitas!$C:$C,P$1,Receitas!$M:$M,$B333)</f>
        <v>20000</v>
      </c>
      <c r="Q333" s="18">
        <f>SUMIFS(Receitas!$F:$F,Receitas!$J:$J,"&lt;="&amp;$A333,Receitas!$L:$L,"&gt;="&amp;$A333,Receitas!$C:$C,Q$1,Receitas!$M:$M,"Mensal")+SUMIFS(Receitas!$F:$F,Receitas!$J:$J,"&lt;="&amp;$A333,Receitas!$L:$L,"&gt;="&amp;$A333,Receitas!$C:$C,Q$1,Receitas!$M:$M,$B333)</f>
        <v>0</v>
      </c>
      <c r="R333" s="18" cm="1">
        <f t="array" ref="R333">(IF(AND(Membros!$F$2="Sim",A333&lt;=MAX(Membros!$E$2:$E$5)),Membros!K$2,IF(AND(A333&gt;=Membros!J$2,A333&lt;=MAX(Membros!$E$2:$E$5)),Membros!K$2,0))+IF(AND(Membros!$F$3="Sim",A333&lt;=MAX(Membros!$E$2:$E$5)),Membros!K$3,IF(AND(A333&gt;=Membros!J$3,A333&lt;=MAX(Membros!$E$2:$E$5)),Membros!K$3,0)))*IF(AND(COUNTIFS(Tabela3[Tipo],"Provedor",Tabela3[Simulação Seguro],"Sim")=2,A333&gt;=MAX(IF(Tabela3[Tipo]="Dependente",Tabela3[Expectativa de Vida (Data)]))),0,1)</f>
        <v>0</v>
      </c>
      <c r="S333" s="18">
        <f t="shared" si="46"/>
        <v>70000</v>
      </c>
      <c r="U333" s="18">
        <f t="shared" ca="1" si="49"/>
        <v>21161921.939639971</v>
      </c>
      <c r="V333" s="18">
        <f>SUMIF(Imóveis!E:E,Dados!A:A,Imóveis!Z:Z)-SUMIF(Imóveis!E:E,Dados!A:A,Imóveis!Y:Y)</f>
        <v>0</v>
      </c>
      <c r="W333" s="18">
        <f>-SUMIF(Projetos!N:N,A333,Projetos!F:F)</f>
        <v>0</v>
      </c>
      <c r="X333" s="18">
        <f t="shared" si="43"/>
        <v>33000</v>
      </c>
      <c r="Y333" s="26">
        <f ca="1">(U333*((Indicadores_Economicos!D$2+1)^(1/12)-1))</f>
        <v>69278.625721587392</v>
      </c>
      <c r="Z333" s="18">
        <f t="shared" ca="1" si="47"/>
        <v>21264200.565361559</v>
      </c>
      <c r="AA333" s="18">
        <f ca="1">Auxiliar_Projetos!E333</f>
        <v>1.1535379774624446E-9</v>
      </c>
      <c r="AB333" s="18">
        <f ca="1">Auxiliar_Projetos!K333</f>
        <v>8.8733690574034136E-10</v>
      </c>
      <c r="AC333" s="18">
        <f ca="1">IF(Z333-AA333-AB333&gt;Investimentos!$C$14,Investimentos!$C$14,IF(Z333-AA333-AB333&lt;Investimentos!$C$14,Z333-AA333-AB333,0))</f>
        <v>300000</v>
      </c>
      <c r="AD333" s="18">
        <f t="shared" ca="1" si="48"/>
        <v>20964200.565361559</v>
      </c>
      <c r="AE333" s="18"/>
    </row>
    <row r="334" spans="1:31" x14ac:dyDescent="0.2">
      <c r="A334" s="4">
        <v>55763</v>
      </c>
      <c r="B334" s="5" t="str">
        <f t="shared" si="44"/>
        <v>setembro</v>
      </c>
      <c r="C334" s="5" t="str">
        <f t="shared" si="42"/>
        <v>2052</v>
      </c>
      <c r="D334" s="5">
        <f>SUMIFS(Despesas!$F:$F,Despesas!$J:$J,"&lt;="&amp;$A334,Despesas!$L:$L,"&gt;="&amp;$A334,Despesas!$C:$C,D$1,Despesas!$M:$M,"Mensal")+SUMIFS(Despesas!$F:$F,Despesas!$J:$J,"&lt;="&amp;$A334,Despesas!$L:$L,"&gt;="&amp;$A334,Despesas!$C:$C,D$1,Despesas!$M:$M,$B334)</f>
        <v>23000</v>
      </c>
      <c r="E334" s="18">
        <f>SUMIFS(Despesas!$F:$F,Despesas!$J:$J,"&lt;="&amp;$A334,Despesas!$L:$L,"&gt;="&amp;$A334,Despesas!$C:$C,E$1,Despesas!$M:$M,"Mensal")+SUMIFS(Despesas!$F:$F,Despesas!$J:$J,"&lt;="&amp;$A334,Despesas!$L:$L,"&gt;="&amp;$A334,Despesas!$C:$C,E$1,Despesas!$M:$M,$B334)</f>
        <v>0</v>
      </c>
      <c r="F334" s="5">
        <f>SUMIFS(Despesas!$F:$F,Despesas!$J:$J,"&lt;="&amp;$A334,Despesas!$L:$L,"&gt;="&amp;$A334,Despesas!$C:$C,F$1,Despesas!$M:$M,"Mensal")+SUMIFS(Despesas!$F:$F,Despesas!$J:$J,"&lt;="&amp;$A334,Despesas!$L:$L,"&gt;="&amp;$A334,Despesas!$C:$C,F$1,Despesas!$M:$M,$B334)</f>
        <v>13000</v>
      </c>
      <c r="G334" s="5">
        <f>SUMIFS(Despesas!$F:$F,Despesas!$J:$J,"&lt;="&amp;$A334,Despesas!$L:$L,"&gt;="&amp;$A334,Despesas!$C:$C,G$1,Despesas!$M:$M,"Mensal")+SUMIFS(Despesas!$F:$F,Despesas!$J:$J,"&lt;="&amp;$A334,Despesas!$L:$L,"&gt;="&amp;$A334,Despesas!$C:$C,G$1,Despesas!$M:$M,$B334)</f>
        <v>0</v>
      </c>
      <c r="H334" s="18">
        <f>SUMIFS(Despesas!$F:$F,Despesas!$J:$J,"&lt;="&amp;$A334,Despesas!$L:$L,"&gt;="&amp;$A334,Despesas!$C:$C,H$1,Despesas!$M:$M,"Mensal")+SUMIFS(Despesas!$F:$F,Despesas!$J:$J,"&lt;="&amp;$A334,Despesas!$L:$L,"&gt;="&amp;$A334,Despesas!$C:$C,H$1,Despesas!$M:$M,$B334)</f>
        <v>1000</v>
      </c>
      <c r="I334" s="18">
        <f>IF(Imóveis!$F$2="PRICE",IF(AND(Dados!$A334&gt;=Imóveis!$Q$2,Dados!$A334&lt;=Imóveis!$T$2),Imóveis!$U$2,0),IF((IF(AND(Dados!$A334&gt;=Imóveis!$Q$2,Dados!$A334&lt;=Imóveis!$T$2),Imóveis!$S$2-(DATEDIF(Imóveis!$Q$2,Dados!$A334,"m")),0))=0,0,((Imóveis!$N$2/Imóveis!$S$2)+((Imóveis!$N$2-((Imóveis!$S$2-(IF(AND(Dados!$A334&gt;=Imóveis!$Q$2,Dados!$A334&lt;=Imóveis!$T$2),Imóveis!$S$2-(DATEDIF(Imóveis!$Q$2,Dados!$A334,"m")),)))*(Imóveis!$N$2/Imóveis!$S$2)))*Imóveis!$P$2))))*IF(AND(Imóveis!$E$2&gt;0,Dados!$A334&gt;Imóveis!$E$2),0,1)</f>
        <v>0</v>
      </c>
      <c r="J334" s="18">
        <f>IF(Imóveis!$F$3="PRICE",IF(AND(Dados!$A334&gt;=Imóveis!$Q$3,Dados!$A334&lt;=Imóveis!$T$3),Imóveis!$U$3,0),IF((IF(AND(Dados!$A334&gt;=Imóveis!$Q$3,Dados!$A334&lt;=Imóveis!$T$3),Imóveis!$S$3-(DATEDIF(Imóveis!$Q$3,Dados!$A334,"m")),0))=0,0,((Imóveis!$N$3/Imóveis!$S$3)+((Imóveis!$N$3-((Imóveis!$S$3-(IF(AND(Dados!$A334&gt;=Imóveis!$Q$3,Dados!$A334&lt;=Imóveis!$T$3),Imóveis!$S$3-(DATEDIF(Imóveis!$Q$3,Dados!$A334,"m")),)))*(Imóveis!$N$3/Imóveis!$S$3)))*Imóveis!$P$3))))*IF(AND(Imóveis!$E$3&gt;0,Dados!$A334&gt;Imóveis!$E$3),0,1)</f>
        <v>0</v>
      </c>
      <c r="K334" s="18">
        <f>IF(Imóveis!$F$4="PRICE",IF(AND(Dados!$A334&gt;=Imóveis!$Q$4,Dados!$A334&lt;=Imóveis!$T$4),Imóveis!$U$4,0),IF((IF(AND(Dados!$A334&gt;=Imóveis!$Q$4,Dados!$A334&lt;=Imóveis!$T$4),Imóveis!$S$4-(DATEDIF(Imóveis!$Q$4,Dados!$A334,"m")),0))=0,0,((Imóveis!$N$4/Imóveis!$S$4)+((Imóveis!$N$4-((Imóveis!$S$4-(IF(AND(Dados!$A334&gt;=Imóveis!$Q$4,Dados!$A334&lt;=Imóveis!$T$4),Imóveis!$S$4-(DATEDIF(Imóveis!$Q$4,Dados!$A334,"m")),)))*(Imóveis!$N$4/Imóveis!$S$4)))*Imóveis!$P$4))))*IF(AND(Imóveis!$E$4&gt;0,Dados!$A334&gt;Imóveis!$E$4),0,1)</f>
        <v>0</v>
      </c>
      <c r="L334" s="18">
        <f>IF(Imóveis!$F$5="PRICE",IF(AND(Dados!$A334&gt;=Imóveis!$Q$5,Dados!$A334&lt;=Imóveis!$T$5),Imóveis!$U$5,0),IF((IF(AND(Dados!$A334&gt;=Imóveis!$Q$5,Dados!$A334&lt;=Imóveis!$T$5),Imóveis!$S$5-(DATEDIF(Imóveis!$Q$5,Dados!$A334,"m")),0))=0,0,((Imóveis!$N$5/Imóveis!$S$5)+((Imóveis!$N$5-((Imóveis!$S$5-(IF(AND(Dados!$A334 &gt;=Imóveis!$Q$5,Dados!$A334&lt;=Imóveis!$T$5),Imóveis!$S$5-(DATEDIF(Imóveis!$Q$5,Dados!$A334,"m")),)))*(Imóveis!$N$5/Imóveis!$S$5)))*Imóveis!$P$5))))*IF(AND(Imóveis!$E$5&gt;0,Dados!$A334&gt;Imóveis!$E$5),0,1)*Imóveis!$I$5</f>
        <v>0</v>
      </c>
      <c r="M334" s="18">
        <f>IF(Imóveis!$F$6="PRICE",IF(AND(Dados!$A334&gt;=Imóveis!$Q$6,Dados!$A334&lt;=Imóveis!$T$6),Imóveis!$U$6,0),IF((IF(AND(Dados!$A334&gt;=Imóveis!$Q$6,Dados!$A334&lt;=Imóveis!$T$6),Imóveis!$S$6-(DATEDIF(Imóveis!$Q$6,Dados!$A334,"m")),0))=0,0,((Imóveis!$N$6/Imóveis!$S$6)+((Imóveis!$N$6-((Imóveis!$S$6-(IF(AND(Dados!$A334&gt;=Imóveis!$Q$6,Dados!$A334&lt;=Imóveis!$T$6),Imóveis!$S$6-(DATEDIF(Imóveis!$Q$6,Dados!$A334,"m")),)))*(Imóveis!$N$6/Imóveis!$S$6)))*Imóveis!$P$6))))*IF(AND(Imóveis!$E$6&gt;0,Dados!$A334&gt;Imóveis!$E$6),0,1)*Imóveis!$I$6</f>
        <v>0</v>
      </c>
      <c r="N334" s="18">
        <f t="shared" si="45"/>
        <v>37000</v>
      </c>
      <c r="O334" s="18">
        <f>SUMIFS(Receitas!$F:$F,Receitas!$J:$J,"&lt;="&amp;$A334,Receitas!$L:$L,"&gt;="&amp;$A334,Receitas!$C:$C,O$1,Receitas!$M:$M,"Mensal")+SUMIFS(Receitas!$F:$F,Receitas!$J:$J,"&lt;="&amp;$A334,Receitas!$L:$L,"&gt;="&amp;$A334,Receitas!$C:$C,O$1,Receitas!$M:$M,$B334)</f>
        <v>50000</v>
      </c>
      <c r="P334" s="18">
        <f>SUMIFS(Receitas!$F:$F,Receitas!$J:$J,"&lt;="&amp;$A334,Receitas!$L:$L,"&gt;="&amp;$A334,Receitas!$C:$C,P$1,Receitas!$M:$M,"Mensal")+SUMIFS(Receitas!$F:$F,Receitas!$J:$J,"&lt;="&amp;$A334,Receitas!$L:$L,"&gt;="&amp;$A334,Receitas!$C:$C,P$1,Receitas!$M:$M,$B334)</f>
        <v>20000</v>
      </c>
      <c r="Q334" s="18">
        <f>SUMIFS(Receitas!$F:$F,Receitas!$J:$J,"&lt;="&amp;$A334,Receitas!$L:$L,"&gt;="&amp;$A334,Receitas!$C:$C,Q$1,Receitas!$M:$M,"Mensal")+SUMIFS(Receitas!$F:$F,Receitas!$J:$J,"&lt;="&amp;$A334,Receitas!$L:$L,"&gt;="&amp;$A334,Receitas!$C:$C,Q$1,Receitas!$M:$M,$B334)</f>
        <v>0</v>
      </c>
      <c r="R334" s="18" cm="1">
        <f t="array" ref="R334">(IF(AND(Membros!$F$2="Sim",A334&lt;=MAX(Membros!$E$2:$E$5)),Membros!K$2,IF(AND(A334&gt;=Membros!J$2,A334&lt;=MAX(Membros!$E$2:$E$5)),Membros!K$2,0))+IF(AND(Membros!$F$3="Sim",A334&lt;=MAX(Membros!$E$2:$E$5)),Membros!K$3,IF(AND(A334&gt;=Membros!J$3,A334&lt;=MAX(Membros!$E$2:$E$5)),Membros!K$3,0)))*IF(AND(COUNTIFS(Tabela3[Tipo],"Provedor",Tabela3[Simulação Seguro],"Sim")=2,A334&gt;=MAX(IF(Tabela3[Tipo]="Dependente",Tabela3[Expectativa de Vida (Data)]))),0,1)</f>
        <v>0</v>
      </c>
      <c r="S334" s="18">
        <f t="shared" si="46"/>
        <v>70000</v>
      </c>
      <c r="U334" s="18">
        <f t="shared" ca="1" si="49"/>
        <v>21264200.565361559</v>
      </c>
      <c r="V334" s="18">
        <f>SUMIF(Imóveis!E:E,Dados!A:A,Imóveis!Z:Z)-SUMIF(Imóveis!E:E,Dados!A:A,Imóveis!Y:Y)</f>
        <v>0</v>
      </c>
      <c r="W334" s="18">
        <f>-SUMIF(Projetos!N:N,A334,Projetos!F:F)</f>
        <v>0</v>
      </c>
      <c r="X334" s="18">
        <f t="shared" si="43"/>
        <v>33000</v>
      </c>
      <c r="Y334" s="26">
        <f ca="1">(U334*((Indicadores_Economicos!D$2+1)^(1/12)-1))</f>
        <v>69613.459327480785</v>
      </c>
      <c r="Z334" s="18">
        <f t="shared" ca="1" si="47"/>
        <v>21366814.024689041</v>
      </c>
      <c r="AA334" s="18">
        <f ca="1">Auxiliar_Projetos!E334</f>
        <v>1.1573143606295407E-9</v>
      </c>
      <c r="AB334" s="18">
        <f ca="1">Auxiliar_Projetos!K334</f>
        <v>8.9024181586887676E-10</v>
      </c>
      <c r="AC334" s="18">
        <f ca="1">IF(Z334-AA334-AB334&gt;Investimentos!$C$14,Investimentos!$C$14,IF(Z334-AA334-AB334&lt;Investimentos!$C$14,Z334-AA334-AB334,0))</f>
        <v>300000</v>
      </c>
      <c r="AD334" s="18">
        <f t="shared" ca="1" si="48"/>
        <v>21066814.024689041</v>
      </c>
      <c r="AE334" s="18"/>
    </row>
    <row r="335" spans="1:31" x14ac:dyDescent="0.2">
      <c r="A335" s="4">
        <v>55793</v>
      </c>
      <c r="B335" s="5" t="str">
        <f t="shared" si="44"/>
        <v>outubro</v>
      </c>
      <c r="C335" s="5" t="str">
        <f t="shared" si="42"/>
        <v>2052</v>
      </c>
      <c r="D335" s="5">
        <f>SUMIFS(Despesas!$F:$F,Despesas!$J:$J,"&lt;="&amp;$A335,Despesas!$L:$L,"&gt;="&amp;$A335,Despesas!$C:$C,D$1,Despesas!$M:$M,"Mensal")+SUMIFS(Despesas!$F:$F,Despesas!$J:$J,"&lt;="&amp;$A335,Despesas!$L:$L,"&gt;="&amp;$A335,Despesas!$C:$C,D$1,Despesas!$M:$M,$B335)</f>
        <v>23000</v>
      </c>
      <c r="E335" s="18">
        <f>SUMIFS(Despesas!$F:$F,Despesas!$J:$J,"&lt;="&amp;$A335,Despesas!$L:$L,"&gt;="&amp;$A335,Despesas!$C:$C,E$1,Despesas!$M:$M,"Mensal")+SUMIFS(Despesas!$F:$F,Despesas!$J:$J,"&lt;="&amp;$A335,Despesas!$L:$L,"&gt;="&amp;$A335,Despesas!$C:$C,E$1,Despesas!$M:$M,$B335)</f>
        <v>0</v>
      </c>
      <c r="F335" s="5">
        <f>SUMIFS(Despesas!$F:$F,Despesas!$J:$J,"&lt;="&amp;$A335,Despesas!$L:$L,"&gt;="&amp;$A335,Despesas!$C:$C,F$1,Despesas!$M:$M,"Mensal")+SUMIFS(Despesas!$F:$F,Despesas!$J:$J,"&lt;="&amp;$A335,Despesas!$L:$L,"&gt;="&amp;$A335,Despesas!$C:$C,F$1,Despesas!$M:$M,$B335)</f>
        <v>13000</v>
      </c>
      <c r="G335" s="5">
        <f>SUMIFS(Despesas!$F:$F,Despesas!$J:$J,"&lt;="&amp;$A335,Despesas!$L:$L,"&gt;="&amp;$A335,Despesas!$C:$C,G$1,Despesas!$M:$M,"Mensal")+SUMIFS(Despesas!$F:$F,Despesas!$J:$J,"&lt;="&amp;$A335,Despesas!$L:$L,"&gt;="&amp;$A335,Despesas!$C:$C,G$1,Despesas!$M:$M,$B335)</f>
        <v>0</v>
      </c>
      <c r="H335" s="18">
        <f>SUMIFS(Despesas!$F:$F,Despesas!$J:$J,"&lt;="&amp;$A335,Despesas!$L:$L,"&gt;="&amp;$A335,Despesas!$C:$C,H$1,Despesas!$M:$M,"Mensal")+SUMIFS(Despesas!$F:$F,Despesas!$J:$J,"&lt;="&amp;$A335,Despesas!$L:$L,"&gt;="&amp;$A335,Despesas!$C:$C,H$1,Despesas!$M:$M,$B335)</f>
        <v>1000</v>
      </c>
      <c r="I335" s="18">
        <f>IF(Imóveis!$F$2="PRICE",IF(AND(Dados!$A335&gt;=Imóveis!$Q$2,Dados!$A335&lt;=Imóveis!$T$2),Imóveis!$U$2,0),IF((IF(AND(Dados!$A335&gt;=Imóveis!$Q$2,Dados!$A335&lt;=Imóveis!$T$2),Imóveis!$S$2-(DATEDIF(Imóveis!$Q$2,Dados!$A335,"m")),0))=0,0,((Imóveis!$N$2/Imóveis!$S$2)+((Imóveis!$N$2-((Imóveis!$S$2-(IF(AND(Dados!$A335&gt;=Imóveis!$Q$2,Dados!$A335&lt;=Imóveis!$T$2),Imóveis!$S$2-(DATEDIF(Imóveis!$Q$2,Dados!$A335,"m")),)))*(Imóveis!$N$2/Imóveis!$S$2)))*Imóveis!$P$2))))*IF(AND(Imóveis!$E$2&gt;0,Dados!$A335&gt;Imóveis!$E$2),0,1)</f>
        <v>0</v>
      </c>
      <c r="J335" s="18">
        <f>IF(Imóveis!$F$3="PRICE",IF(AND(Dados!$A335&gt;=Imóveis!$Q$3,Dados!$A335&lt;=Imóveis!$T$3),Imóveis!$U$3,0),IF((IF(AND(Dados!$A335&gt;=Imóveis!$Q$3,Dados!$A335&lt;=Imóveis!$T$3),Imóveis!$S$3-(DATEDIF(Imóveis!$Q$3,Dados!$A335,"m")),0))=0,0,((Imóveis!$N$3/Imóveis!$S$3)+((Imóveis!$N$3-((Imóveis!$S$3-(IF(AND(Dados!$A335&gt;=Imóveis!$Q$3,Dados!$A335&lt;=Imóveis!$T$3),Imóveis!$S$3-(DATEDIF(Imóveis!$Q$3,Dados!$A335,"m")),)))*(Imóveis!$N$3/Imóveis!$S$3)))*Imóveis!$P$3))))*IF(AND(Imóveis!$E$3&gt;0,Dados!$A335&gt;Imóveis!$E$3),0,1)</f>
        <v>0</v>
      </c>
      <c r="K335" s="18">
        <f>IF(Imóveis!$F$4="PRICE",IF(AND(Dados!$A335&gt;=Imóveis!$Q$4,Dados!$A335&lt;=Imóveis!$T$4),Imóveis!$U$4,0),IF((IF(AND(Dados!$A335&gt;=Imóveis!$Q$4,Dados!$A335&lt;=Imóveis!$T$4),Imóveis!$S$4-(DATEDIF(Imóveis!$Q$4,Dados!$A335,"m")),0))=0,0,((Imóveis!$N$4/Imóveis!$S$4)+((Imóveis!$N$4-((Imóveis!$S$4-(IF(AND(Dados!$A335&gt;=Imóveis!$Q$4,Dados!$A335&lt;=Imóveis!$T$4),Imóveis!$S$4-(DATEDIF(Imóveis!$Q$4,Dados!$A335,"m")),)))*(Imóveis!$N$4/Imóveis!$S$4)))*Imóveis!$P$4))))*IF(AND(Imóveis!$E$4&gt;0,Dados!$A335&gt;Imóveis!$E$4),0,1)</f>
        <v>0</v>
      </c>
      <c r="L335" s="18">
        <f>IF(Imóveis!$F$5="PRICE",IF(AND(Dados!$A335&gt;=Imóveis!$Q$5,Dados!$A335&lt;=Imóveis!$T$5),Imóveis!$U$5,0),IF((IF(AND(Dados!$A335&gt;=Imóveis!$Q$5,Dados!$A335&lt;=Imóveis!$T$5),Imóveis!$S$5-(DATEDIF(Imóveis!$Q$5,Dados!$A335,"m")),0))=0,0,((Imóveis!$N$5/Imóveis!$S$5)+((Imóveis!$N$5-((Imóveis!$S$5-(IF(AND(Dados!$A335 &gt;=Imóveis!$Q$5,Dados!$A335&lt;=Imóveis!$T$5),Imóveis!$S$5-(DATEDIF(Imóveis!$Q$5,Dados!$A335,"m")),)))*(Imóveis!$N$5/Imóveis!$S$5)))*Imóveis!$P$5))))*IF(AND(Imóveis!$E$5&gt;0,Dados!$A335&gt;Imóveis!$E$5),0,1)*Imóveis!$I$5</f>
        <v>0</v>
      </c>
      <c r="M335" s="18">
        <f>IF(Imóveis!$F$6="PRICE",IF(AND(Dados!$A335&gt;=Imóveis!$Q$6,Dados!$A335&lt;=Imóveis!$T$6),Imóveis!$U$6,0),IF((IF(AND(Dados!$A335&gt;=Imóveis!$Q$6,Dados!$A335&lt;=Imóveis!$T$6),Imóveis!$S$6-(DATEDIF(Imóveis!$Q$6,Dados!$A335,"m")),0))=0,0,((Imóveis!$N$6/Imóveis!$S$6)+((Imóveis!$N$6-((Imóveis!$S$6-(IF(AND(Dados!$A335&gt;=Imóveis!$Q$6,Dados!$A335&lt;=Imóveis!$T$6),Imóveis!$S$6-(DATEDIF(Imóveis!$Q$6,Dados!$A335,"m")),)))*(Imóveis!$N$6/Imóveis!$S$6)))*Imóveis!$P$6))))*IF(AND(Imóveis!$E$6&gt;0,Dados!$A335&gt;Imóveis!$E$6),0,1)*Imóveis!$I$6</f>
        <v>0</v>
      </c>
      <c r="N335" s="18">
        <f t="shared" si="45"/>
        <v>37000</v>
      </c>
      <c r="O335" s="18">
        <f>SUMIFS(Receitas!$F:$F,Receitas!$J:$J,"&lt;="&amp;$A335,Receitas!$L:$L,"&gt;="&amp;$A335,Receitas!$C:$C,O$1,Receitas!$M:$M,"Mensal")+SUMIFS(Receitas!$F:$F,Receitas!$J:$J,"&lt;="&amp;$A335,Receitas!$L:$L,"&gt;="&amp;$A335,Receitas!$C:$C,O$1,Receitas!$M:$M,$B335)</f>
        <v>50000</v>
      </c>
      <c r="P335" s="18">
        <f>SUMIFS(Receitas!$F:$F,Receitas!$J:$J,"&lt;="&amp;$A335,Receitas!$L:$L,"&gt;="&amp;$A335,Receitas!$C:$C,P$1,Receitas!$M:$M,"Mensal")+SUMIFS(Receitas!$F:$F,Receitas!$J:$J,"&lt;="&amp;$A335,Receitas!$L:$L,"&gt;="&amp;$A335,Receitas!$C:$C,P$1,Receitas!$M:$M,$B335)</f>
        <v>20000</v>
      </c>
      <c r="Q335" s="18">
        <f>SUMIFS(Receitas!$F:$F,Receitas!$J:$J,"&lt;="&amp;$A335,Receitas!$L:$L,"&gt;="&amp;$A335,Receitas!$C:$C,Q$1,Receitas!$M:$M,"Mensal")+SUMIFS(Receitas!$F:$F,Receitas!$J:$J,"&lt;="&amp;$A335,Receitas!$L:$L,"&gt;="&amp;$A335,Receitas!$C:$C,Q$1,Receitas!$M:$M,$B335)</f>
        <v>0</v>
      </c>
      <c r="R335" s="18" cm="1">
        <f t="array" ref="R335">(IF(AND(Membros!$F$2="Sim",A335&lt;=MAX(Membros!$E$2:$E$5)),Membros!K$2,IF(AND(A335&gt;=Membros!J$2,A335&lt;=MAX(Membros!$E$2:$E$5)),Membros!K$2,0))+IF(AND(Membros!$F$3="Sim",A335&lt;=MAX(Membros!$E$2:$E$5)),Membros!K$3,IF(AND(A335&gt;=Membros!J$3,A335&lt;=MAX(Membros!$E$2:$E$5)),Membros!K$3,0)))*IF(AND(COUNTIFS(Tabela3[Tipo],"Provedor",Tabela3[Simulação Seguro],"Sim")=2,A335&gt;=MAX(IF(Tabela3[Tipo]="Dependente",Tabela3[Expectativa de Vida (Data)]))),0,1)</f>
        <v>0</v>
      </c>
      <c r="S335" s="18">
        <f t="shared" si="46"/>
        <v>70000</v>
      </c>
      <c r="U335" s="18">
        <f t="shared" ca="1" si="49"/>
        <v>21366814.024689041</v>
      </c>
      <c r="V335" s="18">
        <f>SUMIF(Imóveis!E:E,Dados!A:A,Imóveis!Z:Z)-SUMIF(Imóveis!E:E,Dados!A:A,Imóveis!Y:Y)</f>
        <v>0</v>
      </c>
      <c r="W335" s="18">
        <f>-SUMIF(Projetos!N:N,A335,Projetos!F:F)</f>
        <v>0</v>
      </c>
      <c r="X335" s="18">
        <f t="shared" si="43"/>
        <v>33000</v>
      </c>
      <c r="Y335" s="26">
        <f ca="1">(U335*((Indicadores_Economicos!D$2+1)^(1/12)-1))</f>
        <v>69949.389091470206</v>
      </c>
      <c r="Z335" s="18">
        <f t="shared" ca="1" si="47"/>
        <v>21469763.41378051</v>
      </c>
      <c r="AA335" s="18">
        <f ca="1">Auxiliar_Projetos!E335</f>
        <v>1.1611031066924437E-9</v>
      </c>
      <c r="AB335" s="18">
        <f ca="1">Auxiliar_Projetos!K335</f>
        <v>8.9315623591726371E-10</v>
      </c>
      <c r="AC335" s="18">
        <f ca="1">IF(Z335-AA335-AB335&gt;Investimentos!$C$14,Investimentos!$C$14,IF(Z335-AA335-AB335&lt;Investimentos!$C$14,Z335-AA335-AB335,0))</f>
        <v>300000</v>
      </c>
      <c r="AD335" s="18">
        <f t="shared" ca="1" si="48"/>
        <v>21169763.41378051</v>
      </c>
      <c r="AE335" s="18"/>
    </row>
    <row r="336" spans="1:31" x14ac:dyDescent="0.2">
      <c r="A336" s="4">
        <v>55824</v>
      </c>
      <c r="B336" s="5" t="str">
        <f t="shared" si="44"/>
        <v>novembro</v>
      </c>
      <c r="C336" s="5" t="str">
        <f t="shared" si="42"/>
        <v>2052</v>
      </c>
      <c r="D336" s="5">
        <f>SUMIFS(Despesas!$F:$F,Despesas!$J:$J,"&lt;="&amp;$A336,Despesas!$L:$L,"&gt;="&amp;$A336,Despesas!$C:$C,D$1,Despesas!$M:$M,"Mensal")+SUMIFS(Despesas!$F:$F,Despesas!$J:$J,"&lt;="&amp;$A336,Despesas!$L:$L,"&gt;="&amp;$A336,Despesas!$C:$C,D$1,Despesas!$M:$M,$B336)</f>
        <v>23000</v>
      </c>
      <c r="E336" s="18">
        <f>SUMIFS(Despesas!$F:$F,Despesas!$J:$J,"&lt;="&amp;$A336,Despesas!$L:$L,"&gt;="&amp;$A336,Despesas!$C:$C,E$1,Despesas!$M:$M,"Mensal")+SUMIFS(Despesas!$F:$F,Despesas!$J:$J,"&lt;="&amp;$A336,Despesas!$L:$L,"&gt;="&amp;$A336,Despesas!$C:$C,E$1,Despesas!$M:$M,$B336)</f>
        <v>0</v>
      </c>
      <c r="F336" s="5">
        <f>SUMIFS(Despesas!$F:$F,Despesas!$J:$J,"&lt;="&amp;$A336,Despesas!$L:$L,"&gt;="&amp;$A336,Despesas!$C:$C,F$1,Despesas!$M:$M,"Mensal")+SUMIFS(Despesas!$F:$F,Despesas!$J:$J,"&lt;="&amp;$A336,Despesas!$L:$L,"&gt;="&amp;$A336,Despesas!$C:$C,F$1,Despesas!$M:$M,$B336)</f>
        <v>13000</v>
      </c>
      <c r="G336" s="5">
        <f>SUMIFS(Despesas!$F:$F,Despesas!$J:$J,"&lt;="&amp;$A336,Despesas!$L:$L,"&gt;="&amp;$A336,Despesas!$C:$C,G$1,Despesas!$M:$M,"Mensal")+SUMIFS(Despesas!$F:$F,Despesas!$J:$J,"&lt;="&amp;$A336,Despesas!$L:$L,"&gt;="&amp;$A336,Despesas!$C:$C,G$1,Despesas!$M:$M,$B336)</f>
        <v>0</v>
      </c>
      <c r="H336" s="18">
        <f>SUMIFS(Despesas!$F:$F,Despesas!$J:$J,"&lt;="&amp;$A336,Despesas!$L:$L,"&gt;="&amp;$A336,Despesas!$C:$C,H$1,Despesas!$M:$M,"Mensal")+SUMIFS(Despesas!$F:$F,Despesas!$J:$J,"&lt;="&amp;$A336,Despesas!$L:$L,"&gt;="&amp;$A336,Despesas!$C:$C,H$1,Despesas!$M:$M,$B336)</f>
        <v>1000</v>
      </c>
      <c r="I336" s="18">
        <f>IF(Imóveis!$F$2="PRICE",IF(AND(Dados!$A336&gt;=Imóveis!$Q$2,Dados!$A336&lt;=Imóveis!$T$2),Imóveis!$U$2,0),IF((IF(AND(Dados!$A336&gt;=Imóveis!$Q$2,Dados!$A336&lt;=Imóveis!$T$2),Imóveis!$S$2-(DATEDIF(Imóveis!$Q$2,Dados!$A336,"m")),0))=0,0,((Imóveis!$N$2/Imóveis!$S$2)+((Imóveis!$N$2-((Imóveis!$S$2-(IF(AND(Dados!$A336&gt;=Imóveis!$Q$2,Dados!$A336&lt;=Imóveis!$T$2),Imóveis!$S$2-(DATEDIF(Imóveis!$Q$2,Dados!$A336,"m")),)))*(Imóveis!$N$2/Imóveis!$S$2)))*Imóveis!$P$2))))*IF(AND(Imóveis!$E$2&gt;0,Dados!$A336&gt;Imóveis!$E$2),0,1)</f>
        <v>0</v>
      </c>
      <c r="J336" s="18">
        <f>IF(Imóveis!$F$3="PRICE",IF(AND(Dados!$A336&gt;=Imóveis!$Q$3,Dados!$A336&lt;=Imóveis!$T$3),Imóveis!$U$3,0),IF((IF(AND(Dados!$A336&gt;=Imóveis!$Q$3,Dados!$A336&lt;=Imóveis!$T$3),Imóveis!$S$3-(DATEDIF(Imóveis!$Q$3,Dados!$A336,"m")),0))=0,0,((Imóveis!$N$3/Imóveis!$S$3)+((Imóveis!$N$3-((Imóveis!$S$3-(IF(AND(Dados!$A336&gt;=Imóveis!$Q$3,Dados!$A336&lt;=Imóveis!$T$3),Imóveis!$S$3-(DATEDIF(Imóveis!$Q$3,Dados!$A336,"m")),)))*(Imóveis!$N$3/Imóveis!$S$3)))*Imóveis!$P$3))))*IF(AND(Imóveis!$E$3&gt;0,Dados!$A336&gt;Imóveis!$E$3),0,1)</f>
        <v>0</v>
      </c>
      <c r="K336" s="18">
        <f>IF(Imóveis!$F$4="PRICE",IF(AND(Dados!$A336&gt;=Imóveis!$Q$4,Dados!$A336&lt;=Imóveis!$T$4),Imóveis!$U$4,0),IF((IF(AND(Dados!$A336&gt;=Imóveis!$Q$4,Dados!$A336&lt;=Imóveis!$T$4),Imóveis!$S$4-(DATEDIF(Imóveis!$Q$4,Dados!$A336,"m")),0))=0,0,((Imóveis!$N$4/Imóveis!$S$4)+((Imóveis!$N$4-((Imóveis!$S$4-(IF(AND(Dados!$A336&gt;=Imóveis!$Q$4,Dados!$A336&lt;=Imóveis!$T$4),Imóveis!$S$4-(DATEDIF(Imóveis!$Q$4,Dados!$A336,"m")),)))*(Imóveis!$N$4/Imóveis!$S$4)))*Imóveis!$P$4))))*IF(AND(Imóveis!$E$4&gt;0,Dados!$A336&gt;Imóveis!$E$4),0,1)</f>
        <v>0</v>
      </c>
      <c r="L336" s="18">
        <f>IF(Imóveis!$F$5="PRICE",IF(AND(Dados!$A336&gt;=Imóveis!$Q$5,Dados!$A336&lt;=Imóveis!$T$5),Imóveis!$U$5,0),IF((IF(AND(Dados!$A336&gt;=Imóveis!$Q$5,Dados!$A336&lt;=Imóveis!$T$5),Imóveis!$S$5-(DATEDIF(Imóveis!$Q$5,Dados!$A336,"m")),0))=0,0,((Imóveis!$N$5/Imóveis!$S$5)+((Imóveis!$N$5-((Imóveis!$S$5-(IF(AND(Dados!$A336 &gt;=Imóveis!$Q$5,Dados!$A336&lt;=Imóveis!$T$5),Imóveis!$S$5-(DATEDIF(Imóveis!$Q$5,Dados!$A336,"m")),)))*(Imóveis!$N$5/Imóveis!$S$5)))*Imóveis!$P$5))))*IF(AND(Imóveis!$E$5&gt;0,Dados!$A336&gt;Imóveis!$E$5),0,1)*Imóveis!$I$5</f>
        <v>0</v>
      </c>
      <c r="M336" s="18">
        <f>IF(Imóveis!$F$6="PRICE",IF(AND(Dados!$A336&gt;=Imóveis!$Q$6,Dados!$A336&lt;=Imóveis!$T$6),Imóveis!$U$6,0),IF((IF(AND(Dados!$A336&gt;=Imóveis!$Q$6,Dados!$A336&lt;=Imóveis!$T$6),Imóveis!$S$6-(DATEDIF(Imóveis!$Q$6,Dados!$A336,"m")),0))=0,0,((Imóveis!$N$6/Imóveis!$S$6)+((Imóveis!$N$6-((Imóveis!$S$6-(IF(AND(Dados!$A336&gt;=Imóveis!$Q$6,Dados!$A336&lt;=Imóveis!$T$6),Imóveis!$S$6-(DATEDIF(Imóveis!$Q$6,Dados!$A336,"m")),)))*(Imóveis!$N$6/Imóveis!$S$6)))*Imóveis!$P$6))))*IF(AND(Imóveis!$E$6&gt;0,Dados!$A336&gt;Imóveis!$E$6),0,1)*Imóveis!$I$6</f>
        <v>0</v>
      </c>
      <c r="N336" s="18">
        <f t="shared" si="45"/>
        <v>37000</v>
      </c>
      <c r="O336" s="18">
        <f>SUMIFS(Receitas!$F:$F,Receitas!$J:$J,"&lt;="&amp;$A336,Receitas!$L:$L,"&gt;="&amp;$A336,Receitas!$C:$C,O$1,Receitas!$M:$M,"Mensal")+SUMIFS(Receitas!$F:$F,Receitas!$J:$J,"&lt;="&amp;$A336,Receitas!$L:$L,"&gt;="&amp;$A336,Receitas!$C:$C,O$1,Receitas!$M:$M,$B336)</f>
        <v>50000</v>
      </c>
      <c r="P336" s="18">
        <f>SUMIFS(Receitas!$F:$F,Receitas!$J:$J,"&lt;="&amp;$A336,Receitas!$L:$L,"&gt;="&amp;$A336,Receitas!$C:$C,P$1,Receitas!$M:$M,"Mensal")+SUMIFS(Receitas!$F:$F,Receitas!$J:$J,"&lt;="&amp;$A336,Receitas!$L:$L,"&gt;="&amp;$A336,Receitas!$C:$C,P$1,Receitas!$M:$M,$B336)</f>
        <v>86666.666666666672</v>
      </c>
      <c r="Q336" s="18">
        <f>SUMIFS(Receitas!$F:$F,Receitas!$J:$J,"&lt;="&amp;$A336,Receitas!$L:$L,"&gt;="&amp;$A336,Receitas!$C:$C,Q$1,Receitas!$M:$M,"Mensal")+SUMIFS(Receitas!$F:$F,Receitas!$J:$J,"&lt;="&amp;$A336,Receitas!$L:$L,"&gt;="&amp;$A336,Receitas!$C:$C,Q$1,Receitas!$M:$M,$B336)</f>
        <v>0</v>
      </c>
      <c r="R336" s="18" cm="1">
        <f t="array" ref="R336">(IF(AND(Membros!$F$2="Sim",A336&lt;=MAX(Membros!$E$2:$E$5)),Membros!K$2,IF(AND(A336&gt;=Membros!J$2,A336&lt;=MAX(Membros!$E$2:$E$5)),Membros!K$2,0))+IF(AND(Membros!$F$3="Sim",A336&lt;=MAX(Membros!$E$2:$E$5)),Membros!K$3,IF(AND(A336&gt;=Membros!J$3,A336&lt;=MAX(Membros!$E$2:$E$5)),Membros!K$3,0)))*IF(AND(COUNTIFS(Tabela3[Tipo],"Provedor",Tabela3[Simulação Seguro],"Sim")=2,A336&gt;=MAX(IF(Tabela3[Tipo]="Dependente",Tabela3[Expectativa de Vida (Data)]))),0,1)</f>
        <v>0</v>
      </c>
      <c r="S336" s="18">
        <f t="shared" si="46"/>
        <v>136666.66666666669</v>
      </c>
      <c r="U336" s="18">
        <f t="shared" ca="1" si="49"/>
        <v>21469763.41378051</v>
      </c>
      <c r="V336" s="18">
        <f>SUMIF(Imóveis!E:E,Dados!A:A,Imóveis!Z:Z)-SUMIF(Imóveis!E:E,Dados!A:A,Imóveis!Y:Y)</f>
        <v>0</v>
      </c>
      <c r="W336" s="18">
        <f>-SUMIF(Projetos!N:N,A336,Projetos!F:F)</f>
        <v>0</v>
      </c>
      <c r="X336" s="18">
        <f t="shared" si="43"/>
        <v>99666.666666666686</v>
      </c>
      <c r="Y336" s="26">
        <f ca="1">(U336*((Indicadores_Economicos!D$2+1)^(1/12)-1))</f>
        <v>70286.418602092032</v>
      </c>
      <c r="Z336" s="18">
        <f t="shared" ca="1" si="47"/>
        <v>21639716.499049269</v>
      </c>
      <c r="AA336" s="18">
        <f ca="1">Auxiliar_Projetos!E336</f>
        <v>1.1649042561240576E-9</v>
      </c>
      <c r="AB336" s="18">
        <f ca="1">Auxiliar_Projetos!K336</f>
        <v>8.9608019701850506E-10</v>
      </c>
      <c r="AC336" s="18">
        <f ca="1">IF(Z336-AA336-AB336&gt;Investimentos!$C$14,Investimentos!$C$14,IF(Z336-AA336-AB336&lt;Investimentos!$C$14,Z336-AA336-AB336,0))</f>
        <v>300000</v>
      </c>
      <c r="AD336" s="18">
        <f t="shared" ca="1" si="48"/>
        <v>21339716.499049269</v>
      </c>
      <c r="AE336" s="18"/>
    </row>
    <row r="337" spans="1:31" x14ac:dyDescent="0.2">
      <c r="A337" s="4">
        <v>55854</v>
      </c>
      <c r="B337" s="5" t="str">
        <f t="shared" si="44"/>
        <v>dezembro</v>
      </c>
      <c r="C337" s="5" t="str">
        <f t="shared" si="42"/>
        <v>2052</v>
      </c>
      <c r="D337" s="5">
        <f>SUMIFS(Despesas!$F:$F,Despesas!$J:$J,"&lt;="&amp;$A337,Despesas!$L:$L,"&gt;="&amp;$A337,Despesas!$C:$C,D$1,Despesas!$M:$M,"Mensal")+SUMIFS(Despesas!$F:$F,Despesas!$J:$J,"&lt;="&amp;$A337,Despesas!$L:$L,"&gt;="&amp;$A337,Despesas!$C:$C,D$1,Despesas!$M:$M,$B337)</f>
        <v>23000</v>
      </c>
      <c r="E337" s="18">
        <f>SUMIFS(Despesas!$F:$F,Despesas!$J:$J,"&lt;="&amp;$A337,Despesas!$L:$L,"&gt;="&amp;$A337,Despesas!$C:$C,E$1,Despesas!$M:$M,"Mensal")+SUMIFS(Despesas!$F:$F,Despesas!$J:$J,"&lt;="&amp;$A337,Despesas!$L:$L,"&gt;="&amp;$A337,Despesas!$C:$C,E$1,Despesas!$M:$M,$B337)</f>
        <v>0</v>
      </c>
      <c r="F337" s="5">
        <f>SUMIFS(Despesas!$F:$F,Despesas!$J:$J,"&lt;="&amp;$A337,Despesas!$L:$L,"&gt;="&amp;$A337,Despesas!$C:$C,F$1,Despesas!$M:$M,"Mensal")+SUMIFS(Despesas!$F:$F,Despesas!$J:$J,"&lt;="&amp;$A337,Despesas!$L:$L,"&gt;="&amp;$A337,Despesas!$C:$C,F$1,Despesas!$M:$M,$B337)</f>
        <v>13000</v>
      </c>
      <c r="G337" s="5">
        <f ca="1">SUMIFS(Despesas!$F:$F,Despesas!$J:$J,"&lt;="&amp;$A337,Despesas!$L:$L,"&gt;="&amp;$A337,Despesas!$C:$C,G$1,Despesas!$M:$M,"Mensal")+SUMIFS(Despesas!$F:$F,Despesas!$J:$J,"&lt;="&amp;$A337,Despesas!$L:$L,"&gt;="&amp;$A337,Despesas!$C:$C,G$1,Despesas!$M:$M,$B337)</f>
        <v>55757</v>
      </c>
      <c r="H337" s="18">
        <f>SUMIFS(Despesas!$F:$F,Despesas!$J:$J,"&lt;="&amp;$A337,Despesas!$L:$L,"&gt;="&amp;$A337,Despesas!$C:$C,H$1,Despesas!$M:$M,"Mensal")+SUMIFS(Despesas!$F:$F,Despesas!$J:$J,"&lt;="&amp;$A337,Despesas!$L:$L,"&gt;="&amp;$A337,Despesas!$C:$C,H$1,Despesas!$M:$M,$B337)</f>
        <v>1000</v>
      </c>
      <c r="I337" s="18">
        <f>IF(Imóveis!$F$2="PRICE",IF(AND(Dados!$A337&gt;=Imóveis!$Q$2,Dados!$A337&lt;=Imóveis!$T$2),Imóveis!$U$2,0),IF((IF(AND(Dados!$A337&gt;=Imóveis!$Q$2,Dados!$A337&lt;=Imóveis!$T$2),Imóveis!$S$2-(DATEDIF(Imóveis!$Q$2,Dados!$A337,"m")),0))=0,0,((Imóveis!$N$2/Imóveis!$S$2)+((Imóveis!$N$2-((Imóveis!$S$2-(IF(AND(Dados!$A337&gt;=Imóveis!$Q$2,Dados!$A337&lt;=Imóveis!$T$2),Imóveis!$S$2-(DATEDIF(Imóveis!$Q$2,Dados!$A337,"m")),)))*(Imóveis!$N$2/Imóveis!$S$2)))*Imóveis!$P$2))))*IF(AND(Imóveis!$E$2&gt;0,Dados!$A337&gt;Imóveis!$E$2),0,1)</f>
        <v>0</v>
      </c>
      <c r="J337" s="18">
        <f>IF(Imóveis!$F$3="PRICE",IF(AND(Dados!$A337&gt;=Imóveis!$Q$3,Dados!$A337&lt;=Imóveis!$T$3),Imóveis!$U$3,0),IF((IF(AND(Dados!$A337&gt;=Imóveis!$Q$3,Dados!$A337&lt;=Imóveis!$T$3),Imóveis!$S$3-(DATEDIF(Imóveis!$Q$3,Dados!$A337,"m")),0))=0,0,((Imóveis!$N$3/Imóveis!$S$3)+((Imóveis!$N$3-((Imóveis!$S$3-(IF(AND(Dados!$A337&gt;=Imóveis!$Q$3,Dados!$A337&lt;=Imóveis!$T$3),Imóveis!$S$3-(DATEDIF(Imóveis!$Q$3,Dados!$A337,"m")),)))*(Imóveis!$N$3/Imóveis!$S$3)))*Imóveis!$P$3))))*IF(AND(Imóveis!$E$3&gt;0,Dados!$A337&gt;Imóveis!$E$3),0,1)</f>
        <v>0</v>
      </c>
      <c r="K337" s="18">
        <f>IF(Imóveis!$F$4="PRICE",IF(AND(Dados!$A337&gt;=Imóveis!$Q$4,Dados!$A337&lt;=Imóveis!$T$4),Imóveis!$U$4,0),IF((IF(AND(Dados!$A337&gt;=Imóveis!$Q$4,Dados!$A337&lt;=Imóveis!$T$4),Imóveis!$S$4-(DATEDIF(Imóveis!$Q$4,Dados!$A337,"m")),0))=0,0,((Imóveis!$N$4/Imóveis!$S$4)+((Imóveis!$N$4-((Imóveis!$S$4-(IF(AND(Dados!$A337&gt;=Imóveis!$Q$4,Dados!$A337&lt;=Imóveis!$T$4),Imóveis!$S$4-(DATEDIF(Imóveis!$Q$4,Dados!$A337,"m")),)))*(Imóveis!$N$4/Imóveis!$S$4)))*Imóveis!$P$4))))*IF(AND(Imóveis!$E$4&gt;0,Dados!$A337&gt;Imóveis!$E$4),0,1)</f>
        <v>0</v>
      </c>
      <c r="L337" s="18">
        <f>IF(Imóveis!$F$5="PRICE",IF(AND(Dados!$A337&gt;=Imóveis!$Q$5,Dados!$A337&lt;=Imóveis!$T$5),Imóveis!$U$5,0),IF((IF(AND(Dados!$A337&gt;=Imóveis!$Q$5,Dados!$A337&lt;=Imóveis!$T$5),Imóveis!$S$5-(DATEDIF(Imóveis!$Q$5,Dados!$A337,"m")),0))=0,0,((Imóveis!$N$5/Imóveis!$S$5)+((Imóveis!$N$5-((Imóveis!$S$5-(IF(AND(Dados!$A337 &gt;=Imóveis!$Q$5,Dados!$A337&lt;=Imóveis!$T$5),Imóveis!$S$5-(DATEDIF(Imóveis!$Q$5,Dados!$A337,"m")),)))*(Imóveis!$N$5/Imóveis!$S$5)))*Imóveis!$P$5))))*IF(AND(Imóveis!$E$5&gt;0,Dados!$A337&gt;Imóveis!$E$5),0,1)*Imóveis!$I$5</f>
        <v>0</v>
      </c>
      <c r="M337" s="18">
        <f>IF(Imóveis!$F$6="PRICE",IF(AND(Dados!$A337&gt;=Imóveis!$Q$6,Dados!$A337&lt;=Imóveis!$T$6),Imóveis!$U$6,0),IF((IF(AND(Dados!$A337&gt;=Imóveis!$Q$6,Dados!$A337&lt;=Imóveis!$T$6),Imóveis!$S$6-(DATEDIF(Imóveis!$Q$6,Dados!$A337,"m")),0))=0,0,((Imóveis!$N$6/Imóveis!$S$6)+((Imóveis!$N$6-((Imóveis!$S$6-(IF(AND(Dados!$A337&gt;=Imóveis!$Q$6,Dados!$A337&lt;=Imóveis!$T$6),Imóveis!$S$6-(DATEDIF(Imóveis!$Q$6,Dados!$A337,"m")),)))*(Imóveis!$N$6/Imóveis!$S$6)))*Imóveis!$P$6))))*IF(AND(Imóveis!$E$6&gt;0,Dados!$A337&gt;Imóveis!$E$6),0,1)*Imóveis!$I$6</f>
        <v>0</v>
      </c>
      <c r="N337" s="18">
        <f t="shared" ca="1" si="45"/>
        <v>92757</v>
      </c>
      <c r="O337" s="18">
        <f>SUMIFS(Receitas!$F:$F,Receitas!$J:$J,"&lt;="&amp;$A337,Receitas!$L:$L,"&gt;="&amp;$A337,Receitas!$C:$C,O$1,Receitas!$M:$M,"Mensal")+SUMIFS(Receitas!$F:$F,Receitas!$J:$J,"&lt;="&amp;$A337,Receitas!$L:$L,"&gt;="&amp;$A337,Receitas!$C:$C,O$1,Receitas!$M:$M,$B337)</f>
        <v>50000</v>
      </c>
      <c r="P337" s="18">
        <f>SUMIFS(Receitas!$F:$F,Receitas!$J:$J,"&lt;="&amp;$A337,Receitas!$L:$L,"&gt;="&amp;$A337,Receitas!$C:$C,P$1,Receitas!$M:$M,"Mensal")+SUMIFS(Receitas!$F:$F,Receitas!$J:$J,"&lt;="&amp;$A337,Receitas!$L:$L,"&gt;="&amp;$A337,Receitas!$C:$C,P$1,Receitas!$M:$M,$B337)</f>
        <v>20000</v>
      </c>
      <c r="Q337" s="18">
        <f>SUMIFS(Receitas!$F:$F,Receitas!$J:$J,"&lt;="&amp;$A337,Receitas!$L:$L,"&gt;="&amp;$A337,Receitas!$C:$C,Q$1,Receitas!$M:$M,"Mensal")+SUMIFS(Receitas!$F:$F,Receitas!$J:$J,"&lt;="&amp;$A337,Receitas!$L:$L,"&gt;="&amp;$A337,Receitas!$C:$C,Q$1,Receitas!$M:$M,$B337)</f>
        <v>0</v>
      </c>
      <c r="R337" s="18" cm="1">
        <f t="array" ref="R337">(IF(AND(Membros!$F$2="Sim",A337&lt;=MAX(Membros!$E$2:$E$5)),Membros!K$2,IF(AND(A337&gt;=Membros!J$2,A337&lt;=MAX(Membros!$E$2:$E$5)),Membros!K$2,0))+IF(AND(Membros!$F$3="Sim",A337&lt;=MAX(Membros!$E$2:$E$5)),Membros!K$3,IF(AND(A337&gt;=Membros!J$3,A337&lt;=MAX(Membros!$E$2:$E$5)),Membros!K$3,0)))*IF(AND(COUNTIFS(Tabela3[Tipo],"Provedor",Tabela3[Simulação Seguro],"Sim")=2,A337&gt;=MAX(IF(Tabela3[Tipo]="Dependente",Tabela3[Expectativa de Vida (Data)]))),0,1)</f>
        <v>0</v>
      </c>
      <c r="S337" s="18">
        <f t="shared" si="46"/>
        <v>70000</v>
      </c>
      <c r="U337" s="18">
        <f t="shared" ca="1" si="49"/>
        <v>21639716.499049269</v>
      </c>
      <c r="V337" s="18">
        <f>SUMIF(Imóveis!E:E,Dados!A:A,Imóveis!Z:Z)-SUMIF(Imóveis!E:E,Dados!A:A,Imóveis!Y:Y)</f>
        <v>0</v>
      </c>
      <c r="W337" s="18">
        <f>-SUMIF(Projetos!N:N,A337,Projetos!F:F)</f>
        <v>0</v>
      </c>
      <c r="X337" s="18">
        <f t="shared" ca="1" si="43"/>
        <v>-22757</v>
      </c>
      <c r="Y337" s="26">
        <f ca="1">(U337*((Indicadores_Economicos!D$2+1)^(1/12)-1))</f>
        <v>70842.800778443809</v>
      </c>
      <c r="Z337" s="18">
        <f t="shared" ca="1" si="47"/>
        <v>21687802.299827714</v>
      </c>
      <c r="AA337" s="18">
        <f ca="1">Auxiliar_Projetos!E337</f>
        <v>1.1687178495297838E-9</v>
      </c>
      <c r="AB337" s="18">
        <f ca="1">Auxiliar_Projetos!K337</f>
        <v>8.9901373040752516E-10</v>
      </c>
      <c r="AC337" s="18">
        <f ca="1">IF(Z337-AA337-AB337&gt;Investimentos!$C$14,Investimentos!$C$14,IF(Z337-AA337-AB337&lt;Investimentos!$C$14,Z337-AA337-AB337,0))</f>
        <v>300000</v>
      </c>
      <c r="AD337" s="18">
        <f t="shared" ca="1" si="48"/>
        <v>21387802.299827714</v>
      </c>
      <c r="AE337" s="18"/>
    </row>
    <row r="338" spans="1:31" x14ac:dyDescent="0.2">
      <c r="A338" s="4">
        <v>55885</v>
      </c>
      <c r="B338" s="5" t="str">
        <f t="shared" si="44"/>
        <v>janeiro</v>
      </c>
      <c r="C338" s="5" t="str">
        <f t="shared" si="42"/>
        <v>2053</v>
      </c>
      <c r="D338" s="5">
        <f>SUMIFS(Despesas!$F:$F,Despesas!$J:$J,"&lt;="&amp;$A338,Despesas!$L:$L,"&gt;="&amp;$A338,Despesas!$C:$C,D$1,Despesas!$M:$M,"Mensal")+SUMIFS(Despesas!$F:$F,Despesas!$J:$J,"&lt;="&amp;$A338,Despesas!$L:$L,"&gt;="&amp;$A338,Despesas!$C:$C,D$1,Despesas!$M:$M,$B338)</f>
        <v>23000</v>
      </c>
      <c r="E338" s="18">
        <f>SUMIFS(Despesas!$F:$F,Despesas!$J:$J,"&lt;="&amp;$A338,Despesas!$L:$L,"&gt;="&amp;$A338,Despesas!$C:$C,E$1,Despesas!$M:$M,"Mensal")+SUMIFS(Despesas!$F:$F,Despesas!$J:$J,"&lt;="&amp;$A338,Despesas!$L:$L,"&gt;="&amp;$A338,Despesas!$C:$C,E$1,Despesas!$M:$M,$B338)</f>
        <v>0</v>
      </c>
      <c r="F338" s="5">
        <f>SUMIFS(Despesas!$F:$F,Despesas!$J:$J,"&lt;="&amp;$A338,Despesas!$L:$L,"&gt;="&amp;$A338,Despesas!$C:$C,F$1,Despesas!$M:$M,"Mensal")+SUMIFS(Despesas!$F:$F,Despesas!$J:$J,"&lt;="&amp;$A338,Despesas!$L:$L,"&gt;="&amp;$A338,Despesas!$C:$C,F$1,Despesas!$M:$M,$B338)</f>
        <v>13000</v>
      </c>
      <c r="G338" s="5">
        <f>SUMIFS(Despesas!$F:$F,Despesas!$J:$J,"&lt;="&amp;$A338,Despesas!$L:$L,"&gt;="&amp;$A338,Despesas!$C:$C,G$1,Despesas!$M:$M,"Mensal")+SUMIFS(Despesas!$F:$F,Despesas!$J:$J,"&lt;="&amp;$A338,Despesas!$L:$L,"&gt;="&amp;$A338,Despesas!$C:$C,G$1,Despesas!$M:$M,$B338)</f>
        <v>0</v>
      </c>
      <c r="H338" s="18">
        <f>SUMIFS(Despesas!$F:$F,Despesas!$J:$J,"&lt;="&amp;$A338,Despesas!$L:$L,"&gt;="&amp;$A338,Despesas!$C:$C,H$1,Despesas!$M:$M,"Mensal")+SUMIFS(Despesas!$F:$F,Despesas!$J:$J,"&lt;="&amp;$A338,Despesas!$L:$L,"&gt;="&amp;$A338,Despesas!$C:$C,H$1,Despesas!$M:$M,$B338)</f>
        <v>1000</v>
      </c>
      <c r="I338" s="18">
        <f>IF(Imóveis!$F$2="PRICE",IF(AND(Dados!$A338&gt;=Imóveis!$Q$2,Dados!$A338&lt;=Imóveis!$T$2),Imóveis!$U$2,0),IF((IF(AND(Dados!$A338&gt;=Imóveis!$Q$2,Dados!$A338&lt;=Imóveis!$T$2),Imóveis!$S$2-(DATEDIF(Imóveis!$Q$2,Dados!$A338,"m")),0))=0,0,((Imóveis!$N$2/Imóveis!$S$2)+((Imóveis!$N$2-((Imóveis!$S$2-(IF(AND(Dados!$A338&gt;=Imóveis!$Q$2,Dados!$A338&lt;=Imóveis!$T$2),Imóveis!$S$2-(DATEDIF(Imóveis!$Q$2,Dados!$A338,"m")),)))*(Imóveis!$N$2/Imóveis!$S$2)))*Imóveis!$P$2))))*IF(AND(Imóveis!$E$2&gt;0,Dados!$A338&gt;Imóveis!$E$2),0,1)</f>
        <v>0</v>
      </c>
      <c r="J338" s="18">
        <f>IF(Imóveis!$F$3="PRICE",IF(AND(Dados!$A338&gt;=Imóveis!$Q$3,Dados!$A338&lt;=Imóveis!$T$3),Imóveis!$U$3,0),IF((IF(AND(Dados!$A338&gt;=Imóveis!$Q$3,Dados!$A338&lt;=Imóveis!$T$3),Imóveis!$S$3-(DATEDIF(Imóveis!$Q$3,Dados!$A338,"m")),0))=0,0,((Imóveis!$N$3/Imóveis!$S$3)+((Imóveis!$N$3-((Imóveis!$S$3-(IF(AND(Dados!$A338&gt;=Imóveis!$Q$3,Dados!$A338&lt;=Imóveis!$T$3),Imóveis!$S$3-(DATEDIF(Imóveis!$Q$3,Dados!$A338,"m")),)))*(Imóveis!$N$3/Imóveis!$S$3)))*Imóveis!$P$3))))*IF(AND(Imóveis!$E$3&gt;0,Dados!$A338&gt;Imóveis!$E$3),0,1)</f>
        <v>0</v>
      </c>
      <c r="K338" s="18">
        <f>IF(Imóveis!$F$4="PRICE",IF(AND(Dados!$A338&gt;=Imóveis!$Q$4,Dados!$A338&lt;=Imóveis!$T$4),Imóveis!$U$4,0),IF((IF(AND(Dados!$A338&gt;=Imóveis!$Q$4,Dados!$A338&lt;=Imóveis!$T$4),Imóveis!$S$4-(DATEDIF(Imóveis!$Q$4,Dados!$A338,"m")),0))=0,0,((Imóveis!$N$4/Imóveis!$S$4)+((Imóveis!$N$4-((Imóveis!$S$4-(IF(AND(Dados!$A338&gt;=Imóveis!$Q$4,Dados!$A338&lt;=Imóveis!$T$4),Imóveis!$S$4-(DATEDIF(Imóveis!$Q$4,Dados!$A338,"m")),)))*(Imóveis!$N$4/Imóveis!$S$4)))*Imóveis!$P$4))))*IF(AND(Imóveis!$E$4&gt;0,Dados!$A338&gt;Imóveis!$E$4),0,1)</f>
        <v>0</v>
      </c>
      <c r="L338" s="18">
        <f>IF(Imóveis!$F$5="PRICE",IF(AND(Dados!$A338&gt;=Imóveis!$Q$5,Dados!$A338&lt;=Imóveis!$T$5),Imóveis!$U$5,0),IF((IF(AND(Dados!$A338&gt;=Imóveis!$Q$5,Dados!$A338&lt;=Imóveis!$T$5),Imóveis!$S$5-(DATEDIF(Imóveis!$Q$5,Dados!$A338,"m")),0))=0,0,((Imóveis!$N$5/Imóveis!$S$5)+((Imóveis!$N$5-((Imóveis!$S$5-(IF(AND(Dados!$A338 &gt;=Imóveis!$Q$5,Dados!$A338&lt;=Imóveis!$T$5),Imóveis!$S$5-(DATEDIF(Imóveis!$Q$5,Dados!$A338,"m")),)))*(Imóveis!$N$5/Imóveis!$S$5)))*Imóveis!$P$5))))*IF(AND(Imóveis!$E$5&gt;0,Dados!$A338&gt;Imóveis!$E$5),0,1)*Imóveis!$I$5</f>
        <v>0</v>
      </c>
      <c r="M338" s="18">
        <f>IF(Imóveis!$F$6="PRICE",IF(AND(Dados!$A338&gt;=Imóveis!$Q$6,Dados!$A338&lt;=Imóveis!$T$6),Imóveis!$U$6,0),IF((IF(AND(Dados!$A338&gt;=Imóveis!$Q$6,Dados!$A338&lt;=Imóveis!$T$6),Imóveis!$S$6-(DATEDIF(Imóveis!$Q$6,Dados!$A338,"m")),0))=0,0,((Imóveis!$N$6/Imóveis!$S$6)+((Imóveis!$N$6-((Imóveis!$S$6-(IF(AND(Dados!$A338&gt;=Imóveis!$Q$6,Dados!$A338&lt;=Imóveis!$T$6),Imóveis!$S$6-(DATEDIF(Imóveis!$Q$6,Dados!$A338,"m")),)))*(Imóveis!$N$6/Imóveis!$S$6)))*Imóveis!$P$6))))*IF(AND(Imóveis!$E$6&gt;0,Dados!$A338&gt;Imóveis!$E$6),0,1)*Imóveis!$I$6</f>
        <v>0</v>
      </c>
      <c r="N338" s="18">
        <f t="shared" si="45"/>
        <v>37000</v>
      </c>
      <c r="O338" s="18">
        <f>SUMIFS(Receitas!$F:$F,Receitas!$J:$J,"&lt;="&amp;$A338,Receitas!$L:$L,"&gt;="&amp;$A338,Receitas!$C:$C,O$1,Receitas!$M:$M,"Mensal")+SUMIFS(Receitas!$F:$F,Receitas!$J:$J,"&lt;="&amp;$A338,Receitas!$L:$L,"&gt;="&amp;$A338,Receitas!$C:$C,O$1,Receitas!$M:$M,$B338)</f>
        <v>50000</v>
      </c>
      <c r="P338" s="18">
        <f>SUMIFS(Receitas!$F:$F,Receitas!$J:$J,"&lt;="&amp;$A338,Receitas!$L:$L,"&gt;="&amp;$A338,Receitas!$C:$C,P$1,Receitas!$M:$M,"Mensal")+SUMIFS(Receitas!$F:$F,Receitas!$J:$J,"&lt;="&amp;$A338,Receitas!$L:$L,"&gt;="&amp;$A338,Receitas!$C:$C,P$1,Receitas!$M:$M,$B338)</f>
        <v>20000</v>
      </c>
      <c r="Q338" s="18">
        <f>SUMIFS(Receitas!$F:$F,Receitas!$J:$J,"&lt;="&amp;$A338,Receitas!$L:$L,"&gt;="&amp;$A338,Receitas!$C:$C,Q$1,Receitas!$M:$M,"Mensal")+SUMIFS(Receitas!$F:$F,Receitas!$J:$J,"&lt;="&amp;$A338,Receitas!$L:$L,"&gt;="&amp;$A338,Receitas!$C:$C,Q$1,Receitas!$M:$M,$B338)</f>
        <v>0</v>
      </c>
      <c r="R338" s="18" cm="1">
        <f t="array" ref="R338">(IF(AND(Membros!$F$2="Sim",A338&lt;=MAX(Membros!$E$2:$E$5)),Membros!K$2,IF(AND(A338&gt;=Membros!J$2,A338&lt;=MAX(Membros!$E$2:$E$5)),Membros!K$2,0))+IF(AND(Membros!$F$3="Sim",A338&lt;=MAX(Membros!$E$2:$E$5)),Membros!K$3,IF(AND(A338&gt;=Membros!J$3,A338&lt;=MAX(Membros!$E$2:$E$5)),Membros!K$3,0)))*IF(AND(COUNTIFS(Tabela3[Tipo],"Provedor",Tabela3[Simulação Seguro],"Sim")=2,A338&gt;=MAX(IF(Tabela3[Tipo]="Dependente",Tabela3[Expectativa de Vida (Data)]))),0,1)</f>
        <v>0</v>
      </c>
      <c r="S338" s="18">
        <f t="shared" si="46"/>
        <v>70000</v>
      </c>
      <c r="U338" s="18">
        <f t="shared" ca="1" si="49"/>
        <v>21687802.299827714</v>
      </c>
      <c r="V338" s="18">
        <f>SUMIF(Imóveis!E:E,Dados!A:A,Imóveis!Z:Z)-SUMIF(Imóveis!E:E,Dados!A:A,Imóveis!Y:Y)</f>
        <v>0</v>
      </c>
      <c r="W338" s="18">
        <f>-SUMIF(Projetos!N:N,A338,Projetos!F:F)</f>
        <v>0</v>
      </c>
      <c r="X338" s="18">
        <f t="shared" si="43"/>
        <v>33000</v>
      </c>
      <c r="Y338" s="26">
        <f ca="1">(U338*((Indicadores_Economicos!D$2+1)^(1/12)-1))</f>
        <v>71000.221177411091</v>
      </c>
      <c r="Z338" s="18">
        <f t="shared" ca="1" si="47"/>
        <v>21791802.521005124</v>
      </c>
      <c r="AA338" s="18">
        <f ca="1">Auxiliar_Projetos!E338</f>
        <v>1.1725439276479555E-9</v>
      </c>
      <c r="AB338" s="18">
        <f ca="1">Auxiliar_Projetos!K338</f>
        <v>9.0195686742150336E-10</v>
      </c>
      <c r="AC338" s="18">
        <f ca="1">IF(Z338-AA338-AB338&gt;Investimentos!$C$14,Investimentos!$C$14,IF(Z338-AA338-AB338&lt;Investimentos!$C$14,Z338-AA338-AB338,0))</f>
        <v>300000</v>
      </c>
      <c r="AD338" s="18">
        <f t="shared" ca="1" si="48"/>
        <v>21491802.521005124</v>
      </c>
      <c r="AE338" s="18"/>
    </row>
    <row r="339" spans="1:31" x14ac:dyDescent="0.2">
      <c r="A339" s="4">
        <v>55916</v>
      </c>
      <c r="B339" s="5" t="str">
        <f t="shared" si="44"/>
        <v>fevereiro</v>
      </c>
      <c r="C339" s="5" t="str">
        <f t="shared" si="42"/>
        <v>2053</v>
      </c>
      <c r="D339" s="5">
        <f>SUMIFS(Despesas!$F:$F,Despesas!$J:$J,"&lt;="&amp;$A339,Despesas!$L:$L,"&gt;="&amp;$A339,Despesas!$C:$C,D$1,Despesas!$M:$M,"Mensal")+SUMIFS(Despesas!$F:$F,Despesas!$J:$J,"&lt;="&amp;$A339,Despesas!$L:$L,"&gt;="&amp;$A339,Despesas!$C:$C,D$1,Despesas!$M:$M,$B339)</f>
        <v>23000</v>
      </c>
      <c r="E339" s="18">
        <f>SUMIFS(Despesas!$F:$F,Despesas!$J:$J,"&lt;="&amp;$A339,Despesas!$L:$L,"&gt;="&amp;$A339,Despesas!$C:$C,E$1,Despesas!$M:$M,"Mensal")+SUMIFS(Despesas!$F:$F,Despesas!$J:$J,"&lt;="&amp;$A339,Despesas!$L:$L,"&gt;="&amp;$A339,Despesas!$C:$C,E$1,Despesas!$M:$M,$B339)</f>
        <v>0</v>
      </c>
      <c r="F339" s="5">
        <f>SUMIFS(Despesas!$F:$F,Despesas!$J:$J,"&lt;="&amp;$A339,Despesas!$L:$L,"&gt;="&amp;$A339,Despesas!$C:$C,F$1,Despesas!$M:$M,"Mensal")+SUMIFS(Despesas!$F:$F,Despesas!$J:$J,"&lt;="&amp;$A339,Despesas!$L:$L,"&gt;="&amp;$A339,Despesas!$C:$C,F$1,Despesas!$M:$M,$B339)</f>
        <v>13000</v>
      </c>
      <c r="G339" s="5">
        <f>SUMIFS(Despesas!$F:$F,Despesas!$J:$J,"&lt;="&amp;$A339,Despesas!$L:$L,"&gt;="&amp;$A339,Despesas!$C:$C,G$1,Despesas!$M:$M,"Mensal")+SUMIFS(Despesas!$F:$F,Despesas!$J:$J,"&lt;="&amp;$A339,Despesas!$L:$L,"&gt;="&amp;$A339,Despesas!$C:$C,G$1,Despesas!$M:$M,$B339)</f>
        <v>0</v>
      </c>
      <c r="H339" s="18">
        <f>SUMIFS(Despesas!$F:$F,Despesas!$J:$J,"&lt;="&amp;$A339,Despesas!$L:$L,"&gt;="&amp;$A339,Despesas!$C:$C,H$1,Despesas!$M:$M,"Mensal")+SUMIFS(Despesas!$F:$F,Despesas!$J:$J,"&lt;="&amp;$A339,Despesas!$L:$L,"&gt;="&amp;$A339,Despesas!$C:$C,H$1,Despesas!$M:$M,$B339)</f>
        <v>2200</v>
      </c>
      <c r="I339" s="18">
        <f>IF(Imóveis!$F$2="PRICE",IF(AND(Dados!$A339&gt;=Imóveis!$Q$2,Dados!$A339&lt;=Imóveis!$T$2),Imóveis!$U$2,0),IF((IF(AND(Dados!$A339&gt;=Imóveis!$Q$2,Dados!$A339&lt;=Imóveis!$T$2),Imóveis!$S$2-(DATEDIF(Imóveis!$Q$2,Dados!$A339,"m")),0))=0,0,((Imóveis!$N$2/Imóveis!$S$2)+((Imóveis!$N$2-((Imóveis!$S$2-(IF(AND(Dados!$A339&gt;=Imóveis!$Q$2,Dados!$A339&lt;=Imóveis!$T$2),Imóveis!$S$2-(DATEDIF(Imóveis!$Q$2,Dados!$A339,"m")),)))*(Imóveis!$N$2/Imóveis!$S$2)))*Imóveis!$P$2))))*IF(AND(Imóveis!$E$2&gt;0,Dados!$A339&gt;Imóveis!$E$2),0,1)</f>
        <v>0</v>
      </c>
      <c r="J339" s="18">
        <f>IF(Imóveis!$F$3="PRICE",IF(AND(Dados!$A339&gt;=Imóveis!$Q$3,Dados!$A339&lt;=Imóveis!$T$3),Imóveis!$U$3,0),IF((IF(AND(Dados!$A339&gt;=Imóveis!$Q$3,Dados!$A339&lt;=Imóveis!$T$3),Imóveis!$S$3-(DATEDIF(Imóveis!$Q$3,Dados!$A339,"m")),0))=0,0,((Imóveis!$N$3/Imóveis!$S$3)+((Imóveis!$N$3-((Imóveis!$S$3-(IF(AND(Dados!$A339&gt;=Imóveis!$Q$3,Dados!$A339&lt;=Imóveis!$T$3),Imóveis!$S$3-(DATEDIF(Imóveis!$Q$3,Dados!$A339,"m")),)))*(Imóveis!$N$3/Imóveis!$S$3)))*Imóveis!$P$3))))*IF(AND(Imóveis!$E$3&gt;0,Dados!$A339&gt;Imóveis!$E$3),0,1)</f>
        <v>0</v>
      </c>
      <c r="K339" s="18">
        <f>IF(Imóveis!$F$4="PRICE",IF(AND(Dados!$A339&gt;=Imóveis!$Q$4,Dados!$A339&lt;=Imóveis!$T$4),Imóveis!$U$4,0),IF((IF(AND(Dados!$A339&gt;=Imóveis!$Q$4,Dados!$A339&lt;=Imóveis!$T$4),Imóveis!$S$4-(DATEDIF(Imóveis!$Q$4,Dados!$A339,"m")),0))=0,0,((Imóveis!$N$4/Imóveis!$S$4)+((Imóveis!$N$4-((Imóveis!$S$4-(IF(AND(Dados!$A339&gt;=Imóveis!$Q$4,Dados!$A339&lt;=Imóveis!$T$4),Imóveis!$S$4-(DATEDIF(Imóveis!$Q$4,Dados!$A339,"m")),)))*(Imóveis!$N$4/Imóveis!$S$4)))*Imóveis!$P$4))))*IF(AND(Imóveis!$E$4&gt;0,Dados!$A339&gt;Imóveis!$E$4),0,1)</f>
        <v>0</v>
      </c>
      <c r="L339" s="18">
        <f>IF(Imóveis!$F$5="PRICE",IF(AND(Dados!$A339&gt;=Imóveis!$Q$5,Dados!$A339&lt;=Imóveis!$T$5),Imóveis!$U$5,0),IF((IF(AND(Dados!$A339&gt;=Imóveis!$Q$5,Dados!$A339&lt;=Imóveis!$T$5),Imóveis!$S$5-(DATEDIF(Imóveis!$Q$5,Dados!$A339,"m")),0))=0,0,((Imóveis!$N$5/Imóveis!$S$5)+((Imóveis!$N$5-((Imóveis!$S$5-(IF(AND(Dados!$A339 &gt;=Imóveis!$Q$5,Dados!$A339&lt;=Imóveis!$T$5),Imóveis!$S$5-(DATEDIF(Imóveis!$Q$5,Dados!$A339,"m")),)))*(Imóveis!$N$5/Imóveis!$S$5)))*Imóveis!$P$5))))*IF(AND(Imóveis!$E$5&gt;0,Dados!$A339&gt;Imóveis!$E$5),0,1)*Imóveis!$I$5</f>
        <v>0</v>
      </c>
      <c r="M339" s="18">
        <f>IF(Imóveis!$F$6="PRICE",IF(AND(Dados!$A339&gt;=Imóveis!$Q$6,Dados!$A339&lt;=Imóveis!$T$6),Imóveis!$U$6,0),IF((IF(AND(Dados!$A339&gt;=Imóveis!$Q$6,Dados!$A339&lt;=Imóveis!$T$6),Imóveis!$S$6-(DATEDIF(Imóveis!$Q$6,Dados!$A339,"m")),0))=0,0,((Imóveis!$N$6/Imóveis!$S$6)+((Imóveis!$N$6-((Imóveis!$S$6-(IF(AND(Dados!$A339&gt;=Imóveis!$Q$6,Dados!$A339&lt;=Imóveis!$T$6),Imóveis!$S$6-(DATEDIF(Imóveis!$Q$6,Dados!$A339,"m")),)))*(Imóveis!$N$6/Imóveis!$S$6)))*Imóveis!$P$6))))*IF(AND(Imóveis!$E$6&gt;0,Dados!$A339&gt;Imóveis!$E$6),0,1)*Imóveis!$I$6</f>
        <v>0</v>
      </c>
      <c r="N339" s="18">
        <f t="shared" si="45"/>
        <v>38200</v>
      </c>
      <c r="O339" s="18">
        <f>SUMIFS(Receitas!$F:$F,Receitas!$J:$J,"&lt;="&amp;$A339,Receitas!$L:$L,"&gt;="&amp;$A339,Receitas!$C:$C,O$1,Receitas!$M:$M,"Mensal")+SUMIFS(Receitas!$F:$F,Receitas!$J:$J,"&lt;="&amp;$A339,Receitas!$L:$L,"&gt;="&amp;$A339,Receitas!$C:$C,O$1,Receitas!$M:$M,$B339)</f>
        <v>50000</v>
      </c>
      <c r="P339" s="18">
        <f>SUMIFS(Receitas!$F:$F,Receitas!$J:$J,"&lt;="&amp;$A339,Receitas!$L:$L,"&gt;="&amp;$A339,Receitas!$C:$C,P$1,Receitas!$M:$M,"Mensal")+SUMIFS(Receitas!$F:$F,Receitas!$J:$J,"&lt;="&amp;$A339,Receitas!$L:$L,"&gt;="&amp;$A339,Receitas!$C:$C,P$1,Receitas!$M:$M,$B339)</f>
        <v>20000</v>
      </c>
      <c r="Q339" s="18">
        <f>SUMIFS(Receitas!$F:$F,Receitas!$J:$J,"&lt;="&amp;$A339,Receitas!$L:$L,"&gt;="&amp;$A339,Receitas!$C:$C,Q$1,Receitas!$M:$M,"Mensal")+SUMIFS(Receitas!$F:$F,Receitas!$J:$J,"&lt;="&amp;$A339,Receitas!$L:$L,"&gt;="&amp;$A339,Receitas!$C:$C,Q$1,Receitas!$M:$M,$B339)</f>
        <v>0</v>
      </c>
      <c r="R339" s="18" cm="1">
        <f t="array" ref="R339">(IF(AND(Membros!$F$2="Sim",A339&lt;=MAX(Membros!$E$2:$E$5)),Membros!K$2,IF(AND(A339&gt;=Membros!J$2,A339&lt;=MAX(Membros!$E$2:$E$5)),Membros!K$2,0))+IF(AND(Membros!$F$3="Sim",A339&lt;=MAX(Membros!$E$2:$E$5)),Membros!K$3,IF(AND(A339&gt;=Membros!J$3,A339&lt;=MAX(Membros!$E$2:$E$5)),Membros!K$3,0)))*IF(AND(COUNTIFS(Tabela3[Tipo],"Provedor",Tabela3[Simulação Seguro],"Sim")=2,A339&gt;=MAX(IF(Tabela3[Tipo]="Dependente",Tabela3[Expectativa de Vida (Data)]))),0,1)</f>
        <v>0</v>
      </c>
      <c r="S339" s="18">
        <f t="shared" si="46"/>
        <v>70000</v>
      </c>
      <c r="U339" s="18">
        <f t="shared" ca="1" si="49"/>
        <v>21791802.521005124</v>
      </c>
      <c r="V339" s="18">
        <f>SUMIF(Imóveis!E:E,Dados!A:A,Imóveis!Z:Z)-SUMIF(Imóveis!E:E,Dados!A:A,Imóveis!Y:Y)</f>
        <v>0</v>
      </c>
      <c r="W339" s="18">
        <f>-SUMIF(Projetos!N:N,A339,Projetos!F:F)</f>
        <v>0</v>
      </c>
      <c r="X339" s="18">
        <f t="shared" si="43"/>
        <v>31800</v>
      </c>
      <c r="Y339" s="26">
        <f ca="1">(U339*((Indicadores_Economicos!D$2+1)^(1/12)-1))</f>
        <v>71340.690838837065</v>
      </c>
      <c r="Z339" s="18">
        <f t="shared" ca="1" si="47"/>
        <v>21894943.21184396</v>
      </c>
      <c r="AA339" s="18">
        <f ca="1">Auxiliar_Projetos!E339</f>
        <v>1.1763825313502724E-9</v>
      </c>
      <c r="AB339" s="18">
        <f ca="1">Auxiliar_Projetos!K339</f>
        <v>9.0490963950020866E-10</v>
      </c>
      <c r="AC339" s="18">
        <f ca="1">IF(Z339-AA339-AB339&gt;Investimentos!$C$14,Investimentos!$C$14,IF(Z339-AA339-AB339&lt;Investimentos!$C$14,Z339-AA339-AB339,0))</f>
        <v>300000</v>
      </c>
      <c r="AD339" s="18">
        <f t="shared" ca="1" si="48"/>
        <v>21594943.21184396</v>
      </c>
      <c r="AE339" s="18"/>
    </row>
    <row r="340" spans="1:31" x14ac:dyDescent="0.2">
      <c r="A340" s="4">
        <v>55944</v>
      </c>
      <c r="B340" s="5" t="str">
        <f t="shared" si="44"/>
        <v>março</v>
      </c>
      <c r="C340" s="5" t="str">
        <f t="shared" si="42"/>
        <v>2053</v>
      </c>
      <c r="D340" s="5">
        <f>SUMIFS(Despesas!$F:$F,Despesas!$J:$J,"&lt;="&amp;$A340,Despesas!$L:$L,"&gt;="&amp;$A340,Despesas!$C:$C,D$1,Despesas!$M:$M,"Mensal")+SUMIFS(Despesas!$F:$F,Despesas!$J:$J,"&lt;="&amp;$A340,Despesas!$L:$L,"&gt;="&amp;$A340,Despesas!$C:$C,D$1,Despesas!$M:$M,$B340)</f>
        <v>23000</v>
      </c>
      <c r="E340" s="18">
        <f>SUMIFS(Despesas!$F:$F,Despesas!$J:$J,"&lt;="&amp;$A340,Despesas!$L:$L,"&gt;="&amp;$A340,Despesas!$C:$C,E$1,Despesas!$M:$M,"Mensal")+SUMIFS(Despesas!$F:$F,Despesas!$J:$J,"&lt;="&amp;$A340,Despesas!$L:$L,"&gt;="&amp;$A340,Despesas!$C:$C,E$1,Despesas!$M:$M,$B340)</f>
        <v>0</v>
      </c>
      <c r="F340" s="5">
        <f>SUMIFS(Despesas!$F:$F,Despesas!$J:$J,"&lt;="&amp;$A340,Despesas!$L:$L,"&gt;="&amp;$A340,Despesas!$C:$C,F$1,Despesas!$M:$M,"Mensal")+SUMIFS(Despesas!$F:$F,Despesas!$J:$J,"&lt;="&amp;$A340,Despesas!$L:$L,"&gt;="&amp;$A340,Despesas!$C:$C,F$1,Despesas!$M:$M,$B340)</f>
        <v>13000</v>
      </c>
      <c r="G340" s="5">
        <f>SUMIFS(Despesas!$F:$F,Despesas!$J:$J,"&lt;="&amp;$A340,Despesas!$L:$L,"&gt;="&amp;$A340,Despesas!$C:$C,G$1,Despesas!$M:$M,"Mensal")+SUMIFS(Despesas!$F:$F,Despesas!$J:$J,"&lt;="&amp;$A340,Despesas!$L:$L,"&gt;="&amp;$A340,Despesas!$C:$C,G$1,Despesas!$M:$M,$B340)</f>
        <v>0</v>
      </c>
      <c r="H340" s="18">
        <f>SUMIFS(Despesas!$F:$F,Despesas!$J:$J,"&lt;="&amp;$A340,Despesas!$L:$L,"&gt;="&amp;$A340,Despesas!$C:$C,H$1,Despesas!$M:$M,"Mensal")+SUMIFS(Despesas!$F:$F,Despesas!$J:$J,"&lt;="&amp;$A340,Despesas!$L:$L,"&gt;="&amp;$A340,Despesas!$C:$C,H$1,Despesas!$M:$M,$B340)</f>
        <v>1000</v>
      </c>
      <c r="I340" s="18">
        <f>IF(Imóveis!$F$2="PRICE",IF(AND(Dados!$A340&gt;=Imóveis!$Q$2,Dados!$A340&lt;=Imóveis!$T$2),Imóveis!$U$2,0),IF((IF(AND(Dados!$A340&gt;=Imóveis!$Q$2,Dados!$A340&lt;=Imóveis!$T$2),Imóveis!$S$2-(DATEDIF(Imóveis!$Q$2,Dados!$A340,"m")),0))=0,0,((Imóveis!$N$2/Imóveis!$S$2)+((Imóveis!$N$2-((Imóveis!$S$2-(IF(AND(Dados!$A340&gt;=Imóveis!$Q$2,Dados!$A340&lt;=Imóveis!$T$2),Imóveis!$S$2-(DATEDIF(Imóveis!$Q$2,Dados!$A340,"m")),)))*(Imóveis!$N$2/Imóveis!$S$2)))*Imóveis!$P$2))))*IF(AND(Imóveis!$E$2&gt;0,Dados!$A340&gt;Imóveis!$E$2),0,1)</f>
        <v>0</v>
      </c>
      <c r="J340" s="18">
        <f>IF(Imóveis!$F$3="PRICE",IF(AND(Dados!$A340&gt;=Imóveis!$Q$3,Dados!$A340&lt;=Imóveis!$T$3),Imóveis!$U$3,0),IF((IF(AND(Dados!$A340&gt;=Imóveis!$Q$3,Dados!$A340&lt;=Imóveis!$T$3),Imóveis!$S$3-(DATEDIF(Imóveis!$Q$3,Dados!$A340,"m")),0))=0,0,((Imóveis!$N$3/Imóveis!$S$3)+((Imóveis!$N$3-((Imóveis!$S$3-(IF(AND(Dados!$A340&gt;=Imóveis!$Q$3,Dados!$A340&lt;=Imóveis!$T$3),Imóveis!$S$3-(DATEDIF(Imóveis!$Q$3,Dados!$A340,"m")),)))*(Imóveis!$N$3/Imóveis!$S$3)))*Imóveis!$P$3))))*IF(AND(Imóveis!$E$3&gt;0,Dados!$A340&gt;Imóveis!$E$3),0,1)</f>
        <v>0</v>
      </c>
      <c r="K340" s="18">
        <f>IF(Imóveis!$F$4="PRICE",IF(AND(Dados!$A340&gt;=Imóveis!$Q$4,Dados!$A340&lt;=Imóveis!$T$4),Imóveis!$U$4,0),IF((IF(AND(Dados!$A340&gt;=Imóveis!$Q$4,Dados!$A340&lt;=Imóveis!$T$4),Imóveis!$S$4-(DATEDIF(Imóveis!$Q$4,Dados!$A340,"m")),0))=0,0,((Imóveis!$N$4/Imóveis!$S$4)+((Imóveis!$N$4-((Imóveis!$S$4-(IF(AND(Dados!$A340&gt;=Imóveis!$Q$4,Dados!$A340&lt;=Imóveis!$T$4),Imóveis!$S$4-(DATEDIF(Imóveis!$Q$4,Dados!$A340,"m")),)))*(Imóveis!$N$4/Imóveis!$S$4)))*Imóveis!$P$4))))*IF(AND(Imóveis!$E$4&gt;0,Dados!$A340&gt;Imóveis!$E$4),0,1)</f>
        <v>0</v>
      </c>
      <c r="L340" s="18">
        <f>IF(Imóveis!$F$5="PRICE",IF(AND(Dados!$A340&gt;=Imóveis!$Q$5,Dados!$A340&lt;=Imóveis!$T$5),Imóveis!$U$5,0),IF((IF(AND(Dados!$A340&gt;=Imóveis!$Q$5,Dados!$A340&lt;=Imóveis!$T$5),Imóveis!$S$5-(DATEDIF(Imóveis!$Q$5,Dados!$A340,"m")),0))=0,0,((Imóveis!$N$5/Imóveis!$S$5)+((Imóveis!$N$5-((Imóveis!$S$5-(IF(AND(Dados!$A340 &gt;=Imóveis!$Q$5,Dados!$A340&lt;=Imóveis!$T$5),Imóveis!$S$5-(DATEDIF(Imóveis!$Q$5,Dados!$A340,"m")),)))*(Imóveis!$N$5/Imóveis!$S$5)))*Imóveis!$P$5))))*IF(AND(Imóveis!$E$5&gt;0,Dados!$A340&gt;Imóveis!$E$5),0,1)*Imóveis!$I$5</f>
        <v>0</v>
      </c>
      <c r="M340" s="18">
        <f>IF(Imóveis!$F$6="PRICE",IF(AND(Dados!$A340&gt;=Imóveis!$Q$6,Dados!$A340&lt;=Imóveis!$T$6),Imóveis!$U$6,0),IF((IF(AND(Dados!$A340&gt;=Imóveis!$Q$6,Dados!$A340&lt;=Imóveis!$T$6),Imóveis!$S$6-(DATEDIF(Imóveis!$Q$6,Dados!$A340,"m")),0))=0,0,((Imóveis!$N$6/Imóveis!$S$6)+((Imóveis!$N$6-((Imóveis!$S$6-(IF(AND(Dados!$A340&gt;=Imóveis!$Q$6,Dados!$A340&lt;=Imóveis!$T$6),Imóveis!$S$6-(DATEDIF(Imóveis!$Q$6,Dados!$A340,"m")),)))*(Imóveis!$N$6/Imóveis!$S$6)))*Imóveis!$P$6))))*IF(AND(Imóveis!$E$6&gt;0,Dados!$A340&gt;Imóveis!$E$6),0,1)*Imóveis!$I$6</f>
        <v>0</v>
      </c>
      <c r="N340" s="18">
        <f t="shared" si="45"/>
        <v>37000</v>
      </c>
      <c r="O340" s="18">
        <f>SUMIFS(Receitas!$F:$F,Receitas!$J:$J,"&lt;="&amp;$A340,Receitas!$L:$L,"&gt;="&amp;$A340,Receitas!$C:$C,O$1,Receitas!$M:$M,"Mensal")+SUMIFS(Receitas!$F:$F,Receitas!$J:$J,"&lt;="&amp;$A340,Receitas!$L:$L,"&gt;="&amp;$A340,Receitas!$C:$C,O$1,Receitas!$M:$M,$B340)</f>
        <v>50000</v>
      </c>
      <c r="P340" s="18">
        <f>SUMIFS(Receitas!$F:$F,Receitas!$J:$J,"&lt;="&amp;$A340,Receitas!$L:$L,"&gt;="&amp;$A340,Receitas!$C:$C,P$1,Receitas!$M:$M,"Mensal")+SUMIFS(Receitas!$F:$F,Receitas!$J:$J,"&lt;="&amp;$A340,Receitas!$L:$L,"&gt;="&amp;$A340,Receitas!$C:$C,P$1,Receitas!$M:$M,$B340)</f>
        <v>20000</v>
      </c>
      <c r="Q340" s="18">
        <f>SUMIFS(Receitas!$F:$F,Receitas!$J:$J,"&lt;="&amp;$A340,Receitas!$L:$L,"&gt;="&amp;$A340,Receitas!$C:$C,Q$1,Receitas!$M:$M,"Mensal")+SUMIFS(Receitas!$F:$F,Receitas!$J:$J,"&lt;="&amp;$A340,Receitas!$L:$L,"&gt;="&amp;$A340,Receitas!$C:$C,Q$1,Receitas!$M:$M,$B340)</f>
        <v>0</v>
      </c>
      <c r="R340" s="18" cm="1">
        <f t="array" ref="R340">(IF(AND(Membros!$F$2="Sim",A340&lt;=MAX(Membros!$E$2:$E$5)),Membros!K$2,IF(AND(A340&gt;=Membros!J$2,A340&lt;=MAX(Membros!$E$2:$E$5)),Membros!K$2,0))+IF(AND(Membros!$F$3="Sim",A340&lt;=MAX(Membros!$E$2:$E$5)),Membros!K$3,IF(AND(A340&gt;=Membros!J$3,A340&lt;=MAX(Membros!$E$2:$E$5)),Membros!K$3,0)))*IF(AND(COUNTIFS(Tabela3[Tipo],"Provedor",Tabela3[Simulação Seguro],"Sim")=2,A340&gt;=MAX(IF(Tabela3[Tipo]="Dependente",Tabela3[Expectativa de Vida (Data)]))),0,1)</f>
        <v>0</v>
      </c>
      <c r="S340" s="18">
        <f t="shared" si="46"/>
        <v>70000</v>
      </c>
      <c r="U340" s="18">
        <f t="shared" ca="1" si="49"/>
        <v>21894943.21184396</v>
      </c>
      <c r="V340" s="18">
        <f>SUMIF(Imóveis!E:E,Dados!A:A,Imóveis!Z:Z)-SUMIF(Imóveis!E:E,Dados!A:A,Imóveis!Y:Y)</f>
        <v>0</v>
      </c>
      <c r="W340" s="18">
        <f>-SUMIF(Projetos!N:N,A340,Projetos!F:F)</f>
        <v>0</v>
      </c>
      <c r="X340" s="18">
        <f t="shared" si="43"/>
        <v>33000</v>
      </c>
      <c r="Y340" s="26">
        <f ca="1">(U340*((Indicadores_Economicos!D$2+1)^(1/12)-1))</f>
        <v>71678.346621599645</v>
      </c>
      <c r="Z340" s="18">
        <f t="shared" ca="1" si="47"/>
        <v>21999621.558465559</v>
      </c>
      <c r="AA340" s="18">
        <f ca="1">Auxiliar_Projetos!E340</f>
        <v>1.1802337016422376E-9</v>
      </c>
      <c r="AB340" s="18">
        <f ca="1">Auxiliar_Projetos!K340</f>
        <v>9.0787207818633573E-10</v>
      </c>
      <c r="AC340" s="18">
        <f ca="1">IF(Z340-AA340-AB340&gt;Investimentos!$C$14,Investimentos!$C$14,IF(Z340-AA340-AB340&lt;Investimentos!$C$14,Z340-AA340-AB340,0))</f>
        <v>300000</v>
      </c>
      <c r="AD340" s="18">
        <f t="shared" ca="1" si="48"/>
        <v>21699621.558465559</v>
      </c>
      <c r="AE340" s="18"/>
    </row>
    <row r="341" spans="1:31" x14ac:dyDescent="0.2">
      <c r="A341" s="4">
        <v>55975</v>
      </c>
      <c r="B341" s="5" t="str">
        <f t="shared" si="44"/>
        <v>abril</v>
      </c>
      <c r="C341" s="5" t="str">
        <f t="shared" si="42"/>
        <v>2053</v>
      </c>
      <c r="D341" s="5">
        <f>SUMIFS(Despesas!$F:$F,Despesas!$J:$J,"&lt;="&amp;$A341,Despesas!$L:$L,"&gt;="&amp;$A341,Despesas!$C:$C,D$1,Despesas!$M:$M,"Mensal")+SUMIFS(Despesas!$F:$F,Despesas!$J:$J,"&lt;="&amp;$A341,Despesas!$L:$L,"&gt;="&amp;$A341,Despesas!$C:$C,D$1,Despesas!$M:$M,$B341)</f>
        <v>23000</v>
      </c>
      <c r="E341" s="18">
        <f>SUMIFS(Despesas!$F:$F,Despesas!$J:$J,"&lt;="&amp;$A341,Despesas!$L:$L,"&gt;="&amp;$A341,Despesas!$C:$C,E$1,Despesas!$M:$M,"Mensal")+SUMIFS(Despesas!$F:$F,Despesas!$J:$J,"&lt;="&amp;$A341,Despesas!$L:$L,"&gt;="&amp;$A341,Despesas!$C:$C,E$1,Despesas!$M:$M,$B341)</f>
        <v>0</v>
      </c>
      <c r="F341" s="5">
        <f>SUMIFS(Despesas!$F:$F,Despesas!$J:$J,"&lt;="&amp;$A341,Despesas!$L:$L,"&gt;="&amp;$A341,Despesas!$C:$C,F$1,Despesas!$M:$M,"Mensal")+SUMIFS(Despesas!$F:$F,Despesas!$J:$J,"&lt;="&amp;$A341,Despesas!$L:$L,"&gt;="&amp;$A341,Despesas!$C:$C,F$1,Despesas!$M:$M,$B341)</f>
        <v>13000</v>
      </c>
      <c r="G341" s="5">
        <f>SUMIFS(Despesas!$F:$F,Despesas!$J:$J,"&lt;="&amp;$A341,Despesas!$L:$L,"&gt;="&amp;$A341,Despesas!$C:$C,G$1,Despesas!$M:$M,"Mensal")+SUMIFS(Despesas!$F:$F,Despesas!$J:$J,"&lt;="&amp;$A341,Despesas!$L:$L,"&gt;="&amp;$A341,Despesas!$C:$C,G$1,Despesas!$M:$M,$B341)</f>
        <v>0</v>
      </c>
      <c r="H341" s="18">
        <f>SUMIFS(Despesas!$F:$F,Despesas!$J:$J,"&lt;="&amp;$A341,Despesas!$L:$L,"&gt;="&amp;$A341,Despesas!$C:$C,H$1,Despesas!$M:$M,"Mensal")+SUMIFS(Despesas!$F:$F,Despesas!$J:$J,"&lt;="&amp;$A341,Despesas!$L:$L,"&gt;="&amp;$A341,Despesas!$C:$C,H$1,Despesas!$M:$M,$B341)</f>
        <v>1000</v>
      </c>
      <c r="I341" s="18">
        <f>IF(Imóveis!$F$2="PRICE",IF(AND(Dados!$A341&gt;=Imóveis!$Q$2,Dados!$A341&lt;=Imóveis!$T$2),Imóveis!$U$2,0),IF((IF(AND(Dados!$A341&gt;=Imóveis!$Q$2,Dados!$A341&lt;=Imóveis!$T$2),Imóveis!$S$2-(DATEDIF(Imóveis!$Q$2,Dados!$A341,"m")),0))=0,0,((Imóveis!$N$2/Imóveis!$S$2)+((Imóveis!$N$2-((Imóveis!$S$2-(IF(AND(Dados!$A341&gt;=Imóveis!$Q$2,Dados!$A341&lt;=Imóveis!$T$2),Imóveis!$S$2-(DATEDIF(Imóveis!$Q$2,Dados!$A341,"m")),)))*(Imóveis!$N$2/Imóveis!$S$2)))*Imóveis!$P$2))))*IF(AND(Imóveis!$E$2&gt;0,Dados!$A341&gt;Imóveis!$E$2),0,1)</f>
        <v>0</v>
      </c>
      <c r="J341" s="18">
        <f>IF(Imóveis!$F$3="PRICE",IF(AND(Dados!$A341&gt;=Imóveis!$Q$3,Dados!$A341&lt;=Imóveis!$T$3),Imóveis!$U$3,0),IF((IF(AND(Dados!$A341&gt;=Imóveis!$Q$3,Dados!$A341&lt;=Imóveis!$T$3),Imóveis!$S$3-(DATEDIF(Imóveis!$Q$3,Dados!$A341,"m")),0))=0,0,((Imóveis!$N$3/Imóveis!$S$3)+((Imóveis!$N$3-((Imóveis!$S$3-(IF(AND(Dados!$A341&gt;=Imóveis!$Q$3,Dados!$A341&lt;=Imóveis!$T$3),Imóveis!$S$3-(DATEDIF(Imóveis!$Q$3,Dados!$A341,"m")),)))*(Imóveis!$N$3/Imóveis!$S$3)))*Imóveis!$P$3))))*IF(AND(Imóveis!$E$3&gt;0,Dados!$A341&gt;Imóveis!$E$3),0,1)</f>
        <v>0</v>
      </c>
      <c r="K341" s="18">
        <f>IF(Imóveis!$F$4="PRICE",IF(AND(Dados!$A341&gt;=Imóveis!$Q$4,Dados!$A341&lt;=Imóveis!$T$4),Imóveis!$U$4,0),IF((IF(AND(Dados!$A341&gt;=Imóveis!$Q$4,Dados!$A341&lt;=Imóveis!$T$4),Imóveis!$S$4-(DATEDIF(Imóveis!$Q$4,Dados!$A341,"m")),0))=0,0,((Imóveis!$N$4/Imóveis!$S$4)+((Imóveis!$N$4-((Imóveis!$S$4-(IF(AND(Dados!$A341&gt;=Imóveis!$Q$4,Dados!$A341&lt;=Imóveis!$T$4),Imóveis!$S$4-(DATEDIF(Imóveis!$Q$4,Dados!$A341,"m")),)))*(Imóveis!$N$4/Imóveis!$S$4)))*Imóveis!$P$4))))*IF(AND(Imóveis!$E$4&gt;0,Dados!$A341&gt;Imóveis!$E$4),0,1)</f>
        <v>0</v>
      </c>
      <c r="L341" s="18">
        <f>IF(Imóveis!$F$5="PRICE",IF(AND(Dados!$A341&gt;=Imóveis!$Q$5,Dados!$A341&lt;=Imóveis!$T$5),Imóveis!$U$5,0),IF((IF(AND(Dados!$A341&gt;=Imóveis!$Q$5,Dados!$A341&lt;=Imóveis!$T$5),Imóveis!$S$5-(DATEDIF(Imóveis!$Q$5,Dados!$A341,"m")),0))=0,0,((Imóveis!$N$5/Imóveis!$S$5)+((Imóveis!$N$5-((Imóveis!$S$5-(IF(AND(Dados!$A341 &gt;=Imóveis!$Q$5,Dados!$A341&lt;=Imóveis!$T$5),Imóveis!$S$5-(DATEDIF(Imóveis!$Q$5,Dados!$A341,"m")),)))*(Imóveis!$N$5/Imóveis!$S$5)))*Imóveis!$P$5))))*IF(AND(Imóveis!$E$5&gt;0,Dados!$A341&gt;Imóveis!$E$5),0,1)*Imóveis!$I$5</f>
        <v>0</v>
      </c>
      <c r="M341" s="18">
        <f>IF(Imóveis!$F$6="PRICE",IF(AND(Dados!$A341&gt;=Imóveis!$Q$6,Dados!$A341&lt;=Imóveis!$T$6),Imóveis!$U$6,0),IF((IF(AND(Dados!$A341&gt;=Imóveis!$Q$6,Dados!$A341&lt;=Imóveis!$T$6),Imóveis!$S$6-(DATEDIF(Imóveis!$Q$6,Dados!$A341,"m")),0))=0,0,((Imóveis!$N$6/Imóveis!$S$6)+((Imóveis!$N$6-((Imóveis!$S$6-(IF(AND(Dados!$A341&gt;=Imóveis!$Q$6,Dados!$A341&lt;=Imóveis!$T$6),Imóveis!$S$6-(DATEDIF(Imóveis!$Q$6,Dados!$A341,"m")),)))*(Imóveis!$N$6/Imóveis!$S$6)))*Imóveis!$P$6))))*IF(AND(Imóveis!$E$6&gt;0,Dados!$A341&gt;Imóveis!$E$6),0,1)*Imóveis!$I$6</f>
        <v>0</v>
      </c>
      <c r="N341" s="18">
        <f t="shared" si="45"/>
        <v>37000</v>
      </c>
      <c r="O341" s="18">
        <f>SUMIFS(Receitas!$F:$F,Receitas!$J:$J,"&lt;="&amp;$A341,Receitas!$L:$L,"&gt;="&amp;$A341,Receitas!$C:$C,O$1,Receitas!$M:$M,"Mensal")+SUMIFS(Receitas!$F:$F,Receitas!$J:$J,"&lt;="&amp;$A341,Receitas!$L:$L,"&gt;="&amp;$A341,Receitas!$C:$C,O$1,Receitas!$M:$M,$B341)</f>
        <v>50000</v>
      </c>
      <c r="P341" s="18">
        <f>SUMIFS(Receitas!$F:$F,Receitas!$J:$J,"&lt;="&amp;$A341,Receitas!$L:$L,"&gt;="&amp;$A341,Receitas!$C:$C,P$1,Receitas!$M:$M,"Mensal")+SUMIFS(Receitas!$F:$F,Receitas!$J:$J,"&lt;="&amp;$A341,Receitas!$L:$L,"&gt;="&amp;$A341,Receitas!$C:$C,P$1,Receitas!$M:$M,$B341)</f>
        <v>85000</v>
      </c>
      <c r="Q341" s="18">
        <f>SUMIFS(Receitas!$F:$F,Receitas!$J:$J,"&lt;="&amp;$A341,Receitas!$L:$L,"&gt;="&amp;$A341,Receitas!$C:$C,Q$1,Receitas!$M:$M,"Mensal")+SUMIFS(Receitas!$F:$F,Receitas!$J:$J,"&lt;="&amp;$A341,Receitas!$L:$L,"&gt;="&amp;$A341,Receitas!$C:$C,Q$1,Receitas!$M:$M,$B341)</f>
        <v>0</v>
      </c>
      <c r="R341" s="18" cm="1">
        <f t="array" ref="R341">(IF(AND(Membros!$F$2="Sim",A341&lt;=MAX(Membros!$E$2:$E$5)),Membros!K$2,IF(AND(A341&gt;=Membros!J$2,A341&lt;=MAX(Membros!$E$2:$E$5)),Membros!K$2,0))+IF(AND(Membros!$F$3="Sim",A341&lt;=MAX(Membros!$E$2:$E$5)),Membros!K$3,IF(AND(A341&gt;=Membros!J$3,A341&lt;=MAX(Membros!$E$2:$E$5)),Membros!K$3,0)))*IF(AND(COUNTIFS(Tabela3[Tipo],"Provedor",Tabela3[Simulação Seguro],"Sim")=2,A341&gt;=MAX(IF(Tabela3[Tipo]="Dependente",Tabela3[Expectativa de Vida (Data)]))),0,1)</f>
        <v>0</v>
      </c>
      <c r="S341" s="18">
        <f t="shared" si="46"/>
        <v>135000</v>
      </c>
      <c r="U341" s="18">
        <f t="shared" ca="1" si="49"/>
        <v>21999621.558465559</v>
      </c>
      <c r="V341" s="18">
        <f>SUMIF(Imóveis!E:E,Dados!A:A,Imóveis!Z:Z)-SUMIF(Imóveis!E:E,Dados!A:A,Imóveis!Y:Y)</f>
        <v>0</v>
      </c>
      <c r="W341" s="18">
        <f>-SUMIF(Projetos!N:N,A341,Projetos!F:F)</f>
        <v>0</v>
      </c>
      <c r="X341" s="18">
        <f t="shared" si="43"/>
        <v>98000</v>
      </c>
      <c r="Y341" s="26">
        <f ca="1">(U341*((Indicadores_Economicos!D$2+1)^(1/12)-1))</f>
        <v>72021.036289269585</v>
      </c>
      <c r="Z341" s="18">
        <f t="shared" ca="1" si="47"/>
        <v>22169642.59475483</v>
      </c>
      <c r="AA341" s="18">
        <f ca="1">Auxiliar_Projetos!E341</f>
        <v>1.1840974796635956E-9</v>
      </c>
      <c r="AB341" s="18">
        <f ca="1">Auxiliar_Projetos!K341</f>
        <v>9.1084421512584197E-10</v>
      </c>
      <c r="AC341" s="18">
        <f ca="1">IF(Z341-AA341-AB341&gt;Investimentos!$C$14,Investimentos!$C$14,IF(Z341-AA341-AB341&lt;Investimentos!$C$14,Z341-AA341-AB341,0))</f>
        <v>300000</v>
      </c>
      <c r="AD341" s="18">
        <f t="shared" ca="1" si="48"/>
        <v>21869642.59475483</v>
      </c>
      <c r="AE341" s="18"/>
    </row>
    <row r="342" spans="1:31" x14ac:dyDescent="0.2">
      <c r="A342" s="4">
        <v>56005</v>
      </c>
      <c r="B342" s="5" t="str">
        <f t="shared" si="44"/>
        <v>maio</v>
      </c>
      <c r="C342" s="5" t="str">
        <f t="shared" si="42"/>
        <v>2053</v>
      </c>
      <c r="D342" s="5">
        <f>SUMIFS(Despesas!$F:$F,Despesas!$J:$J,"&lt;="&amp;$A342,Despesas!$L:$L,"&gt;="&amp;$A342,Despesas!$C:$C,D$1,Despesas!$M:$M,"Mensal")+SUMIFS(Despesas!$F:$F,Despesas!$J:$J,"&lt;="&amp;$A342,Despesas!$L:$L,"&gt;="&amp;$A342,Despesas!$C:$C,D$1,Despesas!$M:$M,$B342)</f>
        <v>23000</v>
      </c>
      <c r="E342" s="18">
        <f>SUMIFS(Despesas!$F:$F,Despesas!$J:$J,"&lt;="&amp;$A342,Despesas!$L:$L,"&gt;="&amp;$A342,Despesas!$C:$C,E$1,Despesas!$M:$M,"Mensal")+SUMIFS(Despesas!$F:$F,Despesas!$J:$J,"&lt;="&amp;$A342,Despesas!$L:$L,"&gt;="&amp;$A342,Despesas!$C:$C,E$1,Despesas!$M:$M,$B342)</f>
        <v>0</v>
      </c>
      <c r="F342" s="5">
        <f>SUMIFS(Despesas!$F:$F,Despesas!$J:$J,"&lt;="&amp;$A342,Despesas!$L:$L,"&gt;="&amp;$A342,Despesas!$C:$C,F$1,Despesas!$M:$M,"Mensal")+SUMIFS(Despesas!$F:$F,Despesas!$J:$J,"&lt;="&amp;$A342,Despesas!$L:$L,"&gt;="&amp;$A342,Despesas!$C:$C,F$1,Despesas!$M:$M,$B342)</f>
        <v>13000</v>
      </c>
      <c r="G342" s="5">
        <f>SUMIFS(Despesas!$F:$F,Despesas!$J:$J,"&lt;="&amp;$A342,Despesas!$L:$L,"&gt;="&amp;$A342,Despesas!$C:$C,G$1,Despesas!$M:$M,"Mensal")+SUMIFS(Despesas!$F:$F,Despesas!$J:$J,"&lt;="&amp;$A342,Despesas!$L:$L,"&gt;="&amp;$A342,Despesas!$C:$C,G$1,Despesas!$M:$M,$B342)</f>
        <v>0</v>
      </c>
      <c r="H342" s="18">
        <f>SUMIFS(Despesas!$F:$F,Despesas!$J:$J,"&lt;="&amp;$A342,Despesas!$L:$L,"&gt;="&amp;$A342,Despesas!$C:$C,H$1,Despesas!$M:$M,"Mensal")+SUMIFS(Despesas!$F:$F,Despesas!$J:$J,"&lt;="&amp;$A342,Despesas!$L:$L,"&gt;="&amp;$A342,Despesas!$C:$C,H$1,Despesas!$M:$M,$B342)</f>
        <v>1000</v>
      </c>
      <c r="I342" s="18">
        <f>IF(Imóveis!$F$2="PRICE",IF(AND(Dados!$A342&gt;=Imóveis!$Q$2,Dados!$A342&lt;=Imóveis!$T$2),Imóveis!$U$2,0),IF((IF(AND(Dados!$A342&gt;=Imóveis!$Q$2,Dados!$A342&lt;=Imóveis!$T$2),Imóveis!$S$2-(DATEDIF(Imóveis!$Q$2,Dados!$A342,"m")),0))=0,0,((Imóveis!$N$2/Imóveis!$S$2)+((Imóveis!$N$2-((Imóveis!$S$2-(IF(AND(Dados!$A342&gt;=Imóveis!$Q$2,Dados!$A342&lt;=Imóveis!$T$2),Imóveis!$S$2-(DATEDIF(Imóveis!$Q$2,Dados!$A342,"m")),)))*(Imóveis!$N$2/Imóveis!$S$2)))*Imóveis!$P$2))))*IF(AND(Imóveis!$E$2&gt;0,Dados!$A342&gt;Imóveis!$E$2),0,1)</f>
        <v>0</v>
      </c>
      <c r="J342" s="18">
        <f>IF(Imóveis!$F$3="PRICE",IF(AND(Dados!$A342&gt;=Imóveis!$Q$3,Dados!$A342&lt;=Imóveis!$T$3),Imóveis!$U$3,0),IF((IF(AND(Dados!$A342&gt;=Imóveis!$Q$3,Dados!$A342&lt;=Imóveis!$T$3),Imóveis!$S$3-(DATEDIF(Imóveis!$Q$3,Dados!$A342,"m")),0))=0,0,((Imóveis!$N$3/Imóveis!$S$3)+((Imóveis!$N$3-((Imóveis!$S$3-(IF(AND(Dados!$A342&gt;=Imóveis!$Q$3,Dados!$A342&lt;=Imóveis!$T$3),Imóveis!$S$3-(DATEDIF(Imóveis!$Q$3,Dados!$A342,"m")),)))*(Imóveis!$N$3/Imóveis!$S$3)))*Imóveis!$P$3))))*IF(AND(Imóveis!$E$3&gt;0,Dados!$A342&gt;Imóveis!$E$3),0,1)</f>
        <v>0</v>
      </c>
      <c r="K342" s="18">
        <f>IF(Imóveis!$F$4="PRICE",IF(AND(Dados!$A342&gt;=Imóveis!$Q$4,Dados!$A342&lt;=Imóveis!$T$4),Imóveis!$U$4,0),IF((IF(AND(Dados!$A342&gt;=Imóveis!$Q$4,Dados!$A342&lt;=Imóveis!$T$4),Imóveis!$S$4-(DATEDIF(Imóveis!$Q$4,Dados!$A342,"m")),0))=0,0,((Imóveis!$N$4/Imóveis!$S$4)+((Imóveis!$N$4-((Imóveis!$S$4-(IF(AND(Dados!$A342&gt;=Imóveis!$Q$4,Dados!$A342&lt;=Imóveis!$T$4),Imóveis!$S$4-(DATEDIF(Imóveis!$Q$4,Dados!$A342,"m")),)))*(Imóveis!$N$4/Imóveis!$S$4)))*Imóveis!$P$4))))*IF(AND(Imóveis!$E$4&gt;0,Dados!$A342&gt;Imóveis!$E$4),0,1)</f>
        <v>0</v>
      </c>
      <c r="L342" s="18">
        <f>IF(Imóveis!$F$5="PRICE",IF(AND(Dados!$A342&gt;=Imóveis!$Q$5,Dados!$A342&lt;=Imóveis!$T$5),Imóveis!$U$5,0),IF((IF(AND(Dados!$A342&gt;=Imóveis!$Q$5,Dados!$A342&lt;=Imóveis!$T$5),Imóveis!$S$5-(DATEDIF(Imóveis!$Q$5,Dados!$A342,"m")),0))=0,0,((Imóveis!$N$5/Imóveis!$S$5)+((Imóveis!$N$5-((Imóveis!$S$5-(IF(AND(Dados!$A342 &gt;=Imóveis!$Q$5,Dados!$A342&lt;=Imóveis!$T$5),Imóveis!$S$5-(DATEDIF(Imóveis!$Q$5,Dados!$A342,"m")),)))*(Imóveis!$N$5/Imóveis!$S$5)))*Imóveis!$P$5))))*IF(AND(Imóveis!$E$5&gt;0,Dados!$A342&gt;Imóveis!$E$5),0,1)*Imóveis!$I$5</f>
        <v>0</v>
      </c>
      <c r="M342" s="18">
        <f>IF(Imóveis!$F$6="PRICE",IF(AND(Dados!$A342&gt;=Imóveis!$Q$6,Dados!$A342&lt;=Imóveis!$T$6),Imóveis!$U$6,0),IF((IF(AND(Dados!$A342&gt;=Imóveis!$Q$6,Dados!$A342&lt;=Imóveis!$T$6),Imóveis!$S$6-(DATEDIF(Imóveis!$Q$6,Dados!$A342,"m")),0))=0,0,((Imóveis!$N$6/Imóveis!$S$6)+((Imóveis!$N$6-((Imóveis!$S$6-(IF(AND(Dados!$A342&gt;=Imóveis!$Q$6,Dados!$A342&lt;=Imóveis!$T$6),Imóveis!$S$6-(DATEDIF(Imóveis!$Q$6,Dados!$A342,"m")),)))*(Imóveis!$N$6/Imóveis!$S$6)))*Imóveis!$P$6))))*IF(AND(Imóveis!$E$6&gt;0,Dados!$A342&gt;Imóveis!$E$6),0,1)*Imóveis!$I$6</f>
        <v>0</v>
      </c>
      <c r="N342" s="18">
        <f t="shared" si="45"/>
        <v>37000</v>
      </c>
      <c r="O342" s="18">
        <f>SUMIFS(Receitas!$F:$F,Receitas!$J:$J,"&lt;="&amp;$A342,Receitas!$L:$L,"&gt;="&amp;$A342,Receitas!$C:$C,O$1,Receitas!$M:$M,"Mensal")+SUMIFS(Receitas!$F:$F,Receitas!$J:$J,"&lt;="&amp;$A342,Receitas!$L:$L,"&gt;="&amp;$A342,Receitas!$C:$C,O$1,Receitas!$M:$M,$B342)</f>
        <v>50000</v>
      </c>
      <c r="P342" s="18">
        <f>SUMIFS(Receitas!$F:$F,Receitas!$J:$J,"&lt;="&amp;$A342,Receitas!$L:$L,"&gt;="&amp;$A342,Receitas!$C:$C,P$1,Receitas!$M:$M,"Mensal")+SUMIFS(Receitas!$F:$F,Receitas!$J:$J,"&lt;="&amp;$A342,Receitas!$L:$L,"&gt;="&amp;$A342,Receitas!$C:$C,P$1,Receitas!$M:$M,$B342)</f>
        <v>20000</v>
      </c>
      <c r="Q342" s="18">
        <f>SUMIFS(Receitas!$F:$F,Receitas!$J:$J,"&lt;="&amp;$A342,Receitas!$L:$L,"&gt;="&amp;$A342,Receitas!$C:$C,Q$1,Receitas!$M:$M,"Mensal")+SUMIFS(Receitas!$F:$F,Receitas!$J:$J,"&lt;="&amp;$A342,Receitas!$L:$L,"&gt;="&amp;$A342,Receitas!$C:$C,Q$1,Receitas!$M:$M,$B342)</f>
        <v>0</v>
      </c>
      <c r="R342" s="18" cm="1">
        <f t="array" ref="R342">(IF(AND(Membros!$F$2="Sim",A342&lt;=MAX(Membros!$E$2:$E$5)),Membros!K$2,IF(AND(A342&gt;=Membros!J$2,A342&lt;=MAX(Membros!$E$2:$E$5)),Membros!K$2,0))+IF(AND(Membros!$F$3="Sim",A342&lt;=MAX(Membros!$E$2:$E$5)),Membros!K$3,IF(AND(A342&gt;=Membros!J$3,A342&lt;=MAX(Membros!$E$2:$E$5)),Membros!K$3,0)))*IF(AND(COUNTIFS(Tabela3[Tipo],"Provedor",Tabela3[Simulação Seguro],"Sim")=2,A342&gt;=MAX(IF(Tabela3[Tipo]="Dependente",Tabela3[Expectativa de Vida (Data)]))),0,1)</f>
        <v>0</v>
      </c>
      <c r="S342" s="18">
        <f t="shared" si="46"/>
        <v>70000</v>
      </c>
      <c r="U342" s="18">
        <f t="shared" ca="1" si="49"/>
        <v>22169642.59475483</v>
      </c>
      <c r="V342" s="18">
        <f>SUMIF(Imóveis!E:E,Dados!A:A,Imóveis!Z:Z)-SUMIF(Imóveis!E:E,Dados!A:A,Imóveis!Y:Y)</f>
        <v>0</v>
      </c>
      <c r="W342" s="18">
        <f>-SUMIF(Projetos!N:N,A342,Projetos!F:F)</f>
        <v>0</v>
      </c>
      <c r="X342" s="18">
        <f t="shared" si="43"/>
        <v>33000</v>
      </c>
      <c r="Y342" s="26">
        <f ca="1">(U342*((Indicadores_Economicos!D$2+1)^(1/12)-1))</f>
        <v>72577.640919580459</v>
      </c>
      <c r="Z342" s="18">
        <f t="shared" ca="1" si="47"/>
        <v>22275220.235674411</v>
      </c>
      <c r="AA342" s="18">
        <f ca="1">Auxiliar_Projetos!E342</f>
        <v>1.1879739066887718E-9</v>
      </c>
      <c r="AB342" s="18">
        <f ca="1">Auxiliar_Projetos!K342</f>
        <v>9.1382608206828514E-10</v>
      </c>
      <c r="AC342" s="18">
        <f ca="1">IF(Z342-AA342-AB342&gt;Investimentos!$C$14,Investimentos!$C$14,IF(Z342-AA342-AB342&lt;Investimentos!$C$14,Z342-AA342-AB342,0))</f>
        <v>300000</v>
      </c>
      <c r="AD342" s="18">
        <f t="shared" ca="1" si="48"/>
        <v>21975220.235674411</v>
      </c>
      <c r="AE342" s="18"/>
    </row>
    <row r="343" spans="1:31" x14ac:dyDescent="0.2">
      <c r="A343" s="4">
        <v>56036</v>
      </c>
      <c r="B343" s="5" t="str">
        <f t="shared" si="44"/>
        <v>junho</v>
      </c>
      <c r="C343" s="5" t="str">
        <f t="shared" si="42"/>
        <v>2053</v>
      </c>
      <c r="D343" s="5">
        <f>SUMIFS(Despesas!$F:$F,Despesas!$J:$J,"&lt;="&amp;$A343,Despesas!$L:$L,"&gt;="&amp;$A343,Despesas!$C:$C,D$1,Despesas!$M:$M,"Mensal")+SUMIFS(Despesas!$F:$F,Despesas!$J:$J,"&lt;="&amp;$A343,Despesas!$L:$L,"&gt;="&amp;$A343,Despesas!$C:$C,D$1,Despesas!$M:$M,$B343)</f>
        <v>23000</v>
      </c>
      <c r="E343" s="18">
        <f>SUMIFS(Despesas!$F:$F,Despesas!$J:$J,"&lt;="&amp;$A343,Despesas!$L:$L,"&gt;="&amp;$A343,Despesas!$C:$C,E$1,Despesas!$M:$M,"Mensal")+SUMIFS(Despesas!$F:$F,Despesas!$J:$J,"&lt;="&amp;$A343,Despesas!$L:$L,"&gt;="&amp;$A343,Despesas!$C:$C,E$1,Despesas!$M:$M,$B343)</f>
        <v>0</v>
      </c>
      <c r="F343" s="5">
        <f>SUMIFS(Despesas!$F:$F,Despesas!$J:$J,"&lt;="&amp;$A343,Despesas!$L:$L,"&gt;="&amp;$A343,Despesas!$C:$C,F$1,Despesas!$M:$M,"Mensal")+SUMIFS(Despesas!$F:$F,Despesas!$J:$J,"&lt;="&amp;$A343,Despesas!$L:$L,"&gt;="&amp;$A343,Despesas!$C:$C,F$1,Despesas!$M:$M,$B343)</f>
        <v>13000</v>
      </c>
      <c r="G343" s="5">
        <f>SUMIFS(Despesas!$F:$F,Despesas!$J:$J,"&lt;="&amp;$A343,Despesas!$L:$L,"&gt;="&amp;$A343,Despesas!$C:$C,G$1,Despesas!$M:$M,"Mensal")+SUMIFS(Despesas!$F:$F,Despesas!$J:$J,"&lt;="&amp;$A343,Despesas!$L:$L,"&gt;="&amp;$A343,Despesas!$C:$C,G$1,Despesas!$M:$M,$B343)</f>
        <v>0</v>
      </c>
      <c r="H343" s="18">
        <f>SUMIFS(Despesas!$F:$F,Despesas!$J:$J,"&lt;="&amp;$A343,Despesas!$L:$L,"&gt;="&amp;$A343,Despesas!$C:$C,H$1,Despesas!$M:$M,"Mensal")+SUMIFS(Despesas!$F:$F,Despesas!$J:$J,"&lt;="&amp;$A343,Despesas!$L:$L,"&gt;="&amp;$A343,Despesas!$C:$C,H$1,Despesas!$M:$M,$B343)</f>
        <v>1000</v>
      </c>
      <c r="I343" s="18">
        <f>IF(Imóveis!$F$2="PRICE",IF(AND(Dados!$A343&gt;=Imóveis!$Q$2,Dados!$A343&lt;=Imóveis!$T$2),Imóveis!$U$2,0),IF((IF(AND(Dados!$A343&gt;=Imóveis!$Q$2,Dados!$A343&lt;=Imóveis!$T$2),Imóveis!$S$2-(DATEDIF(Imóveis!$Q$2,Dados!$A343,"m")),0))=0,0,((Imóveis!$N$2/Imóveis!$S$2)+((Imóveis!$N$2-((Imóveis!$S$2-(IF(AND(Dados!$A343&gt;=Imóveis!$Q$2,Dados!$A343&lt;=Imóveis!$T$2),Imóveis!$S$2-(DATEDIF(Imóveis!$Q$2,Dados!$A343,"m")),)))*(Imóveis!$N$2/Imóveis!$S$2)))*Imóveis!$P$2))))*IF(AND(Imóveis!$E$2&gt;0,Dados!$A343&gt;Imóveis!$E$2),0,1)</f>
        <v>0</v>
      </c>
      <c r="J343" s="18">
        <f>IF(Imóveis!$F$3="PRICE",IF(AND(Dados!$A343&gt;=Imóveis!$Q$3,Dados!$A343&lt;=Imóveis!$T$3),Imóveis!$U$3,0),IF((IF(AND(Dados!$A343&gt;=Imóveis!$Q$3,Dados!$A343&lt;=Imóveis!$T$3),Imóveis!$S$3-(DATEDIF(Imóveis!$Q$3,Dados!$A343,"m")),0))=0,0,((Imóveis!$N$3/Imóveis!$S$3)+((Imóveis!$N$3-((Imóveis!$S$3-(IF(AND(Dados!$A343&gt;=Imóveis!$Q$3,Dados!$A343&lt;=Imóveis!$T$3),Imóveis!$S$3-(DATEDIF(Imóveis!$Q$3,Dados!$A343,"m")),)))*(Imóveis!$N$3/Imóveis!$S$3)))*Imóveis!$P$3))))*IF(AND(Imóveis!$E$3&gt;0,Dados!$A343&gt;Imóveis!$E$3),0,1)</f>
        <v>0</v>
      </c>
      <c r="K343" s="18">
        <f>IF(Imóveis!$F$4="PRICE",IF(AND(Dados!$A343&gt;=Imóveis!$Q$4,Dados!$A343&lt;=Imóveis!$T$4),Imóveis!$U$4,0),IF((IF(AND(Dados!$A343&gt;=Imóveis!$Q$4,Dados!$A343&lt;=Imóveis!$T$4),Imóveis!$S$4-(DATEDIF(Imóveis!$Q$4,Dados!$A343,"m")),0))=0,0,((Imóveis!$N$4/Imóveis!$S$4)+((Imóveis!$N$4-((Imóveis!$S$4-(IF(AND(Dados!$A343&gt;=Imóveis!$Q$4,Dados!$A343&lt;=Imóveis!$T$4),Imóveis!$S$4-(DATEDIF(Imóveis!$Q$4,Dados!$A343,"m")),)))*(Imóveis!$N$4/Imóveis!$S$4)))*Imóveis!$P$4))))*IF(AND(Imóveis!$E$4&gt;0,Dados!$A343&gt;Imóveis!$E$4),0,1)</f>
        <v>0</v>
      </c>
      <c r="L343" s="18">
        <f>IF(Imóveis!$F$5="PRICE",IF(AND(Dados!$A343&gt;=Imóveis!$Q$5,Dados!$A343&lt;=Imóveis!$T$5),Imóveis!$U$5,0),IF((IF(AND(Dados!$A343&gt;=Imóveis!$Q$5,Dados!$A343&lt;=Imóveis!$T$5),Imóveis!$S$5-(DATEDIF(Imóveis!$Q$5,Dados!$A343,"m")),0))=0,0,((Imóveis!$N$5/Imóveis!$S$5)+((Imóveis!$N$5-((Imóveis!$S$5-(IF(AND(Dados!$A343 &gt;=Imóveis!$Q$5,Dados!$A343&lt;=Imóveis!$T$5),Imóveis!$S$5-(DATEDIF(Imóveis!$Q$5,Dados!$A343,"m")),)))*(Imóveis!$N$5/Imóveis!$S$5)))*Imóveis!$P$5))))*IF(AND(Imóveis!$E$5&gt;0,Dados!$A343&gt;Imóveis!$E$5),0,1)*Imóveis!$I$5</f>
        <v>0</v>
      </c>
      <c r="M343" s="18">
        <f>IF(Imóveis!$F$6="PRICE",IF(AND(Dados!$A343&gt;=Imóveis!$Q$6,Dados!$A343&lt;=Imóveis!$T$6),Imóveis!$U$6,0),IF((IF(AND(Dados!$A343&gt;=Imóveis!$Q$6,Dados!$A343&lt;=Imóveis!$T$6),Imóveis!$S$6-(DATEDIF(Imóveis!$Q$6,Dados!$A343,"m")),0))=0,0,((Imóveis!$N$6/Imóveis!$S$6)+((Imóveis!$N$6-((Imóveis!$S$6-(IF(AND(Dados!$A343&gt;=Imóveis!$Q$6,Dados!$A343&lt;=Imóveis!$T$6),Imóveis!$S$6-(DATEDIF(Imóveis!$Q$6,Dados!$A343,"m")),)))*(Imóveis!$N$6/Imóveis!$S$6)))*Imóveis!$P$6))))*IF(AND(Imóveis!$E$6&gt;0,Dados!$A343&gt;Imóveis!$E$6),0,1)*Imóveis!$I$6</f>
        <v>0</v>
      </c>
      <c r="N343" s="18">
        <f t="shared" si="45"/>
        <v>37000</v>
      </c>
      <c r="O343" s="18">
        <f>SUMIFS(Receitas!$F:$F,Receitas!$J:$J,"&lt;="&amp;$A343,Receitas!$L:$L,"&gt;="&amp;$A343,Receitas!$C:$C,O$1,Receitas!$M:$M,"Mensal")+SUMIFS(Receitas!$F:$F,Receitas!$J:$J,"&lt;="&amp;$A343,Receitas!$L:$L,"&gt;="&amp;$A343,Receitas!$C:$C,O$1,Receitas!$M:$M,$B343)</f>
        <v>50000</v>
      </c>
      <c r="P343" s="18">
        <f>SUMIFS(Receitas!$F:$F,Receitas!$J:$J,"&lt;="&amp;$A343,Receitas!$L:$L,"&gt;="&amp;$A343,Receitas!$C:$C,P$1,Receitas!$M:$M,"Mensal")+SUMIFS(Receitas!$F:$F,Receitas!$J:$J,"&lt;="&amp;$A343,Receitas!$L:$L,"&gt;="&amp;$A343,Receitas!$C:$C,P$1,Receitas!$M:$M,$B343)</f>
        <v>20000</v>
      </c>
      <c r="Q343" s="18">
        <f>SUMIFS(Receitas!$F:$F,Receitas!$J:$J,"&lt;="&amp;$A343,Receitas!$L:$L,"&gt;="&amp;$A343,Receitas!$C:$C,Q$1,Receitas!$M:$M,"Mensal")+SUMIFS(Receitas!$F:$F,Receitas!$J:$J,"&lt;="&amp;$A343,Receitas!$L:$L,"&gt;="&amp;$A343,Receitas!$C:$C,Q$1,Receitas!$M:$M,$B343)</f>
        <v>0</v>
      </c>
      <c r="R343" s="18" cm="1">
        <f t="array" ref="R343">(IF(AND(Membros!$F$2="Sim",A343&lt;=MAX(Membros!$E$2:$E$5)),Membros!K$2,IF(AND(A343&gt;=Membros!J$2,A343&lt;=MAX(Membros!$E$2:$E$5)),Membros!K$2,0))+IF(AND(Membros!$F$3="Sim",A343&lt;=MAX(Membros!$E$2:$E$5)),Membros!K$3,IF(AND(A343&gt;=Membros!J$3,A343&lt;=MAX(Membros!$E$2:$E$5)),Membros!K$3,0)))*IF(AND(COUNTIFS(Tabela3[Tipo],"Provedor",Tabela3[Simulação Seguro],"Sim")=2,A343&gt;=MAX(IF(Tabela3[Tipo]="Dependente",Tabela3[Expectativa de Vida (Data)]))),0,1)</f>
        <v>0</v>
      </c>
      <c r="S343" s="18">
        <f t="shared" si="46"/>
        <v>70000</v>
      </c>
      <c r="U343" s="18">
        <f t="shared" ca="1" si="49"/>
        <v>22275220.235674411</v>
      </c>
      <c r="V343" s="18">
        <f>SUMIF(Imóveis!E:E,Dados!A:A,Imóveis!Z:Z)-SUMIF(Imóveis!E:E,Dados!A:A,Imóveis!Y:Y)</f>
        <v>0</v>
      </c>
      <c r="W343" s="18">
        <f>-SUMIF(Projetos!N:N,A343,Projetos!F:F)</f>
        <v>0</v>
      </c>
      <c r="X343" s="18">
        <f t="shared" si="43"/>
        <v>33000</v>
      </c>
      <c r="Y343" s="26">
        <f ca="1">(U343*((Indicadores_Economicos!D$2+1)^(1/12)-1))</f>
        <v>72923.274642769597</v>
      </c>
      <c r="Z343" s="18">
        <f t="shared" ca="1" si="47"/>
        <v>22381143.51031718</v>
      </c>
      <c r="AA343" s="18">
        <f ca="1">Auxiliar_Projetos!E343</f>
        <v>1.1918630241273131E-9</v>
      </c>
      <c r="AB343" s="18">
        <f ca="1">Auxiliar_Projetos!K343</f>
        <v>9.1681771086716309E-10</v>
      </c>
      <c r="AC343" s="18">
        <f ca="1">IF(Z343-AA343-AB343&gt;Investimentos!$C$14,Investimentos!$C$14,IF(Z343-AA343-AB343&lt;Investimentos!$C$14,Z343-AA343-AB343,0))</f>
        <v>300000</v>
      </c>
      <c r="AD343" s="18">
        <f t="shared" ca="1" si="48"/>
        <v>22081143.51031718</v>
      </c>
      <c r="AE343" s="18"/>
    </row>
    <row r="344" spans="1:31" x14ac:dyDescent="0.2">
      <c r="A344" s="4">
        <v>56066</v>
      </c>
      <c r="B344" s="5" t="str">
        <f t="shared" si="44"/>
        <v>julho</v>
      </c>
      <c r="C344" s="5" t="str">
        <f t="shared" ref="C344:C407" si="50">TEXT(A344,"AAAA")</f>
        <v>2053</v>
      </c>
      <c r="D344" s="5">
        <f>SUMIFS(Despesas!$F:$F,Despesas!$J:$J,"&lt;="&amp;$A344,Despesas!$L:$L,"&gt;="&amp;$A344,Despesas!$C:$C,D$1,Despesas!$M:$M,"Mensal")+SUMIFS(Despesas!$F:$F,Despesas!$J:$J,"&lt;="&amp;$A344,Despesas!$L:$L,"&gt;="&amp;$A344,Despesas!$C:$C,D$1,Despesas!$M:$M,$B344)</f>
        <v>23000</v>
      </c>
      <c r="E344" s="18">
        <f>SUMIFS(Despesas!$F:$F,Despesas!$J:$J,"&lt;="&amp;$A344,Despesas!$L:$L,"&gt;="&amp;$A344,Despesas!$C:$C,E$1,Despesas!$M:$M,"Mensal")+SUMIFS(Despesas!$F:$F,Despesas!$J:$J,"&lt;="&amp;$A344,Despesas!$L:$L,"&gt;="&amp;$A344,Despesas!$C:$C,E$1,Despesas!$M:$M,$B344)</f>
        <v>0</v>
      </c>
      <c r="F344" s="5">
        <f>SUMIFS(Despesas!$F:$F,Despesas!$J:$J,"&lt;="&amp;$A344,Despesas!$L:$L,"&gt;="&amp;$A344,Despesas!$C:$C,F$1,Despesas!$M:$M,"Mensal")+SUMIFS(Despesas!$F:$F,Despesas!$J:$J,"&lt;="&amp;$A344,Despesas!$L:$L,"&gt;="&amp;$A344,Despesas!$C:$C,F$1,Despesas!$M:$M,$B344)</f>
        <v>13000</v>
      </c>
      <c r="G344" s="5">
        <f ca="1">SUMIFS(Despesas!$F:$F,Despesas!$J:$J,"&lt;="&amp;$A344,Despesas!$L:$L,"&gt;="&amp;$A344,Despesas!$C:$C,G$1,Despesas!$M:$M,"Mensal")+SUMIFS(Despesas!$F:$F,Despesas!$J:$J,"&lt;="&amp;$A344,Despesas!$L:$L,"&gt;="&amp;$A344,Despesas!$C:$C,G$1,Despesas!$M:$M,$B344)</f>
        <v>55757</v>
      </c>
      <c r="H344" s="18">
        <f>SUMIFS(Despesas!$F:$F,Despesas!$J:$J,"&lt;="&amp;$A344,Despesas!$L:$L,"&gt;="&amp;$A344,Despesas!$C:$C,H$1,Despesas!$M:$M,"Mensal")+SUMIFS(Despesas!$F:$F,Despesas!$J:$J,"&lt;="&amp;$A344,Despesas!$L:$L,"&gt;="&amp;$A344,Despesas!$C:$C,H$1,Despesas!$M:$M,$B344)</f>
        <v>1000</v>
      </c>
      <c r="I344" s="18">
        <f>IF(Imóveis!$F$2="PRICE",IF(AND(Dados!$A344&gt;=Imóveis!$Q$2,Dados!$A344&lt;=Imóveis!$T$2),Imóveis!$U$2,0),IF((IF(AND(Dados!$A344&gt;=Imóveis!$Q$2,Dados!$A344&lt;=Imóveis!$T$2),Imóveis!$S$2-(DATEDIF(Imóveis!$Q$2,Dados!$A344,"m")),0))=0,0,((Imóveis!$N$2/Imóveis!$S$2)+((Imóveis!$N$2-((Imóveis!$S$2-(IF(AND(Dados!$A344&gt;=Imóveis!$Q$2,Dados!$A344&lt;=Imóveis!$T$2),Imóveis!$S$2-(DATEDIF(Imóveis!$Q$2,Dados!$A344,"m")),)))*(Imóveis!$N$2/Imóveis!$S$2)))*Imóveis!$P$2))))*IF(AND(Imóveis!$E$2&gt;0,Dados!$A344&gt;Imóveis!$E$2),0,1)</f>
        <v>0</v>
      </c>
      <c r="J344" s="18">
        <f>IF(Imóveis!$F$3="PRICE",IF(AND(Dados!$A344&gt;=Imóveis!$Q$3,Dados!$A344&lt;=Imóveis!$T$3),Imóveis!$U$3,0),IF((IF(AND(Dados!$A344&gt;=Imóveis!$Q$3,Dados!$A344&lt;=Imóveis!$T$3),Imóveis!$S$3-(DATEDIF(Imóveis!$Q$3,Dados!$A344,"m")),0))=0,0,((Imóveis!$N$3/Imóveis!$S$3)+((Imóveis!$N$3-((Imóveis!$S$3-(IF(AND(Dados!$A344&gt;=Imóveis!$Q$3,Dados!$A344&lt;=Imóveis!$T$3),Imóveis!$S$3-(DATEDIF(Imóveis!$Q$3,Dados!$A344,"m")),)))*(Imóveis!$N$3/Imóveis!$S$3)))*Imóveis!$P$3))))*IF(AND(Imóveis!$E$3&gt;0,Dados!$A344&gt;Imóveis!$E$3),0,1)</f>
        <v>0</v>
      </c>
      <c r="K344" s="18">
        <f>IF(Imóveis!$F$4="PRICE",IF(AND(Dados!$A344&gt;=Imóveis!$Q$4,Dados!$A344&lt;=Imóveis!$T$4),Imóveis!$U$4,0),IF((IF(AND(Dados!$A344&gt;=Imóveis!$Q$4,Dados!$A344&lt;=Imóveis!$T$4),Imóveis!$S$4-(DATEDIF(Imóveis!$Q$4,Dados!$A344,"m")),0))=0,0,((Imóveis!$N$4/Imóveis!$S$4)+((Imóveis!$N$4-((Imóveis!$S$4-(IF(AND(Dados!$A344&gt;=Imóveis!$Q$4,Dados!$A344&lt;=Imóveis!$T$4),Imóveis!$S$4-(DATEDIF(Imóveis!$Q$4,Dados!$A344,"m")),)))*(Imóveis!$N$4/Imóveis!$S$4)))*Imóveis!$P$4))))*IF(AND(Imóveis!$E$4&gt;0,Dados!$A344&gt;Imóveis!$E$4),0,1)</f>
        <v>0</v>
      </c>
      <c r="L344" s="18">
        <f>IF(Imóveis!$F$5="PRICE",IF(AND(Dados!$A344&gt;=Imóveis!$Q$5,Dados!$A344&lt;=Imóveis!$T$5),Imóveis!$U$5,0),IF((IF(AND(Dados!$A344&gt;=Imóveis!$Q$5,Dados!$A344&lt;=Imóveis!$T$5),Imóveis!$S$5-(DATEDIF(Imóveis!$Q$5,Dados!$A344,"m")),0))=0,0,((Imóveis!$N$5/Imóveis!$S$5)+((Imóveis!$N$5-((Imóveis!$S$5-(IF(AND(Dados!$A344 &gt;=Imóveis!$Q$5,Dados!$A344&lt;=Imóveis!$T$5),Imóveis!$S$5-(DATEDIF(Imóveis!$Q$5,Dados!$A344,"m")),)))*(Imóveis!$N$5/Imóveis!$S$5)))*Imóveis!$P$5))))*IF(AND(Imóveis!$E$5&gt;0,Dados!$A344&gt;Imóveis!$E$5),0,1)*Imóveis!$I$5</f>
        <v>0</v>
      </c>
      <c r="M344" s="18">
        <f>IF(Imóveis!$F$6="PRICE",IF(AND(Dados!$A344&gt;=Imóveis!$Q$6,Dados!$A344&lt;=Imóveis!$T$6),Imóveis!$U$6,0),IF((IF(AND(Dados!$A344&gt;=Imóveis!$Q$6,Dados!$A344&lt;=Imóveis!$T$6),Imóveis!$S$6-(DATEDIF(Imóveis!$Q$6,Dados!$A344,"m")),0))=0,0,((Imóveis!$N$6/Imóveis!$S$6)+((Imóveis!$N$6-((Imóveis!$S$6-(IF(AND(Dados!$A344&gt;=Imóveis!$Q$6,Dados!$A344&lt;=Imóveis!$T$6),Imóveis!$S$6-(DATEDIF(Imóveis!$Q$6,Dados!$A344,"m")),)))*(Imóveis!$N$6/Imóveis!$S$6)))*Imóveis!$P$6))))*IF(AND(Imóveis!$E$6&gt;0,Dados!$A344&gt;Imóveis!$E$6),0,1)*Imóveis!$I$6</f>
        <v>0</v>
      </c>
      <c r="N344" s="18">
        <f t="shared" ca="1" si="45"/>
        <v>92757</v>
      </c>
      <c r="O344" s="18">
        <f>SUMIFS(Receitas!$F:$F,Receitas!$J:$J,"&lt;="&amp;$A344,Receitas!$L:$L,"&gt;="&amp;$A344,Receitas!$C:$C,O$1,Receitas!$M:$M,"Mensal")+SUMIFS(Receitas!$F:$F,Receitas!$J:$J,"&lt;="&amp;$A344,Receitas!$L:$L,"&gt;="&amp;$A344,Receitas!$C:$C,O$1,Receitas!$M:$M,$B344)</f>
        <v>50000</v>
      </c>
      <c r="P344" s="18">
        <f>SUMIFS(Receitas!$F:$F,Receitas!$J:$J,"&lt;="&amp;$A344,Receitas!$L:$L,"&gt;="&amp;$A344,Receitas!$C:$C,P$1,Receitas!$M:$M,"Mensal")+SUMIFS(Receitas!$F:$F,Receitas!$J:$J,"&lt;="&amp;$A344,Receitas!$L:$L,"&gt;="&amp;$A344,Receitas!$C:$C,P$1,Receitas!$M:$M,$B344)</f>
        <v>20000</v>
      </c>
      <c r="Q344" s="18">
        <f>SUMIFS(Receitas!$F:$F,Receitas!$J:$J,"&lt;="&amp;$A344,Receitas!$L:$L,"&gt;="&amp;$A344,Receitas!$C:$C,Q$1,Receitas!$M:$M,"Mensal")+SUMIFS(Receitas!$F:$F,Receitas!$J:$J,"&lt;="&amp;$A344,Receitas!$L:$L,"&gt;="&amp;$A344,Receitas!$C:$C,Q$1,Receitas!$M:$M,$B344)</f>
        <v>0</v>
      </c>
      <c r="R344" s="18" cm="1">
        <f t="array" ref="R344">(IF(AND(Membros!$F$2="Sim",A344&lt;=MAX(Membros!$E$2:$E$5)),Membros!K$2,IF(AND(A344&gt;=Membros!J$2,A344&lt;=MAX(Membros!$E$2:$E$5)),Membros!K$2,0))+IF(AND(Membros!$F$3="Sim",A344&lt;=MAX(Membros!$E$2:$E$5)),Membros!K$3,IF(AND(A344&gt;=Membros!J$3,A344&lt;=MAX(Membros!$E$2:$E$5)),Membros!K$3,0)))*IF(AND(COUNTIFS(Tabela3[Tipo],"Provedor",Tabela3[Simulação Seguro],"Sim")=2,A344&gt;=MAX(IF(Tabela3[Tipo]="Dependente",Tabela3[Expectativa de Vida (Data)]))),0,1)</f>
        <v>0</v>
      </c>
      <c r="S344" s="18">
        <f t="shared" si="46"/>
        <v>70000</v>
      </c>
      <c r="U344" s="18">
        <f t="shared" ca="1" si="49"/>
        <v>22381143.51031718</v>
      </c>
      <c r="V344" s="18">
        <f>SUMIF(Imóveis!E:E,Dados!A:A,Imóveis!Z:Z)-SUMIF(Imóveis!E:E,Dados!A:A,Imóveis!Y:Y)</f>
        <v>0</v>
      </c>
      <c r="W344" s="18">
        <f>-SUMIF(Projetos!N:N,A344,Projetos!F:F)</f>
        <v>0</v>
      </c>
      <c r="X344" s="18">
        <f t="shared" ca="1" si="43"/>
        <v>-22757</v>
      </c>
      <c r="Y344" s="26">
        <f ca="1">(U344*((Indicadores_Economicos!D$2+1)^(1/12)-1))</f>
        <v>73270.039880828408</v>
      </c>
      <c r="Z344" s="18">
        <f t="shared" ca="1" si="47"/>
        <v>22431656.550198007</v>
      </c>
      <c r="AA344" s="18">
        <f ca="1">Auxiliar_Projetos!E344</f>
        <v>1.1957648735243306E-9</v>
      </c>
      <c r="AB344" s="18">
        <f ca="1">Auxiliar_Projetos!K344</f>
        <v>9.1981913348025343E-10</v>
      </c>
      <c r="AC344" s="18">
        <f ca="1">IF(Z344-AA344-AB344&gt;Investimentos!$C$14,Investimentos!$C$14,IF(Z344-AA344-AB344&lt;Investimentos!$C$14,Z344-AA344-AB344,0))</f>
        <v>300000</v>
      </c>
      <c r="AD344" s="18">
        <f t="shared" ca="1" si="48"/>
        <v>22131656.550198007</v>
      </c>
      <c r="AE344" s="18"/>
    </row>
    <row r="345" spans="1:31" x14ac:dyDescent="0.2">
      <c r="A345" s="4">
        <v>56097</v>
      </c>
      <c r="B345" s="5" t="str">
        <f t="shared" si="44"/>
        <v>agosto</v>
      </c>
      <c r="C345" s="5" t="str">
        <f t="shared" si="50"/>
        <v>2053</v>
      </c>
      <c r="D345" s="5">
        <f>SUMIFS(Despesas!$F:$F,Despesas!$J:$J,"&lt;="&amp;$A345,Despesas!$L:$L,"&gt;="&amp;$A345,Despesas!$C:$C,D$1,Despesas!$M:$M,"Mensal")+SUMIFS(Despesas!$F:$F,Despesas!$J:$J,"&lt;="&amp;$A345,Despesas!$L:$L,"&gt;="&amp;$A345,Despesas!$C:$C,D$1,Despesas!$M:$M,$B345)</f>
        <v>23000</v>
      </c>
      <c r="E345" s="18">
        <f>SUMIFS(Despesas!$F:$F,Despesas!$J:$J,"&lt;="&amp;$A345,Despesas!$L:$L,"&gt;="&amp;$A345,Despesas!$C:$C,E$1,Despesas!$M:$M,"Mensal")+SUMIFS(Despesas!$F:$F,Despesas!$J:$J,"&lt;="&amp;$A345,Despesas!$L:$L,"&gt;="&amp;$A345,Despesas!$C:$C,E$1,Despesas!$M:$M,$B345)</f>
        <v>0</v>
      </c>
      <c r="F345" s="5">
        <f>SUMIFS(Despesas!$F:$F,Despesas!$J:$J,"&lt;="&amp;$A345,Despesas!$L:$L,"&gt;="&amp;$A345,Despesas!$C:$C,F$1,Despesas!$M:$M,"Mensal")+SUMIFS(Despesas!$F:$F,Despesas!$J:$J,"&lt;="&amp;$A345,Despesas!$L:$L,"&gt;="&amp;$A345,Despesas!$C:$C,F$1,Despesas!$M:$M,$B345)</f>
        <v>13000</v>
      </c>
      <c r="G345" s="5">
        <f>SUMIFS(Despesas!$F:$F,Despesas!$J:$J,"&lt;="&amp;$A345,Despesas!$L:$L,"&gt;="&amp;$A345,Despesas!$C:$C,G$1,Despesas!$M:$M,"Mensal")+SUMIFS(Despesas!$F:$F,Despesas!$J:$J,"&lt;="&amp;$A345,Despesas!$L:$L,"&gt;="&amp;$A345,Despesas!$C:$C,G$1,Despesas!$M:$M,$B345)</f>
        <v>0</v>
      </c>
      <c r="H345" s="18">
        <f>SUMIFS(Despesas!$F:$F,Despesas!$J:$J,"&lt;="&amp;$A345,Despesas!$L:$L,"&gt;="&amp;$A345,Despesas!$C:$C,H$1,Despesas!$M:$M,"Mensal")+SUMIFS(Despesas!$F:$F,Despesas!$J:$J,"&lt;="&amp;$A345,Despesas!$L:$L,"&gt;="&amp;$A345,Despesas!$C:$C,H$1,Despesas!$M:$M,$B345)</f>
        <v>1000</v>
      </c>
      <c r="I345" s="18">
        <f>IF(Imóveis!$F$2="PRICE",IF(AND(Dados!$A345&gt;=Imóveis!$Q$2,Dados!$A345&lt;=Imóveis!$T$2),Imóveis!$U$2,0),IF((IF(AND(Dados!$A345&gt;=Imóveis!$Q$2,Dados!$A345&lt;=Imóveis!$T$2),Imóveis!$S$2-(DATEDIF(Imóveis!$Q$2,Dados!$A345,"m")),0))=0,0,((Imóveis!$N$2/Imóveis!$S$2)+((Imóveis!$N$2-((Imóveis!$S$2-(IF(AND(Dados!$A345&gt;=Imóveis!$Q$2,Dados!$A345&lt;=Imóveis!$T$2),Imóveis!$S$2-(DATEDIF(Imóveis!$Q$2,Dados!$A345,"m")),)))*(Imóveis!$N$2/Imóveis!$S$2)))*Imóveis!$P$2))))*IF(AND(Imóveis!$E$2&gt;0,Dados!$A345&gt;Imóveis!$E$2),0,1)</f>
        <v>0</v>
      </c>
      <c r="J345" s="18">
        <f>IF(Imóveis!$F$3="PRICE",IF(AND(Dados!$A345&gt;=Imóveis!$Q$3,Dados!$A345&lt;=Imóveis!$T$3),Imóveis!$U$3,0),IF((IF(AND(Dados!$A345&gt;=Imóveis!$Q$3,Dados!$A345&lt;=Imóveis!$T$3),Imóveis!$S$3-(DATEDIF(Imóveis!$Q$3,Dados!$A345,"m")),0))=0,0,((Imóveis!$N$3/Imóveis!$S$3)+((Imóveis!$N$3-((Imóveis!$S$3-(IF(AND(Dados!$A345&gt;=Imóveis!$Q$3,Dados!$A345&lt;=Imóveis!$T$3),Imóveis!$S$3-(DATEDIF(Imóveis!$Q$3,Dados!$A345,"m")),)))*(Imóveis!$N$3/Imóveis!$S$3)))*Imóveis!$P$3))))*IF(AND(Imóveis!$E$3&gt;0,Dados!$A345&gt;Imóveis!$E$3),0,1)</f>
        <v>0</v>
      </c>
      <c r="K345" s="18">
        <f>IF(Imóveis!$F$4="PRICE",IF(AND(Dados!$A345&gt;=Imóveis!$Q$4,Dados!$A345&lt;=Imóveis!$T$4),Imóveis!$U$4,0),IF((IF(AND(Dados!$A345&gt;=Imóveis!$Q$4,Dados!$A345&lt;=Imóveis!$T$4),Imóveis!$S$4-(DATEDIF(Imóveis!$Q$4,Dados!$A345,"m")),0))=0,0,((Imóveis!$N$4/Imóveis!$S$4)+((Imóveis!$N$4-((Imóveis!$S$4-(IF(AND(Dados!$A345&gt;=Imóveis!$Q$4,Dados!$A345&lt;=Imóveis!$T$4),Imóveis!$S$4-(DATEDIF(Imóveis!$Q$4,Dados!$A345,"m")),)))*(Imóveis!$N$4/Imóveis!$S$4)))*Imóveis!$P$4))))*IF(AND(Imóveis!$E$4&gt;0,Dados!$A345&gt;Imóveis!$E$4),0,1)</f>
        <v>0</v>
      </c>
      <c r="L345" s="18">
        <f>IF(Imóveis!$F$5="PRICE",IF(AND(Dados!$A345&gt;=Imóveis!$Q$5,Dados!$A345&lt;=Imóveis!$T$5),Imóveis!$U$5,0),IF((IF(AND(Dados!$A345&gt;=Imóveis!$Q$5,Dados!$A345&lt;=Imóveis!$T$5),Imóveis!$S$5-(DATEDIF(Imóveis!$Q$5,Dados!$A345,"m")),0))=0,0,((Imóveis!$N$5/Imóveis!$S$5)+((Imóveis!$N$5-((Imóveis!$S$5-(IF(AND(Dados!$A345 &gt;=Imóveis!$Q$5,Dados!$A345&lt;=Imóveis!$T$5),Imóveis!$S$5-(DATEDIF(Imóveis!$Q$5,Dados!$A345,"m")),)))*(Imóveis!$N$5/Imóveis!$S$5)))*Imóveis!$P$5))))*IF(AND(Imóveis!$E$5&gt;0,Dados!$A345&gt;Imóveis!$E$5),0,1)*Imóveis!$I$5</f>
        <v>0</v>
      </c>
      <c r="M345" s="18">
        <f>IF(Imóveis!$F$6="PRICE",IF(AND(Dados!$A345&gt;=Imóveis!$Q$6,Dados!$A345&lt;=Imóveis!$T$6),Imóveis!$U$6,0),IF((IF(AND(Dados!$A345&gt;=Imóveis!$Q$6,Dados!$A345&lt;=Imóveis!$T$6),Imóveis!$S$6-(DATEDIF(Imóveis!$Q$6,Dados!$A345,"m")),0))=0,0,((Imóveis!$N$6/Imóveis!$S$6)+((Imóveis!$N$6-((Imóveis!$S$6-(IF(AND(Dados!$A345&gt;=Imóveis!$Q$6,Dados!$A345&lt;=Imóveis!$T$6),Imóveis!$S$6-(DATEDIF(Imóveis!$Q$6,Dados!$A345,"m")),)))*(Imóveis!$N$6/Imóveis!$S$6)))*Imóveis!$P$6))))*IF(AND(Imóveis!$E$6&gt;0,Dados!$A345&gt;Imóveis!$E$6),0,1)*Imóveis!$I$6</f>
        <v>0</v>
      </c>
      <c r="N345" s="18">
        <f t="shared" si="45"/>
        <v>37000</v>
      </c>
      <c r="O345" s="18">
        <f>SUMIFS(Receitas!$F:$F,Receitas!$J:$J,"&lt;="&amp;$A345,Receitas!$L:$L,"&gt;="&amp;$A345,Receitas!$C:$C,O$1,Receitas!$M:$M,"Mensal")+SUMIFS(Receitas!$F:$F,Receitas!$J:$J,"&lt;="&amp;$A345,Receitas!$L:$L,"&gt;="&amp;$A345,Receitas!$C:$C,O$1,Receitas!$M:$M,$B345)</f>
        <v>50000</v>
      </c>
      <c r="P345" s="18">
        <f>SUMIFS(Receitas!$F:$F,Receitas!$J:$J,"&lt;="&amp;$A345,Receitas!$L:$L,"&gt;="&amp;$A345,Receitas!$C:$C,P$1,Receitas!$M:$M,"Mensal")+SUMIFS(Receitas!$F:$F,Receitas!$J:$J,"&lt;="&amp;$A345,Receitas!$L:$L,"&gt;="&amp;$A345,Receitas!$C:$C,P$1,Receitas!$M:$M,$B345)</f>
        <v>20000</v>
      </c>
      <c r="Q345" s="18">
        <f>SUMIFS(Receitas!$F:$F,Receitas!$J:$J,"&lt;="&amp;$A345,Receitas!$L:$L,"&gt;="&amp;$A345,Receitas!$C:$C,Q$1,Receitas!$M:$M,"Mensal")+SUMIFS(Receitas!$F:$F,Receitas!$J:$J,"&lt;="&amp;$A345,Receitas!$L:$L,"&gt;="&amp;$A345,Receitas!$C:$C,Q$1,Receitas!$M:$M,$B345)</f>
        <v>0</v>
      </c>
      <c r="R345" s="18" cm="1">
        <f t="array" ref="R345">(IF(AND(Membros!$F$2="Sim",A345&lt;=MAX(Membros!$E$2:$E$5)),Membros!K$2,IF(AND(A345&gt;=Membros!J$2,A345&lt;=MAX(Membros!$E$2:$E$5)),Membros!K$2,0))+IF(AND(Membros!$F$3="Sim",A345&lt;=MAX(Membros!$E$2:$E$5)),Membros!K$3,IF(AND(A345&gt;=Membros!J$3,A345&lt;=MAX(Membros!$E$2:$E$5)),Membros!K$3,0)))*IF(AND(COUNTIFS(Tabela3[Tipo],"Provedor",Tabela3[Simulação Seguro],"Sim")=2,A345&gt;=MAX(IF(Tabela3[Tipo]="Dependente",Tabela3[Expectativa de Vida (Data)]))),0,1)</f>
        <v>0</v>
      </c>
      <c r="S345" s="18">
        <f t="shared" si="46"/>
        <v>70000</v>
      </c>
      <c r="U345" s="18">
        <f t="shared" ca="1" si="49"/>
        <v>22431656.550198007</v>
      </c>
      <c r="V345" s="18">
        <f>SUMIF(Imóveis!E:E,Dados!A:A,Imóveis!Z:Z)-SUMIF(Imóveis!E:E,Dados!A:A,Imóveis!Y:Y)</f>
        <v>0</v>
      </c>
      <c r="W345" s="18">
        <f>-SUMIF(Projetos!N:N,A345,Projetos!F:F)</f>
        <v>0</v>
      </c>
      <c r="X345" s="18">
        <f t="shared" si="43"/>
        <v>33000</v>
      </c>
      <c r="Y345" s="26">
        <f ca="1">(U345*((Indicadores_Economicos!D$2+1)^(1/12)-1))</f>
        <v>73435.406429006078</v>
      </c>
      <c r="Z345" s="18">
        <f t="shared" ca="1" si="47"/>
        <v>22538091.956627015</v>
      </c>
      <c r="AA345" s="18">
        <f ca="1">Auxiliar_Projetos!E345</f>
        <v>1.1996794965609432E-9</v>
      </c>
      <c r="AB345" s="18">
        <f ca="1">Auxiliar_Projetos!K345</f>
        <v>9.2283038196995549E-10</v>
      </c>
      <c r="AC345" s="18">
        <f ca="1">IF(Z345-AA345-AB345&gt;Investimentos!$C$14,Investimentos!$C$14,IF(Z345-AA345-AB345&lt;Investimentos!$C$14,Z345-AA345-AB345,0))</f>
        <v>300000</v>
      </c>
      <c r="AD345" s="18">
        <f t="shared" ca="1" si="48"/>
        <v>22238091.956627015</v>
      </c>
      <c r="AE345" s="18"/>
    </row>
    <row r="346" spans="1:31" x14ac:dyDescent="0.2">
      <c r="A346" s="4">
        <v>56128</v>
      </c>
      <c r="B346" s="5" t="str">
        <f t="shared" si="44"/>
        <v>setembro</v>
      </c>
      <c r="C346" s="5" t="str">
        <f t="shared" si="50"/>
        <v>2053</v>
      </c>
      <c r="D346" s="5">
        <f>SUMIFS(Despesas!$F:$F,Despesas!$J:$J,"&lt;="&amp;$A346,Despesas!$L:$L,"&gt;="&amp;$A346,Despesas!$C:$C,D$1,Despesas!$M:$M,"Mensal")+SUMIFS(Despesas!$F:$F,Despesas!$J:$J,"&lt;="&amp;$A346,Despesas!$L:$L,"&gt;="&amp;$A346,Despesas!$C:$C,D$1,Despesas!$M:$M,$B346)</f>
        <v>23000</v>
      </c>
      <c r="E346" s="18">
        <f>SUMIFS(Despesas!$F:$F,Despesas!$J:$J,"&lt;="&amp;$A346,Despesas!$L:$L,"&gt;="&amp;$A346,Despesas!$C:$C,E$1,Despesas!$M:$M,"Mensal")+SUMIFS(Despesas!$F:$F,Despesas!$J:$J,"&lt;="&amp;$A346,Despesas!$L:$L,"&gt;="&amp;$A346,Despesas!$C:$C,E$1,Despesas!$M:$M,$B346)</f>
        <v>0</v>
      </c>
      <c r="F346" s="5">
        <f>SUMIFS(Despesas!$F:$F,Despesas!$J:$J,"&lt;="&amp;$A346,Despesas!$L:$L,"&gt;="&amp;$A346,Despesas!$C:$C,F$1,Despesas!$M:$M,"Mensal")+SUMIFS(Despesas!$F:$F,Despesas!$J:$J,"&lt;="&amp;$A346,Despesas!$L:$L,"&gt;="&amp;$A346,Despesas!$C:$C,F$1,Despesas!$M:$M,$B346)</f>
        <v>13000</v>
      </c>
      <c r="G346" s="5">
        <f>SUMIFS(Despesas!$F:$F,Despesas!$J:$J,"&lt;="&amp;$A346,Despesas!$L:$L,"&gt;="&amp;$A346,Despesas!$C:$C,G$1,Despesas!$M:$M,"Mensal")+SUMIFS(Despesas!$F:$F,Despesas!$J:$J,"&lt;="&amp;$A346,Despesas!$L:$L,"&gt;="&amp;$A346,Despesas!$C:$C,G$1,Despesas!$M:$M,$B346)</f>
        <v>0</v>
      </c>
      <c r="H346" s="18">
        <f>SUMIFS(Despesas!$F:$F,Despesas!$J:$J,"&lt;="&amp;$A346,Despesas!$L:$L,"&gt;="&amp;$A346,Despesas!$C:$C,H$1,Despesas!$M:$M,"Mensal")+SUMIFS(Despesas!$F:$F,Despesas!$J:$J,"&lt;="&amp;$A346,Despesas!$L:$L,"&gt;="&amp;$A346,Despesas!$C:$C,H$1,Despesas!$M:$M,$B346)</f>
        <v>1000</v>
      </c>
      <c r="I346" s="18">
        <f>IF(Imóveis!$F$2="PRICE",IF(AND(Dados!$A346&gt;=Imóveis!$Q$2,Dados!$A346&lt;=Imóveis!$T$2),Imóveis!$U$2,0),IF((IF(AND(Dados!$A346&gt;=Imóveis!$Q$2,Dados!$A346&lt;=Imóveis!$T$2),Imóveis!$S$2-(DATEDIF(Imóveis!$Q$2,Dados!$A346,"m")),0))=0,0,((Imóveis!$N$2/Imóveis!$S$2)+((Imóveis!$N$2-((Imóveis!$S$2-(IF(AND(Dados!$A346&gt;=Imóveis!$Q$2,Dados!$A346&lt;=Imóveis!$T$2),Imóveis!$S$2-(DATEDIF(Imóveis!$Q$2,Dados!$A346,"m")),)))*(Imóveis!$N$2/Imóveis!$S$2)))*Imóveis!$P$2))))*IF(AND(Imóveis!$E$2&gt;0,Dados!$A346&gt;Imóveis!$E$2),0,1)</f>
        <v>0</v>
      </c>
      <c r="J346" s="18">
        <f>IF(Imóveis!$F$3="PRICE",IF(AND(Dados!$A346&gt;=Imóveis!$Q$3,Dados!$A346&lt;=Imóveis!$T$3),Imóveis!$U$3,0),IF((IF(AND(Dados!$A346&gt;=Imóveis!$Q$3,Dados!$A346&lt;=Imóveis!$T$3),Imóveis!$S$3-(DATEDIF(Imóveis!$Q$3,Dados!$A346,"m")),0))=0,0,((Imóveis!$N$3/Imóveis!$S$3)+((Imóveis!$N$3-((Imóveis!$S$3-(IF(AND(Dados!$A346&gt;=Imóveis!$Q$3,Dados!$A346&lt;=Imóveis!$T$3),Imóveis!$S$3-(DATEDIF(Imóveis!$Q$3,Dados!$A346,"m")),)))*(Imóveis!$N$3/Imóveis!$S$3)))*Imóveis!$P$3))))*IF(AND(Imóveis!$E$3&gt;0,Dados!$A346&gt;Imóveis!$E$3),0,1)</f>
        <v>0</v>
      </c>
      <c r="K346" s="18">
        <f>IF(Imóveis!$F$4="PRICE",IF(AND(Dados!$A346&gt;=Imóveis!$Q$4,Dados!$A346&lt;=Imóveis!$T$4),Imóveis!$U$4,0),IF((IF(AND(Dados!$A346&gt;=Imóveis!$Q$4,Dados!$A346&lt;=Imóveis!$T$4),Imóveis!$S$4-(DATEDIF(Imóveis!$Q$4,Dados!$A346,"m")),0))=0,0,((Imóveis!$N$4/Imóveis!$S$4)+((Imóveis!$N$4-((Imóveis!$S$4-(IF(AND(Dados!$A346&gt;=Imóveis!$Q$4,Dados!$A346&lt;=Imóveis!$T$4),Imóveis!$S$4-(DATEDIF(Imóveis!$Q$4,Dados!$A346,"m")),)))*(Imóveis!$N$4/Imóveis!$S$4)))*Imóveis!$P$4))))*IF(AND(Imóveis!$E$4&gt;0,Dados!$A346&gt;Imóveis!$E$4),0,1)</f>
        <v>0</v>
      </c>
      <c r="L346" s="18">
        <f>IF(Imóveis!$F$5="PRICE",IF(AND(Dados!$A346&gt;=Imóveis!$Q$5,Dados!$A346&lt;=Imóveis!$T$5),Imóveis!$U$5,0),IF((IF(AND(Dados!$A346&gt;=Imóveis!$Q$5,Dados!$A346&lt;=Imóveis!$T$5),Imóveis!$S$5-(DATEDIF(Imóveis!$Q$5,Dados!$A346,"m")),0))=0,0,((Imóveis!$N$5/Imóveis!$S$5)+((Imóveis!$N$5-((Imóveis!$S$5-(IF(AND(Dados!$A346 &gt;=Imóveis!$Q$5,Dados!$A346&lt;=Imóveis!$T$5),Imóveis!$S$5-(DATEDIF(Imóveis!$Q$5,Dados!$A346,"m")),)))*(Imóveis!$N$5/Imóveis!$S$5)))*Imóveis!$P$5))))*IF(AND(Imóveis!$E$5&gt;0,Dados!$A346&gt;Imóveis!$E$5),0,1)*Imóveis!$I$5</f>
        <v>0</v>
      </c>
      <c r="M346" s="18">
        <f>IF(Imóveis!$F$6="PRICE",IF(AND(Dados!$A346&gt;=Imóveis!$Q$6,Dados!$A346&lt;=Imóveis!$T$6),Imóveis!$U$6,0),IF((IF(AND(Dados!$A346&gt;=Imóveis!$Q$6,Dados!$A346&lt;=Imóveis!$T$6),Imóveis!$S$6-(DATEDIF(Imóveis!$Q$6,Dados!$A346,"m")),0))=0,0,((Imóveis!$N$6/Imóveis!$S$6)+((Imóveis!$N$6-((Imóveis!$S$6-(IF(AND(Dados!$A346&gt;=Imóveis!$Q$6,Dados!$A346&lt;=Imóveis!$T$6),Imóveis!$S$6-(DATEDIF(Imóveis!$Q$6,Dados!$A346,"m")),)))*(Imóveis!$N$6/Imóveis!$S$6)))*Imóveis!$P$6))))*IF(AND(Imóveis!$E$6&gt;0,Dados!$A346&gt;Imóveis!$E$6),0,1)*Imóveis!$I$6</f>
        <v>0</v>
      </c>
      <c r="N346" s="18">
        <f t="shared" si="45"/>
        <v>37000</v>
      </c>
      <c r="O346" s="18">
        <f>SUMIFS(Receitas!$F:$F,Receitas!$J:$J,"&lt;="&amp;$A346,Receitas!$L:$L,"&gt;="&amp;$A346,Receitas!$C:$C,O$1,Receitas!$M:$M,"Mensal")+SUMIFS(Receitas!$F:$F,Receitas!$J:$J,"&lt;="&amp;$A346,Receitas!$L:$L,"&gt;="&amp;$A346,Receitas!$C:$C,O$1,Receitas!$M:$M,$B346)</f>
        <v>50000</v>
      </c>
      <c r="P346" s="18">
        <f>SUMIFS(Receitas!$F:$F,Receitas!$J:$J,"&lt;="&amp;$A346,Receitas!$L:$L,"&gt;="&amp;$A346,Receitas!$C:$C,P$1,Receitas!$M:$M,"Mensal")+SUMIFS(Receitas!$F:$F,Receitas!$J:$J,"&lt;="&amp;$A346,Receitas!$L:$L,"&gt;="&amp;$A346,Receitas!$C:$C,P$1,Receitas!$M:$M,$B346)</f>
        <v>20000</v>
      </c>
      <c r="Q346" s="18">
        <f>SUMIFS(Receitas!$F:$F,Receitas!$J:$J,"&lt;="&amp;$A346,Receitas!$L:$L,"&gt;="&amp;$A346,Receitas!$C:$C,Q$1,Receitas!$M:$M,"Mensal")+SUMIFS(Receitas!$F:$F,Receitas!$J:$J,"&lt;="&amp;$A346,Receitas!$L:$L,"&gt;="&amp;$A346,Receitas!$C:$C,Q$1,Receitas!$M:$M,$B346)</f>
        <v>0</v>
      </c>
      <c r="R346" s="18" cm="1">
        <f t="array" ref="R346">(IF(AND(Membros!$F$2="Sim",A346&lt;=MAX(Membros!$E$2:$E$5)),Membros!K$2,IF(AND(A346&gt;=Membros!J$2,A346&lt;=MAX(Membros!$E$2:$E$5)),Membros!K$2,0))+IF(AND(Membros!$F$3="Sim",A346&lt;=MAX(Membros!$E$2:$E$5)),Membros!K$3,IF(AND(A346&gt;=Membros!J$3,A346&lt;=MAX(Membros!$E$2:$E$5)),Membros!K$3,0)))*IF(AND(COUNTIFS(Tabela3[Tipo],"Provedor",Tabela3[Simulação Seguro],"Sim")=2,A346&gt;=MAX(IF(Tabela3[Tipo]="Dependente",Tabela3[Expectativa de Vida (Data)]))),0,1)</f>
        <v>0</v>
      </c>
      <c r="S346" s="18">
        <f t="shared" si="46"/>
        <v>70000</v>
      </c>
      <c r="U346" s="18">
        <f t="shared" ca="1" si="49"/>
        <v>22538091.956627015</v>
      </c>
      <c r="V346" s="18">
        <f>SUMIF(Imóveis!E:E,Dados!A:A,Imóveis!Z:Z)-SUMIF(Imóveis!E:E,Dados!A:A,Imóveis!Y:Y)</f>
        <v>0</v>
      </c>
      <c r="W346" s="18">
        <f>-SUMIF(Projetos!N:N,A346,Projetos!F:F)</f>
        <v>0</v>
      </c>
      <c r="X346" s="18">
        <f t="shared" si="43"/>
        <v>33000</v>
      </c>
      <c r="Y346" s="26">
        <f ca="1">(U346*((Indicadores_Economicos!D$2+1)^(1/12)-1))</f>
        <v>73783.848253267235</v>
      </c>
      <c r="Z346" s="18">
        <f t="shared" ca="1" si="47"/>
        <v>22644875.804880284</v>
      </c>
      <c r="AA346" s="18">
        <f ca="1">Auxiliar_Projetos!E346</f>
        <v>1.2036069350547232E-9</v>
      </c>
      <c r="AB346" s="18">
        <f ca="1">Auxiliar_Projetos!K346</f>
        <v>9.2585148850363232E-10</v>
      </c>
      <c r="AC346" s="18">
        <f ca="1">IF(Z346-AA346-AB346&gt;Investimentos!$C$14,Investimentos!$C$14,IF(Z346-AA346-AB346&lt;Investimentos!$C$14,Z346-AA346-AB346,0))</f>
        <v>300000</v>
      </c>
      <c r="AD346" s="18">
        <f t="shared" ca="1" si="48"/>
        <v>22344875.804880284</v>
      </c>
      <c r="AE346" s="18"/>
    </row>
    <row r="347" spans="1:31" x14ac:dyDescent="0.2">
      <c r="A347" s="4">
        <v>56158</v>
      </c>
      <c r="B347" s="5" t="str">
        <f t="shared" si="44"/>
        <v>outubro</v>
      </c>
      <c r="C347" s="5" t="str">
        <f t="shared" si="50"/>
        <v>2053</v>
      </c>
      <c r="D347" s="5">
        <f>SUMIFS(Despesas!$F:$F,Despesas!$J:$J,"&lt;="&amp;$A347,Despesas!$L:$L,"&gt;="&amp;$A347,Despesas!$C:$C,D$1,Despesas!$M:$M,"Mensal")+SUMIFS(Despesas!$F:$F,Despesas!$J:$J,"&lt;="&amp;$A347,Despesas!$L:$L,"&gt;="&amp;$A347,Despesas!$C:$C,D$1,Despesas!$M:$M,$B347)</f>
        <v>23000</v>
      </c>
      <c r="E347" s="18">
        <f>SUMIFS(Despesas!$F:$F,Despesas!$J:$J,"&lt;="&amp;$A347,Despesas!$L:$L,"&gt;="&amp;$A347,Despesas!$C:$C,E$1,Despesas!$M:$M,"Mensal")+SUMIFS(Despesas!$F:$F,Despesas!$J:$J,"&lt;="&amp;$A347,Despesas!$L:$L,"&gt;="&amp;$A347,Despesas!$C:$C,E$1,Despesas!$M:$M,$B347)</f>
        <v>0</v>
      </c>
      <c r="F347" s="5">
        <f>SUMIFS(Despesas!$F:$F,Despesas!$J:$J,"&lt;="&amp;$A347,Despesas!$L:$L,"&gt;="&amp;$A347,Despesas!$C:$C,F$1,Despesas!$M:$M,"Mensal")+SUMIFS(Despesas!$F:$F,Despesas!$J:$J,"&lt;="&amp;$A347,Despesas!$L:$L,"&gt;="&amp;$A347,Despesas!$C:$C,F$1,Despesas!$M:$M,$B347)</f>
        <v>13000</v>
      </c>
      <c r="G347" s="5">
        <f>SUMIFS(Despesas!$F:$F,Despesas!$J:$J,"&lt;="&amp;$A347,Despesas!$L:$L,"&gt;="&amp;$A347,Despesas!$C:$C,G$1,Despesas!$M:$M,"Mensal")+SUMIFS(Despesas!$F:$F,Despesas!$J:$J,"&lt;="&amp;$A347,Despesas!$L:$L,"&gt;="&amp;$A347,Despesas!$C:$C,G$1,Despesas!$M:$M,$B347)</f>
        <v>0</v>
      </c>
      <c r="H347" s="18">
        <f>SUMIFS(Despesas!$F:$F,Despesas!$J:$J,"&lt;="&amp;$A347,Despesas!$L:$L,"&gt;="&amp;$A347,Despesas!$C:$C,H$1,Despesas!$M:$M,"Mensal")+SUMIFS(Despesas!$F:$F,Despesas!$J:$J,"&lt;="&amp;$A347,Despesas!$L:$L,"&gt;="&amp;$A347,Despesas!$C:$C,H$1,Despesas!$M:$M,$B347)</f>
        <v>1000</v>
      </c>
      <c r="I347" s="18">
        <f>IF(Imóveis!$F$2="PRICE",IF(AND(Dados!$A347&gt;=Imóveis!$Q$2,Dados!$A347&lt;=Imóveis!$T$2),Imóveis!$U$2,0),IF((IF(AND(Dados!$A347&gt;=Imóveis!$Q$2,Dados!$A347&lt;=Imóveis!$T$2),Imóveis!$S$2-(DATEDIF(Imóveis!$Q$2,Dados!$A347,"m")),0))=0,0,((Imóveis!$N$2/Imóveis!$S$2)+((Imóveis!$N$2-((Imóveis!$S$2-(IF(AND(Dados!$A347&gt;=Imóveis!$Q$2,Dados!$A347&lt;=Imóveis!$T$2),Imóveis!$S$2-(DATEDIF(Imóveis!$Q$2,Dados!$A347,"m")),)))*(Imóveis!$N$2/Imóveis!$S$2)))*Imóveis!$P$2))))*IF(AND(Imóveis!$E$2&gt;0,Dados!$A347&gt;Imóveis!$E$2),0,1)</f>
        <v>0</v>
      </c>
      <c r="J347" s="18">
        <f>IF(Imóveis!$F$3="PRICE",IF(AND(Dados!$A347&gt;=Imóveis!$Q$3,Dados!$A347&lt;=Imóveis!$T$3),Imóveis!$U$3,0),IF((IF(AND(Dados!$A347&gt;=Imóveis!$Q$3,Dados!$A347&lt;=Imóveis!$T$3),Imóveis!$S$3-(DATEDIF(Imóveis!$Q$3,Dados!$A347,"m")),0))=0,0,((Imóveis!$N$3/Imóveis!$S$3)+((Imóveis!$N$3-((Imóveis!$S$3-(IF(AND(Dados!$A347&gt;=Imóveis!$Q$3,Dados!$A347&lt;=Imóveis!$T$3),Imóveis!$S$3-(DATEDIF(Imóveis!$Q$3,Dados!$A347,"m")),)))*(Imóveis!$N$3/Imóveis!$S$3)))*Imóveis!$P$3))))*IF(AND(Imóveis!$E$3&gt;0,Dados!$A347&gt;Imóveis!$E$3),0,1)</f>
        <v>0</v>
      </c>
      <c r="K347" s="18">
        <f>IF(Imóveis!$F$4="PRICE",IF(AND(Dados!$A347&gt;=Imóveis!$Q$4,Dados!$A347&lt;=Imóveis!$T$4),Imóveis!$U$4,0),IF((IF(AND(Dados!$A347&gt;=Imóveis!$Q$4,Dados!$A347&lt;=Imóveis!$T$4),Imóveis!$S$4-(DATEDIF(Imóveis!$Q$4,Dados!$A347,"m")),0))=0,0,((Imóveis!$N$4/Imóveis!$S$4)+((Imóveis!$N$4-((Imóveis!$S$4-(IF(AND(Dados!$A347&gt;=Imóveis!$Q$4,Dados!$A347&lt;=Imóveis!$T$4),Imóveis!$S$4-(DATEDIF(Imóveis!$Q$4,Dados!$A347,"m")),)))*(Imóveis!$N$4/Imóveis!$S$4)))*Imóveis!$P$4))))*IF(AND(Imóveis!$E$4&gt;0,Dados!$A347&gt;Imóveis!$E$4),0,1)</f>
        <v>0</v>
      </c>
      <c r="L347" s="18">
        <f>IF(Imóveis!$F$5="PRICE",IF(AND(Dados!$A347&gt;=Imóveis!$Q$5,Dados!$A347&lt;=Imóveis!$T$5),Imóveis!$U$5,0),IF((IF(AND(Dados!$A347&gt;=Imóveis!$Q$5,Dados!$A347&lt;=Imóveis!$T$5),Imóveis!$S$5-(DATEDIF(Imóveis!$Q$5,Dados!$A347,"m")),0))=0,0,((Imóveis!$N$5/Imóveis!$S$5)+((Imóveis!$N$5-((Imóveis!$S$5-(IF(AND(Dados!$A347 &gt;=Imóveis!$Q$5,Dados!$A347&lt;=Imóveis!$T$5),Imóveis!$S$5-(DATEDIF(Imóveis!$Q$5,Dados!$A347,"m")),)))*(Imóveis!$N$5/Imóveis!$S$5)))*Imóveis!$P$5))))*IF(AND(Imóveis!$E$5&gt;0,Dados!$A347&gt;Imóveis!$E$5),0,1)*Imóveis!$I$5</f>
        <v>0</v>
      </c>
      <c r="M347" s="18">
        <f>IF(Imóveis!$F$6="PRICE",IF(AND(Dados!$A347&gt;=Imóveis!$Q$6,Dados!$A347&lt;=Imóveis!$T$6),Imóveis!$U$6,0),IF((IF(AND(Dados!$A347&gt;=Imóveis!$Q$6,Dados!$A347&lt;=Imóveis!$T$6),Imóveis!$S$6-(DATEDIF(Imóveis!$Q$6,Dados!$A347,"m")),0))=0,0,((Imóveis!$N$6/Imóveis!$S$6)+((Imóveis!$N$6-((Imóveis!$S$6-(IF(AND(Dados!$A347&gt;=Imóveis!$Q$6,Dados!$A347&lt;=Imóveis!$T$6),Imóveis!$S$6-(DATEDIF(Imóveis!$Q$6,Dados!$A347,"m")),)))*(Imóveis!$N$6/Imóveis!$S$6)))*Imóveis!$P$6))))*IF(AND(Imóveis!$E$6&gt;0,Dados!$A347&gt;Imóveis!$E$6),0,1)*Imóveis!$I$6</f>
        <v>0</v>
      </c>
      <c r="N347" s="18">
        <f t="shared" si="45"/>
        <v>37000</v>
      </c>
      <c r="O347" s="18">
        <f>SUMIFS(Receitas!$F:$F,Receitas!$J:$J,"&lt;="&amp;$A347,Receitas!$L:$L,"&gt;="&amp;$A347,Receitas!$C:$C,O$1,Receitas!$M:$M,"Mensal")+SUMIFS(Receitas!$F:$F,Receitas!$J:$J,"&lt;="&amp;$A347,Receitas!$L:$L,"&gt;="&amp;$A347,Receitas!$C:$C,O$1,Receitas!$M:$M,$B347)</f>
        <v>50000</v>
      </c>
      <c r="P347" s="18">
        <f>SUMIFS(Receitas!$F:$F,Receitas!$J:$J,"&lt;="&amp;$A347,Receitas!$L:$L,"&gt;="&amp;$A347,Receitas!$C:$C,P$1,Receitas!$M:$M,"Mensal")+SUMIFS(Receitas!$F:$F,Receitas!$J:$J,"&lt;="&amp;$A347,Receitas!$L:$L,"&gt;="&amp;$A347,Receitas!$C:$C,P$1,Receitas!$M:$M,$B347)</f>
        <v>20000</v>
      </c>
      <c r="Q347" s="18">
        <f>SUMIFS(Receitas!$F:$F,Receitas!$J:$J,"&lt;="&amp;$A347,Receitas!$L:$L,"&gt;="&amp;$A347,Receitas!$C:$C,Q$1,Receitas!$M:$M,"Mensal")+SUMIFS(Receitas!$F:$F,Receitas!$J:$J,"&lt;="&amp;$A347,Receitas!$L:$L,"&gt;="&amp;$A347,Receitas!$C:$C,Q$1,Receitas!$M:$M,$B347)</f>
        <v>0</v>
      </c>
      <c r="R347" s="18" cm="1">
        <f t="array" ref="R347">(IF(AND(Membros!$F$2="Sim",A347&lt;=MAX(Membros!$E$2:$E$5)),Membros!K$2,IF(AND(A347&gt;=Membros!J$2,A347&lt;=MAX(Membros!$E$2:$E$5)),Membros!K$2,0))+IF(AND(Membros!$F$3="Sim",A347&lt;=MAX(Membros!$E$2:$E$5)),Membros!K$3,IF(AND(A347&gt;=Membros!J$3,A347&lt;=MAX(Membros!$E$2:$E$5)),Membros!K$3,0)))*IF(AND(COUNTIFS(Tabela3[Tipo],"Provedor",Tabela3[Simulação Seguro],"Sim")=2,A347&gt;=MAX(IF(Tabela3[Tipo]="Dependente",Tabela3[Expectativa de Vida (Data)]))),0,1)</f>
        <v>0</v>
      </c>
      <c r="S347" s="18">
        <f t="shared" si="46"/>
        <v>70000</v>
      </c>
      <c r="U347" s="18">
        <f t="shared" ca="1" si="49"/>
        <v>22644875.804880284</v>
      </c>
      <c r="V347" s="18">
        <f>SUMIF(Imóveis!E:E,Dados!A:A,Imóveis!Z:Z)-SUMIF(Imóveis!E:E,Dados!A:A,Imóveis!Y:Y)</f>
        <v>0</v>
      </c>
      <c r="W347" s="18">
        <f>-SUMIF(Projetos!N:N,A347,Projetos!F:F)</f>
        <v>0</v>
      </c>
      <c r="X347" s="18">
        <f t="shared" si="43"/>
        <v>33000</v>
      </c>
      <c r="Y347" s="26">
        <f ca="1">(U347*((Indicadores_Economicos!D$2+1)^(1/12)-1))</f>
        <v>74133.430785390243</v>
      </c>
      <c r="Z347" s="18">
        <f t="shared" ca="1" si="47"/>
        <v>22752009.235665675</v>
      </c>
      <c r="AA347" s="18">
        <f ca="1">Auxiliar_Projetos!E347</f>
        <v>1.2075472309601423E-9</v>
      </c>
      <c r="AB347" s="18">
        <f ca="1">Auxiliar_Projetos!K347</f>
        <v>9.2888248535395473E-10</v>
      </c>
      <c r="AC347" s="18">
        <f ca="1">IF(Z347-AA347-AB347&gt;Investimentos!$C$14,Investimentos!$C$14,IF(Z347-AA347-AB347&lt;Investimentos!$C$14,Z347-AA347-AB347,0))</f>
        <v>300000</v>
      </c>
      <c r="AD347" s="18">
        <f t="shared" ca="1" si="48"/>
        <v>22452009.235665675</v>
      </c>
      <c r="AE347" s="18"/>
    </row>
    <row r="348" spans="1:31" x14ac:dyDescent="0.2">
      <c r="A348" s="4">
        <v>56189</v>
      </c>
      <c r="B348" s="5" t="str">
        <f t="shared" si="44"/>
        <v>novembro</v>
      </c>
      <c r="C348" s="5" t="str">
        <f t="shared" si="50"/>
        <v>2053</v>
      </c>
      <c r="D348" s="5">
        <f>SUMIFS(Despesas!$F:$F,Despesas!$J:$J,"&lt;="&amp;$A348,Despesas!$L:$L,"&gt;="&amp;$A348,Despesas!$C:$C,D$1,Despesas!$M:$M,"Mensal")+SUMIFS(Despesas!$F:$F,Despesas!$J:$J,"&lt;="&amp;$A348,Despesas!$L:$L,"&gt;="&amp;$A348,Despesas!$C:$C,D$1,Despesas!$M:$M,$B348)</f>
        <v>23000</v>
      </c>
      <c r="E348" s="18">
        <f>SUMIFS(Despesas!$F:$F,Despesas!$J:$J,"&lt;="&amp;$A348,Despesas!$L:$L,"&gt;="&amp;$A348,Despesas!$C:$C,E$1,Despesas!$M:$M,"Mensal")+SUMIFS(Despesas!$F:$F,Despesas!$J:$J,"&lt;="&amp;$A348,Despesas!$L:$L,"&gt;="&amp;$A348,Despesas!$C:$C,E$1,Despesas!$M:$M,$B348)</f>
        <v>0</v>
      </c>
      <c r="F348" s="5">
        <f>SUMIFS(Despesas!$F:$F,Despesas!$J:$J,"&lt;="&amp;$A348,Despesas!$L:$L,"&gt;="&amp;$A348,Despesas!$C:$C,F$1,Despesas!$M:$M,"Mensal")+SUMIFS(Despesas!$F:$F,Despesas!$J:$J,"&lt;="&amp;$A348,Despesas!$L:$L,"&gt;="&amp;$A348,Despesas!$C:$C,F$1,Despesas!$M:$M,$B348)</f>
        <v>13000</v>
      </c>
      <c r="G348" s="5">
        <f>SUMIFS(Despesas!$F:$F,Despesas!$J:$J,"&lt;="&amp;$A348,Despesas!$L:$L,"&gt;="&amp;$A348,Despesas!$C:$C,G$1,Despesas!$M:$M,"Mensal")+SUMIFS(Despesas!$F:$F,Despesas!$J:$J,"&lt;="&amp;$A348,Despesas!$L:$L,"&gt;="&amp;$A348,Despesas!$C:$C,G$1,Despesas!$M:$M,$B348)</f>
        <v>0</v>
      </c>
      <c r="H348" s="18">
        <f>SUMIFS(Despesas!$F:$F,Despesas!$J:$J,"&lt;="&amp;$A348,Despesas!$L:$L,"&gt;="&amp;$A348,Despesas!$C:$C,H$1,Despesas!$M:$M,"Mensal")+SUMIFS(Despesas!$F:$F,Despesas!$J:$J,"&lt;="&amp;$A348,Despesas!$L:$L,"&gt;="&amp;$A348,Despesas!$C:$C,H$1,Despesas!$M:$M,$B348)</f>
        <v>1000</v>
      </c>
      <c r="I348" s="18">
        <f>IF(Imóveis!$F$2="PRICE",IF(AND(Dados!$A348&gt;=Imóveis!$Q$2,Dados!$A348&lt;=Imóveis!$T$2),Imóveis!$U$2,0),IF((IF(AND(Dados!$A348&gt;=Imóveis!$Q$2,Dados!$A348&lt;=Imóveis!$T$2),Imóveis!$S$2-(DATEDIF(Imóveis!$Q$2,Dados!$A348,"m")),0))=0,0,((Imóveis!$N$2/Imóveis!$S$2)+((Imóveis!$N$2-((Imóveis!$S$2-(IF(AND(Dados!$A348&gt;=Imóveis!$Q$2,Dados!$A348&lt;=Imóveis!$T$2),Imóveis!$S$2-(DATEDIF(Imóveis!$Q$2,Dados!$A348,"m")),)))*(Imóveis!$N$2/Imóveis!$S$2)))*Imóveis!$P$2))))*IF(AND(Imóveis!$E$2&gt;0,Dados!$A348&gt;Imóveis!$E$2),0,1)</f>
        <v>0</v>
      </c>
      <c r="J348" s="18">
        <f>IF(Imóveis!$F$3="PRICE",IF(AND(Dados!$A348&gt;=Imóveis!$Q$3,Dados!$A348&lt;=Imóveis!$T$3),Imóveis!$U$3,0),IF((IF(AND(Dados!$A348&gt;=Imóveis!$Q$3,Dados!$A348&lt;=Imóveis!$T$3),Imóveis!$S$3-(DATEDIF(Imóveis!$Q$3,Dados!$A348,"m")),0))=0,0,((Imóveis!$N$3/Imóveis!$S$3)+((Imóveis!$N$3-((Imóveis!$S$3-(IF(AND(Dados!$A348&gt;=Imóveis!$Q$3,Dados!$A348&lt;=Imóveis!$T$3),Imóveis!$S$3-(DATEDIF(Imóveis!$Q$3,Dados!$A348,"m")),)))*(Imóveis!$N$3/Imóveis!$S$3)))*Imóveis!$P$3))))*IF(AND(Imóveis!$E$3&gt;0,Dados!$A348&gt;Imóveis!$E$3),0,1)</f>
        <v>0</v>
      </c>
      <c r="K348" s="18">
        <f>IF(Imóveis!$F$4="PRICE",IF(AND(Dados!$A348&gt;=Imóveis!$Q$4,Dados!$A348&lt;=Imóveis!$T$4),Imóveis!$U$4,0),IF((IF(AND(Dados!$A348&gt;=Imóveis!$Q$4,Dados!$A348&lt;=Imóveis!$T$4),Imóveis!$S$4-(DATEDIF(Imóveis!$Q$4,Dados!$A348,"m")),0))=0,0,((Imóveis!$N$4/Imóveis!$S$4)+((Imóveis!$N$4-((Imóveis!$S$4-(IF(AND(Dados!$A348&gt;=Imóveis!$Q$4,Dados!$A348&lt;=Imóveis!$T$4),Imóveis!$S$4-(DATEDIF(Imóveis!$Q$4,Dados!$A348,"m")),)))*(Imóveis!$N$4/Imóveis!$S$4)))*Imóveis!$P$4))))*IF(AND(Imóveis!$E$4&gt;0,Dados!$A348&gt;Imóveis!$E$4),0,1)</f>
        <v>0</v>
      </c>
      <c r="L348" s="18">
        <f>IF(Imóveis!$F$5="PRICE",IF(AND(Dados!$A348&gt;=Imóveis!$Q$5,Dados!$A348&lt;=Imóveis!$T$5),Imóveis!$U$5,0),IF((IF(AND(Dados!$A348&gt;=Imóveis!$Q$5,Dados!$A348&lt;=Imóveis!$T$5),Imóveis!$S$5-(DATEDIF(Imóveis!$Q$5,Dados!$A348,"m")),0))=0,0,((Imóveis!$N$5/Imóveis!$S$5)+((Imóveis!$N$5-((Imóveis!$S$5-(IF(AND(Dados!$A348 &gt;=Imóveis!$Q$5,Dados!$A348&lt;=Imóveis!$T$5),Imóveis!$S$5-(DATEDIF(Imóveis!$Q$5,Dados!$A348,"m")),)))*(Imóveis!$N$5/Imóveis!$S$5)))*Imóveis!$P$5))))*IF(AND(Imóveis!$E$5&gt;0,Dados!$A348&gt;Imóveis!$E$5),0,1)*Imóveis!$I$5</f>
        <v>0</v>
      </c>
      <c r="M348" s="18">
        <f>IF(Imóveis!$F$6="PRICE",IF(AND(Dados!$A348&gt;=Imóveis!$Q$6,Dados!$A348&lt;=Imóveis!$T$6),Imóveis!$U$6,0),IF((IF(AND(Dados!$A348&gt;=Imóveis!$Q$6,Dados!$A348&lt;=Imóveis!$T$6),Imóveis!$S$6-(DATEDIF(Imóveis!$Q$6,Dados!$A348,"m")),0))=0,0,((Imóveis!$N$6/Imóveis!$S$6)+((Imóveis!$N$6-((Imóveis!$S$6-(IF(AND(Dados!$A348&gt;=Imóveis!$Q$6,Dados!$A348&lt;=Imóveis!$T$6),Imóveis!$S$6-(DATEDIF(Imóveis!$Q$6,Dados!$A348,"m")),)))*(Imóveis!$N$6/Imóveis!$S$6)))*Imóveis!$P$6))))*IF(AND(Imóveis!$E$6&gt;0,Dados!$A348&gt;Imóveis!$E$6),0,1)*Imóveis!$I$6</f>
        <v>0</v>
      </c>
      <c r="N348" s="18">
        <f t="shared" si="45"/>
        <v>37000</v>
      </c>
      <c r="O348" s="18">
        <f>SUMIFS(Receitas!$F:$F,Receitas!$J:$J,"&lt;="&amp;$A348,Receitas!$L:$L,"&gt;="&amp;$A348,Receitas!$C:$C,O$1,Receitas!$M:$M,"Mensal")+SUMIFS(Receitas!$F:$F,Receitas!$J:$J,"&lt;="&amp;$A348,Receitas!$L:$L,"&gt;="&amp;$A348,Receitas!$C:$C,O$1,Receitas!$M:$M,$B348)</f>
        <v>50000</v>
      </c>
      <c r="P348" s="18">
        <f>SUMIFS(Receitas!$F:$F,Receitas!$J:$J,"&lt;="&amp;$A348,Receitas!$L:$L,"&gt;="&amp;$A348,Receitas!$C:$C,P$1,Receitas!$M:$M,"Mensal")+SUMIFS(Receitas!$F:$F,Receitas!$J:$J,"&lt;="&amp;$A348,Receitas!$L:$L,"&gt;="&amp;$A348,Receitas!$C:$C,P$1,Receitas!$M:$M,$B348)</f>
        <v>86666.666666666672</v>
      </c>
      <c r="Q348" s="18">
        <f>SUMIFS(Receitas!$F:$F,Receitas!$J:$J,"&lt;="&amp;$A348,Receitas!$L:$L,"&gt;="&amp;$A348,Receitas!$C:$C,Q$1,Receitas!$M:$M,"Mensal")+SUMIFS(Receitas!$F:$F,Receitas!$J:$J,"&lt;="&amp;$A348,Receitas!$L:$L,"&gt;="&amp;$A348,Receitas!$C:$C,Q$1,Receitas!$M:$M,$B348)</f>
        <v>0</v>
      </c>
      <c r="R348" s="18" cm="1">
        <f t="array" ref="R348">(IF(AND(Membros!$F$2="Sim",A348&lt;=MAX(Membros!$E$2:$E$5)),Membros!K$2,IF(AND(A348&gt;=Membros!J$2,A348&lt;=MAX(Membros!$E$2:$E$5)),Membros!K$2,0))+IF(AND(Membros!$F$3="Sim",A348&lt;=MAX(Membros!$E$2:$E$5)),Membros!K$3,IF(AND(A348&gt;=Membros!J$3,A348&lt;=MAX(Membros!$E$2:$E$5)),Membros!K$3,0)))*IF(AND(COUNTIFS(Tabela3[Tipo],"Provedor",Tabela3[Simulação Seguro],"Sim")=2,A348&gt;=MAX(IF(Tabela3[Tipo]="Dependente",Tabela3[Expectativa de Vida (Data)]))),0,1)</f>
        <v>0</v>
      </c>
      <c r="S348" s="18">
        <f t="shared" si="46"/>
        <v>136666.66666666669</v>
      </c>
      <c r="U348" s="18">
        <f t="shared" ca="1" si="49"/>
        <v>22752009.235665675</v>
      </c>
      <c r="V348" s="18">
        <f>SUMIF(Imóveis!E:E,Dados!A:A,Imóveis!Z:Z)-SUMIF(Imóveis!E:E,Dados!A:A,Imóveis!Y:Y)</f>
        <v>0</v>
      </c>
      <c r="W348" s="18">
        <f>-SUMIF(Projetos!N:N,A348,Projetos!F:F)</f>
        <v>0</v>
      </c>
      <c r="X348" s="18">
        <f t="shared" si="43"/>
        <v>99666.666666666686</v>
      </c>
      <c r="Y348" s="26">
        <f ca="1">(U348*((Indicadores_Economicos!D$2+1)^(1/12)-1))</f>
        <v>74484.157759755835</v>
      </c>
      <c r="Z348" s="18">
        <f t="shared" ca="1" si="47"/>
        <v>22926160.060092099</v>
      </c>
      <c r="AA348" s="18">
        <f ca="1">Auxiliar_Projetos!E348</f>
        <v>1.2115004263690207E-9</v>
      </c>
      <c r="AB348" s="18">
        <f ca="1">Auxiliar_Projetos!K348</f>
        <v>9.3192340489924567E-10</v>
      </c>
      <c r="AC348" s="18">
        <f ca="1">IF(Z348-AA348-AB348&gt;Investimentos!$C$14,Investimentos!$C$14,IF(Z348-AA348-AB348&lt;Investimentos!$C$14,Z348-AA348-AB348,0))</f>
        <v>300000</v>
      </c>
      <c r="AD348" s="18">
        <f t="shared" ca="1" si="48"/>
        <v>22626160.060092099</v>
      </c>
      <c r="AE348" s="18"/>
    </row>
    <row r="349" spans="1:31" x14ac:dyDescent="0.2">
      <c r="A349" s="4">
        <v>56219</v>
      </c>
      <c r="B349" s="5" t="str">
        <f t="shared" si="44"/>
        <v>dezembro</v>
      </c>
      <c r="C349" s="5" t="str">
        <f t="shared" si="50"/>
        <v>2053</v>
      </c>
      <c r="D349" s="5">
        <f>SUMIFS(Despesas!$F:$F,Despesas!$J:$J,"&lt;="&amp;$A349,Despesas!$L:$L,"&gt;="&amp;$A349,Despesas!$C:$C,D$1,Despesas!$M:$M,"Mensal")+SUMIFS(Despesas!$F:$F,Despesas!$J:$J,"&lt;="&amp;$A349,Despesas!$L:$L,"&gt;="&amp;$A349,Despesas!$C:$C,D$1,Despesas!$M:$M,$B349)</f>
        <v>23000</v>
      </c>
      <c r="E349" s="18">
        <f>SUMIFS(Despesas!$F:$F,Despesas!$J:$J,"&lt;="&amp;$A349,Despesas!$L:$L,"&gt;="&amp;$A349,Despesas!$C:$C,E$1,Despesas!$M:$M,"Mensal")+SUMIFS(Despesas!$F:$F,Despesas!$J:$J,"&lt;="&amp;$A349,Despesas!$L:$L,"&gt;="&amp;$A349,Despesas!$C:$C,E$1,Despesas!$M:$M,$B349)</f>
        <v>0</v>
      </c>
      <c r="F349" s="5">
        <f>SUMIFS(Despesas!$F:$F,Despesas!$J:$J,"&lt;="&amp;$A349,Despesas!$L:$L,"&gt;="&amp;$A349,Despesas!$C:$C,F$1,Despesas!$M:$M,"Mensal")+SUMIFS(Despesas!$F:$F,Despesas!$J:$J,"&lt;="&amp;$A349,Despesas!$L:$L,"&gt;="&amp;$A349,Despesas!$C:$C,F$1,Despesas!$M:$M,$B349)</f>
        <v>13000</v>
      </c>
      <c r="G349" s="5">
        <f ca="1">SUMIFS(Despesas!$F:$F,Despesas!$J:$J,"&lt;="&amp;$A349,Despesas!$L:$L,"&gt;="&amp;$A349,Despesas!$C:$C,G$1,Despesas!$M:$M,"Mensal")+SUMIFS(Despesas!$F:$F,Despesas!$J:$J,"&lt;="&amp;$A349,Despesas!$L:$L,"&gt;="&amp;$A349,Despesas!$C:$C,G$1,Despesas!$M:$M,$B349)</f>
        <v>55757</v>
      </c>
      <c r="H349" s="18">
        <f>SUMIFS(Despesas!$F:$F,Despesas!$J:$J,"&lt;="&amp;$A349,Despesas!$L:$L,"&gt;="&amp;$A349,Despesas!$C:$C,H$1,Despesas!$M:$M,"Mensal")+SUMIFS(Despesas!$F:$F,Despesas!$J:$J,"&lt;="&amp;$A349,Despesas!$L:$L,"&gt;="&amp;$A349,Despesas!$C:$C,H$1,Despesas!$M:$M,$B349)</f>
        <v>1000</v>
      </c>
      <c r="I349" s="18">
        <f>IF(Imóveis!$F$2="PRICE",IF(AND(Dados!$A349&gt;=Imóveis!$Q$2,Dados!$A349&lt;=Imóveis!$T$2),Imóveis!$U$2,0),IF((IF(AND(Dados!$A349&gt;=Imóveis!$Q$2,Dados!$A349&lt;=Imóveis!$T$2),Imóveis!$S$2-(DATEDIF(Imóveis!$Q$2,Dados!$A349,"m")),0))=0,0,((Imóveis!$N$2/Imóveis!$S$2)+((Imóveis!$N$2-((Imóveis!$S$2-(IF(AND(Dados!$A349&gt;=Imóveis!$Q$2,Dados!$A349&lt;=Imóveis!$T$2),Imóveis!$S$2-(DATEDIF(Imóveis!$Q$2,Dados!$A349,"m")),)))*(Imóveis!$N$2/Imóveis!$S$2)))*Imóveis!$P$2))))*IF(AND(Imóveis!$E$2&gt;0,Dados!$A349&gt;Imóveis!$E$2),0,1)</f>
        <v>0</v>
      </c>
      <c r="J349" s="18">
        <f>IF(Imóveis!$F$3="PRICE",IF(AND(Dados!$A349&gt;=Imóveis!$Q$3,Dados!$A349&lt;=Imóveis!$T$3),Imóveis!$U$3,0),IF((IF(AND(Dados!$A349&gt;=Imóveis!$Q$3,Dados!$A349&lt;=Imóveis!$T$3),Imóveis!$S$3-(DATEDIF(Imóveis!$Q$3,Dados!$A349,"m")),0))=0,0,((Imóveis!$N$3/Imóveis!$S$3)+((Imóveis!$N$3-((Imóveis!$S$3-(IF(AND(Dados!$A349&gt;=Imóveis!$Q$3,Dados!$A349&lt;=Imóveis!$T$3),Imóveis!$S$3-(DATEDIF(Imóveis!$Q$3,Dados!$A349,"m")),)))*(Imóveis!$N$3/Imóveis!$S$3)))*Imóveis!$P$3))))*IF(AND(Imóveis!$E$3&gt;0,Dados!$A349&gt;Imóveis!$E$3),0,1)</f>
        <v>0</v>
      </c>
      <c r="K349" s="18">
        <f>IF(Imóveis!$F$4="PRICE",IF(AND(Dados!$A349&gt;=Imóveis!$Q$4,Dados!$A349&lt;=Imóveis!$T$4),Imóveis!$U$4,0),IF((IF(AND(Dados!$A349&gt;=Imóveis!$Q$4,Dados!$A349&lt;=Imóveis!$T$4),Imóveis!$S$4-(DATEDIF(Imóveis!$Q$4,Dados!$A349,"m")),0))=0,0,((Imóveis!$N$4/Imóveis!$S$4)+((Imóveis!$N$4-((Imóveis!$S$4-(IF(AND(Dados!$A349&gt;=Imóveis!$Q$4,Dados!$A349&lt;=Imóveis!$T$4),Imóveis!$S$4-(DATEDIF(Imóveis!$Q$4,Dados!$A349,"m")),)))*(Imóveis!$N$4/Imóveis!$S$4)))*Imóveis!$P$4))))*IF(AND(Imóveis!$E$4&gt;0,Dados!$A349&gt;Imóveis!$E$4),0,1)</f>
        <v>0</v>
      </c>
      <c r="L349" s="18">
        <f>IF(Imóveis!$F$5="PRICE",IF(AND(Dados!$A349&gt;=Imóveis!$Q$5,Dados!$A349&lt;=Imóveis!$T$5),Imóveis!$U$5,0),IF((IF(AND(Dados!$A349&gt;=Imóveis!$Q$5,Dados!$A349&lt;=Imóveis!$T$5),Imóveis!$S$5-(DATEDIF(Imóveis!$Q$5,Dados!$A349,"m")),0))=0,0,((Imóveis!$N$5/Imóveis!$S$5)+((Imóveis!$N$5-((Imóveis!$S$5-(IF(AND(Dados!$A349 &gt;=Imóveis!$Q$5,Dados!$A349&lt;=Imóveis!$T$5),Imóveis!$S$5-(DATEDIF(Imóveis!$Q$5,Dados!$A349,"m")),)))*(Imóveis!$N$5/Imóveis!$S$5)))*Imóveis!$P$5))))*IF(AND(Imóveis!$E$5&gt;0,Dados!$A349&gt;Imóveis!$E$5),0,1)*Imóveis!$I$5</f>
        <v>0</v>
      </c>
      <c r="M349" s="18">
        <f>IF(Imóveis!$F$6="PRICE",IF(AND(Dados!$A349&gt;=Imóveis!$Q$6,Dados!$A349&lt;=Imóveis!$T$6),Imóveis!$U$6,0),IF((IF(AND(Dados!$A349&gt;=Imóveis!$Q$6,Dados!$A349&lt;=Imóveis!$T$6),Imóveis!$S$6-(DATEDIF(Imóveis!$Q$6,Dados!$A349,"m")),0))=0,0,((Imóveis!$N$6/Imóveis!$S$6)+((Imóveis!$N$6-((Imóveis!$S$6-(IF(AND(Dados!$A349&gt;=Imóveis!$Q$6,Dados!$A349&lt;=Imóveis!$T$6),Imóveis!$S$6-(DATEDIF(Imóveis!$Q$6,Dados!$A349,"m")),)))*(Imóveis!$N$6/Imóveis!$S$6)))*Imóveis!$P$6))))*IF(AND(Imóveis!$E$6&gt;0,Dados!$A349&gt;Imóveis!$E$6),0,1)*Imóveis!$I$6</f>
        <v>0</v>
      </c>
      <c r="N349" s="18">
        <f t="shared" ca="1" si="45"/>
        <v>92757</v>
      </c>
      <c r="O349" s="18">
        <f>SUMIFS(Receitas!$F:$F,Receitas!$J:$J,"&lt;="&amp;$A349,Receitas!$L:$L,"&gt;="&amp;$A349,Receitas!$C:$C,O$1,Receitas!$M:$M,"Mensal")+SUMIFS(Receitas!$F:$F,Receitas!$J:$J,"&lt;="&amp;$A349,Receitas!$L:$L,"&gt;="&amp;$A349,Receitas!$C:$C,O$1,Receitas!$M:$M,$B349)</f>
        <v>50000</v>
      </c>
      <c r="P349" s="18">
        <f>SUMIFS(Receitas!$F:$F,Receitas!$J:$J,"&lt;="&amp;$A349,Receitas!$L:$L,"&gt;="&amp;$A349,Receitas!$C:$C,P$1,Receitas!$M:$M,"Mensal")+SUMIFS(Receitas!$F:$F,Receitas!$J:$J,"&lt;="&amp;$A349,Receitas!$L:$L,"&gt;="&amp;$A349,Receitas!$C:$C,P$1,Receitas!$M:$M,$B349)</f>
        <v>20000</v>
      </c>
      <c r="Q349" s="18">
        <f>SUMIFS(Receitas!$F:$F,Receitas!$J:$J,"&lt;="&amp;$A349,Receitas!$L:$L,"&gt;="&amp;$A349,Receitas!$C:$C,Q$1,Receitas!$M:$M,"Mensal")+SUMIFS(Receitas!$F:$F,Receitas!$J:$J,"&lt;="&amp;$A349,Receitas!$L:$L,"&gt;="&amp;$A349,Receitas!$C:$C,Q$1,Receitas!$M:$M,$B349)</f>
        <v>0</v>
      </c>
      <c r="R349" s="18" cm="1">
        <f t="array" ref="R349">(IF(AND(Membros!$F$2="Sim",A349&lt;=MAX(Membros!$E$2:$E$5)),Membros!K$2,IF(AND(A349&gt;=Membros!J$2,A349&lt;=MAX(Membros!$E$2:$E$5)),Membros!K$2,0))+IF(AND(Membros!$F$3="Sim",A349&lt;=MAX(Membros!$E$2:$E$5)),Membros!K$3,IF(AND(A349&gt;=Membros!J$3,A349&lt;=MAX(Membros!$E$2:$E$5)),Membros!K$3,0)))*IF(AND(COUNTIFS(Tabela3[Tipo],"Provedor",Tabela3[Simulação Seguro],"Sim")=2,A349&gt;=MAX(IF(Tabela3[Tipo]="Dependente",Tabela3[Expectativa de Vida (Data)]))),0,1)</f>
        <v>0</v>
      </c>
      <c r="S349" s="18">
        <f t="shared" si="46"/>
        <v>70000</v>
      </c>
      <c r="U349" s="18">
        <f t="shared" ca="1" si="49"/>
        <v>22926160.060092099</v>
      </c>
      <c r="V349" s="18">
        <f>SUMIF(Imóveis!E:E,Dados!A:A,Imóveis!Z:Z)-SUMIF(Imóveis!E:E,Dados!A:A,Imóveis!Y:Y)</f>
        <v>0</v>
      </c>
      <c r="W349" s="18">
        <f>-SUMIF(Projetos!N:N,A349,Projetos!F:F)</f>
        <v>0</v>
      </c>
      <c r="X349" s="18">
        <f t="shared" ca="1" si="43"/>
        <v>-22757</v>
      </c>
      <c r="Y349" s="26">
        <f ca="1">(U349*((Indicadores_Economicos!D$2+1)^(1/12)-1))</f>
        <v>75054.282241783367</v>
      </c>
      <c r="Z349" s="18">
        <f t="shared" ca="1" si="47"/>
        <v>22978457.342333883</v>
      </c>
      <c r="AA349" s="18">
        <f ca="1">Auxiliar_Projetos!E349</f>
        <v>1.2154665635109759E-9</v>
      </c>
      <c r="AB349" s="18">
        <f ca="1">Auxiliar_Projetos!K349</f>
        <v>9.3497427962382656E-10</v>
      </c>
      <c r="AC349" s="18">
        <f ca="1">IF(Z349-AA349-AB349&gt;Investimentos!$C$14,Investimentos!$C$14,IF(Z349-AA349-AB349&lt;Investimentos!$C$14,Z349-AA349-AB349,0))</f>
        <v>300000</v>
      </c>
      <c r="AD349" s="18">
        <f t="shared" ca="1" si="48"/>
        <v>22678457.342333883</v>
      </c>
      <c r="AE349" s="18"/>
    </row>
    <row r="350" spans="1:31" x14ac:dyDescent="0.2">
      <c r="A350" s="4">
        <v>56250</v>
      </c>
      <c r="B350" s="5" t="str">
        <f t="shared" si="44"/>
        <v>janeiro</v>
      </c>
      <c r="C350" s="5" t="str">
        <f t="shared" si="50"/>
        <v>2054</v>
      </c>
      <c r="D350" s="5">
        <f>SUMIFS(Despesas!$F:$F,Despesas!$J:$J,"&lt;="&amp;$A350,Despesas!$L:$L,"&gt;="&amp;$A350,Despesas!$C:$C,D$1,Despesas!$M:$M,"Mensal")+SUMIFS(Despesas!$F:$F,Despesas!$J:$J,"&lt;="&amp;$A350,Despesas!$L:$L,"&gt;="&amp;$A350,Despesas!$C:$C,D$1,Despesas!$M:$M,$B350)</f>
        <v>23000</v>
      </c>
      <c r="E350" s="18">
        <f>SUMIFS(Despesas!$F:$F,Despesas!$J:$J,"&lt;="&amp;$A350,Despesas!$L:$L,"&gt;="&amp;$A350,Despesas!$C:$C,E$1,Despesas!$M:$M,"Mensal")+SUMIFS(Despesas!$F:$F,Despesas!$J:$J,"&lt;="&amp;$A350,Despesas!$L:$L,"&gt;="&amp;$A350,Despesas!$C:$C,E$1,Despesas!$M:$M,$B350)</f>
        <v>0</v>
      </c>
      <c r="F350" s="5">
        <f>SUMIFS(Despesas!$F:$F,Despesas!$J:$J,"&lt;="&amp;$A350,Despesas!$L:$L,"&gt;="&amp;$A350,Despesas!$C:$C,F$1,Despesas!$M:$M,"Mensal")+SUMIFS(Despesas!$F:$F,Despesas!$J:$J,"&lt;="&amp;$A350,Despesas!$L:$L,"&gt;="&amp;$A350,Despesas!$C:$C,F$1,Despesas!$M:$M,$B350)</f>
        <v>13000</v>
      </c>
      <c r="G350" s="5">
        <f>SUMIFS(Despesas!$F:$F,Despesas!$J:$J,"&lt;="&amp;$A350,Despesas!$L:$L,"&gt;="&amp;$A350,Despesas!$C:$C,G$1,Despesas!$M:$M,"Mensal")+SUMIFS(Despesas!$F:$F,Despesas!$J:$J,"&lt;="&amp;$A350,Despesas!$L:$L,"&gt;="&amp;$A350,Despesas!$C:$C,G$1,Despesas!$M:$M,$B350)</f>
        <v>0</v>
      </c>
      <c r="H350" s="18">
        <f>SUMIFS(Despesas!$F:$F,Despesas!$J:$J,"&lt;="&amp;$A350,Despesas!$L:$L,"&gt;="&amp;$A350,Despesas!$C:$C,H$1,Despesas!$M:$M,"Mensal")+SUMIFS(Despesas!$F:$F,Despesas!$J:$J,"&lt;="&amp;$A350,Despesas!$L:$L,"&gt;="&amp;$A350,Despesas!$C:$C,H$1,Despesas!$M:$M,$B350)</f>
        <v>1000</v>
      </c>
      <c r="I350" s="18">
        <f>IF(Imóveis!$F$2="PRICE",IF(AND(Dados!$A350&gt;=Imóveis!$Q$2,Dados!$A350&lt;=Imóveis!$T$2),Imóveis!$U$2,0),IF((IF(AND(Dados!$A350&gt;=Imóveis!$Q$2,Dados!$A350&lt;=Imóveis!$T$2),Imóveis!$S$2-(DATEDIF(Imóveis!$Q$2,Dados!$A350,"m")),0))=0,0,((Imóveis!$N$2/Imóveis!$S$2)+((Imóveis!$N$2-((Imóveis!$S$2-(IF(AND(Dados!$A350&gt;=Imóveis!$Q$2,Dados!$A350&lt;=Imóveis!$T$2),Imóveis!$S$2-(DATEDIF(Imóveis!$Q$2,Dados!$A350,"m")),)))*(Imóveis!$N$2/Imóveis!$S$2)))*Imóveis!$P$2))))*IF(AND(Imóveis!$E$2&gt;0,Dados!$A350&gt;Imóveis!$E$2),0,1)</f>
        <v>0</v>
      </c>
      <c r="J350" s="18">
        <f>IF(Imóveis!$F$3="PRICE",IF(AND(Dados!$A350&gt;=Imóveis!$Q$3,Dados!$A350&lt;=Imóveis!$T$3),Imóveis!$U$3,0),IF((IF(AND(Dados!$A350&gt;=Imóveis!$Q$3,Dados!$A350&lt;=Imóveis!$T$3),Imóveis!$S$3-(DATEDIF(Imóveis!$Q$3,Dados!$A350,"m")),0))=0,0,((Imóveis!$N$3/Imóveis!$S$3)+((Imóveis!$N$3-((Imóveis!$S$3-(IF(AND(Dados!$A350&gt;=Imóveis!$Q$3,Dados!$A350&lt;=Imóveis!$T$3),Imóveis!$S$3-(DATEDIF(Imóveis!$Q$3,Dados!$A350,"m")),)))*(Imóveis!$N$3/Imóveis!$S$3)))*Imóveis!$P$3))))*IF(AND(Imóveis!$E$3&gt;0,Dados!$A350&gt;Imóveis!$E$3),0,1)</f>
        <v>0</v>
      </c>
      <c r="K350" s="18">
        <f>IF(Imóveis!$F$4="PRICE",IF(AND(Dados!$A350&gt;=Imóveis!$Q$4,Dados!$A350&lt;=Imóveis!$T$4),Imóveis!$U$4,0),IF((IF(AND(Dados!$A350&gt;=Imóveis!$Q$4,Dados!$A350&lt;=Imóveis!$T$4),Imóveis!$S$4-(DATEDIF(Imóveis!$Q$4,Dados!$A350,"m")),0))=0,0,((Imóveis!$N$4/Imóveis!$S$4)+((Imóveis!$N$4-((Imóveis!$S$4-(IF(AND(Dados!$A350&gt;=Imóveis!$Q$4,Dados!$A350&lt;=Imóveis!$T$4),Imóveis!$S$4-(DATEDIF(Imóveis!$Q$4,Dados!$A350,"m")),)))*(Imóveis!$N$4/Imóveis!$S$4)))*Imóveis!$P$4))))*IF(AND(Imóveis!$E$4&gt;0,Dados!$A350&gt;Imóveis!$E$4),0,1)</f>
        <v>0</v>
      </c>
      <c r="L350" s="18">
        <f>IF(Imóveis!$F$5="PRICE",IF(AND(Dados!$A350&gt;=Imóveis!$Q$5,Dados!$A350&lt;=Imóveis!$T$5),Imóveis!$U$5,0),IF((IF(AND(Dados!$A350&gt;=Imóveis!$Q$5,Dados!$A350&lt;=Imóveis!$T$5),Imóveis!$S$5-(DATEDIF(Imóveis!$Q$5,Dados!$A350,"m")),0))=0,0,((Imóveis!$N$5/Imóveis!$S$5)+((Imóveis!$N$5-((Imóveis!$S$5-(IF(AND(Dados!$A350 &gt;=Imóveis!$Q$5,Dados!$A350&lt;=Imóveis!$T$5),Imóveis!$S$5-(DATEDIF(Imóveis!$Q$5,Dados!$A350,"m")),)))*(Imóveis!$N$5/Imóveis!$S$5)))*Imóveis!$P$5))))*IF(AND(Imóveis!$E$5&gt;0,Dados!$A350&gt;Imóveis!$E$5),0,1)*Imóveis!$I$5</f>
        <v>0</v>
      </c>
      <c r="M350" s="18">
        <f>IF(Imóveis!$F$6="PRICE",IF(AND(Dados!$A350&gt;=Imóveis!$Q$6,Dados!$A350&lt;=Imóveis!$T$6),Imóveis!$U$6,0),IF((IF(AND(Dados!$A350&gt;=Imóveis!$Q$6,Dados!$A350&lt;=Imóveis!$T$6),Imóveis!$S$6-(DATEDIF(Imóveis!$Q$6,Dados!$A350,"m")),0))=0,0,((Imóveis!$N$6/Imóveis!$S$6)+((Imóveis!$N$6-((Imóveis!$S$6-(IF(AND(Dados!$A350&gt;=Imóveis!$Q$6,Dados!$A350&lt;=Imóveis!$T$6),Imóveis!$S$6-(DATEDIF(Imóveis!$Q$6,Dados!$A350,"m")),)))*(Imóveis!$N$6/Imóveis!$S$6)))*Imóveis!$P$6))))*IF(AND(Imóveis!$E$6&gt;0,Dados!$A350&gt;Imóveis!$E$6),0,1)*Imóveis!$I$6</f>
        <v>0</v>
      </c>
      <c r="N350" s="18">
        <f t="shared" si="45"/>
        <v>37000</v>
      </c>
      <c r="O350" s="18">
        <f>SUMIFS(Receitas!$F:$F,Receitas!$J:$J,"&lt;="&amp;$A350,Receitas!$L:$L,"&gt;="&amp;$A350,Receitas!$C:$C,O$1,Receitas!$M:$M,"Mensal")+SUMIFS(Receitas!$F:$F,Receitas!$J:$J,"&lt;="&amp;$A350,Receitas!$L:$L,"&gt;="&amp;$A350,Receitas!$C:$C,O$1,Receitas!$M:$M,$B350)</f>
        <v>50000</v>
      </c>
      <c r="P350" s="18">
        <f>SUMIFS(Receitas!$F:$F,Receitas!$J:$J,"&lt;="&amp;$A350,Receitas!$L:$L,"&gt;="&amp;$A350,Receitas!$C:$C,P$1,Receitas!$M:$M,"Mensal")+SUMIFS(Receitas!$F:$F,Receitas!$J:$J,"&lt;="&amp;$A350,Receitas!$L:$L,"&gt;="&amp;$A350,Receitas!$C:$C,P$1,Receitas!$M:$M,$B350)</f>
        <v>20000</v>
      </c>
      <c r="Q350" s="18">
        <f>SUMIFS(Receitas!$F:$F,Receitas!$J:$J,"&lt;="&amp;$A350,Receitas!$L:$L,"&gt;="&amp;$A350,Receitas!$C:$C,Q$1,Receitas!$M:$M,"Mensal")+SUMIFS(Receitas!$F:$F,Receitas!$J:$J,"&lt;="&amp;$A350,Receitas!$L:$L,"&gt;="&amp;$A350,Receitas!$C:$C,Q$1,Receitas!$M:$M,$B350)</f>
        <v>0</v>
      </c>
      <c r="R350" s="18" cm="1">
        <f t="array" ref="R350">(IF(AND(Membros!$F$2="Sim",A350&lt;=MAX(Membros!$E$2:$E$5)),Membros!K$2,IF(AND(A350&gt;=Membros!J$2,A350&lt;=MAX(Membros!$E$2:$E$5)),Membros!K$2,0))+IF(AND(Membros!$F$3="Sim",A350&lt;=MAX(Membros!$E$2:$E$5)),Membros!K$3,IF(AND(A350&gt;=Membros!J$3,A350&lt;=MAX(Membros!$E$2:$E$5)),Membros!K$3,0)))*IF(AND(COUNTIFS(Tabela3[Tipo],"Provedor",Tabela3[Simulação Seguro],"Sim")=2,A350&gt;=MAX(IF(Tabela3[Tipo]="Dependente",Tabela3[Expectativa de Vida (Data)]))),0,1)</f>
        <v>0</v>
      </c>
      <c r="S350" s="18">
        <f t="shared" si="46"/>
        <v>70000</v>
      </c>
      <c r="U350" s="18">
        <f t="shared" ca="1" si="49"/>
        <v>22978457.342333883</v>
      </c>
      <c r="V350" s="18">
        <f>SUMIF(Imóveis!E:E,Dados!A:A,Imóveis!Z:Z)-SUMIF(Imóveis!E:E,Dados!A:A,Imóveis!Y:Y)</f>
        <v>0</v>
      </c>
      <c r="W350" s="18">
        <f>-SUMIF(Projetos!N:N,A350,Projetos!F:F)</f>
        <v>0</v>
      </c>
      <c r="X350" s="18">
        <f t="shared" si="43"/>
        <v>33000</v>
      </c>
      <c r="Y350" s="26">
        <f ca="1">(U350*((Indicadores_Economicos!D$2+1)^(1/12)-1))</f>
        <v>75225.489935159174</v>
      </c>
      <c r="Z350" s="18">
        <f t="shared" ca="1" si="47"/>
        <v>23086682.832269043</v>
      </c>
      <c r="AA350" s="18">
        <f ca="1">Auxiliar_Projetos!E350</f>
        <v>1.2194456847538743E-9</v>
      </c>
      <c r="AB350" s="18">
        <f ca="1">Auxiliar_Projetos!K350</f>
        <v>9.3803514211836391E-10</v>
      </c>
      <c r="AC350" s="18">
        <f ca="1">IF(Z350-AA350-AB350&gt;Investimentos!$C$14,Investimentos!$C$14,IF(Z350-AA350-AB350&lt;Investimentos!$C$14,Z350-AA350-AB350,0))</f>
        <v>300000</v>
      </c>
      <c r="AD350" s="18">
        <f t="shared" ca="1" si="48"/>
        <v>22786682.832269043</v>
      </c>
      <c r="AE350" s="18"/>
    </row>
    <row r="351" spans="1:31" x14ac:dyDescent="0.2">
      <c r="A351" s="4">
        <v>56281</v>
      </c>
      <c r="B351" s="5" t="str">
        <f t="shared" si="44"/>
        <v>fevereiro</v>
      </c>
      <c r="C351" s="5" t="str">
        <f t="shared" si="50"/>
        <v>2054</v>
      </c>
      <c r="D351" s="5">
        <f>SUMIFS(Despesas!$F:$F,Despesas!$J:$J,"&lt;="&amp;$A351,Despesas!$L:$L,"&gt;="&amp;$A351,Despesas!$C:$C,D$1,Despesas!$M:$M,"Mensal")+SUMIFS(Despesas!$F:$F,Despesas!$J:$J,"&lt;="&amp;$A351,Despesas!$L:$L,"&gt;="&amp;$A351,Despesas!$C:$C,D$1,Despesas!$M:$M,$B351)</f>
        <v>23000</v>
      </c>
      <c r="E351" s="18">
        <f>SUMIFS(Despesas!$F:$F,Despesas!$J:$J,"&lt;="&amp;$A351,Despesas!$L:$L,"&gt;="&amp;$A351,Despesas!$C:$C,E$1,Despesas!$M:$M,"Mensal")+SUMIFS(Despesas!$F:$F,Despesas!$J:$J,"&lt;="&amp;$A351,Despesas!$L:$L,"&gt;="&amp;$A351,Despesas!$C:$C,E$1,Despesas!$M:$M,$B351)</f>
        <v>0</v>
      </c>
      <c r="F351" s="5">
        <f>SUMIFS(Despesas!$F:$F,Despesas!$J:$J,"&lt;="&amp;$A351,Despesas!$L:$L,"&gt;="&amp;$A351,Despesas!$C:$C,F$1,Despesas!$M:$M,"Mensal")+SUMIFS(Despesas!$F:$F,Despesas!$J:$J,"&lt;="&amp;$A351,Despesas!$L:$L,"&gt;="&amp;$A351,Despesas!$C:$C,F$1,Despesas!$M:$M,$B351)</f>
        <v>13000</v>
      </c>
      <c r="G351" s="5">
        <f>SUMIFS(Despesas!$F:$F,Despesas!$J:$J,"&lt;="&amp;$A351,Despesas!$L:$L,"&gt;="&amp;$A351,Despesas!$C:$C,G$1,Despesas!$M:$M,"Mensal")+SUMIFS(Despesas!$F:$F,Despesas!$J:$J,"&lt;="&amp;$A351,Despesas!$L:$L,"&gt;="&amp;$A351,Despesas!$C:$C,G$1,Despesas!$M:$M,$B351)</f>
        <v>0</v>
      </c>
      <c r="H351" s="18">
        <f>SUMIFS(Despesas!$F:$F,Despesas!$J:$J,"&lt;="&amp;$A351,Despesas!$L:$L,"&gt;="&amp;$A351,Despesas!$C:$C,H$1,Despesas!$M:$M,"Mensal")+SUMIFS(Despesas!$F:$F,Despesas!$J:$J,"&lt;="&amp;$A351,Despesas!$L:$L,"&gt;="&amp;$A351,Despesas!$C:$C,H$1,Despesas!$M:$M,$B351)</f>
        <v>2200</v>
      </c>
      <c r="I351" s="18">
        <f>IF(Imóveis!$F$2="PRICE",IF(AND(Dados!$A351&gt;=Imóveis!$Q$2,Dados!$A351&lt;=Imóveis!$T$2),Imóveis!$U$2,0),IF((IF(AND(Dados!$A351&gt;=Imóveis!$Q$2,Dados!$A351&lt;=Imóveis!$T$2),Imóveis!$S$2-(DATEDIF(Imóveis!$Q$2,Dados!$A351,"m")),0))=0,0,((Imóveis!$N$2/Imóveis!$S$2)+((Imóveis!$N$2-((Imóveis!$S$2-(IF(AND(Dados!$A351&gt;=Imóveis!$Q$2,Dados!$A351&lt;=Imóveis!$T$2),Imóveis!$S$2-(DATEDIF(Imóveis!$Q$2,Dados!$A351,"m")),)))*(Imóveis!$N$2/Imóveis!$S$2)))*Imóveis!$P$2))))*IF(AND(Imóveis!$E$2&gt;0,Dados!$A351&gt;Imóveis!$E$2),0,1)</f>
        <v>0</v>
      </c>
      <c r="J351" s="18">
        <f>IF(Imóveis!$F$3="PRICE",IF(AND(Dados!$A351&gt;=Imóveis!$Q$3,Dados!$A351&lt;=Imóveis!$T$3),Imóveis!$U$3,0),IF((IF(AND(Dados!$A351&gt;=Imóveis!$Q$3,Dados!$A351&lt;=Imóveis!$T$3),Imóveis!$S$3-(DATEDIF(Imóveis!$Q$3,Dados!$A351,"m")),0))=0,0,((Imóveis!$N$3/Imóveis!$S$3)+((Imóveis!$N$3-((Imóveis!$S$3-(IF(AND(Dados!$A351&gt;=Imóveis!$Q$3,Dados!$A351&lt;=Imóveis!$T$3),Imóveis!$S$3-(DATEDIF(Imóveis!$Q$3,Dados!$A351,"m")),)))*(Imóveis!$N$3/Imóveis!$S$3)))*Imóveis!$P$3))))*IF(AND(Imóveis!$E$3&gt;0,Dados!$A351&gt;Imóveis!$E$3),0,1)</f>
        <v>0</v>
      </c>
      <c r="K351" s="18">
        <f>IF(Imóveis!$F$4="PRICE",IF(AND(Dados!$A351&gt;=Imóveis!$Q$4,Dados!$A351&lt;=Imóveis!$T$4),Imóveis!$U$4,0),IF((IF(AND(Dados!$A351&gt;=Imóveis!$Q$4,Dados!$A351&lt;=Imóveis!$T$4),Imóveis!$S$4-(DATEDIF(Imóveis!$Q$4,Dados!$A351,"m")),0))=0,0,((Imóveis!$N$4/Imóveis!$S$4)+((Imóveis!$N$4-((Imóveis!$S$4-(IF(AND(Dados!$A351&gt;=Imóveis!$Q$4,Dados!$A351&lt;=Imóveis!$T$4),Imóveis!$S$4-(DATEDIF(Imóveis!$Q$4,Dados!$A351,"m")),)))*(Imóveis!$N$4/Imóveis!$S$4)))*Imóveis!$P$4))))*IF(AND(Imóveis!$E$4&gt;0,Dados!$A351&gt;Imóveis!$E$4),0,1)</f>
        <v>0</v>
      </c>
      <c r="L351" s="18">
        <f>IF(Imóveis!$F$5="PRICE",IF(AND(Dados!$A351&gt;=Imóveis!$Q$5,Dados!$A351&lt;=Imóveis!$T$5),Imóveis!$U$5,0),IF((IF(AND(Dados!$A351&gt;=Imóveis!$Q$5,Dados!$A351&lt;=Imóveis!$T$5),Imóveis!$S$5-(DATEDIF(Imóveis!$Q$5,Dados!$A351,"m")),0))=0,0,((Imóveis!$N$5/Imóveis!$S$5)+((Imóveis!$N$5-((Imóveis!$S$5-(IF(AND(Dados!$A351 &gt;=Imóveis!$Q$5,Dados!$A351&lt;=Imóveis!$T$5),Imóveis!$S$5-(DATEDIF(Imóveis!$Q$5,Dados!$A351,"m")),)))*(Imóveis!$N$5/Imóveis!$S$5)))*Imóveis!$P$5))))*IF(AND(Imóveis!$E$5&gt;0,Dados!$A351&gt;Imóveis!$E$5),0,1)*Imóveis!$I$5</f>
        <v>0</v>
      </c>
      <c r="M351" s="18">
        <f>IF(Imóveis!$F$6="PRICE",IF(AND(Dados!$A351&gt;=Imóveis!$Q$6,Dados!$A351&lt;=Imóveis!$T$6),Imóveis!$U$6,0),IF((IF(AND(Dados!$A351&gt;=Imóveis!$Q$6,Dados!$A351&lt;=Imóveis!$T$6),Imóveis!$S$6-(DATEDIF(Imóveis!$Q$6,Dados!$A351,"m")),0))=0,0,((Imóveis!$N$6/Imóveis!$S$6)+((Imóveis!$N$6-((Imóveis!$S$6-(IF(AND(Dados!$A351&gt;=Imóveis!$Q$6,Dados!$A351&lt;=Imóveis!$T$6),Imóveis!$S$6-(DATEDIF(Imóveis!$Q$6,Dados!$A351,"m")),)))*(Imóveis!$N$6/Imóveis!$S$6)))*Imóveis!$P$6))))*IF(AND(Imóveis!$E$6&gt;0,Dados!$A351&gt;Imóveis!$E$6),0,1)*Imóveis!$I$6</f>
        <v>0</v>
      </c>
      <c r="N351" s="18">
        <f t="shared" si="45"/>
        <v>38200</v>
      </c>
      <c r="O351" s="18">
        <f>SUMIFS(Receitas!$F:$F,Receitas!$J:$J,"&lt;="&amp;$A351,Receitas!$L:$L,"&gt;="&amp;$A351,Receitas!$C:$C,O$1,Receitas!$M:$M,"Mensal")+SUMIFS(Receitas!$F:$F,Receitas!$J:$J,"&lt;="&amp;$A351,Receitas!$L:$L,"&gt;="&amp;$A351,Receitas!$C:$C,O$1,Receitas!$M:$M,$B351)</f>
        <v>50000</v>
      </c>
      <c r="P351" s="18">
        <f>SUMIFS(Receitas!$F:$F,Receitas!$J:$J,"&lt;="&amp;$A351,Receitas!$L:$L,"&gt;="&amp;$A351,Receitas!$C:$C,P$1,Receitas!$M:$M,"Mensal")+SUMIFS(Receitas!$F:$F,Receitas!$J:$J,"&lt;="&amp;$A351,Receitas!$L:$L,"&gt;="&amp;$A351,Receitas!$C:$C,P$1,Receitas!$M:$M,$B351)</f>
        <v>20000</v>
      </c>
      <c r="Q351" s="18">
        <f>SUMIFS(Receitas!$F:$F,Receitas!$J:$J,"&lt;="&amp;$A351,Receitas!$L:$L,"&gt;="&amp;$A351,Receitas!$C:$C,Q$1,Receitas!$M:$M,"Mensal")+SUMIFS(Receitas!$F:$F,Receitas!$J:$J,"&lt;="&amp;$A351,Receitas!$L:$L,"&gt;="&amp;$A351,Receitas!$C:$C,Q$1,Receitas!$M:$M,$B351)</f>
        <v>0</v>
      </c>
      <c r="R351" s="18" cm="1">
        <f t="array" ref="R351">(IF(AND(Membros!$F$2="Sim",A351&lt;=MAX(Membros!$E$2:$E$5)),Membros!K$2,IF(AND(A351&gt;=Membros!J$2,A351&lt;=MAX(Membros!$E$2:$E$5)),Membros!K$2,0))+IF(AND(Membros!$F$3="Sim",A351&lt;=MAX(Membros!$E$2:$E$5)),Membros!K$3,IF(AND(A351&gt;=Membros!J$3,A351&lt;=MAX(Membros!$E$2:$E$5)),Membros!K$3,0)))*IF(AND(COUNTIFS(Tabela3[Tipo],"Provedor",Tabela3[Simulação Seguro],"Sim")=2,A351&gt;=MAX(IF(Tabela3[Tipo]="Dependente",Tabela3[Expectativa de Vida (Data)]))),0,1)</f>
        <v>0</v>
      </c>
      <c r="S351" s="18">
        <f t="shared" si="46"/>
        <v>70000</v>
      </c>
      <c r="U351" s="18">
        <f t="shared" ca="1" si="49"/>
        <v>23086682.832269043</v>
      </c>
      <c r="V351" s="18">
        <f>SUMIF(Imóveis!E:E,Dados!A:A,Imóveis!Z:Z)-SUMIF(Imóveis!E:E,Dados!A:A,Imóveis!Y:Y)</f>
        <v>0</v>
      </c>
      <c r="W351" s="18">
        <f>-SUMIF(Projetos!N:N,A351,Projetos!F:F)</f>
        <v>0</v>
      </c>
      <c r="X351" s="18">
        <f t="shared" si="43"/>
        <v>31800</v>
      </c>
      <c r="Y351" s="26">
        <f ca="1">(U351*((Indicadores_Economicos!D$2+1)^(1/12)-1))</f>
        <v>75579.792027007876</v>
      </c>
      <c r="Z351" s="18">
        <f t="shared" ca="1" si="47"/>
        <v>23194062.624296051</v>
      </c>
      <c r="AA351" s="18">
        <f ca="1">Auxiliar_Projetos!E351</f>
        <v>1.223437832604284E-9</v>
      </c>
      <c r="AB351" s="18">
        <f ca="1">Auxiliar_Projetos!K351</f>
        <v>9.4110602508021733E-10</v>
      </c>
      <c r="AC351" s="18">
        <f ca="1">IF(Z351-AA351-AB351&gt;Investimentos!$C$14,Investimentos!$C$14,IF(Z351-AA351-AB351&lt;Investimentos!$C$14,Z351-AA351-AB351,0))</f>
        <v>300000</v>
      </c>
      <c r="AD351" s="18">
        <f t="shared" ca="1" si="48"/>
        <v>22894062.624296051</v>
      </c>
      <c r="AE351" s="18"/>
    </row>
    <row r="352" spans="1:31" x14ac:dyDescent="0.2">
      <c r="A352" s="4">
        <v>56309</v>
      </c>
      <c r="B352" s="5" t="str">
        <f t="shared" si="44"/>
        <v>março</v>
      </c>
      <c r="C352" s="5" t="str">
        <f t="shared" si="50"/>
        <v>2054</v>
      </c>
      <c r="D352" s="5">
        <f>SUMIFS(Despesas!$F:$F,Despesas!$J:$J,"&lt;="&amp;$A352,Despesas!$L:$L,"&gt;="&amp;$A352,Despesas!$C:$C,D$1,Despesas!$M:$M,"Mensal")+SUMIFS(Despesas!$F:$F,Despesas!$J:$J,"&lt;="&amp;$A352,Despesas!$L:$L,"&gt;="&amp;$A352,Despesas!$C:$C,D$1,Despesas!$M:$M,$B352)</f>
        <v>23000</v>
      </c>
      <c r="E352" s="18">
        <f>SUMIFS(Despesas!$F:$F,Despesas!$J:$J,"&lt;="&amp;$A352,Despesas!$L:$L,"&gt;="&amp;$A352,Despesas!$C:$C,E$1,Despesas!$M:$M,"Mensal")+SUMIFS(Despesas!$F:$F,Despesas!$J:$J,"&lt;="&amp;$A352,Despesas!$L:$L,"&gt;="&amp;$A352,Despesas!$C:$C,E$1,Despesas!$M:$M,$B352)</f>
        <v>0</v>
      </c>
      <c r="F352" s="5">
        <f>SUMIFS(Despesas!$F:$F,Despesas!$J:$J,"&lt;="&amp;$A352,Despesas!$L:$L,"&gt;="&amp;$A352,Despesas!$C:$C,F$1,Despesas!$M:$M,"Mensal")+SUMIFS(Despesas!$F:$F,Despesas!$J:$J,"&lt;="&amp;$A352,Despesas!$L:$L,"&gt;="&amp;$A352,Despesas!$C:$C,F$1,Despesas!$M:$M,$B352)</f>
        <v>13000</v>
      </c>
      <c r="G352" s="5">
        <f>SUMIFS(Despesas!$F:$F,Despesas!$J:$J,"&lt;="&amp;$A352,Despesas!$L:$L,"&gt;="&amp;$A352,Despesas!$C:$C,G$1,Despesas!$M:$M,"Mensal")+SUMIFS(Despesas!$F:$F,Despesas!$J:$J,"&lt;="&amp;$A352,Despesas!$L:$L,"&gt;="&amp;$A352,Despesas!$C:$C,G$1,Despesas!$M:$M,$B352)</f>
        <v>0</v>
      </c>
      <c r="H352" s="18">
        <f>SUMIFS(Despesas!$F:$F,Despesas!$J:$J,"&lt;="&amp;$A352,Despesas!$L:$L,"&gt;="&amp;$A352,Despesas!$C:$C,H$1,Despesas!$M:$M,"Mensal")+SUMIFS(Despesas!$F:$F,Despesas!$J:$J,"&lt;="&amp;$A352,Despesas!$L:$L,"&gt;="&amp;$A352,Despesas!$C:$C,H$1,Despesas!$M:$M,$B352)</f>
        <v>1000</v>
      </c>
      <c r="I352" s="18">
        <f>IF(Imóveis!$F$2="PRICE",IF(AND(Dados!$A352&gt;=Imóveis!$Q$2,Dados!$A352&lt;=Imóveis!$T$2),Imóveis!$U$2,0),IF((IF(AND(Dados!$A352&gt;=Imóveis!$Q$2,Dados!$A352&lt;=Imóveis!$T$2),Imóveis!$S$2-(DATEDIF(Imóveis!$Q$2,Dados!$A352,"m")),0))=0,0,((Imóveis!$N$2/Imóveis!$S$2)+((Imóveis!$N$2-((Imóveis!$S$2-(IF(AND(Dados!$A352&gt;=Imóveis!$Q$2,Dados!$A352&lt;=Imóveis!$T$2),Imóveis!$S$2-(DATEDIF(Imóveis!$Q$2,Dados!$A352,"m")),)))*(Imóveis!$N$2/Imóveis!$S$2)))*Imóveis!$P$2))))*IF(AND(Imóveis!$E$2&gt;0,Dados!$A352&gt;Imóveis!$E$2),0,1)</f>
        <v>0</v>
      </c>
      <c r="J352" s="18">
        <f>IF(Imóveis!$F$3="PRICE",IF(AND(Dados!$A352&gt;=Imóveis!$Q$3,Dados!$A352&lt;=Imóveis!$T$3),Imóveis!$U$3,0),IF((IF(AND(Dados!$A352&gt;=Imóveis!$Q$3,Dados!$A352&lt;=Imóveis!$T$3),Imóveis!$S$3-(DATEDIF(Imóveis!$Q$3,Dados!$A352,"m")),0))=0,0,((Imóveis!$N$3/Imóveis!$S$3)+((Imóveis!$N$3-((Imóveis!$S$3-(IF(AND(Dados!$A352&gt;=Imóveis!$Q$3,Dados!$A352&lt;=Imóveis!$T$3),Imóveis!$S$3-(DATEDIF(Imóveis!$Q$3,Dados!$A352,"m")),)))*(Imóveis!$N$3/Imóveis!$S$3)))*Imóveis!$P$3))))*IF(AND(Imóveis!$E$3&gt;0,Dados!$A352&gt;Imóveis!$E$3),0,1)</f>
        <v>0</v>
      </c>
      <c r="K352" s="18">
        <f>IF(Imóveis!$F$4="PRICE",IF(AND(Dados!$A352&gt;=Imóveis!$Q$4,Dados!$A352&lt;=Imóveis!$T$4),Imóveis!$U$4,0),IF((IF(AND(Dados!$A352&gt;=Imóveis!$Q$4,Dados!$A352&lt;=Imóveis!$T$4),Imóveis!$S$4-(DATEDIF(Imóveis!$Q$4,Dados!$A352,"m")),0))=0,0,((Imóveis!$N$4/Imóveis!$S$4)+((Imóveis!$N$4-((Imóveis!$S$4-(IF(AND(Dados!$A352&gt;=Imóveis!$Q$4,Dados!$A352&lt;=Imóveis!$T$4),Imóveis!$S$4-(DATEDIF(Imóveis!$Q$4,Dados!$A352,"m")),)))*(Imóveis!$N$4/Imóveis!$S$4)))*Imóveis!$P$4))))*IF(AND(Imóveis!$E$4&gt;0,Dados!$A352&gt;Imóveis!$E$4),0,1)</f>
        <v>0</v>
      </c>
      <c r="L352" s="18">
        <f>IF(Imóveis!$F$5="PRICE",IF(AND(Dados!$A352&gt;=Imóveis!$Q$5,Dados!$A352&lt;=Imóveis!$T$5),Imóveis!$U$5,0),IF((IF(AND(Dados!$A352&gt;=Imóveis!$Q$5,Dados!$A352&lt;=Imóveis!$T$5),Imóveis!$S$5-(DATEDIF(Imóveis!$Q$5,Dados!$A352,"m")),0))=0,0,((Imóveis!$N$5/Imóveis!$S$5)+((Imóveis!$N$5-((Imóveis!$S$5-(IF(AND(Dados!$A352 &gt;=Imóveis!$Q$5,Dados!$A352&lt;=Imóveis!$T$5),Imóveis!$S$5-(DATEDIF(Imóveis!$Q$5,Dados!$A352,"m")),)))*(Imóveis!$N$5/Imóveis!$S$5)))*Imóveis!$P$5))))*IF(AND(Imóveis!$E$5&gt;0,Dados!$A352&gt;Imóveis!$E$5),0,1)*Imóveis!$I$5</f>
        <v>0</v>
      </c>
      <c r="M352" s="18">
        <f>IF(Imóveis!$F$6="PRICE",IF(AND(Dados!$A352&gt;=Imóveis!$Q$6,Dados!$A352&lt;=Imóveis!$T$6),Imóveis!$U$6,0),IF((IF(AND(Dados!$A352&gt;=Imóveis!$Q$6,Dados!$A352&lt;=Imóveis!$T$6),Imóveis!$S$6-(DATEDIF(Imóveis!$Q$6,Dados!$A352,"m")),0))=0,0,((Imóveis!$N$6/Imóveis!$S$6)+((Imóveis!$N$6-((Imóveis!$S$6-(IF(AND(Dados!$A352&gt;=Imóveis!$Q$6,Dados!$A352&lt;=Imóveis!$T$6),Imóveis!$S$6-(DATEDIF(Imóveis!$Q$6,Dados!$A352,"m")),)))*(Imóveis!$N$6/Imóveis!$S$6)))*Imóveis!$P$6))))*IF(AND(Imóveis!$E$6&gt;0,Dados!$A352&gt;Imóveis!$E$6),0,1)*Imóveis!$I$6</f>
        <v>0</v>
      </c>
      <c r="N352" s="18">
        <f t="shared" si="45"/>
        <v>37000</v>
      </c>
      <c r="O352" s="18">
        <f>SUMIFS(Receitas!$F:$F,Receitas!$J:$J,"&lt;="&amp;$A352,Receitas!$L:$L,"&gt;="&amp;$A352,Receitas!$C:$C,O$1,Receitas!$M:$M,"Mensal")+SUMIFS(Receitas!$F:$F,Receitas!$J:$J,"&lt;="&amp;$A352,Receitas!$L:$L,"&gt;="&amp;$A352,Receitas!$C:$C,O$1,Receitas!$M:$M,$B352)</f>
        <v>50000</v>
      </c>
      <c r="P352" s="18">
        <f>SUMIFS(Receitas!$F:$F,Receitas!$J:$J,"&lt;="&amp;$A352,Receitas!$L:$L,"&gt;="&amp;$A352,Receitas!$C:$C,P$1,Receitas!$M:$M,"Mensal")+SUMIFS(Receitas!$F:$F,Receitas!$J:$J,"&lt;="&amp;$A352,Receitas!$L:$L,"&gt;="&amp;$A352,Receitas!$C:$C,P$1,Receitas!$M:$M,$B352)</f>
        <v>20000</v>
      </c>
      <c r="Q352" s="18">
        <f>SUMIFS(Receitas!$F:$F,Receitas!$J:$J,"&lt;="&amp;$A352,Receitas!$L:$L,"&gt;="&amp;$A352,Receitas!$C:$C,Q$1,Receitas!$M:$M,"Mensal")+SUMIFS(Receitas!$F:$F,Receitas!$J:$J,"&lt;="&amp;$A352,Receitas!$L:$L,"&gt;="&amp;$A352,Receitas!$C:$C,Q$1,Receitas!$M:$M,$B352)</f>
        <v>0</v>
      </c>
      <c r="R352" s="18" cm="1">
        <f t="array" ref="R352">(IF(AND(Membros!$F$2="Sim",A352&lt;=MAX(Membros!$E$2:$E$5)),Membros!K$2,IF(AND(A352&gt;=Membros!J$2,A352&lt;=MAX(Membros!$E$2:$E$5)),Membros!K$2,0))+IF(AND(Membros!$F$3="Sim",A352&lt;=MAX(Membros!$E$2:$E$5)),Membros!K$3,IF(AND(A352&gt;=Membros!J$3,A352&lt;=MAX(Membros!$E$2:$E$5)),Membros!K$3,0)))*IF(AND(COUNTIFS(Tabela3[Tipo],"Provedor",Tabela3[Simulação Seguro],"Sim")=2,A352&gt;=MAX(IF(Tabela3[Tipo]="Dependente",Tabela3[Expectativa de Vida (Data)]))),0,1)</f>
        <v>0</v>
      </c>
      <c r="S352" s="18">
        <f t="shared" si="46"/>
        <v>70000</v>
      </c>
      <c r="U352" s="18">
        <f t="shared" ca="1" si="49"/>
        <v>23194062.624296051</v>
      </c>
      <c r="V352" s="18">
        <f>SUMIF(Imóveis!E:E,Dados!A:A,Imóveis!Z:Z)-SUMIF(Imóveis!E:E,Dados!A:A,Imóveis!Y:Y)</f>
        <v>0</v>
      </c>
      <c r="W352" s="18">
        <f>-SUMIF(Projetos!N:N,A352,Projetos!F:F)</f>
        <v>0</v>
      </c>
      <c r="X352" s="18">
        <f t="shared" si="43"/>
        <v>33000</v>
      </c>
      <c r="Y352" s="26">
        <f ca="1">(U352*((Indicadores_Economicos!D$2+1)^(1/12)-1))</f>
        <v>75931.32552397094</v>
      </c>
      <c r="Z352" s="18">
        <f t="shared" ca="1" si="47"/>
        <v>23302993.949820023</v>
      </c>
      <c r="AA352" s="18">
        <f ca="1">Auxiliar_Projetos!E352</f>
        <v>1.2274430497079279E-9</v>
      </c>
      <c r="AB352" s="18">
        <f ca="1">Auxiliar_Projetos!K352</f>
        <v>9.4418696131378959E-10</v>
      </c>
      <c r="AC352" s="18">
        <f ca="1">IF(Z352-AA352-AB352&gt;Investimentos!$C$14,Investimentos!$C$14,IF(Z352-AA352-AB352&lt;Investimentos!$C$14,Z352-AA352-AB352,0))</f>
        <v>300000</v>
      </c>
      <c r="AD352" s="18">
        <f t="shared" ca="1" si="48"/>
        <v>23002993.949820023</v>
      </c>
      <c r="AE352" s="18"/>
    </row>
    <row r="353" spans="1:31" x14ac:dyDescent="0.2">
      <c r="A353" s="4">
        <v>56340</v>
      </c>
      <c r="B353" s="5" t="str">
        <f t="shared" si="44"/>
        <v>abril</v>
      </c>
      <c r="C353" s="5" t="str">
        <f t="shared" si="50"/>
        <v>2054</v>
      </c>
      <c r="D353" s="5">
        <f>SUMIFS(Despesas!$F:$F,Despesas!$J:$J,"&lt;="&amp;$A353,Despesas!$L:$L,"&gt;="&amp;$A353,Despesas!$C:$C,D$1,Despesas!$M:$M,"Mensal")+SUMIFS(Despesas!$F:$F,Despesas!$J:$J,"&lt;="&amp;$A353,Despesas!$L:$L,"&gt;="&amp;$A353,Despesas!$C:$C,D$1,Despesas!$M:$M,$B353)</f>
        <v>23000</v>
      </c>
      <c r="E353" s="18">
        <f>SUMIFS(Despesas!$F:$F,Despesas!$J:$J,"&lt;="&amp;$A353,Despesas!$L:$L,"&gt;="&amp;$A353,Despesas!$C:$C,E$1,Despesas!$M:$M,"Mensal")+SUMIFS(Despesas!$F:$F,Despesas!$J:$J,"&lt;="&amp;$A353,Despesas!$L:$L,"&gt;="&amp;$A353,Despesas!$C:$C,E$1,Despesas!$M:$M,$B353)</f>
        <v>0</v>
      </c>
      <c r="F353" s="5">
        <f>SUMIFS(Despesas!$F:$F,Despesas!$J:$J,"&lt;="&amp;$A353,Despesas!$L:$L,"&gt;="&amp;$A353,Despesas!$C:$C,F$1,Despesas!$M:$M,"Mensal")+SUMIFS(Despesas!$F:$F,Despesas!$J:$J,"&lt;="&amp;$A353,Despesas!$L:$L,"&gt;="&amp;$A353,Despesas!$C:$C,F$1,Despesas!$M:$M,$B353)</f>
        <v>13000</v>
      </c>
      <c r="G353" s="5">
        <f>SUMIFS(Despesas!$F:$F,Despesas!$J:$J,"&lt;="&amp;$A353,Despesas!$L:$L,"&gt;="&amp;$A353,Despesas!$C:$C,G$1,Despesas!$M:$M,"Mensal")+SUMIFS(Despesas!$F:$F,Despesas!$J:$J,"&lt;="&amp;$A353,Despesas!$L:$L,"&gt;="&amp;$A353,Despesas!$C:$C,G$1,Despesas!$M:$M,$B353)</f>
        <v>0</v>
      </c>
      <c r="H353" s="18">
        <f>SUMIFS(Despesas!$F:$F,Despesas!$J:$J,"&lt;="&amp;$A353,Despesas!$L:$L,"&gt;="&amp;$A353,Despesas!$C:$C,H$1,Despesas!$M:$M,"Mensal")+SUMIFS(Despesas!$F:$F,Despesas!$J:$J,"&lt;="&amp;$A353,Despesas!$L:$L,"&gt;="&amp;$A353,Despesas!$C:$C,H$1,Despesas!$M:$M,$B353)</f>
        <v>1000</v>
      </c>
      <c r="I353" s="18">
        <f>IF(Imóveis!$F$2="PRICE",IF(AND(Dados!$A353&gt;=Imóveis!$Q$2,Dados!$A353&lt;=Imóveis!$T$2),Imóveis!$U$2,0),IF((IF(AND(Dados!$A353&gt;=Imóveis!$Q$2,Dados!$A353&lt;=Imóveis!$T$2),Imóveis!$S$2-(DATEDIF(Imóveis!$Q$2,Dados!$A353,"m")),0))=0,0,((Imóveis!$N$2/Imóveis!$S$2)+((Imóveis!$N$2-((Imóveis!$S$2-(IF(AND(Dados!$A353&gt;=Imóveis!$Q$2,Dados!$A353&lt;=Imóveis!$T$2),Imóveis!$S$2-(DATEDIF(Imóveis!$Q$2,Dados!$A353,"m")),)))*(Imóveis!$N$2/Imóveis!$S$2)))*Imóveis!$P$2))))*IF(AND(Imóveis!$E$2&gt;0,Dados!$A353&gt;Imóveis!$E$2),0,1)</f>
        <v>0</v>
      </c>
      <c r="J353" s="18">
        <f>IF(Imóveis!$F$3="PRICE",IF(AND(Dados!$A353&gt;=Imóveis!$Q$3,Dados!$A353&lt;=Imóveis!$T$3),Imóveis!$U$3,0),IF((IF(AND(Dados!$A353&gt;=Imóveis!$Q$3,Dados!$A353&lt;=Imóveis!$T$3),Imóveis!$S$3-(DATEDIF(Imóveis!$Q$3,Dados!$A353,"m")),0))=0,0,((Imóveis!$N$3/Imóveis!$S$3)+((Imóveis!$N$3-((Imóveis!$S$3-(IF(AND(Dados!$A353&gt;=Imóveis!$Q$3,Dados!$A353&lt;=Imóveis!$T$3),Imóveis!$S$3-(DATEDIF(Imóveis!$Q$3,Dados!$A353,"m")),)))*(Imóveis!$N$3/Imóveis!$S$3)))*Imóveis!$P$3))))*IF(AND(Imóveis!$E$3&gt;0,Dados!$A353&gt;Imóveis!$E$3),0,1)</f>
        <v>0</v>
      </c>
      <c r="K353" s="18">
        <f>IF(Imóveis!$F$4="PRICE",IF(AND(Dados!$A353&gt;=Imóveis!$Q$4,Dados!$A353&lt;=Imóveis!$T$4),Imóveis!$U$4,0),IF((IF(AND(Dados!$A353&gt;=Imóveis!$Q$4,Dados!$A353&lt;=Imóveis!$T$4),Imóveis!$S$4-(DATEDIF(Imóveis!$Q$4,Dados!$A353,"m")),0))=0,0,((Imóveis!$N$4/Imóveis!$S$4)+((Imóveis!$N$4-((Imóveis!$S$4-(IF(AND(Dados!$A353&gt;=Imóveis!$Q$4,Dados!$A353&lt;=Imóveis!$T$4),Imóveis!$S$4-(DATEDIF(Imóveis!$Q$4,Dados!$A353,"m")),)))*(Imóveis!$N$4/Imóveis!$S$4)))*Imóveis!$P$4))))*IF(AND(Imóveis!$E$4&gt;0,Dados!$A353&gt;Imóveis!$E$4),0,1)</f>
        <v>0</v>
      </c>
      <c r="L353" s="18">
        <f>IF(Imóveis!$F$5="PRICE",IF(AND(Dados!$A353&gt;=Imóveis!$Q$5,Dados!$A353&lt;=Imóveis!$T$5),Imóveis!$U$5,0),IF((IF(AND(Dados!$A353&gt;=Imóveis!$Q$5,Dados!$A353&lt;=Imóveis!$T$5),Imóveis!$S$5-(DATEDIF(Imóveis!$Q$5,Dados!$A353,"m")),0))=0,0,((Imóveis!$N$5/Imóveis!$S$5)+((Imóveis!$N$5-((Imóveis!$S$5-(IF(AND(Dados!$A353 &gt;=Imóveis!$Q$5,Dados!$A353&lt;=Imóveis!$T$5),Imóveis!$S$5-(DATEDIF(Imóveis!$Q$5,Dados!$A353,"m")),)))*(Imóveis!$N$5/Imóveis!$S$5)))*Imóveis!$P$5))))*IF(AND(Imóveis!$E$5&gt;0,Dados!$A353&gt;Imóveis!$E$5),0,1)*Imóveis!$I$5</f>
        <v>0</v>
      </c>
      <c r="M353" s="18">
        <f>IF(Imóveis!$F$6="PRICE",IF(AND(Dados!$A353&gt;=Imóveis!$Q$6,Dados!$A353&lt;=Imóveis!$T$6),Imóveis!$U$6,0),IF((IF(AND(Dados!$A353&gt;=Imóveis!$Q$6,Dados!$A353&lt;=Imóveis!$T$6),Imóveis!$S$6-(DATEDIF(Imóveis!$Q$6,Dados!$A353,"m")),0))=0,0,((Imóveis!$N$6/Imóveis!$S$6)+((Imóveis!$N$6-((Imóveis!$S$6-(IF(AND(Dados!$A353&gt;=Imóveis!$Q$6,Dados!$A353&lt;=Imóveis!$T$6),Imóveis!$S$6-(DATEDIF(Imóveis!$Q$6,Dados!$A353,"m")),)))*(Imóveis!$N$6/Imóveis!$S$6)))*Imóveis!$P$6))))*IF(AND(Imóveis!$E$6&gt;0,Dados!$A353&gt;Imóveis!$E$6),0,1)*Imóveis!$I$6</f>
        <v>0</v>
      </c>
      <c r="N353" s="18">
        <f t="shared" si="45"/>
        <v>37000</v>
      </c>
      <c r="O353" s="18">
        <f>SUMIFS(Receitas!$F:$F,Receitas!$J:$J,"&lt;="&amp;$A353,Receitas!$L:$L,"&gt;="&amp;$A353,Receitas!$C:$C,O$1,Receitas!$M:$M,"Mensal")+SUMIFS(Receitas!$F:$F,Receitas!$J:$J,"&lt;="&amp;$A353,Receitas!$L:$L,"&gt;="&amp;$A353,Receitas!$C:$C,O$1,Receitas!$M:$M,$B353)</f>
        <v>50000</v>
      </c>
      <c r="P353" s="18">
        <f>SUMIFS(Receitas!$F:$F,Receitas!$J:$J,"&lt;="&amp;$A353,Receitas!$L:$L,"&gt;="&amp;$A353,Receitas!$C:$C,P$1,Receitas!$M:$M,"Mensal")+SUMIFS(Receitas!$F:$F,Receitas!$J:$J,"&lt;="&amp;$A353,Receitas!$L:$L,"&gt;="&amp;$A353,Receitas!$C:$C,P$1,Receitas!$M:$M,$B353)</f>
        <v>85000</v>
      </c>
      <c r="Q353" s="18">
        <f>SUMIFS(Receitas!$F:$F,Receitas!$J:$J,"&lt;="&amp;$A353,Receitas!$L:$L,"&gt;="&amp;$A353,Receitas!$C:$C,Q$1,Receitas!$M:$M,"Mensal")+SUMIFS(Receitas!$F:$F,Receitas!$J:$J,"&lt;="&amp;$A353,Receitas!$L:$L,"&gt;="&amp;$A353,Receitas!$C:$C,Q$1,Receitas!$M:$M,$B353)</f>
        <v>0</v>
      </c>
      <c r="R353" s="18" cm="1">
        <f t="array" ref="R353">(IF(AND(Membros!$F$2="Sim",A353&lt;=MAX(Membros!$E$2:$E$5)),Membros!K$2,IF(AND(A353&gt;=Membros!J$2,A353&lt;=MAX(Membros!$E$2:$E$5)),Membros!K$2,0))+IF(AND(Membros!$F$3="Sim",A353&lt;=MAX(Membros!$E$2:$E$5)),Membros!K$3,IF(AND(A353&gt;=Membros!J$3,A353&lt;=MAX(Membros!$E$2:$E$5)),Membros!K$3,0)))*IF(AND(COUNTIFS(Tabela3[Tipo],"Provedor",Tabela3[Simulação Seguro],"Sim")=2,A353&gt;=MAX(IF(Tabela3[Tipo]="Dependente",Tabela3[Expectativa de Vida (Data)]))),0,1)</f>
        <v>0</v>
      </c>
      <c r="S353" s="18">
        <f t="shared" si="46"/>
        <v>135000</v>
      </c>
      <c r="U353" s="18">
        <f t="shared" ca="1" si="49"/>
        <v>23302993.949820023</v>
      </c>
      <c r="V353" s="18">
        <f>SUMIF(Imóveis!E:E,Dados!A:A,Imóveis!Z:Z)-SUMIF(Imóveis!E:E,Dados!A:A,Imóveis!Y:Y)</f>
        <v>0</v>
      </c>
      <c r="W353" s="18">
        <f>-SUMIF(Projetos!N:N,A353,Projetos!F:F)</f>
        <v>0</v>
      </c>
      <c r="X353" s="18">
        <f t="shared" si="43"/>
        <v>98000</v>
      </c>
      <c r="Y353" s="26">
        <f ca="1">(U353*((Indicadores_Economicos!D$2+1)^(1/12)-1))</f>
        <v>76287.938337866421</v>
      </c>
      <c r="Z353" s="18">
        <f t="shared" ca="1" si="47"/>
        <v>23477281.888157889</v>
      </c>
      <c r="AA353" s="18">
        <f ca="1">Auxiliar_Projetos!E353</f>
        <v>1.2314613788501403E-9</v>
      </c>
      <c r="AB353" s="18">
        <f ca="1">Auxiliar_Projetos!K353</f>
        <v>9.472779837308761E-10</v>
      </c>
      <c r="AC353" s="18">
        <f ca="1">IF(Z353-AA353-AB353&gt;Investimentos!$C$14,Investimentos!$C$14,IF(Z353-AA353-AB353&lt;Investimentos!$C$14,Z353-AA353-AB353,0))</f>
        <v>300000</v>
      </c>
      <c r="AD353" s="18">
        <f t="shared" ca="1" si="48"/>
        <v>23177281.888157889</v>
      </c>
      <c r="AE353" s="18"/>
    </row>
    <row r="354" spans="1:31" x14ac:dyDescent="0.2">
      <c r="A354" s="4">
        <v>56370</v>
      </c>
      <c r="B354" s="5" t="str">
        <f t="shared" si="44"/>
        <v>maio</v>
      </c>
      <c r="C354" s="5" t="str">
        <f t="shared" si="50"/>
        <v>2054</v>
      </c>
      <c r="D354" s="5">
        <f>SUMIFS(Despesas!$F:$F,Despesas!$J:$J,"&lt;="&amp;$A354,Despesas!$L:$L,"&gt;="&amp;$A354,Despesas!$C:$C,D$1,Despesas!$M:$M,"Mensal")+SUMIFS(Despesas!$F:$F,Despesas!$J:$J,"&lt;="&amp;$A354,Despesas!$L:$L,"&gt;="&amp;$A354,Despesas!$C:$C,D$1,Despesas!$M:$M,$B354)</f>
        <v>23000</v>
      </c>
      <c r="E354" s="18">
        <f>SUMIFS(Despesas!$F:$F,Despesas!$J:$J,"&lt;="&amp;$A354,Despesas!$L:$L,"&gt;="&amp;$A354,Despesas!$C:$C,E$1,Despesas!$M:$M,"Mensal")+SUMIFS(Despesas!$F:$F,Despesas!$J:$J,"&lt;="&amp;$A354,Despesas!$L:$L,"&gt;="&amp;$A354,Despesas!$C:$C,E$1,Despesas!$M:$M,$B354)</f>
        <v>0</v>
      </c>
      <c r="F354" s="5">
        <f>SUMIFS(Despesas!$F:$F,Despesas!$J:$J,"&lt;="&amp;$A354,Despesas!$L:$L,"&gt;="&amp;$A354,Despesas!$C:$C,F$1,Despesas!$M:$M,"Mensal")+SUMIFS(Despesas!$F:$F,Despesas!$J:$J,"&lt;="&amp;$A354,Despesas!$L:$L,"&gt;="&amp;$A354,Despesas!$C:$C,F$1,Despesas!$M:$M,$B354)</f>
        <v>13000</v>
      </c>
      <c r="G354" s="5">
        <f>SUMIFS(Despesas!$F:$F,Despesas!$J:$J,"&lt;="&amp;$A354,Despesas!$L:$L,"&gt;="&amp;$A354,Despesas!$C:$C,G$1,Despesas!$M:$M,"Mensal")+SUMIFS(Despesas!$F:$F,Despesas!$J:$J,"&lt;="&amp;$A354,Despesas!$L:$L,"&gt;="&amp;$A354,Despesas!$C:$C,G$1,Despesas!$M:$M,$B354)</f>
        <v>0</v>
      </c>
      <c r="H354" s="18">
        <f>SUMIFS(Despesas!$F:$F,Despesas!$J:$J,"&lt;="&amp;$A354,Despesas!$L:$L,"&gt;="&amp;$A354,Despesas!$C:$C,H$1,Despesas!$M:$M,"Mensal")+SUMIFS(Despesas!$F:$F,Despesas!$J:$J,"&lt;="&amp;$A354,Despesas!$L:$L,"&gt;="&amp;$A354,Despesas!$C:$C,H$1,Despesas!$M:$M,$B354)</f>
        <v>1000</v>
      </c>
      <c r="I354" s="18">
        <f>IF(Imóveis!$F$2="PRICE",IF(AND(Dados!$A354&gt;=Imóveis!$Q$2,Dados!$A354&lt;=Imóveis!$T$2),Imóveis!$U$2,0),IF((IF(AND(Dados!$A354&gt;=Imóveis!$Q$2,Dados!$A354&lt;=Imóveis!$T$2),Imóveis!$S$2-(DATEDIF(Imóveis!$Q$2,Dados!$A354,"m")),0))=0,0,((Imóveis!$N$2/Imóveis!$S$2)+((Imóveis!$N$2-((Imóveis!$S$2-(IF(AND(Dados!$A354&gt;=Imóveis!$Q$2,Dados!$A354&lt;=Imóveis!$T$2),Imóveis!$S$2-(DATEDIF(Imóveis!$Q$2,Dados!$A354,"m")),)))*(Imóveis!$N$2/Imóveis!$S$2)))*Imóveis!$P$2))))*IF(AND(Imóveis!$E$2&gt;0,Dados!$A354&gt;Imóveis!$E$2),0,1)</f>
        <v>0</v>
      </c>
      <c r="J354" s="18">
        <f>IF(Imóveis!$F$3="PRICE",IF(AND(Dados!$A354&gt;=Imóveis!$Q$3,Dados!$A354&lt;=Imóveis!$T$3),Imóveis!$U$3,0),IF((IF(AND(Dados!$A354&gt;=Imóveis!$Q$3,Dados!$A354&lt;=Imóveis!$T$3),Imóveis!$S$3-(DATEDIF(Imóveis!$Q$3,Dados!$A354,"m")),0))=0,0,((Imóveis!$N$3/Imóveis!$S$3)+((Imóveis!$N$3-((Imóveis!$S$3-(IF(AND(Dados!$A354&gt;=Imóveis!$Q$3,Dados!$A354&lt;=Imóveis!$T$3),Imóveis!$S$3-(DATEDIF(Imóveis!$Q$3,Dados!$A354,"m")),)))*(Imóveis!$N$3/Imóveis!$S$3)))*Imóveis!$P$3))))*IF(AND(Imóveis!$E$3&gt;0,Dados!$A354&gt;Imóveis!$E$3),0,1)</f>
        <v>0</v>
      </c>
      <c r="K354" s="18">
        <f>IF(Imóveis!$F$4="PRICE",IF(AND(Dados!$A354&gt;=Imóveis!$Q$4,Dados!$A354&lt;=Imóveis!$T$4),Imóveis!$U$4,0),IF((IF(AND(Dados!$A354&gt;=Imóveis!$Q$4,Dados!$A354&lt;=Imóveis!$T$4),Imóveis!$S$4-(DATEDIF(Imóveis!$Q$4,Dados!$A354,"m")),0))=0,0,((Imóveis!$N$4/Imóveis!$S$4)+((Imóveis!$N$4-((Imóveis!$S$4-(IF(AND(Dados!$A354&gt;=Imóveis!$Q$4,Dados!$A354&lt;=Imóveis!$T$4),Imóveis!$S$4-(DATEDIF(Imóveis!$Q$4,Dados!$A354,"m")),)))*(Imóveis!$N$4/Imóveis!$S$4)))*Imóveis!$P$4))))*IF(AND(Imóveis!$E$4&gt;0,Dados!$A354&gt;Imóveis!$E$4),0,1)</f>
        <v>0</v>
      </c>
      <c r="L354" s="18">
        <f>IF(Imóveis!$F$5="PRICE",IF(AND(Dados!$A354&gt;=Imóveis!$Q$5,Dados!$A354&lt;=Imóveis!$T$5),Imóveis!$U$5,0),IF((IF(AND(Dados!$A354&gt;=Imóveis!$Q$5,Dados!$A354&lt;=Imóveis!$T$5),Imóveis!$S$5-(DATEDIF(Imóveis!$Q$5,Dados!$A354,"m")),0))=0,0,((Imóveis!$N$5/Imóveis!$S$5)+((Imóveis!$N$5-((Imóveis!$S$5-(IF(AND(Dados!$A354 &gt;=Imóveis!$Q$5,Dados!$A354&lt;=Imóveis!$T$5),Imóveis!$S$5-(DATEDIF(Imóveis!$Q$5,Dados!$A354,"m")),)))*(Imóveis!$N$5/Imóveis!$S$5)))*Imóveis!$P$5))))*IF(AND(Imóveis!$E$5&gt;0,Dados!$A354&gt;Imóveis!$E$5),0,1)*Imóveis!$I$5</f>
        <v>0</v>
      </c>
      <c r="M354" s="18">
        <f>IF(Imóveis!$F$6="PRICE",IF(AND(Dados!$A354&gt;=Imóveis!$Q$6,Dados!$A354&lt;=Imóveis!$T$6),Imóveis!$U$6,0),IF((IF(AND(Dados!$A354&gt;=Imóveis!$Q$6,Dados!$A354&lt;=Imóveis!$T$6),Imóveis!$S$6-(DATEDIF(Imóveis!$Q$6,Dados!$A354,"m")),0))=0,0,((Imóveis!$N$6/Imóveis!$S$6)+((Imóveis!$N$6-((Imóveis!$S$6-(IF(AND(Dados!$A354&gt;=Imóveis!$Q$6,Dados!$A354&lt;=Imóveis!$T$6),Imóveis!$S$6-(DATEDIF(Imóveis!$Q$6,Dados!$A354,"m")),)))*(Imóveis!$N$6/Imóveis!$S$6)))*Imóveis!$P$6))))*IF(AND(Imóveis!$E$6&gt;0,Dados!$A354&gt;Imóveis!$E$6),0,1)*Imóveis!$I$6</f>
        <v>0</v>
      </c>
      <c r="N354" s="18">
        <f t="shared" si="45"/>
        <v>37000</v>
      </c>
      <c r="O354" s="18">
        <f>SUMIFS(Receitas!$F:$F,Receitas!$J:$J,"&lt;="&amp;$A354,Receitas!$L:$L,"&gt;="&amp;$A354,Receitas!$C:$C,O$1,Receitas!$M:$M,"Mensal")+SUMIFS(Receitas!$F:$F,Receitas!$J:$J,"&lt;="&amp;$A354,Receitas!$L:$L,"&gt;="&amp;$A354,Receitas!$C:$C,O$1,Receitas!$M:$M,$B354)</f>
        <v>50000</v>
      </c>
      <c r="P354" s="18">
        <f>SUMIFS(Receitas!$F:$F,Receitas!$J:$J,"&lt;="&amp;$A354,Receitas!$L:$L,"&gt;="&amp;$A354,Receitas!$C:$C,P$1,Receitas!$M:$M,"Mensal")+SUMIFS(Receitas!$F:$F,Receitas!$J:$J,"&lt;="&amp;$A354,Receitas!$L:$L,"&gt;="&amp;$A354,Receitas!$C:$C,P$1,Receitas!$M:$M,$B354)</f>
        <v>20000</v>
      </c>
      <c r="Q354" s="18">
        <f>SUMIFS(Receitas!$F:$F,Receitas!$J:$J,"&lt;="&amp;$A354,Receitas!$L:$L,"&gt;="&amp;$A354,Receitas!$C:$C,Q$1,Receitas!$M:$M,"Mensal")+SUMIFS(Receitas!$F:$F,Receitas!$J:$J,"&lt;="&amp;$A354,Receitas!$L:$L,"&gt;="&amp;$A354,Receitas!$C:$C,Q$1,Receitas!$M:$M,$B354)</f>
        <v>0</v>
      </c>
      <c r="R354" s="18" cm="1">
        <f t="array" ref="R354">(IF(AND(Membros!$F$2="Sim",A354&lt;=MAX(Membros!$E$2:$E$5)),Membros!K$2,IF(AND(A354&gt;=Membros!J$2,A354&lt;=MAX(Membros!$E$2:$E$5)),Membros!K$2,0))+IF(AND(Membros!$F$3="Sim",A354&lt;=MAX(Membros!$E$2:$E$5)),Membros!K$3,IF(AND(A354&gt;=Membros!J$3,A354&lt;=MAX(Membros!$E$2:$E$5)),Membros!K$3,0)))*IF(AND(COUNTIFS(Tabela3[Tipo],"Provedor",Tabela3[Simulação Seguro],"Sim")=2,A354&gt;=MAX(IF(Tabela3[Tipo]="Dependente",Tabela3[Expectativa de Vida (Data)]))),0,1)</f>
        <v>0</v>
      </c>
      <c r="S354" s="18">
        <f t="shared" si="46"/>
        <v>70000</v>
      </c>
      <c r="U354" s="18">
        <f t="shared" ca="1" si="49"/>
        <v>23477281.888157889</v>
      </c>
      <c r="V354" s="18">
        <f>SUMIF(Imóveis!E:E,Dados!A:A,Imóveis!Z:Z)-SUMIF(Imóveis!E:E,Dados!A:A,Imóveis!Y:Y)</f>
        <v>0</v>
      </c>
      <c r="W354" s="18">
        <f>-SUMIF(Projetos!N:N,A354,Projetos!F:F)</f>
        <v>0</v>
      </c>
      <c r="X354" s="18">
        <f t="shared" si="43"/>
        <v>33000</v>
      </c>
      <c r="Y354" s="26">
        <f ca="1">(U354*((Indicadores_Economicos!D$2+1)^(1/12)-1))</f>
        <v>76858.511695160531</v>
      </c>
      <c r="Z354" s="18">
        <f t="shared" ca="1" si="47"/>
        <v>23587140.399853051</v>
      </c>
      <c r="AA354" s="18">
        <f ca="1">Auxiliar_Projetos!E354</f>
        <v>1.2354928629563236E-9</v>
      </c>
      <c r="AB354" s="18">
        <f ca="1">Auxiliar_Projetos!K354</f>
        <v>9.503791253510171E-10</v>
      </c>
      <c r="AC354" s="18">
        <f ca="1">IF(Z354-AA354-AB354&gt;Investimentos!$C$14,Investimentos!$C$14,IF(Z354-AA354-AB354&lt;Investimentos!$C$14,Z354-AA354-AB354,0))</f>
        <v>300000</v>
      </c>
      <c r="AD354" s="18">
        <f t="shared" ca="1" si="48"/>
        <v>23287140.399853051</v>
      </c>
      <c r="AE354" s="18"/>
    </row>
    <row r="355" spans="1:31" x14ac:dyDescent="0.2">
      <c r="A355" s="4">
        <v>56401</v>
      </c>
      <c r="B355" s="5" t="str">
        <f t="shared" si="44"/>
        <v>junho</v>
      </c>
      <c r="C355" s="5" t="str">
        <f t="shared" si="50"/>
        <v>2054</v>
      </c>
      <c r="D355" s="5">
        <f>SUMIFS(Despesas!$F:$F,Despesas!$J:$J,"&lt;="&amp;$A355,Despesas!$L:$L,"&gt;="&amp;$A355,Despesas!$C:$C,D$1,Despesas!$M:$M,"Mensal")+SUMIFS(Despesas!$F:$F,Despesas!$J:$J,"&lt;="&amp;$A355,Despesas!$L:$L,"&gt;="&amp;$A355,Despesas!$C:$C,D$1,Despesas!$M:$M,$B355)</f>
        <v>23000</v>
      </c>
      <c r="E355" s="18">
        <f>SUMIFS(Despesas!$F:$F,Despesas!$J:$J,"&lt;="&amp;$A355,Despesas!$L:$L,"&gt;="&amp;$A355,Despesas!$C:$C,E$1,Despesas!$M:$M,"Mensal")+SUMIFS(Despesas!$F:$F,Despesas!$J:$J,"&lt;="&amp;$A355,Despesas!$L:$L,"&gt;="&amp;$A355,Despesas!$C:$C,E$1,Despesas!$M:$M,$B355)</f>
        <v>0</v>
      </c>
      <c r="F355" s="5">
        <f>SUMIFS(Despesas!$F:$F,Despesas!$J:$J,"&lt;="&amp;$A355,Despesas!$L:$L,"&gt;="&amp;$A355,Despesas!$C:$C,F$1,Despesas!$M:$M,"Mensal")+SUMIFS(Despesas!$F:$F,Despesas!$J:$J,"&lt;="&amp;$A355,Despesas!$L:$L,"&gt;="&amp;$A355,Despesas!$C:$C,F$1,Despesas!$M:$M,$B355)</f>
        <v>13000</v>
      </c>
      <c r="G355" s="5">
        <f>SUMIFS(Despesas!$F:$F,Despesas!$J:$J,"&lt;="&amp;$A355,Despesas!$L:$L,"&gt;="&amp;$A355,Despesas!$C:$C,G$1,Despesas!$M:$M,"Mensal")+SUMIFS(Despesas!$F:$F,Despesas!$J:$J,"&lt;="&amp;$A355,Despesas!$L:$L,"&gt;="&amp;$A355,Despesas!$C:$C,G$1,Despesas!$M:$M,$B355)</f>
        <v>0</v>
      </c>
      <c r="H355" s="18">
        <f>SUMIFS(Despesas!$F:$F,Despesas!$J:$J,"&lt;="&amp;$A355,Despesas!$L:$L,"&gt;="&amp;$A355,Despesas!$C:$C,H$1,Despesas!$M:$M,"Mensal")+SUMIFS(Despesas!$F:$F,Despesas!$J:$J,"&lt;="&amp;$A355,Despesas!$L:$L,"&gt;="&amp;$A355,Despesas!$C:$C,H$1,Despesas!$M:$M,$B355)</f>
        <v>1000</v>
      </c>
      <c r="I355" s="18">
        <f>IF(Imóveis!$F$2="PRICE",IF(AND(Dados!$A355&gt;=Imóveis!$Q$2,Dados!$A355&lt;=Imóveis!$T$2),Imóveis!$U$2,0),IF((IF(AND(Dados!$A355&gt;=Imóveis!$Q$2,Dados!$A355&lt;=Imóveis!$T$2),Imóveis!$S$2-(DATEDIF(Imóveis!$Q$2,Dados!$A355,"m")),0))=0,0,((Imóveis!$N$2/Imóveis!$S$2)+((Imóveis!$N$2-((Imóveis!$S$2-(IF(AND(Dados!$A355&gt;=Imóveis!$Q$2,Dados!$A355&lt;=Imóveis!$T$2),Imóveis!$S$2-(DATEDIF(Imóveis!$Q$2,Dados!$A355,"m")),)))*(Imóveis!$N$2/Imóveis!$S$2)))*Imóveis!$P$2))))*IF(AND(Imóveis!$E$2&gt;0,Dados!$A355&gt;Imóveis!$E$2),0,1)</f>
        <v>0</v>
      </c>
      <c r="J355" s="18">
        <f>IF(Imóveis!$F$3="PRICE",IF(AND(Dados!$A355&gt;=Imóveis!$Q$3,Dados!$A355&lt;=Imóveis!$T$3),Imóveis!$U$3,0),IF((IF(AND(Dados!$A355&gt;=Imóveis!$Q$3,Dados!$A355&lt;=Imóveis!$T$3),Imóveis!$S$3-(DATEDIF(Imóveis!$Q$3,Dados!$A355,"m")),0))=0,0,((Imóveis!$N$3/Imóveis!$S$3)+((Imóveis!$N$3-((Imóveis!$S$3-(IF(AND(Dados!$A355&gt;=Imóveis!$Q$3,Dados!$A355&lt;=Imóveis!$T$3),Imóveis!$S$3-(DATEDIF(Imóveis!$Q$3,Dados!$A355,"m")),)))*(Imóveis!$N$3/Imóveis!$S$3)))*Imóveis!$P$3))))*IF(AND(Imóveis!$E$3&gt;0,Dados!$A355&gt;Imóveis!$E$3),0,1)</f>
        <v>0</v>
      </c>
      <c r="K355" s="18">
        <f>IF(Imóveis!$F$4="PRICE",IF(AND(Dados!$A355&gt;=Imóveis!$Q$4,Dados!$A355&lt;=Imóveis!$T$4),Imóveis!$U$4,0),IF((IF(AND(Dados!$A355&gt;=Imóveis!$Q$4,Dados!$A355&lt;=Imóveis!$T$4),Imóveis!$S$4-(DATEDIF(Imóveis!$Q$4,Dados!$A355,"m")),0))=0,0,((Imóveis!$N$4/Imóveis!$S$4)+((Imóveis!$N$4-((Imóveis!$S$4-(IF(AND(Dados!$A355&gt;=Imóveis!$Q$4,Dados!$A355&lt;=Imóveis!$T$4),Imóveis!$S$4-(DATEDIF(Imóveis!$Q$4,Dados!$A355,"m")),)))*(Imóveis!$N$4/Imóveis!$S$4)))*Imóveis!$P$4))))*IF(AND(Imóveis!$E$4&gt;0,Dados!$A355&gt;Imóveis!$E$4),0,1)</f>
        <v>0</v>
      </c>
      <c r="L355" s="18">
        <f>IF(Imóveis!$F$5="PRICE",IF(AND(Dados!$A355&gt;=Imóveis!$Q$5,Dados!$A355&lt;=Imóveis!$T$5),Imóveis!$U$5,0),IF((IF(AND(Dados!$A355&gt;=Imóveis!$Q$5,Dados!$A355&lt;=Imóveis!$T$5),Imóveis!$S$5-(DATEDIF(Imóveis!$Q$5,Dados!$A355,"m")),0))=0,0,((Imóveis!$N$5/Imóveis!$S$5)+((Imóveis!$N$5-((Imóveis!$S$5-(IF(AND(Dados!$A355 &gt;=Imóveis!$Q$5,Dados!$A355&lt;=Imóveis!$T$5),Imóveis!$S$5-(DATEDIF(Imóveis!$Q$5,Dados!$A355,"m")),)))*(Imóveis!$N$5/Imóveis!$S$5)))*Imóveis!$P$5))))*IF(AND(Imóveis!$E$5&gt;0,Dados!$A355&gt;Imóveis!$E$5),0,1)*Imóveis!$I$5</f>
        <v>0</v>
      </c>
      <c r="M355" s="18">
        <f>IF(Imóveis!$F$6="PRICE",IF(AND(Dados!$A355&gt;=Imóveis!$Q$6,Dados!$A355&lt;=Imóveis!$T$6),Imóveis!$U$6,0),IF((IF(AND(Dados!$A355&gt;=Imóveis!$Q$6,Dados!$A355&lt;=Imóveis!$T$6),Imóveis!$S$6-(DATEDIF(Imóveis!$Q$6,Dados!$A355,"m")),0))=0,0,((Imóveis!$N$6/Imóveis!$S$6)+((Imóveis!$N$6-((Imóveis!$S$6-(IF(AND(Dados!$A355&gt;=Imóveis!$Q$6,Dados!$A355&lt;=Imóveis!$T$6),Imóveis!$S$6-(DATEDIF(Imóveis!$Q$6,Dados!$A355,"m")),)))*(Imóveis!$N$6/Imóveis!$S$6)))*Imóveis!$P$6))))*IF(AND(Imóveis!$E$6&gt;0,Dados!$A355&gt;Imóveis!$E$6),0,1)*Imóveis!$I$6</f>
        <v>0</v>
      </c>
      <c r="N355" s="18">
        <f t="shared" si="45"/>
        <v>37000</v>
      </c>
      <c r="O355" s="18">
        <f>SUMIFS(Receitas!$F:$F,Receitas!$J:$J,"&lt;="&amp;$A355,Receitas!$L:$L,"&gt;="&amp;$A355,Receitas!$C:$C,O$1,Receitas!$M:$M,"Mensal")+SUMIFS(Receitas!$F:$F,Receitas!$J:$J,"&lt;="&amp;$A355,Receitas!$L:$L,"&gt;="&amp;$A355,Receitas!$C:$C,O$1,Receitas!$M:$M,$B355)</f>
        <v>50000</v>
      </c>
      <c r="P355" s="18">
        <f>SUMIFS(Receitas!$F:$F,Receitas!$J:$J,"&lt;="&amp;$A355,Receitas!$L:$L,"&gt;="&amp;$A355,Receitas!$C:$C,P$1,Receitas!$M:$M,"Mensal")+SUMIFS(Receitas!$F:$F,Receitas!$J:$J,"&lt;="&amp;$A355,Receitas!$L:$L,"&gt;="&amp;$A355,Receitas!$C:$C,P$1,Receitas!$M:$M,$B355)</f>
        <v>20000</v>
      </c>
      <c r="Q355" s="18">
        <f>SUMIFS(Receitas!$F:$F,Receitas!$J:$J,"&lt;="&amp;$A355,Receitas!$L:$L,"&gt;="&amp;$A355,Receitas!$C:$C,Q$1,Receitas!$M:$M,"Mensal")+SUMIFS(Receitas!$F:$F,Receitas!$J:$J,"&lt;="&amp;$A355,Receitas!$L:$L,"&gt;="&amp;$A355,Receitas!$C:$C,Q$1,Receitas!$M:$M,$B355)</f>
        <v>0</v>
      </c>
      <c r="R355" s="18" cm="1">
        <f t="array" ref="R355">(IF(AND(Membros!$F$2="Sim",A355&lt;=MAX(Membros!$E$2:$E$5)),Membros!K$2,IF(AND(A355&gt;=Membros!J$2,A355&lt;=MAX(Membros!$E$2:$E$5)),Membros!K$2,0))+IF(AND(Membros!$F$3="Sim",A355&lt;=MAX(Membros!$E$2:$E$5)),Membros!K$3,IF(AND(A355&gt;=Membros!J$3,A355&lt;=MAX(Membros!$E$2:$E$5)),Membros!K$3,0)))*IF(AND(COUNTIFS(Tabela3[Tipo],"Provedor",Tabela3[Simulação Seguro],"Sim")=2,A355&gt;=MAX(IF(Tabela3[Tipo]="Dependente",Tabela3[Expectativa de Vida (Data)]))),0,1)</f>
        <v>0</v>
      </c>
      <c r="S355" s="18">
        <f t="shared" si="46"/>
        <v>70000</v>
      </c>
      <c r="U355" s="18">
        <f t="shared" ca="1" si="49"/>
        <v>23587140.399853051</v>
      </c>
      <c r="V355" s="18">
        <f>SUMIF(Imóveis!E:E,Dados!A:A,Imóveis!Z:Z)-SUMIF(Imóveis!E:E,Dados!A:A,Imóveis!Y:Y)</f>
        <v>0</v>
      </c>
      <c r="W355" s="18">
        <f>-SUMIF(Projetos!N:N,A355,Projetos!F:F)</f>
        <v>0</v>
      </c>
      <c r="X355" s="18">
        <f t="shared" si="43"/>
        <v>33000</v>
      </c>
      <c r="Y355" s="26">
        <f ca="1">(U355*((Indicadores_Economicos!D$2+1)^(1/12)-1))</f>
        <v>77218.159875310143</v>
      </c>
      <c r="Z355" s="18">
        <f t="shared" ca="1" si="47"/>
        <v>23697358.559728362</v>
      </c>
      <c r="AA355" s="18">
        <f ca="1">Auxiliar_Projetos!E355</f>
        <v>1.2395375450924066E-9</v>
      </c>
      <c r="AB355" s="18">
        <f ca="1">Auxiliar_Projetos!K355</f>
        <v>9.5349041930185004E-10</v>
      </c>
      <c r="AC355" s="18">
        <f ca="1">IF(Z355-AA355-AB355&gt;Investimentos!$C$14,Investimentos!$C$14,IF(Z355-AA355-AB355&lt;Investimentos!$C$14,Z355-AA355-AB355,0))</f>
        <v>300000</v>
      </c>
      <c r="AD355" s="18">
        <f t="shared" ca="1" si="48"/>
        <v>23397358.559728362</v>
      </c>
      <c r="AE355" s="18"/>
    </row>
    <row r="356" spans="1:31" x14ac:dyDescent="0.2">
      <c r="A356" s="4">
        <v>56431</v>
      </c>
      <c r="B356" s="5" t="str">
        <f t="shared" si="44"/>
        <v>julho</v>
      </c>
      <c r="C356" s="5" t="str">
        <f t="shared" si="50"/>
        <v>2054</v>
      </c>
      <c r="D356" s="5">
        <f>SUMIFS(Despesas!$F:$F,Despesas!$J:$J,"&lt;="&amp;$A356,Despesas!$L:$L,"&gt;="&amp;$A356,Despesas!$C:$C,D$1,Despesas!$M:$M,"Mensal")+SUMIFS(Despesas!$F:$F,Despesas!$J:$J,"&lt;="&amp;$A356,Despesas!$L:$L,"&gt;="&amp;$A356,Despesas!$C:$C,D$1,Despesas!$M:$M,$B356)</f>
        <v>23000</v>
      </c>
      <c r="E356" s="18">
        <f>SUMIFS(Despesas!$F:$F,Despesas!$J:$J,"&lt;="&amp;$A356,Despesas!$L:$L,"&gt;="&amp;$A356,Despesas!$C:$C,E$1,Despesas!$M:$M,"Mensal")+SUMIFS(Despesas!$F:$F,Despesas!$J:$J,"&lt;="&amp;$A356,Despesas!$L:$L,"&gt;="&amp;$A356,Despesas!$C:$C,E$1,Despesas!$M:$M,$B356)</f>
        <v>0</v>
      </c>
      <c r="F356" s="5">
        <f>SUMIFS(Despesas!$F:$F,Despesas!$J:$J,"&lt;="&amp;$A356,Despesas!$L:$L,"&gt;="&amp;$A356,Despesas!$C:$C,F$1,Despesas!$M:$M,"Mensal")+SUMIFS(Despesas!$F:$F,Despesas!$J:$J,"&lt;="&amp;$A356,Despesas!$L:$L,"&gt;="&amp;$A356,Despesas!$C:$C,F$1,Despesas!$M:$M,$B356)</f>
        <v>13000</v>
      </c>
      <c r="G356" s="5">
        <f ca="1">SUMIFS(Despesas!$F:$F,Despesas!$J:$J,"&lt;="&amp;$A356,Despesas!$L:$L,"&gt;="&amp;$A356,Despesas!$C:$C,G$1,Despesas!$M:$M,"Mensal")+SUMIFS(Despesas!$F:$F,Despesas!$J:$J,"&lt;="&amp;$A356,Despesas!$L:$L,"&gt;="&amp;$A356,Despesas!$C:$C,G$1,Despesas!$M:$M,$B356)</f>
        <v>55757</v>
      </c>
      <c r="H356" s="18">
        <f>SUMIFS(Despesas!$F:$F,Despesas!$J:$J,"&lt;="&amp;$A356,Despesas!$L:$L,"&gt;="&amp;$A356,Despesas!$C:$C,H$1,Despesas!$M:$M,"Mensal")+SUMIFS(Despesas!$F:$F,Despesas!$J:$J,"&lt;="&amp;$A356,Despesas!$L:$L,"&gt;="&amp;$A356,Despesas!$C:$C,H$1,Despesas!$M:$M,$B356)</f>
        <v>1000</v>
      </c>
      <c r="I356" s="18">
        <f>IF(Imóveis!$F$2="PRICE",IF(AND(Dados!$A356&gt;=Imóveis!$Q$2,Dados!$A356&lt;=Imóveis!$T$2),Imóveis!$U$2,0),IF((IF(AND(Dados!$A356&gt;=Imóveis!$Q$2,Dados!$A356&lt;=Imóveis!$T$2),Imóveis!$S$2-(DATEDIF(Imóveis!$Q$2,Dados!$A356,"m")),0))=0,0,((Imóveis!$N$2/Imóveis!$S$2)+((Imóveis!$N$2-((Imóveis!$S$2-(IF(AND(Dados!$A356&gt;=Imóveis!$Q$2,Dados!$A356&lt;=Imóveis!$T$2),Imóveis!$S$2-(DATEDIF(Imóveis!$Q$2,Dados!$A356,"m")),)))*(Imóveis!$N$2/Imóveis!$S$2)))*Imóveis!$P$2))))*IF(AND(Imóveis!$E$2&gt;0,Dados!$A356&gt;Imóveis!$E$2),0,1)</f>
        <v>0</v>
      </c>
      <c r="J356" s="18">
        <f>IF(Imóveis!$F$3="PRICE",IF(AND(Dados!$A356&gt;=Imóveis!$Q$3,Dados!$A356&lt;=Imóveis!$T$3),Imóveis!$U$3,0),IF((IF(AND(Dados!$A356&gt;=Imóveis!$Q$3,Dados!$A356&lt;=Imóveis!$T$3),Imóveis!$S$3-(DATEDIF(Imóveis!$Q$3,Dados!$A356,"m")),0))=0,0,((Imóveis!$N$3/Imóveis!$S$3)+((Imóveis!$N$3-((Imóveis!$S$3-(IF(AND(Dados!$A356&gt;=Imóveis!$Q$3,Dados!$A356&lt;=Imóveis!$T$3),Imóveis!$S$3-(DATEDIF(Imóveis!$Q$3,Dados!$A356,"m")),)))*(Imóveis!$N$3/Imóveis!$S$3)))*Imóveis!$P$3))))*IF(AND(Imóveis!$E$3&gt;0,Dados!$A356&gt;Imóveis!$E$3),0,1)</f>
        <v>0</v>
      </c>
      <c r="K356" s="18">
        <f>IF(Imóveis!$F$4="PRICE",IF(AND(Dados!$A356&gt;=Imóveis!$Q$4,Dados!$A356&lt;=Imóveis!$T$4),Imóveis!$U$4,0),IF((IF(AND(Dados!$A356&gt;=Imóveis!$Q$4,Dados!$A356&lt;=Imóveis!$T$4),Imóveis!$S$4-(DATEDIF(Imóveis!$Q$4,Dados!$A356,"m")),0))=0,0,((Imóveis!$N$4/Imóveis!$S$4)+((Imóveis!$N$4-((Imóveis!$S$4-(IF(AND(Dados!$A356&gt;=Imóveis!$Q$4,Dados!$A356&lt;=Imóveis!$T$4),Imóveis!$S$4-(DATEDIF(Imóveis!$Q$4,Dados!$A356,"m")),)))*(Imóveis!$N$4/Imóveis!$S$4)))*Imóveis!$P$4))))*IF(AND(Imóveis!$E$4&gt;0,Dados!$A356&gt;Imóveis!$E$4),0,1)</f>
        <v>0</v>
      </c>
      <c r="L356" s="18">
        <f>IF(Imóveis!$F$5="PRICE",IF(AND(Dados!$A356&gt;=Imóveis!$Q$5,Dados!$A356&lt;=Imóveis!$T$5),Imóveis!$U$5,0),IF((IF(AND(Dados!$A356&gt;=Imóveis!$Q$5,Dados!$A356&lt;=Imóveis!$T$5),Imóveis!$S$5-(DATEDIF(Imóveis!$Q$5,Dados!$A356,"m")),0))=0,0,((Imóveis!$N$5/Imóveis!$S$5)+((Imóveis!$N$5-((Imóveis!$S$5-(IF(AND(Dados!$A356 &gt;=Imóveis!$Q$5,Dados!$A356&lt;=Imóveis!$T$5),Imóveis!$S$5-(DATEDIF(Imóveis!$Q$5,Dados!$A356,"m")),)))*(Imóveis!$N$5/Imóveis!$S$5)))*Imóveis!$P$5))))*IF(AND(Imóveis!$E$5&gt;0,Dados!$A356&gt;Imóveis!$E$5),0,1)*Imóveis!$I$5</f>
        <v>0</v>
      </c>
      <c r="M356" s="18">
        <f>IF(Imóveis!$F$6="PRICE",IF(AND(Dados!$A356&gt;=Imóveis!$Q$6,Dados!$A356&lt;=Imóveis!$T$6),Imóveis!$U$6,0),IF((IF(AND(Dados!$A356&gt;=Imóveis!$Q$6,Dados!$A356&lt;=Imóveis!$T$6),Imóveis!$S$6-(DATEDIF(Imóveis!$Q$6,Dados!$A356,"m")),0))=0,0,((Imóveis!$N$6/Imóveis!$S$6)+((Imóveis!$N$6-((Imóveis!$S$6-(IF(AND(Dados!$A356&gt;=Imóveis!$Q$6,Dados!$A356&lt;=Imóveis!$T$6),Imóveis!$S$6-(DATEDIF(Imóveis!$Q$6,Dados!$A356,"m")),)))*(Imóveis!$N$6/Imóveis!$S$6)))*Imóveis!$P$6))))*IF(AND(Imóveis!$E$6&gt;0,Dados!$A356&gt;Imóveis!$E$6),0,1)*Imóveis!$I$6</f>
        <v>0</v>
      </c>
      <c r="N356" s="18">
        <f t="shared" ca="1" si="45"/>
        <v>92757</v>
      </c>
      <c r="O356" s="18">
        <f>SUMIFS(Receitas!$F:$F,Receitas!$J:$J,"&lt;="&amp;$A356,Receitas!$L:$L,"&gt;="&amp;$A356,Receitas!$C:$C,O$1,Receitas!$M:$M,"Mensal")+SUMIFS(Receitas!$F:$F,Receitas!$J:$J,"&lt;="&amp;$A356,Receitas!$L:$L,"&gt;="&amp;$A356,Receitas!$C:$C,O$1,Receitas!$M:$M,$B356)</f>
        <v>50000</v>
      </c>
      <c r="P356" s="18">
        <f>SUMIFS(Receitas!$F:$F,Receitas!$J:$J,"&lt;="&amp;$A356,Receitas!$L:$L,"&gt;="&amp;$A356,Receitas!$C:$C,P$1,Receitas!$M:$M,"Mensal")+SUMIFS(Receitas!$F:$F,Receitas!$J:$J,"&lt;="&amp;$A356,Receitas!$L:$L,"&gt;="&amp;$A356,Receitas!$C:$C,P$1,Receitas!$M:$M,$B356)</f>
        <v>20000</v>
      </c>
      <c r="Q356" s="18">
        <f>SUMIFS(Receitas!$F:$F,Receitas!$J:$J,"&lt;="&amp;$A356,Receitas!$L:$L,"&gt;="&amp;$A356,Receitas!$C:$C,Q$1,Receitas!$M:$M,"Mensal")+SUMIFS(Receitas!$F:$F,Receitas!$J:$J,"&lt;="&amp;$A356,Receitas!$L:$L,"&gt;="&amp;$A356,Receitas!$C:$C,Q$1,Receitas!$M:$M,$B356)</f>
        <v>0</v>
      </c>
      <c r="R356" s="18" cm="1">
        <f t="array" ref="R356">(IF(AND(Membros!$F$2="Sim",A356&lt;=MAX(Membros!$E$2:$E$5)),Membros!K$2,IF(AND(A356&gt;=Membros!J$2,A356&lt;=MAX(Membros!$E$2:$E$5)),Membros!K$2,0))+IF(AND(Membros!$F$3="Sim",A356&lt;=MAX(Membros!$E$2:$E$5)),Membros!K$3,IF(AND(A356&gt;=Membros!J$3,A356&lt;=MAX(Membros!$E$2:$E$5)),Membros!K$3,0)))*IF(AND(COUNTIFS(Tabela3[Tipo],"Provedor",Tabela3[Simulação Seguro],"Sim")=2,A356&gt;=MAX(IF(Tabela3[Tipo]="Dependente",Tabela3[Expectativa de Vida (Data)]))),0,1)</f>
        <v>0</v>
      </c>
      <c r="S356" s="18">
        <f t="shared" si="46"/>
        <v>70000</v>
      </c>
      <c r="U356" s="18">
        <f t="shared" ca="1" si="49"/>
        <v>23697358.559728362</v>
      </c>
      <c r="V356" s="18">
        <f>SUMIF(Imóveis!E:E,Dados!A:A,Imóveis!Z:Z)-SUMIF(Imóveis!E:E,Dados!A:A,Imóveis!Y:Y)</f>
        <v>0</v>
      </c>
      <c r="W356" s="18">
        <f>-SUMIF(Projetos!N:N,A356,Projetos!F:F)</f>
        <v>0</v>
      </c>
      <c r="X356" s="18">
        <f t="shared" ca="1" si="43"/>
        <v>-22757</v>
      </c>
      <c r="Y356" s="26">
        <f ca="1">(U356*((Indicadores_Economicos!D$2+1)^(1/12)-1))</f>
        <v>77578.985450014705</v>
      </c>
      <c r="Z356" s="18">
        <f t="shared" ca="1" si="47"/>
        <v>23752180.545178376</v>
      </c>
      <c r="AA356" s="18">
        <f ca="1">Auxiliar_Projetos!E356</f>
        <v>1.2435954684653047E-9</v>
      </c>
      <c r="AB356" s="18">
        <f ca="1">Auxiliar_Projetos!K356</f>
        <v>9.5661189881946402E-10</v>
      </c>
      <c r="AC356" s="18">
        <f ca="1">IF(Z356-AA356-AB356&gt;Investimentos!$C$14,Investimentos!$C$14,IF(Z356-AA356-AB356&lt;Investimentos!$C$14,Z356-AA356-AB356,0))</f>
        <v>300000</v>
      </c>
      <c r="AD356" s="18">
        <f t="shared" ca="1" si="48"/>
        <v>23452180.545178376</v>
      </c>
      <c r="AE356" s="18"/>
    </row>
    <row r="357" spans="1:31" x14ac:dyDescent="0.2">
      <c r="A357" s="4">
        <v>56462</v>
      </c>
      <c r="B357" s="5" t="str">
        <f t="shared" si="44"/>
        <v>agosto</v>
      </c>
      <c r="C357" s="5" t="str">
        <f t="shared" si="50"/>
        <v>2054</v>
      </c>
      <c r="D357" s="5">
        <f>SUMIFS(Despesas!$F:$F,Despesas!$J:$J,"&lt;="&amp;$A357,Despesas!$L:$L,"&gt;="&amp;$A357,Despesas!$C:$C,D$1,Despesas!$M:$M,"Mensal")+SUMIFS(Despesas!$F:$F,Despesas!$J:$J,"&lt;="&amp;$A357,Despesas!$L:$L,"&gt;="&amp;$A357,Despesas!$C:$C,D$1,Despesas!$M:$M,$B357)</f>
        <v>23000</v>
      </c>
      <c r="E357" s="18">
        <f>SUMIFS(Despesas!$F:$F,Despesas!$J:$J,"&lt;="&amp;$A357,Despesas!$L:$L,"&gt;="&amp;$A357,Despesas!$C:$C,E$1,Despesas!$M:$M,"Mensal")+SUMIFS(Despesas!$F:$F,Despesas!$J:$J,"&lt;="&amp;$A357,Despesas!$L:$L,"&gt;="&amp;$A357,Despesas!$C:$C,E$1,Despesas!$M:$M,$B357)</f>
        <v>0</v>
      </c>
      <c r="F357" s="5">
        <f>SUMIFS(Despesas!$F:$F,Despesas!$J:$J,"&lt;="&amp;$A357,Despesas!$L:$L,"&gt;="&amp;$A357,Despesas!$C:$C,F$1,Despesas!$M:$M,"Mensal")+SUMIFS(Despesas!$F:$F,Despesas!$J:$J,"&lt;="&amp;$A357,Despesas!$L:$L,"&gt;="&amp;$A357,Despesas!$C:$C,F$1,Despesas!$M:$M,$B357)</f>
        <v>13000</v>
      </c>
      <c r="G357" s="5">
        <f>SUMIFS(Despesas!$F:$F,Despesas!$J:$J,"&lt;="&amp;$A357,Despesas!$L:$L,"&gt;="&amp;$A357,Despesas!$C:$C,G$1,Despesas!$M:$M,"Mensal")+SUMIFS(Despesas!$F:$F,Despesas!$J:$J,"&lt;="&amp;$A357,Despesas!$L:$L,"&gt;="&amp;$A357,Despesas!$C:$C,G$1,Despesas!$M:$M,$B357)</f>
        <v>0</v>
      </c>
      <c r="H357" s="18">
        <f>SUMIFS(Despesas!$F:$F,Despesas!$J:$J,"&lt;="&amp;$A357,Despesas!$L:$L,"&gt;="&amp;$A357,Despesas!$C:$C,H$1,Despesas!$M:$M,"Mensal")+SUMIFS(Despesas!$F:$F,Despesas!$J:$J,"&lt;="&amp;$A357,Despesas!$L:$L,"&gt;="&amp;$A357,Despesas!$C:$C,H$1,Despesas!$M:$M,$B357)</f>
        <v>1000</v>
      </c>
      <c r="I357" s="18">
        <f>IF(Imóveis!$F$2="PRICE",IF(AND(Dados!$A357&gt;=Imóveis!$Q$2,Dados!$A357&lt;=Imóveis!$T$2),Imóveis!$U$2,0),IF((IF(AND(Dados!$A357&gt;=Imóveis!$Q$2,Dados!$A357&lt;=Imóveis!$T$2),Imóveis!$S$2-(DATEDIF(Imóveis!$Q$2,Dados!$A357,"m")),0))=0,0,((Imóveis!$N$2/Imóveis!$S$2)+((Imóveis!$N$2-((Imóveis!$S$2-(IF(AND(Dados!$A357&gt;=Imóveis!$Q$2,Dados!$A357&lt;=Imóveis!$T$2),Imóveis!$S$2-(DATEDIF(Imóveis!$Q$2,Dados!$A357,"m")),)))*(Imóveis!$N$2/Imóveis!$S$2)))*Imóveis!$P$2))))*IF(AND(Imóveis!$E$2&gt;0,Dados!$A357&gt;Imóveis!$E$2),0,1)</f>
        <v>0</v>
      </c>
      <c r="J357" s="18">
        <f>IF(Imóveis!$F$3="PRICE",IF(AND(Dados!$A357&gt;=Imóveis!$Q$3,Dados!$A357&lt;=Imóveis!$T$3),Imóveis!$U$3,0),IF((IF(AND(Dados!$A357&gt;=Imóveis!$Q$3,Dados!$A357&lt;=Imóveis!$T$3),Imóveis!$S$3-(DATEDIF(Imóveis!$Q$3,Dados!$A357,"m")),0))=0,0,((Imóveis!$N$3/Imóveis!$S$3)+((Imóveis!$N$3-((Imóveis!$S$3-(IF(AND(Dados!$A357&gt;=Imóveis!$Q$3,Dados!$A357&lt;=Imóveis!$T$3),Imóveis!$S$3-(DATEDIF(Imóveis!$Q$3,Dados!$A357,"m")),)))*(Imóveis!$N$3/Imóveis!$S$3)))*Imóveis!$P$3))))*IF(AND(Imóveis!$E$3&gt;0,Dados!$A357&gt;Imóveis!$E$3),0,1)</f>
        <v>0</v>
      </c>
      <c r="K357" s="18">
        <f>IF(Imóveis!$F$4="PRICE",IF(AND(Dados!$A357&gt;=Imóveis!$Q$4,Dados!$A357&lt;=Imóveis!$T$4),Imóveis!$U$4,0),IF((IF(AND(Dados!$A357&gt;=Imóveis!$Q$4,Dados!$A357&lt;=Imóveis!$T$4),Imóveis!$S$4-(DATEDIF(Imóveis!$Q$4,Dados!$A357,"m")),0))=0,0,((Imóveis!$N$4/Imóveis!$S$4)+((Imóveis!$N$4-((Imóveis!$S$4-(IF(AND(Dados!$A357&gt;=Imóveis!$Q$4,Dados!$A357&lt;=Imóveis!$T$4),Imóveis!$S$4-(DATEDIF(Imóveis!$Q$4,Dados!$A357,"m")),)))*(Imóveis!$N$4/Imóveis!$S$4)))*Imóveis!$P$4))))*IF(AND(Imóveis!$E$4&gt;0,Dados!$A357&gt;Imóveis!$E$4),0,1)</f>
        <v>0</v>
      </c>
      <c r="L357" s="18">
        <f>IF(Imóveis!$F$5="PRICE",IF(AND(Dados!$A357&gt;=Imóveis!$Q$5,Dados!$A357&lt;=Imóveis!$T$5),Imóveis!$U$5,0),IF((IF(AND(Dados!$A357&gt;=Imóveis!$Q$5,Dados!$A357&lt;=Imóveis!$T$5),Imóveis!$S$5-(DATEDIF(Imóveis!$Q$5,Dados!$A357,"m")),0))=0,0,((Imóveis!$N$5/Imóveis!$S$5)+((Imóveis!$N$5-((Imóveis!$S$5-(IF(AND(Dados!$A357 &gt;=Imóveis!$Q$5,Dados!$A357&lt;=Imóveis!$T$5),Imóveis!$S$5-(DATEDIF(Imóveis!$Q$5,Dados!$A357,"m")),)))*(Imóveis!$N$5/Imóveis!$S$5)))*Imóveis!$P$5))))*IF(AND(Imóveis!$E$5&gt;0,Dados!$A357&gt;Imóveis!$E$5),0,1)*Imóveis!$I$5</f>
        <v>0</v>
      </c>
      <c r="M357" s="18">
        <f>IF(Imóveis!$F$6="PRICE",IF(AND(Dados!$A357&gt;=Imóveis!$Q$6,Dados!$A357&lt;=Imóveis!$T$6),Imóveis!$U$6,0),IF((IF(AND(Dados!$A357&gt;=Imóveis!$Q$6,Dados!$A357&lt;=Imóveis!$T$6),Imóveis!$S$6-(DATEDIF(Imóveis!$Q$6,Dados!$A357,"m")),0))=0,0,((Imóveis!$N$6/Imóveis!$S$6)+((Imóveis!$N$6-((Imóveis!$S$6-(IF(AND(Dados!$A357&gt;=Imóveis!$Q$6,Dados!$A357&lt;=Imóveis!$T$6),Imóveis!$S$6-(DATEDIF(Imóveis!$Q$6,Dados!$A357,"m")),)))*(Imóveis!$N$6/Imóveis!$S$6)))*Imóveis!$P$6))))*IF(AND(Imóveis!$E$6&gt;0,Dados!$A357&gt;Imóveis!$E$6),0,1)*Imóveis!$I$6</f>
        <v>0</v>
      </c>
      <c r="N357" s="18">
        <f t="shared" si="45"/>
        <v>37000</v>
      </c>
      <c r="O357" s="18">
        <f>SUMIFS(Receitas!$F:$F,Receitas!$J:$J,"&lt;="&amp;$A357,Receitas!$L:$L,"&gt;="&amp;$A357,Receitas!$C:$C,O$1,Receitas!$M:$M,"Mensal")+SUMIFS(Receitas!$F:$F,Receitas!$J:$J,"&lt;="&amp;$A357,Receitas!$L:$L,"&gt;="&amp;$A357,Receitas!$C:$C,O$1,Receitas!$M:$M,$B357)</f>
        <v>50000</v>
      </c>
      <c r="P357" s="18">
        <f>SUMIFS(Receitas!$F:$F,Receitas!$J:$J,"&lt;="&amp;$A357,Receitas!$L:$L,"&gt;="&amp;$A357,Receitas!$C:$C,P$1,Receitas!$M:$M,"Mensal")+SUMIFS(Receitas!$F:$F,Receitas!$J:$J,"&lt;="&amp;$A357,Receitas!$L:$L,"&gt;="&amp;$A357,Receitas!$C:$C,P$1,Receitas!$M:$M,$B357)</f>
        <v>20000</v>
      </c>
      <c r="Q357" s="18">
        <f>SUMIFS(Receitas!$F:$F,Receitas!$J:$J,"&lt;="&amp;$A357,Receitas!$L:$L,"&gt;="&amp;$A357,Receitas!$C:$C,Q$1,Receitas!$M:$M,"Mensal")+SUMIFS(Receitas!$F:$F,Receitas!$J:$J,"&lt;="&amp;$A357,Receitas!$L:$L,"&gt;="&amp;$A357,Receitas!$C:$C,Q$1,Receitas!$M:$M,$B357)</f>
        <v>0</v>
      </c>
      <c r="R357" s="18" cm="1">
        <f t="array" ref="R357">(IF(AND(Membros!$F$2="Sim",A357&lt;=MAX(Membros!$E$2:$E$5)),Membros!K$2,IF(AND(A357&gt;=Membros!J$2,A357&lt;=MAX(Membros!$E$2:$E$5)),Membros!K$2,0))+IF(AND(Membros!$F$3="Sim",A357&lt;=MAX(Membros!$E$2:$E$5)),Membros!K$3,IF(AND(A357&gt;=Membros!J$3,A357&lt;=MAX(Membros!$E$2:$E$5)),Membros!K$3,0)))*IF(AND(COUNTIFS(Tabela3[Tipo],"Provedor",Tabela3[Simulação Seguro],"Sim")=2,A357&gt;=MAX(IF(Tabela3[Tipo]="Dependente",Tabela3[Expectativa de Vida (Data)]))),0,1)</f>
        <v>0</v>
      </c>
      <c r="S357" s="18">
        <f t="shared" si="46"/>
        <v>70000</v>
      </c>
      <c r="U357" s="18">
        <f t="shared" ca="1" si="49"/>
        <v>23752180.545178376</v>
      </c>
      <c r="V357" s="18">
        <f>SUMIF(Imóveis!E:E,Dados!A:A,Imóveis!Z:Z)-SUMIF(Imóveis!E:E,Dados!A:A,Imóveis!Y:Y)</f>
        <v>0</v>
      </c>
      <c r="W357" s="18">
        <f>-SUMIF(Projetos!N:N,A357,Projetos!F:F)</f>
        <v>0</v>
      </c>
      <c r="X357" s="18">
        <f t="shared" si="43"/>
        <v>33000</v>
      </c>
      <c r="Y357" s="26">
        <f ca="1">(U357*((Indicadores_Economicos!D$2+1)^(1/12)-1))</f>
        <v>77758.458364721548</v>
      </c>
      <c r="Z357" s="18">
        <f t="shared" ca="1" si="47"/>
        <v>23862939.003543098</v>
      </c>
      <c r="AA357" s="18">
        <f ca="1">Auxiliar_Projetos!E357</f>
        <v>1.2476666764233819E-9</v>
      </c>
      <c r="AB357" s="18">
        <f ca="1">Auxiliar_Projetos!K357</f>
        <v>9.5974359724875421E-10</v>
      </c>
      <c r="AC357" s="18">
        <f ca="1">IF(Z357-AA357-AB357&gt;Investimentos!$C$14,Investimentos!$C$14,IF(Z357-AA357-AB357&lt;Investimentos!$C$14,Z357-AA357-AB357,0))</f>
        <v>300000</v>
      </c>
      <c r="AD357" s="18">
        <f t="shared" ca="1" si="48"/>
        <v>23562939.003543098</v>
      </c>
      <c r="AE357" s="18"/>
    </row>
    <row r="358" spans="1:31" x14ac:dyDescent="0.2">
      <c r="A358" s="4">
        <v>56493</v>
      </c>
      <c r="B358" s="5" t="str">
        <f t="shared" si="44"/>
        <v>setembro</v>
      </c>
      <c r="C358" s="5" t="str">
        <f t="shared" si="50"/>
        <v>2054</v>
      </c>
      <c r="D358" s="5">
        <f>SUMIFS(Despesas!$F:$F,Despesas!$J:$J,"&lt;="&amp;$A358,Despesas!$L:$L,"&gt;="&amp;$A358,Despesas!$C:$C,D$1,Despesas!$M:$M,"Mensal")+SUMIFS(Despesas!$F:$F,Despesas!$J:$J,"&lt;="&amp;$A358,Despesas!$L:$L,"&gt;="&amp;$A358,Despesas!$C:$C,D$1,Despesas!$M:$M,$B358)</f>
        <v>23000</v>
      </c>
      <c r="E358" s="18">
        <f>SUMIFS(Despesas!$F:$F,Despesas!$J:$J,"&lt;="&amp;$A358,Despesas!$L:$L,"&gt;="&amp;$A358,Despesas!$C:$C,E$1,Despesas!$M:$M,"Mensal")+SUMIFS(Despesas!$F:$F,Despesas!$J:$J,"&lt;="&amp;$A358,Despesas!$L:$L,"&gt;="&amp;$A358,Despesas!$C:$C,E$1,Despesas!$M:$M,$B358)</f>
        <v>0</v>
      </c>
      <c r="F358" s="5">
        <f>SUMIFS(Despesas!$F:$F,Despesas!$J:$J,"&lt;="&amp;$A358,Despesas!$L:$L,"&gt;="&amp;$A358,Despesas!$C:$C,F$1,Despesas!$M:$M,"Mensal")+SUMIFS(Despesas!$F:$F,Despesas!$J:$J,"&lt;="&amp;$A358,Despesas!$L:$L,"&gt;="&amp;$A358,Despesas!$C:$C,F$1,Despesas!$M:$M,$B358)</f>
        <v>13000</v>
      </c>
      <c r="G358" s="5">
        <f>SUMIFS(Despesas!$F:$F,Despesas!$J:$J,"&lt;="&amp;$A358,Despesas!$L:$L,"&gt;="&amp;$A358,Despesas!$C:$C,G$1,Despesas!$M:$M,"Mensal")+SUMIFS(Despesas!$F:$F,Despesas!$J:$J,"&lt;="&amp;$A358,Despesas!$L:$L,"&gt;="&amp;$A358,Despesas!$C:$C,G$1,Despesas!$M:$M,$B358)</f>
        <v>0</v>
      </c>
      <c r="H358" s="18">
        <f>SUMIFS(Despesas!$F:$F,Despesas!$J:$J,"&lt;="&amp;$A358,Despesas!$L:$L,"&gt;="&amp;$A358,Despesas!$C:$C,H$1,Despesas!$M:$M,"Mensal")+SUMIFS(Despesas!$F:$F,Despesas!$J:$J,"&lt;="&amp;$A358,Despesas!$L:$L,"&gt;="&amp;$A358,Despesas!$C:$C,H$1,Despesas!$M:$M,$B358)</f>
        <v>1000</v>
      </c>
      <c r="I358" s="18">
        <f>IF(Imóveis!$F$2="PRICE",IF(AND(Dados!$A358&gt;=Imóveis!$Q$2,Dados!$A358&lt;=Imóveis!$T$2),Imóveis!$U$2,0),IF((IF(AND(Dados!$A358&gt;=Imóveis!$Q$2,Dados!$A358&lt;=Imóveis!$T$2),Imóveis!$S$2-(DATEDIF(Imóveis!$Q$2,Dados!$A358,"m")),0))=0,0,((Imóveis!$N$2/Imóveis!$S$2)+((Imóveis!$N$2-((Imóveis!$S$2-(IF(AND(Dados!$A358&gt;=Imóveis!$Q$2,Dados!$A358&lt;=Imóveis!$T$2),Imóveis!$S$2-(DATEDIF(Imóveis!$Q$2,Dados!$A358,"m")),)))*(Imóveis!$N$2/Imóveis!$S$2)))*Imóveis!$P$2))))*IF(AND(Imóveis!$E$2&gt;0,Dados!$A358&gt;Imóveis!$E$2),0,1)</f>
        <v>0</v>
      </c>
      <c r="J358" s="18">
        <f>IF(Imóveis!$F$3="PRICE",IF(AND(Dados!$A358&gt;=Imóveis!$Q$3,Dados!$A358&lt;=Imóveis!$T$3),Imóveis!$U$3,0),IF((IF(AND(Dados!$A358&gt;=Imóveis!$Q$3,Dados!$A358&lt;=Imóveis!$T$3),Imóveis!$S$3-(DATEDIF(Imóveis!$Q$3,Dados!$A358,"m")),0))=0,0,((Imóveis!$N$3/Imóveis!$S$3)+((Imóveis!$N$3-((Imóveis!$S$3-(IF(AND(Dados!$A358&gt;=Imóveis!$Q$3,Dados!$A358&lt;=Imóveis!$T$3),Imóveis!$S$3-(DATEDIF(Imóveis!$Q$3,Dados!$A358,"m")),)))*(Imóveis!$N$3/Imóveis!$S$3)))*Imóveis!$P$3))))*IF(AND(Imóveis!$E$3&gt;0,Dados!$A358&gt;Imóveis!$E$3),0,1)</f>
        <v>0</v>
      </c>
      <c r="K358" s="18">
        <f>IF(Imóveis!$F$4="PRICE",IF(AND(Dados!$A358&gt;=Imóveis!$Q$4,Dados!$A358&lt;=Imóveis!$T$4),Imóveis!$U$4,0),IF((IF(AND(Dados!$A358&gt;=Imóveis!$Q$4,Dados!$A358&lt;=Imóveis!$T$4),Imóveis!$S$4-(DATEDIF(Imóveis!$Q$4,Dados!$A358,"m")),0))=0,0,((Imóveis!$N$4/Imóveis!$S$4)+((Imóveis!$N$4-((Imóveis!$S$4-(IF(AND(Dados!$A358&gt;=Imóveis!$Q$4,Dados!$A358&lt;=Imóveis!$T$4),Imóveis!$S$4-(DATEDIF(Imóveis!$Q$4,Dados!$A358,"m")),)))*(Imóveis!$N$4/Imóveis!$S$4)))*Imóveis!$P$4))))*IF(AND(Imóveis!$E$4&gt;0,Dados!$A358&gt;Imóveis!$E$4),0,1)</f>
        <v>0</v>
      </c>
      <c r="L358" s="18">
        <f>IF(Imóveis!$F$5="PRICE",IF(AND(Dados!$A358&gt;=Imóveis!$Q$5,Dados!$A358&lt;=Imóveis!$T$5),Imóveis!$U$5,0),IF((IF(AND(Dados!$A358&gt;=Imóveis!$Q$5,Dados!$A358&lt;=Imóveis!$T$5),Imóveis!$S$5-(DATEDIF(Imóveis!$Q$5,Dados!$A358,"m")),0))=0,0,((Imóveis!$N$5/Imóveis!$S$5)+((Imóveis!$N$5-((Imóveis!$S$5-(IF(AND(Dados!$A358 &gt;=Imóveis!$Q$5,Dados!$A358&lt;=Imóveis!$T$5),Imóveis!$S$5-(DATEDIF(Imóveis!$Q$5,Dados!$A358,"m")),)))*(Imóveis!$N$5/Imóveis!$S$5)))*Imóveis!$P$5))))*IF(AND(Imóveis!$E$5&gt;0,Dados!$A358&gt;Imóveis!$E$5),0,1)*Imóveis!$I$5</f>
        <v>0</v>
      </c>
      <c r="M358" s="18">
        <f>IF(Imóveis!$F$6="PRICE",IF(AND(Dados!$A358&gt;=Imóveis!$Q$6,Dados!$A358&lt;=Imóveis!$T$6),Imóveis!$U$6,0),IF((IF(AND(Dados!$A358&gt;=Imóveis!$Q$6,Dados!$A358&lt;=Imóveis!$T$6),Imóveis!$S$6-(DATEDIF(Imóveis!$Q$6,Dados!$A358,"m")),0))=0,0,((Imóveis!$N$6/Imóveis!$S$6)+((Imóveis!$N$6-((Imóveis!$S$6-(IF(AND(Dados!$A358&gt;=Imóveis!$Q$6,Dados!$A358&lt;=Imóveis!$T$6),Imóveis!$S$6-(DATEDIF(Imóveis!$Q$6,Dados!$A358,"m")),)))*(Imóveis!$N$6/Imóveis!$S$6)))*Imóveis!$P$6))))*IF(AND(Imóveis!$E$6&gt;0,Dados!$A358&gt;Imóveis!$E$6),0,1)*Imóveis!$I$6</f>
        <v>0</v>
      </c>
      <c r="N358" s="18">
        <f t="shared" si="45"/>
        <v>37000</v>
      </c>
      <c r="O358" s="18">
        <f>SUMIFS(Receitas!$F:$F,Receitas!$J:$J,"&lt;="&amp;$A358,Receitas!$L:$L,"&gt;="&amp;$A358,Receitas!$C:$C,O$1,Receitas!$M:$M,"Mensal")+SUMIFS(Receitas!$F:$F,Receitas!$J:$J,"&lt;="&amp;$A358,Receitas!$L:$L,"&gt;="&amp;$A358,Receitas!$C:$C,O$1,Receitas!$M:$M,$B358)</f>
        <v>50000</v>
      </c>
      <c r="P358" s="18">
        <f>SUMIFS(Receitas!$F:$F,Receitas!$J:$J,"&lt;="&amp;$A358,Receitas!$L:$L,"&gt;="&amp;$A358,Receitas!$C:$C,P$1,Receitas!$M:$M,"Mensal")+SUMIFS(Receitas!$F:$F,Receitas!$J:$J,"&lt;="&amp;$A358,Receitas!$L:$L,"&gt;="&amp;$A358,Receitas!$C:$C,P$1,Receitas!$M:$M,$B358)</f>
        <v>20000</v>
      </c>
      <c r="Q358" s="18">
        <f>SUMIFS(Receitas!$F:$F,Receitas!$J:$J,"&lt;="&amp;$A358,Receitas!$L:$L,"&gt;="&amp;$A358,Receitas!$C:$C,Q$1,Receitas!$M:$M,"Mensal")+SUMIFS(Receitas!$F:$F,Receitas!$J:$J,"&lt;="&amp;$A358,Receitas!$L:$L,"&gt;="&amp;$A358,Receitas!$C:$C,Q$1,Receitas!$M:$M,$B358)</f>
        <v>0</v>
      </c>
      <c r="R358" s="18" cm="1">
        <f t="array" ref="R358">(IF(AND(Membros!$F$2="Sim",A358&lt;=MAX(Membros!$E$2:$E$5)),Membros!K$2,IF(AND(A358&gt;=Membros!J$2,A358&lt;=MAX(Membros!$E$2:$E$5)),Membros!K$2,0))+IF(AND(Membros!$F$3="Sim",A358&lt;=MAX(Membros!$E$2:$E$5)),Membros!K$3,IF(AND(A358&gt;=Membros!J$3,A358&lt;=MAX(Membros!$E$2:$E$5)),Membros!K$3,0)))*IF(AND(COUNTIFS(Tabela3[Tipo],"Provedor",Tabela3[Simulação Seguro],"Sim")=2,A358&gt;=MAX(IF(Tabela3[Tipo]="Dependente",Tabela3[Expectativa de Vida (Data)]))),0,1)</f>
        <v>0</v>
      </c>
      <c r="S358" s="18">
        <f t="shared" si="46"/>
        <v>70000</v>
      </c>
      <c r="U358" s="18">
        <f t="shared" ca="1" si="49"/>
        <v>23862939.003543098</v>
      </c>
      <c r="V358" s="18">
        <f>SUMIF(Imóveis!E:E,Dados!A:A,Imóveis!Z:Z)-SUMIF(Imóveis!E:E,Dados!A:A,Imóveis!Y:Y)</f>
        <v>0</v>
      </c>
      <c r="W358" s="18">
        <f>-SUMIF(Projetos!N:N,A358,Projetos!F:F)</f>
        <v>0</v>
      </c>
      <c r="X358" s="18">
        <f t="shared" si="43"/>
        <v>33000</v>
      </c>
      <c r="Y358" s="26">
        <f ca="1">(U358*((Indicadores_Economicos!D$2+1)^(1/12)-1))</f>
        <v>78121.052736085156</v>
      </c>
      <c r="Z358" s="18">
        <f t="shared" ca="1" si="47"/>
        <v>23974060.056279182</v>
      </c>
      <c r="AA358" s="18">
        <f ca="1">Auxiliar_Projetos!E358</f>
        <v>1.2517512124569129E-9</v>
      </c>
      <c r="AB358" s="18">
        <f ca="1">Auxiliar_Projetos!K358</f>
        <v>9.6288554804377823E-10</v>
      </c>
      <c r="AC358" s="18">
        <f ca="1">IF(Z358-AA358-AB358&gt;Investimentos!$C$14,Investimentos!$C$14,IF(Z358-AA358-AB358&lt;Investimentos!$C$14,Z358-AA358-AB358,0))</f>
        <v>300000</v>
      </c>
      <c r="AD358" s="18">
        <f t="shared" ca="1" si="48"/>
        <v>23674060.056279182</v>
      </c>
      <c r="AE358" s="18"/>
    </row>
    <row r="359" spans="1:31" x14ac:dyDescent="0.2">
      <c r="A359" s="4">
        <v>56523</v>
      </c>
      <c r="B359" s="5" t="str">
        <f t="shared" si="44"/>
        <v>outubro</v>
      </c>
      <c r="C359" s="5" t="str">
        <f t="shared" si="50"/>
        <v>2054</v>
      </c>
      <c r="D359" s="5">
        <f>SUMIFS(Despesas!$F:$F,Despesas!$J:$J,"&lt;="&amp;$A359,Despesas!$L:$L,"&gt;="&amp;$A359,Despesas!$C:$C,D$1,Despesas!$M:$M,"Mensal")+SUMIFS(Despesas!$F:$F,Despesas!$J:$J,"&lt;="&amp;$A359,Despesas!$L:$L,"&gt;="&amp;$A359,Despesas!$C:$C,D$1,Despesas!$M:$M,$B359)</f>
        <v>23000</v>
      </c>
      <c r="E359" s="18">
        <f>SUMIFS(Despesas!$F:$F,Despesas!$J:$J,"&lt;="&amp;$A359,Despesas!$L:$L,"&gt;="&amp;$A359,Despesas!$C:$C,E$1,Despesas!$M:$M,"Mensal")+SUMIFS(Despesas!$F:$F,Despesas!$J:$J,"&lt;="&amp;$A359,Despesas!$L:$L,"&gt;="&amp;$A359,Despesas!$C:$C,E$1,Despesas!$M:$M,$B359)</f>
        <v>0</v>
      </c>
      <c r="F359" s="5">
        <f>SUMIFS(Despesas!$F:$F,Despesas!$J:$J,"&lt;="&amp;$A359,Despesas!$L:$L,"&gt;="&amp;$A359,Despesas!$C:$C,F$1,Despesas!$M:$M,"Mensal")+SUMIFS(Despesas!$F:$F,Despesas!$J:$J,"&lt;="&amp;$A359,Despesas!$L:$L,"&gt;="&amp;$A359,Despesas!$C:$C,F$1,Despesas!$M:$M,$B359)</f>
        <v>13000</v>
      </c>
      <c r="G359" s="5">
        <f>SUMIFS(Despesas!$F:$F,Despesas!$J:$J,"&lt;="&amp;$A359,Despesas!$L:$L,"&gt;="&amp;$A359,Despesas!$C:$C,G$1,Despesas!$M:$M,"Mensal")+SUMIFS(Despesas!$F:$F,Despesas!$J:$J,"&lt;="&amp;$A359,Despesas!$L:$L,"&gt;="&amp;$A359,Despesas!$C:$C,G$1,Despesas!$M:$M,$B359)</f>
        <v>0</v>
      </c>
      <c r="H359" s="18">
        <f>SUMIFS(Despesas!$F:$F,Despesas!$J:$J,"&lt;="&amp;$A359,Despesas!$L:$L,"&gt;="&amp;$A359,Despesas!$C:$C,H$1,Despesas!$M:$M,"Mensal")+SUMIFS(Despesas!$F:$F,Despesas!$J:$J,"&lt;="&amp;$A359,Despesas!$L:$L,"&gt;="&amp;$A359,Despesas!$C:$C,H$1,Despesas!$M:$M,$B359)</f>
        <v>1000</v>
      </c>
      <c r="I359" s="18">
        <f>IF(Imóveis!$F$2="PRICE",IF(AND(Dados!$A359&gt;=Imóveis!$Q$2,Dados!$A359&lt;=Imóveis!$T$2),Imóveis!$U$2,0),IF((IF(AND(Dados!$A359&gt;=Imóveis!$Q$2,Dados!$A359&lt;=Imóveis!$T$2),Imóveis!$S$2-(DATEDIF(Imóveis!$Q$2,Dados!$A359,"m")),0))=0,0,((Imóveis!$N$2/Imóveis!$S$2)+((Imóveis!$N$2-((Imóveis!$S$2-(IF(AND(Dados!$A359&gt;=Imóveis!$Q$2,Dados!$A359&lt;=Imóveis!$T$2),Imóveis!$S$2-(DATEDIF(Imóveis!$Q$2,Dados!$A359,"m")),)))*(Imóveis!$N$2/Imóveis!$S$2)))*Imóveis!$P$2))))*IF(AND(Imóveis!$E$2&gt;0,Dados!$A359&gt;Imóveis!$E$2),0,1)</f>
        <v>0</v>
      </c>
      <c r="J359" s="18">
        <f>IF(Imóveis!$F$3="PRICE",IF(AND(Dados!$A359&gt;=Imóveis!$Q$3,Dados!$A359&lt;=Imóveis!$T$3),Imóveis!$U$3,0),IF((IF(AND(Dados!$A359&gt;=Imóveis!$Q$3,Dados!$A359&lt;=Imóveis!$T$3),Imóveis!$S$3-(DATEDIF(Imóveis!$Q$3,Dados!$A359,"m")),0))=0,0,((Imóveis!$N$3/Imóveis!$S$3)+((Imóveis!$N$3-((Imóveis!$S$3-(IF(AND(Dados!$A359&gt;=Imóveis!$Q$3,Dados!$A359&lt;=Imóveis!$T$3),Imóveis!$S$3-(DATEDIF(Imóveis!$Q$3,Dados!$A359,"m")),)))*(Imóveis!$N$3/Imóveis!$S$3)))*Imóveis!$P$3))))*IF(AND(Imóveis!$E$3&gt;0,Dados!$A359&gt;Imóveis!$E$3),0,1)</f>
        <v>0</v>
      </c>
      <c r="K359" s="18">
        <f>IF(Imóveis!$F$4="PRICE",IF(AND(Dados!$A359&gt;=Imóveis!$Q$4,Dados!$A359&lt;=Imóveis!$T$4),Imóveis!$U$4,0),IF((IF(AND(Dados!$A359&gt;=Imóveis!$Q$4,Dados!$A359&lt;=Imóveis!$T$4),Imóveis!$S$4-(DATEDIF(Imóveis!$Q$4,Dados!$A359,"m")),0))=0,0,((Imóveis!$N$4/Imóveis!$S$4)+((Imóveis!$N$4-((Imóveis!$S$4-(IF(AND(Dados!$A359&gt;=Imóveis!$Q$4,Dados!$A359&lt;=Imóveis!$T$4),Imóveis!$S$4-(DATEDIF(Imóveis!$Q$4,Dados!$A359,"m")),)))*(Imóveis!$N$4/Imóveis!$S$4)))*Imóveis!$P$4))))*IF(AND(Imóveis!$E$4&gt;0,Dados!$A359&gt;Imóveis!$E$4),0,1)</f>
        <v>0</v>
      </c>
      <c r="L359" s="18">
        <f>IF(Imóveis!$F$5="PRICE",IF(AND(Dados!$A359&gt;=Imóveis!$Q$5,Dados!$A359&lt;=Imóveis!$T$5),Imóveis!$U$5,0),IF((IF(AND(Dados!$A359&gt;=Imóveis!$Q$5,Dados!$A359&lt;=Imóveis!$T$5),Imóveis!$S$5-(DATEDIF(Imóveis!$Q$5,Dados!$A359,"m")),0))=0,0,((Imóveis!$N$5/Imóveis!$S$5)+((Imóveis!$N$5-((Imóveis!$S$5-(IF(AND(Dados!$A359 &gt;=Imóveis!$Q$5,Dados!$A359&lt;=Imóveis!$T$5),Imóveis!$S$5-(DATEDIF(Imóveis!$Q$5,Dados!$A359,"m")),)))*(Imóveis!$N$5/Imóveis!$S$5)))*Imóveis!$P$5))))*IF(AND(Imóveis!$E$5&gt;0,Dados!$A359&gt;Imóveis!$E$5),0,1)*Imóveis!$I$5</f>
        <v>0</v>
      </c>
      <c r="M359" s="18">
        <f>IF(Imóveis!$F$6="PRICE",IF(AND(Dados!$A359&gt;=Imóveis!$Q$6,Dados!$A359&lt;=Imóveis!$T$6),Imóveis!$U$6,0),IF((IF(AND(Dados!$A359&gt;=Imóveis!$Q$6,Dados!$A359&lt;=Imóveis!$T$6),Imóveis!$S$6-(DATEDIF(Imóveis!$Q$6,Dados!$A359,"m")),0))=0,0,((Imóveis!$N$6/Imóveis!$S$6)+((Imóveis!$N$6-((Imóveis!$S$6-(IF(AND(Dados!$A359&gt;=Imóveis!$Q$6,Dados!$A359&lt;=Imóveis!$T$6),Imóveis!$S$6-(DATEDIF(Imóveis!$Q$6,Dados!$A359,"m")),)))*(Imóveis!$N$6/Imóveis!$S$6)))*Imóveis!$P$6))))*IF(AND(Imóveis!$E$6&gt;0,Dados!$A359&gt;Imóveis!$E$6),0,1)*Imóveis!$I$6</f>
        <v>0</v>
      </c>
      <c r="N359" s="18">
        <f t="shared" si="45"/>
        <v>37000</v>
      </c>
      <c r="O359" s="18">
        <f>SUMIFS(Receitas!$F:$F,Receitas!$J:$J,"&lt;="&amp;$A359,Receitas!$L:$L,"&gt;="&amp;$A359,Receitas!$C:$C,O$1,Receitas!$M:$M,"Mensal")+SUMIFS(Receitas!$F:$F,Receitas!$J:$J,"&lt;="&amp;$A359,Receitas!$L:$L,"&gt;="&amp;$A359,Receitas!$C:$C,O$1,Receitas!$M:$M,$B359)</f>
        <v>50000</v>
      </c>
      <c r="P359" s="18">
        <f>SUMIFS(Receitas!$F:$F,Receitas!$J:$J,"&lt;="&amp;$A359,Receitas!$L:$L,"&gt;="&amp;$A359,Receitas!$C:$C,P$1,Receitas!$M:$M,"Mensal")+SUMIFS(Receitas!$F:$F,Receitas!$J:$J,"&lt;="&amp;$A359,Receitas!$L:$L,"&gt;="&amp;$A359,Receitas!$C:$C,P$1,Receitas!$M:$M,$B359)</f>
        <v>20000</v>
      </c>
      <c r="Q359" s="18">
        <f>SUMIFS(Receitas!$F:$F,Receitas!$J:$J,"&lt;="&amp;$A359,Receitas!$L:$L,"&gt;="&amp;$A359,Receitas!$C:$C,Q$1,Receitas!$M:$M,"Mensal")+SUMIFS(Receitas!$F:$F,Receitas!$J:$J,"&lt;="&amp;$A359,Receitas!$L:$L,"&gt;="&amp;$A359,Receitas!$C:$C,Q$1,Receitas!$M:$M,$B359)</f>
        <v>0</v>
      </c>
      <c r="R359" s="18" cm="1">
        <f t="array" ref="R359">(IF(AND(Membros!$F$2="Sim",A359&lt;=MAX(Membros!$E$2:$E$5)),Membros!K$2,IF(AND(A359&gt;=Membros!J$2,A359&lt;=MAX(Membros!$E$2:$E$5)),Membros!K$2,0))+IF(AND(Membros!$F$3="Sim",A359&lt;=MAX(Membros!$E$2:$E$5)),Membros!K$3,IF(AND(A359&gt;=Membros!J$3,A359&lt;=MAX(Membros!$E$2:$E$5)),Membros!K$3,0)))*IF(AND(COUNTIFS(Tabela3[Tipo],"Provedor",Tabela3[Simulação Seguro],"Sim")=2,A359&gt;=MAX(IF(Tabela3[Tipo]="Dependente",Tabela3[Expectativa de Vida (Data)]))),0,1)</f>
        <v>0</v>
      </c>
      <c r="S359" s="18">
        <f t="shared" si="46"/>
        <v>70000</v>
      </c>
      <c r="U359" s="18">
        <f t="shared" ca="1" si="49"/>
        <v>23974060.056279182</v>
      </c>
      <c r="V359" s="18">
        <f>SUMIF(Imóveis!E:E,Dados!A:A,Imóveis!Z:Z)-SUMIF(Imóveis!E:E,Dados!A:A,Imóveis!Y:Y)</f>
        <v>0</v>
      </c>
      <c r="W359" s="18">
        <f>-SUMIF(Projetos!N:N,A359,Projetos!F:F)</f>
        <v>0</v>
      </c>
      <c r="X359" s="18">
        <f t="shared" si="43"/>
        <v>33000</v>
      </c>
      <c r="Y359" s="26">
        <f ca="1">(U359*((Indicadores_Economicos!D$2+1)^(1/12)-1))</f>
        <v>78484.8341470671</v>
      </c>
      <c r="Z359" s="18">
        <f t="shared" ca="1" si="47"/>
        <v>24085544.890426248</v>
      </c>
      <c r="AA359" s="18">
        <f ca="1">Auxiliar_Projetos!E359</f>
        <v>1.2558491201985488E-9</v>
      </c>
      <c r="AB359" s="18">
        <f ca="1">Auxiliar_Projetos!K359</f>
        <v>9.6603778476811363E-10</v>
      </c>
      <c r="AC359" s="18">
        <f ca="1">IF(Z359-AA359-AB359&gt;Investimentos!$C$14,Investimentos!$C$14,IF(Z359-AA359-AB359&lt;Investimentos!$C$14,Z359-AA359-AB359,0))</f>
        <v>300000</v>
      </c>
      <c r="AD359" s="18">
        <f t="shared" ca="1" si="48"/>
        <v>23785544.890426248</v>
      </c>
      <c r="AE359" s="18"/>
    </row>
    <row r="360" spans="1:31" x14ac:dyDescent="0.2">
      <c r="A360" s="4">
        <v>56554</v>
      </c>
      <c r="B360" s="5" t="str">
        <f t="shared" si="44"/>
        <v>novembro</v>
      </c>
      <c r="C360" s="5" t="str">
        <f t="shared" si="50"/>
        <v>2054</v>
      </c>
      <c r="D360" s="5">
        <f>SUMIFS(Despesas!$F:$F,Despesas!$J:$J,"&lt;="&amp;$A360,Despesas!$L:$L,"&gt;="&amp;$A360,Despesas!$C:$C,D$1,Despesas!$M:$M,"Mensal")+SUMIFS(Despesas!$F:$F,Despesas!$J:$J,"&lt;="&amp;$A360,Despesas!$L:$L,"&gt;="&amp;$A360,Despesas!$C:$C,D$1,Despesas!$M:$M,$B360)</f>
        <v>23000</v>
      </c>
      <c r="E360" s="18">
        <f>SUMIFS(Despesas!$F:$F,Despesas!$J:$J,"&lt;="&amp;$A360,Despesas!$L:$L,"&gt;="&amp;$A360,Despesas!$C:$C,E$1,Despesas!$M:$M,"Mensal")+SUMIFS(Despesas!$F:$F,Despesas!$J:$J,"&lt;="&amp;$A360,Despesas!$L:$L,"&gt;="&amp;$A360,Despesas!$C:$C,E$1,Despesas!$M:$M,$B360)</f>
        <v>0</v>
      </c>
      <c r="F360" s="5">
        <f>SUMIFS(Despesas!$F:$F,Despesas!$J:$J,"&lt;="&amp;$A360,Despesas!$L:$L,"&gt;="&amp;$A360,Despesas!$C:$C,F$1,Despesas!$M:$M,"Mensal")+SUMIFS(Despesas!$F:$F,Despesas!$J:$J,"&lt;="&amp;$A360,Despesas!$L:$L,"&gt;="&amp;$A360,Despesas!$C:$C,F$1,Despesas!$M:$M,$B360)</f>
        <v>13000</v>
      </c>
      <c r="G360" s="5">
        <f>SUMIFS(Despesas!$F:$F,Despesas!$J:$J,"&lt;="&amp;$A360,Despesas!$L:$L,"&gt;="&amp;$A360,Despesas!$C:$C,G$1,Despesas!$M:$M,"Mensal")+SUMIFS(Despesas!$F:$F,Despesas!$J:$J,"&lt;="&amp;$A360,Despesas!$L:$L,"&gt;="&amp;$A360,Despesas!$C:$C,G$1,Despesas!$M:$M,$B360)</f>
        <v>0</v>
      </c>
      <c r="H360" s="18">
        <f>SUMIFS(Despesas!$F:$F,Despesas!$J:$J,"&lt;="&amp;$A360,Despesas!$L:$L,"&gt;="&amp;$A360,Despesas!$C:$C,H$1,Despesas!$M:$M,"Mensal")+SUMIFS(Despesas!$F:$F,Despesas!$J:$J,"&lt;="&amp;$A360,Despesas!$L:$L,"&gt;="&amp;$A360,Despesas!$C:$C,H$1,Despesas!$M:$M,$B360)</f>
        <v>1000</v>
      </c>
      <c r="I360" s="18">
        <f>IF(Imóveis!$F$2="PRICE",IF(AND(Dados!$A360&gt;=Imóveis!$Q$2,Dados!$A360&lt;=Imóveis!$T$2),Imóveis!$U$2,0),IF((IF(AND(Dados!$A360&gt;=Imóveis!$Q$2,Dados!$A360&lt;=Imóveis!$T$2),Imóveis!$S$2-(DATEDIF(Imóveis!$Q$2,Dados!$A360,"m")),0))=0,0,((Imóveis!$N$2/Imóveis!$S$2)+((Imóveis!$N$2-((Imóveis!$S$2-(IF(AND(Dados!$A360&gt;=Imóveis!$Q$2,Dados!$A360&lt;=Imóveis!$T$2),Imóveis!$S$2-(DATEDIF(Imóveis!$Q$2,Dados!$A360,"m")),)))*(Imóveis!$N$2/Imóveis!$S$2)))*Imóveis!$P$2))))*IF(AND(Imóveis!$E$2&gt;0,Dados!$A360&gt;Imóveis!$E$2),0,1)</f>
        <v>0</v>
      </c>
      <c r="J360" s="18">
        <f>IF(Imóveis!$F$3="PRICE",IF(AND(Dados!$A360&gt;=Imóveis!$Q$3,Dados!$A360&lt;=Imóveis!$T$3),Imóveis!$U$3,0),IF((IF(AND(Dados!$A360&gt;=Imóveis!$Q$3,Dados!$A360&lt;=Imóveis!$T$3),Imóveis!$S$3-(DATEDIF(Imóveis!$Q$3,Dados!$A360,"m")),0))=0,0,((Imóveis!$N$3/Imóveis!$S$3)+((Imóveis!$N$3-((Imóveis!$S$3-(IF(AND(Dados!$A360&gt;=Imóveis!$Q$3,Dados!$A360&lt;=Imóveis!$T$3),Imóveis!$S$3-(DATEDIF(Imóveis!$Q$3,Dados!$A360,"m")),)))*(Imóveis!$N$3/Imóveis!$S$3)))*Imóveis!$P$3))))*IF(AND(Imóveis!$E$3&gt;0,Dados!$A360&gt;Imóveis!$E$3),0,1)</f>
        <v>0</v>
      </c>
      <c r="K360" s="18">
        <f>IF(Imóveis!$F$4="PRICE",IF(AND(Dados!$A360&gt;=Imóveis!$Q$4,Dados!$A360&lt;=Imóveis!$T$4),Imóveis!$U$4,0),IF((IF(AND(Dados!$A360&gt;=Imóveis!$Q$4,Dados!$A360&lt;=Imóveis!$T$4),Imóveis!$S$4-(DATEDIF(Imóveis!$Q$4,Dados!$A360,"m")),0))=0,0,((Imóveis!$N$4/Imóveis!$S$4)+((Imóveis!$N$4-((Imóveis!$S$4-(IF(AND(Dados!$A360&gt;=Imóveis!$Q$4,Dados!$A360&lt;=Imóveis!$T$4),Imóveis!$S$4-(DATEDIF(Imóveis!$Q$4,Dados!$A360,"m")),)))*(Imóveis!$N$4/Imóveis!$S$4)))*Imóveis!$P$4))))*IF(AND(Imóveis!$E$4&gt;0,Dados!$A360&gt;Imóveis!$E$4),0,1)</f>
        <v>0</v>
      </c>
      <c r="L360" s="18">
        <f>IF(Imóveis!$F$5="PRICE",IF(AND(Dados!$A360&gt;=Imóveis!$Q$5,Dados!$A360&lt;=Imóveis!$T$5),Imóveis!$U$5,0),IF((IF(AND(Dados!$A360&gt;=Imóveis!$Q$5,Dados!$A360&lt;=Imóveis!$T$5),Imóveis!$S$5-(DATEDIF(Imóveis!$Q$5,Dados!$A360,"m")),0))=0,0,((Imóveis!$N$5/Imóveis!$S$5)+((Imóveis!$N$5-((Imóveis!$S$5-(IF(AND(Dados!$A360 &gt;=Imóveis!$Q$5,Dados!$A360&lt;=Imóveis!$T$5),Imóveis!$S$5-(DATEDIF(Imóveis!$Q$5,Dados!$A360,"m")),)))*(Imóveis!$N$5/Imóveis!$S$5)))*Imóveis!$P$5))))*IF(AND(Imóveis!$E$5&gt;0,Dados!$A360&gt;Imóveis!$E$5),0,1)*Imóveis!$I$5</f>
        <v>0</v>
      </c>
      <c r="M360" s="18">
        <f>IF(Imóveis!$F$6="PRICE",IF(AND(Dados!$A360&gt;=Imóveis!$Q$6,Dados!$A360&lt;=Imóveis!$T$6),Imóveis!$U$6,0),IF((IF(AND(Dados!$A360&gt;=Imóveis!$Q$6,Dados!$A360&lt;=Imóveis!$T$6),Imóveis!$S$6-(DATEDIF(Imóveis!$Q$6,Dados!$A360,"m")),0))=0,0,((Imóveis!$N$6/Imóveis!$S$6)+((Imóveis!$N$6-((Imóveis!$S$6-(IF(AND(Dados!$A360&gt;=Imóveis!$Q$6,Dados!$A360&lt;=Imóveis!$T$6),Imóveis!$S$6-(DATEDIF(Imóveis!$Q$6,Dados!$A360,"m")),)))*(Imóveis!$N$6/Imóveis!$S$6)))*Imóveis!$P$6))))*IF(AND(Imóveis!$E$6&gt;0,Dados!$A360&gt;Imóveis!$E$6),0,1)*Imóveis!$I$6</f>
        <v>0</v>
      </c>
      <c r="N360" s="18">
        <f t="shared" si="45"/>
        <v>37000</v>
      </c>
      <c r="O360" s="18">
        <f>SUMIFS(Receitas!$F:$F,Receitas!$J:$J,"&lt;="&amp;$A360,Receitas!$L:$L,"&gt;="&amp;$A360,Receitas!$C:$C,O$1,Receitas!$M:$M,"Mensal")+SUMIFS(Receitas!$F:$F,Receitas!$J:$J,"&lt;="&amp;$A360,Receitas!$L:$L,"&gt;="&amp;$A360,Receitas!$C:$C,O$1,Receitas!$M:$M,$B360)</f>
        <v>50000</v>
      </c>
      <c r="P360" s="18">
        <f>SUMIFS(Receitas!$F:$F,Receitas!$J:$J,"&lt;="&amp;$A360,Receitas!$L:$L,"&gt;="&amp;$A360,Receitas!$C:$C,P$1,Receitas!$M:$M,"Mensal")+SUMIFS(Receitas!$F:$F,Receitas!$J:$J,"&lt;="&amp;$A360,Receitas!$L:$L,"&gt;="&amp;$A360,Receitas!$C:$C,P$1,Receitas!$M:$M,$B360)</f>
        <v>86666.666666666672</v>
      </c>
      <c r="Q360" s="18">
        <f>SUMIFS(Receitas!$F:$F,Receitas!$J:$J,"&lt;="&amp;$A360,Receitas!$L:$L,"&gt;="&amp;$A360,Receitas!$C:$C,Q$1,Receitas!$M:$M,"Mensal")+SUMIFS(Receitas!$F:$F,Receitas!$J:$J,"&lt;="&amp;$A360,Receitas!$L:$L,"&gt;="&amp;$A360,Receitas!$C:$C,Q$1,Receitas!$M:$M,$B360)</f>
        <v>0</v>
      </c>
      <c r="R360" s="18" cm="1">
        <f t="array" ref="R360">(IF(AND(Membros!$F$2="Sim",A360&lt;=MAX(Membros!$E$2:$E$5)),Membros!K$2,IF(AND(A360&gt;=Membros!J$2,A360&lt;=MAX(Membros!$E$2:$E$5)),Membros!K$2,0))+IF(AND(Membros!$F$3="Sim",A360&lt;=MAX(Membros!$E$2:$E$5)),Membros!K$3,IF(AND(A360&gt;=Membros!J$3,A360&lt;=MAX(Membros!$E$2:$E$5)),Membros!K$3,0)))*IF(AND(COUNTIFS(Tabela3[Tipo],"Provedor",Tabela3[Simulação Seguro],"Sim")=2,A360&gt;=MAX(IF(Tabela3[Tipo]="Dependente",Tabela3[Expectativa de Vida (Data)]))),0,1)</f>
        <v>0</v>
      </c>
      <c r="S360" s="18">
        <f t="shared" si="46"/>
        <v>136666.66666666669</v>
      </c>
      <c r="U360" s="18">
        <f t="shared" ca="1" si="49"/>
        <v>24085544.890426248</v>
      </c>
      <c r="V360" s="18">
        <f>SUMIF(Imóveis!E:E,Dados!A:A,Imóveis!Z:Z)-SUMIF(Imóveis!E:E,Dados!A:A,Imóveis!Y:Y)</f>
        <v>0</v>
      </c>
      <c r="W360" s="18">
        <f>-SUMIF(Projetos!N:N,A360,Projetos!F:F)</f>
        <v>0</v>
      </c>
      <c r="X360" s="18">
        <f t="shared" si="43"/>
        <v>99666.666666666686</v>
      </c>
      <c r="Y360" s="26">
        <f ca="1">(U360*((Indicadores_Economicos!D$2+1)^(1/12)-1))</f>
        <v>78849.806483726206</v>
      </c>
      <c r="Z360" s="18">
        <f t="shared" ca="1" si="47"/>
        <v>24264061.363576643</v>
      </c>
      <c r="AA360" s="18">
        <f ca="1">Auxiliar_Projetos!E360</f>
        <v>1.2599604434237822E-9</v>
      </c>
      <c r="AB360" s="18">
        <f ca="1">Auxiliar_Projetos!K360</f>
        <v>9.6920034109521628E-10</v>
      </c>
      <c r="AC360" s="18">
        <f ca="1">IF(Z360-AA360-AB360&gt;Investimentos!$C$14,Investimentos!$C$14,IF(Z360-AA360-AB360&lt;Investimentos!$C$14,Z360-AA360-AB360,0))</f>
        <v>300000</v>
      </c>
      <c r="AD360" s="18">
        <f t="shared" ca="1" si="48"/>
        <v>23964061.363576643</v>
      </c>
      <c r="AE360" s="18"/>
    </row>
    <row r="361" spans="1:31" x14ac:dyDescent="0.2">
      <c r="A361" s="4">
        <v>56584</v>
      </c>
      <c r="B361" s="5" t="str">
        <f t="shared" si="44"/>
        <v>dezembro</v>
      </c>
      <c r="C361" s="5" t="str">
        <f t="shared" si="50"/>
        <v>2054</v>
      </c>
      <c r="D361" s="5">
        <f>SUMIFS(Despesas!$F:$F,Despesas!$J:$J,"&lt;="&amp;$A361,Despesas!$L:$L,"&gt;="&amp;$A361,Despesas!$C:$C,D$1,Despesas!$M:$M,"Mensal")+SUMIFS(Despesas!$F:$F,Despesas!$J:$J,"&lt;="&amp;$A361,Despesas!$L:$L,"&gt;="&amp;$A361,Despesas!$C:$C,D$1,Despesas!$M:$M,$B361)</f>
        <v>23000</v>
      </c>
      <c r="E361" s="18">
        <f>SUMIFS(Despesas!$F:$F,Despesas!$J:$J,"&lt;="&amp;$A361,Despesas!$L:$L,"&gt;="&amp;$A361,Despesas!$C:$C,E$1,Despesas!$M:$M,"Mensal")+SUMIFS(Despesas!$F:$F,Despesas!$J:$J,"&lt;="&amp;$A361,Despesas!$L:$L,"&gt;="&amp;$A361,Despesas!$C:$C,E$1,Despesas!$M:$M,$B361)</f>
        <v>0</v>
      </c>
      <c r="F361" s="5">
        <f>SUMIFS(Despesas!$F:$F,Despesas!$J:$J,"&lt;="&amp;$A361,Despesas!$L:$L,"&gt;="&amp;$A361,Despesas!$C:$C,F$1,Despesas!$M:$M,"Mensal")+SUMIFS(Despesas!$F:$F,Despesas!$J:$J,"&lt;="&amp;$A361,Despesas!$L:$L,"&gt;="&amp;$A361,Despesas!$C:$C,F$1,Despesas!$M:$M,$B361)</f>
        <v>13000</v>
      </c>
      <c r="G361" s="5">
        <f ca="1">SUMIFS(Despesas!$F:$F,Despesas!$J:$J,"&lt;="&amp;$A361,Despesas!$L:$L,"&gt;="&amp;$A361,Despesas!$C:$C,G$1,Despesas!$M:$M,"Mensal")+SUMIFS(Despesas!$F:$F,Despesas!$J:$J,"&lt;="&amp;$A361,Despesas!$L:$L,"&gt;="&amp;$A361,Despesas!$C:$C,G$1,Despesas!$M:$M,$B361)</f>
        <v>55757</v>
      </c>
      <c r="H361" s="18">
        <f>SUMIFS(Despesas!$F:$F,Despesas!$J:$J,"&lt;="&amp;$A361,Despesas!$L:$L,"&gt;="&amp;$A361,Despesas!$C:$C,H$1,Despesas!$M:$M,"Mensal")+SUMIFS(Despesas!$F:$F,Despesas!$J:$J,"&lt;="&amp;$A361,Despesas!$L:$L,"&gt;="&amp;$A361,Despesas!$C:$C,H$1,Despesas!$M:$M,$B361)</f>
        <v>1000</v>
      </c>
      <c r="I361" s="18">
        <f>IF(Imóveis!$F$2="PRICE",IF(AND(Dados!$A361&gt;=Imóveis!$Q$2,Dados!$A361&lt;=Imóveis!$T$2),Imóveis!$U$2,0),IF((IF(AND(Dados!$A361&gt;=Imóveis!$Q$2,Dados!$A361&lt;=Imóveis!$T$2),Imóveis!$S$2-(DATEDIF(Imóveis!$Q$2,Dados!$A361,"m")),0))=0,0,((Imóveis!$N$2/Imóveis!$S$2)+((Imóveis!$N$2-((Imóveis!$S$2-(IF(AND(Dados!$A361&gt;=Imóveis!$Q$2,Dados!$A361&lt;=Imóveis!$T$2),Imóveis!$S$2-(DATEDIF(Imóveis!$Q$2,Dados!$A361,"m")),)))*(Imóveis!$N$2/Imóveis!$S$2)))*Imóveis!$P$2))))*IF(AND(Imóveis!$E$2&gt;0,Dados!$A361&gt;Imóveis!$E$2),0,1)</f>
        <v>0</v>
      </c>
      <c r="J361" s="18">
        <f>IF(Imóveis!$F$3="PRICE",IF(AND(Dados!$A361&gt;=Imóveis!$Q$3,Dados!$A361&lt;=Imóveis!$T$3),Imóveis!$U$3,0),IF((IF(AND(Dados!$A361&gt;=Imóveis!$Q$3,Dados!$A361&lt;=Imóveis!$T$3),Imóveis!$S$3-(DATEDIF(Imóveis!$Q$3,Dados!$A361,"m")),0))=0,0,((Imóveis!$N$3/Imóveis!$S$3)+((Imóveis!$N$3-((Imóveis!$S$3-(IF(AND(Dados!$A361&gt;=Imóveis!$Q$3,Dados!$A361&lt;=Imóveis!$T$3),Imóveis!$S$3-(DATEDIF(Imóveis!$Q$3,Dados!$A361,"m")),)))*(Imóveis!$N$3/Imóveis!$S$3)))*Imóveis!$P$3))))*IF(AND(Imóveis!$E$3&gt;0,Dados!$A361&gt;Imóveis!$E$3),0,1)</f>
        <v>0</v>
      </c>
      <c r="K361" s="18">
        <f>IF(Imóveis!$F$4="PRICE",IF(AND(Dados!$A361&gt;=Imóveis!$Q$4,Dados!$A361&lt;=Imóveis!$T$4),Imóveis!$U$4,0),IF((IF(AND(Dados!$A361&gt;=Imóveis!$Q$4,Dados!$A361&lt;=Imóveis!$T$4),Imóveis!$S$4-(DATEDIF(Imóveis!$Q$4,Dados!$A361,"m")),0))=0,0,((Imóveis!$N$4/Imóveis!$S$4)+((Imóveis!$N$4-((Imóveis!$S$4-(IF(AND(Dados!$A361&gt;=Imóveis!$Q$4,Dados!$A361&lt;=Imóveis!$T$4),Imóveis!$S$4-(DATEDIF(Imóveis!$Q$4,Dados!$A361,"m")),)))*(Imóveis!$N$4/Imóveis!$S$4)))*Imóveis!$P$4))))*IF(AND(Imóveis!$E$4&gt;0,Dados!$A361&gt;Imóveis!$E$4),0,1)</f>
        <v>0</v>
      </c>
      <c r="L361" s="18">
        <f>IF(Imóveis!$F$5="PRICE",IF(AND(Dados!$A361&gt;=Imóveis!$Q$5,Dados!$A361&lt;=Imóveis!$T$5),Imóveis!$U$5,0),IF((IF(AND(Dados!$A361&gt;=Imóveis!$Q$5,Dados!$A361&lt;=Imóveis!$T$5),Imóveis!$S$5-(DATEDIF(Imóveis!$Q$5,Dados!$A361,"m")),0))=0,0,((Imóveis!$N$5/Imóveis!$S$5)+((Imóveis!$N$5-((Imóveis!$S$5-(IF(AND(Dados!$A361 &gt;=Imóveis!$Q$5,Dados!$A361&lt;=Imóveis!$T$5),Imóveis!$S$5-(DATEDIF(Imóveis!$Q$5,Dados!$A361,"m")),)))*(Imóveis!$N$5/Imóveis!$S$5)))*Imóveis!$P$5))))*IF(AND(Imóveis!$E$5&gt;0,Dados!$A361&gt;Imóveis!$E$5),0,1)*Imóveis!$I$5</f>
        <v>0</v>
      </c>
      <c r="M361" s="18">
        <f>IF(Imóveis!$F$6="PRICE",IF(AND(Dados!$A361&gt;=Imóveis!$Q$6,Dados!$A361&lt;=Imóveis!$T$6),Imóveis!$U$6,0),IF((IF(AND(Dados!$A361&gt;=Imóveis!$Q$6,Dados!$A361&lt;=Imóveis!$T$6),Imóveis!$S$6-(DATEDIF(Imóveis!$Q$6,Dados!$A361,"m")),0))=0,0,((Imóveis!$N$6/Imóveis!$S$6)+((Imóveis!$N$6-((Imóveis!$S$6-(IF(AND(Dados!$A361&gt;=Imóveis!$Q$6,Dados!$A361&lt;=Imóveis!$T$6),Imóveis!$S$6-(DATEDIF(Imóveis!$Q$6,Dados!$A361,"m")),)))*(Imóveis!$N$6/Imóveis!$S$6)))*Imóveis!$P$6))))*IF(AND(Imóveis!$E$6&gt;0,Dados!$A361&gt;Imóveis!$E$6),0,1)*Imóveis!$I$6</f>
        <v>0</v>
      </c>
      <c r="N361" s="18">
        <f t="shared" ca="1" si="45"/>
        <v>92757</v>
      </c>
      <c r="O361" s="18">
        <f>SUMIFS(Receitas!$F:$F,Receitas!$J:$J,"&lt;="&amp;$A361,Receitas!$L:$L,"&gt;="&amp;$A361,Receitas!$C:$C,O$1,Receitas!$M:$M,"Mensal")+SUMIFS(Receitas!$F:$F,Receitas!$J:$J,"&lt;="&amp;$A361,Receitas!$L:$L,"&gt;="&amp;$A361,Receitas!$C:$C,O$1,Receitas!$M:$M,$B361)</f>
        <v>50000</v>
      </c>
      <c r="P361" s="18">
        <f>SUMIFS(Receitas!$F:$F,Receitas!$J:$J,"&lt;="&amp;$A361,Receitas!$L:$L,"&gt;="&amp;$A361,Receitas!$C:$C,P$1,Receitas!$M:$M,"Mensal")+SUMIFS(Receitas!$F:$F,Receitas!$J:$J,"&lt;="&amp;$A361,Receitas!$L:$L,"&gt;="&amp;$A361,Receitas!$C:$C,P$1,Receitas!$M:$M,$B361)</f>
        <v>20000</v>
      </c>
      <c r="Q361" s="18">
        <f>SUMIFS(Receitas!$F:$F,Receitas!$J:$J,"&lt;="&amp;$A361,Receitas!$L:$L,"&gt;="&amp;$A361,Receitas!$C:$C,Q$1,Receitas!$M:$M,"Mensal")+SUMIFS(Receitas!$F:$F,Receitas!$J:$J,"&lt;="&amp;$A361,Receitas!$L:$L,"&gt;="&amp;$A361,Receitas!$C:$C,Q$1,Receitas!$M:$M,$B361)</f>
        <v>0</v>
      </c>
      <c r="R361" s="18" cm="1">
        <f t="array" ref="R361">(IF(AND(Membros!$F$2="Sim",A361&lt;=MAX(Membros!$E$2:$E$5)),Membros!K$2,IF(AND(A361&gt;=Membros!J$2,A361&lt;=MAX(Membros!$E$2:$E$5)),Membros!K$2,0))+IF(AND(Membros!$F$3="Sim",A361&lt;=MAX(Membros!$E$2:$E$5)),Membros!K$3,IF(AND(A361&gt;=Membros!J$3,A361&lt;=MAX(Membros!$E$2:$E$5)),Membros!K$3,0)))*IF(AND(COUNTIFS(Tabela3[Tipo],"Provedor",Tabela3[Simulação Seguro],"Sim")=2,A361&gt;=MAX(IF(Tabela3[Tipo]="Dependente",Tabela3[Expectativa de Vida (Data)]))),0,1)</f>
        <v>0</v>
      </c>
      <c r="S361" s="18">
        <f t="shared" si="46"/>
        <v>70000</v>
      </c>
      <c r="U361" s="18">
        <f t="shared" ca="1" si="49"/>
        <v>24264061.363576643</v>
      </c>
      <c r="V361" s="18">
        <f>SUMIF(Imóveis!E:E,Dados!A:A,Imóveis!Z:Z)-SUMIF(Imóveis!E:E,Dados!A:A,Imóveis!Y:Y)</f>
        <v>0</v>
      </c>
      <c r="W361" s="18">
        <f>-SUMIF(Projetos!N:N,A361,Projetos!F:F)</f>
        <v>0</v>
      </c>
      <c r="X361" s="18">
        <f t="shared" ca="1" si="43"/>
        <v>-22757</v>
      </c>
      <c r="Y361" s="26">
        <f ca="1">(U361*((Indicadores_Economicos!D$2+1)^(1/12)-1))</f>
        <v>79434.222963656503</v>
      </c>
      <c r="Z361" s="18">
        <f t="shared" ca="1" si="47"/>
        <v>24320738.5865403</v>
      </c>
      <c r="AA361" s="18">
        <f ca="1">Auxiliar_Projetos!E361</f>
        <v>1.2640852260514157E-9</v>
      </c>
      <c r="AB361" s="18">
        <f ca="1">Auxiliar_Projetos!K361</f>
        <v>9.7237325080878042E-10</v>
      </c>
      <c r="AC361" s="18">
        <f ca="1">IF(Z361-AA361-AB361&gt;Investimentos!$C$14,Investimentos!$C$14,IF(Z361-AA361-AB361&lt;Investimentos!$C$14,Z361-AA361-AB361,0))</f>
        <v>300000</v>
      </c>
      <c r="AD361" s="18">
        <f t="shared" ca="1" si="48"/>
        <v>24020738.5865403</v>
      </c>
      <c r="AE361" s="18"/>
    </row>
    <row r="362" spans="1:31" x14ac:dyDescent="0.2">
      <c r="A362" s="4">
        <v>56615</v>
      </c>
      <c r="B362" s="5" t="str">
        <f t="shared" si="44"/>
        <v>janeiro</v>
      </c>
      <c r="C362" s="5" t="str">
        <f t="shared" si="50"/>
        <v>2055</v>
      </c>
      <c r="D362" s="5">
        <f>SUMIFS(Despesas!$F:$F,Despesas!$J:$J,"&lt;="&amp;$A362,Despesas!$L:$L,"&gt;="&amp;$A362,Despesas!$C:$C,D$1,Despesas!$M:$M,"Mensal")+SUMIFS(Despesas!$F:$F,Despesas!$J:$J,"&lt;="&amp;$A362,Despesas!$L:$L,"&gt;="&amp;$A362,Despesas!$C:$C,D$1,Despesas!$M:$M,$B362)</f>
        <v>23000</v>
      </c>
      <c r="E362" s="18">
        <f>SUMIFS(Despesas!$F:$F,Despesas!$J:$J,"&lt;="&amp;$A362,Despesas!$L:$L,"&gt;="&amp;$A362,Despesas!$C:$C,E$1,Despesas!$M:$M,"Mensal")+SUMIFS(Despesas!$F:$F,Despesas!$J:$J,"&lt;="&amp;$A362,Despesas!$L:$L,"&gt;="&amp;$A362,Despesas!$C:$C,E$1,Despesas!$M:$M,$B362)</f>
        <v>0</v>
      </c>
      <c r="F362" s="5">
        <f>SUMIFS(Despesas!$F:$F,Despesas!$J:$J,"&lt;="&amp;$A362,Despesas!$L:$L,"&gt;="&amp;$A362,Despesas!$C:$C,F$1,Despesas!$M:$M,"Mensal")+SUMIFS(Despesas!$F:$F,Despesas!$J:$J,"&lt;="&amp;$A362,Despesas!$L:$L,"&gt;="&amp;$A362,Despesas!$C:$C,F$1,Despesas!$M:$M,$B362)</f>
        <v>13000</v>
      </c>
      <c r="G362" s="5">
        <f>SUMIFS(Despesas!$F:$F,Despesas!$J:$J,"&lt;="&amp;$A362,Despesas!$L:$L,"&gt;="&amp;$A362,Despesas!$C:$C,G$1,Despesas!$M:$M,"Mensal")+SUMIFS(Despesas!$F:$F,Despesas!$J:$J,"&lt;="&amp;$A362,Despesas!$L:$L,"&gt;="&amp;$A362,Despesas!$C:$C,G$1,Despesas!$M:$M,$B362)</f>
        <v>0</v>
      </c>
      <c r="H362" s="18">
        <f>SUMIFS(Despesas!$F:$F,Despesas!$J:$J,"&lt;="&amp;$A362,Despesas!$L:$L,"&gt;="&amp;$A362,Despesas!$C:$C,H$1,Despesas!$M:$M,"Mensal")+SUMIFS(Despesas!$F:$F,Despesas!$J:$J,"&lt;="&amp;$A362,Despesas!$L:$L,"&gt;="&amp;$A362,Despesas!$C:$C,H$1,Despesas!$M:$M,$B362)</f>
        <v>1000</v>
      </c>
      <c r="I362" s="18">
        <f>IF(Imóveis!$F$2="PRICE",IF(AND(Dados!$A362&gt;=Imóveis!$Q$2,Dados!$A362&lt;=Imóveis!$T$2),Imóveis!$U$2,0),IF((IF(AND(Dados!$A362&gt;=Imóveis!$Q$2,Dados!$A362&lt;=Imóveis!$T$2),Imóveis!$S$2-(DATEDIF(Imóveis!$Q$2,Dados!$A362,"m")),0))=0,0,((Imóveis!$N$2/Imóveis!$S$2)+((Imóveis!$N$2-((Imóveis!$S$2-(IF(AND(Dados!$A362&gt;=Imóveis!$Q$2,Dados!$A362&lt;=Imóveis!$T$2),Imóveis!$S$2-(DATEDIF(Imóveis!$Q$2,Dados!$A362,"m")),)))*(Imóveis!$N$2/Imóveis!$S$2)))*Imóveis!$P$2))))*IF(AND(Imóveis!$E$2&gt;0,Dados!$A362&gt;Imóveis!$E$2),0,1)</f>
        <v>0</v>
      </c>
      <c r="J362" s="18">
        <f>IF(Imóveis!$F$3="PRICE",IF(AND(Dados!$A362&gt;=Imóveis!$Q$3,Dados!$A362&lt;=Imóveis!$T$3),Imóveis!$U$3,0),IF((IF(AND(Dados!$A362&gt;=Imóveis!$Q$3,Dados!$A362&lt;=Imóveis!$T$3),Imóveis!$S$3-(DATEDIF(Imóveis!$Q$3,Dados!$A362,"m")),0))=0,0,((Imóveis!$N$3/Imóveis!$S$3)+((Imóveis!$N$3-((Imóveis!$S$3-(IF(AND(Dados!$A362&gt;=Imóveis!$Q$3,Dados!$A362&lt;=Imóveis!$T$3),Imóveis!$S$3-(DATEDIF(Imóveis!$Q$3,Dados!$A362,"m")),)))*(Imóveis!$N$3/Imóveis!$S$3)))*Imóveis!$P$3))))*IF(AND(Imóveis!$E$3&gt;0,Dados!$A362&gt;Imóveis!$E$3),0,1)</f>
        <v>0</v>
      </c>
      <c r="K362" s="18">
        <f>IF(Imóveis!$F$4="PRICE",IF(AND(Dados!$A362&gt;=Imóveis!$Q$4,Dados!$A362&lt;=Imóveis!$T$4),Imóveis!$U$4,0),IF((IF(AND(Dados!$A362&gt;=Imóveis!$Q$4,Dados!$A362&lt;=Imóveis!$T$4),Imóveis!$S$4-(DATEDIF(Imóveis!$Q$4,Dados!$A362,"m")),0))=0,0,((Imóveis!$N$4/Imóveis!$S$4)+((Imóveis!$N$4-((Imóveis!$S$4-(IF(AND(Dados!$A362&gt;=Imóveis!$Q$4,Dados!$A362&lt;=Imóveis!$T$4),Imóveis!$S$4-(DATEDIF(Imóveis!$Q$4,Dados!$A362,"m")),)))*(Imóveis!$N$4/Imóveis!$S$4)))*Imóveis!$P$4))))*IF(AND(Imóveis!$E$4&gt;0,Dados!$A362&gt;Imóveis!$E$4),0,1)</f>
        <v>0</v>
      </c>
      <c r="L362" s="18">
        <f>IF(Imóveis!$F$5="PRICE",IF(AND(Dados!$A362&gt;=Imóveis!$Q$5,Dados!$A362&lt;=Imóveis!$T$5),Imóveis!$U$5,0),IF((IF(AND(Dados!$A362&gt;=Imóveis!$Q$5,Dados!$A362&lt;=Imóveis!$T$5),Imóveis!$S$5-(DATEDIF(Imóveis!$Q$5,Dados!$A362,"m")),0))=0,0,((Imóveis!$N$5/Imóveis!$S$5)+((Imóveis!$N$5-((Imóveis!$S$5-(IF(AND(Dados!$A362 &gt;=Imóveis!$Q$5,Dados!$A362&lt;=Imóveis!$T$5),Imóveis!$S$5-(DATEDIF(Imóveis!$Q$5,Dados!$A362,"m")),)))*(Imóveis!$N$5/Imóveis!$S$5)))*Imóveis!$P$5))))*IF(AND(Imóveis!$E$5&gt;0,Dados!$A362&gt;Imóveis!$E$5),0,1)*Imóveis!$I$5</f>
        <v>0</v>
      </c>
      <c r="M362" s="18">
        <f>IF(Imóveis!$F$6="PRICE",IF(AND(Dados!$A362&gt;=Imóveis!$Q$6,Dados!$A362&lt;=Imóveis!$T$6),Imóveis!$U$6,0),IF((IF(AND(Dados!$A362&gt;=Imóveis!$Q$6,Dados!$A362&lt;=Imóveis!$T$6),Imóveis!$S$6-(DATEDIF(Imóveis!$Q$6,Dados!$A362,"m")),0))=0,0,((Imóveis!$N$6/Imóveis!$S$6)+((Imóveis!$N$6-((Imóveis!$S$6-(IF(AND(Dados!$A362&gt;=Imóveis!$Q$6,Dados!$A362&lt;=Imóveis!$T$6),Imóveis!$S$6-(DATEDIF(Imóveis!$Q$6,Dados!$A362,"m")),)))*(Imóveis!$N$6/Imóveis!$S$6)))*Imóveis!$P$6))))*IF(AND(Imóveis!$E$6&gt;0,Dados!$A362&gt;Imóveis!$E$6),0,1)*Imóveis!$I$6</f>
        <v>0</v>
      </c>
      <c r="N362" s="18">
        <f t="shared" si="45"/>
        <v>37000</v>
      </c>
      <c r="O362" s="18">
        <f>SUMIFS(Receitas!$F:$F,Receitas!$J:$J,"&lt;="&amp;$A362,Receitas!$L:$L,"&gt;="&amp;$A362,Receitas!$C:$C,O$1,Receitas!$M:$M,"Mensal")+SUMIFS(Receitas!$F:$F,Receitas!$J:$J,"&lt;="&amp;$A362,Receitas!$L:$L,"&gt;="&amp;$A362,Receitas!$C:$C,O$1,Receitas!$M:$M,$B362)</f>
        <v>0</v>
      </c>
      <c r="P362" s="18">
        <f>SUMIFS(Receitas!$F:$F,Receitas!$J:$J,"&lt;="&amp;$A362,Receitas!$L:$L,"&gt;="&amp;$A362,Receitas!$C:$C,P$1,Receitas!$M:$M,"Mensal")+SUMIFS(Receitas!$F:$F,Receitas!$J:$J,"&lt;="&amp;$A362,Receitas!$L:$L,"&gt;="&amp;$A362,Receitas!$C:$C,P$1,Receitas!$M:$M,$B362)</f>
        <v>0</v>
      </c>
      <c r="Q362" s="18">
        <f>SUMIFS(Receitas!$F:$F,Receitas!$J:$J,"&lt;="&amp;$A362,Receitas!$L:$L,"&gt;="&amp;$A362,Receitas!$C:$C,Q$1,Receitas!$M:$M,"Mensal")+SUMIFS(Receitas!$F:$F,Receitas!$J:$J,"&lt;="&amp;$A362,Receitas!$L:$L,"&gt;="&amp;$A362,Receitas!$C:$C,Q$1,Receitas!$M:$M,$B362)</f>
        <v>0</v>
      </c>
      <c r="R362" s="18" cm="1">
        <f t="array" ref="R362">(IF(AND(Membros!$F$2="Sim",A362&lt;=MAX(Membros!$E$2:$E$5)),Membros!K$2,IF(AND(A362&gt;=Membros!J$2,A362&lt;=MAX(Membros!$E$2:$E$5)),Membros!K$2,0))+IF(AND(Membros!$F$3="Sim",A362&lt;=MAX(Membros!$E$2:$E$5)),Membros!K$3,IF(AND(A362&gt;=Membros!J$3,A362&lt;=MAX(Membros!$E$2:$E$5)),Membros!K$3,0)))*IF(AND(COUNTIFS(Tabela3[Tipo],"Provedor",Tabela3[Simulação Seguro],"Sim")=2,A362&gt;=MAX(IF(Tabela3[Tipo]="Dependente",Tabela3[Expectativa de Vida (Data)]))),0,1)</f>
        <v>0</v>
      </c>
      <c r="S362" s="18">
        <f t="shared" si="46"/>
        <v>0</v>
      </c>
      <c r="U362" s="18">
        <f t="shared" ca="1" si="49"/>
        <v>24320738.5865403</v>
      </c>
      <c r="V362" s="18">
        <f>SUMIF(Imóveis!E:E,Dados!A:A,Imóveis!Z:Z)-SUMIF(Imóveis!E:E,Dados!A:A,Imóveis!Y:Y)</f>
        <v>0</v>
      </c>
      <c r="W362" s="18">
        <f>-SUMIF(Projetos!N:N,A362,Projetos!F:F)</f>
        <v>0</v>
      </c>
      <c r="X362" s="18">
        <f t="shared" si="43"/>
        <v>-37000</v>
      </c>
      <c r="Y362" s="26">
        <f ca="1">(U362*((Indicadores_Economicos!D$2+1)^(1/12)-1))</f>
        <v>79619.769443217185</v>
      </c>
      <c r="Z362" s="18">
        <f t="shared" ca="1" si="47"/>
        <v>24363358.355983518</v>
      </c>
      <c r="AA362" s="18">
        <f ca="1">Auxiliar_Projetos!E362</f>
        <v>1.2682235121440301E-9</v>
      </c>
      <c r="AB362" s="18">
        <f ca="1">Auxiliar_Projetos!K362</f>
        <v>9.7555654780309931E-10</v>
      </c>
      <c r="AC362" s="18">
        <f ca="1">IF(Z362-AA362-AB362&gt;Investimentos!$C$14,Investimentos!$C$14,IF(Z362-AA362-AB362&lt;Investimentos!$C$14,Z362-AA362-AB362,0))</f>
        <v>300000</v>
      </c>
      <c r="AD362" s="18">
        <f t="shared" ca="1" si="48"/>
        <v>24063358.355983518</v>
      </c>
      <c r="AE362" s="18"/>
    </row>
    <row r="363" spans="1:31" x14ac:dyDescent="0.2">
      <c r="A363" s="4">
        <v>56646</v>
      </c>
      <c r="B363" s="5" t="str">
        <f t="shared" si="44"/>
        <v>fevereiro</v>
      </c>
      <c r="C363" s="5" t="str">
        <f t="shared" si="50"/>
        <v>2055</v>
      </c>
      <c r="D363" s="5">
        <f>SUMIFS(Despesas!$F:$F,Despesas!$J:$J,"&lt;="&amp;$A363,Despesas!$L:$L,"&gt;="&amp;$A363,Despesas!$C:$C,D$1,Despesas!$M:$M,"Mensal")+SUMIFS(Despesas!$F:$F,Despesas!$J:$J,"&lt;="&amp;$A363,Despesas!$L:$L,"&gt;="&amp;$A363,Despesas!$C:$C,D$1,Despesas!$M:$M,$B363)</f>
        <v>23000</v>
      </c>
      <c r="E363" s="18">
        <f>SUMIFS(Despesas!$F:$F,Despesas!$J:$J,"&lt;="&amp;$A363,Despesas!$L:$L,"&gt;="&amp;$A363,Despesas!$C:$C,E$1,Despesas!$M:$M,"Mensal")+SUMIFS(Despesas!$F:$F,Despesas!$J:$J,"&lt;="&amp;$A363,Despesas!$L:$L,"&gt;="&amp;$A363,Despesas!$C:$C,E$1,Despesas!$M:$M,$B363)</f>
        <v>0</v>
      </c>
      <c r="F363" s="5">
        <f>SUMIFS(Despesas!$F:$F,Despesas!$J:$J,"&lt;="&amp;$A363,Despesas!$L:$L,"&gt;="&amp;$A363,Despesas!$C:$C,F$1,Despesas!$M:$M,"Mensal")+SUMIFS(Despesas!$F:$F,Despesas!$J:$J,"&lt;="&amp;$A363,Despesas!$L:$L,"&gt;="&amp;$A363,Despesas!$C:$C,F$1,Despesas!$M:$M,$B363)</f>
        <v>13000</v>
      </c>
      <c r="G363" s="5">
        <f>SUMIFS(Despesas!$F:$F,Despesas!$J:$J,"&lt;="&amp;$A363,Despesas!$L:$L,"&gt;="&amp;$A363,Despesas!$C:$C,G$1,Despesas!$M:$M,"Mensal")+SUMIFS(Despesas!$F:$F,Despesas!$J:$J,"&lt;="&amp;$A363,Despesas!$L:$L,"&gt;="&amp;$A363,Despesas!$C:$C,G$1,Despesas!$M:$M,$B363)</f>
        <v>0</v>
      </c>
      <c r="H363" s="18">
        <f>SUMIFS(Despesas!$F:$F,Despesas!$J:$J,"&lt;="&amp;$A363,Despesas!$L:$L,"&gt;="&amp;$A363,Despesas!$C:$C,H$1,Despesas!$M:$M,"Mensal")+SUMIFS(Despesas!$F:$F,Despesas!$J:$J,"&lt;="&amp;$A363,Despesas!$L:$L,"&gt;="&amp;$A363,Despesas!$C:$C,H$1,Despesas!$M:$M,$B363)</f>
        <v>2200</v>
      </c>
      <c r="I363" s="18">
        <f>IF(Imóveis!$F$2="PRICE",IF(AND(Dados!$A363&gt;=Imóveis!$Q$2,Dados!$A363&lt;=Imóveis!$T$2),Imóveis!$U$2,0),IF((IF(AND(Dados!$A363&gt;=Imóveis!$Q$2,Dados!$A363&lt;=Imóveis!$T$2),Imóveis!$S$2-(DATEDIF(Imóveis!$Q$2,Dados!$A363,"m")),0))=0,0,((Imóveis!$N$2/Imóveis!$S$2)+((Imóveis!$N$2-((Imóveis!$S$2-(IF(AND(Dados!$A363&gt;=Imóveis!$Q$2,Dados!$A363&lt;=Imóveis!$T$2),Imóveis!$S$2-(DATEDIF(Imóveis!$Q$2,Dados!$A363,"m")),)))*(Imóveis!$N$2/Imóveis!$S$2)))*Imóveis!$P$2))))*IF(AND(Imóveis!$E$2&gt;0,Dados!$A363&gt;Imóveis!$E$2),0,1)</f>
        <v>0</v>
      </c>
      <c r="J363" s="18">
        <f>IF(Imóveis!$F$3="PRICE",IF(AND(Dados!$A363&gt;=Imóveis!$Q$3,Dados!$A363&lt;=Imóveis!$T$3),Imóveis!$U$3,0),IF((IF(AND(Dados!$A363&gt;=Imóveis!$Q$3,Dados!$A363&lt;=Imóveis!$T$3),Imóveis!$S$3-(DATEDIF(Imóveis!$Q$3,Dados!$A363,"m")),0))=0,0,((Imóveis!$N$3/Imóveis!$S$3)+((Imóveis!$N$3-((Imóveis!$S$3-(IF(AND(Dados!$A363&gt;=Imóveis!$Q$3,Dados!$A363&lt;=Imóveis!$T$3),Imóveis!$S$3-(DATEDIF(Imóveis!$Q$3,Dados!$A363,"m")),)))*(Imóveis!$N$3/Imóveis!$S$3)))*Imóveis!$P$3))))*IF(AND(Imóveis!$E$3&gt;0,Dados!$A363&gt;Imóveis!$E$3),0,1)</f>
        <v>0</v>
      </c>
      <c r="K363" s="18">
        <f>IF(Imóveis!$F$4="PRICE",IF(AND(Dados!$A363&gt;=Imóveis!$Q$4,Dados!$A363&lt;=Imóveis!$T$4),Imóveis!$U$4,0),IF((IF(AND(Dados!$A363&gt;=Imóveis!$Q$4,Dados!$A363&lt;=Imóveis!$T$4),Imóveis!$S$4-(DATEDIF(Imóveis!$Q$4,Dados!$A363,"m")),0))=0,0,((Imóveis!$N$4/Imóveis!$S$4)+((Imóveis!$N$4-((Imóveis!$S$4-(IF(AND(Dados!$A363&gt;=Imóveis!$Q$4,Dados!$A363&lt;=Imóveis!$T$4),Imóveis!$S$4-(DATEDIF(Imóveis!$Q$4,Dados!$A363,"m")),)))*(Imóveis!$N$4/Imóveis!$S$4)))*Imóveis!$P$4))))*IF(AND(Imóveis!$E$4&gt;0,Dados!$A363&gt;Imóveis!$E$4),0,1)</f>
        <v>0</v>
      </c>
      <c r="L363" s="18">
        <f>IF(Imóveis!$F$5="PRICE",IF(AND(Dados!$A363&gt;=Imóveis!$Q$5,Dados!$A363&lt;=Imóveis!$T$5),Imóveis!$U$5,0),IF((IF(AND(Dados!$A363&gt;=Imóveis!$Q$5,Dados!$A363&lt;=Imóveis!$T$5),Imóveis!$S$5-(DATEDIF(Imóveis!$Q$5,Dados!$A363,"m")),0))=0,0,((Imóveis!$N$5/Imóveis!$S$5)+((Imóveis!$N$5-((Imóveis!$S$5-(IF(AND(Dados!$A363 &gt;=Imóveis!$Q$5,Dados!$A363&lt;=Imóveis!$T$5),Imóveis!$S$5-(DATEDIF(Imóveis!$Q$5,Dados!$A363,"m")),)))*(Imóveis!$N$5/Imóveis!$S$5)))*Imóveis!$P$5))))*IF(AND(Imóveis!$E$5&gt;0,Dados!$A363&gt;Imóveis!$E$5),0,1)*Imóveis!$I$5</f>
        <v>0</v>
      </c>
      <c r="M363" s="18">
        <f>IF(Imóveis!$F$6="PRICE",IF(AND(Dados!$A363&gt;=Imóveis!$Q$6,Dados!$A363&lt;=Imóveis!$T$6),Imóveis!$U$6,0),IF((IF(AND(Dados!$A363&gt;=Imóveis!$Q$6,Dados!$A363&lt;=Imóveis!$T$6),Imóveis!$S$6-(DATEDIF(Imóveis!$Q$6,Dados!$A363,"m")),0))=0,0,((Imóveis!$N$6/Imóveis!$S$6)+((Imóveis!$N$6-((Imóveis!$S$6-(IF(AND(Dados!$A363&gt;=Imóveis!$Q$6,Dados!$A363&lt;=Imóveis!$T$6),Imóveis!$S$6-(DATEDIF(Imóveis!$Q$6,Dados!$A363,"m")),)))*(Imóveis!$N$6/Imóveis!$S$6)))*Imóveis!$P$6))))*IF(AND(Imóveis!$E$6&gt;0,Dados!$A363&gt;Imóveis!$E$6),0,1)*Imóveis!$I$6</f>
        <v>0</v>
      </c>
      <c r="N363" s="18">
        <f t="shared" si="45"/>
        <v>38200</v>
      </c>
      <c r="O363" s="18">
        <f>SUMIFS(Receitas!$F:$F,Receitas!$J:$J,"&lt;="&amp;$A363,Receitas!$L:$L,"&gt;="&amp;$A363,Receitas!$C:$C,O$1,Receitas!$M:$M,"Mensal")+SUMIFS(Receitas!$F:$F,Receitas!$J:$J,"&lt;="&amp;$A363,Receitas!$L:$L,"&gt;="&amp;$A363,Receitas!$C:$C,O$1,Receitas!$M:$M,$B363)</f>
        <v>0</v>
      </c>
      <c r="P363" s="18">
        <f>SUMIFS(Receitas!$F:$F,Receitas!$J:$J,"&lt;="&amp;$A363,Receitas!$L:$L,"&gt;="&amp;$A363,Receitas!$C:$C,P$1,Receitas!$M:$M,"Mensal")+SUMIFS(Receitas!$F:$F,Receitas!$J:$J,"&lt;="&amp;$A363,Receitas!$L:$L,"&gt;="&amp;$A363,Receitas!$C:$C,P$1,Receitas!$M:$M,$B363)</f>
        <v>0</v>
      </c>
      <c r="Q363" s="18">
        <f>SUMIFS(Receitas!$F:$F,Receitas!$J:$J,"&lt;="&amp;$A363,Receitas!$L:$L,"&gt;="&amp;$A363,Receitas!$C:$C,Q$1,Receitas!$M:$M,"Mensal")+SUMIFS(Receitas!$F:$F,Receitas!$J:$J,"&lt;="&amp;$A363,Receitas!$L:$L,"&gt;="&amp;$A363,Receitas!$C:$C,Q$1,Receitas!$M:$M,$B363)</f>
        <v>0</v>
      </c>
      <c r="R363" s="18" cm="1">
        <f t="array" ref="R363">(IF(AND(Membros!$F$2="Sim",A363&lt;=MAX(Membros!$E$2:$E$5)),Membros!K$2,IF(AND(A363&gt;=Membros!J$2,A363&lt;=MAX(Membros!$E$2:$E$5)),Membros!K$2,0))+IF(AND(Membros!$F$3="Sim",A363&lt;=MAX(Membros!$E$2:$E$5)),Membros!K$3,IF(AND(A363&gt;=Membros!J$3,A363&lt;=MAX(Membros!$E$2:$E$5)),Membros!K$3,0)))*IF(AND(COUNTIFS(Tabela3[Tipo],"Provedor",Tabela3[Simulação Seguro],"Sim")=2,A363&gt;=MAX(IF(Tabela3[Tipo]="Dependente",Tabela3[Expectativa de Vida (Data)]))),0,1)</f>
        <v>0</v>
      </c>
      <c r="S363" s="18">
        <f t="shared" si="46"/>
        <v>0</v>
      </c>
      <c r="U363" s="18">
        <f t="shared" ca="1" si="49"/>
        <v>24363358.355983518</v>
      </c>
      <c r="V363" s="18">
        <f>SUMIF(Imóveis!E:E,Dados!A:A,Imóveis!Z:Z)-SUMIF(Imóveis!E:E,Dados!A:A,Imóveis!Y:Y)</f>
        <v>0</v>
      </c>
      <c r="W363" s="18">
        <f>-SUMIF(Projetos!N:N,A363,Projetos!F:F)</f>
        <v>0</v>
      </c>
      <c r="X363" s="18">
        <f t="shared" si="43"/>
        <v>-38200</v>
      </c>
      <c r="Y363" s="26">
        <f ca="1">(U363*((Indicadores_Economicos!D$2+1)^(1/12)-1))</f>
        <v>79759.295477951586</v>
      </c>
      <c r="Z363" s="18">
        <f t="shared" ca="1" si="47"/>
        <v>24404917.651461471</v>
      </c>
      <c r="AA363" s="18">
        <f ca="1">Auxiliar_Projetos!E363</f>
        <v>1.272375345908456E-9</v>
      </c>
      <c r="AB363" s="18">
        <f ca="1">Auxiliar_Projetos!K363</f>
        <v>9.787502660834269E-10</v>
      </c>
      <c r="AC363" s="18">
        <f ca="1">IF(Z363-AA363-AB363&gt;Investimentos!$C$14,Investimentos!$C$14,IF(Z363-AA363-AB363&lt;Investimentos!$C$14,Z363-AA363-AB363,0))</f>
        <v>300000</v>
      </c>
      <c r="AD363" s="18">
        <f t="shared" ca="1" si="48"/>
        <v>24104917.651461471</v>
      </c>
      <c r="AE363" s="18"/>
    </row>
    <row r="364" spans="1:31" x14ac:dyDescent="0.2">
      <c r="A364" s="4">
        <v>56674</v>
      </c>
      <c r="B364" s="5" t="str">
        <f t="shared" si="44"/>
        <v>março</v>
      </c>
      <c r="C364" s="5" t="str">
        <f t="shared" si="50"/>
        <v>2055</v>
      </c>
      <c r="D364" s="5">
        <f>SUMIFS(Despesas!$F:$F,Despesas!$J:$J,"&lt;="&amp;$A364,Despesas!$L:$L,"&gt;="&amp;$A364,Despesas!$C:$C,D$1,Despesas!$M:$M,"Mensal")+SUMIFS(Despesas!$F:$F,Despesas!$J:$J,"&lt;="&amp;$A364,Despesas!$L:$L,"&gt;="&amp;$A364,Despesas!$C:$C,D$1,Despesas!$M:$M,$B364)</f>
        <v>23000</v>
      </c>
      <c r="E364" s="18">
        <f>SUMIFS(Despesas!$F:$F,Despesas!$J:$J,"&lt;="&amp;$A364,Despesas!$L:$L,"&gt;="&amp;$A364,Despesas!$C:$C,E$1,Despesas!$M:$M,"Mensal")+SUMIFS(Despesas!$F:$F,Despesas!$J:$J,"&lt;="&amp;$A364,Despesas!$L:$L,"&gt;="&amp;$A364,Despesas!$C:$C,E$1,Despesas!$M:$M,$B364)</f>
        <v>0</v>
      </c>
      <c r="F364" s="5">
        <f>SUMIFS(Despesas!$F:$F,Despesas!$J:$J,"&lt;="&amp;$A364,Despesas!$L:$L,"&gt;="&amp;$A364,Despesas!$C:$C,F$1,Despesas!$M:$M,"Mensal")+SUMIFS(Despesas!$F:$F,Despesas!$J:$J,"&lt;="&amp;$A364,Despesas!$L:$L,"&gt;="&amp;$A364,Despesas!$C:$C,F$1,Despesas!$M:$M,$B364)</f>
        <v>13000</v>
      </c>
      <c r="G364" s="5">
        <f>SUMIFS(Despesas!$F:$F,Despesas!$J:$J,"&lt;="&amp;$A364,Despesas!$L:$L,"&gt;="&amp;$A364,Despesas!$C:$C,G$1,Despesas!$M:$M,"Mensal")+SUMIFS(Despesas!$F:$F,Despesas!$J:$J,"&lt;="&amp;$A364,Despesas!$L:$L,"&gt;="&amp;$A364,Despesas!$C:$C,G$1,Despesas!$M:$M,$B364)</f>
        <v>0</v>
      </c>
      <c r="H364" s="18">
        <f>SUMIFS(Despesas!$F:$F,Despesas!$J:$J,"&lt;="&amp;$A364,Despesas!$L:$L,"&gt;="&amp;$A364,Despesas!$C:$C,H$1,Despesas!$M:$M,"Mensal")+SUMIFS(Despesas!$F:$F,Despesas!$J:$J,"&lt;="&amp;$A364,Despesas!$L:$L,"&gt;="&amp;$A364,Despesas!$C:$C,H$1,Despesas!$M:$M,$B364)</f>
        <v>1000</v>
      </c>
      <c r="I364" s="18">
        <f>IF(Imóveis!$F$2="PRICE",IF(AND(Dados!$A364&gt;=Imóveis!$Q$2,Dados!$A364&lt;=Imóveis!$T$2),Imóveis!$U$2,0),IF((IF(AND(Dados!$A364&gt;=Imóveis!$Q$2,Dados!$A364&lt;=Imóveis!$T$2),Imóveis!$S$2-(DATEDIF(Imóveis!$Q$2,Dados!$A364,"m")),0))=0,0,((Imóveis!$N$2/Imóveis!$S$2)+((Imóveis!$N$2-((Imóveis!$S$2-(IF(AND(Dados!$A364&gt;=Imóveis!$Q$2,Dados!$A364&lt;=Imóveis!$T$2),Imóveis!$S$2-(DATEDIF(Imóveis!$Q$2,Dados!$A364,"m")),)))*(Imóveis!$N$2/Imóveis!$S$2)))*Imóveis!$P$2))))*IF(AND(Imóveis!$E$2&gt;0,Dados!$A364&gt;Imóveis!$E$2),0,1)</f>
        <v>0</v>
      </c>
      <c r="J364" s="18">
        <f>IF(Imóveis!$F$3="PRICE",IF(AND(Dados!$A364&gt;=Imóveis!$Q$3,Dados!$A364&lt;=Imóveis!$T$3),Imóveis!$U$3,0),IF((IF(AND(Dados!$A364&gt;=Imóveis!$Q$3,Dados!$A364&lt;=Imóveis!$T$3),Imóveis!$S$3-(DATEDIF(Imóveis!$Q$3,Dados!$A364,"m")),0))=0,0,((Imóveis!$N$3/Imóveis!$S$3)+((Imóveis!$N$3-((Imóveis!$S$3-(IF(AND(Dados!$A364&gt;=Imóveis!$Q$3,Dados!$A364&lt;=Imóveis!$T$3),Imóveis!$S$3-(DATEDIF(Imóveis!$Q$3,Dados!$A364,"m")),)))*(Imóveis!$N$3/Imóveis!$S$3)))*Imóveis!$P$3))))*IF(AND(Imóveis!$E$3&gt;0,Dados!$A364&gt;Imóveis!$E$3),0,1)</f>
        <v>0</v>
      </c>
      <c r="K364" s="18">
        <f>IF(Imóveis!$F$4="PRICE",IF(AND(Dados!$A364&gt;=Imóveis!$Q$4,Dados!$A364&lt;=Imóveis!$T$4),Imóveis!$U$4,0),IF((IF(AND(Dados!$A364&gt;=Imóveis!$Q$4,Dados!$A364&lt;=Imóveis!$T$4),Imóveis!$S$4-(DATEDIF(Imóveis!$Q$4,Dados!$A364,"m")),0))=0,0,((Imóveis!$N$4/Imóveis!$S$4)+((Imóveis!$N$4-((Imóveis!$S$4-(IF(AND(Dados!$A364&gt;=Imóveis!$Q$4,Dados!$A364&lt;=Imóveis!$T$4),Imóveis!$S$4-(DATEDIF(Imóveis!$Q$4,Dados!$A364,"m")),)))*(Imóveis!$N$4/Imóveis!$S$4)))*Imóveis!$P$4))))*IF(AND(Imóveis!$E$4&gt;0,Dados!$A364&gt;Imóveis!$E$4),0,1)</f>
        <v>0</v>
      </c>
      <c r="L364" s="18">
        <f>IF(Imóveis!$F$5="PRICE",IF(AND(Dados!$A364&gt;=Imóveis!$Q$5,Dados!$A364&lt;=Imóveis!$T$5),Imóveis!$U$5,0),IF((IF(AND(Dados!$A364&gt;=Imóveis!$Q$5,Dados!$A364&lt;=Imóveis!$T$5),Imóveis!$S$5-(DATEDIF(Imóveis!$Q$5,Dados!$A364,"m")),0))=0,0,((Imóveis!$N$5/Imóveis!$S$5)+((Imóveis!$N$5-((Imóveis!$S$5-(IF(AND(Dados!$A364 &gt;=Imóveis!$Q$5,Dados!$A364&lt;=Imóveis!$T$5),Imóveis!$S$5-(DATEDIF(Imóveis!$Q$5,Dados!$A364,"m")),)))*(Imóveis!$N$5/Imóveis!$S$5)))*Imóveis!$P$5))))*IF(AND(Imóveis!$E$5&gt;0,Dados!$A364&gt;Imóveis!$E$5),0,1)*Imóveis!$I$5</f>
        <v>0</v>
      </c>
      <c r="M364" s="18">
        <f>IF(Imóveis!$F$6="PRICE",IF(AND(Dados!$A364&gt;=Imóveis!$Q$6,Dados!$A364&lt;=Imóveis!$T$6),Imóveis!$U$6,0),IF((IF(AND(Dados!$A364&gt;=Imóveis!$Q$6,Dados!$A364&lt;=Imóveis!$T$6),Imóveis!$S$6-(DATEDIF(Imóveis!$Q$6,Dados!$A364,"m")),0))=0,0,((Imóveis!$N$6/Imóveis!$S$6)+((Imóveis!$N$6-((Imóveis!$S$6-(IF(AND(Dados!$A364&gt;=Imóveis!$Q$6,Dados!$A364&lt;=Imóveis!$T$6),Imóveis!$S$6-(DATEDIF(Imóveis!$Q$6,Dados!$A364,"m")),)))*(Imóveis!$N$6/Imóveis!$S$6)))*Imóveis!$P$6))))*IF(AND(Imóveis!$E$6&gt;0,Dados!$A364&gt;Imóveis!$E$6),0,1)*Imóveis!$I$6</f>
        <v>0</v>
      </c>
      <c r="N364" s="18">
        <f t="shared" si="45"/>
        <v>37000</v>
      </c>
      <c r="O364" s="18">
        <f>SUMIFS(Receitas!$F:$F,Receitas!$J:$J,"&lt;="&amp;$A364,Receitas!$L:$L,"&gt;="&amp;$A364,Receitas!$C:$C,O$1,Receitas!$M:$M,"Mensal")+SUMIFS(Receitas!$F:$F,Receitas!$J:$J,"&lt;="&amp;$A364,Receitas!$L:$L,"&gt;="&amp;$A364,Receitas!$C:$C,O$1,Receitas!$M:$M,$B364)</f>
        <v>0</v>
      </c>
      <c r="P364" s="18">
        <f>SUMIFS(Receitas!$F:$F,Receitas!$J:$J,"&lt;="&amp;$A364,Receitas!$L:$L,"&gt;="&amp;$A364,Receitas!$C:$C,P$1,Receitas!$M:$M,"Mensal")+SUMIFS(Receitas!$F:$F,Receitas!$J:$J,"&lt;="&amp;$A364,Receitas!$L:$L,"&gt;="&amp;$A364,Receitas!$C:$C,P$1,Receitas!$M:$M,$B364)</f>
        <v>0</v>
      </c>
      <c r="Q364" s="18">
        <f>SUMIFS(Receitas!$F:$F,Receitas!$J:$J,"&lt;="&amp;$A364,Receitas!$L:$L,"&gt;="&amp;$A364,Receitas!$C:$C,Q$1,Receitas!$M:$M,"Mensal")+SUMIFS(Receitas!$F:$F,Receitas!$J:$J,"&lt;="&amp;$A364,Receitas!$L:$L,"&gt;="&amp;$A364,Receitas!$C:$C,Q$1,Receitas!$M:$M,$B364)</f>
        <v>0</v>
      </c>
      <c r="R364" s="18" cm="1">
        <f t="array" ref="R364">(IF(AND(Membros!$F$2="Sim",A364&lt;=MAX(Membros!$E$2:$E$5)),Membros!K$2,IF(AND(A364&gt;=Membros!J$2,A364&lt;=MAX(Membros!$E$2:$E$5)),Membros!K$2,0))+IF(AND(Membros!$F$3="Sim",A364&lt;=MAX(Membros!$E$2:$E$5)),Membros!K$3,IF(AND(A364&gt;=Membros!J$3,A364&lt;=MAX(Membros!$E$2:$E$5)),Membros!K$3,0)))*IF(AND(COUNTIFS(Tabela3[Tipo],"Provedor",Tabela3[Simulação Seguro],"Sim")=2,A364&gt;=MAX(IF(Tabela3[Tipo]="Dependente",Tabela3[Expectativa de Vida (Data)]))),0,1)</f>
        <v>0</v>
      </c>
      <c r="S364" s="18">
        <f t="shared" si="46"/>
        <v>0</v>
      </c>
      <c r="U364" s="18">
        <f t="shared" ca="1" si="49"/>
        <v>24404917.651461471</v>
      </c>
      <c r="V364" s="18">
        <f>SUMIF(Imóveis!E:E,Dados!A:A,Imóveis!Z:Z)-SUMIF(Imóveis!E:E,Dados!A:A,Imóveis!Y:Y)</f>
        <v>0</v>
      </c>
      <c r="W364" s="18">
        <f>-SUMIF(Projetos!N:N,A364,Projetos!F:F)</f>
        <v>0</v>
      </c>
      <c r="X364" s="18">
        <f t="shared" si="43"/>
        <v>-37000</v>
      </c>
      <c r="Y364" s="26">
        <f ca="1">(U364*((Indicadores_Economicos!D$2+1)^(1/12)-1))</f>
        <v>79895.349796877912</v>
      </c>
      <c r="Z364" s="18">
        <f t="shared" ca="1" si="47"/>
        <v>24447813.001258347</v>
      </c>
      <c r="AA364" s="18">
        <f ca="1">Auxiliar_Projetos!E364</f>
        <v>1.2765407716962457E-9</v>
      </c>
      <c r="AB364" s="18">
        <f ca="1">Auxiliar_Projetos!K364</f>
        <v>9.8195443976634199E-10</v>
      </c>
      <c r="AC364" s="18">
        <f ca="1">IF(Z364-AA364-AB364&gt;Investimentos!$C$14,Investimentos!$C$14,IF(Z364-AA364-AB364&lt;Investimentos!$C$14,Z364-AA364-AB364,0))</f>
        <v>300000</v>
      </c>
      <c r="AD364" s="18">
        <f t="shared" ca="1" si="48"/>
        <v>24147813.001258347</v>
      </c>
      <c r="AE364" s="18"/>
    </row>
    <row r="365" spans="1:31" x14ac:dyDescent="0.2">
      <c r="A365" s="4">
        <v>56705</v>
      </c>
      <c r="B365" s="5" t="str">
        <f t="shared" si="44"/>
        <v>abril</v>
      </c>
      <c r="C365" s="5" t="str">
        <f t="shared" si="50"/>
        <v>2055</v>
      </c>
      <c r="D365" s="5">
        <f>SUMIFS(Despesas!$F:$F,Despesas!$J:$J,"&lt;="&amp;$A365,Despesas!$L:$L,"&gt;="&amp;$A365,Despesas!$C:$C,D$1,Despesas!$M:$M,"Mensal")+SUMIFS(Despesas!$F:$F,Despesas!$J:$J,"&lt;="&amp;$A365,Despesas!$L:$L,"&gt;="&amp;$A365,Despesas!$C:$C,D$1,Despesas!$M:$M,$B365)</f>
        <v>23000</v>
      </c>
      <c r="E365" s="18">
        <f>SUMIFS(Despesas!$F:$F,Despesas!$J:$J,"&lt;="&amp;$A365,Despesas!$L:$L,"&gt;="&amp;$A365,Despesas!$C:$C,E$1,Despesas!$M:$M,"Mensal")+SUMIFS(Despesas!$F:$F,Despesas!$J:$J,"&lt;="&amp;$A365,Despesas!$L:$L,"&gt;="&amp;$A365,Despesas!$C:$C,E$1,Despesas!$M:$M,$B365)</f>
        <v>0</v>
      </c>
      <c r="F365" s="5">
        <f>SUMIFS(Despesas!$F:$F,Despesas!$J:$J,"&lt;="&amp;$A365,Despesas!$L:$L,"&gt;="&amp;$A365,Despesas!$C:$C,F$1,Despesas!$M:$M,"Mensal")+SUMIFS(Despesas!$F:$F,Despesas!$J:$J,"&lt;="&amp;$A365,Despesas!$L:$L,"&gt;="&amp;$A365,Despesas!$C:$C,F$1,Despesas!$M:$M,$B365)</f>
        <v>13000</v>
      </c>
      <c r="G365" s="5">
        <f>SUMIFS(Despesas!$F:$F,Despesas!$J:$J,"&lt;="&amp;$A365,Despesas!$L:$L,"&gt;="&amp;$A365,Despesas!$C:$C,G$1,Despesas!$M:$M,"Mensal")+SUMIFS(Despesas!$F:$F,Despesas!$J:$J,"&lt;="&amp;$A365,Despesas!$L:$L,"&gt;="&amp;$A365,Despesas!$C:$C,G$1,Despesas!$M:$M,$B365)</f>
        <v>0</v>
      </c>
      <c r="H365" s="18">
        <f>SUMIFS(Despesas!$F:$F,Despesas!$J:$J,"&lt;="&amp;$A365,Despesas!$L:$L,"&gt;="&amp;$A365,Despesas!$C:$C,H$1,Despesas!$M:$M,"Mensal")+SUMIFS(Despesas!$F:$F,Despesas!$J:$J,"&lt;="&amp;$A365,Despesas!$L:$L,"&gt;="&amp;$A365,Despesas!$C:$C,H$1,Despesas!$M:$M,$B365)</f>
        <v>1000</v>
      </c>
      <c r="I365" s="18">
        <f>IF(Imóveis!$F$2="PRICE",IF(AND(Dados!$A365&gt;=Imóveis!$Q$2,Dados!$A365&lt;=Imóveis!$T$2),Imóveis!$U$2,0),IF((IF(AND(Dados!$A365&gt;=Imóveis!$Q$2,Dados!$A365&lt;=Imóveis!$T$2),Imóveis!$S$2-(DATEDIF(Imóveis!$Q$2,Dados!$A365,"m")),0))=0,0,((Imóveis!$N$2/Imóveis!$S$2)+((Imóveis!$N$2-((Imóveis!$S$2-(IF(AND(Dados!$A365&gt;=Imóveis!$Q$2,Dados!$A365&lt;=Imóveis!$T$2),Imóveis!$S$2-(DATEDIF(Imóveis!$Q$2,Dados!$A365,"m")),)))*(Imóveis!$N$2/Imóveis!$S$2)))*Imóveis!$P$2))))*IF(AND(Imóveis!$E$2&gt;0,Dados!$A365&gt;Imóveis!$E$2),0,1)</f>
        <v>0</v>
      </c>
      <c r="J365" s="18">
        <f>IF(Imóveis!$F$3="PRICE",IF(AND(Dados!$A365&gt;=Imóveis!$Q$3,Dados!$A365&lt;=Imóveis!$T$3),Imóveis!$U$3,0),IF((IF(AND(Dados!$A365&gt;=Imóveis!$Q$3,Dados!$A365&lt;=Imóveis!$T$3),Imóveis!$S$3-(DATEDIF(Imóveis!$Q$3,Dados!$A365,"m")),0))=0,0,((Imóveis!$N$3/Imóveis!$S$3)+((Imóveis!$N$3-((Imóveis!$S$3-(IF(AND(Dados!$A365&gt;=Imóveis!$Q$3,Dados!$A365&lt;=Imóveis!$T$3),Imóveis!$S$3-(DATEDIF(Imóveis!$Q$3,Dados!$A365,"m")),)))*(Imóveis!$N$3/Imóveis!$S$3)))*Imóveis!$P$3))))*IF(AND(Imóveis!$E$3&gt;0,Dados!$A365&gt;Imóveis!$E$3),0,1)</f>
        <v>0</v>
      </c>
      <c r="K365" s="18">
        <f>IF(Imóveis!$F$4="PRICE",IF(AND(Dados!$A365&gt;=Imóveis!$Q$4,Dados!$A365&lt;=Imóveis!$T$4),Imóveis!$U$4,0),IF((IF(AND(Dados!$A365&gt;=Imóveis!$Q$4,Dados!$A365&lt;=Imóveis!$T$4),Imóveis!$S$4-(DATEDIF(Imóveis!$Q$4,Dados!$A365,"m")),0))=0,0,((Imóveis!$N$4/Imóveis!$S$4)+((Imóveis!$N$4-((Imóveis!$S$4-(IF(AND(Dados!$A365&gt;=Imóveis!$Q$4,Dados!$A365&lt;=Imóveis!$T$4),Imóveis!$S$4-(DATEDIF(Imóveis!$Q$4,Dados!$A365,"m")),)))*(Imóveis!$N$4/Imóveis!$S$4)))*Imóveis!$P$4))))*IF(AND(Imóveis!$E$4&gt;0,Dados!$A365&gt;Imóveis!$E$4),0,1)</f>
        <v>0</v>
      </c>
      <c r="L365" s="18">
        <f>IF(Imóveis!$F$5="PRICE",IF(AND(Dados!$A365&gt;=Imóveis!$Q$5,Dados!$A365&lt;=Imóveis!$T$5),Imóveis!$U$5,0),IF((IF(AND(Dados!$A365&gt;=Imóveis!$Q$5,Dados!$A365&lt;=Imóveis!$T$5),Imóveis!$S$5-(DATEDIF(Imóveis!$Q$5,Dados!$A365,"m")),0))=0,0,((Imóveis!$N$5/Imóveis!$S$5)+((Imóveis!$N$5-((Imóveis!$S$5-(IF(AND(Dados!$A365 &gt;=Imóveis!$Q$5,Dados!$A365&lt;=Imóveis!$T$5),Imóveis!$S$5-(DATEDIF(Imóveis!$Q$5,Dados!$A365,"m")),)))*(Imóveis!$N$5/Imóveis!$S$5)))*Imóveis!$P$5))))*IF(AND(Imóveis!$E$5&gt;0,Dados!$A365&gt;Imóveis!$E$5),0,1)*Imóveis!$I$5</f>
        <v>0</v>
      </c>
      <c r="M365" s="18">
        <f>IF(Imóveis!$F$6="PRICE",IF(AND(Dados!$A365&gt;=Imóveis!$Q$6,Dados!$A365&lt;=Imóveis!$T$6),Imóveis!$U$6,0),IF((IF(AND(Dados!$A365&gt;=Imóveis!$Q$6,Dados!$A365&lt;=Imóveis!$T$6),Imóveis!$S$6-(DATEDIF(Imóveis!$Q$6,Dados!$A365,"m")),0))=0,0,((Imóveis!$N$6/Imóveis!$S$6)+((Imóveis!$N$6-((Imóveis!$S$6-(IF(AND(Dados!$A365&gt;=Imóveis!$Q$6,Dados!$A365&lt;=Imóveis!$T$6),Imóveis!$S$6-(DATEDIF(Imóveis!$Q$6,Dados!$A365,"m")),)))*(Imóveis!$N$6/Imóveis!$S$6)))*Imóveis!$P$6))))*IF(AND(Imóveis!$E$6&gt;0,Dados!$A365&gt;Imóveis!$E$6),0,1)*Imóveis!$I$6</f>
        <v>0</v>
      </c>
      <c r="N365" s="18">
        <f t="shared" si="45"/>
        <v>37000</v>
      </c>
      <c r="O365" s="18">
        <f>SUMIFS(Receitas!$F:$F,Receitas!$J:$J,"&lt;="&amp;$A365,Receitas!$L:$L,"&gt;="&amp;$A365,Receitas!$C:$C,O$1,Receitas!$M:$M,"Mensal")+SUMIFS(Receitas!$F:$F,Receitas!$J:$J,"&lt;="&amp;$A365,Receitas!$L:$L,"&gt;="&amp;$A365,Receitas!$C:$C,O$1,Receitas!$M:$M,$B365)</f>
        <v>0</v>
      </c>
      <c r="P365" s="18">
        <f>SUMIFS(Receitas!$F:$F,Receitas!$J:$J,"&lt;="&amp;$A365,Receitas!$L:$L,"&gt;="&amp;$A365,Receitas!$C:$C,P$1,Receitas!$M:$M,"Mensal")+SUMIFS(Receitas!$F:$F,Receitas!$J:$J,"&lt;="&amp;$A365,Receitas!$L:$L,"&gt;="&amp;$A365,Receitas!$C:$C,P$1,Receitas!$M:$M,$B365)</f>
        <v>0</v>
      </c>
      <c r="Q365" s="18">
        <f>SUMIFS(Receitas!$F:$F,Receitas!$J:$J,"&lt;="&amp;$A365,Receitas!$L:$L,"&gt;="&amp;$A365,Receitas!$C:$C,Q$1,Receitas!$M:$M,"Mensal")+SUMIFS(Receitas!$F:$F,Receitas!$J:$J,"&lt;="&amp;$A365,Receitas!$L:$L,"&gt;="&amp;$A365,Receitas!$C:$C,Q$1,Receitas!$M:$M,$B365)</f>
        <v>0</v>
      </c>
      <c r="R365" s="18" cm="1">
        <f t="array" ref="R365">(IF(AND(Membros!$F$2="Sim",A365&lt;=MAX(Membros!$E$2:$E$5)),Membros!K$2,IF(AND(A365&gt;=Membros!J$2,A365&lt;=MAX(Membros!$E$2:$E$5)),Membros!K$2,0))+IF(AND(Membros!$F$3="Sim",A365&lt;=MAX(Membros!$E$2:$E$5)),Membros!K$3,IF(AND(A365&gt;=Membros!J$3,A365&lt;=MAX(Membros!$E$2:$E$5)),Membros!K$3,0)))*IF(AND(COUNTIFS(Tabela3[Tipo],"Provedor",Tabela3[Simulação Seguro],"Sim")=2,A365&gt;=MAX(IF(Tabela3[Tipo]="Dependente",Tabela3[Expectativa de Vida (Data)]))),0,1)</f>
        <v>0</v>
      </c>
      <c r="S365" s="18">
        <f t="shared" si="46"/>
        <v>0</v>
      </c>
      <c r="U365" s="18">
        <f t="shared" ca="1" si="49"/>
        <v>24447813.001258347</v>
      </c>
      <c r="V365" s="18">
        <f>SUMIF(Imóveis!E:E,Dados!A:A,Imóveis!Z:Z)-SUMIF(Imóveis!E:E,Dados!A:A,Imóveis!Y:Y)</f>
        <v>0</v>
      </c>
      <c r="W365" s="18">
        <f>-SUMIF(Projetos!N:N,A365,Projetos!F:F)</f>
        <v>0</v>
      </c>
      <c r="X365" s="18">
        <f t="shared" si="43"/>
        <v>-37000</v>
      </c>
      <c r="Y365" s="26">
        <f ca="1">(U365*((Indicadores_Economicos!D$2+1)^(1/12)-1))</f>
        <v>80035.778009979287</v>
      </c>
      <c r="Z365" s="18">
        <f t="shared" ca="1" si="47"/>
        <v>24490848.779268328</v>
      </c>
      <c r="AA365" s="18">
        <f ca="1">Auxiliar_Projetos!E365</f>
        <v>1.2807198340041466E-9</v>
      </c>
      <c r="AB365" s="18">
        <f ca="1">Auxiliar_Projetos!K365</f>
        <v>9.85169103080112E-10</v>
      </c>
      <c r="AC365" s="18">
        <f ca="1">IF(Z365-AA365-AB365&gt;Investimentos!$C$14,Investimentos!$C$14,IF(Z365-AA365-AB365&lt;Investimentos!$C$14,Z365-AA365-AB365,0))</f>
        <v>300000</v>
      </c>
      <c r="AD365" s="18">
        <f t="shared" ca="1" si="48"/>
        <v>24190848.779268328</v>
      </c>
      <c r="AE365" s="18"/>
    </row>
    <row r="366" spans="1:31" x14ac:dyDescent="0.2">
      <c r="A366" s="4">
        <v>56735</v>
      </c>
      <c r="B366" s="5" t="str">
        <f t="shared" si="44"/>
        <v>maio</v>
      </c>
      <c r="C366" s="5" t="str">
        <f t="shared" si="50"/>
        <v>2055</v>
      </c>
      <c r="D366" s="5">
        <f>SUMIFS(Despesas!$F:$F,Despesas!$J:$J,"&lt;="&amp;$A366,Despesas!$L:$L,"&gt;="&amp;$A366,Despesas!$C:$C,D$1,Despesas!$M:$M,"Mensal")+SUMIFS(Despesas!$F:$F,Despesas!$J:$J,"&lt;="&amp;$A366,Despesas!$L:$L,"&gt;="&amp;$A366,Despesas!$C:$C,D$1,Despesas!$M:$M,$B366)</f>
        <v>23000</v>
      </c>
      <c r="E366" s="18">
        <f>SUMIFS(Despesas!$F:$F,Despesas!$J:$J,"&lt;="&amp;$A366,Despesas!$L:$L,"&gt;="&amp;$A366,Despesas!$C:$C,E$1,Despesas!$M:$M,"Mensal")+SUMIFS(Despesas!$F:$F,Despesas!$J:$J,"&lt;="&amp;$A366,Despesas!$L:$L,"&gt;="&amp;$A366,Despesas!$C:$C,E$1,Despesas!$M:$M,$B366)</f>
        <v>0</v>
      </c>
      <c r="F366" s="5">
        <f>SUMIFS(Despesas!$F:$F,Despesas!$J:$J,"&lt;="&amp;$A366,Despesas!$L:$L,"&gt;="&amp;$A366,Despesas!$C:$C,F$1,Despesas!$M:$M,"Mensal")+SUMIFS(Despesas!$F:$F,Despesas!$J:$J,"&lt;="&amp;$A366,Despesas!$L:$L,"&gt;="&amp;$A366,Despesas!$C:$C,F$1,Despesas!$M:$M,$B366)</f>
        <v>13000</v>
      </c>
      <c r="G366" s="5">
        <f>SUMIFS(Despesas!$F:$F,Despesas!$J:$J,"&lt;="&amp;$A366,Despesas!$L:$L,"&gt;="&amp;$A366,Despesas!$C:$C,G$1,Despesas!$M:$M,"Mensal")+SUMIFS(Despesas!$F:$F,Despesas!$J:$J,"&lt;="&amp;$A366,Despesas!$L:$L,"&gt;="&amp;$A366,Despesas!$C:$C,G$1,Despesas!$M:$M,$B366)</f>
        <v>0</v>
      </c>
      <c r="H366" s="18">
        <f>SUMIFS(Despesas!$F:$F,Despesas!$J:$J,"&lt;="&amp;$A366,Despesas!$L:$L,"&gt;="&amp;$A366,Despesas!$C:$C,H$1,Despesas!$M:$M,"Mensal")+SUMIFS(Despesas!$F:$F,Despesas!$J:$J,"&lt;="&amp;$A366,Despesas!$L:$L,"&gt;="&amp;$A366,Despesas!$C:$C,H$1,Despesas!$M:$M,$B366)</f>
        <v>1000</v>
      </c>
      <c r="I366" s="18">
        <f>IF(Imóveis!$F$2="PRICE",IF(AND(Dados!$A366&gt;=Imóveis!$Q$2,Dados!$A366&lt;=Imóveis!$T$2),Imóveis!$U$2,0),IF((IF(AND(Dados!$A366&gt;=Imóveis!$Q$2,Dados!$A366&lt;=Imóveis!$T$2),Imóveis!$S$2-(DATEDIF(Imóveis!$Q$2,Dados!$A366,"m")),0))=0,0,((Imóveis!$N$2/Imóveis!$S$2)+((Imóveis!$N$2-((Imóveis!$S$2-(IF(AND(Dados!$A366&gt;=Imóveis!$Q$2,Dados!$A366&lt;=Imóveis!$T$2),Imóveis!$S$2-(DATEDIF(Imóveis!$Q$2,Dados!$A366,"m")),)))*(Imóveis!$N$2/Imóveis!$S$2)))*Imóveis!$P$2))))*IF(AND(Imóveis!$E$2&gt;0,Dados!$A366&gt;Imóveis!$E$2),0,1)</f>
        <v>0</v>
      </c>
      <c r="J366" s="18">
        <f>IF(Imóveis!$F$3="PRICE",IF(AND(Dados!$A366&gt;=Imóveis!$Q$3,Dados!$A366&lt;=Imóveis!$T$3),Imóveis!$U$3,0),IF((IF(AND(Dados!$A366&gt;=Imóveis!$Q$3,Dados!$A366&lt;=Imóveis!$T$3),Imóveis!$S$3-(DATEDIF(Imóveis!$Q$3,Dados!$A366,"m")),0))=0,0,((Imóveis!$N$3/Imóveis!$S$3)+((Imóveis!$N$3-((Imóveis!$S$3-(IF(AND(Dados!$A366&gt;=Imóveis!$Q$3,Dados!$A366&lt;=Imóveis!$T$3),Imóveis!$S$3-(DATEDIF(Imóveis!$Q$3,Dados!$A366,"m")),)))*(Imóveis!$N$3/Imóveis!$S$3)))*Imóveis!$P$3))))*IF(AND(Imóveis!$E$3&gt;0,Dados!$A366&gt;Imóveis!$E$3),0,1)</f>
        <v>0</v>
      </c>
      <c r="K366" s="18">
        <f>IF(Imóveis!$F$4="PRICE",IF(AND(Dados!$A366&gt;=Imóveis!$Q$4,Dados!$A366&lt;=Imóveis!$T$4),Imóveis!$U$4,0),IF((IF(AND(Dados!$A366&gt;=Imóveis!$Q$4,Dados!$A366&lt;=Imóveis!$T$4),Imóveis!$S$4-(DATEDIF(Imóveis!$Q$4,Dados!$A366,"m")),0))=0,0,((Imóveis!$N$4/Imóveis!$S$4)+((Imóveis!$N$4-((Imóveis!$S$4-(IF(AND(Dados!$A366&gt;=Imóveis!$Q$4,Dados!$A366&lt;=Imóveis!$T$4),Imóveis!$S$4-(DATEDIF(Imóveis!$Q$4,Dados!$A366,"m")),)))*(Imóveis!$N$4/Imóveis!$S$4)))*Imóveis!$P$4))))*IF(AND(Imóveis!$E$4&gt;0,Dados!$A366&gt;Imóveis!$E$4),0,1)</f>
        <v>0</v>
      </c>
      <c r="L366" s="18">
        <f>IF(Imóveis!$F$5="PRICE",IF(AND(Dados!$A366&gt;=Imóveis!$Q$5,Dados!$A366&lt;=Imóveis!$T$5),Imóveis!$U$5,0),IF((IF(AND(Dados!$A366&gt;=Imóveis!$Q$5,Dados!$A366&lt;=Imóveis!$T$5),Imóveis!$S$5-(DATEDIF(Imóveis!$Q$5,Dados!$A366,"m")),0))=0,0,((Imóveis!$N$5/Imóveis!$S$5)+((Imóveis!$N$5-((Imóveis!$S$5-(IF(AND(Dados!$A366 &gt;=Imóveis!$Q$5,Dados!$A366&lt;=Imóveis!$T$5),Imóveis!$S$5-(DATEDIF(Imóveis!$Q$5,Dados!$A366,"m")),)))*(Imóveis!$N$5/Imóveis!$S$5)))*Imóveis!$P$5))))*IF(AND(Imóveis!$E$5&gt;0,Dados!$A366&gt;Imóveis!$E$5),0,1)*Imóveis!$I$5</f>
        <v>0</v>
      </c>
      <c r="M366" s="18">
        <f>IF(Imóveis!$F$6="PRICE",IF(AND(Dados!$A366&gt;=Imóveis!$Q$6,Dados!$A366&lt;=Imóveis!$T$6),Imóveis!$U$6,0),IF((IF(AND(Dados!$A366&gt;=Imóveis!$Q$6,Dados!$A366&lt;=Imóveis!$T$6),Imóveis!$S$6-(DATEDIF(Imóveis!$Q$6,Dados!$A366,"m")),0))=0,0,((Imóveis!$N$6/Imóveis!$S$6)+((Imóveis!$N$6-((Imóveis!$S$6-(IF(AND(Dados!$A366&gt;=Imóveis!$Q$6,Dados!$A366&lt;=Imóveis!$T$6),Imóveis!$S$6-(DATEDIF(Imóveis!$Q$6,Dados!$A366,"m")),)))*(Imóveis!$N$6/Imóveis!$S$6)))*Imóveis!$P$6))))*IF(AND(Imóveis!$E$6&gt;0,Dados!$A366&gt;Imóveis!$E$6),0,1)*Imóveis!$I$6</f>
        <v>0</v>
      </c>
      <c r="N366" s="18">
        <f t="shared" si="45"/>
        <v>37000</v>
      </c>
      <c r="O366" s="18">
        <f>SUMIFS(Receitas!$F:$F,Receitas!$J:$J,"&lt;="&amp;$A366,Receitas!$L:$L,"&gt;="&amp;$A366,Receitas!$C:$C,O$1,Receitas!$M:$M,"Mensal")+SUMIFS(Receitas!$F:$F,Receitas!$J:$J,"&lt;="&amp;$A366,Receitas!$L:$L,"&gt;="&amp;$A366,Receitas!$C:$C,O$1,Receitas!$M:$M,$B366)</f>
        <v>0</v>
      </c>
      <c r="P366" s="18">
        <f>SUMIFS(Receitas!$F:$F,Receitas!$J:$J,"&lt;="&amp;$A366,Receitas!$L:$L,"&gt;="&amp;$A366,Receitas!$C:$C,P$1,Receitas!$M:$M,"Mensal")+SUMIFS(Receitas!$F:$F,Receitas!$J:$J,"&lt;="&amp;$A366,Receitas!$L:$L,"&gt;="&amp;$A366,Receitas!$C:$C,P$1,Receitas!$M:$M,$B366)</f>
        <v>0</v>
      </c>
      <c r="Q366" s="18">
        <f>SUMIFS(Receitas!$F:$F,Receitas!$J:$J,"&lt;="&amp;$A366,Receitas!$L:$L,"&gt;="&amp;$A366,Receitas!$C:$C,Q$1,Receitas!$M:$M,"Mensal")+SUMIFS(Receitas!$F:$F,Receitas!$J:$J,"&lt;="&amp;$A366,Receitas!$L:$L,"&gt;="&amp;$A366,Receitas!$C:$C,Q$1,Receitas!$M:$M,$B366)</f>
        <v>0</v>
      </c>
      <c r="R366" s="18" cm="1">
        <f t="array" ref="R366">(IF(AND(Membros!$F$2="Sim",A366&lt;=MAX(Membros!$E$2:$E$5)),Membros!K$2,IF(AND(A366&gt;=Membros!J$2,A366&lt;=MAX(Membros!$E$2:$E$5)),Membros!K$2,0))+IF(AND(Membros!$F$3="Sim",A366&lt;=MAX(Membros!$E$2:$E$5)),Membros!K$3,IF(AND(A366&gt;=Membros!J$3,A366&lt;=MAX(Membros!$E$2:$E$5)),Membros!K$3,0)))*IF(AND(COUNTIFS(Tabela3[Tipo],"Provedor",Tabela3[Simulação Seguro],"Sim")=2,A366&gt;=MAX(IF(Tabela3[Tipo]="Dependente",Tabela3[Expectativa de Vida (Data)]))),0,1)</f>
        <v>0</v>
      </c>
      <c r="S366" s="18">
        <f t="shared" si="46"/>
        <v>0</v>
      </c>
      <c r="U366" s="18">
        <f t="shared" ca="1" si="49"/>
        <v>24490848.779268328</v>
      </c>
      <c r="V366" s="18">
        <f>SUMIF(Imóveis!E:E,Dados!A:A,Imóveis!Z:Z)-SUMIF(Imóveis!E:E,Dados!A:A,Imóveis!Y:Y)</f>
        <v>0</v>
      </c>
      <c r="W366" s="18">
        <f>-SUMIF(Projetos!N:N,A366,Projetos!F:F)</f>
        <v>0</v>
      </c>
      <c r="X366" s="18">
        <f t="shared" si="43"/>
        <v>-37000</v>
      </c>
      <c r="Y366" s="26">
        <f ca="1">(U366*((Indicadores_Economicos!D$2+1)^(1/12)-1))</f>
        <v>80176.665948508453</v>
      </c>
      <c r="Z366" s="18">
        <f t="shared" ca="1" si="47"/>
        <v>24534025.445216838</v>
      </c>
      <c r="AA366" s="18">
        <f ca="1">Auxiliar_Projetos!E366</f>
        <v>1.2849125774745772E-9</v>
      </c>
      <c r="AB366" s="18">
        <f ca="1">Auxiliar_Projetos!K366</f>
        <v>9.883942903650586E-10</v>
      </c>
      <c r="AC366" s="18">
        <f ca="1">IF(Z366-AA366-AB366&gt;Investimentos!$C$14,Investimentos!$C$14,IF(Z366-AA366-AB366&lt;Investimentos!$C$14,Z366-AA366-AB366,0))</f>
        <v>300000</v>
      </c>
      <c r="AD366" s="18">
        <f t="shared" ca="1" si="48"/>
        <v>24234025.445216838</v>
      </c>
      <c r="AE366" s="18"/>
    </row>
    <row r="367" spans="1:31" x14ac:dyDescent="0.2">
      <c r="A367" s="4">
        <v>56766</v>
      </c>
      <c r="B367" s="5" t="str">
        <f t="shared" si="44"/>
        <v>junho</v>
      </c>
      <c r="C367" s="5" t="str">
        <f t="shared" si="50"/>
        <v>2055</v>
      </c>
      <c r="D367" s="5">
        <f>SUMIFS(Despesas!$F:$F,Despesas!$J:$J,"&lt;="&amp;$A367,Despesas!$L:$L,"&gt;="&amp;$A367,Despesas!$C:$C,D$1,Despesas!$M:$M,"Mensal")+SUMIFS(Despesas!$F:$F,Despesas!$J:$J,"&lt;="&amp;$A367,Despesas!$L:$L,"&gt;="&amp;$A367,Despesas!$C:$C,D$1,Despesas!$M:$M,$B367)</f>
        <v>23000</v>
      </c>
      <c r="E367" s="18">
        <f>SUMIFS(Despesas!$F:$F,Despesas!$J:$J,"&lt;="&amp;$A367,Despesas!$L:$L,"&gt;="&amp;$A367,Despesas!$C:$C,E$1,Despesas!$M:$M,"Mensal")+SUMIFS(Despesas!$F:$F,Despesas!$J:$J,"&lt;="&amp;$A367,Despesas!$L:$L,"&gt;="&amp;$A367,Despesas!$C:$C,E$1,Despesas!$M:$M,$B367)</f>
        <v>0</v>
      </c>
      <c r="F367" s="5">
        <f>SUMIFS(Despesas!$F:$F,Despesas!$J:$J,"&lt;="&amp;$A367,Despesas!$L:$L,"&gt;="&amp;$A367,Despesas!$C:$C,F$1,Despesas!$M:$M,"Mensal")+SUMIFS(Despesas!$F:$F,Despesas!$J:$J,"&lt;="&amp;$A367,Despesas!$L:$L,"&gt;="&amp;$A367,Despesas!$C:$C,F$1,Despesas!$M:$M,$B367)</f>
        <v>13000</v>
      </c>
      <c r="G367" s="5">
        <f>SUMIFS(Despesas!$F:$F,Despesas!$J:$J,"&lt;="&amp;$A367,Despesas!$L:$L,"&gt;="&amp;$A367,Despesas!$C:$C,G$1,Despesas!$M:$M,"Mensal")+SUMIFS(Despesas!$F:$F,Despesas!$J:$J,"&lt;="&amp;$A367,Despesas!$L:$L,"&gt;="&amp;$A367,Despesas!$C:$C,G$1,Despesas!$M:$M,$B367)</f>
        <v>0</v>
      </c>
      <c r="H367" s="18">
        <f>SUMIFS(Despesas!$F:$F,Despesas!$J:$J,"&lt;="&amp;$A367,Despesas!$L:$L,"&gt;="&amp;$A367,Despesas!$C:$C,H$1,Despesas!$M:$M,"Mensal")+SUMIFS(Despesas!$F:$F,Despesas!$J:$J,"&lt;="&amp;$A367,Despesas!$L:$L,"&gt;="&amp;$A367,Despesas!$C:$C,H$1,Despesas!$M:$M,$B367)</f>
        <v>1000</v>
      </c>
      <c r="I367" s="18">
        <f>IF(Imóveis!$F$2="PRICE",IF(AND(Dados!$A367&gt;=Imóveis!$Q$2,Dados!$A367&lt;=Imóveis!$T$2),Imóveis!$U$2,0),IF((IF(AND(Dados!$A367&gt;=Imóveis!$Q$2,Dados!$A367&lt;=Imóveis!$T$2),Imóveis!$S$2-(DATEDIF(Imóveis!$Q$2,Dados!$A367,"m")),0))=0,0,((Imóveis!$N$2/Imóveis!$S$2)+((Imóveis!$N$2-((Imóveis!$S$2-(IF(AND(Dados!$A367&gt;=Imóveis!$Q$2,Dados!$A367&lt;=Imóveis!$T$2),Imóveis!$S$2-(DATEDIF(Imóveis!$Q$2,Dados!$A367,"m")),)))*(Imóveis!$N$2/Imóveis!$S$2)))*Imóveis!$P$2))))*IF(AND(Imóveis!$E$2&gt;0,Dados!$A367&gt;Imóveis!$E$2),0,1)</f>
        <v>0</v>
      </c>
      <c r="J367" s="18">
        <f>IF(Imóveis!$F$3="PRICE",IF(AND(Dados!$A367&gt;=Imóveis!$Q$3,Dados!$A367&lt;=Imóveis!$T$3),Imóveis!$U$3,0),IF((IF(AND(Dados!$A367&gt;=Imóveis!$Q$3,Dados!$A367&lt;=Imóveis!$T$3),Imóveis!$S$3-(DATEDIF(Imóveis!$Q$3,Dados!$A367,"m")),0))=0,0,((Imóveis!$N$3/Imóveis!$S$3)+((Imóveis!$N$3-((Imóveis!$S$3-(IF(AND(Dados!$A367&gt;=Imóveis!$Q$3,Dados!$A367&lt;=Imóveis!$T$3),Imóveis!$S$3-(DATEDIF(Imóveis!$Q$3,Dados!$A367,"m")),)))*(Imóveis!$N$3/Imóveis!$S$3)))*Imóveis!$P$3))))*IF(AND(Imóveis!$E$3&gt;0,Dados!$A367&gt;Imóveis!$E$3),0,1)</f>
        <v>0</v>
      </c>
      <c r="K367" s="18">
        <f>IF(Imóveis!$F$4="PRICE",IF(AND(Dados!$A367&gt;=Imóveis!$Q$4,Dados!$A367&lt;=Imóveis!$T$4),Imóveis!$U$4,0),IF((IF(AND(Dados!$A367&gt;=Imóveis!$Q$4,Dados!$A367&lt;=Imóveis!$T$4),Imóveis!$S$4-(DATEDIF(Imóveis!$Q$4,Dados!$A367,"m")),0))=0,0,((Imóveis!$N$4/Imóveis!$S$4)+((Imóveis!$N$4-((Imóveis!$S$4-(IF(AND(Dados!$A367&gt;=Imóveis!$Q$4,Dados!$A367&lt;=Imóveis!$T$4),Imóveis!$S$4-(DATEDIF(Imóveis!$Q$4,Dados!$A367,"m")),)))*(Imóveis!$N$4/Imóveis!$S$4)))*Imóveis!$P$4))))*IF(AND(Imóveis!$E$4&gt;0,Dados!$A367&gt;Imóveis!$E$4),0,1)</f>
        <v>0</v>
      </c>
      <c r="L367" s="18">
        <f>IF(Imóveis!$F$5="PRICE",IF(AND(Dados!$A367&gt;=Imóveis!$Q$5,Dados!$A367&lt;=Imóveis!$T$5),Imóveis!$U$5,0),IF((IF(AND(Dados!$A367&gt;=Imóveis!$Q$5,Dados!$A367&lt;=Imóveis!$T$5),Imóveis!$S$5-(DATEDIF(Imóveis!$Q$5,Dados!$A367,"m")),0))=0,0,((Imóveis!$N$5/Imóveis!$S$5)+((Imóveis!$N$5-((Imóveis!$S$5-(IF(AND(Dados!$A367 &gt;=Imóveis!$Q$5,Dados!$A367&lt;=Imóveis!$T$5),Imóveis!$S$5-(DATEDIF(Imóveis!$Q$5,Dados!$A367,"m")),)))*(Imóveis!$N$5/Imóveis!$S$5)))*Imóveis!$P$5))))*IF(AND(Imóveis!$E$5&gt;0,Dados!$A367&gt;Imóveis!$E$5),0,1)*Imóveis!$I$5</f>
        <v>0</v>
      </c>
      <c r="M367" s="18">
        <f>IF(Imóveis!$F$6="PRICE",IF(AND(Dados!$A367&gt;=Imóveis!$Q$6,Dados!$A367&lt;=Imóveis!$T$6),Imóveis!$U$6,0),IF((IF(AND(Dados!$A367&gt;=Imóveis!$Q$6,Dados!$A367&lt;=Imóveis!$T$6),Imóveis!$S$6-(DATEDIF(Imóveis!$Q$6,Dados!$A367,"m")),0))=0,0,((Imóveis!$N$6/Imóveis!$S$6)+((Imóveis!$N$6-((Imóveis!$S$6-(IF(AND(Dados!$A367&gt;=Imóveis!$Q$6,Dados!$A367&lt;=Imóveis!$T$6),Imóveis!$S$6-(DATEDIF(Imóveis!$Q$6,Dados!$A367,"m")),)))*(Imóveis!$N$6/Imóveis!$S$6)))*Imóveis!$P$6))))*IF(AND(Imóveis!$E$6&gt;0,Dados!$A367&gt;Imóveis!$E$6),0,1)*Imóveis!$I$6</f>
        <v>0</v>
      </c>
      <c r="N367" s="18">
        <f t="shared" si="45"/>
        <v>37000</v>
      </c>
      <c r="O367" s="18">
        <f>SUMIFS(Receitas!$F:$F,Receitas!$J:$J,"&lt;="&amp;$A367,Receitas!$L:$L,"&gt;="&amp;$A367,Receitas!$C:$C,O$1,Receitas!$M:$M,"Mensal")+SUMIFS(Receitas!$F:$F,Receitas!$J:$J,"&lt;="&amp;$A367,Receitas!$L:$L,"&gt;="&amp;$A367,Receitas!$C:$C,O$1,Receitas!$M:$M,$B367)</f>
        <v>0</v>
      </c>
      <c r="P367" s="18">
        <f>SUMIFS(Receitas!$F:$F,Receitas!$J:$J,"&lt;="&amp;$A367,Receitas!$L:$L,"&gt;="&amp;$A367,Receitas!$C:$C,P$1,Receitas!$M:$M,"Mensal")+SUMIFS(Receitas!$F:$F,Receitas!$J:$J,"&lt;="&amp;$A367,Receitas!$L:$L,"&gt;="&amp;$A367,Receitas!$C:$C,P$1,Receitas!$M:$M,$B367)</f>
        <v>0</v>
      </c>
      <c r="Q367" s="18">
        <f>SUMIFS(Receitas!$F:$F,Receitas!$J:$J,"&lt;="&amp;$A367,Receitas!$L:$L,"&gt;="&amp;$A367,Receitas!$C:$C,Q$1,Receitas!$M:$M,"Mensal")+SUMIFS(Receitas!$F:$F,Receitas!$J:$J,"&lt;="&amp;$A367,Receitas!$L:$L,"&gt;="&amp;$A367,Receitas!$C:$C,Q$1,Receitas!$M:$M,$B367)</f>
        <v>0</v>
      </c>
      <c r="R367" s="18" cm="1">
        <f t="array" ref="R367">(IF(AND(Membros!$F$2="Sim",A367&lt;=MAX(Membros!$E$2:$E$5)),Membros!K$2,IF(AND(A367&gt;=Membros!J$2,A367&lt;=MAX(Membros!$E$2:$E$5)),Membros!K$2,0))+IF(AND(Membros!$F$3="Sim",A367&lt;=MAX(Membros!$E$2:$E$5)),Membros!K$3,IF(AND(A367&gt;=Membros!J$3,A367&lt;=MAX(Membros!$E$2:$E$5)),Membros!K$3,0)))*IF(AND(COUNTIFS(Tabela3[Tipo],"Provedor",Tabela3[Simulação Seguro],"Sim")=2,A367&gt;=MAX(IF(Tabela3[Tipo]="Dependente",Tabela3[Expectativa de Vida (Data)]))),0,1)</f>
        <v>0</v>
      </c>
      <c r="S367" s="18">
        <f t="shared" si="46"/>
        <v>0</v>
      </c>
      <c r="U367" s="18">
        <f t="shared" ca="1" si="49"/>
        <v>24534025.445216838</v>
      </c>
      <c r="V367" s="18">
        <f>SUMIF(Imóveis!E:E,Dados!A:A,Imóveis!Z:Z)-SUMIF(Imóveis!E:E,Dados!A:A,Imóveis!Y:Y)</f>
        <v>0</v>
      </c>
      <c r="W367" s="18">
        <f>-SUMIF(Projetos!N:N,A367,Projetos!F:F)</f>
        <v>0</v>
      </c>
      <c r="X367" s="18">
        <f t="shared" si="43"/>
        <v>-37000</v>
      </c>
      <c r="Y367" s="26">
        <f ca="1">(U367*((Indicadores_Economicos!D$2+1)^(1/12)-1))</f>
        <v>80318.015117486793</v>
      </c>
      <c r="Z367" s="18">
        <f t="shared" ca="1" si="47"/>
        <v>24577343.460334323</v>
      </c>
      <c r="AA367" s="18">
        <f ca="1">Auxiliar_Projetos!E367</f>
        <v>1.2891190468961035E-9</v>
      </c>
      <c r="AB367" s="18">
        <f ca="1">Auxiliar_Projetos!K367</f>
        <v>9.9163003607392494E-10</v>
      </c>
      <c r="AC367" s="18">
        <f ca="1">IF(Z367-AA367-AB367&gt;Investimentos!$C$14,Investimentos!$C$14,IF(Z367-AA367-AB367&lt;Investimentos!$C$14,Z367-AA367-AB367,0))</f>
        <v>300000</v>
      </c>
      <c r="AD367" s="18">
        <f t="shared" ca="1" si="48"/>
        <v>24277343.460334323</v>
      </c>
      <c r="AE367" s="18"/>
    </row>
    <row r="368" spans="1:31" x14ac:dyDescent="0.2">
      <c r="A368" s="4">
        <v>56796</v>
      </c>
      <c r="B368" s="5" t="str">
        <f t="shared" si="44"/>
        <v>julho</v>
      </c>
      <c r="C368" s="5" t="str">
        <f t="shared" si="50"/>
        <v>2055</v>
      </c>
      <c r="D368" s="5">
        <f>SUMIFS(Despesas!$F:$F,Despesas!$J:$J,"&lt;="&amp;$A368,Despesas!$L:$L,"&gt;="&amp;$A368,Despesas!$C:$C,D$1,Despesas!$M:$M,"Mensal")+SUMIFS(Despesas!$F:$F,Despesas!$J:$J,"&lt;="&amp;$A368,Despesas!$L:$L,"&gt;="&amp;$A368,Despesas!$C:$C,D$1,Despesas!$M:$M,$B368)</f>
        <v>23000</v>
      </c>
      <c r="E368" s="18">
        <f>SUMIFS(Despesas!$F:$F,Despesas!$J:$J,"&lt;="&amp;$A368,Despesas!$L:$L,"&gt;="&amp;$A368,Despesas!$C:$C,E$1,Despesas!$M:$M,"Mensal")+SUMIFS(Despesas!$F:$F,Despesas!$J:$J,"&lt;="&amp;$A368,Despesas!$L:$L,"&gt;="&amp;$A368,Despesas!$C:$C,E$1,Despesas!$M:$M,$B368)</f>
        <v>0</v>
      </c>
      <c r="F368" s="5">
        <f>SUMIFS(Despesas!$F:$F,Despesas!$J:$J,"&lt;="&amp;$A368,Despesas!$L:$L,"&gt;="&amp;$A368,Despesas!$C:$C,F$1,Despesas!$M:$M,"Mensal")+SUMIFS(Despesas!$F:$F,Despesas!$J:$J,"&lt;="&amp;$A368,Despesas!$L:$L,"&gt;="&amp;$A368,Despesas!$C:$C,F$1,Despesas!$M:$M,$B368)</f>
        <v>13000</v>
      </c>
      <c r="G368" s="5">
        <f ca="1">SUMIFS(Despesas!$F:$F,Despesas!$J:$J,"&lt;="&amp;$A368,Despesas!$L:$L,"&gt;="&amp;$A368,Despesas!$C:$C,G$1,Despesas!$M:$M,"Mensal")+SUMIFS(Despesas!$F:$F,Despesas!$J:$J,"&lt;="&amp;$A368,Despesas!$L:$L,"&gt;="&amp;$A368,Despesas!$C:$C,G$1,Despesas!$M:$M,$B368)</f>
        <v>55757</v>
      </c>
      <c r="H368" s="18">
        <f>SUMIFS(Despesas!$F:$F,Despesas!$J:$J,"&lt;="&amp;$A368,Despesas!$L:$L,"&gt;="&amp;$A368,Despesas!$C:$C,H$1,Despesas!$M:$M,"Mensal")+SUMIFS(Despesas!$F:$F,Despesas!$J:$J,"&lt;="&amp;$A368,Despesas!$L:$L,"&gt;="&amp;$A368,Despesas!$C:$C,H$1,Despesas!$M:$M,$B368)</f>
        <v>1000</v>
      </c>
      <c r="I368" s="18">
        <f>IF(Imóveis!$F$2="PRICE",IF(AND(Dados!$A368&gt;=Imóveis!$Q$2,Dados!$A368&lt;=Imóveis!$T$2),Imóveis!$U$2,0),IF((IF(AND(Dados!$A368&gt;=Imóveis!$Q$2,Dados!$A368&lt;=Imóveis!$T$2),Imóveis!$S$2-(DATEDIF(Imóveis!$Q$2,Dados!$A368,"m")),0))=0,0,((Imóveis!$N$2/Imóveis!$S$2)+((Imóveis!$N$2-((Imóveis!$S$2-(IF(AND(Dados!$A368&gt;=Imóveis!$Q$2,Dados!$A368&lt;=Imóveis!$T$2),Imóveis!$S$2-(DATEDIF(Imóveis!$Q$2,Dados!$A368,"m")),)))*(Imóveis!$N$2/Imóveis!$S$2)))*Imóveis!$P$2))))*IF(AND(Imóveis!$E$2&gt;0,Dados!$A368&gt;Imóveis!$E$2),0,1)</f>
        <v>0</v>
      </c>
      <c r="J368" s="18">
        <f>IF(Imóveis!$F$3="PRICE",IF(AND(Dados!$A368&gt;=Imóveis!$Q$3,Dados!$A368&lt;=Imóveis!$T$3),Imóveis!$U$3,0),IF((IF(AND(Dados!$A368&gt;=Imóveis!$Q$3,Dados!$A368&lt;=Imóveis!$T$3),Imóveis!$S$3-(DATEDIF(Imóveis!$Q$3,Dados!$A368,"m")),0))=0,0,((Imóveis!$N$3/Imóveis!$S$3)+((Imóveis!$N$3-((Imóveis!$S$3-(IF(AND(Dados!$A368&gt;=Imóveis!$Q$3,Dados!$A368&lt;=Imóveis!$T$3),Imóveis!$S$3-(DATEDIF(Imóveis!$Q$3,Dados!$A368,"m")),)))*(Imóveis!$N$3/Imóveis!$S$3)))*Imóveis!$P$3))))*IF(AND(Imóveis!$E$3&gt;0,Dados!$A368&gt;Imóveis!$E$3),0,1)</f>
        <v>0</v>
      </c>
      <c r="K368" s="18">
        <f>IF(Imóveis!$F$4="PRICE",IF(AND(Dados!$A368&gt;=Imóveis!$Q$4,Dados!$A368&lt;=Imóveis!$T$4),Imóveis!$U$4,0),IF((IF(AND(Dados!$A368&gt;=Imóveis!$Q$4,Dados!$A368&lt;=Imóveis!$T$4),Imóveis!$S$4-(DATEDIF(Imóveis!$Q$4,Dados!$A368,"m")),0))=0,0,((Imóveis!$N$4/Imóveis!$S$4)+((Imóveis!$N$4-((Imóveis!$S$4-(IF(AND(Dados!$A368&gt;=Imóveis!$Q$4,Dados!$A368&lt;=Imóveis!$T$4),Imóveis!$S$4-(DATEDIF(Imóveis!$Q$4,Dados!$A368,"m")),)))*(Imóveis!$N$4/Imóveis!$S$4)))*Imóveis!$P$4))))*IF(AND(Imóveis!$E$4&gt;0,Dados!$A368&gt;Imóveis!$E$4),0,1)</f>
        <v>0</v>
      </c>
      <c r="L368" s="18">
        <f>IF(Imóveis!$F$5="PRICE",IF(AND(Dados!$A368&gt;=Imóveis!$Q$5,Dados!$A368&lt;=Imóveis!$T$5),Imóveis!$U$5,0),IF((IF(AND(Dados!$A368&gt;=Imóveis!$Q$5,Dados!$A368&lt;=Imóveis!$T$5),Imóveis!$S$5-(DATEDIF(Imóveis!$Q$5,Dados!$A368,"m")),0))=0,0,((Imóveis!$N$5/Imóveis!$S$5)+((Imóveis!$N$5-((Imóveis!$S$5-(IF(AND(Dados!$A368 &gt;=Imóveis!$Q$5,Dados!$A368&lt;=Imóveis!$T$5),Imóveis!$S$5-(DATEDIF(Imóveis!$Q$5,Dados!$A368,"m")),)))*(Imóveis!$N$5/Imóveis!$S$5)))*Imóveis!$P$5))))*IF(AND(Imóveis!$E$5&gt;0,Dados!$A368&gt;Imóveis!$E$5),0,1)*Imóveis!$I$5</f>
        <v>0</v>
      </c>
      <c r="M368" s="18">
        <f>IF(Imóveis!$F$6="PRICE",IF(AND(Dados!$A368&gt;=Imóveis!$Q$6,Dados!$A368&lt;=Imóveis!$T$6),Imóveis!$U$6,0),IF((IF(AND(Dados!$A368&gt;=Imóveis!$Q$6,Dados!$A368&lt;=Imóveis!$T$6),Imóveis!$S$6-(DATEDIF(Imóveis!$Q$6,Dados!$A368,"m")),0))=0,0,((Imóveis!$N$6/Imóveis!$S$6)+((Imóveis!$N$6-((Imóveis!$S$6-(IF(AND(Dados!$A368&gt;=Imóveis!$Q$6,Dados!$A368&lt;=Imóveis!$T$6),Imóveis!$S$6-(DATEDIF(Imóveis!$Q$6,Dados!$A368,"m")),)))*(Imóveis!$N$6/Imóveis!$S$6)))*Imóveis!$P$6))))*IF(AND(Imóveis!$E$6&gt;0,Dados!$A368&gt;Imóveis!$E$6),0,1)*Imóveis!$I$6</f>
        <v>0</v>
      </c>
      <c r="N368" s="18">
        <f t="shared" ca="1" si="45"/>
        <v>92757</v>
      </c>
      <c r="O368" s="18">
        <f>SUMIFS(Receitas!$F:$F,Receitas!$J:$J,"&lt;="&amp;$A368,Receitas!$L:$L,"&gt;="&amp;$A368,Receitas!$C:$C,O$1,Receitas!$M:$M,"Mensal")+SUMIFS(Receitas!$F:$F,Receitas!$J:$J,"&lt;="&amp;$A368,Receitas!$L:$L,"&gt;="&amp;$A368,Receitas!$C:$C,O$1,Receitas!$M:$M,$B368)</f>
        <v>0</v>
      </c>
      <c r="P368" s="18">
        <f>SUMIFS(Receitas!$F:$F,Receitas!$J:$J,"&lt;="&amp;$A368,Receitas!$L:$L,"&gt;="&amp;$A368,Receitas!$C:$C,P$1,Receitas!$M:$M,"Mensal")+SUMIFS(Receitas!$F:$F,Receitas!$J:$J,"&lt;="&amp;$A368,Receitas!$L:$L,"&gt;="&amp;$A368,Receitas!$C:$C,P$1,Receitas!$M:$M,$B368)</f>
        <v>0</v>
      </c>
      <c r="Q368" s="18">
        <f>SUMIFS(Receitas!$F:$F,Receitas!$J:$J,"&lt;="&amp;$A368,Receitas!$L:$L,"&gt;="&amp;$A368,Receitas!$C:$C,Q$1,Receitas!$M:$M,"Mensal")+SUMIFS(Receitas!$F:$F,Receitas!$J:$J,"&lt;="&amp;$A368,Receitas!$L:$L,"&gt;="&amp;$A368,Receitas!$C:$C,Q$1,Receitas!$M:$M,$B368)</f>
        <v>0</v>
      </c>
      <c r="R368" s="18" cm="1">
        <f t="array" ref="R368">(IF(AND(Membros!$F$2="Sim",A368&lt;=MAX(Membros!$E$2:$E$5)),Membros!K$2,IF(AND(A368&gt;=Membros!J$2,A368&lt;=MAX(Membros!$E$2:$E$5)),Membros!K$2,0))+IF(AND(Membros!$F$3="Sim",A368&lt;=MAX(Membros!$E$2:$E$5)),Membros!K$3,IF(AND(A368&gt;=Membros!J$3,A368&lt;=MAX(Membros!$E$2:$E$5)),Membros!K$3,0)))*IF(AND(COUNTIFS(Tabela3[Tipo],"Provedor",Tabela3[Simulação Seguro],"Sim")=2,A368&gt;=MAX(IF(Tabela3[Tipo]="Dependente",Tabela3[Expectativa de Vida (Data)]))),0,1)</f>
        <v>0</v>
      </c>
      <c r="S368" s="18">
        <f t="shared" si="46"/>
        <v>0</v>
      </c>
      <c r="U368" s="18">
        <f t="shared" ca="1" si="49"/>
        <v>24577343.460334323</v>
      </c>
      <c r="V368" s="18">
        <f>SUMIF(Imóveis!E:E,Dados!A:A,Imóveis!Z:Z)-SUMIF(Imóveis!E:E,Dados!A:A,Imóveis!Y:Y)</f>
        <v>0</v>
      </c>
      <c r="W368" s="18">
        <f>-SUMIF(Projetos!N:N,A368,Projetos!F:F)</f>
        <v>0</v>
      </c>
      <c r="X368" s="18">
        <f t="shared" ca="1" si="43"/>
        <v>-92757</v>
      </c>
      <c r="Y368" s="26">
        <f ca="1">(U368*((Indicadores_Economicos!D$2+1)^(1/12)-1))</f>
        <v>80459.827026862797</v>
      </c>
      <c r="Z368" s="18">
        <f t="shared" ca="1" si="47"/>
        <v>24565046.287361186</v>
      </c>
      <c r="AA368" s="18">
        <f ca="1">Auxiliar_Projetos!E368</f>
        <v>1.2933392872039177E-9</v>
      </c>
      <c r="AB368" s="18">
        <f ca="1">Auxiliar_Projetos!K368</f>
        <v>9.9487637477224354E-10</v>
      </c>
      <c r="AC368" s="18">
        <f ca="1">IF(Z368-AA368-AB368&gt;Investimentos!$C$14,Investimentos!$C$14,IF(Z368-AA368-AB368&lt;Investimentos!$C$14,Z368-AA368-AB368,0))</f>
        <v>300000</v>
      </c>
      <c r="AD368" s="18">
        <f t="shared" ca="1" si="48"/>
        <v>24265046.287361186</v>
      </c>
      <c r="AE368" s="18"/>
    </row>
    <row r="369" spans="1:31" x14ac:dyDescent="0.2">
      <c r="A369" s="4">
        <v>56827</v>
      </c>
      <c r="B369" s="5" t="str">
        <f t="shared" si="44"/>
        <v>agosto</v>
      </c>
      <c r="C369" s="5" t="str">
        <f t="shared" si="50"/>
        <v>2055</v>
      </c>
      <c r="D369" s="5">
        <f>SUMIFS(Despesas!$F:$F,Despesas!$J:$J,"&lt;="&amp;$A369,Despesas!$L:$L,"&gt;="&amp;$A369,Despesas!$C:$C,D$1,Despesas!$M:$M,"Mensal")+SUMIFS(Despesas!$F:$F,Despesas!$J:$J,"&lt;="&amp;$A369,Despesas!$L:$L,"&gt;="&amp;$A369,Despesas!$C:$C,D$1,Despesas!$M:$M,$B369)</f>
        <v>23000</v>
      </c>
      <c r="E369" s="18">
        <f>SUMIFS(Despesas!$F:$F,Despesas!$J:$J,"&lt;="&amp;$A369,Despesas!$L:$L,"&gt;="&amp;$A369,Despesas!$C:$C,E$1,Despesas!$M:$M,"Mensal")+SUMIFS(Despesas!$F:$F,Despesas!$J:$J,"&lt;="&amp;$A369,Despesas!$L:$L,"&gt;="&amp;$A369,Despesas!$C:$C,E$1,Despesas!$M:$M,$B369)</f>
        <v>0</v>
      </c>
      <c r="F369" s="5">
        <f>SUMIFS(Despesas!$F:$F,Despesas!$J:$J,"&lt;="&amp;$A369,Despesas!$L:$L,"&gt;="&amp;$A369,Despesas!$C:$C,F$1,Despesas!$M:$M,"Mensal")+SUMIFS(Despesas!$F:$F,Despesas!$J:$J,"&lt;="&amp;$A369,Despesas!$L:$L,"&gt;="&amp;$A369,Despesas!$C:$C,F$1,Despesas!$M:$M,$B369)</f>
        <v>13000</v>
      </c>
      <c r="G369" s="5">
        <f>SUMIFS(Despesas!$F:$F,Despesas!$J:$J,"&lt;="&amp;$A369,Despesas!$L:$L,"&gt;="&amp;$A369,Despesas!$C:$C,G$1,Despesas!$M:$M,"Mensal")+SUMIFS(Despesas!$F:$F,Despesas!$J:$J,"&lt;="&amp;$A369,Despesas!$L:$L,"&gt;="&amp;$A369,Despesas!$C:$C,G$1,Despesas!$M:$M,$B369)</f>
        <v>0</v>
      </c>
      <c r="H369" s="18">
        <f>SUMIFS(Despesas!$F:$F,Despesas!$J:$J,"&lt;="&amp;$A369,Despesas!$L:$L,"&gt;="&amp;$A369,Despesas!$C:$C,H$1,Despesas!$M:$M,"Mensal")+SUMIFS(Despesas!$F:$F,Despesas!$J:$J,"&lt;="&amp;$A369,Despesas!$L:$L,"&gt;="&amp;$A369,Despesas!$C:$C,H$1,Despesas!$M:$M,$B369)</f>
        <v>1000</v>
      </c>
      <c r="I369" s="18">
        <f>IF(Imóveis!$F$2="PRICE",IF(AND(Dados!$A369&gt;=Imóveis!$Q$2,Dados!$A369&lt;=Imóveis!$T$2),Imóveis!$U$2,0),IF((IF(AND(Dados!$A369&gt;=Imóveis!$Q$2,Dados!$A369&lt;=Imóveis!$T$2),Imóveis!$S$2-(DATEDIF(Imóveis!$Q$2,Dados!$A369,"m")),0))=0,0,((Imóveis!$N$2/Imóveis!$S$2)+((Imóveis!$N$2-((Imóveis!$S$2-(IF(AND(Dados!$A369&gt;=Imóveis!$Q$2,Dados!$A369&lt;=Imóveis!$T$2),Imóveis!$S$2-(DATEDIF(Imóveis!$Q$2,Dados!$A369,"m")),)))*(Imóveis!$N$2/Imóveis!$S$2)))*Imóveis!$P$2))))*IF(AND(Imóveis!$E$2&gt;0,Dados!$A369&gt;Imóveis!$E$2),0,1)</f>
        <v>0</v>
      </c>
      <c r="J369" s="18">
        <f>IF(Imóveis!$F$3="PRICE",IF(AND(Dados!$A369&gt;=Imóveis!$Q$3,Dados!$A369&lt;=Imóveis!$T$3),Imóveis!$U$3,0),IF((IF(AND(Dados!$A369&gt;=Imóveis!$Q$3,Dados!$A369&lt;=Imóveis!$T$3),Imóveis!$S$3-(DATEDIF(Imóveis!$Q$3,Dados!$A369,"m")),0))=0,0,((Imóveis!$N$3/Imóveis!$S$3)+((Imóveis!$N$3-((Imóveis!$S$3-(IF(AND(Dados!$A369&gt;=Imóveis!$Q$3,Dados!$A369&lt;=Imóveis!$T$3),Imóveis!$S$3-(DATEDIF(Imóveis!$Q$3,Dados!$A369,"m")),)))*(Imóveis!$N$3/Imóveis!$S$3)))*Imóveis!$P$3))))*IF(AND(Imóveis!$E$3&gt;0,Dados!$A369&gt;Imóveis!$E$3),0,1)</f>
        <v>0</v>
      </c>
      <c r="K369" s="18">
        <f>IF(Imóveis!$F$4="PRICE",IF(AND(Dados!$A369&gt;=Imóveis!$Q$4,Dados!$A369&lt;=Imóveis!$T$4),Imóveis!$U$4,0),IF((IF(AND(Dados!$A369&gt;=Imóveis!$Q$4,Dados!$A369&lt;=Imóveis!$T$4),Imóveis!$S$4-(DATEDIF(Imóveis!$Q$4,Dados!$A369,"m")),0))=0,0,((Imóveis!$N$4/Imóveis!$S$4)+((Imóveis!$N$4-((Imóveis!$S$4-(IF(AND(Dados!$A369&gt;=Imóveis!$Q$4,Dados!$A369&lt;=Imóveis!$T$4),Imóveis!$S$4-(DATEDIF(Imóveis!$Q$4,Dados!$A369,"m")),)))*(Imóveis!$N$4/Imóveis!$S$4)))*Imóveis!$P$4))))*IF(AND(Imóveis!$E$4&gt;0,Dados!$A369&gt;Imóveis!$E$4),0,1)</f>
        <v>0</v>
      </c>
      <c r="L369" s="18">
        <f>IF(Imóveis!$F$5="PRICE",IF(AND(Dados!$A369&gt;=Imóveis!$Q$5,Dados!$A369&lt;=Imóveis!$T$5),Imóveis!$U$5,0),IF((IF(AND(Dados!$A369&gt;=Imóveis!$Q$5,Dados!$A369&lt;=Imóveis!$T$5),Imóveis!$S$5-(DATEDIF(Imóveis!$Q$5,Dados!$A369,"m")),0))=0,0,((Imóveis!$N$5/Imóveis!$S$5)+((Imóveis!$N$5-((Imóveis!$S$5-(IF(AND(Dados!$A369 &gt;=Imóveis!$Q$5,Dados!$A369&lt;=Imóveis!$T$5),Imóveis!$S$5-(DATEDIF(Imóveis!$Q$5,Dados!$A369,"m")),)))*(Imóveis!$N$5/Imóveis!$S$5)))*Imóveis!$P$5))))*IF(AND(Imóveis!$E$5&gt;0,Dados!$A369&gt;Imóveis!$E$5),0,1)*Imóveis!$I$5</f>
        <v>0</v>
      </c>
      <c r="M369" s="18">
        <f>IF(Imóveis!$F$6="PRICE",IF(AND(Dados!$A369&gt;=Imóveis!$Q$6,Dados!$A369&lt;=Imóveis!$T$6),Imóveis!$U$6,0),IF((IF(AND(Dados!$A369&gt;=Imóveis!$Q$6,Dados!$A369&lt;=Imóveis!$T$6),Imóveis!$S$6-(DATEDIF(Imóveis!$Q$6,Dados!$A369,"m")),0))=0,0,((Imóveis!$N$6/Imóveis!$S$6)+((Imóveis!$N$6-((Imóveis!$S$6-(IF(AND(Dados!$A369&gt;=Imóveis!$Q$6,Dados!$A369&lt;=Imóveis!$T$6),Imóveis!$S$6-(DATEDIF(Imóveis!$Q$6,Dados!$A369,"m")),)))*(Imóveis!$N$6/Imóveis!$S$6)))*Imóveis!$P$6))))*IF(AND(Imóveis!$E$6&gt;0,Dados!$A369&gt;Imóveis!$E$6),0,1)*Imóveis!$I$6</f>
        <v>0</v>
      </c>
      <c r="N369" s="18">
        <f t="shared" si="45"/>
        <v>37000</v>
      </c>
      <c r="O369" s="18">
        <f>SUMIFS(Receitas!$F:$F,Receitas!$J:$J,"&lt;="&amp;$A369,Receitas!$L:$L,"&gt;="&amp;$A369,Receitas!$C:$C,O$1,Receitas!$M:$M,"Mensal")+SUMIFS(Receitas!$F:$F,Receitas!$J:$J,"&lt;="&amp;$A369,Receitas!$L:$L,"&gt;="&amp;$A369,Receitas!$C:$C,O$1,Receitas!$M:$M,$B369)</f>
        <v>0</v>
      </c>
      <c r="P369" s="18">
        <f>SUMIFS(Receitas!$F:$F,Receitas!$J:$J,"&lt;="&amp;$A369,Receitas!$L:$L,"&gt;="&amp;$A369,Receitas!$C:$C,P$1,Receitas!$M:$M,"Mensal")+SUMIFS(Receitas!$F:$F,Receitas!$J:$J,"&lt;="&amp;$A369,Receitas!$L:$L,"&gt;="&amp;$A369,Receitas!$C:$C,P$1,Receitas!$M:$M,$B369)</f>
        <v>0</v>
      </c>
      <c r="Q369" s="18">
        <f>SUMIFS(Receitas!$F:$F,Receitas!$J:$J,"&lt;="&amp;$A369,Receitas!$L:$L,"&gt;="&amp;$A369,Receitas!$C:$C,Q$1,Receitas!$M:$M,"Mensal")+SUMIFS(Receitas!$F:$F,Receitas!$J:$J,"&lt;="&amp;$A369,Receitas!$L:$L,"&gt;="&amp;$A369,Receitas!$C:$C,Q$1,Receitas!$M:$M,$B369)</f>
        <v>0</v>
      </c>
      <c r="R369" s="18" cm="1">
        <f t="array" ref="R369">(IF(AND(Membros!$F$2="Sim",A369&lt;=MAX(Membros!$E$2:$E$5)),Membros!K$2,IF(AND(A369&gt;=Membros!J$2,A369&lt;=MAX(Membros!$E$2:$E$5)),Membros!K$2,0))+IF(AND(Membros!$F$3="Sim",A369&lt;=MAX(Membros!$E$2:$E$5)),Membros!K$3,IF(AND(A369&gt;=Membros!J$3,A369&lt;=MAX(Membros!$E$2:$E$5)),Membros!K$3,0)))*IF(AND(COUNTIFS(Tabela3[Tipo],"Provedor",Tabela3[Simulação Seguro],"Sim")=2,A369&gt;=MAX(IF(Tabela3[Tipo]="Dependente",Tabela3[Expectativa de Vida (Data)]))),0,1)</f>
        <v>0</v>
      </c>
      <c r="S369" s="18">
        <f t="shared" si="46"/>
        <v>0</v>
      </c>
      <c r="U369" s="18">
        <f t="shared" ca="1" si="49"/>
        <v>24565046.287361186</v>
      </c>
      <c r="V369" s="18">
        <f>SUMIF(Imóveis!E:E,Dados!A:A,Imóveis!Z:Z)-SUMIF(Imóveis!E:E,Dados!A:A,Imóveis!Y:Y)</f>
        <v>0</v>
      </c>
      <c r="W369" s="18">
        <f>-SUMIF(Projetos!N:N,A369,Projetos!F:F)</f>
        <v>0</v>
      </c>
      <c r="X369" s="18">
        <f t="shared" si="43"/>
        <v>-37000</v>
      </c>
      <c r="Y369" s="26">
        <f ca="1">(U369*((Indicadores_Economicos!D$2+1)^(1/12)-1))</f>
        <v>80419.569282492055</v>
      </c>
      <c r="Z369" s="18">
        <f t="shared" ca="1" si="47"/>
        <v>24608465.856643677</v>
      </c>
      <c r="AA369" s="18">
        <f ca="1">Auxiliar_Projetos!E369</f>
        <v>1.2975733434803181E-9</v>
      </c>
      <c r="AB369" s="18">
        <f ca="1">Auxiliar_Projetos!K369</f>
        <v>9.9813334113870524E-10</v>
      </c>
      <c r="AC369" s="18">
        <f ca="1">IF(Z369-AA369-AB369&gt;Investimentos!$C$14,Investimentos!$C$14,IF(Z369-AA369-AB369&lt;Investimentos!$C$14,Z369-AA369-AB369,0))</f>
        <v>300000</v>
      </c>
      <c r="AD369" s="18">
        <f t="shared" ca="1" si="48"/>
        <v>24308465.856643677</v>
      </c>
      <c r="AE369" s="18"/>
    </row>
    <row r="370" spans="1:31" x14ac:dyDescent="0.2">
      <c r="A370" s="4">
        <v>56858</v>
      </c>
      <c r="B370" s="5" t="str">
        <f t="shared" si="44"/>
        <v>setembro</v>
      </c>
      <c r="C370" s="5" t="str">
        <f t="shared" si="50"/>
        <v>2055</v>
      </c>
      <c r="D370" s="5">
        <f>SUMIFS(Despesas!$F:$F,Despesas!$J:$J,"&lt;="&amp;$A370,Despesas!$L:$L,"&gt;="&amp;$A370,Despesas!$C:$C,D$1,Despesas!$M:$M,"Mensal")+SUMIFS(Despesas!$F:$F,Despesas!$J:$J,"&lt;="&amp;$A370,Despesas!$L:$L,"&gt;="&amp;$A370,Despesas!$C:$C,D$1,Despesas!$M:$M,$B370)</f>
        <v>23000</v>
      </c>
      <c r="E370" s="18">
        <f>SUMIFS(Despesas!$F:$F,Despesas!$J:$J,"&lt;="&amp;$A370,Despesas!$L:$L,"&gt;="&amp;$A370,Despesas!$C:$C,E$1,Despesas!$M:$M,"Mensal")+SUMIFS(Despesas!$F:$F,Despesas!$J:$J,"&lt;="&amp;$A370,Despesas!$L:$L,"&gt;="&amp;$A370,Despesas!$C:$C,E$1,Despesas!$M:$M,$B370)</f>
        <v>0</v>
      </c>
      <c r="F370" s="5">
        <f>SUMIFS(Despesas!$F:$F,Despesas!$J:$J,"&lt;="&amp;$A370,Despesas!$L:$L,"&gt;="&amp;$A370,Despesas!$C:$C,F$1,Despesas!$M:$M,"Mensal")+SUMIFS(Despesas!$F:$F,Despesas!$J:$J,"&lt;="&amp;$A370,Despesas!$L:$L,"&gt;="&amp;$A370,Despesas!$C:$C,F$1,Despesas!$M:$M,$B370)</f>
        <v>13000</v>
      </c>
      <c r="G370" s="5">
        <f>SUMIFS(Despesas!$F:$F,Despesas!$J:$J,"&lt;="&amp;$A370,Despesas!$L:$L,"&gt;="&amp;$A370,Despesas!$C:$C,G$1,Despesas!$M:$M,"Mensal")+SUMIFS(Despesas!$F:$F,Despesas!$J:$J,"&lt;="&amp;$A370,Despesas!$L:$L,"&gt;="&amp;$A370,Despesas!$C:$C,G$1,Despesas!$M:$M,$B370)</f>
        <v>0</v>
      </c>
      <c r="H370" s="18">
        <f>SUMIFS(Despesas!$F:$F,Despesas!$J:$J,"&lt;="&amp;$A370,Despesas!$L:$L,"&gt;="&amp;$A370,Despesas!$C:$C,H$1,Despesas!$M:$M,"Mensal")+SUMIFS(Despesas!$F:$F,Despesas!$J:$J,"&lt;="&amp;$A370,Despesas!$L:$L,"&gt;="&amp;$A370,Despesas!$C:$C,H$1,Despesas!$M:$M,$B370)</f>
        <v>1000</v>
      </c>
      <c r="I370" s="18">
        <f>IF(Imóveis!$F$2="PRICE",IF(AND(Dados!$A370&gt;=Imóveis!$Q$2,Dados!$A370&lt;=Imóveis!$T$2),Imóveis!$U$2,0),IF((IF(AND(Dados!$A370&gt;=Imóveis!$Q$2,Dados!$A370&lt;=Imóveis!$T$2),Imóveis!$S$2-(DATEDIF(Imóveis!$Q$2,Dados!$A370,"m")),0))=0,0,((Imóveis!$N$2/Imóveis!$S$2)+((Imóveis!$N$2-((Imóveis!$S$2-(IF(AND(Dados!$A370&gt;=Imóveis!$Q$2,Dados!$A370&lt;=Imóveis!$T$2),Imóveis!$S$2-(DATEDIF(Imóveis!$Q$2,Dados!$A370,"m")),)))*(Imóveis!$N$2/Imóveis!$S$2)))*Imóveis!$P$2))))*IF(AND(Imóveis!$E$2&gt;0,Dados!$A370&gt;Imóveis!$E$2),0,1)</f>
        <v>0</v>
      </c>
      <c r="J370" s="18">
        <f>IF(Imóveis!$F$3="PRICE",IF(AND(Dados!$A370&gt;=Imóveis!$Q$3,Dados!$A370&lt;=Imóveis!$T$3),Imóveis!$U$3,0),IF((IF(AND(Dados!$A370&gt;=Imóveis!$Q$3,Dados!$A370&lt;=Imóveis!$T$3),Imóveis!$S$3-(DATEDIF(Imóveis!$Q$3,Dados!$A370,"m")),0))=0,0,((Imóveis!$N$3/Imóveis!$S$3)+((Imóveis!$N$3-((Imóveis!$S$3-(IF(AND(Dados!$A370&gt;=Imóveis!$Q$3,Dados!$A370&lt;=Imóveis!$T$3),Imóveis!$S$3-(DATEDIF(Imóveis!$Q$3,Dados!$A370,"m")),)))*(Imóveis!$N$3/Imóveis!$S$3)))*Imóveis!$P$3))))*IF(AND(Imóveis!$E$3&gt;0,Dados!$A370&gt;Imóveis!$E$3),0,1)</f>
        <v>0</v>
      </c>
      <c r="K370" s="18">
        <f>IF(Imóveis!$F$4="PRICE",IF(AND(Dados!$A370&gt;=Imóveis!$Q$4,Dados!$A370&lt;=Imóveis!$T$4),Imóveis!$U$4,0),IF((IF(AND(Dados!$A370&gt;=Imóveis!$Q$4,Dados!$A370&lt;=Imóveis!$T$4),Imóveis!$S$4-(DATEDIF(Imóveis!$Q$4,Dados!$A370,"m")),0))=0,0,((Imóveis!$N$4/Imóveis!$S$4)+((Imóveis!$N$4-((Imóveis!$S$4-(IF(AND(Dados!$A370&gt;=Imóveis!$Q$4,Dados!$A370&lt;=Imóveis!$T$4),Imóveis!$S$4-(DATEDIF(Imóveis!$Q$4,Dados!$A370,"m")),)))*(Imóveis!$N$4/Imóveis!$S$4)))*Imóveis!$P$4))))*IF(AND(Imóveis!$E$4&gt;0,Dados!$A370&gt;Imóveis!$E$4),0,1)</f>
        <v>0</v>
      </c>
      <c r="L370" s="18">
        <f>IF(Imóveis!$F$5="PRICE",IF(AND(Dados!$A370&gt;=Imóveis!$Q$5,Dados!$A370&lt;=Imóveis!$T$5),Imóveis!$U$5,0),IF((IF(AND(Dados!$A370&gt;=Imóveis!$Q$5,Dados!$A370&lt;=Imóveis!$T$5),Imóveis!$S$5-(DATEDIF(Imóveis!$Q$5,Dados!$A370,"m")),0))=0,0,((Imóveis!$N$5/Imóveis!$S$5)+((Imóveis!$N$5-((Imóveis!$S$5-(IF(AND(Dados!$A370 &gt;=Imóveis!$Q$5,Dados!$A370&lt;=Imóveis!$T$5),Imóveis!$S$5-(DATEDIF(Imóveis!$Q$5,Dados!$A370,"m")),)))*(Imóveis!$N$5/Imóveis!$S$5)))*Imóveis!$P$5))))*IF(AND(Imóveis!$E$5&gt;0,Dados!$A370&gt;Imóveis!$E$5),0,1)*Imóveis!$I$5</f>
        <v>0</v>
      </c>
      <c r="M370" s="18">
        <f>IF(Imóveis!$F$6="PRICE",IF(AND(Dados!$A370&gt;=Imóveis!$Q$6,Dados!$A370&lt;=Imóveis!$T$6),Imóveis!$U$6,0),IF((IF(AND(Dados!$A370&gt;=Imóveis!$Q$6,Dados!$A370&lt;=Imóveis!$T$6),Imóveis!$S$6-(DATEDIF(Imóveis!$Q$6,Dados!$A370,"m")),0))=0,0,((Imóveis!$N$6/Imóveis!$S$6)+((Imóveis!$N$6-((Imóveis!$S$6-(IF(AND(Dados!$A370&gt;=Imóveis!$Q$6,Dados!$A370&lt;=Imóveis!$T$6),Imóveis!$S$6-(DATEDIF(Imóveis!$Q$6,Dados!$A370,"m")),)))*(Imóveis!$N$6/Imóveis!$S$6)))*Imóveis!$P$6))))*IF(AND(Imóveis!$E$6&gt;0,Dados!$A370&gt;Imóveis!$E$6),0,1)*Imóveis!$I$6</f>
        <v>0</v>
      </c>
      <c r="N370" s="18">
        <f t="shared" si="45"/>
        <v>37000</v>
      </c>
      <c r="O370" s="18">
        <f>SUMIFS(Receitas!$F:$F,Receitas!$J:$J,"&lt;="&amp;$A370,Receitas!$L:$L,"&gt;="&amp;$A370,Receitas!$C:$C,O$1,Receitas!$M:$M,"Mensal")+SUMIFS(Receitas!$F:$F,Receitas!$J:$J,"&lt;="&amp;$A370,Receitas!$L:$L,"&gt;="&amp;$A370,Receitas!$C:$C,O$1,Receitas!$M:$M,$B370)</f>
        <v>0</v>
      </c>
      <c r="P370" s="18">
        <f>SUMIFS(Receitas!$F:$F,Receitas!$J:$J,"&lt;="&amp;$A370,Receitas!$L:$L,"&gt;="&amp;$A370,Receitas!$C:$C,P$1,Receitas!$M:$M,"Mensal")+SUMIFS(Receitas!$F:$F,Receitas!$J:$J,"&lt;="&amp;$A370,Receitas!$L:$L,"&gt;="&amp;$A370,Receitas!$C:$C,P$1,Receitas!$M:$M,$B370)</f>
        <v>0</v>
      </c>
      <c r="Q370" s="18">
        <f>SUMIFS(Receitas!$F:$F,Receitas!$J:$J,"&lt;="&amp;$A370,Receitas!$L:$L,"&gt;="&amp;$A370,Receitas!$C:$C,Q$1,Receitas!$M:$M,"Mensal")+SUMIFS(Receitas!$F:$F,Receitas!$J:$J,"&lt;="&amp;$A370,Receitas!$L:$L,"&gt;="&amp;$A370,Receitas!$C:$C,Q$1,Receitas!$M:$M,$B370)</f>
        <v>0</v>
      </c>
      <c r="R370" s="18" cm="1">
        <f t="array" ref="R370">(IF(AND(Membros!$F$2="Sim",A370&lt;=MAX(Membros!$E$2:$E$5)),Membros!K$2,IF(AND(A370&gt;=Membros!J$2,A370&lt;=MAX(Membros!$E$2:$E$5)),Membros!K$2,0))+IF(AND(Membros!$F$3="Sim",A370&lt;=MAX(Membros!$E$2:$E$5)),Membros!K$3,IF(AND(A370&gt;=Membros!J$3,A370&lt;=MAX(Membros!$E$2:$E$5)),Membros!K$3,0)))*IF(AND(COUNTIFS(Tabela3[Tipo],"Provedor",Tabela3[Simulação Seguro],"Sim")=2,A370&gt;=MAX(IF(Tabela3[Tipo]="Dependente",Tabela3[Expectativa de Vida (Data)]))),0,1)</f>
        <v>0</v>
      </c>
      <c r="S370" s="18">
        <f t="shared" si="46"/>
        <v>0</v>
      </c>
      <c r="U370" s="18">
        <f t="shared" ca="1" si="49"/>
        <v>24608465.856643677</v>
      </c>
      <c r="V370" s="18">
        <f>SUMIF(Imóveis!E:E,Dados!A:A,Imóveis!Z:Z)-SUMIF(Imóveis!E:E,Dados!A:A,Imóveis!Y:Y)</f>
        <v>0</v>
      </c>
      <c r="W370" s="18">
        <f>-SUMIF(Projetos!N:N,A370,Projetos!F:F)</f>
        <v>0</v>
      </c>
      <c r="X370" s="18">
        <f t="shared" si="43"/>
        <v>-37000</v>
      </c>
      <c r="Y370" s="26">
        <f ca="1">(U370*((Indicadores_Economicos!D$2+1)^(1/12)-1))</f>
        <v>80561.71365377809</v>
      </c>
      <c r="Z370" s="18">
        <f t="shared" ca="1" si="47"/>
        <v>24652027.570297454</v>
      </c>
      <c r="AA370" s="18">
        <f ca="1">Auxiliar_Projetos!E370</f>
        <v>1.3018212609551905E-9</v>
      </c>
      <c r="AB370" s="18">
        <f ca="1">Auxiliar_Projetos!K370</f>
        <v>1.0014009699655302E-9</v>
      </c>
      <c r="AC370" s="18">
        <f ca="1">IF(Z370-AA370-AB370&gt;Investimentos!$C$14,Investimentos!$C$14,IF(Z370-AA370-AB370&lt;Investimentos!$C$14,Z370-AA370-AB370,0))</f>
        <v>300000</v>
      </c>
      <c r="AD370" s="18">
        <f t="shared" ca="1" si="48"/>
        <v>24352027.570297454</v>
      </c>
      <c r="AE370" s="18"/>
    </row>
    <row r="371" spans="1:31" x14ac:dyDescent="0.2">
      <c r="A371" s="4">
        <v>56888</v>
      </c>
      <c r="B371" s="5" t="str">
        <f t="shared" si="44"/>
        <v>outubro</v>
      </c>
      <c r="C371" s="5" t="str">
        <f t="shared" si="50"/>
        <v>2055</v>
      </c>
      <c r="D371" s="5">
        <f>SUMIFS(Despesas!$F:$F,Despesas!$J:$J,"&lt;="&amp;$A371,Despesas!$L:$L,"&gt;="&amp;$A371,Despesas!$C:$C,D$1,Despesas!$M:$M,"Mensal")+SUMIFS(Despesas!$F:$F,Despesas!$J:$J,"&lt;="&amp;$A371,Despesas!$L:$L,"&gt;="&amp;$A371,Despesas!$C:$C,D$1,Despesas!$M:$M,$B371)</f>
        <v>23000</v>
      </c>
      <c r="E371" s="18">
        <f>SUMIFS(Despesas!$F:$F,Despesas!$J:$J,"&lt;="&amp;$A371,Despesas!$L:$L,"&gt;="&amp;$A371,Despesas!$C:$C,E$1,Despesas!$M:$M,"Mensal")+SUMIFS(Despesas!$F:$F,Despesas!$J:$J,"&lt;="&amp;$A371,Despesas!$L:$L,"&gt;="&amp;$A371,Despesas!$C:$C,E$1,Despesas!$M:$M,$B371)</f>
        <v>0</v>
      </c>
      <c r="F371" s="5">
        <f>SUMIFS(Despesas!$F:$F,Despesas!$J:$J,"&lt;="&amp;$A371,Despesas!$L:$L,"&gt;="&amp;$A371,Despesas!$C:$C,F$1,Despesas!$M:$M,"Mensal")+SUMIFS(Despesas!$F:$F,Despesas!$J:$J,"&lt;="&amp;$A371,Despesas!$L:$L,"&gt;="&amp;$A371,Despesas!$C:$C,F$1,Despesas!$M:$M,$B371)</f>
        <v>13000</v>
      </c>
      <c r="G371" s="5">
        <f>SUMIFS(Despesas!$F:$F,Despesas!$J:$J,"&lt;="&amp;$A371,Despesas!$L:$L,"&gt;="&amp;$A371,Despesas!$C:$C,G$1,Despesas!$M:$M,"Mensal")+SUMIFS(Despesas!$F:$F,Despesas!$J:$J,"&lt;="&amp;$A371,Despesas!$L:$L,"&gt;="&amp;$A371,Despesas!$C:$C,G$1,Despesas!$M:$M,$B371)</f>
        <v>0</v>
      </c>
      <c r="H371" s="18">
        <f>SUMIFS(Despesas!$F:$F,Despesas!$J:$J,"&lt;="&amp;$A371,Despesas!$L:$L,"&gt;="&amp;$A371,Despesas!$C:$C,H$1,Despesas!$M:$M,"Mensal")+SUMIFS(Despesas!$F:$F,Despesas!$J:$J,"&lt;="&amp;$A371,Despesas!$L:$L,"&gt;="&amp;$A371,Despesas!$C:$C,H$1,Despesas!$M:$M,$B371)</f>
        <v>1000</v>
      </c>
      <c r="I371" s="18">
        <f>IF(Imóveis!$F$2="PRICE",IF(AND(Dados!$A371&gt;=Imóveis!$Q$2,Dados!$A371&lt;=Imóveis!$T$2),Imóveis!$U$2,0),IF((IF(AND(Dados!$A371&gt;=Imóveis!$Q$2,Dados!$A371&lt;=Imóveis!$T$2),Imóveis!$S$2-(DATEDIF(Imóveis!$Q$2,Dados!$A371,"m")),0))=0,0,((Imóveis!$N$2/Imóveis!$S$2)+((Imóveis!$N$2-((Imóveis!$S$2-(IF(AND(Dados!$A371&gt;=Imóveis!$Q$2,Dados!$A371&lt;=Imóveis!$T$2),Imóveis!$S$2-(DATEDIF(Imóveis!$Q$2,Dados!$A371,"m")),)))*(Imóveis!$N$2/Imóveis!$S$2)))*Imóveis!$P$2))))*IF(AND(Imóveis!$E$2&gt;0,Dados!$A371&gt;Imóveis!$E$2),0,1)</f>
        <v>0</v>
      </c>
      <c r="J371" s="18">
        <f>IF(Imóveis!$F$3="PRICE",IF(AND(Dados!$A371&gt;=Imóveis!$Q$3,Dados!$A371&lt;=Imóveis!$T$3),Imóveis!$U$3,0),IF((IF(AND(Dados!$A371&gt;=Imóveis!$Q$3,Dados!$A371&lt;=Imóveis!$T$3),Imóveis!$S$3-(DATEDIF(Imóveis!$Q$3,Dados!$A371,"m")),0))=0,0,((Imóveis!$N$3/Imóveis!$S$3)+((Imóveis!$N$3-((Imóveis!$S$3-(IF(AND(Dados!$A371&gt;=Imóveis!$Q$3,Dados!$A371&lt;=Imóveis!$T$3),Imóveis!$S$3-(DATEDIF(Imóveis!$Q$3,Dados!$A371,"m")),)))*(Imóveis!$N$3/Imóveis!$S$3)))*Imóveis!$P$3))))*IF(AND(Imóveis!$E$3&gt;0,Dados!$A371&gt;Imóveis!$E$3),0,1)</f>
        <v>0</v>
      </c>
      <c r="K371" s="18">
        <f>IF(Imóveis!$F$4="PRICE",IF(AND(Dados!$A371&gt;=Imóveis!$Q$4,Dados!$A371&lt;=Imóveis!$T$4),Imóveis!$U$4,0),IF((IF(AND(Dados!$A371&gt;=Imóveis!$Q$4,Dados!$A371&lt;=Imóveis!$T$4),Imóveis!$S$4-(DATEDIF(Imóveis!$Q$4,Dados!$A371,"m")),0))=0,0,((Imóveis!$N$4/Imóveis!$S$4)+((Imóveis!$N$4-((Imóveis!$S$4-(IF(AND(Dados!$A371&gt;=Imóveis!$Q$4,Dados!$A371&lt;=Imóveis!$T$4),Imóveis!$S$4-(DATEDIF(Imóveis!$Q$4,Dados!$A371,"m")),)))*(Imóveis!$N$4/Imóveis!$S$4)))*Imóveis!$P$4))))*IF(AND(Imóveis!$E$4&gt;0,Dados!$A371&gt;Imóveis!$E$4),0,1)</f>
        <v>0</v>
      </c>
      <c r="L371" s="18">
        <f>IF(Imóveis!$F$5="PRICE",IF(AND(Dados!$A371&gt;=Imóveis!$Q$5,Dados!$A371&lt;=Imóveis!$T$5),Imóveis!$U$5,0),IF((IF(AND(Dados!$A371&gt;=Imóveis!$Q$5,Dados!$A371&lt;=Imóveis!$T$5),Imóveis!$S$5-(DATEDIF(Imóveis!$Q$5,Dados!$A371,"m")),0))=0,0,((Imóveis!$N$5/Imóveis!$S$5)+((Imóveis!$N$5-((Imóveis!$S$5-(IF(AND(Dados!$A371 &gt;=Imóveis!$Q$5,Dados!$A371&lt;=Imóveis!$T$5),Imóveis!$S$5-(DATEDIF(Imóveis!$Q$5,Dados!$A371,"m")),)))*(Imóveis!$N$5/Imóveis!$S$5)))*Imóveis!$P$5))))*IF(AND(Imóveis!$E$5&gt;0,Dados!$A371&gt;Imóveis!$E$5),0,1)*Imóveis!$I$5</f>
        <v>0</v>
      </c>
      <c r="M371" s="18">
        <f>IF(Imóveis!$F$6="PRICE",IF(AND(Dados!$A371&gt;=Imóveis!$Q$6,Dados!$A371&lt;=Imóveis!$T$6),Imóveis!$U$6,0),IF((IF(AND(Dados!$A371&gt;=Imóveis!$Q$6,Dados!$A371&lt;=Imóveis!$T$6),Imóveis!$S$6-(DATEDIF(Imóveis!$Q$6,Dados!$A371,"m")),0))=0,0,((Imóveis!$N$6/Imóveis!$S$6)+((Imóveis!$N$6-((Imóveis!$S$6-(IF(AND(Dados!$A371&gt;=Imóveis!$Q$6,Dados!$A371&lt;=Imóveis!$T$6),Imóveis!$S$6-(DATEDIF(Imóveis!$Q$6,Dados!$A371,"m")),)))*(Imóveis!$N$6/Imóveis!$S$6)))*Imóveis!$P$6))))*IF(AND(Imóveis!$E$6&gt;0,Dados!$A371&gt;Imóveis!$E$6),0,1)*Imóveis!$I$6</f>
        <v>0</v>
      </c>
      <c r="N371" s="18">
        <f t="shared" si="45"/>
        <v>37000</v>
      </c>
      <c r="O371" s="18">
        <f>SUMIFS(Receitas!$F:$F,Receitas!$J:$J,"&lt;="&amp;$A371,Receitas!$L:$L,"&gt;="&amp;$A371,Receitas!$C:$C,O$1,Receitas!$M:$M,"Mensal")+SUMIFS(Receitas!$F:$F,Receitas!$J:$J,"&lt;="&amp;$A371,Receitas!$L:$L,"&gt;="&amp;$A371,Receitas!$C:$C,O$1,Receitas!$M:$M,$B371)</f>
        <v>0</v>
      </c>
      <c r="P371" s="18">
        <f>SUMIFS(Receitas!$F:$F,Receitas!$J:$J,"&lt;="&amp;$A371,Receitas!$L:$L,"&gt;="&amp;$A371,Receitas!$C:$C,P$1,Receitas!$M:$M,"Mensal")+SUMIFS(Receitas!$F:$F,Receitas!$J:$J,"&lt;="&amp;$A371,Receitas!$L:$L,"&gt;="&amp;$A371,Receitas!$C:$C,P$1,Receitas!$M:$M,$B371)</f>
        <v>0</v>
      </c>
      <c r="Q371" s="18">
        <f>SUMIFS(Receitas!$F:$F,Receitas!$J:$J,"&lt;="&amp;$A371,Receitas!$L:$L,"&gt;="&amp;$A371,Receitas!$C:$C,Q$1,Receitas!$M:$M,"Mensal")+SUMIFS(Receitas!$F:$F,Receitas!$J:$J,"&lt;="&amp;$A371,Receitas!$L:$L,"&gt;="&amp;$A371,Receitas!$C:$C,Q$1,Receitas!$M:$M,$B371)</f>
        <v>0</v>
      </c>
      <c r="R371" s="18" cm="1">
        <f t="array" ref="R371">(IF(AND(Membros!$F$2="Sim",A371&lt;=MAX(Membros!$E$2:$E$5)),Membros!K$2,IF(AND(A371&gt;=Membros!J$2,A371&lt;=MAX(Membros!$E$2:$E$5)),Membros!K$2,0))+IF(AND(Membros!$F$3="Sim",A371&lt;=MAX(Membros!$E$2:$E$5)),Membros!K$3,IF(AND(A371&gt;=Membros!J$3,A371&lt;=MAX(Membros!$E$2:$E$5)),Membros!K$3,0)))*IF(AND(COUNTIFS(Tabela3[Tipo],"Provedor",Tabela3[Simulação Seguro],"Sim")=2,A371&gt;=MAX(IF(Tabela3[Tipo]="Dependente",Tabela3[Expectativa de Vida (Data)]))),0,1)</f>
        <v>0</v>
      </c>
      <c r="S371" s="18">
        <f t="shared" si="46"/>
        <v>0</v>
      </c>
      <c r="U371" s="18">
        <f t="shared" ca="1" si="49"/>
        <v>24652027.570297454</v>
      </c>
      <c r="V371" s="18">
        <f>SUMIF(Imóveis!E:E,Dados!A:A,Imóveis!Z:Z)-SUMIF(Imóveis!E:E,Dados!A:A,Imóveis!Y:Y)</f>
        <v>0</v>
      </c>
      <c r="W371" s="18">
        <f>-SUMIF(Projetos!N:N,A371,Projetos!F:F)</f>
        <v>0</v>
      </c>
      <c r="X371" s="18">
        <f t="shared" si="43"/>
        <v>-37000</v>
      </c>
      <c r="Y371" s="26">
        <f ca="1">(U371*((Indicadores_Economicos!D$2+1)^(1/12)-1))</f>
        <v>80704.323368747224</v>
      </c>
      <c r="Z371" s="18">
        <f t="shared" ca="1" si="47"/>
        <v>24695731.8936662</v>
      </c>
      <c r="AA371" s="18">
        <f ca="1">Auxiliar_Projetos!E371</f>
        <v>1.3060830850064918E-9</v>
      </c>
      <c r="AB371" s="18">
        <f ca="1">Auxiliar_Projetos!K371</f>
        <v>1.0046792961588388E-9</v>
      </c>
      <c r="AC371" s="18">
        <f ca="1">IF(Z371-AA371-AB371&gt;Investimentos!$C$14,Investimentos!$C$14,IF(Z371-AA371-AB371&lt;Investimentos!$C$14,Z371-AA371-AB371,0))</f>
        <v>300000</v>
      </c>
      <c r="AD371" s="18">
        <f t="shared" ca="1" si="48"/>
        <v>24395731.8936662</v>
      </c>
      <c r="AE371" s="18"/>
    </row>
    <row r="372" spans="1:31" x14ac:dyDescent="0.2">
      <c r="A372" s="4">
        <v>56919</v>
      </c>
      <c r="B372" s="5" t="str">
        <f t="shared" si="44"/>
        <v>novembro</v>
      </c>
      <c r="C372" s="5" t="str">
        <f t="shared" si="50"/>
        <v>2055</v>
      </c>
      <c r="D372" s="5">
        <f>SUMIFS(Despesas!$F:$F,Despesas!$J:$J,"&lt;="&amp;$A372,Despesas!$L:$L,"&gt;="&amp;$A372,Despesas!$C:$C,D$1,Despesas!$M:$M,"Mensal")+SUMIFS(Despesas!$F:$F,Despesas!$J:$J,"&lt;="&amp;$A372,Despesas!$L:$L,"&gt;="&amp;$A372,Despesas!$C:$C,D$1,Despesas!$M:$M,$B372)</f>
        <v>23000</v>
      </c>
      <c r="E372" s="18">
        <f>SUMIFS(Despesas!$F:$F,Despesas!$J:$J,"&lt;="&amp;$A372,Despesas!$L:$L,"&gt;="&amp;$A372,Despesas!$C:$C,E$1,Despesas!$M:$M,"Mensal")+SUMIFS(Despesas!$F:$F,Despesas!$J:$J,"&lt;="&amp;$A372,Despesas!$L:$L,"&gt;="&amp;$A372,Despesas!$C:$C,E$1,Despesas!$M:$M,$B372)</f>
        <v>0</v>
      </c>
      <c r="F372" s="5">
        <f>SUMIFS(Despesas!$F:$F,Despesas!$J:$J,"&lt;="&amp;$A372,Despesas!$L:$L,"&gt;="&amp;$A372,Despesas!$C:$C,F$1,Despesas!$M:$M,"Mensal")+SUMIFS(Despesas!$F:$F,Despesas!$J:$J,"&lt;="&amp;$A372,Despesas!$L:$L,"&gt;="&amp;$A372,Despesas!$C:$C,F$1,Despesas!$M:$M,$B372)</f>
        <v>13000</v>
      </c>
      <c r="G372" s="5">
        <f>SUMIFS(Despesas!$F:$F,Despesas!$J:$J,"&lt;="&amp;$A372,Despesas!$L:$L,"&gt;="&amp;$A372,Despesas!$C:$C,G$1,Despesas!$M:$M,"Mensal")+SUMIFS(Despesas!$F:$F,Despesas!$J:$J,"&lt;="&amp;$A372,Despesas!$L:$L,"&gt;="&amp;$A372,Despesas!$C:$C,G$1,Despesas!$M:$M,$B372)</f>
        <v>0</v>
      </c>
      <c r="H372" s="18">
        <f>SUMIFS(Despesas!$F:$F,Despesas!$J:$J,"&lt;="&amp;$A372,Despesas!$L:$L,"&gt;="&amp;$A372,Despesas!$C:$C,H$1,Despesas!$M:$M,"Mensal")+SUMIFS(Despesas!$F:$F,Despesas!$J:$J,"&lt;="&amp;$A372,Despesas!$L:$L,"&gt;="&amp;$A372,Despesas!$C:$C,H$1,Despesas!$M:$M,$B372)</f>
        <v>1000</v>
      </c>
      <c r="I372" s="18">
        <f>IF(Imóveis!$F$2="PRICE",IF(AND(Dados!$A372&gt;=Imóveis!$Q$2,Dados!$A372&lt;=Imóveis!$T$2),Imóveis!$U$2,0),IF((IF(AND(Dados!$A372&gt;=Imóveis!$Q$2,Dados!$A372&lt;=Imóveis!$T$2),Imóveis!$S$2-(DATEDIF(Imóveis!$Q$2,Dados!$A372,"m")),0))=0,0,((Imóveis!$N$2/Imóveis!$S$2)+((Imóveis!$N$2-((Imóveis!$S$2-(IF(AND(Dados!$A372&gt;=Imóveis!$Q$2,Dados!$A372&lt;=Imóveis!$T$2),Imóveis!$S$2-(DATEDIF(Imóveis!$Q$2,Dados!$A372,"m")),)))*(Imóveis!$N$2/Imóveis!$S$2)))*Imóveis!$P$2))))*IF(AND(Imóveis!$E$2&gt;0,Dados!$A372&gt;Imóveis!$E$2),0,1)</f>
        <v>0</v>
      </c>
      <c r="J372" s="18">
        <f>IF(Imóveis!$F$3="PRICE",IF(AND(Dados!$A372&gt;=Imóveis!$Q$3,Dados!$A372&lt;=Imóveis!$T$3),Imóveis!$U$3,0),IF((IF(AND(Dados!$A372&gt;=Imóveis!$Q$3,Dados!$A372&lt;=Imóveis!$T$3),Imóveis!$S$3-(DATEDIF(Imóveis!$Q$3,Dados!$A372,"m")),0))=0,0,((Imóveis!$N$3/Imóveis!$S$3)+((Imóveis!$N$3-((Imóveis!$S$3-(IF(AND(Dados!$A372&gt;=Imóveis!$Q$3,Dados!$A372&lt;=Imóveis!$T$3),Imóveis!$S$3-(DATEDIF(Imóveis!$Q$3,Dados!$A372,"m")),)))*(Imóveis!$N$3/Imóveis!$S$3)))*Imóveis!$P$3))))*IF(AND(Imóveis!$E$3&gt;0,Dados!$A372&gt;Imóveis!$E$3),0,1)</f>
        <v>0</v>
      </c>
      <c r="K372" s="18">
        <f>IF(Imóveis!$F$4="PRICE",IF(AND(Dados!$A372&gt;=Imóveis!$Q$4,Dados!$A372&lt;=Imóveis!$T$4),Imóveis!$U$4,0),IF((IF(AND(Dados!$A372&gt;=Imóveis!$Q$4,Dados!$A372&lt;=Imóveis!$T$4),Imóveis!$S$4-(DATEDIF(Imóveis!$Q$4,Dados!$A372,"m")),0))=0,0,((Imóveis!$N$4/Imóveis!$S$4)+((Imóveis!$N$4-((Imóveis!$S$4-(IF(AND(Dados!$A372&gt;=Imóveis!$Q$4,Dados!$A372&lt;=Imóveis!$T$4),Imóveis!$S$4-(DATEDIF(Imóveis!$Q$4,Dados!$A372,"m")),)))*(Imóveis!$N$4/Imóveis!$S$4)))*Imóveis!$P$4))))*IF(AND(Imóveis!$E$4&gt;0,Dados!$A372&gt;Imóveis!$E$4),0,1)</f>
        <v>0</v>
      </c>
      <c r="L372" s="18">
        <f>IF(Imóveis!$F$5="PRICE",IF(AND(Dados!$A372&gt;=Imóveis!$Q$5,Dados!$A372&lt;=Imóveis!$T$5),Imóveis!$U$5,0),IF((IF(AND(Dados!$A372&gt;=Imóveis!$Q$5,Dados!$A372&lt;=Imóveis!$T$5),Imóveis!$S$5-(DATEDIF(Imóveis!$Q$5,Dados!$A372,"m")),0))=0,0,((Imóveis!$N$5/Imóveis!$S$5)+((Imóveis!$N$5-((Imóveis!$S$5-(IF(AND(Dados!$A372 &gt;=Imóveis!$Q$5,Dados!$A372&lt;=Imóveis!$T$5),Imóveis!$S$5-(DATEDIF(Imóveis!$Q$5,Dados!$A372,"m")),)))*(Imóveis!$N$5/Imóveis!$S$5)))*Imóveis!$P$5))))*IF(AND(Imóveis!$E$5&gt;0,Dados!$A372&gt;Imóveis!$E$5),0,1)*Imóveis!$I$5</f>
        <v>0</v>
      </c>
      <c r="M372" s="18">
        <f>IF(Imóveis!$F$6="PRICE",IF(AND(Dados!$A372&gt;=Imóveis!$Q$6,Dados!$A372&lt;=Imóveis!$T$6),Imóveis!$U$6,0),IF((IF(AND(Dados!$A372&gt;=Imóveis!$Q$6,Dados!$A372&lt;=Imóveis!$T$6),Imóveis!$S$6-(DATEDIF(Imóveis!$Q$6,Dados!$A372,"m")),0))=0,0,((Imóveis!$N$6/Imóveis!$S$6)+((Imóveis!$N$6-((Imóveis!$S$6-(IF(AND(Dados!$A372&gt;=Imóveis!$Q$6,Dados!$A372&lt;=Imóveis!$T$6),Imóveis!$S$6-(DATEDIF(Imóveis!$Q$6,Dados!$A372,"m")),)))*(Imóveis!$N$6/Imóveis!$S$6)))*Imóveis!$P$6))))*IF(AND(Imóveis!$E$6&gt;0,Dados!$A372&gt;Imóveis!$E$6),0,1)*Imóveis!$I$6</f>
        <v>0</v>
      </c>
      <c r="N372" s="18">
        <f t="shared" si="45"/>
        <v>37000</v>
      </c>
      <c r="O372" s="18">
        <f>SUMIFS(Receitas!$F:$F,Receitas!$J:$J,"&lt;="&amp;$A372,Receitas!$L:$L,"&gt;="&amp;$A372,Receitas!$C:$C,O$1,Receitas!$M:$M,"Mensal")+SUMIFS(Receitas!$F:$F,Receitas!$J:$J,"&lt;="&amp;$A372,Receitas!$L:$L,"&gt;="&amp;$A372,Receitas!$C:$C,O$1,Receitas!$M:$M,$B372)</f>
        <v>0</v>
      </c>
      <c r="P372" s="18">
        <f>SUMIFS(Receitas!$F:$F,Receitas!$J:$J,"&lt;="&amp;$A372,Receitas!$L:$L,"&gt;="&amp;$A372,Receitas!$C:$C,P$1,Receitas!$M:$M,"Mensal")+SUMIFS(Receitas!$F:$F,Receitas!$J:$J,"&lt;="&amp;$A372,Receitas!$L:$L,"&gt;="&amp;$A372,Receitas!$C:$C,P$1,Receitas!$M:$M,$B372)</f>
        <v>0</v>
      </c>
      <c r="Q372" s="18">
        <f>SUMIFS(Receitas!$F:$F,Receitas!$J:$J,"&lt;="&amp;$A372,Receitas!$L:$L,"&gt;="&amp;$A372,Receitas!$C:$C,Q$1,Receitas!$M:$M,"Mensal")+SUMIFS(Receitas!$F:$F,Receitas!$J:$J,"&lt;="&amp;$A372,Receitas!$L:$L,"&gt;="&amp;$A372,Receitas!$C:$C,Q$1,Receitas!$M:$M,$B372)</f>
        <v>0</v>
      </c>
      <c r="R372" s="18" cm="1">
        <f t="array" ref="R372">(IF(AND(Membros!$F$2="Sim",A372&lt;=MAX(Membros!$E$2:$E$5)),Membros!K$2,IF(AND(A372&gt;=Membros!J$2,A372&lt;=MAX(Membros!$E$2:$E$5)),Membros!K$2,0))+IF(AND(Membros!$F$3="Sim",A372&lt;=MAX(Membros!$E$2:$E$5)),Membros!K$3,IF(AND(A372&gt;=Membros!J$3,A372&lt;=MAX(Membros!$E$2:$E$5)),Membros!K$3,0)))*IF(AND(COUNTIFS(Tabela3[Tipo],"Provedor",Tabela3[Simulação Seguro],"Sim")=2,A372&gt;=MAX(IF(Tabela3[Tipo]="Dependente",Tabela3[Expectativa de Vida (Data)]))),0,1)</f>
        <v>0</v>
      </c>
      <c r="S372" s="18">
        <f t="shared" si="46"/>
        <v>0</v>
      </c>
      <c r="U372" s="18">
        <f t="shared" ca="1" si="49"/>
        <v>24695731.8936662</v>
      </c>
      <c r="V372" s="18">
        <f>SUMIF(Imóveis!E:E,Dados!A:A,Imóveis!Z:Z)-SUMIF(Imóveis!E:E,Dados!A:A,Imóveis!Y:Y)</f>
        <v>0</v>
      </c>
      <c r="W372" s="18">
        <f>-SUMIF(Projetos!N:N,A372,Projetos!F:F)</f>
        <v>0</v>
      </c>
      <c r="X372" s="18">
        <f t="shared" si="43"/>
        <v>-37000</v>
      </c>
      <c r="Y372" s="26">
        <f ca="1">(U372*((Indicadores_Economicos!D$2+1)^(1/12)-1))</f>
        <v>80847.399950813575</v>
      </c>
      <c r="Z372" s="18">
        <f t="shared" ca="1" si="47"/>
        <v>24739579.293617014</v>
      </c>
      <c r="AA372" s="18">
        <f ca="1">Auxiliar_Projetos!E372</f>
        <v>1.3103588611607347E-9</v>
      </c>
      <c r="AB372" s="18">
        <f ca="1">Auxiliar_Projetos!K372</f>
        <v>1.0079683547390255E-9</v>
      </c>
      <c r="AC372" s="18">
        <f ca="1">IF(Z372-AA372-AB372&gt;Investimentos!$C$14,Investimentos!$C$14,IF(Z372-AA372-AB372&lt;Investimentos!$C$14,Z372-AA372-AB372,0))</f>
        <v>300000</v>
      </c>
      <c r="AD372" s="18">
        <f t="shared" ca="1" si="48"/>
        <v>24439579.293617014</v>
      </c>
      <c r="AE372" s="18"/>
    </row>
    <row r="373" spans="1:31" x14ac:dyDescent="0.2">
      <c r="A373" s="4">
        <v>56949</v>
      </c>
      <c r="B373" s="5" t="str">
        <f t="shared" si="44"/>
        <v>dezembro</v>
      </c>
      <c r="C373" s="5" t="str">
        <f t="shared" si="50"/>
        <v>2055</v>
      </c>
      <c r="D373" s="5">
        <f>SUMIFS(Despesas!$F:$F,Despesas!$J:$J,"&lt;="&amp;$A373,Despesas!$L:$L,"&gt;="&amp;$A373,Despesas!$C:$C,D$1,Despesas!$M:$M,"Mensal")+SUMIFS(Despesas!$F:$F,Despesas!$J:$J,"&lt;="&amp;$A373,Despesas!$L:$L,"&gt;="&amp;$A373,Despesas!$C:$C,D$1,Despesas!$M:$M,$B373)</f>
        <v>23000</v>
      </c>
      <c r="E373" s="18">
        <f>SUMIFS(Despesas!$F:$F,Despesas!$J:$J,"&lt;="&amp;$A373,Despesas!$L:$L,"&gt;="&amp;$A373,Despesas!$C:$C,E$1,Despesas!$M:$M,"Mensal")+SUMIFS(Despesas!$F:$F,Despesas!$J:$J,"&lt;="&amp;$A373,Despesas!$L:$L,"&gt;="&amp;$A373,Despesas!$C:$C,E$1,Despesas!$M:$M,$B373)</f>
        <v>0</v>
      </c>
      <c r="F373" s="5">
        <f>SUMIFS(Despesas!$F:$F,Despesas!$J:$J,"&lt;="&amp;$A373,Despesas!$L:$L,"&gt;="&amp;$A373,Despesas!$C:$C,F$1,Despesas!$M:$M,"Mensal")+SUMIFS(Despesas!$F:$F,Despesas!$J:$J,"&lt;="&amp;$A373,Despesas!$L:$L,"&gt;="&amp;$A373,Despesas!$C:$C,F$1,Despesas!$M:$M,$B373)</f>
        <v>13000</v>
      </c>
      <c r="G373" s="5">
        <f ca="1">SUMIFS(Despesas!$F:$F,Despesas!$J:$J,"&lt;="&amp;$A373,Despesas!$L:$L,"&gt;="&amp;$A373,Despesas!$C:$C,G$1,Despesas!$M:$M,"Mensal")+SUMIFS(Despesas!$F:$F,Despesas!$J:$J,"&lt;="&amp;$A373,Despesas!$L:$L,"&gt;="&amp;$A373,Despesas!$C:$C,G$1,Despesas!$M:$M,$B373)</f>
        <v>55757</v>
      </c>
      <c r="H373" s="18">
        <f>SUMIFS(Despesas!$F:$F,Despesas!$J:$J,"&lt;="&amp;$A373,Despesas!$L:$L,"&gt;="&amp;$A373,Despesas!$C:$C,H$1,Despesas!$M:$M,"Mensal")+SUMIFS(Despesas!$F:$F,Despesas!$J:$J,"&lt;="&amp;$A373,Despesas!$L:$L,"&gt;="&amp;$A373,Despesas!$C:$C,H$1,Despesas!$M:$M,$B373)</f>
        <v>1000</v>
      </c>
      <c r="I373" s="18">
        <f>IF(Imóveis!$F$2="PRICE",IF(AND(Dados!$A373&gt;=Imóveis!$Q$2,Dados!$A373&lt;=Imóveis!$T$2),Imóveis!$U$2,0),IF((IF(AND(Dados!$A373&gt;=Imóveis!$Q$2,Dados!$A373&lt;=Imóveis!$T$2),Imóveis!$S$2-(DATEDIF(Imóveis!$Q$2,Dados!$A373,"m")),0))=0,0,((Imóveis!$N$2/Imóveis!$S$2)+((Imóveis!$N$2-((Imóveis!$S$2-(IF(AND(Dados!$A373&gt;=Imóveis!$Q$2,Dados!$A373&lt;=Imóveis!$T$2),Imóveis!$S$2-(DATEDIF(Imóveis!$Q$2,Dados!$A373,"m")),)))*(Imóveis!$N$2/Imóveis!$S$2)))*Imóveis!$P$2))))*IF(AND(Imóveis!$E$2&gt;0,Dados!$A373&gt;Imóveis!$E$2),0,1)</f>
        <v>0</v>
      </c>
      <c r="J373" s="18">
        <f>IF(Imóveis!$F$3="PRICE",IF(AND(Dados!$A373&gt;=Imóveis!$Q$3,Dados!$A373&lt;=Imóveis!$T$3),Imóveis!$U$3,0),IF((IF(AND(Dados!$A373&gt;=Imóveis!$Q$3,Dados!$A373&lt;=Imóveis!$T$3),Imóveis!$S$3-(DATEDIF(Imóveis!$Q$3,Dados!$A373,"m")),0))=0,0,((Imóveis!$N$3/Imóveis!$S$3)+((Imóveis!$N$3-((Imóveis!$S$3-(IF(AND(Dados!$A373&gt;=Imóveis!$Q$3,Dados!$A373&lt;=Imóveis!$T$3),Imóveis!$S$3-(DATEDIF(Imóveis!$Q$3,Dados!$A373,"m")),)))*(Imóveis!$N$3/Imóveis!$S$3)))*Imóveis!$P$3))))*IF(AND(Imóveis!$E$3&gt;0,Dados!$A373&gt;Imóveis!$E$3),0,1)</f>
        <v>0</v>
      </c>
      <c r="K373" s="18">
        <f>IF(Imóveis!$F$4="PRICE",IF(AND(Dados!$A373&gt;=Imóveis!$Q$4,Dados!$A373&lt;=Imóveis!$T$4),Imóveis!$U$4,0),IF((IF(AND(Dados!$A373&gt;=Imóveis!$Q$4,Dados!$A373&lt;=Imóveis!$T$4),Imóveis!$S$4-(DATEDIF(Imóveis!$Q$4,Dados!$A373,"m")),0))=0,0,((Imóveis!$N$4/Imóveis!$S$4)+((Imóveis!$N$4-((Imóveis!$S$4-(IF(AND(Dados!$A373&gt;=Imóveis!$Q$4,Dados!$A373&lt;=Imóveis!$T$4),Imóveis!$S$4-(DATEDIF(Imóveis!$Q$4,Dados!$A373,"m")),)))*(Imóveis!$N$4/Imóveis!$S$4)))*Imóveis!$P$4))))*IF(AND(Imóveis!$E$4&gt;0,Dados!$A373&gt;Imóveis!$E$4),0,1)</f>
        <v>0</v>
      </c>
      <c r="L373" s="18">
        <f>IF(Imóveis!$F$5="PRICE",IF(AND(Dados!$A373&gt;=Imóveis!$Q$5,Dados!$A373&lt;=Imóveis!$T$5),Imóveis!$U$5,0),IF((IF(AND(Dados!$A373&gt;=Imóveis!$Q$5,Dados!$A373&lt;=Imóveis!$T$5),Imóveis!$S$5-(DATEDIF(Imóveis!$Q$5,Dados!$A373,"m")),0))=0,0,((Imóveis!$N$5/Imóveis!$S$5)+((Imóveis!$N$5-((Imóveis!$S$5-(IF(AND(Dados!$A373 &gt;=Imóveis!$Q$5,Dados!$A373&lt;=Imóveis!$T$5),Imóveis!$S$5-(DATEDIF(Imóveis!$Q$5,Dados!$A373,"m")),)))*(Imóveis!$N$5/Imóveis!$S$5)))*Imóveis!$P$5))))*IF(AND(Imóveis!$E$5&gt;0,Dados!$A373&gt;Imóveis!$E$5),0,1)*Imóveis!$I$5</f>
        <v>0</v>
      </c>
      <c r="M373" s="18">
        <f>IF(Imóveis!$F$6="PRICE",IF(AND(Dados!$A373&gt;=Imóveis!$Q$6,Dados!$A373&lt;=Imóveis!$T$6),Imóveis!$U$6,0),IF((IF(AND(Dados!$A373&gt;=Imóveis!$Q$6,Dados!$A373&lt;=Imóveis!$T$6),Imóveis!$S$6-(DATEDIF(Imóveis!$Q$6,Dados!$A373,"m")),0))=0,0,((Imóveis!$N$6/Imóveis!$S$6)+((Imóveis!$N$6-((Imóveis!$S$6-(IF(AND(Dados!$A373&gt;=Imóveis!$Q$6,Dados!$A373&lt;=Imóveis!$T$6),Imóveis!$S$6-(DATEDIF(Imóveis!$Q$6,Dados!$A373,"m")),)))*(Imóveis!$N$6/Imóveis!$S$6)))*Imóveis!$P$6))))*IF(AND(Imóveis!$E$6&gt;0,Dados!$A373&gt;Imóveis!$E$6),0,1)*Imóveis!$I$6</f>
        <v>0</v>
      </c>
      <c r="N373" s="18">
        <f t="shared" ca="1" si="45"/>
        <v>92757</v>
      </c>
      <c r="O373" s="18">
        <f>SUMIFS(Receitas!$F:$F,Receitas!$J:$J,"&lt;="&amp;$A373,Receitas!$L:$L,"&gt;="&amp;$A373,Receitas!$C:$C,O$1,Receitas!$M:$M,"Mensal")+SUMIFS(Receitas!$F:$F,Receitas!$J:$J,"&lt;="&amp;$A373,Receitas!$L:$L,"&gt;="&amp;$A373,Receitas!$C:$C,O$1,Receitas!$M:$M,$B373)</f>
        <v>0</v>
      </c>
      <c r="P373" s="18">
        <f>SUMIFS(Receitas!$F:$F,Receitas!$J:$J,"&lt;="&amp;$A373,Receitas!$L:$L,"&gt;="&amp;$A373,Receitas!$C:$C,P$1,Receitas!$M:$M,"Mensal")+SUMIFS(Receitas!$F:$F,Receitas!$J:$J,"&lt;="&amp;$A373,Receitas!$L:$L,"&gt;="&amp;$A373,Receitas!$C:$C,P$1,Receitas!$M:$M,$B373)</f>
        <v>0</v>
      </c>
      <c r="Q373" s="18">
        <f>SUMIFS(Receitas!$F:$F,Receitas!$J:$J,"&lt;="&amp;$A373,Receitas!$L:$L,"&gt;="&amp;$A373,Receitas!$C:$C,Q$1,Receitas!$M:$M,"Mensal")+SUMIFS(Receitas!$F:$F,Receitas!$J:$J,"&lt;="&amp;$A373,Receitas!$L:$L,"&gt;="&amp;$A373,Receitas!$C:$C,Q$1,Receitas!$M:$M,$B373)</f>
        <v>0</v>
      </c>
      <c r="R373" s="18" cm="1">
        <f t="array" ref="R373">(IF(AND(Membros!$F$2="Sim",A373&lt;=MAX(Membros!$E$2:$E$5)),Membros!K$2,IF(AND(A373&gt;=Membros!J$2,A373&lt;=MAX(Membros!$E$2:$E$5)),Membros!K$2,0))+IF(AND(Membros!$F$3="Sim",A373&lt;=MAX(Membros!$E$2:$E$5)),Membros!K$3,IF(AND(A373&gt;=Membros!J$3,A373&lt;=MAX(Membros!$E$2:$E$5)),Membros!K$3,0)))*IF(AND(COUNTIFS(Tabela3[Tipo],"Provedor",Tabela3[Simulação Seguro],"Sim")=2,A373&gt;=MAX(IF(Tabela3[Tipo]="Dependente",Tabela3[Expectativa de Vida (Data)]))),0,1)</f>
        <v>0</v>
      </c>
      <c r="S373" s="18">
        <f t="shared" si="46"/>
        <v>0</v>
      </c>
      <c r="U373" s="18">
        <f t="shared" ca="1" si="49"/>
        <v>24739579.293617014</v>
      </c>
      <c r="V373" s="18">
        <f>SUMIF(Imóveis!E:E,Dados!A:A,Imóveis!Z:Z)-SUMIF(Imóveis!E:E,Dados!A:A,Imóveis!Y:Y)</f>
        <v>0</v>
      </c>
      <c r="W373" s="18">
        <f>-SUMIF(Projetos!N:N,A373,Projetos!F:F)</f>
        <v>0</v>
      </c>
      <c r="X373" s="18">
        <f t="shared" ca="1" si="43"/>
        <v>-92757</v>
      </c>
      <c r="Y373" s="26">
        <f ca="1">(U373*((Indicadores_Economicos!D$2+1)^(1/12)-1))</f>
        <v>80990.944928378536</v>
      </c>
      <c r="Z373" s="18">
        <f t="shared" ca="1" si="47"/>
        <v>24727813.238545392</v>
      </c>
      <c r="AA373" s="18">
        <f ca="1">Auxiliar_Projetos!E373</f>
        <v>1.3146486350934735E-9</v>
      </c>
      <c r="AB373" s="18">
        <f ca="1">Auxiliar_Projetos!K373</f>
        <v>1.0112681808411324E-9</v>
      </c>
      <c r="AC373" s="18">
        <f ca="1">IF(Z373-AA373-AB373&gt;Investimentos!$C$14,Investimentos!$C$14,IF(Z373-AA373-AB373&lt;Investimentos!$C$14,Z373-AA373-AB373,0))</f>
        <v>300000</v>
      </c>
      <c r="AD373" s="18">
        <f t="shared" ca="1" si="48"/>
        <v>24427813.238545392</v>
      </c>
      <c r="AE373" s="18"/>
    </row>
    <row r="374" spans="1:31" x14ac:dyDescent="0.2">
      <c r="A374" s="4">
        <v>56980</v>
      </c>
      <c r="B374" s="5" t="str">
        <f t="shared" si="44"/>
        <v>janeiro</v>
      </c>
      <c r="C374" s="5" t="str">
        <f t="shared" si="50"/>
        <v>2056</v>
      </c>
      <c r="D374" s="5">
        <f>SUMIFS(Despesas!$F:$F,Despesas!$J:$J,"&lt;="&amp;$A374,Despesas!$L:$L,"&gt;="&amp;$A374,Despesas!$C:$C,D$1,Despesas!$M:$M,"Mensal")+SUMIFS(Despesas!$F:$F,Despesas!$J:$J,"&lt;="&amp;$A374,Despesas!$L:$L,"&gt;="&amp;$A374,Despesas!$C:$C,D$1,Despesas!$M:$M,$B374)</f>
        <v>23000</v>
      </c>
      <c r="E374" s="18">
        <f>SUMIFS(Despesas!$F:$F,Despesas!$J:$J,"&lt;="&amp;$A374,Despesas!$L:$L,"&gt;="&amp;$A374,Despesas!$C:$C,E$1,Despesas!$M:$M,"Mensal")+SUMIFS(Despesas!$F:$F,Despesas!$J:$J,"&lt;="&amp;$A374,Despesas!$L:$L,"&gt;="&amp;$A374,Despesas!$C:$C,E$1,Despesas!$M:$M,$B374)</f>
        <v>0</v>
      </c>
      <c r="F374" s="5">
        <f>SUMIFS(Despesas!$F:$F,Despesas!$J:$J,"&lt;="&amp;$A374,Despesas!$L:$L,"&gt;="&amp;$A374,Despesas!$C:$C,F$1,Despesas!$M:$M,"Mensal")+SUMIFS(Despesas!$F:$F,Despesas!$J:$J,"&lt;="&amp;$A374,Despesas!$L:$L,"&gt;="&amp;$A374,Despesas!$C:$C,F$1,Despesas!$M:$M,$B374)</f>
        <v>13000</v>
      </c>
      <c r="G374" s="5">
        <f>SUMIFS(Despesas!$F:$F,Despesas!$J:$J,"&lt;="&amp;$A374,Despesas!$L:$L,"&gt;="&amp;$A374,Despesas!$C:$C,G$1,Despesas!$M:$M,"Mensal")+SUMIFS(Despesas!$F:$F,Despesas!$J:$J,"&lt;="&amp;$A374,Despesas!$L:$L,"&gt;="&amp;$A374,Despesas!$C:$C,G$1,Despesas!$M:$M,$B374)</f>
        <v>0</v>
      </c>
      <c r="H374" s="18">
        <f>SUMIFS(Despesas!$F:$F,Despesas!$J:$J,"&lt;="&amp;$A374,Despesas!$L:$L,"&gt;="&amp;$A374,Despesas!$C:$C,H$1,Despesas!$M:$M,"Mensal")+SUMIFS(Despesas!$F:$F,Despesas!$J:$J,"&lt;="&amp;$A374,Despesas!$L:$L,"&gt;="&amp;$A374,Despesas!$C:$C,H$1,Despesas!$M:$M,$B374)</f>
        <v>1000</v>
      </c>
      <c r="I374" s="18">
        <f>IF(Imóveis!$F$2="PRICE",IF(AND(Dados!$A374&gt;=Imóveis!$Q$2,Dados!$A374&lt;=Imóveis!$T$2),Imóveis!$U$2,0),IF((IF(AND(Dados!$A374&gt;=Imóveis!$Q$2,Dados!$A374&lt;=Imóveis!$T$2),Imóveis!$S$2-(DATEDIF(Imóveis!$Q$2,Dados!$A374,"m")),0))=0,0,((Imóveis!$N$2/Imóveis!$S$2)+((Imóveis!$N$2-((Imóveis!$S$2-(IF(AND(Dados!$A374&gt;=Imóveis!$Q$2,Dados!$A374&lt;=Imóveis!$T$2),Imóveis!$S$2-(DATEDIF(Imóveis!$Q$2,Dados!$A374,"m")),)))*(Imóveis!$N$2/Imóveis!$S$2)))*Imóveis!$P$2))))*IF(AND(Imóveis!$E$2&gt;0,Dados!$A374&gt;Imóveis!$E$2),0,1)</f>
        <v>0</v>
      </c>
      <c r="J374" s="18">
        <f>IF(Imóveis!$F$3="PRICE",IF(AND(Dados!$A374&gt;=Imóveis!$Q$3,Dados!$A374&lt;=Imóveis!$T$3),Imóveis!$U$3,0),IF((IF(AND(Dados!$A374&gt;=Imóveis!$Q$3,Dados!$A374&lt;=Imóveis!$T$3),Imóveis!$S$3-(DATEDIF(Imóveis!$Q$3,Dados!$A374,"m")),0))=0,0,((Imóveis!$N$3/Imóveis!$S$3)+((Imóveis!$N$3-((Imóveis!$S$3-(IF(AND(Dados!$A374&gt;=Imóveis!$Q$3,Dados!$A374&lt;=Imóveis!$T$3),Imóveis!$S$3-(DATEDIF(Imóveis!$Q$3,Dados!$A374,"m")),)))*(Imóveis!$N$3/Imóveis!$S$3)))*Imóveis!$P$3))))*IF(AND(Imóveis!$E$3&gt;0,Dados!$A374&gt;Imóveis!$E$3),0,1)</f>
        <v>0</v>
      </c>
      <c r="K374" s="18">
        <f>IF(Imóveis!$F$4="PRICE",IF(AND(Dados!$A374&gt;=Imóveis!$Q$4,Dados!$A374&lt;=Imóveis!$T$4),Imóveis!$U$4,0),IF((IF(AND(Dados!$A374&gt;=Imóveis!$Q$4,Dados!$A374&lt;=Imóveis!$T$4),Imóveis!$S$4-(DATEDIF(Imóveis!$Q$4,Dados!$A374,"m")),0))=0,0,((Imóveis!$N$4/Imóveis!$S$4)+((Imóveis!$N$4-((Imóveis!$S$4-(IF(AND(Dados!$A374&gt;=Imóveis!$Q$4,Dados!$A374&lt;=Imóveis!$T$4),Imóveis!$S$4-(DATEDIF(Imóveis!$Q$4,Dados!$A374,"m")),)))*(Imóveis!$N$4/Imóveis!$S$4)))*Imóveis!$P$4))))*IF(AND(Imóveis!$E$4&gt;0,Dados!$A374&gt;Imóveis!$E$4),0,1)</f>
        <v>0</v>
      </c>
      <c r="L374" s="18">
        <f>IF(Imóveis!$F$5="PRICE",IF(AND(Dados!$A374&gt;=Imóveis!$Q$5,Dados!$A374&lt;=Imóveis!$T$5),Imóveis!$U$5,0),IF((IF(AND(Dados!$A374&gt;=Imóveis!$Q$5,Dados!$A374&lt;=Imóveis!$T$5),Imóveis!$S$5-(DATEDIF(Imóveis!$Q$5,Dados!$A374,"m")),0))=0,0,((Imóveis!$N$5/Imóveis!$S$5)+((Imóveis!$N$5-((Imóveis!$S$5-(IF(AND(Dados!$A374 &gt;=Imóveis!$Q$5,Dados!$A374&lt;=Imóveis!$T$5),Imóveis!$S$5-(DATEDIF(Imóveis!$Q$5,Dados!$A374,"m")),)))*(Imóveis!$N$5/Imóveis!$S$5)))*Imóveis!$P$5))))*IF(AND(Imóveis!$E$5&gt;0,Dados!$A374&gt;Imóveis!$E$5),0,1)*Imóveis!$I$5</f>
        <v>0</v>
      </c>
      <c r="M374" s="18">
        <f>IF(Imóveis!$F$6="PRICE",IF(AND(Dados!$A374&gt;=Imóveis!$Q$6,Dados!$A374&lt;=Imóveis!$T$6),Imóveis!$U$6,0),IF((IF(AND(Dados!$A374&gt;=Imóveis!$Q$6,Dados!$A374&lt;=Imóveis!$T$6),Imóveis!$S$6-(DATEDIF(Imóveis!$Q$6,Dados!$A374,"m")),0))=0,0,((Imóveis!$N$6/Imóveis!$S$6)+((Imóveis!$N$6-((Imóveis!$S$6-(IF(AND(Dados!$A374&gt;=Imóveis!$Q$6,Dados!$A374&lt;=Imóveis!$T$6),Imóveis!$S$6-(DATEDIF(Imóveis!$Q$6,Dados!$A374,"m")),)))*(Imóveis!$N$6/Imóveis!$S$6)))*Imóveis!$P$6))))*IF(AND(Imóveis!$E$6&gt;0,Dados!$A374&gt;Imóveis!$E$6),0,1)*Imóveis!$I$6</f>
        <v>0</v>
      </c>
      <c r="N374" s="18">
        <f t="shared" si="45"/>
        <v>37000</v>
      </c>
      <c r="O374" s="18">
        <f>SUMIFS(Receitas!$F:$F,Receitas!$J:$J,"&lt;="&amp;$A374,Receitas!$L:$L,"&gt;="&amp;$A374,Receitas!$C:$C,O$1,Receitas!$M:$M,"Mensal")+SUMIFS(Receitas!$F:$F,Receitas!$J:$J,"&lt;="&amp;$A374,Receitas!$L:$L,"&gt;="&amp;$A374,Receitas!$C:$C,O$1,Receitas!$M:$M,$B374)</f>
        <v>0</v>
      </c>
      <c r="P374" s="18">
        <f>SUMIFS(Receitas!$F:$F,Receitas!$J:$J,"&lt;="&amp;$A374,Receitas!$L:$L,"&gt;="&amp;$A374,Receitas!$C:$C,P$1,Receitas!$M:$M,"Mensal")+SUMIFS(Receitas!$F:$F,Receitas!$J:$J,"&lt;="&amp;$A374,Receitas!$L:$L,"&gt;="&amp;$A374,Receitas!$C:$C,P$1,Receitas!$M:$M,$B374)</f>
        <v>0</v>
      </c>
      <c r="Q374" s="18">
        <f>SUMIFS(Receitas!$F:$F,Receitas!$J:$J,"&lt;="&amp;$A374,Receitas!$L:$L,"&gt;="&amp;$A374,Receitas!$C:$C,Q$1,Receitas!$M:$M,"Mensal")+SUMIFS(Receitas!$F:$F,Receitas!$J:$J,"&lt;="&amp;$A374,Receitas!$L:$L,"&gt;="&amp;$A374,Receitas!$C:$C,Q$1,Receitas!$M:$M,$B374)</f>
        <v>0</v>
      </c>
      <c r="R374" s="18" cm="1">
        <f t="array" ref="R374">(IF(AND(Membros!$F$2="Sim",A374&lt;=MAX(Membros!$E$2:$E$5)),Membros!K$2,IF(AND(A374&gt;=Membros!J$2,A374&lt;=MAX(Membros!$E$2:$E$5)),Membros!K$2,0))+IF(AND(Membros!$F$3="Sim",A374&lt;=MAX(Membros!$E$2:$E$5)),Membros!K$3,IF(AND(A374&gt;=Membros!J$3,A374&lt;=MAX(Membros!$E$2:$E$5)),Membros!K$3,0)))*IF(AND(COUNTIFS(Tabela3[Tipo],"Provedor",Tabela3[Simulação Seguro],"Sim")=2,A374&gt;=MAX(IF(Tabela3[Tipo]="Dependente",Tabela3[Expectativa de Vida (Data)]))),0,1)</f>
        <v>10000</v>
      </c>
      <c r="S374" s="18">
        <f t="shared" si="46"/>
        <v>10000</v>
      </c>
      <c r="U374" s="18">
        <f t="shared" ca="1" si="49"/>
        <v>24727813.238545392</v>
      </c>
      <c r="V374" s="18">
        <f>SUMIF(Imóveis!E:E,Dados!A:A,Imóveis!Z:Z)-SUMIF(Imóveis!E:E,Dados!A:A,Imóveis!Y:Y)</f>
        <v>0</v>
      </c>
      <c r="W374" s="18">
        <f>-SUMIF(Projetos!N:N,A374,Projetos!F:F)</f>
        <v>0</v>
      </c>
      <c r="X374" s="18">
        <f t="shared" si="43"/>
        <v>-27000</v>
      </c>
      <c r="Y374" s="26">
        <f ca="1">(U374*((Indicadores_Economicos!D$2+1)^(1/12)-1))</f>
        <v>80952.425925811025</v>
      </c>
      <c r="Z374" s="18">
        <f t="shared" ca="1" si="47"/>
        <v>24781765.664471202</v>
      </c>
      <c r="AA374" s="18">
        <f ca="1">Auxiliar_Projetos!E374</f>
        <v>1.3189524526297925E-9</v>
      </c>
      <c r="AB374" s="18">
        <f ca="1">Auxiliar_Projetos!K374</f>
        <v>1.0145788097152239E-9</v>
      </c>
      <c r="AC374" s="18">
        <f ca="1">IF(Z374-AA374-AB374&gt;Investimentos!$C$14,Investimentos!$C$14,IF(Z374-AA374-AB374&lt;Investimentos!$C$14,Z374-AA374-AB374,0))</f>
        <v>300000</v>
      </c>
      <c r="AD374" s="18">
        <f t="shared" ca="1" si="48"/>
        <v>24481765.664471202</v>
      </c>
      <c r="AE374" s="18"/>
    </row>
    <row r="375" spans="1:31" x14ac:dyDescent="0.2">
      <c r="A375" s="4">
        <v>57011</v>
      </c>
      <c r="B375" s="5" t="str">
        <f t="shared" si="44"/>
        <v>fevereiro</v>
      </c>
      <c r="C375" s="5" t="str">
        <f t="shared" si="50"/>
        <v>2056</v>
      </c>
      <c r="D375" s="5">
        <f>SUMIFS(Despesas!$F:$F,Despesas!$J:$J,"&lt;="&amp;$A375,Despesas!$L:$L,"&gt;="&amp;$A375,Despesas!$C:$C,D$1,Despesas!$M:$M,"Mensal")+SUMIFS(Despesas!$F:$F,Despesas!$J:$J,"&lt;="&amp;$A375,Despesas!$L:$L,"&gt;="&amp;$A375,Despesas!$C:$C,D$1,Despesas!$M:$M,$B375)</f>
        <v>23000</v>
      </c>
      <c r="E375" s="18">
        <f>SUMIFS(Despesas!$F:$F,Despesas!$J:$J,"&lt;="&amp;$A375,Despesas!$L:$L,"&gt;="&amp;$A375,Despesas!$C:$C,E$1,Despesas!$M:$M,"Mensal")+SUMIFS(Despesas!$F:$F,Despesas!$J:$J,"&lt;="&amp;$A375,Despesas!$L:$L,"&gt;="&amp;$A375,Despesas!$C:$C,E$1,Despesas!$M:$M,$B375)</f>
        <v>0</v>
      </c>
      <c r="F375" s="5">
        <f>SUMIFS(Despesas!$F:$F,Despesas!$J:$J,"&lt;="&amp;$A375,Despesas!$L:$L,"&gt;="&amp;$A375,Despesas!$C:$C,F$1,Despesas!$M:$M,"Mensal")+SUMIFS(Despesas!$F:$F,Despesas!$J:$J,"&lt;="&amp;$A375,Despesas!$L:$L,"&gt;="&amp;$A375,Despesas!$C:$C,F$1,Despesas!$M:$M,$B375)</f>
        <v>13000</v>
      </c>
      <c r="G375" s="5">
        <f>SUMIFS(Despesas!$F:$F,Despesas!$J:$J,"&lt;="&amp;$A375,Despesas!$L:$L,"&gt;="&amp;$A375,Despesas!$C:$C,G$1,Despesas!$M:$M,"Mensal")+SUMIFS(Despesas!$F:$F,Despesas!$J:$J,"&lt;="&amp;$A375,Despesas!$L:$L,"&gt;="&amp;$A375,Despesas!$C:$C,G$1,Despesas!$M:$M,$B375)</f>
        <v>0</v>
      </c>
      <c r="H375" s="18">
        <f>SUMIFS(Despesas!$F:$F,Despesas!$J:$J,"&lt;="&amp;$A375,Despesas!$L:$L,"&gt;="&amp;$A375,Despesas!$C:$C,H$1,Despesas!$M:$M,"Mensal")+SUMIFS(Despesas!$F:$F,Despesas!$J:$J,"&lt;="&amp;$A375,Despesas!$L:$L,"&gt;="&amp;$A375,Despesas!$C:$C,H$1,Despesas!$M:$M,$B375)</f>
        <v>2200</v>
      </c>
      <c r="I375" s="18">
        <f>IF(Imóveis!$F$2="PRICE",IF(AND(Dados!$A375&gt;=Imóveis!$Q$2,Dados!$A375&lt;=Imóveis!$T$2),Imóveis!$U$2,0),IF((IF(AND(Dados!$A375&gt;=Imóveis!$Q$2,Dados!$A375&lt;=Imóveis!$T$2),Imóveis!$S$2-(DATEDIF(Imóveis!$Q$2,Dados!$A375,"m")),0))=0,0,((Imóveis!$N$2/Imóveis!$S$2)+((Imóveis!$N$2-((Imóveis!$S$2-(IF(AND(Dados!$A375&gt;=Imóveis!$Q$2,Dados!$A375&lt;=Imóveis!$T$2),Imóveis!$S$2-(DATEDIF(Imóveis!$Q$2,Dados!$A375,"m")),)))*(Imóveis!$N$2/Imóveis!$S$2)))*Imóveis!$P$2))))*IF(AND(Imóveis!$E$2&gt;0,Dados!$A375&gt;Imóveis!$E$2),0,1)</f>
        <v>0</v>
      </c>
      <c r="J375" s="18">
        <f>IF(Imóveis!$F$3="PRICE",IF(AND(Dados!$A375&gt;=Imóveis!$Q$3,Dados!$A375&lt;=Imóveis!$T$3),Imóveis!$U$3,0),IF((IF(AND(Dados!$A375&gt;=Imóveis!$Q$3,Dados!$A375&lt;=Imóveis!$T$3),Imóveis!$S$3-(DATEDIF(Imóveis!$Q$3,Dados!$A375,"m")),0))=0,0,((Imóveis!$N$3/Imóveis!$S$3)+((Imóveis!$N$3-((Imóveis!$S$3-(IF(AND(Dados!$A375&gt;=Imóveis!$Q$3,Dados!$A375&lt;=Imóveis!$T$3),Imóveis!$S$3-(DATEDIF(Imóveis!$Q$3,Dados!$A375,"m")),)))*(Imóveis!$N$3/Imóveis!$S$3)))*Imóveis!$P$3))))*IF(AND(Imóveis!$E$3&gt;0,Dados!$A375&gt;Imóveis!$E$3),0,1)</f>
        <v>0</v>
      </c>
      <c r="K375" s="18">
        <f>IF(Imóveis!$F$4="PRICE",IF(AND(Dados!$A375&gt;=Imóveis!$Q$4,Dados!$A375&lt;=Imóveis!$T$4),Imóveis!$U$4,0),IF((IF(AND(Dados!$A375&gt;=Imóveis!$Q$4,Dados!$A375&lt;=Imóveis!$T$4),Imóveis!$S$4-(DATEDIF(Imóveis!$Q$4,Dados!$A375,"m")),0))=0,0,((Imóveis!$N$4/Imóveis!$S$4)+((Imóveis!$N$4-((Imóveis!$S$4-(IF(AND(Dados!$A375&gt;=Imóveis!$Q$4,Dados!$A375&lt;=Imóveis!$T$4),Imóveis!$S$4-(DATEDIF(Imóveis!$Q$4,Dados!$A375,"m")),)))*(Imóveis!$N$4/Imóveis!$S$4)))*Imóveis!$P$4))))*IF(AND(Imóveis!$E$4&gt;0,Dados!$A375&gt;Imóveis!$E$4),0,1)</f>
        <v>0</v>
      </c>
      <c r="L375" s="18">
        <f>IF(Imóveis!$F$5="PRICE",IF(AND(Dados!$A375&gt;=Imóveis!$Q$5,Dados!$A375&lt;=Imóveis!$T$5),Imóveis!$U$5,0),IF((IF(AND(Dados!$A375&gt;=Imóveis!$Q$5,Dados!$A375&lt;=Imóveis!$T$5),Imóveis!$S$5-(DATEDIF(Imóveis!$Q$5,Dados!$A375,"m")),0))=0,0,((Imóveis!$N$5/Imóveis!$S$5)+((Imóveis!$N$5-((Imóveis!$S$5-(IF(AND(Dados!$A375 &gt;=Imóveis!$Q$5,Dados!$A375&lt;=Imóveis!$T$5),Imóveis!$S$5-(DATEDIF(Imóveis!$Q$5,Dados!$A375,"m")),)))*(Imóveis!$N$5/Imóveis!$S$5)))*Imóveis!$P$5))))*IF(AND(Imóveis!$E$5&gt;0,Dados!$A375&gt;Imóveis!$E$5),0,1)*Imóveis!$I$5</f>
        <v>0</v>
      </c>
      <c r="M375" s="18">
        <f>IF(Imóveis!$F$6="PRICE",IF(AND(Dados!$A375&gt;=Imóveis!$Q$6,Dados!$A375&lt;=Imóveis!$T$6),Imóveis!$U$6,0),IF((IF(AND(Dados!$A375&gt;=Imóveis!$Q$6,Dados!$A375&lt;=Imóveis!$T$6),Imóveis!$S$6-(DATEDIF(Imóveis!$Q$6,Dados!$A375,"m")),0))=0,0,((Imóveis!$N$6/Imóveis!$S$6)+((Imóveis!$N$6-((Imóveis!$S$6-(IF(AND(Dados!$A375&gt;=Imóveis!$Q$6,Dados!$A375&lt;=Imóveis!$T$6),Imóveis!$S$6-(DATEDIF(Imóveis!$Q$6,Dados!$A375,"m")),)))*(Imóveis!$N$6/Imóveis!$S$6)))*Imóveis!$P$6))))*IF(AND(Imóveis!$E$6&gt;0,Dados!$A375&gt;Imóveis!$E$6),0,1)*Imóveis!$I$6</f>
        <v>0</v>
      </c>
      <c r="N375" s="18">
        <f t="shared" si="45"/>
        <v>38200</v>
      </c>
      <c r="O375" s="18">
        <f>SUMIFS(Receitas!$F:$F,Receitas!$J:$J,"&lt;="&amp;$A375,Receitas!$L:$L,"&gt;="&amp;$A375,Receitas!$C:$C,O$1,Receitas!$M:$M,"Mensal")+SUMIFS(Receitas!$F:$F,Receitas!$J:$J,"&lt;="&amp;$A375,Receitas!$L:$L,"&gt;="&amp;$A375,Receitas!$C:$C,O$1,Receitas!$M:$M,$B375)</f>
        <v>0</v>
      </c>
      <c r="P375" s="18">
        <f>SUMIFS(Receitas!$F:$F,Receitas!$J:$J,"&lt;="&amp;$A375,Receitas!$L:$L,"&gt;="&amp;$A375,Receitas!$C:$C,P$1,Receitas!$M:$M,"Mensal")+SUMIFS(Receitas!$F:$F,Receitas!$J:$J,"&lt;="&amp;$A375,Receitas!$L:$L,"&gt;="&amp;$A375,Receitas!$C:$C,P$1,Receitas!$M:$M,$B375)</f>
        <v>0</v>
      </c>
      <c r="Q375" s="18">
        <f>SUMIFS(Receitas!$F:$F,Receitas!$J:$J,"&lt;="&amp;$A375,Receitas!$L:$L,"&gt;="&amp;$A375,Receitas!$C:$C,Q$1,Receitas!$M:$M,"Mensal")+SUMIFS(Receitas!$F:$F,Receitas!$J:$J,"&lt;="&amp;$A375,Receitas!$L:$L,"&gt;="&amp;$A375,Receitas!$C:$C,Q$1,Receitas!$M:$M,$B375)</f>
        <v>0</v>
      </c>
      <c r="R375" s="18" cm="1">
        <f t="array" ref="R375">(IF(AND(Membros!$F$2="Sim",A375&lt;=MAX(Membros!$E$2:$E$5)),Membros!K$2,IF(AND(A375&gt;=Membros!J$2,A375&lt;=MAX(Membros!$E$2:$E$5)),Membros!K$2,0))+IF(AND(Membros!$F$3="Sim",A375&lt;=MAX(Membros!$E$2:$E$5)),Membros!K$3,IF(AND(A375&gt;=Membros!J$3,A375&lt;=MAX(Membros!$E$2:$E$5)),Membros!K$3,0)))*IF(AND(COUNTIFS(Tabela3[Tipo],"Provedor",Tabela3[Simulação Seguro],"Sim")=2,A375&gt;=MAX(IF(Tabela3[Tipo]="Dependente",Tabela3[Expectativa de Vida (Data)]))),0,1)</f>
        <v>10000</v>
      </c>
      <c r="S375" s="18">
        <f t="shared" si="46"/>
        <v>10000</v>
      </c>
      <c r="U375" s="18">
        <f t="shared" ca="1" si="49"/>
        <v>24781765.664471202</v>
      </c>
      <c r="V375" s="18">
        <f>SUMIF(Imóveis!E:E,Dados!A:A,Imóveis!Z:Z)-SUMIF(Imóveis!E:E,Dados!A:A,Imóveis!Y:Y)</f>
        <v>0</v>
      </c>
      <c r="W375" s="18">
        <f>-SUMIF(Projetos!N:N,A375,Projetos!F:F)</f>
        <v>0</v>
      </c>
      <c r="X375" s="18">
        <f t="shared" si="43"/>
        <v>-28200</v>
      </c>
      <c r="Y375" s="26">
        <f ca="1">(U375*((Indicadores_Economicos!D$2+1)^(1/12)-1))</f>
        <v>81129.052128910495</v>
      </c>
      <c r="Z375" s="18">
        <f t="shared" ca="1" si="47"/>
        <v>24834694.716600113</v>
      </c>
      <c r="AA375" s="18">
        <f ca="1">Auxiliar_Projetos!E375</f>
        <v>1.3232703597447954E-9</v>
      </c>
      <c r="AB375" s="18">
        <f ca="1">Auxiliar_Projetos!K375</f>
        <v>1.0179002767267646E-9</v>
      </c>
      <c r="AC375" s="18">
        <f ca="1">IF(Z375-AA375-AB375&gt;Investimentos!$C$14,Investimentos!$C$14,IF(Z375-AA375-AB375&lt;Investimentos!$C$14,Z375-AA375-AB375,0))</f>
        <v>300000</v>
      </c>
      <c r="AD375" s="18">
        <f t="shared" ca="1" si="48"/>
        <v>24534694.716600113</v>
      </c>
      <c r="AE375" s="18"/>
    </row>
    <row r="376" spans="1:31" x14ac:dyDescent="0.2">
      <c r="A376" s="4">
        <v>57040</v>
      </c>
      <c r="B376" s="5" t="str">
        <f t="shared" si="44"/>
        <v>março</v>
      </c>
      <c r="C376" s="5" t="str">
        <f t="shared" si="50"/>
        <v>2056</v>
      </c>
      <c r="D376" s="5">
        <f>SUMIFS(Despesas!$F:$F,Despesas!$J:$J,"&lt;="&amp;$A376,Despesas!$L:$L,"&gt;="&amp;$A376,Despesas!$C:$C,D$1,Despesas!$M:$M,"Mensal")+SUMIFS(Despesas!$F:$F,Despesas!$J:$J,"&lt;="&amp;$A376,Despesas!$L:$L,"&gt;="&amp;$A376,Despesas!$C:$C,D$1,Despesas!$M:$M,$B376)</f>
        <v>23000</v>
      </c>
      <c r="E376" s="18">
        <f>SUMIFS(Despesas!$F:$F,Despesas!$J:$J,"&lt;="&amp;$A376,Despesas!$L:$L,"&gt;="&amp;$A376,Despesas!$C:$C,E$1,Despesas!$M:$M,"Mensal")+SUMIFS(Despesas!$F:$F,Despesas!$J:$J,"&lt;="&amp;$A376,Despesas!$L:$L,"&gt;="&amp;$A376,Despesas!$C:$C,E$1,Despesas!$M:$M,$B376)</f>
        <v>0</v>
      </c>
      <c r="F376" s="5">
        <f>SUMIFS(Despesas!$F:$F,Despesas!$J:$J,"&lt;="&amp;$A376,Despesas!$L:$L,"&gt;="&amp;$A376,Despesas!$C:$C,F$1,Despesas!$M:$M,"Mensal")+SUMIFS(Despesas!$F:$F,Despesas!$J:$J,"&lt;="&amp;$A376,Despesas!$L:$L,"&gt;="&amp;$A376,Despesas!$C:$C,F$1,Despesas!$M:$M,$B376)</f>
        <v>13000</v>
      </c>
      <c r="G376" s="5">
        <f>SUMIFS(Despesas!$F:$F,Despesas!$J:$J,"&lt;="&amp;$A376,Despesas!$L:$L,"&gt;="&amp;$A376,Despesas!$C:$C,G$1,Despesas!$M:$M,"Mensal")+SUMIFS(Despesas!$F:$F,Despesas!$J:$J,"&lt;="&amp;$A376,Despesas!$L:$L,"&gt;="&amp;$A376,Despesas!$C:$C,G$1,Despesas!$M:$M,$B376)</f>
        <v>0</v>
      </c>
      <c r="H376" s="18">
        <f>SUMIFS(Despesas!$F:$F,Despesas!$J:$J,"&lt;="&amp;$A376,Despesas!$L:$L,"&gt;="&amp;$A376,Despesas!$C:$C,H$1,Despesas!$M:$M,"Mensal")+SUMIFS(Despesas!$F:$F,Despesas!$J:$J,"&lt;="&amp;$A376,Despesas!$L:$L,"&gt;="&amp;$A376,Despesas!$C:$C,H$1,Despesas!$M:$M,$B376)</f>
        <v>1000</v>
      </c>
      <c r="I376" s="18">
        <f>IF(Imóveis!$F$2="PRICE",IF(AND(Dados!$A376&gt;=Imóveis!$Q$2,Dados!$A376&lt;=Imóveis!$T$2),Imóveis!$U$2,0),IF((IF(AND(Dados!$A376&gt;=Imóveis!$Q$2,Dados!$A376&lt;=Imóveis!$T$2),Imóveis!$S$2-(DATEDIF(Imóveis!$Q$2,Dados!$A376,"m")),0))=0,0,((Imóveis!$N$2/Imóveis!$S$2)+((Imóveis!$N$2-((Imóveis!$S$2-(IF(AND(Dados!$A376&gt;=Imóveis!$Q$2,Dados!$A376&lt;=Imóveis!$T$2),Imóveis!$S$2-(DATEDIF(Imóveis!$Q$2,Dados!$A376,"m")),)))*(Imóveis!$N$2/Imóveis!$S$2)))*Imóveis!$P$2))))*IF(AND(Imóveis!$E$2&gt;0,Dados!$A376&gt;Imóveis!$E$2),0,1)</f>
        <v>0</v>
      </c>
      <c r="J376" s="18">
        <f>IF(Imóveis!$F$3="PRICE",IF(AND(Dados!$A376&gt;=Imóveis!$Q$3,Dados!$A376&lt;=Imóveis!$T$3),Imóveis!$U$3,0),IF((IF(AND(Dados!$A376&gt;=Imóveis!$Q$3,Dados!$A376&lt;=Imóveis!$T$3),Imóveis!$S$3-(DATEDIF(Imóveis!$Q$3,Dados!$A376,"m")),0))=0,0,((Imóveis!$N$3/Imóveis!$S$3)+((Imóveis!$N$3-((Imóveis!$S$3-(IF(AND(Dados!$A376&gt;=Imóveis!$Q$3,Dados!$A376&lt;=Imóveis!$T$3),Imóveis!$S$3-(DATEDIF(Imóveis!$Q$3,Dados!$A376,"m")),)))*(Imóveis!$N$3/Imóveis!$S$3)))*Imóveis!$P$3))))*IF(AND(Imóveis!$E$3&gt;0,Dados!$A376&gt;Imóveis!$E$3),0,1)</f>
        <v>0</v>
      </c>
      <c r="K376" s="18">
        <f>IF(Imóveis!$F$4="PRICE",IF(AND(Dados!$A376&gt;=Imóveis!$Q$4,Dados!$A376&lt;=Imóveis!$T$4),Imóveis!$U$4,0),IF((IF(AND(Dados!$A376&gt;=Imóveis!$Q$4,Dados!$A376&lt;=Imóveis!$T$4),Imóveis!$S$4-(DATEDIF(Imóveis!$Q$4,Dados!$A376,"m")),0))=0,0,((Imóveis!$N$4/Imóveis!$S$4)+((Imóveis!$N$4-((Imóveis!$S$4-(IF(AND(Dados!$A376&gt;=Imóveis!$Q$4,Dados!$A376&lt;=Imóveis!$T$4),Imóveis!$S$4-(DATEDIF(Imóveis!$Q$4,Dados!$A376,"m")),)))*(Imóveis!$N$4/Imóveis!$S$4)))*Imóveis!$P$4))))*IF(AND(Imóveis!$E$4&gt;0,Dados!$A376&gt;Imóveis!$E$4),0,1)</f>
        <v>0</v>
      </c>
      <c r="L376" s="18">
        <f>IF(Imóveis!$F$5="PRICE",IF(AND(Dados!$A376&gt;=Imóveis!$Q$5,Dados!$A376&lt;=Imóveis!$T$5),Imóveis!$U$5,0),IF((IF(AND(Dados!$A376&gt;=Imóveis!$Q$5,Dados!$A376&lt;=Imóveis!$T$5),Imóveis!$S$5-(DATEDIF(Imóveis!$Q$5,Dados!$A376,"m")),0))=0,0,((Imóveis!$N$5/Imóveis!$S$5)+((Imóveis!$N$5-((Imóveis!$S$5-(IF(AND(Dados!$A376 &gt;=Imóveis!$Q$5,Dados!$A376&lt;=Imóveis!$T$5),Imóveis!$S$5-(DATEDIF(Imóveis!$Q$5,Dados!$A376,"m")),)))*(Imóveis!$N$5/Imóveis!$S$5)))*Imóveis!$P$5))))*IF(AND(Imóveis!$E$5&gt;0,Dados!$A376&gt;Imóveis!$E$5),0,1)*Imóveis!$I$5</f>
        <v>0</v>
      </c>
      <c r="M376" s="18">
        <f>IF(Imóveis!$F$6="PRICE",IF(AND(Dados!$A376&gt;=Imóveis!$Q$6,Dados!$A376&lt;=Imóveis!$T$6),Imóveis!$U$6,0),IF((IF(AND(Dados!$A376&gt;=Imóveis!$Q$6,Dados!$A376&lt;=Imóveis!$T$6),Imóveis!$S$6-(DATEDIF(Imóveis!$Q$6,Dados!$A376,"m")),0))=0,0,((Imóveis!$N$6/Imóveis!$S$6)+((Imóveis!$N$6-((Imóveis!$S$6-(IF(AND(Dados!$A376&gt;=Imóveis!$Q$6,Dados!$A376&lt;=Imóveis!$T$6),Imóveis!$S$6-(DATEDIF(Imóveis!$Q$6,Dados!$A376,"m")),)))*(Imóveis!$N$6/Imóveis!$S$6)))*Imóveis!$P$6))))*IF(AND(Imóveis!$E$6&gt;0,Dados!$A376&gt;Imóveis!$E$6),0,1)*Imóveis!$I$6</f>
        <v>0</v>
      </c>
      <c r="N376" s="18">
        <f t="shared" si="45"/>
        <v>37000</v>
      </c>
      <c r="O376" s="18">
        <f>SUMIFS(Receitas!$F:$F,Receitas!$J:$J,"&lt;="&amp;$A376,Receitas!$L:$L,"&gt;="&amp;$A376,Receitas!$C:$C,O$1,Receitas!$M:$M,"Mensal")+SUMIFS(Receitas!$F:$F,Receitas!$J:$J,"&lt;="&amp;$A376,Receitas!$L:$L,"&gt;="&amp;$A376,Receitas!$C:$C,O$1,Receitas!$M:$M,$B376)</f>
        <v>0</v>
      </c>
      <c r="P376" s="18">
        <f>SUMIFS(Receitas!$F:$F,Receitas!$J:$J,"&lt;="&amp;$A376,Receitas!$L:$L,"&gt;="&amp;$A376,Receitas!$C:$C,P$1,Receitas!$M:$M,"Mensal")+SUMIFS(Receitas!$F:$F,Receitas!$J:$J,"&lt;="&amp;$A376,Receitas!$L:$L,"&gt;="&amp;$A376,Receitas!$C:$C,P$1,Receitas!$M:$M,$B376)</f>
        <v>0</v>
      </c>
      <c r="Q376" s="18">
        <f>SUMIFS(Receitas!$F:$F,Receitas!$J:$J,"&lt;="&amp;$A376,Receitas!$L:$L,"&gt;="&amp;$A376,Receitas!$C:$C,Q$1,Receitas!$M:$M,"Mensal")+SUMIFS(Receitas!$F:$F,Receitas!$J:$J,"&lt;="&amp;$A376,Receitas!$L:$L,"&gt;="&amp;$A376,Receitas!$C:$C,Q$1,Receitas!$M:$M,$B376)</f>
        <v>0</v>
      </c>
      <c r="R376" s="18" cm="1">
        <f t="array" ref="R376">(IF(AND(Membros!$F$2="Sim",A376&lt;=MAX(Membros!$E$2:$E$5)),Membros!K$2,IF(AND(A376&gt;=Membros!J$2,A376&lt;=MAX(Membros!$E$2:$E$5)),Membros!K$2,0))+IF(AND(Membros!$F$3="Sim",A376&lt;=MAX(Membros!$E$2:$E$5)),Membros!K$3,IF(AND(A376&gt;=Membros!J$3,A376&lt;=MAX(Membros!$E$2:$E$5)),Membros!K$3,0)))*IF(AND(COUNTIFS(Tabela3[Tipo],"Provedor",Tabela3[Simulação Seguro],"Sim")=2,A376&gt;=MAX(IF(Tabela3[Tipo]="Dependente",Tabela3[Expectativa de Vida (Data)]))),0,1)</f>
        <v>10000</v>
      </c>
      <c r="S376" s="18">
        <f t="shared" si="46"/>
        <v>10000</v>
      </c>
      <c r="U376" s="18">
        <f t="shared" ca="1" si="49"/>
        <v>24834694.716600113</v>
      </c>
      <c r="V376" s="18">
        <f>SUMIF(Imóveis!E:E,Dados!A:A,Imóveis!Z:Z)-SUMIF(Imóveis!E:E,Dados!A:A,Imóveis!Y:Y)</f>
        <v>0</v>
      </c>
      <c r="W376" s="18">
        <f>-SUMIF(Projetos!N:N,A376,Projetos!F:F)</f>
        <v>0</v>
      </c>
      <c r="X376" s="18">
        <f t="shared" si="43"/>
        <v>-27000</v>
      </c>
      <c r="Y376" s="26">
        <f ca="1">(U376*((Indicadores_Economicos!D$2+1)^(1/12)-1))</f>
        <v>81302.328072498989</v>
      </c>
      <c r="Z376" s="18">
        <f t="shared" ca="1" si="47"/>
        <v>24888997.044672612</v>
      </c>
      <c r="AA376" s="18">
        <f ca="1">Auxiliar_Projetos!E376</f>
        <v>1.3276024025640967E-9</v>
      </c>
      <c r="AB376" s="18">
        <f ca="1">Auxiliar_Projetos!K376</f>
        <v>1.0212326173569963E-9</v>
      </c>
      <c r="AC376" s="18">
        <f ca="1">IF(Z376-AA376-AB376&gt;Investimentos!$C$14,Investimentos!$C$14,IF(Z376-AA376-AB376&lt;Investimentos!$C$14,Z376-AA376-AB376,0))</f>
        <v>300000</v>
      </c>
      <c r="AD376" s="18">
        <f t="shared" ca="1" si="48"/>
        <v>24588997.044672612</v>
      </c>
      <c r="AE376" s="18"/>
    </row>
    <row r="377" spans="1:31" x14ac:dyDescent="0.2">
      <c r="A377" s="4">
        <v>57071</v>
      </c>
      <c r="B377" s="5" t="str">
        <f t="shared" si="44"/>
        <v>abril</v>
      </c>
      <c r="C377" s="5" t="str">
        <f t="shared" si="50"/>
        <v>2056</v>
      </c>
      <c r="D377" s="5">
        <f>SUMIFS(Despesas!$F:$F,Despesas!$J:$J,"&lt;="&amp;$A377,Despesas!$L:$L,"&gt;="&amp;$A377,Despesas!$C:$C,D$1,Despesas!$M:$M,"Mensal")+SUMIFS(Despesas!$F:$F,Despesas!$J:$J,"&lt;="&amp;$A377,Despesas!$L:$L,"&gt;="&amp;$A377,Despesas!$C:$C,D$1,Despesas!$M:$M,$B377)</f>
        <v>23000</v>
      </c>
      <c r="E377" s="18">
        <f>SUMIFS(Despesas!$F:$F,Despesas!$J:$J,"&lt;="&amp;$A377,Despesas!$L:$L,"&gt;="&amp;$A377,Despesas!$C:$C,E$1,Despesas!$M:$M,"Mensal")+SUMIFS(Despesas!$F:$F,Despesas!$J:$J,"&lt;="&amp;$A377,Despesas!$L:$L,"&gt;="&amp;$A377,Despesas!$C:$C,E$1,Despesas!$M:$M,$B377)</f>
        <v>0</v>
      </c>
      <c r="F377" s="5">
        <f>SUMIFS(Despesas!$F:$F,Despesas!$J:$J,"&lt;="&amp;$A377,Despesas!$L:$L,"&gt;="&amp;$A377,Despesas!$C:$C,F$1,Despesas!$M:$M,"Mensal")+SUMIFS(Despesas!$F:$F,Despesas!$J:$J,"&lt;="&amp;$A377,Despesas!$L:$L,"&gt;="&amp;$A377,Despesas!$C:$C,F$1,Despesas!$M:$M,$B377)</f>
        <v>13000</v>
      </c>
      <c r="G377" s="5">
        <f>SUMIFS(Despesas!$F:$F,Despesas!$J:$J,"&lt;="&amp;$A377,Despesas!$L:$L,"&gt;="&amp;$A377,Despesas!$C:$C,G$1,Despesas!$M:$M,"Mensal")+SUMIFS(Despesas!$F:$F,Despesas!$J:$J,"&lt;="&amp;$A377,Despesas!$L:$L,"&gt;="&amp;$A377,Despesas!$C:$C,G$1,Despesas!$M:$M,$B377)</f>
        <v>0</v>
      </c>
      <c r="H377" s="18">
        <f>SUMIFS(Despesas!$F:$F,Despesas!$J:$J,"&lt;="&amp;$A377,Despesas!$L:$L,"&gt;="&amp;$A377,Despesas!$C:$C,H$1,Despesas!$M:$M,"Mensal")+SUMIFS(Despesas!$F:$F,Despesas!$J:$J,"&lt;="&amp;$A377,Despesas!$L:$L,"&gt;="&amp;$A377,Despesas!$C:$C,H$1,Despesas!$M:$M,$B377)</f>
        <v>1000</v>
      </c>
      <c r="I377" s="18">
        <f>IF(Imóveis!$F$2="PRICE",IF(AND(Dados!$A377&gt;=Imóveis!$Q$2,Dados!$A377&lt;=Imóveis!$T$2),Imóveis!$U$2,0),IF((IF(AND(Dados!$A377&gt;=Imóveis!$Q$2,Dados!$A377&lt;=Imóveis!$T$2),Imóveis!$S$2-(DATEDIF(Imóveis!$Q$2,Dados!$A377,"m")),0))=0,0,((Imóveis!$N$2/Imóveis!$S$2)+((Imóveis!$N$2-((Imóveis!$S$2-(IF(AND(Dados!$A377&gt;=Imóveis!$Q$2,Dados!$A377&lt;=Imóveis!$T$2),Imóveis!$S$2-(DATEDIF(Imóveis!$Q$2,Dados!$A377,"m")),)))*(Imóveis!$N$2/Imóveis!$S$2)))*Imóveis!$P$2))))*IF(AND(Imóveis!$E$2&gt;0,Dados!$A377&gt;Imóveis!$E$2),0,1)</f>
        <v>0</v>
      </c>
      <c r="J377" s="18">
        <f>IF(Imóveis!$F$3="PRICE",IF(AND(Dados!$A377&gt;=Imóveis!$Q$3,Dados!$A377&lt;=Imóveis!$T$3),Imóveis!$U$3,0),IF((IF(AND(Dados!$A377&gt;=Imóveis!$Q$3,Dados!$A377&lt;=Imóveis!$T$3),Imóveis!$S$3-(DATEDIF(Imóveis!$Q$3,Dados!$A377,"m")),0))=0,0,((Imóveis!$N$3/Imóveis!$S$3)+((Imóveis!$N$3-((Imóveis!$S$3-(IF(AND(Dados!$A377&gt;=Imóveis!$Q$3,Dados!$A377&lt;=Imóveis!$T$3),Imóveis!$S$3-(DATEDIF(Imóveis!$Q$3,Dados!$A377,"m")),)))*(Imóveis!$N$3/Imóveis!$S$3)))*Imóveis!$P$3))))*IF(AND(Imóveis!$E$3&gt;0,Dados!$A377&gt;Imóveis!$E$3),0,1)</f>
        <v>0</v>
      </c>
      <c r="K377" s="18">
        <f>IF(Imóveis!$F$4="PRICE",IF(AND(Dados!$A377&gt;=Imóveis!$Q$4,Dados!$A377&lt;=Imóveis!$T$4),Imóveis!$U$4,0),IF((IF(AND(Dados!$A377&gt;=Imóveis!$Q$4,Dados!$A377&lt;=Imóveis!$T$4),Imóveis!$S$4-(DATEDIF(Imóveis!$Q$4,Dados!$A377,"m")),0))=0,0,((Imóveis!$N$4/Imóveis!$S$4)+((Imóveis!$N$4-((Imóveis!$S$4-(IF(AND(Dados!$A377&gt;=Imóveis!$Q$4,Dados!$A377&lt;=Imóveis!$T$4),Imóveis!$S$4-(DATEDIF(Imóveis!$Q$4,Dados!$A377,"m")),)))*(Imóveis!$N$4/Imóveis!$S$4)))*Imóveis!$P$4))))*IF(AND(Imóveis!$E$4&gt;0,Dados!$A377&gt;Imóveis!$E$4),0,1)</f>
        <v>0</v>
      </c>
      <c r="L377" s="18">
        <f>IF(Imóveis!$F$5="PRICE",IF(AND(Dados!$A377&gt;=Imóveis!$Q$5,Dados!$A377&lt;=Imóveis!$T$5),Imóveis!$U$5,0),IF((IF(AND(Dados!$A377&gt;=Imóveis!$Q$5,Dados!$A377&lt;=Imóveis!$T$5),Imóveis!$S$5-(DATEDIF(Imóveis!$Q$5,Dados!$A377,"m")),0))=0,0,((Imóveis!$N$5/Imóveis!$S$5)+((Imóveis!$N$5-((Imóveis!$S$5-(IF(AND(Dados!$A377 &gt;=Imóveis!$Q$5,Dados!$A377&lt;=Imóveis!$T$5),Imóveis!$S$5-(DATEDIF(Imóveis!$Q$5,Dados!$A377,"m")),)))*(Imóveis!$N$5/Imóveis!$S$5)))*Imóveis!$P$5))))*IF(AND(Imóveis!$E$5&gt;0,Dados!$A377&gt;Imóveis!$E$5),0,1)*Imóveis!$I$5</f>
        <v>0</v>
      </c>
      <c r="M377" s="18">
        <f>IF(Imóveis!$F$6="PRICE",IF(AND(Dados!$A377&gt;=Imóveis!$Q$6,Dados!$A377&lt;=Imóveis!$T$6),Imóveis!$U$6,0),IF((IF(AND(Dados!$A377&gt;=Imóveis!$Q$6,Dados!$A377&lt;=Imóveis!$T$6),Imóveis!$S$6-(DATEDIF(Imóveis!$Q$6,Dados!$A377,"m")),0))=0,0,((Imóveis!$N$6/Imóveis!$S$6)+((Imóveis!$N$6-((Imóveis!$S$6-(IF(AND(Dados!$A377&gt;=Imóveis!$Q$6,Dados!$A377&lt;=Imóveis!$T$6),Imóveis!$S$6-(DATEDIF(Imóveis!$Q$6,Dados!$A377,"m")),)))*(Imóveis!$N$6/Imóveis!$S$6)))*Imóveis!$P$6))))*IF(AND(Imóveis!$E$6&gt;0,Dados!$A377&gt;Imóveis!$E$6),0,1)*Imóveis!$I$6</f>
        <v>0</v>
      </c>
      <c r="N377" s="18">
        <f t="shared" si="45"/>
        <v>37000</v>
      </c>
      <c r="O377" s="18">
        <f>SUMIFS(Receitas!$F:$F,Receitas!$J:$J,"&lt;="&amp;$A377,Receitas!$L:$L,"&gt;="&amp;$A377,Receitas!$C:$C,O$1,Receitas!$M:$M,"Mensal")+SUMIFS(Receitas!$F:$F,Receitas!$J:$J,"&lt;="&amp;$A377,Receitas!$L:$L,"&gt;="&amp;$A377,Receitas!$C:$C,O$1,Receitas!$M:$M,$B377)</f>
        <v>0</v>
      </c>
      <c r="P377" s="18">
        <f>SUMIFS(Receitas!$F:$F,Receitas!$J:$J,"&lt;="&amp;$A377,Receitas!$L:$L,"&gt;="&amp;$A377,Receitas!$C:$C,P$1,Receitas!$M:$M,"Mensal")+SUMIFS(Receitas!$F:$F,Receitas!$J:$J,"&lt;="&amp;$A377,Receitas!$L:$L,"&gt;="&amp;$A377,Receitas!$C:$C,P$1,Receitas!$M:$M,$B377)</f>
        <v>0</v>
      </c>
      <c r="Q377" s="18">
        <f>SUMIFS(Receitas!$F:$F,Receitas!$J:$J,"&lt;="&amp;$A377,Receitas!$L:$L,"&gt;="&amp;$A377,Receitas!$C:$C,Q$1,Receitas!$M:$M,"Mensal")+SUMIFS(Receitas!$F:$F,Receitas!$J:$J,"&lt;="&amp;$A377,Receitas!$L:$L,"&gt;="&amp;$A377,Receitas!$C:$C,Q$1,Receitas!$M:$M,$B377)</f>
        <v>0</v>
      </c>
      <c r="R377" s="18" cm="1">
        <f t="array" ref="R377">(IF(AND(Membros!$F$2="Sim",A377&lt;=MAX(Membros!$E$2:$E$5)),Membros!K$2,IF(AND(A377&gt;=Membros!J$2,A377&lt;=MAX(Membros!$E$2:$E$5)),Membros!K$2,0))+IF(AND(Membros!$F$3="Sim",A377&lt;=MAX(Membros!$E$2:$E$5)),Membros!K$3,IF(AND(A377&gt;=Membros!J$3,A377&lt;=MAX(Membros!$E$2:$E$5)),Membros!K$3,0)))*IF(AND(COUNTIFS(Tabela3[Tipo],"Provedor",Tabela3[Simulação Seguro],"Sim")=2,A377&gt;=MAX(IF(Tabela3[Tipo]="Dependente",Tabela3[Expectativa de Vida (Data)]))),0,1)</f>
        <v>10000</v>
      </c>
      <c r="S377" s="18">
        <f t="shared" si="46"/>
        <v>10000</v>
      </c>
      <c r="U377" s="18">
        <f t="shared" ca="1" si="49"/>
        <v>24888997.044672612</v>
      </c>
      <c r="V377" s="18">
        <f>SUMIF(Imóveis!E:E,Dados!A:A,Imóveis!Z:Z)-SUMIF(Imóveis!E:E,Dados!A:A,Imóveis!Y:Y)</f>
        <v>0</v>
      </c>
      <c r="W377" s="18">
        <f>-SUMIF(Projetos!N:N,A377,Projetos!F:F)</f>
        <v>0</v>
      </c>
      <c r="X377" s="18">
        <f t="shared" si="43"/>
        <v>-27000</v>
      </c>
      <c r="Y377" s="26">
        <f ca="1">(U377*((Indicadores_Economicos!D$2+1)^(1/12)-1))</f>
        <v>81480.099764175946</v>
      </c>
      <c r="Z377" s="18">
        <f t="shared" ca="1" si="47"/>
        <v>24943477.144436788</v>
      </c>
      <c r="AA377" s="18">
        <f ca="1">Auxiliar_Projetos!E377</f>
        <v>1.3319486273643137E-9</v>
      </c>
      <c r="AB377" s="18">
        <f ca="1">Auxiliar_Projetos!K377</f>
        <v>1.024575867203317E-9</v>
      </c>
      <c r="AC377" s="18">
        <f ca="1">IF(Z377-AA377-AB377&gt;Investimentos!$C$14,Investimentos!$C$14,IF(Z377-AA377-AB377&lt;Investimentos!$C$14,Z377-AA377-AB377,0))</f>
        <v>300000</v>
      </c>
      <c r="AD377" s="18">
        <f t="shared" ca="1" si="48"/>
        <v>24643477.144436788</v>
      </c>
      <c r="AE377" s="18"/>
    </row>
    <row r="378" spans="1:31" x14ac:dyDescent="0.2">
      <c r="A378" s="4">
        <v>57101</v>
      </c>
      <c r="B378" s="5" t="str">
        <f t="shared" si="44"/>
        <v>maio</v>
      </c>
      <c r="C378" s="5" t="str">
        <f t="shared" si="50"/>
        <v>2056</v>
      </c>
      <c r="D378" s="5">
        <f>SUMIFS(Despesas!$F:$F,Despesas!$J:$J,"&lt;="&amp;$A378,Despesas!$L:$L,"&gt;="&amp;$A378,Despesas!$C:$C,D$1,Despesas!$M:$M,"Mensal")+SUMIFS(Despesas!$F:$F,Despesas!$J:$J,"&lt;="&amp;$A378,Despesas!$L:$L,"&gt;="&amp;$A378,Despesas!$C:$C,D$1,Despesas!$M:$M,$B378)</f>
        <v>23000</v>
      </c>
      <c r="E378" s="18">
        <f>SUMIFS(Despesas!$F:$F,Despesas!$J:$J,"&lt;="&amp;$A378,Despesas!$L:$L,"&gt;="&amp;$A378,Despesas!$C:$C,E$1,Despesas!$M:$M,"Mensal")+SUMIFS(Despesas!$F:$F,Despesas!$J:$J,"&lt;="&amp;$A378,Despesas!$L:$L,"&gt;="&amp;$A378,Despesas!$C:$C,E$1,Despesas!$M:$M,$B378)</f>
        <v>0</v>
      </c>
      <c r="F378" s="5">
        <f>SUMIFS(Despesas!$F:$F,Despesas!$J:$J,"&lt;="&amp;$A378,Despesas!$L:$L,"&gt;="&amp;$A378,Despesas!$C:$C,F$1,Despesas!$M:$M,"Mensal")+SUMIFS(Despesas!$F:$F,Despesas!$J:$J,"&lt;="&amp;$A378,Despesas!$L:$L,"&gt;="&amp;$A378,Despesas!$C:$C,F$1,Despesas!$M:$M,$B378)</f>
        <v>13000</v>
      </c>
      <c r="G378" s="5">
        <f>SUMIFS(Despesas!$F:$F,Despesas!$J:$J,"&lt;="&amp;$A378,Despesas!$L:$L,"&gt;="&amp;$A378,Despesas!$C:$C,G$1,Despesas!$M:$M,"Mensal")+SUMIFS(Despesas!$F:$F,Despesas!$J:$J,"&lt;="&amp;$A378,Despesas!$L:$L,"&gt;="&amp;$A378,Despesas!$C:$C,G$1,Despesas!$M:$M,$B378)</f>
        <v>0</v>
      </c>
      <c r="H378" s="18">
        <f>SUMIFS(Despesas!$F:$F,Despesas!$J:$J,"&lt;="&amp;$A378,Despesas!$L:$L,"&gt;="&amp;$A378,Despesas!$C:$C,H$1,Despesas!$M:$M,"Mensal")+SUMIFS(Despesas!$F:$F,Despesas!$J:$J,"&lt;="&amp;$A378,Despesas!$L:$L,"&gt;="&amp;$A378,Despesas!$C:$C,H$1,Despesas!$M:$M,$B378)</f>
        <v>1000</v>
      </c>
      <c r="I378" s="18">
        <f>IF(Imóveis!$F$2="PRICE",IF(AND(Dados!$A378&gt;=Imóveis!$Q$2,Dados!$A378&lt;=Imóveis!$T$2),Imóveis!$U$2,0),IF((IF(AND(Dados!$A378&gt;=Imóveis!$Q$2,Dados!$A378&lt;=Imóveis!$T$2),Imóveis!$S$2-(DATEDIF(Imóveis!$Q$2,Dados!$A378,"m")),0))=0,0,((Imóveis!$N$2/Imóveis!$S$2)+((Imóveis!$N$2-((Imóveis!$S$2-(IF(AND(Dados!$A378&gt;=Imóveis!$Q$2,Dados!$A378&lt;=Imóveis!$T$2),Imóveis!$S$2-(DATEDIF(Imóveis!$Q$2,Dados!$A378,"m")),)))*(Imóveis!$N$2/Imóveis!$S$2)))*Imóveis!$P$2))))*IF(AND(Imóveis!$E$2&gt;0,Dados!$A378&gt;Imóveis!$E$2),0,1)</f>
        <v>0</v>
      </c>
      <c r="J378" s="18">
        <f>IF(Imóveis!$F$3="PRICE",IF(AND(Dados!$A378&gt;=Imóveis!$Q$3,Dados!$A378&lt;=Imóveis!$T$3),Imóveis!$U$3,0),IF((IF(AND(Dados!$A378&gt;=Imóveis!$Q$3,Dados!$A378&lt;=Imóveis!$T$3),Imóveis!$S$3-(DATEDIF(Imóveis!$Q$3,Dados!$A378,"m")),0))=0,0,((Imóveis!$N$3/Imóveis!$S$3)+((Imóveis!$N$3-((Imóveis!$S$3-(IF(AND(Dados!$A378&gt;=Imóveis!$Q$3,Dados!$A378&lt;=Imóveis!$T$3),Imóveis!$S$3-(DATEDIF(Imóveis!$Q$3,Dados!$A378,"m")),)))*(Imóveis!$N$3/Imóveis!$S$3)))*Imóveis!$P$3))))*IF(AND(Imóveis!$E$3&gt;0,Dados!$A378&gt;Imóveis!$E$3),0,1)</f>
        <v>0</v>
      </c>
      <c r="K378" s="18">
        <f>IF(Imóveis!$F$4="PRICE",IF(AND(Dados!$A378&gt;=Imóveis!$Q$4,Dados!$A378&lt;=Imóveis!$T$4),Imóveis!$U$4,0),IF((IF(AND(Dados!$A378&gt;=Imóveis!$Q$4,Dados!$A378&lt;=Imóveis!$T$4),Imóveis!$S$4-(DATEDIF(Imóveis!$Q$4,Dados!$A378,"m")),0))=0,0,((Imóveis!$N$4/Imóveis!$S$4)+((Imóveis!$N$4-((Imóveis!$S$4-(IF(AND(Dados!$A378&gt;=Imóveis!$Q$4,Dados!$A378&lt;=Imóveis!$T$4),Imóveis!$S$4-(DATEDIF(Imóveis!$Q$4,Dados!$A378,"m")),)))*(Imóveis!$N$4/Imóveis!$S$4)))*Imóveis!$P$4))))*IF(AND(Imóveis!$E$4&gt;0,Dados!$A378&gt;Imóveis!$E$4),0,1)</f>
        <v>0</v>
      </c>
      <c r="L378" s="18">
        <f>IF(Imóveis!$F$5="PRICE",IF(AND(Dados!$A378&gt;=Imóveis!$Q$5,Dados!$A378&lt;=Imóveis!$T$5),Imóveis!$U$5,0),IF((IF(AND(Dados!$A378&gt;=Imóveis!$Q$5,Dados!$A378&lt;=Imóveis!$T$5),Imóveis!$S$5-(DATEDIF(Imóveis!$Q$5,Dados!$A378,"m")),0))=0,0,((Imóveis!$N$5/Imóveis!$S$5)+((Imóveis!$N$5-((Imóveis!$S$5-(IF(AND(Dados!$A378 &gt;=Imóveis!$Q$5,Dados!$A378&lt;=Imóveis!$T$5),Imóveis!$S$5-(DATEDIF(Imóveis!$Q$5,Dados!$A378,"m")),)))*(Imóveis!$N$5/Imóveis!$S$5)))*Imóveis!$P$5))))*IF(AND(Imóveis!$E$5&gt;0,Dados!$A378&gt;Imóveis!$E$5),0,1)*Imóveis!$I$5</f>
        <v>0</v>
      </c>
      <c r="M378" s="18">
        <f>IF(Imóveis!$F$6="PRICE",IF(AND(Dados!$A378&gt;=Imóveis!$Q$6,Dados!$A378&lt;=Imóveis!$T$6),Imóveis!$U$6,0),IF((IF(AND(Dados!$A378&gt;=Imóveis!$Q$6,Dados!$A378&lt;=Imóveis!$T$6),Imóveis!$S$6-(DATEDIF(Imóveis!$Q$6,Dados!$A378,"m")),0))=0,0,((Imóveis!$N$6/Imóveis!$S$6)+((Imóveis!$N$6-((Imóveis!$S$6-(IF(AND(Dados!$A378&gt;=Imóveis!$Q$6,Dados!$A378&lt;=Imóveis!$T$6),Imóveis!$S$6-(DATEDIF(Imóveis!$Q$6,Dados!$A378,"m")),)))*(Imóveis!$N$6/Imóveis!$S$6)))*Imóveis!$P$6))))*IF(AND(Imóveis!$E$6&gt;0,Dados!$A378&gt;Imóveis!$E$6),0,1)*Imóveis!$I$6</f>
        <v>0</v>
      </c>
      <c r="N378" s="18">
        <f t="shared" si="45"/>
        <v>37000</v>
      </c>
      <c r="O378" s="18">
        <f>SUMIFS(Receitas!$F:$F,Receitas!$J:$J,"&lt;="&amp;$A378,Receitas!$L:$L,"&gt;="&amp;$A378,Receitas!$C:$C,O$1,Receitas!$M:$M,"Mensal")+SUMIFS(Receitas!$F:$F,Receitas!$J:$J,"&lt;="&amp;$A378,Receitas!$L:$L,"&gt;="&amp;$A378,Receitas!$C:$C,O$1,Receitas!$M:$M,$B378)</f>
        <v>0</v>
      </c>
      <c r="P378" s="18">
        <f>SUMIFS(Receitas!$F:$F,Receitas!$J:$J,"&lt;="&amp;$A378,Receitas!$L:$L,"&gt;="&amp;$A378,Receitas!$C:$C,P$1,Receitas!$M:$M,"Mensal")+SUMIFS(Receitas!$F:$F,Receitas!$J:$J,"&lt;="&amp;$A378,Receitas!$L:$L,"&gt;="&amp;$A378,Receitas!$C:$C,P$1,Receitas!$M:$M,$B378)</f>
        <v>0</v>
      </c>
      <c r="Q378" s="18">
        <f>SUMIFS(Receitas!$F:$F,Receitas!$J:$J,"&lt;="&amp;$A378,Receitas!$L:$L,"&gt;="&amp;$A378,Receitas!$C:$C,Q$1,Receitas!$M:$M,"Mensal")+SUMIFS(Receitas!$F:$F,Receitas!$J:$J,"&lt;="&amp;$A378,Receitas!$L:$L,"&gt;="&amp;$A378,Receitas!$C:$C,Q$1,Receitas!$M:$M,$B378)</f>
        <v>0</v>
      </c>
      <c r="R378" s="18" cm="1">
        <f t="array" ref="R378">(IF(AND(Membros!$F$2="Sim",A378&lt;=MAX(Membros!$E$2:$E$5)),Membros!K$2,IF(AND(A378&gt;=Membros!J$2,A378&lt;=MAX(Membros!$E$2:$E$5)),Membros!K$2,0))+IF(AND(Membros!$F$3="Sim",A378&lt;=MAX(Membros!$E$2:$E$5)),Membros!K$3,IF(AND(A378&gt;=Membros!J$3,A378&lt;=MAX(Membros!$E$2:$E$5)),Membros!K$3,0)))*IF(AND(COUNTIFS(Tabela3[Tipo],"Provedor",Tabela3[Simulação Seguro],"Sim")=2,A378&gt;=MAX(IF(Tabela3[Tipo]="Dependente",Tabela3[Expectativa de Vida (Data)]))),0,1)</f>
        <v>10000</v>
      </c>
      <c r="S378" s="18">
        <f t="shared" si="46"/>
        <v>10000</v>
      </c>
      <c r="U378" s="18">
        <f t="shared" ca="1" si="49"/>
        <v>24943477.144436788</v>
      </c>
      <c r="V378" s="18">
        <f>SUMIF(Imóveis!E:E,Dados!A:A,Imóveis!Z:Z)-SUMIF(Imóveis!E:E,Dados!A:A,Imóveis!Y:Y)</f>
        <v>0</v>
      </c>
      <c r="W378" s="18">
        <f>-SUMIF(Projetos!N:N,A378,Projetos!F:F)</f>
        <v>0</v>
      </c>
      <c r="X378" s="18">
        <f t="shared" si="43"/>
        <v>-27000</v>
      </c>
      <c r="Y378" s="26">
        <f ca="1">(U378*((Indicadores_Economicos!D$2+1)^(1/12)-1))</f>
        <v>81658.453434112089</v>
      </c>
      <c r="Z378" s="18">
        <f t="shared" ca="1" si="47"/>
        <v>24998135.597870901</v>
      </c>
      <c r="AA378" s="18">
        <f ca="1">Auxiliar_Projetos!E378</f>
        <v>1.3363090805735616E-9</v>
      </c>
      <c r="AB378" s="18">
        <f ca="1">Auxiliar_Projetos!K378</f>
        <v>1.0279300619796614E-9</v>
      </c>
      <c r="AC378" s="18">
        <f ca="1">IF(Z378-AA378-AB378&gt;Investimentos!$C$14,Investimentos!$C$14,IF(Z378-AA378-AB378&lt;Investimentos!$C$14,Z378-AA378-AB378,0))</f>
        <v>300000</v>
      </c>
      <c r="AD378" s="18">
        <f t="shared" ca="1" si="48"/>
        <v>24698135.597870901</v>
      </c>
      <c r="AE378" s="18"/>
    </row>
    <row r="379" spans="1:31" x14ac:dyDescent="0.2">
      <c r="A379" s="4">
        <v>57132</v>
      </c>
      <c r="B379" s="5" t="str">
        <f t="shared" si="44"/>
        <v>junho</v>
      </c>
      <c r="C379" s="5" t="str">
        <f t="shared" si="50"/>
        <v>2056</v>
      </c>
      <c r="D379" s="5">
        <f>SUMIFS(Despesas!$F:$F,Despesas!$J:$J,"&lt;="&amp;$A379,Despesas!$L:$L,"&gt;="&amp;$A379,Despesas!$C:$C,D$1,Despesas!$M:$M,"Mensal")+SUMIFS(Despesas!$F:$F,Despesas!$J:$J,"&lt;="&amp;$A379,Despesas!$L:$L,"&gt;="&amp;$A379,Despesas!$C:$C,D$1,Despesas!$M:$M,$B379)</f>
        <v>23000</v>
      </c>
      <c r="E379" s="18">
        <f>SUMIFS(Despesas!$F:$F,Despesas!$J:$J,"&lt;="&amp;$A379,Despesas!$L:$L,"&gt;="&amp;$A379,Despesas!$C:$C,E$1,Despesas!$M:$M,"Mensal")+SUMIFS(Despesas!$F:$F,Despesas!$J:$J,"&lt;="&amp;$A379,Despesas!$L:$L,"&gt;="&amp;$A379,Despesas!$C:$C,E$1,Despesas!$M:$M,$B379)</f>
        <v>0</v>
      </c>
      <c r="F379" s="5">
        <f>SUMIFS(Despesas!$F:$F,Despesas!$J:$J,"&lt;="&amp;$A379,Despesas!$L:$L,"&gt;="&amp;$A379,Despesas!$C:$C,F$1,Despesas!$M:$M,"Mensal")+SUMIFS(Despesas!$F:$F,Despesas!$J:$J,"&lt;="&amp;$A379,Despesas!$L:$L,"&gt;="&amp;$A379,Despesas!$C:$C,F$1,Despesas!$M:$M,$B379)</f>
        <v>13000</v>
      </c>
      <c r="G379" s="5">
        <f>SUMIFS(Despesas!$F:$F,Despesas!$J:$J,"&lt;="&amp;$A379,Despesas!$L:$L,"&gt;="&amp;$A379,Despesas!$C:$C,G$1,Despesas!$M:$M,"Mensal")+SUMIFS(Despesas!$F:$F,Despesas!$J:$J,"&lt;="&amp;$A379,Despesas!$L:$L,"&gt;="&amp;$A379,Despesas!$C:$C,G$1,Despesas!$M:$M,$B379)</f>
        <v>0</v>
      </c>
      <c r="H379" s="18">
        <f>SUMIFS(Despesas!$F:$F,Despesas!$J:$J,"&lt;="&amp;$A379,Despesas!$L:$L,"&gt;="&amp;$A379,Despesas!$C:$C,H$1,Despesas!$M:$M,"Mensal")+SUMIFS(Despesas!$F:$F,Despesas!$J:$J,"&lt;="&amp;$A379,Despesas!$L:$L,"&gt;="&amp;$A379,Despesas!$C:$C,H$1,Despesas!$M:$M,$B379)</f>
        <v>1000</v>
      </c>
      <c r="I379" s="18">
        <f>IF(Imóveis!$F$2="PRICE",IF(AND(Dados!$A379&gt;=Imóveis!$Q$2,Dados!$A379&lt;=Imóveis!$T$2),Imóveis!$U$2,0),IF((IF(AND(Dados!$A379&gt;=Imóveis!$Q$2,Dados!$A379&lt;=Imóveis!$T$2),Imóveis!$S$2-(DATEDIF(Imóveis!$Q$2,Dados!$A379,"m")),0))=0,0,((Imóveis!$N$2/Imóveis!$S$2)+((Imóveis!$N$2-((Imóveis!$S$2-(IF(AND(Dados!$A379&gt;=Imóveis!$Q$2,Dados!$A379&lt;=Imóveis!$T$2),Imóveis!$S$2-(DATEDIF(Imóveis!$Q$2,Dados!$A379,"m")),)))*(Imóveis!$N$2/Imóveis!$S$2)))*Imóveis!$P$2))))*IF(AND(Imóveis!$E$2&gt;0,Dados!$A379&gt;Imóveis!$E$2),0,1)</f>
        <v>0</v>
      </c>
      <c r="J379" s="18">
        <f>IF(Imóveis!$F$3="PRICE",IF(AND(Dados!$A379&gt;=Imóveis!$Q$3,Dados!$A379&lt;=Imóveis!$T$3),Imóveis!$U$3,0),IF((IF(AND(Dados!$A379&gt;=Imóveis!$Q$3,Dados!$A379&lt;=Imóveis!$T$3),Imóveis!$S$3-(DATEDIF(Imóveis!$Q$3,Dados!$A379,"m")),0))=0,0,((Imóveis!$N$3/Imóveis!$S$3)+((Imóveis!$N$3-((Imóveis!$S$3-(IF(AND(Dados!$A379&gt;=Imóveis!$Q$3,Dados!$A379&lt;=Imóveis!$T$3),Imóveis!$S$3-(DATEDIF(Imóveis!$Q$3,Dados!$A379,"m")),)))*(Imóveis!$N$3/Imóveis!$S$3)))*Imóveis!$P$3))))*IF(AND(Imóveis!$E$3&gt;0,Dados!$A379&gt;Imóveis!$E$3),0,1)</f>
        <v>0</v>
      </c>
      <c r="K379" s="18">
        <f>IF(Imóveis!$F$4="PRICE",IF(AND(Dados!$A379&gt;=Imóveis!$Q$4,Dados!$A379&lt;=Imóveis!$T$4),Imóveis!$U$4,0),IF((IF(AND(Dados!$A379&gt;=Imóveis!$Q$4,Dados!$A379&lt;=Imóveis!$T$4),Imóveis!$S$4-(DATEDIF(Imóveis!$Q$4,Dados!$A379,"m")),0))=0,0,((Imóveis!$N$4/Imóveis!$S$4)+((Imóveis!$N$4-((Imóveis!$S$4-(IF(AND(Dados!$A379&gt;=Imóveis!$Q$4,Dados!$A379&lt;=Imóveis!$T$4),Imóveis!$S$4-(DATEDIF(Imóveis!$Q$4,Dados!$A379,"m")),)))*(Imóveis!$N$4/Imóveis!$S$4)))*Imóveis!$P$4))))*IF(AND(Imóveis!$E$4&gt;0,Dados!$A379&gt;Imóveis!$E$4),0,1)</f>
        <v>0</v>
      </c>
      <c r="L379" s="18">
        <f>IF(Imóveis!$F$5="PRICE",IF(AND(Dados!$A379&gt;=Imóveis!$Q$5,Dados!$A379&lt;=Imóveis!$T$5),Imóveis!$U$5,0),IF((IF(AND(Dados!$A379&gt;=Imóveis!$Q$5,Dados!$A379&lt;=Imóveis!$T$5),Imóveis!$S$5-(DATEDIF(Imóveis!$Q$5,Dados!$A379,"m")),0))=0,0,((Imóveis!$N$5/Imóveis!$S$5)+((Imóveis!$N$5-((Imóveis!$S$5-(IF(AND(Dados!$A379 &gt;=Imóveis!$Q$5,Dados!$A379&lt;=Imóveis!$T$5),Imóveis!$S$5-(DATEDIF(Imóveis!$Q$5,Dados!$A379,"m")),)))*(Imóveis!$N$5/Imóveis!$S$5)))*Imóveis!$P$5))))*IF(AND(Imóveis!$E$5&gt;0,Dados!$A379&gt;Imóveis!$E$5),0,1)*Imóveis!$I$5</f>
        <v>0</v>
      </c>
      <c r="M379" s="18">
        <f>IF(Imóveis!$F$6="PRICE",IF(AND(Dados!$A379&gt;=Imóveis!$Q$6,Dados!$A379&lt;=Imóveis!$T$6),Imóveis!$U$6,0),IF((IF(AND(Dados!$A379&gt;=Imóveis!$Q$6,Dados!$A379&lt;=Imóveis!$T$6),Imóveis!$S$6-(DATEDIF(Imóveis!$Q$6,Dados!$A379,"m")),0))=0,0,((Imóveis!$N$6/Imóveis!$S$6)+((Imóveis!$N$6-((Imóveis!$S$6-(IF(AND(Dados!$A379&gt;=Imóveis!$Q$6,Dados!$A379&lt;=Imóveis!$T$6),Imóveis!$S$6-(DATEDIF(Imóveis!$Q$6,Dados!$A379,"m")),)))*(Imóveis!$N$6/Imóveis!$S$6)))*Imóveis!$P$6))))*IF(AND(Imóveis!$E$6&gt;0,Dados!$A379&gt;Imóveis!$E$6),0,1)*Imóveis!$I$6</f>
        <v>0</v>
      </c>
      <c r="N379" s="18">
        <f t="shared" si="45"/>
        <v>37000</v>
      </c>
      <c r="O379" s="18">
        <f>SUMIFS(Receitas!$F:$F,Receitas!$J:$J,"&lt;="&amp;$A379,Receitas!$L:$L,"&gt;="&amp;$A379,Receitas!$C:$C,O$1,Receitas!$M:$M,"Mensal")+SUMIFS(Receitas!$F:$F,Receitas!$J:$J,"&lt;="&amp;$A379,Receitas!$L:$L,"&gt;="&amp;$A379,Receitas!$C:$C,O$1,Receitas!$M:$M,$B379)</f>
        <v>0</v>
      </c>
      <c r="P379" s="18">
        <f>SUMIFS(Receitas!$F:$F,Receitas!$J:$J,"&lt;="&amp;$A379,Receitas!$L:$L,"&gt;="&amp;$A379,Receitas!$C:$C,P$1,Receitas!$M:$M,"Mensal")+SUMIFS(Receitas!$F:$F,Receitas!$J:$J,"&lt;="&amp;$A379,Receitas!$L:$L,"&gt;="&amp;$A379,Receitas!$C:$C,P$1,Receitas!$M:$M,$B379)</f>
        <v>0</v>
      </c>
      <c r="Q379" s="18">
        <f>SUMIFS(Receitas!$F:$F,Receitas!$J:$J,"&lt;="&amp;$A379,Receitas!$L:$L,"&gt;="&amp;$A379,Receitas!$C:$C,Q$1,Receitas!$M:$M,"Mensal")+SUMIFS(Receitas!$F:$F,Receitas!$J:$J,"&lt;="&amp;$A379,Receitas!$L:$L,"&gt;="&amp;$A379,Receitas!$C:$C,Q$1,Receitas!$M:$M,$B379)</f>
        <v>0</v>
      </c>
      <c r="R379" s="18" cm="1">
        <f t="array" ref="R379">(IF(AND(Membros!$F$2="Sim",A379&lt;=MAX(Membros!$E$2:$E$5)),Membros!K$2,IF(AND(A379&gt;=Membros!J$2,A379&lt;=MAX(Membros!$E$2:$E$5)),Membros!K$2,0))+IF(AND(Membros!$F$3="Sim",A379&lt;=MAX(Membros!$E$2:$E$5)),Membros!K$3,IF(AND(A379&gt;=Membros!J$3,A379&lt;=MAX(Membros!$E$2:$E$5)),Membros!K$3,0)))*IF(AND(COUNTIFS(Tabela3[Tipo],"Provedor",Tabela3[Simulação Seguro],"Sim")=2,A379&gt;=MAX(IF(Tabela3[Tipo]="Dependente",Tabela3[Expectativa de Vida (Data)]))),0,1)</f>
        <v>10000</v>
      </c>
      <c r="S379" s="18">
        <f t="shared" si="46"/>
        <v>10000</v>
      </c>
      <c r="U379" s="18">
        <f t="shared" ca="1" si="49"/>
        <v>24998135.597870901</v>
      </c>
      <c r="V379" s="18">
        <f>SUMIF(Imóveis!E:E,Dados!A:A,Imóveis!Z:Z)-SUMIF(Imóveis!E:E,Dados!A:A,Imóveis!Y:Y)</f>
        <v>0</v>
      </c>
      <c r="W379" s="18">
        <f>-SUMIF(Projetos!N:N,A379,Projetos!F:F)</f>
        <v>0</v>
      </c>
      <c r="X379" s="18">
        <f t="shared" si="43"/>
        <v>-27000</v>
      </c>
      <c r="Y379" s="26">
        <f ca="1">(U379*((Indicadores_Economicos!D$2+1)^(1/12)-1))</f>
        <v>81837.390987552819</v>
      </c>
      <c r="Z379" s="18">
        <f t="shared" ca="1" si="47"/>
        <v>25052972.988858454</v>
      </c>
      <c r="AA379" s="18">
        <f ca="1">Auxiliar_Projetos!E379</f>
        <v>1.3406838087719488E-9</v>
      </c>
      <c r="AB379" s="18">
        <f ca="1">Auxiliar_Projetos!K379</f>
        <v>1.0312952375168824E-9</v>
      </c>
      <c r="AC379" s="18">
        <f ca="1">IF(Z379-AA379-AB379&gt;Investimentos!$C$14,Investimentos!$C$14,IF(Z379-AA379-AB379&lt;Investimentos!$C$14,Z379-AA379-AB379,0))</f>
        <v>300000</v>
      </c>
      <c r="AD379" s="18">
        <f t="shared" ca="1" si="48"/>
        <v>24752972.988858454</v>
      </c>
      <c r="AE379" s="18"/>
    </row>
    <row r="380" spans="1:31" x14ac:dyDescent="0.2">
      <c r="A380" s="4">
        <v>57162</v>
      </c>
      <c r="B380" s="5" t="str">
        <f t="shared" si="44"/>
        <v>julho</v>
      </c>
      <c r="C380" s="5" t="str">
        <f t="shared" si="50"/>
        <v>2056</v>
      </c>
      <c r="D380" s="5">
        <f>SUMIFS(Despesas!$F:$F,Despesas!$J:$J,"&lt;="&amp;$A380,Despesas!$L:$L,"&gt;="&amp;$A380,Despesas!$C:$C,D$1,Despesas!$M:$M,"Mensal")+SUMIFS(Despesas!$F:$F,Despesas!$J:$J,"&lt;="&amp;$A380,Despesas!$L:$L,"&gt;="&amp;$A380,Despesas!$C:$C,D$1,Despesas!$M:$M,$B380)</f>
        <v>23000</v>
      </c>
      <c r="E380" s="18">
        <f>SUMIFS(Despesas!$F:$F,Despesas!$J:$J,"&lt;="&amp;$A380,Despesas!$L:$L,"&gt;="&amp;$A380,Despesas!$C:$C,E$1,Despesas!$M:$M,"Mensal")+SUMIFS(Despesas!$F:$F,Despesas!$J:$J,"&lt;="&amp;$A380,Despesas!$L:$L,"&gt;="&amp;$A380,Despesas!$C:$C,E$1,Despesas!$M:$M,$B380)</f>
        <v>0</v>
      </c>
      <c r="F380" s="5">
        <f>SUMIFS(Despesas!$F:$F,Despesas!$J:$J,"&lt;="&amp;$A380,Despesas!$L:$L,"&gt;="&amp;$A380,Despesas!$C:$C,F$1,Despesas!$M:$M,"Mensal")+SUMIFS(Despesas!$F:$F,Despesas!$J:$J,"&lt;="&amp;$A380,Despesas!$L:$L,"&gt;="&amp;$A380,Despesas!$C:$C,F$1,Despesas!$M:$M,$B380)</f>
        <v>13000</v>
      </c>
      <c r="G380" s="5">
        <f ca="1">SUMIFS(Despesas!$F:$F,Despesas!$J:$J,"&lt;="&amp;$A380,Despesas!$L:$L,"&gt;="&amp;$A380,Despesas!$C:$C,G$1,Despesas!$M:$M,"Mensal")+SUMIFS(Despesas!$F:$F,Despesas!$J:$J,"&lt;="&amp;$A380,Despesas!$L:$L,"&gt;="&amp;$A380,Despesas!$C:$C,G$1,Despesas!$M:$M,$B380)</f>
        <v>55757</v>
      </c>
      <c r="H380" s="18">
        <f>SUMIFS(Despesas!$F:$F,Despesas!$J:$J,"&lt;="&amp;$A380,Despesas!$L:$L,"&gt;="&amp;$A380,Despesas!$C:$C,H$1,Despesas!$M:$M,"Mensal")+SUMIFS(Despesas!$F:$F,Despesas!$J:$J,"&lt;="&amp;$A380,Despesas!$L:$L,"&gt;="&amp;$A380,Despesas!$C:$C,H$1,Despesas!$M:$M,$B380)</f>
        <v>1000</v>
      </c>
      <c r="I380" s="18">
        <f>IF(Imóveis!$F$2="PRICE",IF(AND(Dados!$A380&gt;=Imóveis!$Q$2,Dados!$A380&lt;=Imóveis!$T$2),Imóveis!$U$2,0),IF((IF(AND(Dados!$A380&gt;=Imóveis!$Q$2,Dados!$A380&lt;=Imóveis!$T$2),Imóveis!$S$2-(DATEDIF(Imóveis!$Q$2,Dados!$A380,"m")),0))=0,0,((Imóveis!$N$2/Imóveis!$S$2)+((Imóveis!$N$2-((Imóveis!$S$2-(IF(AND(Dados!$A380&gt;=Imóveis!$Q$2,Dados!$A380&lt;=Imóveis!$T$2),Imóveis!$S$2-(DATEDIF(Imóveis!$Q$2,Dados!$A380,"m")),)))*(Imóveis!$N$2/Imóveis!$S$2)))*Imóveis!$P$2))))*IF(AND(Imóveis!$E$2&gt;0,Dados!$A380&gt;Imóveis!$E$2),0,1)</f>
        <v>0</v>
      </c>
      <c r="J380" s="18">
        <f>IF(Imóveis!$F$3="PRICE",IF(AND(Dados!$A380&gt;=Imóveis!$Q$3,Dados!$A380&lt;=Imóveis!$T$3),Imóveis!$U$3,0),IF((IF(AND(Dados!$A380&gt;=Imóveis!$Q$3,Dados!$A380&lt;=Imóveis!$T$3),Imóveis!$S$3-(DATEDIF(Imóveis!$Q$3,Dados!$A380,"m")),0))=0,0,((Imóveis!$N$3/Imóveis!$S$3)+((Imóveis!$N$3-((Imóveis!$S$3-(IF(AND(Dados!$A380&gt;=Imóveis!$Q$3,Dados!$A380&lt;=Imóveis!$T$3),Imóveis!$S$3-(DATEDIF(Imóveis!$Q$3,Dados!$A380,"m")),)))*(Imóveis!$N$3/Imóveis!$S$3)))*Imóveis!$P$3))))*IF(AND(Imóveis!$E$3&gt;0,Dados!$A380&gt;Imóveis!$E$3),0,1)</f>
        <v>0</v>
      </c>
      <c r="K380" s="18">
        <f>IF(Imóveis!$F$4="PRICE",IF(AND(Dados!$A380&gt;=Imóveis!$Q$4,Dados!$A380&lt;=Imóveis!$T$4),Imóveis!$U$4,0),IF((IF(AND(Dados!$A380&gt;=Imóveis!$Q$4,Dados!$A380&lt;=Imóveis!$T$4),Imóveis!$S$4-(DATEDIF(Imóveis!$Q$4,Dados!$A380,"m")),0))=0,0,((Imóveis!$N$4/Imóveis!$S$4)+((Imóveis!$N$4-((Imóveis!$S$4-(IF(AND(Dados!$A380&gt;=Imóveis!$Q$4,Dados!$A380&lt;=Imóveis!$T$4),Imóveis!$S$4-(DATEDIF(Imóveis!$Q$4,Dados!$A380,"m")),)))*(Imóveis!$N$4/Imóveis!$S$4)))*Imóveis!$P$4))))*IF(AND(Imóveis!$E$4&gt;0,Dados!$A380&gt;Imóveis!$E$4),0,1)</f>
        <v>0</v>
      </c>
      <c r="L380" s="18">
        <f>IF(Imóveis!$F$5="PRICE",IF(AND(Dados!$A380&gt;=Imóveis!$Q$5,Dados!$A380&lt;=Imóveis!$T$5),Imóveis!$U$5,0),IF((IF(AND(Dados!$A380&gt;=Imóveis!$Q$5,Dados!$A380&lt;=Imóveis!$T$5),Imóveis!$S$5-(DATEDIF(Imóveis!$Q$5,Dados!$A380,"m")),0))=0,0,((Imóveis!$N$5/Imóveis!$S$5)+((Imóveis!$N$5-((Imóveis!$S$5-(IF(AND(Dados!$A380 &gt;=Imóveis!$Q$5,Dados!$A380&lt;=Imóveis!$T$5),Imóveis!$S$5-(DATEDIF(Imóveis!$Q$5,Dados!$A380,"m")),)))*(Imóveis!$N$5/Imóveis!$S$5)))*Imóveis!$P$5))))*IF(AND(Imóveis!$E$5&gt;0,Dados!$A380&gt;Imóveis!$E$5),0,1)*Imóveis!$I$5</f>
        <v>0</v>
      </c>
      <c r="M380" s="18">
        <f>IF(Imóveis!$F$6="PRICE",IF(AND(Dados!$A380&gt;=Imóveis!$Q$6,Dados!$A380&lt;=Imóveis!$T$6),Imóveis!$U$6,0),IF((IF(AND(Dados!$A380&gt;=Imóveis!$Q$6,Dados!$A380&lt;=Imóveis!$T$6),Imóveis!$S$6-(DATEDIF(Imóveis!$Q$6,Dados!$A380,"m")),0))=0,0,((Imóveis!$N$6/Imóveis!$S$6)+((Imóveis!$N$6-((Imóveis!$S$6-(IF(AND(Dados!$A380&gt;=Imóveis!$Q$6,Dados!$A380&lt;=Imóveis!$T$6),Imóveis!$S$6-(DATEDIF(Imóveis!$Q$6,Dados!$A380,"m")),)))*(Imóveis!$N$6/Imóveis!$S$6)))*Imóveis!$P$6))))*IF(AND(Imóveis!$E$6&gt;0,Dados!$A380&gt;Imóveis!$E$6),0,1)*Imóveis!$I$6</f>
        <v>0</v>
      </c>
      <c r="N380" s="18">
        <f t="shared" ca="1" si="45"/>
        <v>92757</v>
      </c>
      <c r="O380" s="18">
        <f>SUMIFS(Receitas!$F:$F,Receitas!$J:$J,"&lt;="&amp;$A380,Receitas!$L:$L,"&gt;="&amp;$A380,Receitas!$C:$C,O$1,Receitas!$M:$M,"Mensal")+SUMIFS(Receitas!$F:$F,Receitas!$J:$J,"&lt;="&amp;$A380,Receitas!$L:$L,"&gt;="&amp;$A380,Receitas!$C:$C,O$1,Receitas!$M:$M,$B380)</f>
        <v>0</v>
      </c>
      <c r="P380" s="18">
        <f>SUMIFS(Receitas!$F:$F,Receitas!$J:$J,"&lt;="&amp;$A380,Receitas!$L:$L,"&gt;="&amp;$A380,Receitas!$C:$C,P$1,Receitas!$M:$M,"Mensal")+SUMIFS(Receitas!$F:$F,Receitas!$J:$J,"&lt;="&amp;$A380,Receitas!$L:$L,"&gt;="&amp;$A380,Receitas!$C:$C,P$1,Receitas!$M:$M,$B380)</f>
        <v>0</v>
      </c>
      <c r="Q380" s="18">
        <f>SUMIFS(Receitas!$F:$F,Receitas!$J:$J,"&lt;="&amp;$A380,Receitas!$L:$L,"&gt;="&amp;$A380,Receitas!$C:$C,Q$1,Receitas!$M:$M,"Mensal")+SUMIFS(Receitas!$F:$F,Receitas!$J:$J,"&lt;="&amp;$A380,Receitas!$L:$L,"&gt;="&amp;$A380,Receitas!$C:$C,Q$1,Receitas!$M:$M,$B380)</f>
        <v>0</v>
      </c>
      <c r="R380" s="18" cm="1">
        <f t="array" ref="R380">(IF(AND(Membros!$F$2="Sim",A380&lt;=MAX(Membros!$E$2:$E$5)),Membros!K$2,IF(AND(A380&gt;=Membros!J$2,A380&lt;=MAX(Membros!$E$2:$E$5)),Membros!K$2,0))+IF(AND(Membros!$F$3="Sim",A380&lt;=MAX(Membros!$E$2:$E$5)),Membros!K$3,IF(AND(A380&gt;=Membros!J$3,A380&lt;=MAX(Membros!$E$2:$E$5)),Membros!K$3,0)))*IF(AND(COUNTIFS(Tabela3[Tipo],"Provedor",Tabela3[Simulação Seguro],"Sim")=2,A380&gt;=MAX(IF(Tabela3[Tipo]="Dependente",Tabela3[Expectativa de Vida (Data)]))),0,1)</f>
        <v>10000</v>
      </c>
      <c r="S380" s="18">
        <f t="shared" si="46"/>
        <v>10000</v>
      </c>
      <c r="U380" s="18">
        <f t="shared" ca="1" si="49"/>
        <v>25052972.988858454</v>
      </c>
      <c r="V380" s="18">
        <f>SUMIF(Imóveis!E:E,Dados!A:A,Imóveis!Z:Z)-SUMIF(Imóveis!E:E,Dados!A:A,Imóveis!Y:Y)</f>
        <v>0</v>
      </c>
      <c r="W380" s="18">
        <f>-SUMIF(Projetos!N:N,A380,Projetos!F:F)</f>
        <v>0</v>
      </c>
      <c r="X380" s="18">
        <f t="shared" ca="1" si="43"/>
        <v>-82757</v>
      </c>
      <c r="Y380" s="26">
        <f ca="1">(U380*((Indicadores_Economicos!D$2+1)^(1/12)-1))</f>
        <v>82016.914335980764</v>
      </c>
      <c r="Z380" s="18">
        <f t="shared" ca="1" si="47"/>
        <v>25052232.903194435</v>
      </c>
      <c r="AA380" s="18">
        <f ca="1">Auxiliar_Projetos!E380</f>
        <v>1.3450728586920756E-9</v>
      </c>
      <c r="AB380" s="18">
        <f ca="1">Auxiliar_Projetos!K380</f>
        <v>1.0346714297631338E-9</v>
      </c>
      <c r="AC380" s="18">
        <f ca="1">IF(Z380-AA380-AB380&gt;Investimentos!$C$14,Investimentos!$C$14,IF(Z380-AA380-AB380&lt;Investimentos!$C$14,Z380-AA380-AB380,0))</f>
        <v>300000</v>
      </c>
      <c r="AD380" s="18">
        <f t="shared" ca="1" si="48"/>
        <v>24752232.903194435</v>
      </c>
      <c r="AE380" s="18"/>
    </row>
    <row r="381" spans="1:31" x14ac:dyDescent="0.2">
      <c r="A381" s="4">
        <v>57193</v>
      </c>
      <c r="B381" s="5" t="str">
        <f t="shared" si="44"/>
        <v>agosto</v>
      </c>
      <c r="C381" s="5" t="str">
        <f t="shared" si="50"/>
        <v>2056</v>
      </c>
      <c r="D381" s="5">
        <f>SUMIFS(Despesas!$F:$F,Despesas!$J:$J,"&lt;="&amp;$A381,Despesas!$L:$L,"&gt;="&amp;$A381,Despesas!$C:$C,D$1,Despesas!$M:$M,"Mensal")+SUMIFS(Despesas!$F:$F,Despesas!$J:$J,"&lt;="&amp;$A381,Despesas!$L:$L,"&gt;="&amp;$A381,Despesas!$C:$C,D$1,Despesas!$M:$M,$B381)</f>
        <v>23000</v>
      </c>
      <c r="E381" s="18">
        <f>SUMIFS(Despesas!$F:$F,Despesas!$J:$J,"&lt;="&amp;$A381,Despesas!$L:$L,"&gt;="&amp;$A381,Despesas!$C:$C,E$1,Despesas!$M:$M,"Mensal")+SUMIFS(Despesas!$F:$F,Despesas!$J:$J,"&lt;="&amp;$A381,Despesas!$L:$L,"&gt;="&amp;$A381,Despesas!$C:$C,E$1,Despesas!$M:$M,$B381)</f>
        <v>0</v>
      </c>
      <c r="F381" s="5">
        <f>SUMIFS(Despesas!$F:$F,Despesas!$J:$J,"&lt;="&amp;$A381,Despesas!$L:$L,"&gt;="&amp;$A381,Despesas!$C:$C,F$1,Despesas!$M:$M,"Mensal")+SUMIFS(Despesas!$F:$F,Despesas!$J:$J,"&lt;="&amp;$A381,Despesas!$L:$L,"&gt;="&amp;$A381,Despesas!$C:$C,F$1,Despesas!$M:$M,$B381)</f>
        <v>13000</v>
      </c>
      <c r="G381" s="5">
        <f>SUMIFS(Despesas!$F:$F,Despesas!$J:$J,"&lt;="&amp;$A381,Despesas!$L:$L,"&gt;="&amp;$A381,Despesas!$C:$C,G$1,Despesas!$M:$M,"Mensal")+SUMIFS(Despesas!$F:$F,Despesas!$J:$J,"&lt;="&amp;$A381,Despesas!$L:$L,"&gt;="&amp;$A381,Despesas!$C:$C,G$1,Despesas!$M:$M,$B381)</f>
        <v>0</v>
      </c>
      <c r="H381" s="18">
        <f>SUMIFS(Despesas!$F:$F,Despesas!$J:$J,"&lt;="&amp;$A381,Despesas!$L:$L,"&gt;="&amp;$A381,Despesas!$C:$C,H$1,Despesas!$M:$M,"Mensal")+SUMIFS(Despesas!$F:$F,Despesas!$J:$J,"&lt;="&amp;$A381,Despesas!$L:$L,"&gt;="&amp;$A381,Despesas!$C:$C,H$1,Despesas!$M:$M,$B381)</f>
        <v>1000</v>
      </c>
      <c r="I381" s="18">
        <f>IF(Imóveis!$F$2="PRICE",IF(AND(Dados!$A381&gt;=Imóveis!$Q$2,Dados!$A381&lt;=Imóveis!$T$2),Imóveis!$U$2,0),IF((IF(AND(Dados!$A381&gt;=Imóveis!$Q$2,Dados!$A381&lt;=Imóveis!$T$2),Imóveis!$S$2-(DATEDIF(Imóveis!$Q$2,Dados!$A381,"m")),0))=0,0,((Imóveis!$N$2/Imóveis!$S$2)+((Imóveis!$N$2-((Imóveis!$S$2-(IF(AND(Dados!$A381&gt;=Imóveis!$Q$2,Dados!$A381&lt;=Imóveis!$T$2),Imóveis!$S$2-(DATEDIF(Imóveis!$Q$2,Dados!$A381,"m")),)))*(Imóveis!$N$2/Imóveis!$S$2)))*Imóveis!$P$2))))*IF(AND(Imóveis!$E$2&gt;0,Dados!$A381&gt;Imóveis!$E$2),0,1)</f>
        <v>0</v>
      </c>
      <c r="J381" s="18">
        <f>IF(Imóveis!$F$3="PRICE",IF(AND(Dados!$A381&gt;=Imóveis!$Q$3,Dados!$A381&lt;=Imóveis!$T$3),Imóveis!$U$3,0),IF((IF(AND(Dados!$A381&gt;=Imóveis!$Q$3,Dados!$A381&lt;=Imóveis!$T$3),Imóveis!$S$3-(DATEDIF(Imóveis!$Q$3,Dados!$A381,"m")),0))=0,0,((Imóveis!$N$3/Imóveis!$S$3)+((Imóveis!$N$3-((Imóveis!$S$3-(IF(AND(Dados!$A381&gt;=Imóveis!$Q$3,Dados!$A381&lt;=Imóveis!$T$3),Imóveis!$S$3-(DATEDIF(Imóveis!$Q$3,Dados!$A381,"m")),)))*(Imóveis!$N$3/Imóveis!$S$3)))*Imóveis!$P$3))))*IF(AND(Imóveis!$E$3&gt;0,Dados!$A381&gt;Imóveis!$E$3),0,1)</f>
        <v>0</v>
      </c>
      <c r="K381" s="18">
        <f>IF(Imóveis!$F$4="PRICE",IF(AND(Dados!$A381&gt;=Imóveis!$Q$4,Dados!$A381&lt;=Imóveis!$T$4),Imóveis!$U$4,0),IF((IF(AND(Dados!$A381&gt;=Imóveis!$Q$4,Dados!$A381&lt;=Imóveis!$T$4),Imóveis!$S$4-(DATEDIF(Imóveis!$Q$4,Dados!$A381,"m")),0))=0,0,((Imóveis!$N$4/Imóveis!$S$4)+((Imóveis!$N$4-((Imóveis!$S$4-(IF(AND(Dados!$A381&gt;=Imóveis!$Q$4,Dados!$A381&lt;=Imóveis!$T$4),Imóveis!$S$4-(DATEDIF(Imóveis!$Q$4,Dados!$A381,"m")),)))*(Imóveis!$N$4/Imóveis!$S$4)))*Imóveis!$P$4))))*IF(AND(Imóveis!$E$4&gt;0,Dados!$A381&gt;Imóveis!$E$4),0,1)</f>
        <v>0</v>
      </c>
      <c r="L381" s="18">
        <f>IF(Imóveis!$F$5="PRICE",IF(AND(Dados!$A381&gt;=Imóveis!$Q$5,Dados!$A381&lt;=Imóveis!$T$5),Imóveis!$U$5,0),IF((IF(AND(Dados!$A381&gt;=Imóveis!$Q$5,Dados!$A381&lt;=Imóveis!$T$5),Imóveis!$S$5-(DATEDIF(Imóveis!$Q$5,Dados!$A381,"m")),0))=0,0,((Imóveis!$N$5/Imóveis!$S$5)+((Imóveis!$N$5-((Imóveis!$S$5-(IF(AND(Dados!$A381 &gt;=Imóveis!$Q$5,Dados!$A381&lt;=Imóveis!$T$5),Imóveis!$S$5-(DATEDIF(Imóveis!$Q$5,Dados!$A381,"m")),)))*(Imóveis!$N$5/Imóveis!$S$5)))*Imóveis!$P$5))))*IF(AND(Imóveis!$E$5&gt;0,Dados!$A381&gt;Imóveis!$E$5),0,1)*Imóveis!$I$5</f>
        <v>0</v>
      </c>
      <c r="M381" s="18">
        <f>IF(Imóveis!$F$6="PRICE",IF(AND(Dados!$A381&gt;=Imóveis!$Q$6,Dados!$A381&lt;=Imóveis!$T$6),Imóveis!$U$6,0),IF((IF(AND(Dados!$A381&gt;=Imóveis!$Q$6,Dados!$A381&lt;=Imóveis!$T$6),Imóveis!$S$6-(DATEDIF(Imóveis!$Q$6,Dados!$A381,"m")),0))=0,0,((Imóveis!$N$6/Imóveis!$S$6)+((Imóveis!$N$6-((Imóveis!$S$6-(IF(AND(Dados!$A381&gt;=Imóveis!$Q$6,Dados!$A381&lt;=Imóveis!$T$6),Imóveis!$S$6-(DATEDIF(Imóveis!$Q$6,Dados!$A381,"m")),)))*(Imóveis!$N$6/Imóveis!$S$6)))*Imóveis!$P$6))))*IF(AND(Imóveis!$E$6&gt;0,Dados!$A381&gt;Imóveis!$E$6),0,1)*Imóveis!$I$6</f>
        <v>0</v>
      </c>
      <c r="N381" s="18">
        <f t="shared" si="45"/>
        <v>37000</v>
      </c>
      <c r="O381" s="18">
        <f>SUMIFS(Receitas!$F:$F,Receitas!$J:$J,"&lt;="&amp;$A381,Receitas!$L:$L,"&gt;="&amp;$A381,Receitas!$C:$C,O$1,Receitas!$M:$M,"Mensal")+SUMIFS(Receitas!$F:$F,Receitas!$J:$J,"&lt;="&amp;$A381,Receitas!$L:$L,"&gt;="&amp;$A381,Receitas!$C:$C,O$1,Receitas!$M:$M,$B381)</f>
        <v>0</v>
      </c>
      <c r="P381" s="18">
        <f>SUMIFS(Receitas!$F:$F,Receitas!$J:$J,"&lt;="&amp;$A381,Receitas!$L:$L,"&gt;="&amp;$A381,Receitas!$C:$C,P$1,Receitas!$M:$M,"Mensal")+SUMIFS(Receitas!$F:$F,Receitas!$J:$J,"&lt;="&amp;$A381,Receitas!$L:$L,"&gt;="&amp;$A381,Receitas!$C:$C,P$1,Receitas!$M:$M,$B381)</f>
        <v>0</v>
      </c>
      <c r="Q381" s="18">
        <f>SUMIFS(Receitas!$F:$F,Receitas!$J:$J,"&lt;="&amp;$A381,Receitas!$L:$L,"&gt;="&amp;$A381,Receitas!$C:$C,Q$1,Receitas!$M:$M,"Mensal")+SUMIFS(Receitas!$F:$F,Receitas!$J:$J,"&lt;="&amp;$A381,Receitas!$L:$L,"&gt;="&amp;$A381,Receitas!$C:$C,Q$1,Receitas!$M:$M,$B381)</f>
        <v>0</v>
      </c>
      <c r="R381" s="18" cm="1">
        <f t="array" ref="R381">(IF(AND(Membros!$F$2="Sim",A381&lt;=MAX(Membros!$E$2:$E$5)),Membros!K$2,IF(AND(A381&gt;=Membros!J$2,A381&lt;=MAX(Membros!$E$2:$E$5)),Membros!K$2,0))+IF(AND(Membros!$F$3="Sim",A381&lt;=MAX(Membros!$E$2:$E$5)),Membros!K$3,IF(AND(A381&gt;=Membros!J$3,A381&lt;=MAX(Membros!$E$2:$E$5)),Membros!K$3,0)))*IF(AND(COUNTIFS(Tabela3[Tipo],"Provedor",Tabela3[Simulação Seguro],"Sim")=2,A381&gt;=MAX(IF(Tabela3[Tipo]="Dependente",Tabela3[Expectativa de Vida (Data)]))),0,1)</f>
        <v>10000</v>
      </c>
      <c r="S381" s="18">
        <f t="shared" si="46"/>
        <v>10000</v>
      </c>
      <c r="U381" s="18">
        <f t="shared" ca="1" si="49"/>
        <v>25052232.903194435</v>
      </c>
      <c r="V381" s="18">
        <f>SUMIF(Imóveis!E:E,Dados!A:A,Imóveis!Z:Z)-SUMIF(Imóveis!E:E,Dados!A:A,Imóveis!Y:Y)</f>
        <v>0</v>
      </c>
      <c r="W381" s="18">
        <f>-SUMIF(Projetos!N:N,A381,Projetos!F:F)</f>
        <v>0</v>
      </c>
      <c r="X381" s="18">
        <f t="shared" si="43"/>
        <v>-27000</v>
      </c>
      <c r="Y381" s="26">
        <f ca="1">(U381*((Indicadores_Economicos!D$2+1)^(1/12)-1))</f>
        <v>82014.491488100233</v>
      </c>
      <c r="Z381" s="18">
        <f t="shared" ca="1" si="47"/>
        <v>25107247.394682534</v>
      </c>
      <c r="AA381" s="18">
        <f ca="1">Auxiliar_Projetos!E381</f>
        <v>1.3494762772195318E-9</v>
      </c>
      <c r="AB381" s="18">
        <f ca="1">Auxiliar_Projetos!K381</f>
        <v>1.0380586747842539E-9</v>
      </c>
      <c r="AC381" s="18">
        <f ca="1">IF(Z381-AA381-AB381&gt;Investimentos!$C$14,Investimentos!$C$14,IF(Z381-AA381-AB381&lt;Investimentos!$C$14,Z381-AA381-AB381,0))</f>
        <v>300000</v>
      </c>
      <c r="AD381" s="18">
        <f t="shared" ca="1" si="48"/>
        <v>24807247.394682534</v>
      </c>
      <c r="AE381" s="18"/>
    </row>
    <row r="382" spans="1:31" x14ac:dyDescent="0.2">
      <c r="A382" s="4">
        <v>57224</v>
      </c>
      <c r="B382" s="5" t="str">
        <f t="shared" si="44"/>
        <v>setembro</v>
      </c>
      <c r="C382" s="5" t="str">
        <f t="shared" si="50"/>
        <v>2056</v>
      </c>
      <c r="D382" s="5">
        <f>SUMIFS(Despesas!$F:$F,Despesas!$J:$J,"&lt;="&amp;$A382,Despesas!$L:$L,"&gt;="&amp;$A382,Despesas!$C:$C,D$1,Despesas!$M:$M,"Mensal")+SUMIFS(Despesas!$F:$F,Despesas!$J:$J,"&lt;="&amp;$A382,Despesas!$L:$L,"&gt;="&amp;$A382,Despesas!$C:$C,D$1,Despesas!$M:$M,$B382)</f>
        <v>23000</v>
      </c>
      <c r="E382" s="18">
        <f>SUMIFS(Despesas!$F:$F,Despesas!$J:$J,"&lt;="&amp;$A382,Despesas!$L:$L,"&gt;="&amp;$A382,Despesas!$C:$C,E$1,Despesas!$M:$M,"Mensal")+SUMIFS(Despesas!$F:$F,Despesas!$J:$J,"&lt;="&amp;$A382,Despesas!$L:$L,"&gt;="&amp;$A382,Despesas!$C:$C,E$1,Despesas!$M:$M,$B382)</f>
        <v>0</v>
      </c>
      <c r="F382" s="5">
        <f>SUMIFS(Despesas!$F:$F,Despesas!$J:$J,"&lt;="&amp;$A382,Despesas!$L:$L,"&gt;="&amp;$A382,Despesas!$C:$C,F$1,Despesas!$M:$M,"Mensal")+SUMIFS(Despesas!$F:$F,Despesas!$J:$J,"&lt;="&amp;$A382,Despesas!$L:$L,"&gt;="&amp;$A382,Despesas!$C:$C,F$1,Despesas!$M:$M,$B382)</f>
        <v>13000</v>
      </c>
      <c r="G382" s="5">
        <f>SUMIFS(Despesas!$F:$F,Despesas!$J:$J,"&lt;="&amp;$A382,Despesas!$L:$L,"&gt;="&amp;$A382,Despesas!$C:$C,G$1,Despesas!$M:$M,"Mensal")+SUMIFS(Despesas!$F:$F,Despesas!$J:$J,"&lt;="&amp;$A382,Despesas!$L:$L,"&gt;="&amp;$A382,Despesas!$C:$C,G$1,Despesas!$M:$M,$B382)</f>
        <v>0</v>
      </c>
      <c r="H382" s="18">
        <f>SUMIFS(Despesas!$F:$F,Despesas!$J:$J,"&lt;="&amp;$A382,Despesas!$L:$L,"&gt;="&amp;$A382,Despesas!$C:$C,H$1,Despesas!$M:$M,"Mensal")+SUMIFS(Despesas!$F:$F,Despesas!$J:$J,"&lt;="&amp;$A382,Despesas!$L:$L,"&gt;="&amp;$A382,Despesas!$C:$C,H$1,Despesas!$M:$M,$B382)</f>
        <v>1000</v>
      </c>
      <c r="I382" s="18">
        <f>IF(Imóveis!$F$2="PRICE",IF(AND(Dados!$A382&gt;=Imóveis!$Q$2,Dados!$A382&lt;=Imóveis!$T$2),Imóveis!$U$2,0),IF((IF(AND(Dados!$A382&gt;=Imóveis!$Q$2,Dados!$A382&lt;=Imóveis!$T$2),Imóveis!$S$2-(DATEDIF(Imóveis!$Q$2,Dados!$A382,"m")),0))=0,0,((Imóveis!$N$2/Imóveis!$S$2)+((Imóveis!$N$2-((Imóveis!$S$2-(IF(AND(Dados!$A382&gt;=Imóveis!$Q$2,Dados!$A382&lt;=Imóveis!$T$2),Imóveis!$S$2-(DATEDIF(Imóveis!$Q$2,Dados!$A382,"m")),)))*(Imóveis!$N$2/Imóveis!$S$2)))*Imóveis!$P$2))))*IF(AND(Imóveis!$E$2&gt;0,Dados!$A382&gt;Imóveis!$E$2),0,1)</f>
        <v>0</v>
      </c>
      <c r="J382" s="18">
        <f>IF(Imóveis!$F$3="PRICE",IF(AND(Dados!$A382&gt;=Imóveis!$Q$3,Dados!$A382&lt;=Imóveis!$T$3),Imóveis!$U$3,0),IF((IF(AND(Dados!$A382&gt;=Imóveis!$Q$3,Dados!$A382&lt;=Imóveis!$T$3),Imóveis!$S$3-(DATEDIF(Imóveis!$Q$3,Dados!$A382,"m")),0))=0,0,((Imóveis!$N$3/Imóveis!$S$3)+((Imóveis!$N$3-((Imóveis!$S$3-(IF(AND(Dados!$A382&gt;=Imóveis!$Q$3,Dados!$A382&lt;=Imóveis!$T$3),Imóveis!$S$3-(DATEDIF(Imóveis!$Q$3,Dados!$A382,"m")),)))*(Imóveis!$N$3/Imóveis!$S$3)))*Imóveis!$P$3))))*IF(AND(Imóveis!$E$3&gt;0,Dados!$A382&gt;Imóveis!$E$3),0,1)</f>
        <v>0</v>
      </c>
      <c r="K382" s="18">
        <f>IF(Imóveis!$F$4="PRICE",IF(AND(Dados!$A382&gt;=Imóveis!$Q$4,Dados!$A382&lt;=Imóveis!$T$4),Imóveis!$U$4,0),IF((IF(AND(Dados!$A382&gt;=Imóveis!$Q$4,Dados!$A382&lt;=Imóveis!$T$4),Imóveis!$S$4-(DATEDIF(Imóveis!$Q$4,Dados!$A382,"m")),0))=0,0,((Imóveis!$N$4/Imóveis!$S$4)+((Imóveis!$N$4-((Imóveis!$S$4-(IF(AND(Dados!$A382&gt;=Imóveis!$Q$4,Dados!$A382&lt;=Imóveis!$T$4),Imóveis!$S$4-(DATEDIF(Imóveis!$Q$4,Dados!$A382,"m")),)))*(Imóveis!$N$4/Imóveis!$S$4)))*Imóveis!$P$4))))*IF(AND(Imóveis!$E$4&gt;0,Dados!$A382&gt;Imóveis!$E$4),0,1)</f>
        <v>0</v>
      </c>
      <c r="L382" s="18">
        <f>IF(Imóveis!$F$5="PRICE",IF(AND(Dados!$A382&gt;=Imóveis!$Q$5,Dados!$A382&lt;=Imóveis!$T$5),Imóveis!$U$5,0),IF((IF(AND(Dados!$A382&gt;=Imóveis!$Q$5,Dados!$A382&lt;=Imóveis!$T$5),Imóveis!$S$5-(DATEDIF(Imóveis!$Q$5,Dados!$A382,"m")),0))=0,0,((Imóveis!$N$5/Imóveis!$S$5)+((Imóveis!$N$5-((Imóveis!$S$5-(IF(AND(Dados!$A382 &gt;=Imóveis!$Q$5,Dados!$A382&lt;=Imóveis!$T$5),Imóveis!$S$5-(DATEDIF(Imóveis!$Q$5,Dados!$A382,"m")),)))*(Imóveis!$N$5/Imóveis!$S$5)))*Imóveis!$P$5))))*IF(AND(Imóveis!$E$5&gt;0,Dados!$A382&gt;Imóveis!$E$5),0,1)*Imóveis!$I$5</f>
        <v>0</v>
      </c>
      <c r="M382" s="18">
        <f>IF(Imóveis!$F$6="PRICE",IF(AND(Dados!$A382&gt;=Imóveis!$Q$6,Dados!$A382&lt;=Imóveis!$T$6),Imóveis!$U$6,0),IF((IF(AND(Dados!$A382&gt;=Imóveis!$Q$6,Dados!$A382&lt;=Imóveis!$T$6),Imóveis!$S$6-(DATEDIF(Imóveis!$Q$6,Dados!$A382,"m")),0))=0,0,((Imóveis!$N$6/Imóveis!$S$6)+((Imóveis!$N$6-((Imóveis!$S$6-(IF(AND(Dados!$A382&gt;=Imóveis!$Q$6,Dados!$A382&lt;=Imóveis!$T$6),Imóveis!$S$6-(DATEDIF(Imóveis!$Q$6,Dados!$A382,"m")),)))*(Imóveis!$N$6/Imóveis!$S$6)))*Imóveis!$P$6))))*IF(AND(Imóveis!$E$6&gt;0,Dados!$A382&gt;Imóveis!$E$6),0,1)*Imóveis!$I$6</f>
        <v>0</v>
      </c>
      <c r="N382" s="18">
        <f t="shared" si="45"/>
        <v>37000</v>
      </c>
      <c r="O382" s="18">
        <f>SUMIFS(Receitas!$F:$F,Receitas!$J:$J,"&lt;="&amp;$A382,Receitas!$L:$L,"&gt;="&amp;$A382,Receitas!$C:$C,O$1,Receitas!$M:$M,"Mensal")+SUMIFS(Receitas!$F:$F,Receitas!$J:$J,"&lt;="&amp;$A382,Receitas!$L:$L,"&gt;="&amp;$A382,Receitas!$C:$C,O$1,Receitas!$M:$M,$B382)</f>
        <v>0</v>
      </c>
      <c r="P382" s="18">
        <f>SUMIFS(Receitas!$F:$F,Receitas!$J:$J,"&lt;="&amp;$A382,Receitas!$L:$L,"&gt;="&amp;$A382,Receitas!$C:$C,P$1,Receitas!$M:$M,"Mensal")+SUMIFS(Receitas!$F:$F,Receitas!$J:$J,"&lt;="&amp;$A382,Receitas!$L:$L,"&gt;="&amp;$A382,Receitas!$C:$C,P$1,Receitas!$M:$M,$B382)</f>
        <v>0</v>
      </c>
      <c r="Q382" s="18">
        <f>SUMIFS(Receitas!$F:$F,Receitas!$J:$J,"&lt;="&amp;$A382,Receitas!$L:$L,"&gt;="&amp;$A382,Receitas!$C:$C,Q$1,Receitas!$M:$M,"Mensal")+SUMIFS(Receitas!$F:$F,Receitas!$J:$J,"&lt;="&amp;$A382,Receitas!$L:$L,"&gt;="&amp;$A382,Receitas!$C:$C,Q$1,Receitas!$M:$M,$B382)</f>
        <v>0</v>
      </c>
      <c r="R382" s="18" cm="1">
        <f t="array" ref="R382">(IF(AND(Membros!$F$2="Sim",A382&lt;=MAX(Membros!$E$2:$E$5)),Membros!K$2,IF(AND(A382&gt;=Membros!J$2,A382&lt;=MAX(Membros!$E$2:$E$5)),Membros!K$2,0))+IF(AND(Membros!$F$3="Sim",A382&lt;=MAX(Membros!$E$2:$E$5)),Membros!K$3,IF(AND(A382&gt;=Membros!J$3,A382&lt;=MAX(Membros!$E$2:$E$5)),Membros!K$3,0)))*IF(AND(COUNTIFS(Tabela3[Tipo],"Provedor",Tabela3[Simulação Seguro],"Sim")=2,A382&gt;=MAX(IF(Tabela3[Tipo]="Dependente",Tabela3[Expectativa de Vida (Data)]))),0,1)</f>
        <v>10000</v>
      </c>
      <c r="S382" s="18">
        <f t="shared" si="46"/>
        <v>10000</v>
      </c>
      <c r="U382" s="18">
        <f t="shared" ca="1" si="49"/>
        <v>25107247.394682534</v>
      </c>
      <c r="V382" s="18">
        <f>SUMIF(Imóveis!E:E,Dados!A:A,Imóveis!Z:Z)-SUMIF(Imóveis!E:E,Dados!A:A,Imóveis!Y:Y)</f>
        <v>0</v>
      </c>
      <c r="W382" s="18">
        <f>-SUMIF(Projetos!N:N,A382,Projetos!F:F)</f>
        <v>0</v>
      </c>
      <c r="X382" s="18">
        <f t="shared" si="43"/>
        <v>-27000</v>
      </c>
      <c r="Y382" s="26">
        <f ca="1">(U382*((Indicadores_Economicos!D$2+1)^(1/12)-1))</f>
        <v>82194.59461748226</v>
      </c>
      <c r="Z382" s="18">
        <f t="shared" ca="1" si="47"/>
        <v>25162441.989300016</v>
      </c>
      <c r="AA382" s="18">
        <f ca="1">Auxiliar_Projetos!E382</f>
        <v>1.3538941113933991E-9</v>
      </c>
      <c r="AB382" s="18">
        <f ca="1">Auxiliar_Projetos!K382</f>
        <v>1.0414570087641518E-9</v>
      </c>
      <c r="AC382" s="18">
        <f ca="1">IF(Z382-AA382-AB382&gt;Investimentos!$C$14,Investimentos!$C$14,IF(Z382-AA382-AB382&lt;Investimentos!$C$14,Z382-AA382-AB382,0))</f>
        <v>300000</v>
      </c>
      <c r="AD382" s="18">
        <f t="shared" ca="1" si="48"/>
        <v>24862441.989300016</v>
      </c>
      <c r="AE382" s="18"/>
    </row>
    <row r="383" spans="1:31" x14ac:dyDescent="0.2">
      <c r="A383" s="4">
        <v>57254</v>
      </c>
      <c r="B383" s="5" t="str">
        <f t="shared" si="44"/>
        <v>outubro</v>
      </c>
      <c r="C383" s="5" t="str">
        <f t="shared" si="50"/>
        <v>2056</v>
      </c>
      <c r="D383" s="5">
        <f>SUMIFS(Despesas!$F:$F,Despesas!$J:$J,"&lt;="&amp;$A383,Despesas!$L:$L,"&gt;="&amp;$A383,Despesas!$C:$C,D$1,Despesas!$M:$M,"Mensal")+SUMIFS(Despesas!$F:$F,Despesas!$J:$J,"&lt;="&amp;$A383,Despesas!$L:$L,"&gt;="&amp;$A383,Despesas!$C:$C,D$1,Despesas!$M:$M,$B383)</f>
        <v>23000</v>
      </c>
      <c r="E383" s="18">
        <f>SUMIFS(Despesas!$F:$F,Despesas!$J:$J,"&lt;="&amp;$A383,Despesas!$L:$L,"&gt;="&amp;$A383,Despesas!$C:$C,E$1,Despesas!$M:$M,"Mensal")+SUMIFS(Despesas!$F:$F,Despesas!$J:$J,"&lt;="&amp;$A383,Despesas!$L:$L,"&gt;="&amp;$A383,Despesas!$C:$C,E$1,Despesas!$M:$M,$B383)</f>
        <v>0</v>
      </c>
      <c r="F383" s="5">
        <f>SUMIFS(Despesas!$F:$F,Despesas!$J:$J,"&lt;="&amp;$A383,Despesas!$L:$L,"&gt;="&amp;$A383,Despesas!$C:$C,F$1,Despesas!$M:$M,"Mensal")+SUMIFS(Despesas!$F:$F,Despesas!$J:$J,"&lt;="&amp;$A383,Despesas!$L:$L,"&gt;="&amp;$A383,Despesas!$C:$C,F$1,Despesas!$M:$M,$B383)</f>
        <v>13000</v>
      </c>
      <c r="G383" s="5">
        <f>SUMIFS(Despesas!$F:$F,Despesas!$J:$J,"&lt;="&amp;$A383,Despesas!$L:$L,"&gt;="&amp;$A383,Despesas!$C:$C,G$1,Despesas!$M:$M,"Mensal")+SUMIFS(Despesas!$F:$F,Despesas!$J:$J,"&lt;="&amp;$A383,Despesas!$L:$L,"&gt;="&amp;$A383,Despesas!$C:$C,G$1,Despesas!$M:$M,$B383)</f>
        <v>0</v>
      </c>
      <c r="H383" s="18">
        <f>SUMIFS(Despesas!$F:$F,Despesas!$J:$J,"&lt;="&amp;$A383,Despesas!$L:$L,"&gt;="&amp;$A383,Despesas!$C:$C,H$1,Despesas!$M:$M,"Mensal")+SUMIFS(Despesas!$F:$F,Despesas!$J:$J,"&lt;="&amp;$A383,Despesas!$L:$L,"&gt;="&amp;$A383,Despesas!$C:$C,H$1,Despesas!$M:$M,$B383)</f>
        <v>1000</v>
      </c>
      <c r="I383" s="18">
        <f>IF(Imóveis!$F$2="PRICE",IF(AND(Dados!$A383&gt;=Imóveis!$Q$2,Dados!$A383&lt;=Imóveis!$T$2),Imóveis!$U$2,0),IF((IF(AND(Dados!$A383&gt;=Imóveis!$Q$2,Dados!$A383&lt;=Imóveis!$T$2),Imóveis!$S$2-(DATEDIF(Imóveis!$Q$2,Dados!$A383,"m")),0))=0,0,((Imóveis!$N$2/Imóveis!$S$2)+((Imóveis!$N$2-((Imóveis!$S$2-(IF(AND(Dados!$A383&gt;=Imóveis!$Q$2,Dados!$A383&lt;=Imóveis!$T$2),Imóveis!$S$2-(DATEDIF(Imóveis!$Q$2,Dados!$A383,"m")),)))*(Imóveis!$N$2/Imóveis!$S$2)))*Imóveis!$P$2))))*IF(AND(Imóveis!$E$2&gt;0,Dados!$A383&gt;Imóveis!$E$2),0,1)</f>
        <v>0</v>
      </c>
      <c r="J383" s="18">
        <f>IF(Imóveis!$F$3="PRICE",IF(AND(Dados!$A383&gt;=Imóveis!$Q$3,Dados!$A383&lt;=Imóveis!$T$3),Imóveis!$U$3,0),IF((IF(AND(Dados!$A383&gt;=Imóveis!$Q$3,Dados!$A383&lt;=Imóveis!$T$3),Imóveis!$S$3-(DATEDIF(Imóveis!$Q$3,Dados!$A383,"m")),0))=0,0,((Imóveis!$N$3/Imóveis!$S$3)+((Imóveis!$N$3-((Imóveis!$S$3-(IF(AND(Dados!$A383&gt;=Imóveis!$Q$3,Dados!$A383&lt;=Imóveis!$T$3),Imóveis!$S$3-(DATEDIF(Imóveis!$Q$3,Dados!$A383,"m")),)))*(Imóveis!$N$3/Imóveis!$S$3)))*Imóveis!$P$3))))*IF(AND(Imóveis!$E$3&gt;0,Dados!$A383&gt;Imóveis!$E$3),0,1)</f>
        <v>0</v>
      </c>
      <c r="K383" s="18">
        <f>IF(Imóveis!$F$4="PRICE",IF(AND(Dados!$A383&gt;=Imóveis!$Q$4,Dados!$A383&lt;=Imóveis!$T$4),Imóveis!$U$4,0),IF((IF(AND(Dados!$A383&gt;=Imóveis!$Q$4,Dados!$A383&lt;=Imóveis!$T$4),Imóveis!$S$4-(DATEDIF(Imóveis!$Q$4,Dados!$A383,"m")),0))=0,0,((Imóveis!$N$4/Imóveis!$S$4)+((Imóveis!$N$4-((Imóveis!$S$4-(IF(AND(Dados!$A383&gt;=Imóveis!$Q$4,Dados!$A383&lt;=Imóveis!$T$4),Imóveis!$S$4-(DATEDIF(Imóveis!$Q$4,Dados!$A383,"m")),)))*(Imóveis!$N$4/Imóveis!$S$4)))*Imóveis!$P$4))))*IF(AND(Imóveis!$E$4&gt;0,Dados!$A383&gt;Imóveis!$E$4),0,1)</f>
        <v>0</v>
      </c>
      <c r="L383" s="18">
        <f>IF(Imóveis!$F$5="PRICE",IF(AND(Dados!$A383&gt;=Imóveis!$Q$5,Dados!$A383&lt;=Imóveis!$T$5),Imóveis!$U$5,0),IF((IF(AND(Dados!$A383&gt;=Imóveis!$Q$5,Dados!$A383&lt;=Imóveis!$T$5),Imóveis!$S$5-(DATEDIF(Imóveis!$Q$5,Dados!$A383,"m")),0))=0,0,((Imóveis!$N$5/Imóveis!$S$5)+((Imóveis!$N$5-((Imóveis!$S$5-(IF(AND(Dados!$A383 &gt;=Imóveis!$Q$5,Dados!$A383&lt;=Imóveis!$T$5),Imóveis!$S$5-(DATEDIF(Imóveis!$Q$5,Dados!$A383,"m")),)))*(Imóveis!$N$5/Imóveis!$S$5)))*Imóveis!$P$5))))*IF(AND(Imóveis!$E$5&gt;0,Dados!$A383&gt;Imóveis!$E$5),0,1)*Imóveis!$I$5</f>
        <v>0</v>
      </c>
      <c r="M383" s="18">
        <f>IF(Imóveis!$F$6="PRICE",IF(AND(Dados!$A383&gt;=Imóveis!$Q$6,Dados!$A383&lt;=Imóveis!$T$6),Imóveis!$U$6,0),IF((IF(AND(Dados!$A383&gt;=Imóveis!$Q$6,Dados!$A383&lt;=Imóveis!$T$6),Imóveis!$S$6-(DATEDIF(Imóveis!$Q$6,Dados!$A383,"m")),0))=0,0,((Imóveis!$N$6/Imóveis!$S$6)+((Imóveis!$N$6-((Imóveis!$S$6-(IF(AND(Dados!$A383&gt;=Imóveis!$Q$6,Dados!$A383&lt;=Imóveis!$T$6),Imóveis!$S$6-(DATEDIF(Imóveis!$Q$6,Dados!$A383,"m")),)))*(Imóveis!$N$6/Imóveis!$S$6)))*Imóveis!$P$6))))*IF(AND(Imóveis!$E$6&gt;0,Dados!$A383&gt;Imóveis!$E$6),0,1)*Imóveis!$I$6</f>
        <v>0</v>
      </c>
      <c r="N383" s="18">
        <f t="shared" si="45"/>
        <v>37000</v>
      </c>
      <c r="O383" s="18">
        <f>SUMIFS(Receitas!$F:$F,Receitas!$J:$J,"&lt;="&amp;$A383,Receitas!$L:$L,"&gt;="&amp;$A383,Receitas!$C:$C,O$1,Receitas!$M:$M,"Mensal")+SUMIFS(Receitas!$F:$F,Receitas!$J:$J,"&lt;="&amp;$A383,Receitas!$L:$L,"&gt;="&amp;$A383,Receitas!$C:$C,O$1,Receitas!$M:$M,$B383)</f>
        <v>0</v>
      </c>
      <c r="P383" s="18">
        <f>SUMIFS(Receitas!$F:$F,Receitas!$J:$J,"&lt;="&amp;$A383,Receitas!$L:$L,"&gt;="&amp;$A383,Receitas!$C:$C,P$1,Receitas!$M:$M,"Mensal")+SUMIFS(Receitas!$F:$F,Receitas!$J:$J,"&lt;="&amp;$A383,Receitas!$L:$L,"&gt;="&amp;$A383,Receitas!$C:$C,P$1,Receitas!$M:$M,$B383)</f>
        <v>0</v>
      </c>
      <c r="Q383" s="18">
        <f>SUMIFS(Receitas!$F:$F,Receitas!$J:$J,"&lt;="&amp;$A383,Receitas!$L:$L,"&gt;="&amp;$A383,Receitas!$C:$C,Q$1,Receitas!$M:$M,"Mensal")+SUMIFS(Receitas!$F:$F,Receitas!$J:$J,"&lt;="&amp;$A383,Receitas!$L:$L,"&gt;="&amp;$A383,Receitas!$C:$C,Q$1,Receitas!$M:$M,$B383)</f>
        <v>0</v>
      </c>
      <c r="R383" s="18" cm="1">
        <f t="array" ref="R383">(IF(AND(Membros!$F$2="Sim",A383&lt;=MAX(Membros!$E$2:$E$5)),Membros!K$2,IF(AND(A383&gt;=Membros!J$2,A383&lt;=MAX(Membros!$E$2:$E$5)),Membros!K$2,0))+IF(AND(Membros!$F$3="Sim",A383&lt;=MAX(Membros!$E$2:$E$5)),Membros!K$3,IF(AND(A383&gt;=Membros!J$3,A383&lt;=MAX(Membros!$E$2:$E$5)),Membros!K$3,0)))*IF(AND(COUNTIFS(Tabela3[Tipo],"Provedor",Tabela3[Simulação Seguro],"Sim")=2,A383&gt;=MAX(IF(Tabela3[Tipo]="Dependente",Tabela3[Expectativa de Vida (Data)]))),0,1)</f>
        <v>10000</v>
      </c>
      <c r="S383" s="18">
        <f t="shared" si="46"/>
        <v>10000</v>
      </c>
      <c r="U383" s="18">
        <f t="shared" ca="1" si="49"/>
        <v>25162441.989300016</v>
      </c>
      <c r="V383" s="18">
        <f>SUMIF(Imóveis!E:E,Dados!A:A,Imóveis!Z:Z)-SUMIF(Imóveis!E:E,Dados!A:A,Imóveis!Y:Y)</f>
        <v>0</v>
      </c>
      <c r="W383" s="18">
        <f>-SUMIF(Projetos!N:N,A383,Projetos!F:F)</f>
        <v>0</v>
      </c>
      <c r="X383" s="18">
        <f t="shared" si="43"/>
        <v>-27000</v>
      </c>
      <c r="Y383" s="26">
        <f ca="1">(U383*((Indicadores_Economicos!D$2+1)^(1/12)-1))</f>
        <v>82375.287357643858</v>
      </c>
      <c r="Z383" s="18">
        <f t="shared" ca="1" si="47"/>
        <v>25217817.27665766</v>
      </c>
      <c r="AA383" s="18">
        <f ca="1">Auxiliar_Projetos!E383</f>
        <v>1.3583264084067525E-9</v>
      </c>
      <c r="AB383" s="18">
        <f ca="1">Auxiliar_Projetos!K383</f>
        <v>1.0448664680051929E-9</v>
      </c>
      <c r="AC383" s="18">
        <f ca="1">IF(Z383-AA383-AB383&gt;Investimentos!$C$14,Investimentos!$C$14,IF(Z383-AA383-AB383&lt;Investimentos!$C$14,Z383-AA383-AB383,0))</f>
        <v>300000</v>
      </c>
      <c r="AD383" s="18">
        <f t="shared" ca="1" si="48"/>
        <v>24917817.27665766</v>
      </c>
      <c r="AE383" s="18"/>
    </row>
    <row r="384" spans="1:31" x14ac:dyDescent="0.2">
      <c r="A384" s="4">
        <v>57285</v>
      </c>
      <c r="B384" s="5" t="str">
        <f t="shared" si="44"/>
        <v>novembro</v>
      </c>
      <c r="C384" s="5" t="str">
        <f t="shared" si="50"/>
        <v>2056</v>
      </c>
      <c r="D384" s="5">
        <f>SUMIFS(Despesas!$F:$F,Despesas!$J:$J,"&lt;="&amp;$A384,Despesas!$L:$L,"&gt;="&amp;$A384,Despesas!$C:$C,D$1,Despesas!$M:$M,"Mensal")+SUMIFS(Despesas!$F:$F,Despesas!$J:$J,"&lt;="&amp;$A384,Despesas!$L:$L,"&gt;="&amp;$A384,Despesas!$C:$C,D$1,Despesas!$M:$M,$B384)</f>
        <v>23000</v>
      </c>
      <c r="E384" s="18">
        <f>SUMIFS(Despesas!$F:$F,Despesas!$J:$J,"&lt;="&amp;$A384,Despesas!$L:$L,"&gt;="&amp;$A384,Despesas!$C:$C,E$1,Despesas!$M:$M,"Mensal")+SUMIFS(Despesas!$F:$F,Despesas!$J:$J,"&lt;="&amp;$A384,Despesas!$L:$L,"&gt;="&amp;$A384,Despesas!$C:$C,E$1,Despesas!$M:$M,$B384)</f>
        <v>0</v>
      </c>
      <c r="F384" s="5">
        <f>SUMIFS(Despesas!$F:$F,Despesas!$J:$J,"&lt;="&amp;$A384,Despesas!$L:$L,"&gt;="&amp;$A384,Despesas!$C:$C,F$1,Despesas!$M:$M,"Mensal")+SUMIFS(Despesas!$F:$F,Despesas!$J:$J,"&lt;="&amp;$A384,Despesas!$L:$L,"&gt;="&amp;$A384,Despesas!$C:$C,F$1,Despesas!$M:$M,$B384)</f>
        <v>13000</v>
      </c>
      <c r="G384" s="5">
        <f>SUMIFS(Despesas!$F:$F,Despesas!$J:$J,"&lt;="&amp;$A384,Despesas!$L:$L,"&gt;="&amp;$A384,Despesas!$C:$C,G$1,Despesas!$M:$M,"Mensal")+SUMIFS(Despesas!$F:$F,Despesas!$J:$J,"&lt;="&amp;$A384,Despesas!$L:$L,"&gt;="&amp;$A384,Despesas!$C:$C,G$1,Despesas!$M:$M,$B384)</f>
        <v>0</v>
      </c>
      <c r="H384" s="18">
        <f>SUMIFS(Despesas!$F:$F,Despesas!$J:$J,"&lt;="&amp;$A384,Despesas!$L:$L,"&gt;="&amp;$A384,Despesas!$C:$C,H$1,Despesas!$M:$M,"Mensal")+SUMIFS(Despesas!$F:$F,Despesas!$J:$J,"&lt;="&amp;$A384,Despesas!$L:$L,"&gt;="&amp;$A384,Despesas!$C:$C,H$1,Despesas!$M:$M,$B384)</f>
        <v>1000</v>
      </c>
      <c r="I384" s="18">
        <f>IF(Imóveis!$F$2="PRICE",IF(AND(Dados!$A384&gt;=Imóveis!$Q$2,Dados!$A384&lt;=Imóveis!$T$2),Imóveis!$U$2,0),IF((IF(AND(Dados!$A384&gt;=Imóveis!$Q$2,Dados!$A384&lt;=Imóveis!$T$2),Imóveis!$S$2-(DATEDIF(Imóveis!$Q$2,Dados!$A384,"m")),0))=0,0,((Imóveis!$N$2/Imóveis!$S$2)+((Imóveis!$N$2-((Imóveis!$S$2-(IF(AND(Dados!$A384&gt;=Imóveis!$Q$2,Dados!$A384&lt;=Imóveis!$T$2),Imóveis!$S$2-(DATEDIF(Imóveis!$Q$2,Dados!$A384,"m")),)))*(Imóveis!$N$2/Imóveis!$S$2)))*Imóveis!$P$2))))*IF(AND(Imóveis!$E$2&gt;0,Dados!$A384&gt;Imóveis!$E$2),0,1)</f>
        <v>0</v>
      </c>
      <c r="J384" s="18">
        <f>IF(Imóveis!$F$3="PRICE",IF(AND(Dados!$A384&gt;=Imóveis!$Q$3,Dados!$A384&lt;=Imóveis!$T$3),Imóveis!$U$3,0),IF((IF(AND(Dados!$A384&gt;=Imóveis!$Q$3,Dados!$A384&lt;=Imóveis!$T$3),Imóveis!$S$3-(DATEDIF(Imóveis!$Q$3,Dados!$A384,"m")),0))=0,0,((Imóveis!$N$3/Imóveis!$S$3)+((Imóveis!$N$3-((Imóveis!$S$3-(IF(AND(Dados!$A384&gt;=Imóveis!$Q$3,Dados!$A384&lt;=Imóveis!$T$3),Imóveis!$S$3-(DATEDIF(Imóveis!$Q$3,Dados!$A384,"m")),)))*(Imóveis!$N$3/Imóveis!$S$3)))*Imóveis!$P$3))))*IF(AND(Imóveis!$E$3&gt;0,Dados!$A384&gt;Imóveis!$E$3),0,1)</f>
        <v>0</v>
      </c>
      <c r="K384" s="18">
        <f>IF(Imóveis!$F$4="PRICE",IF(AND(Dados!$A384&gt;=Imóveis!$Q$4,Dados!$A384&lt;=Imóveis!$T$4),Imóveis!$U$4,0),IF((IF(AND(Dados!$A384&gt;=Imóveis!$Q$4,Dados!$A384&lt;=Imóveis!$T$4),Imóveis!$S$4-(DATEDIF(Imóveis!$Q$4,Dados!$A384,"m")),0))=0,0,((Imóveis!$N$4/Imóveis!$S$4)+((Imóveis!$N$4-((Imóveis!$S$4-(IF(AND(Dados!$A384&gt;=Imóveis!$Q$4,Dados!$A384&lt;=Imóveis!$T$4),Imóveis!$S$4-(DATEDIF(Imóveis!$Q$4,Dados!$A384,"m")),)))*(Imóveis!$N$4/Imóveis!$S$4)))*Imóveis!$P$4))))*IF(AND(Imóveis!$E$4&gt;0,Dados!$A384&gt;Imóveis!$E$4),0,1)</f>
        <v>0</v>
      </c>
      <c r="L384" s="18">
        <f>IF(Imóveis!$F$5="PRICE",IF(AND(Dados!$A384&gt;=Imóveis!$Q$5,Dados!$A384&lt;=Imóveis!$T$5),Imóveis!$U$5,0),IF((IF(AND(Dados!$A384&gt;=Imóveis!$Q$5,Dados!$A384&lt;=Imóveis!$T$5),Imóveis!$S$5-(DATEDIF(Imóveis!$Q$5,Dados!$A384,"m")),0))=0,0,((Imóveis!$N$5/Imóveis!$S$5)+((Imóveis!$N$5-((Imóveis!$S$5-(IF(AND(Dados!$A384 &gt;=Imóveis!$Q$5,Dados!$A384&lt;=Imóveis!$T$5),Imóveis!$S$5-(DATEDIF(Imóveis!$Q$5,Dados!$A384,"m")),)))*(Imóveis!$N$5/Imóveis!$S$5)))*Imóveis!$P$5))))*IF(AND(Imóveis!$E$5&gt;0,Dados!$A384&gt;Imóveis!$E$5),0,1)*Imóveis!$I$5</f>
        <v>0</v>
      </c>
      <c r="M384" s="18">
        <f>IF(Imóveis!$F$6="PRICE",IF(AND(Dados!$A384&gt;=Imóveis!$Q$6,Dados!$A384&lt;=Imóveis!$T$6),Imóveis!$U$6,0),IF((IF(AND(Dados!$A384&gt;=Imóveis!$Q$6,Dados!$A384&lt;=Imóveis!$T$6),Imóveis!$S$6-(DATEDIF(Imóveis!$Q$6,Dados!$A384,"m")),0))=0,0,((Imóveis!$N$6/Imóveis!$S$6)+((Imóveis!$N$6-((Imóveis!$S$6-(IF(AND(Dados!$A384&gt;=Imóveis!$Q$6,Dados!$A384&lt;=Imóveis!$T$6),Imóveis!$S$6-(DATEDIF(Imóveis!$Q$6,Dados!$A384,"m")),)))*(Imóveis!$N$6/Imóveis!$S$6)))*Imóveis!$P$6))))*IF(AND(Imóveis!$E$6&gt;0,Dados!$A384&gt;Imóveis!$E$6),0,1)*Imóveis!$I$6</f>
        <v>0</v>
      </c>
      <c r="N384" s="18">
        <f t="shared" si="45"/>
        <v>37000</v>
      </c>
      <c r="O384" s="18">
        <f>SUMIFS(Receitas!$F:$F,Receitas!$J:$J,"&lt;="&amp;$A384,Receitas!$L:$L,"&gt;="&amp;$A384,Receitas!$C:$C,O$1,Receitas!$M:$M,"Mensal")+SUMIFS(Receitas!$F:$F,Receitas!$J:$J,"&lt;="&amp;$A384,Receitas!$L:$L,"&gt;="&amp;$A384,Receitas!$C:$C,O$1,Receitas!$M:$M,$B384)</f>
        <v>0</v>
      </c>
      <c r="P384" s="18">
        <f>SUMIFS(Receitas!$F:$F,Receitas!$J:$J,"&lt;="&amp;$A384,Receitas!$L:$L,"&gt;="&amp;$A384,Receitas!$C:$C,P$1,Receitas!$M:$M,"Mensal")+SUMIFS(Receitas!$F:$F,Receitas!$J:$J,"&lt;="&amp;$A384,Receitas!$L:$L,"&gt;="&amp;$A384,Receitas!$C:$C,P$1,Receitas!$M:$M,$B384)</f>
        <v>0</v>
      </c>
      <c r="Q384" s="18">
        <f>SUMIFS(Receitas!$F:$F,Receitas!$J:$J,"&lt;="&amp;$A384,Receitas!$L:$L,"&gt;="&amp;$A384,Receitas!$C:$C,Q$1,Receitas!$M:$M,"Mensal")+SUMIFS(Receitas!$F:$F,Receitas!$J:$J,"&lt;="&amp;$A384,Receitas!$L:$L,"&gt;="&amp;$A384,Receitas!$C:$C,Q$1,Receitas!$M:$M,$B384)</f>
        <v>0</v>
      </c>
      <c r="R384" s="18" cm="1">
        <f t="array" ref="R384">(IF(AND(Membros!$F$2="Sim",A384&lt;=MAX(Membros!$E$2:$E$5)),Membros!K$2,IF(AND(A384&gt;=Membros!J$2,A384&lt;=MAX(Membros!$E$2:$E$5)),Membros!K$2,0))+IF(AND(Membros!$F$3="Sim",A384&lt;=MAX(Membros!$E$2:$E$5)),Membros!K$3,IF(AND(A384&gt;=Membros!J$3,A384&lt;=MAX(Membros!$E$2:$E$5)),Membros!K$3,0)))*IF(AND(COUNTIFS(Tabela3[Tipo],"Provedor",Tabela3[Simulação Seguro],"Sim")=2,A384&gt;=MAX(IF(Tabela3[Tipo]="Dependente",Tabela3[Expectativa de Vida (Data)]))),0,1)</f>
        <v>10000</v>
      </c>
      <c r="S384" s="18">
        <f t="shared" si="46"/>
        <v>10000</v>
      </c>
      <c r="U384" s="18">
        <f t="shared" ca="1" si="49"/>
        <v>25217817.27665766</v>
      </c>
      <c r="V384" s="18">
        <f>SUMIF(Imóveis!E:E,Dados!A:A,Imóveis!Z:Z)-SUMIF(Imóveis!E:E,Dados!A:A,Imóveis!Y:Y)</f>
        <v>0</v>
      </c>
      <c r="W384" s="18">
        <f>-SUMIF(Projetos!N:N,A384,Projetos!F:F)</f>
        <v>0</v>
      </c>
      <c r="X384" s="18">
        <f t="shared" si="43"/>
        <v>-27000</v>
      </c>
      <c r="Y384" s="26">
        <f ca="1">(U384*((Indicadores_Economicos!D$2+1)^(1/12)-1))</f>
        <v>82556.571638817273</v>
      </c>
      <c r="Z384" s="18">
        <f t="shared" ca="1" si="47"/>
        <v>25273373.848296478</v>
      </c>
      <c r="AA384" s="18">
        <f ca="1">Auxiliar_Projetos!E384</f>
        <v>1.362773215607165E-9</v>
      </c>
      <c r="AB384" s="18">
        <f ca="1">Auxiliar_Projetos!K384</f>
        <v>1.048287088928587E-9</v>
      </c>
      <c r="AC384" s="18">
        <f ca="1">IF(Z384-AA384-AB384&gt;Investimentos!$C$14,Investimentos!$C$14,IF(Z384-AA384-AB384&lt;Investimentos!$C$14,Z384-AA384-AB384,0))</f>
        <v>300000</v>
      </c>
      <c r="AD384" s="18">
        <f t="shared" ca="1" si="48"/>
        <v>24973373.848296478</v>
      </c>
      <c r="AE384" s="18"/>
    </row>
    <row r="385" spans="1:31" x14ac:dyDescent="0.2">
      <c r="A385" s="4">
        <v>57315</v>
      </c>
      <c r="B385" s="5" t="str">
        <f t="shared" si="44"/>
        <v>dezembro</v>
      </c>
      <c r="C385" s="5" t="str">
        <f t="shared" si="50"/>
        <v>2056</v>
      </c>
      <c r="D385" s="5">
        <f>SUMIFS(Despesas!$F:$F,Despesas!$J:$J,"&lt;="&amp;$A385,Despesas!$L:$L,"&gt;="&amp;$A385,Despesas!$C:$C,D$1,Despesas!$M:$M,"Mensal")+SUMIFS(Despesas!$F:$F,Despesas!$J:$J,"&lt;="&amp;$A385,Despesas!$L:$L,"&gt;="&amp;$A385,Despesas!$C:$C,D$1,Despesas!$M:$M,$B385)</f>
        <v>23000</v>
      </c>
      <c r="E385" s="18">
        <f>SUMIFS(Despesas!$F:$F,Despesas!$J:$J,"&lt;="&amp;$A385,Despesas!$L:$L,"&gt;="&amp;$A385,Despesas!$C:$C,E$1,Despesas!$M:$M,"Mensal")+SUMIFS(Despesas!$F:$F,Despesas!$J:$J,"&lt;="&amp;$A385,Despesas!$L:$L,"&gt;="&amp;$A385,Despesas!$C:$C,E$1,Despesas!$M:$M,$B385)</f>
        <v>0</v>
      </c>
      <c r="F385" s="5">
        <f>SUMIFS(Despesas!$F:$F,Despesas!$J:$J,"&lt;="&amp;$A385,Despesas!$L:$L,"&gt;="&amp;$A385,Despesas!$C:$C,F$1,Despesas!$M:$M,"Mensal")+SUMIFS(Despesas!$F:$F,Despesas!$J:$J,"&lt;="&amp;$A385,Despesas!$L:$L,"&gt;="&amp;$A385,Despesas!$C:$C,F$1,Despesas!$M:$M,$B385)</f>
        <v>13000</v>
      </c>
      <c r="G385" s="5">
        <f ca="1">SUMIFS(Despesas!$F:$F,Despesas!$J:$J,"&lt;="&amp;$A385,Despesas!$L:$L,"&gt;="&amp;$A385,Despesas!$C:$C,G$1,Despesas!$M:$M,"Mensal")+SUMIFS(Despesas!$F:$F,Despesas!$J:$J,"&lt;="&amp;$A385,Despesas!$L:$L,"&gt;="&amp;$A385,Despesas!$C:$C,G$1,Despesas!$M:$M,$B385)</f>
        <v>55757</v>
      </c>
      <c r="H385" s="18">
        <f>SUMIFS(Despesas!$F:$F,Despesas!$J:$J,"&lt;="&amp;$A385,Despesas!$L:$L,"&gt;="&amp;$A385,Despesas!$C:$C,H$1,Despesas!$M:$M,"Mensal")+SUMIFS(Despesas!$F:$F,Despesas!$J:$J,"&lt;="&amp;$A385,Despesas!$L:$L,"&gt;="&amp;$A385,Despesas!$C:$C,H$1,Despesas!$M:$M,$B385)</f>
        <v>1000</v>
      </c>
      <c r="I385" s="18">
        <f>IF(Imóveis!$F$2="PRICE",IF(AND(Dados!$A385&gt;=Imóveis!$Q$2,Dados!$A385&lt;=Imóveis!$T$2),Imóveis!$U$2,0),IF((IF(AND(Dados!$A385&gt;=Imóveis!$Q$2,Dados!$A385&lt;=Imóveis!$T$2),Imóveis!$S$2-(DATEDIF(Imóveis!$Q$2,Dados!$A385,"m")),0))=0,0,((Imóveis!$N$2/Imóveis!$S$2)+((Imóveis!$N$2-((Imóveis!$S$2-(IF(AND(Dados!$A385&gt;=Imóveis!$Q$2,Dados!$A385&lt;=Imóveis!$T$2),Imóveis!$S$2-(DATEDIF(Imóveis!$Q$2,Dados!$A385,"m")),)))*(Imóveis!$N$2/Imóveis!$S$2)))*Imóveis!$P$2))))*IF(AND(Imóveis!$E$2&gt;0,Dados!$A385&gt;Imóveis!$E$2),0,1)</f>
        <v>0</v>
      </c>
      <c r="J385" s="18">
        <f>IF(Imóveis!$F$3="PRICE",IF(AND(Dados!$A385&gt;=Imóveis!$Q$3,Dados!$A385&lt;=Imóveis!$T$3),Imóveis!$U$3,0),IF((IF(AND(Dados!$A385&gt;=Imóveis!$Q$3,Dados!$A385&lt;=Imóveis!$T$3),Imóveis!$S$3-(DATEDIF(Imóveis!$Q$3,Dados!$A385,"m")),0))=0,0,((Imóveis!$N$3/Imóveis!$S$3)+((Imóveis!$N$3-((Imóveis!$S$3-(IF(AND(Dados!$A385&gt;=Imóveis!$Q$3,Dados!$A385&lt;=Imóveis!$T$3),Imóveis!$S$3-(DATEDIF(Imóveis!$Q$3,Dados!$A385,"m")),)))*(Imóveis!$N$3/Imóveis!$S$3)))*Imóveis!$P$3))))*IF(AND(Imóveis!$E$3&gt;0,Dados!$A385&gt;Imóveis!$E$3),0,1)</f>
        <v>0</v>
      </c>
      <c r="K385" s="18">
        <f>IF(Imóveis!$F$4="PRICE",IF(AND(Dados!$A385&gt;=Imóveis!$Q$4,Dados!$A385&lt;=Imóveis!$T$4),Imóveis!$U$4,0),IF((IF(AND(Dados!$A385&gt;=Imóveis!$Q$4,Dados!$A385&lt;=Imóveis!$T$4),Imóveis!$S$4-(DATEDIF(Imóveis!$Q$4,Dados!$A385,"m")),0))=0,0,((Imóveis!$N$4/Imóveis!$S$4)+((Imóveis!$N$4-((Imóveis!$S$4-(IF(AND(Dados!$A385&gt;=Imóveis!$Q$4,Dados!$A385&lt;=Imóveis!$T$4),Imóveis!$S$4-(DATEDIF(Imóveis!$Q$4,Dados!$A385,"m")),)))*(Imóveis!$N$4/Imóveis!$S$4)))*Imóveis!$P$4))))*IF(AND(Imóveis!$E$4&gt;0,Dados!$A385&gt;Imóveis!$E$4),0,1)</f>
        <v>0</v>
      </c>
      <c r="L385" s="18">
        <f>IF(Imóveis!$F$5="PRICE",IF(AND(Dados!$A385&gt;=Imóveis!$Q$5,Dados!$A385&lt;=Imóveis!$T$5),Imóveis!$U$5,0),IF((IF(AND(Dados!$A385&gt;=Imóveis!$Q$5,Dados!$A385&lt;=Imóveis!$T$5),Imóveis!$S$5-(DATEDIF(Imóveis!$Q$5,Dados!$A385,"m")),0))=0,0,((Imóveis!$N$5/Imóveis!$S$5)+((Imóveis!$N$5-((Imóveis!$S$5-(IF(AND(Dados!$A385 &gt;=Imóveis!$Q$5,Dados!$A385&lt;=Imóveis!$T$5),Imóveis!$S$5-(DATEDIF(Imóveis!$Q$5,Dados!$A385,"m")),)))*(Imóveis!$N$5/Imóveis!$S$5)))*Imóveis!$P$5))))*IF(AND(Imóveis!$E$5&gt;0,Dados!$A385&gt;Imóveis!$E$5),0,1)*Imóveis!$I$5</f>
        <v>0</v>
      </c>
      <c r="M385" s="18">
        <f>IF(Imóveis!$F$6="PRICE",IF(AND(Dados!$A385&gt;=Imóveis!$Q$6,Dados!$A385&lt;=Imóveis!$T$6),Imóveis!$U$6,0),IF((IF(AND(Dados!$A385&gt;=Imóveis!$Q$6,Dados!$A385&lt;=Imóveis!$T$6),Imóveis!$S$6-(DATEDIF(Imóveis!$Q$6,Dados!$A385,"m")),0))=0,0,((Imóveis!$N$6/Imóveis!$S$6)+((Imóveis!$N$6-((Imóveis!$S$6-(IF(AND(Dados!$A385&gt;=Imóveis!$Q$6,Dados!$A385&lt;=Imóveis!$T$6),Imóveis!$S$6-(DATEDIF(Imóveis!$Q$6,Dados!$A385,"m")),)))*(Imóveis!$N$6/Imóveis!$S$6)))*Imóveis!$P$6))))*IF(AND(Imóveis!$E$6&gt;0,Dados!$A385&gt;Imóveis!$E$6),0,1)*Imóveis!$I$6</f>
        <v>0</v>
      </c>
      <c r="N385" s="18">
        <f t="shared" ca="1" si="45"/>
        <v>92757</v>
      </c>
      <c r="O385" s="18">
        <f>SUMIFS(Receitas!$F:$F,Receitas!$J:$J,"&lt;="&amp;$A385,Receitas!$L:$L,"&gt;="&amp;$A385,Receitas!$C:$C,O$1,Receitas!$M:$M,"Mensal")+SUMIFS(Receitas!$F:$F,Receitas!$J:$J,"&lt;="&amp;$A385,Receitas!$L:$L,"&gt;="&amp;$A385,Receitas!$C:$C,O$1,Receitas!$M:$M,$B385)</f>
        <v>0</v>
      </c>
      <c r="P385" s="18">
        <f>SUMIFS(Receitas!$F:$F,Receitas!$J:$J,"&lt;="&amp;$A385,Receitas!$L:$L,"&gt;="&amp;$A385,Receitas!$C:$C,P$1,Receitas!$M:$M,"Mensal")+SUMIFS(Receitas!$F:$F,Receitas!$J:$J,"&lt;="&amp;$A385,Receitas!$L:$L,"&gt;="&amp;$A385,Receitas!$C:$C,P$1,Receitas!$M:$M,$B385)</f>
        <v>0</v>
      </c>
      <c r="Q385" s="18">
        <f>SUMIFS(Receitas!$F:$F,Receitas!$J:$J,"&lt;="&amp;$A385,Receitas!$L:$L,"&gt;="&amp;$A385,Receitas!$C:$C,Q$1,Receitas!$M:$M,"Mensal")+SUMIFS(Receitas!$F:$F,Receitas!$J:$J,"&lt;="&amp;$A385,Receitas!$L:$L,"&gt;="&amp;$A385,Receitas!$C:$C,Q$1,Receitas!$M:$M,$B385)</f>
        <v>0</v>
      </c>
      <c r="R385" s="18" cm="1">
        <f t="array" ref="R385">(IF(AND(Membros!$F$2="Sim",A385&lt;=MAX(Membros!$E$2:$E$5)),Membros!K$2,IF(AND(A385&gt;=Membros!J$2,A385&lt;=MAX(Membros!$E$2:$E$5)),Membros!K$2,0))+IF(AND(Membros!$F$3="Sim",A385&lt;=MAX(Membros!$E$2:$E$5)),Membros!K$3,IF(AND(A385&gt;=Membros!J$3,A385&lt;=MAX(Membros!$E$2:$E$5)),Membros!K$3,0)))*IF(AND(COUNTIFS(Tabela3[Tipo],"Provedor",Tabela3[Simulação Seguro],"Sim")=2,A385&gt;=MAX(IF(Tabela3[Tipo]="Dependente",Tabela3[Expectativa de Vida (Data)]))),0,1)</f>
        <v>10000</v>
      </c>
      <c r="S385" s="18">
        <f t="shared" si="46"/>
        <v>10000</v>
      </c>
      <c r="U385" s="18">
        <f t="shared" ca="1" si="49"/>
        <v>25273373.848296478</v>
      </c>
      <c r="V385" s="18">
        <f>SUMIF(Imóveis!E:E,Dados!A:A,Imóveis!Z:Z)-SUMIF(Imóveis!E:E,Dados!A:A,Imóveis!Y:Y)</f>
        <v>0</v>
      </c>
      <c r="W385" s="18">
        <f>-SUMIF(Projetos!N:N,A385,Projetos!F:F)</f>
        <v>0</v>
      </c>
      <c r="X385" s="18">
        <f t="shared" ca="1" si="43"/>
        <v>-82757</v>
      </c>
      <c r="Y385" s="26">
        <f ca="1">(U385*((Indicadores_Economicos!D$2+1)^(1/12)-1))</f>
        <v>82738.44939755385</v>
      </c>
      <c r="Z385" s="18">
        <f t="shared" ca="1" si="47"/>
        <v>25273355.297694031</v>
      </c>
      <c r="AA385" s="18">
        <f ca="1">Auxiliar_Projetos!E385</f>
        <v>1.3672345804972133E-9</v>
      </c>
      <c r="AB385" s="18">
        <f ca="1">Auxiliar_Projetos!K385</f>
        <v>1.0517189080747781E-9</v>
      </c>
      <c r="AC385" s="18">
        <f ca="1">IF(Z385-AA385-AB385&gt;Investimentos!$C$14,Investimentos!$C$14,IF(Z385-AA385-AB385&lt;Investimentos!$C$14,Z385-AA385-AB385,0))</f>
        <v>300000</v>
      </c>
      <c r="AD385" s="18">
        <f t="shared" ca="1" si="48"/>
        <v>24973355.297694031</v>
      </c>
      <c r="AE385" s="18"/>
    </row>
    <row r="386" spans="1:31" x14ac:dyDescent="0.2">
      <c r="A386" s="4">
        <v>57346</v>
      </c>
      <c r="B386" s="5" t="str">
        <f t="shared" si="44"/>
        <v>janeiro</v>
      </c>
      <c r="C386" s="5" t="str">
        <f t="shared" si="50"/>
        <v>2057</v>
      </c>
      <c r="D386" s="5">
        <f>SUMIFS(Despesas!$F:$F,Despesas!$J:$J,"&lt;="&amp;$A386,Despesas!$L:$L,"&gt;="&amp;$A386,Despesas!$C:$C,D$1,Despesas!$M:$M,"Mensal")+SUMIFS(Despesas!$F:$F,Despesas!$J:$J,"&lt;="&amp;$A386,Despesas!$L:$L,"&gt;="&amp;$A386,Despesas!$C:$C,D$1,Despesas!$M:$M,$B386)</f>
        <v>23000</v>
      </c>
      <c r="E386" s="18">
        <f>SUMIFS(Despesas!$F:$F,Despesas!$J:$J,"&lt;="&amp;$A386,Despesas!$L:$L,"&gt;="&amp;$A386,Despesas!$C:$C,E$1,Despesas!$M:$M,"Mensal")+SUMIFS(Despesas!$F:$F,Despesas!$J:$J,"&lt;="&amp;$A386,Despesas!$L:$L,"&gt;="&amp;$A386,Despesas!$C:$C,E$1,Despesas!$M:$M,$B386)</f>
        <v>0</v>
      </c>
      <c r="F386" s="5">
        <f>SUMIFS(Despesas!$F:$F,Despesas!$J:$J,"&lt;="&amp;$A386,Despesas!$L:$L,"&gt;="&amp;$A386,Despesas!$C:$C,F$1,Despesas!$M:$M,"Mensal")+SUMIFS(Despesas!$F:$F,Despesas!$J:$J,"&lt;="&amp;$A386,Despesas!$L:$L,"&gt;="&amp;$A386,Despesas!$C:$C,F$1,Despesas!$M:$M,$B386)</f>
        <v>13000</v>
      </c>
      <c r="G386" s="5">
        <f>SUMIFS(Despesas!$F:$F,Despesas!$J:$J,"&lt;="&amp;$A386,Despesas!$L:$L,"&gt;="&amp;$A386,Despesas!$C:$C,G$1,Despesas!$M:$M,"Mensal")+SUMIFS(Despesas!$F:$F,Despesas!$J:$J,"&lt;="&amp;$A386,Despesas!$L:$L,"&gt;="&amp;$A386,Despesas!$C:$C,G$1,Despesas!$M:$M,$B386)</f>
        <v>0</v>
      </c>
      <c r="H386" s="18">
        <f>SUMIFS(Despesas!$F:$F,Despesas!$J:$J,"&lt;="&amp;$A386,Despesas!$L:$L,"&gt;="&amp;$A386,Despesas!$C:$C,H$1,Despesas!$M:$M,"Mensal")+SUMIFS(Despesas!$F:$F,Despesas!$J:$J,"&lt;="&amp;$A386,Despesas!$L:$L,"&gt;="&amp;$A386,Despesas!$C:$C,H$1,Despesas!$M:$M,$B386)</f>
        <v>1000</v>
      </c>
      <c r="I386" s="18">
        <f>IF(Imóveis!$F$2="PRICE",IF(AND(Dados!$A386&gt;=Imóveis!$Q$2,Dados!$A386&lt;=Imóveis!$T$2),Imóveis!$U$2,0),IF((IF(AND(Dados!$A386&gt;=Imóveis!$Q$2,Dados!$A386&lt;=Imóveis!$T$2),Imóveis!$S$2-(DATEDIF(Imóveis!$Q$2,Dados!$A386,"m")),0))=0,0,((Imóveis!$N$2/Imóveis!$S$2)+((Imóveis!$N$2-((Imóveis!$S$2-(IF(AND(Dados!$A386&gt;=Imóveis!$Q$2,Dados!$A386&lt;=Imóveis!$T$2),Imóveis!$S$2-(DATEDIF(Imóveis!$Q$2,Dados!$A386,"m")),)))*(Imóveis!$N$2/Imóveis!$S$2)))*Imóveis!$P$2))))*IF(AND(Imóveis!$E$2&gt;0,Dados!$A386&gt;Imóveis!$E$2),0,1)</f>
        <v>0</v>
      </c>
      <c r="J386" s="18">
        <f>IF(Imóveis!$F$3="PRICE",IF(AND(Dados!$A386&gt;=Imóveis!$Q$3,Dados!$A386&lt;=Imóveis!$T$3),Imóveis!$U$3,0),IF((IF(AND(Dados!$A386&gt;=Imóveis!$Q$3,Dados!$A386&lt;=Imóveis!$T$3),Imóveis!$S$3-(DATEDIF(Imóveis!$Q$3,Dados!$A386,"m")),0))=0,0,((Imóveis!$N$3/Imóveis!$S$3)+((Imóveis!$N$3-((Imóveis!$S$3-(IF(AND(Dados!$A386&gt;=Imóveis!$Q$3,Dados!$A386&lt;=Imóveis!$T$3),Imóveis!$S$3-(DATEDIF(Imóveis!$Q$3,Dados!$A386,"m")),)))*(Imóveis!$N$3/Imóveis!$S$3)))*Imóveis!$P$3))))*IF(AND(Imóveis!$E$3&gt;0,Dados!$A386&gt;Imóveis!$E$3),0,1)</f>
        <v>0</v>
      </c>
      <c r="K386" s="18">
        <f>IF(Imóveis!$F$4="PRICE",IF(AND(Dados!$A386&gt;=Imóveis!$Q$4,Dados!$A386&lt;=Imóveis!$T$4),Imóveis!$U$4,0),IF((IF(AND(Dados!$A386&gt;=Imóveis!$Q$4,Dados!$A386&lt;=Imóveis!$T$4),Imóveis!$S$4-(DATEDIF(Imóveis!$Q$4,Dados!$A386,"m")),0))=0,0,((Imóveis!$N$4/Imóveis!$S$4)+((Imóveis!$N$4-((Imóveis!$S$4-(IF(AND(Dados!$A386&gt;=Imóveis!$Q$4,Dados!$A386&lt;=Imóveis!$T$4),Imóveis!$S$4-(DATEDIF(Imóveis!$Q$4,Dados!$A386,"m")),)))*(Imóveis!$N$4/Imóveis!$S$4)))*Imóveis!$P$4))))*IF(AND(Imóveis!$E$4&gt;0,Dados!$A386&gt;Imóveis!$E$4),0,1)</f>
        <v>0</v>
      </c>
      <c r="L386" s="18">
        <f>IF(Imóveis!$F$5="PRICE",IF(AND(Dados!$A386&gt;=Imóveis!$Q$5,Dados!$A386&lt;=Imóveis!$T$5),Imóveis!$U$5,0),IF((IF(AND(Dados!$A386&gt;=Imóveis!$Q$5,Dados!$A386&lt;=Imóveis!$T$5),Imóveis!$S$5-(DATEDIF(Imóveis!$Q$5,Dados!$A386,"m")),0))=0,0,((Imóveis!$N$5/Imóveis!$S$5)+((Imóveis!$N$5-((Imóveis!$S$5-(IF(AND(Dados!$A386 &gt;=Imóveis!$Q$5,Dados!$A386&lt;=Imóveis!$T$5),Imóveis!$S$5-(DATEDIF(Imóveis!$Q$5,Dados!$A386,"m")),)))*(Imóveis!$N$5/Imóveis!$S$5)))*Imóveis!$P$5))))*IF(AND(Imóveis!$E$5&gt;0,Dados!$A386&gt;Imóveis!$E$5),0,1)*Imóveis!$I$5</f>
        <v>0</v>
      </c>
      <c r="M386" s="18">
        <f>IF(Imóveis!$F$6="PRICE",IF(AND(Dados!$A386&gt;=Imóveis!$Q$6,Dados!$A386&lt;=Imóveis!$T$6),Imóveis!$U$6,0),IF((IF(AND(Dados!$A386&gt;=Imóveis!$Q$6,Dados!$A386&lt;=Imóveis!$T$6),Imóveis!$S$6-(DATEDIF(Imóveis!$Q$6,Dados!$A386,"m")),0))=0,0,((Imóveis!$N$6/Imóveis!$S$6)+((Imóveis!$N$6-((Imóveis!$S$6-(IF(AND(Dados!$A386&gt;=Imóveis!$Q$6,Dados!$A386&lt;=Imóveis!$T$6),Imóveis!$S$6-(DATEDIF(Imóveis!$Q$6,Dados!$A386,"m")),)))*(Imóveis!$N$6/Imóveis!$S$6)))*Imóveis!$P$6))))*IF(AND(Imóveis!$E$6&gt;0,Dados!$A386&gt;Imóveis!$E$6),0,1)*Imóveis!$I$6</f>
        <v>0</v>
      </c>
      <c r="N386" s="18">
        <f t="shared" si="45"/>
        <v>37000</v>
      </c>
      <c r="O386" s="18">
        <f>SUMIFS(Receitas!$F:$F,Receitas!$J:$J,"&lt;="&amp;$A386,Receitas!$L:$L,"&gt;="&amp;$A386,Receitas!$C:$C,O$1,Receitas!$M:$M,"Mensal")+SUMIFS(Receitas!$F:$F,Receitas!$J:$J,"&lt;="&amp;$A386,Receitas!$L:$L,"&gt;="&amp;$A386,Receitas!$C:$C,O$1,Receitas!$M:$M,$B386)</f>
        <v>0</v>
      </c>
      <c r="P386" s="18">
        <f>SUMIFS(Receitas!$F:$F,Receitas!$J:$J,"&lt;="&amp;$A386,Receitas!$L:$L,"&gt;="&amp;$A386,Receitas!$C:$C,P$1,Receitas!$M:$M,"Mensal")+SUMIFS(Receitas!$F:$F,Receitas!$J:$J,"&lt;="&amp;$A386,Receitas!$L:$L,"&gt;="&amp;$A386,Receitas!$C:$C,P$1,Receitas!$M:$M,$B386)</f>
        <v>0</v>
      </c>
      <c r="Q386" s="18">
        <f>SUMIFS(Receitas!$F:$F,Receitas!$J:$J,"&lt;="&amp;$A386,Receitas!$L:$L,"&gt;="&amp;$A386,Receitas!$C:$C,Q$1,Receitas!$M:$M,"Mensal")+SUMIFS(Receitas!$F:$F,Receitas!$J:$J,"&lt;="&amp;$A386,Receitas!$L:$L,"&gt;="&amp;$A386,Receitas!$C:$C,Q$1,Receitas!$M:$M,$B386)</f>
        <v>0</v>
      </c>
      <c r="R386" s="18" cm="1">
        <f t="array" ref="R386">(IF(AND(Membros!$F$2="Sim",A386&lt;=MAX(Membros!$E$2:$E$5)),Membros!K$2,IF(AND(A386&gt;=Membros!J$2,A386&lt;=MAX(Membros!$E$2:$E$5)),Membros!K$2,0))+IF(AND(Membros!$F$3="Sim",A386&lt;=MAX(Membros!$E$2:$E$5)),Membros!K$3,IF(AND(A386&gt;=Membros!J$3,A386&lt;=MAX(Membros!$E$2:$E$5)),Membros!K$3,0)))*IF(AND(COUNTIFS(Tabela3[Tipo],"Provedor",Tabela3[Simulação Seguro],"Sim")=2,A386&gt;=MAX(IF(Tabela3[Tipo]="Dependente",Tabela3[Expectativa de Vida (Data)]))),0,1)</f>
        <v>10000</v>
      </c>
      <c r="S386" s="18">
        <f t="shared" si="46"/>
        <v>10000</v>
      </c>
      <c r="U386" s="18">
        <f t="shared" ca="1" si="49"/>
        <v>25273355.297694031</v>
      </c>
      <c r="V386" s="18">
        <f>SUMIF(Imóveis!E:E,Dados!A:A,Imóveis!Z:Z)-SUMIF(Imóveis!E:E,Dados!A:A,Imóveis!Y:Y)</f>
        <v>0</v>
      </c>
      <c r="W386" s="18">
        <f>-SUMIF(Projetos!N:N,A386,Projetos!F:F)</f>
        <v>0</v>
      </c>
      <c r="X386" s="18">
        <f t="shared" ref="X386:X449" si="51">(S386-N386)</f>
        <v>-27000</v>
      </c>
      <c r="Y386" s="26">
        <f ca="1">(U386*((Indicadores_Economicos!D$2+1)^(1/12)-1))</f>
        <v>82738.388667708641</v>
      </c>
      <c r="Z386" s="18">
        <f t="shared" ca="1" si="47"/>
        <v>25329093.686361741</v>
      </c>
      <c r="AA386" s="18">
        <f ca="1">Auxiliar_Projetos!E386</f>
        <v>1.3717105507349851E-9</v>
      </c>
      <c r="AB386" s="18">
        <f ca="1">Auxiliar_Projetos!K386</f>
        <v>1.0551619621038333E-9</v>
      </c>
      <c r="AC386" s="18">
        <f ca="1">IF(Z386-AA386-AB386&gt;Investimentos!$C$14,Investimentos!$C$14,IF(Z386-AA386-AB386&lt;Investimentos!$C$14,Z386-AA386-AB386,0))</f>
        <v>300000</v>
      </c>
      <c r="AD386" s="18">
        <f t="shared" ca="1" si="48"/>
        <v>25029093.686361741</v>
      </c>
      <c r="AE386" s="18"/>
    </row>
    <row r="387" spans="1:31" x14ac:dyDescent="0.2">
      <c r="A387" s="4">
        <v>57377</v>
      </c>
      <c r="B387" s="5" t="str">
        <f t="shared" ref="B387:B450" si="52">TEXT(A387,"MMMM")</f>
        <v>fevereiro</v>
      </c>
      <c r="C387" s="5" t="str">
        <f t="shared" si="50"/>
        <v>2057</v>
      </c>
      <c r="D387" s="5">
        <f>SUMIFS(Despesas!$F:$F,Despesas!$J:$J,"&lt;="&amp;$A387,Despesas!$L:$L,"&gt;="&amp;$A387,Despesas!$C:$C,D$1,Despesas!$M:$M,"Mensal")+SUMIFS(Despesas!$F:$F,Despesas!$J:$J,"&lt;="&amp;$A387,Despesas!$L:$L,"&gt;="&amp;$A387,Despesas!$C:$C,D$1,Despesas!$M:$M,$B387)</f>
        <v>23000</v>
      </c>
      <c r="E387" s="18">
        <f>SUMIFS(Despesas!$F:$F,Despesas!$J:$J,"&lt;="&amp;$A387,Despesas!$L:$L,"&gt;="&amp;$A387,Despesas!$C:$C,E$1,Despesas!$M:$M,"Mensal")+SUMIFS(Despesas!$F:$F,Despesas!$J:$J,"&lt;="&amp;$A387,Despesas!$L:$L,"&gt;="&amp;$A387,Despesas!$C:$C,E$1,Despesas!$M:$M,$B387)</f>
        <v>0</v>
      </c>
      <c r="F387" s="5">
        <f>SUMIFS(Despesas!$F:$F,Despesas!$J:$J,"&lt;="&amp;$A387,Despesas!$L:$L,"&gt;="&amp;$A387,Despesas!$C:$C,F$1,Despesas!$M:$M,"Mensal")+SUMIFS(Despesas!$F:$F,Despesas!$J:$J,"&lt;="&amp;$A387,Despesas!$L:$L,"&gt;="&amp;$A387,Despesas!$C:$C,F$1,Despesas!$M:$M,$B387)</f>
        <v>13000</v>
      </c>
      <c r="G387" s="5">
        <f>SUMIFS(Despesas!$F:$F,Despesas!$J:$J,"&lt;="&amp;$A387,Despesas!$L:$L,"&gt;="&amp;$A387,Despesas!$C:$C,G$1,Despesas!$M:$M,"Mensal")+SUMIFS(Despesas!$F:$F,Despesas!$J:$J,"&lt;="&amp;$A387,Despesas!$L:$L,"&gt;="&amp;$A387,Despesas!$C:$C,G$1,Despesas!$M:$M,$B387)</f>
        <v>0</v>
      </c>
      <c r="H387" s="18">
        <f>SUMIFS(Despesas!$F:$F,Despesas!$J:$J,"&lt;="&amp;$A387,Despesas!$L:$L,"&gt;="&amp;$A387,Despesas!$C:$C,H$1,Despesas!$M:$M,"Mensal")+SUMIFS(Despesas!$F:$F,Despesas!$J:$J,"&lt;="&amp;$A387,Despesas!$L:$L,"&gt;="&amp;$A387,Despesas!$C:$C,H$1,Despesas!$M:$M,$B387)</f>
        <v>2200</v>
      </c>
      <c r="I387" s="18">
        <f>IF(Imóveis!$F$2="PRICE",IF(AND(Dados!$A387&gt;=Imóveis!$Q$2,Dados!$A387&lt;=Imóveis!$T$2),Imóveis!$U$2,0),IF((IF(AND(Dados!$A387&gt;=Imóveis!$Q$2,Dados!$A387&lt;=Imóveis!$T$2),Imóveis!$S$2-(DATEDIF(Imóveis!$Q$2,Dados!$A387,"m")),0))=0,0,((Imóveis!$N$2/Imóveis!$S$2)+((Imóveis!$N$2-((Imóveis!$S$2-(IF(AND(Dados!$A387&gt;=Imóveis!$Q$2,Dados!$A387&lt;=Imóveis!$T$2),Imóveis!$S$2-(DATEDIF(Imóveis!$Q$2,Dados!$A387,"m")),)))*(Imóveis!$N$2/Imóveis!$S$2)))*Imóveis!$P$2))))*IF(AND(Imóveis!$E$2&gt;0,Dados!$A387&gt;Imóveis!$E$2),0,1)</f>
        <v>0</v>
      </c>
      <c r="J387" s="18">
        <f>IF(Imóveis!$F$3="PRICE",IF(AND(Dados!$A387&gt;=Imóveis!$Q$3,Dados!$A387&lt;=Imóveis!$T$3),Imóveis!$U$3,0),IF((IF(AND(Dados!$A387&gt;=Imóveis!$Q$3,Dados!$A387&lt;=Imóveis!$T$3),Imóveis!$S$3-(DATEDIF(Imóveis!$Q$3,Dados!$A387,"m")),0))=0,0,((Imóveis!$N$3/Imóveis!$S$3)+((Imóveis!$N$3-((Imóveis!$S$3-(IF(AND(Dados!$A387&gt;=Imóveis!$Q$3,Dados!$A387&lt;=Imóveis!$T$3),Imóveis!$S$3-(DATEDIF(Imóveis!$Q$3,Dados!$A387,"m")),)))*(Imóveis!$N$3/Imóveis!$S$3)))*Imóveis!$P$3))))*IF(AND(Imóveis!$E$3&gt;0,Dados!$A387&gt;Imóveis!$E$3),0,1)</f>
        <v>0</v>
      </c>
      <c r="K387" s="18">
        <f>IF(Imóveis!$F$4="PRICE",IF(AND(Dados!$A387&gt;=Imóveis!$Q$4,Dados!$A387&lt;=Imóveis!$T$4),Imóveis!$U$4,0),IF((IF(AND(Dados!$A387&gt;=Imóveis!$Q$4,Dados!$A387&lt;=Imóveis!$T$4),Imóveis!$S$4-(DATEDIF(Imóveis!$Q$4,Dados!$A387,"m")),0))=0,0,((Imóveis!$N$4/Imóveis!$S$4)+((Imóveis!$N$4-((Imóveis!$S$4-(IF(AND(Dados!$A387&gt;=Imóveis!$Q$4,Dados!$A387&lt;=Imóveis!$T$4),Imóveis!$S$4-(DATEDIF(Imóveis!$Q$4,Dados!$A387,"m")),)))*(Imóveis!$N$4/Imóveis!$S$4)))*Imóveis!$P$4))))*IF(AND(Imóveis!$E$4&gt;0,Dados!$A387&gt;Imóveis!$E$4),0,1)</f>
        <v>0</v>
      </c>
      <c r="L387" s="18">
        <f>IF(Imóveis!$F$5="PRICE",IF(AND(Dados!$A387&gt;=Imóveis!$Q$5,Dados!$A387&lt;=Imóveis!$T$5),Imóveis!$U$5,0),IF((IF(AND(Dados!$A387&gt;=Imóveis!$Q$5,Dados!$A387&lt;=Imóveis!$T$5),Imóveis!$S$5-(DATEDIF(Imóveis!$Q$5,Dados!$A387,"m")),0))=0,0,((Imóveis!$N$5/Imóveis!$S$5)+((Imóveis!$N$5-((Imóveis!$S$5-(IF(AND(Dados!$A387 &gt;=Imóveis!$Q$5,Dados!$A387&lt;=Imóveis!$T$5),Imóveis!$S$5-(DATEDIF(Imóveis!$Q$5,Dados!$A387,"m")),)))*(Imóveis!$N$5/Imóveis!$S$5)))*Imóveis!$P$5))))*IF(AND(Imóveis!$E$5&gt;0,Dados!$A387&gt;Imóveis!$E$5),0,1)*Imóveis!$I$5</f>
        <v>0</v>
      </c>
      <c r="M387" s="18">
        <f>IF(Imóveis!$F$6="PRICE",IF(AND(Dados!$A387&gt;=Imóveis!$Q$6,Dados!$A387&lt;=Imóveis!$T$6),Imóveis!$U$6,0),IF((IF(AND(Dados!$A387&gt;=Imóveis!$Q$6,Dados!$A387&lt;=Imóveis!$T$6),Imóveis!$S$6-(DATEDIF(Imóveis!$Q$6,Dados!$A387,"m")),0))=0,0,((Imóveis!$N$6/Imóveis!$S$6)+((Imóveis!$N$6-((Imóveis!$S$6-(IF(AND(Dados!$A387&gt;=Imóveis!$Q$6,Dados!$A387&lt;=Imóveis!$T$6),Imóveis!$S$6-(DATEDIF(Imóveis!$Q$6,Dados!$A387,"m")),)))*(Imóveis!$N$6/Imóveis!$S$6)))*Imóveis!$P$6))))*IF(AND(Imóveis!$E$6&gt;0,Dados!$A387&gt;Imóveis!$E$6),0,1)*Imóveis!$I$6</f>
        <v>0</v>
      </c>
      <c r="N387" s="18">
        <f t="shared" ref="N387:N450" si="53">SUM(D387:M387)</f>
        <v>38200</v>
      </c>
      <c r="O387" s="18">
        <f>SUMIFS(Receitas!$F:$F,Receitas!$J:$J,"&lt;="&amp;$A387,Receitas!$L:$L,"&gt;="&amp;$A387,Receitas!$C:$C,O$1,Receitas!$M:$M,"Mensal")+SUMIFS(Receitas!$F:$F,Receitas!$J:$J,"&lt;="&amp;$A387,Receitas!$L:$L,"&gt;="&amp;$A387,Receitas!$C:$C,O$1,Receitas!$M:$M,$B387)</f>
        <v>0</v>
      </c>
      <c r="P387" s="18">
        <f>SUMIFS(Receitas!$F:$F,Receitas!$J:$J,"&lt;="&amp;$A387,Receitas!$L:$L,"&gt;="&amp;$A387,Receitas!$C:$C,P$1,Receitas!$M:$M,"Mensal")+SUMIFS(Receitas!$F:$F,Receitas!$J:$J,"&lt;="&amp;$A387,Receitas!$L:$L,"&gt;="&amp;$A387,Receitas!$C:$C,P$1,Receitas!$M:$M,$B387)</f>
        <v>0</v>
      </c>
      <c r="Q387" s="18">
        <f>SUMIFS(Receitas!$F:$F,Receitas!$J:$J,"&lt;="&amp;$A387,Receitas!$L:$L,"&gt;="&amp;$A387,Receitas!$C:$C,Q$1,Receitas!$M:$M,"Mensal")+SUMIFS(Receitas!$F:$F,Receitas!$J:$J,"&lt;="&amp;$A387,Receitas!$L:$L,"&gt;="&amp;$A387,Receitas!$C:$C,Q$1,Receitas!$M:$M,$B387)</f>
        <v>0</v>
      </c>
      <c r="R387" s="18" cm="1">
        <f t="array" ref="R387">(IF(AND(Membros!$F$2="Sim",A387&lt;=MAX(Membros!$E$2:$E$5)),Membros!K$2,IF(AND(A387&gt;=Membros!J$2,A387&lt;=MAX(Membros!$E$2:$E$5)),Membros!K$2,0))+IF(AND(Membros!$F$3="Sim",A387&lt;=MAX(Membros!$E$2:$E$5)),Membros!K$3,IF(AND(A387&gt;=Membros!J$3,A387&lt;=MAX(Membros!$E$2:$E$5)),Membros!K$3,0)))*IF(AND(COUNTIFS(Tabela3[Tipo],"Provedor",Tabela3[Simulação Seguro],"Sim")=2,A387&gt;=MAX(IF(Tabela3[Tipo]="Dependente",Tabela3[Expectativa de Vida (Data)]))),0,1)</f>
        <v>10000</v>
      </c>
      <c r="S387" s="18">
        <f t="shared" ref="S387:S450" si="54">O387+P387+Q387+R387</f>
        <v>10000</v>
      </c>
      <c r="U387" s="18">
        <f t="shared" ca="1" si="49"/>
        <v>25329093.686361741</v>
      </c>
      <c r="V387" s="18">
        <f>SUMIF(Imóveis!E:E,Dados!A:A,Imóveis!Z:Z)-SUMIF(Imóveis!E:E,Dados!A:A,Imóveis!Y:Y)</f>
        <v>0</v>
      </c>
      <c r="W387" s="18">
        <f>-SUMIF(Projetos!N:N,A387,Projetos!F:F)</f>
        <v>0</v>
      </c>
      <c r="X387" s="18">
        <f t="shared" si="51"/>
        <v>-28200</v>
      </c>
      <c r="Y387" s="26">
        <f ca="1">(U387*((Indicadores_Economicos!D$2+1)^(1/12)-1))</f>
        <v>82920.861648085789</v>
      </c>
      <c r="Z387" s="18">
        <f t="shared" ref="Z387:Z450" ca="1" si="55">U387+V387+W387+X387+Y387</f>
        <v>25383814.548009828</v>
      </c>
      <c r="AA387" s="18">
        <f ca="1">Auxiliar_Projetos!E387</f>
        <v>1.3762011741345882E-9</v>
      </c>
      <c r="AB387" s="18">
        <f ca="1">Auxiliar_Projetos!K387</f>
        <v>1.0586162877958356E-9</v>
      </c>
      <c r="AC387" s="18">
        <f ca="1">IF(Z387-AA387-AB387&gt;Investimentos!$C$14,Investimentos!$C$14,IF(Z387-AA387-AB387&lt;Investimentos!$C$14,Z387-AA387-AB387,0))</f>
        <v>300000</v>
      </c>
      <c r="AD387" s="18">
        <f t="shared" ref="AD387:AD450" ca="1" si="56">Z387-AA387-AB387-AC387</f>
        <v>25083814.548009828</v>
      </c>
      <c r="AE387" s="18"/>
    </row>
    <row r="388" spans="1:31" x14ac:dyDescent="0.2">
      <c r="A388" s="4">
        <v>57405</v>
      </c>
      <c r="B388" s="5" t="str">
        <f t="shared" si="52"/>
        <v>março</v>
      </c>
      <c r="C388" s="5" t="str">
        <f t="shared" si="50"/>
        <v>2057</v>
      </c>
      <c r="D388" s="5">
        <f>SUMIFS(Despesas!$F:$F,Despesas!$J:$J,"&lt;="&amp;$A388,Despesas!$L:$L,"&gt;="&amp;$A388,Despesas!$C:$C,D$1,Despesas!$M:$M,"Mensal")+SUMIFS(Despesas!$F:$F,Despesas!$J:$J,"&lt;="&amp;$A388,Despesas!$L:$L,"&gt;="&amp;$A388,Despesas!$C:$C,D$1,Despesas!$M:$M,$B388)</f>
        <v>23000</v>
      </c>
      <c r="E388" s="18">
        <f>SUMIFS(Despesas!$F:$F,Despesas!$J:$J,"&lt;="&amp;$A388,Despesas!$L:$L,"&gt;="&amp;$A388,Despesas!$C:$C,E$1,Despesas!$M:$M,"Mensal")+SUMIFS(Despesas!$F:$F,Despesas!$J:$J,"&lt;="&amp;$A388,Despesas!$L:$L,"&gt;="&amp;$A388,Despesas!$C:$C,E$1,Despesas!$M:$M,$B388)</f>
        <v>0</v>
      </c>
      <c r="F388" s="5">
        <f>SUMIFS(Despesas!$F:$F,Despesas!$J:$J,"&lt;="&amp;$A388,Despesas!$L:$L,"&gt;="&amp;$A388,Despesas!$C:$C,F$1,Despesas!$M:$M,"Mensal")+SUMIFS(Despesas!$F:$F,Despesas!$J:$J,"&lt;="&amp;$A388,Despesas!$L:$L,"&gt;="&amp;$A388,Despesas!$C:$C,F$1,Despesas!$M:$M,$B388)</f>
        <v>13000</v>
      </c>
      <c r="G388" s="5">
        <f>SUMIFS(Despesas!$F:$F,Despesas!$J:$J,"&lt;="&amp;$A388,Despesas!$L:$L,"&gt;="&amp;$A388,Despesas!$C:$C,G$1,Despesas!$M:$M,"Mensal")+SUMIFS(Despesas!$F:$F,Despesas!$J:$J,"&lt;="&amp;$A388,Despesas!$L:$L,"&gt;="&amp;$A388,Despesas!$C:$C,G$1,Despesas!$M:$M,$B388)</f>
        <v>0</v>
      </c>
      <c r="H388" s="18">
        <f>SUMIFS(Despesas!$F:$F,Despesas!$J:$J,"&lt;="&amp;$A388,Despesas!$L:$L,"&gt;="&amp;$A388,Despesas!$C:$C,H$1,Despesas!$M:$M,"Mensal")+SUMIFS(Despesas!$F:$F,Despesas!$J:$J,"&lt;="&amp;$A388,Despesas!$L:$L,"&gt;="&amp;$A388,Despesas!$C:$C,H$1,Despesas!$M:$M,$B388)</f>
        <v>1000</v>
      </c>
      <c r="I388" s="18">
        <f>IF(Imóveis!$F$2="PRICE",IF(AND(Dados!$A388&gt;=Imóveis!$Q$2,Dados!$A388&lt;=Imóveis!$T$2),Imóveis!$U$2,0),IF((IF(AND(Dados!$A388&gt;=Imóveis!$Q$2,Dados!$A388&lt;=Imóveis!$T$2),Imóveis!$S$2-(DATEDIF(Imóveis!$Q$2,Dados!$A388,"m")),0))=0,0,((Imóveis!$N$2/Imóveis!$S$2)+((Imóveis!$N$2-((Imóveis!$S$2-(IF(AND(Dados!$A388&gt;=Imóveis!$Q$2,Dados!$A388&lt;=Imóveis!$T$2),Imóveis!$S$2-(DATEDIF(Imóveis!$Q$2,Dados!$A388,"m")),)))*(Imóveis!$N$2/Imóveis!$S$2)))*Imóveis!$P$2))))*IF(AND(Imóveis!$E$2&gt;0,Dados!$A388&gt;Imóveis!$E$2),0,1)</f>
        <v>0</v>
      </c>
      <c r="J388" s="18">
        <f>IF(Imóveis!$F$3="PRICE",IF(AND(Dados!$A388&gt;=Imóveis!$Q$3,Dados!$A388&lt;=Imóveis!$T$3),Imóveis!$U$3,0),IF((IF(AND(Dados!$A388&gt;=Imóveis!$Q$3,Dados!$A388&lt;=Imóveis!$T$3),Imóveis!$S$3-(DATEDIF(Imóveis!$Q$3,Dados!$A388,"m")),0))=0,0,((Imóveis!$N$3/Imóveis!$S$3)+((Imóveis!$N$3-((Imóveis!$S$3-(IF(AND(Dados!$A388&gt;=Imóveis!$Q$3,Dados!$A388&lt;=Imóveis!$T$3),Imóveis!$S$3-(DATEDIF(Imóveis!$Q$3,Dados!$A388,"m")),)))*(Imóveis!$N$3/Imóveis!$S$3)))*Imóveis!$P$3))))*IF(AND(Imóveis!$E$3&gt;0,Dados!$A388&gt;Imóveis!$E$3),0,1)</f>
        <v>0</v>
      </c>
      <c r="K388" s="18">
        <f>IF(Imóveis!$F$4="PRICE",IF(AND(Dados!$A388&gt;=Imóveis!$Q$4,Dados!$A388&lt;=Imóveis!$T$4),Imóveis!$U$4,0),IF((IF(AND(Dados!$A388&gt;=Imóveis!$Q$4,Dados!$A388&lt;=Imóveis!$T$4),Imóveis!$S$4-(DATEDIF(Imóveis!$Q$4,Dados!$A388,"m")),0))=0,0,((Imóveis!$N$4/Imóveis!$S$4)+((Imóveis!$N$4-((Imóveis!$S$4-(IF(AND(Dados!$A388&gt;=Imóveis!$Q$4,Dados!$A388&lt;=Imóveis!$T$4),Imóveis!$S$4-(DATEDIF(Imóveis!$Q$4,Dados!$A388,"m")),)))*(Imóveis!$N$4/Imóveis!$S$4)))*Imóveis!$P$4))))*IF(AND(Imóveis!$E$4&gt;0,Dados!$A388&gt;Imóveis!$E$4),0,1)</f>
        <v>0</v>
      </c>
      <c r="L388" s="18">
        <f>IF(Imóveis!$F$5="PRICE",IF(AND(Dados!$A388&gt;=Imóveis!$Q$5,Dados!$A388&lt;=Imóveis!$T$5),Imóveis!$U$5,0),IF((IF(AND(Dados!$A388&gt;=Imóveis!$Q$5,Dados!$A388&lt;=Imóveis!$T$5),Imóveis!$S$5-(DATEDIF(Imóveis!$Q$5,Dados!$A388,"m")),0))=0,0,((Imóveis!$N$5/Imóveis!$S$5)+((Imóveis!$N$5-((Imóveis!$S$5-(IF(AND(Dados!$A388 &gt;=Imóveis!$Q$5,Dados!$A388&lt;=Imóveis!$T$5),Imóveis!$S$5-(DATEDIF(Imóveis!$Q$5,Dados!$A388,"m")),)))*(Imóveis!$N$5/Imóveis!$S$5)))*Imóveis!$P$5))))*IF(AND(Imóveis!$E$5&gt;0,Dados!$A388&gt;Imóveis!$E$5),0,1)*Imóveis!$I$5</f>
        <v>0</v>
      </c>
      <c r="M388" s="18">
        <f>IF(Imóveis!$F$6="PRICE",IF(AND(Dados!$A388&gt;=Imóveis!$Q$6,Dados!$A388&lt;=Imóveis!$T$6),Imóveis!$U$6,0),IF((IF(AND(Dados!$A388&gt;=Imóveis!$Q$6,Dados!$A388&lt;=Imóveis!$T$6),Imóveis!$S$6-(DATEDIF(Imóveis!$Q$6,Dados!$A388,"m")),0))=0,0,((Imóveis!$N$6/Imóveis!$S$6)+((Imóveis!$N$6-((Imóveis!$S$6-(IF(AND(Dados!$A388&gt;=Imóveis!$Q$6,Dados!$A388&lt;=Imóveis!$T$6),Imóveis!$S$6-(DATEDIF(Imóveis!$Q$6,Dados!$A388,"m")),)))*(Imóveis!$N$6/Imóveis!$S$6)))*Imóveis!$P$6))))*IF(AND(Imóveis!$E$6&gt;0,Dados!$A388&gt;Imóveis!$E$6),0,1)*Imóveis!$I$6</f>
        <v>0</v>
      </c>
      <c r="N388" s="18">
        <f t="shared" si="53"/>
        <v>37000</v>
      </c>
      <c r="O388" s="18">
        <f>SUMIFS(Receitas!$F:$F,Receitas!$J:$J,"&lt;="&amp;$A388,Receitas!$L:$L,"&gt;="&amp;$A388,Receitas!$C:$C,O$1,Receitas!$M:$M,"Mensal")+SUMIFS(Receitas!$F:$F,Receitas!$J:$J,"&lt;="&amp;$A388,Receitas!$L:$L,"&gt;="&amp;$A388,Receitas!$C:$C,O$1,Receitas!$M:$M,$B388)</f>
        <v>0</v>
      </c>
      <c r="P388" s="18">
        <f>SUMIFS(Receitas!$F:$F,Receitas!$J:$J,"&lt;="&amp;$A388,Receitas!$L:$L,"&gt;="&amp;$A388,Receitas!$C:$C,P$1,Receitas!$M:$M,"Mensal")+SUMIFS(Receitas!$F:$F,Receitas!$J:$J,"&lt;="&amp;$A388,Receitas!$L:$L,"&gt;="&amp;$A388,Receitas!$C:$C,P$1,Receitas!$M:$M,$B388)</f>
        <v>0</v>
      </c>
      <c r="Q388" s="18">
        <f>SUMIFS(Receitas!$F:$F,Receitas!$J:$J,"&lt;="&amp;$A388,Receitas!$L:$L,"&gt;="&amp;$A388,Receitas!$C:$C,Q$1,Receitas!$M:$M,"Mensal")+SUMIFS(Receitas!$F:$F,Receitas!$J:$J,"&lt;="&amp;$A388,Receitas!$L:$L,"&gt;="&amp;$A388,Receitas!$C:$C,Q$1,Receitas!$M:$M,$B388)</f>
        <v>0</v>
      </c>
      <c r="R388" s="18" cm="1">
        <f t="array" ref="R388">(IF(AND(Membros!$F$2="Sim",A388&lt;=MAX(Membros!$E$2:$E$5)),Membros!K$2,IF(AND(A388&gt;=Membros!J$2,A388&lt;=MAX(Membros!$E$2:$E$5)),Membros!K$2,0))+IF(AND(Membros!$F$3="Sim",A388&lt;=MAX(Membros!$E$2:$E$5)),Membros!K$3,IF(AND(A388&gt;=Membros!J$3,A388&lt;=MAX(Membros!$E$2:$E$5)),Membros!K$3,0)))*IF(AND(COUNTIFS(Tabela3[Tipo],"Provedor",Tabela3[Simulação Seguro],"Sim")=2,A388&gt;=MAX(IF(Tabela3[Tipo]="Dependente",Tabela3[Expectativa de Vida (Data)]))),0,1)</f>
        <v>10000</v>
      </c>
      <c r="S388" s="18">
        <f t="shared" si="54"/>
        <v>10000</v>
      </c>
      <c r="U388" s="18">
        <f t="shared" ref="U388:U451" ca="1" si="57">Z387</f>
        <v>25383814.548009828</v>
      </c>
      <c r="V388" s="18">
        <f>SUMIF(Imóveis!E:E,Dados!A:A,Imóveis!Z:Z)-SUMIF(Imóveis!E:E,Dados!A:A,Imóveis!Y:Y)</f>
        <v>0</v>
      </c>
      <c r="W388" s="18">
        <f>-SUMIF(Projetos!N:N,A388,Projetos!F:F)</f>
        <v>0</v>
      </c>
      <c r="X388" s="18">
        <f t="shared" si="51"/>
        <v>-27000</v>
      </c>
      <c r="Y388" s="26">
        <f ca="1">(U388*((Indicadores_Economicos!D$2+1)^(1/12)-1))</f>
        <v>83100.00350977933</v>
      </c>
      <c r="Z388" s="18">
        <f t="shared" ca="1" si="55"/>
        <v>25439914.551519606</v>
      </c>
      <c r="AA388" s="18">
        <f ca="1">Auxiliar_Projetos!E388</f>
        <v>1.3807064986666614E-9</v>
      </c>
      <c r="AB388" s="18">
        <f ca="1">Auxiliar_Projetos!K388</f>
        <v>1.0620819220512766E-9</v>
      </c>
      <c r="AC388" s="18">
        <f ca="1">IF(Z388-AA388-AB388&gt;Investimentos!$C$14,Investimentos!$C$14,IF(Z388-AA388-AB388&lt;Investimentos!$C$14,Z388-AA388-AB388,0))</f>
        <v>300000</v>
      </c>
      <c r="AD388" s="18">
        <f t="shared" ca="1" si="56"/>
        <v>25139914.551519606</v>
      </c>
      <c r="AE388" s="18"/>
    </row>
    <row r="389" spans="1:31" x14ac:dyDescent="0.2">
      <c r="A389" s="4">
        <v>57436</v>
      </c>
      <c r="B389" s="5" t="str">
        <f t="shared" si="52"/>
        <v>abril</v>
      </c>
      <c r="C389" s="5" t="str">
        <f t="shared" si="50"/>
        <v>2057</v>
      </c>
      <c r="D389" s="5">
        <f>SUMIFS(Despesas!$F:$F,Despesas!$J:$J,"&lt;="&amp;$A389,Despesas!$L:$L,"&gt;="&amp;$A389,Despesas!$C:$C,D$1,Despesas!$M:$M,"Mensal")+SUMIFS(Despesas!$F:$F,Despesas!$J:$J,"&lt;="&amp;$A389,Despesas!$L:$L,"&gt;="&amp;$A389,Despesas!$C:$C,D$1,Despesas!$M:$M,$B389)</f>
        <v>23000</v>
      </c>
      <c r="E389" s="18">
        <f>SUMIFS(Despesas!$F:$F,Despesas!$J:$J,"&lt;="&amp;$A389,Despesas!$L:$L,"&gt;="&amp;$A389,Despesas!$C:$C,E$1,Despesas!$M:$M,"Mensal")+SUMIFS(Despesas!$F:$F,Despesas!$J:$J,"&lt;="&amp;$A389,Despesas!$L:$L,"&gt;="&amp;$A389,Despesas!$C:$C,E$1,Despesas!$M:$M,$B389)</f>
        <v>0</v>
      </c>
      <c r="F389" s="5">
        <f>SUMIFS(Despesas!$F:$F,Despesas!$J:$J,"&lt;="&amp;$A389,Despesas!$L:$L,"&gt;="&amp;$A389,Despesas!$C:$C,F$1,Despesas!$M:$M,"Mensal")+SUMIFS(Despesas!$F:$F,Despesas!$J:$J,"&lt;="&amp;$A389,Despesas!$L:$L,"&gt;="&amp;$A389,Despesas!$C:$C,F$1,Despesas!$M:$M,$B389)</f>
        <v>13000</v>
      </c>
      <c r="G389" s="5">
        <f>SUMIFS(Despesas!$F:$F,Despesas!$J:$J,"&lt;="&amp;$A389,Despesas!$L:$L,"&gt;="&amp;$A389,Despesas!$C:$C,G$1,Despesas!$M:$M,"Mensal")+SUMIFS(Despesas!$F:$F,Despesas!$J:$J,"&lt;="&amp;$A389,Despesas!$L:$L,"&gt;="&amp;$A389,Despesas!$C:$C,G$1,Despesas!$M:$M,$B389)</f>
        <v>0</v>
      </c>
      <c r="H389" s="18">
        <f>SUMIFS(Despesas!$F:$F,Despesas!$J:$J,"&lt;="&amp;$A389,Despesas!$L:$L,"&gt;="&amp;$A389,Despesas!$C:$C,H$1,Despesas!$M:$M,"Mensal")+SUMIFS(Despesas!$F:$F,Despesas!$J:$J,"&lt;="&amp;$A389,Despesas!$L:$L,"&gt;="&amp;$A389,Despesas!$C:$C,H$1,Despesas!$M:$M,$B389)</f>
        <v>1000</v>
      </c>
      <c r="I389" s="18">
        <f>IF(Imóveis!$F$2="PRICE",IF(AND(Dados!$A389&gt;=Imóveis!$Q$2,Dados!$A389&lt;=Imóveis!$T$2),Imóveis!$U$2,0),IF((IF(AND(Dados!$A389&gt;=Imóveis!$Q$2,Dados!$A389&lt;=Imóveis!$T$2),Imóveis!$S$2-(DATEDIF(Imóveis!$Q$2,Dados!$A389,"m")),0))=0,0,((Imóveis!$N$2/Imóveis!$S$2)+((Imóveis!$N$2-((Imóveis!$S$2-(IF(AND(Dados!$A389&gt;=Imóveis!$Q$2,Dados!$A389&lt;=Imóveis!$T$2),Imóveis!$S$2-(DATEDIF(Imóveis!$Q$2,Dados!$A389,"m")),)))*(Imóveis!$N$2/Imóveis!$S$2)))*Imóveis!$P$2))))*IF(AND(Imóveis!$E$2&gt;0,Dados!$A389&gt;Imóveis!$E$2),0,1)</f>
        <v>0</v>
      </c>
      <c r="J389" s="18">
        <f>IF(Imóveis!$F$3="PRICE",IF(AND(Dados!$A389&gt;=Imóveis!$Q$3,Dados!$A389&lt;=Imóveis!$T$3),Imóveis!$U$3,0),IF((IF(AND(Dados!$A389&gt;=Imóveis!$Q$3,Dados!$A389&lt;=Imóveis!$T$3),Imóveis!$S$3-(DATEDIF(Imóveis!$Q$3,Dados!$A389,"m")),0))=0,0,((Imóveis!$N$3/Imóveis!$S$3)+((Imóveis!$N$3-((Imóveis!$S$3-(IF(AND(Dados!$A389&gt;=Imóveis!$Q$3,Dados!$A389&lt;=Imóveis!$T$3),Imóveis!$S$3-(DATEDIF(Imóveis!$Q$3,Dados!$A389,"m")),)))*(Imóveis!$N$3/Imóveis!$S$3)))*Imóveis!$P$3))))*IF(AND(Imóveis!$E$3&gt;0,Dados!$A389&gt;Imóveis!$E$3),0,1)</f>
        <v>0</v>
      </c>
      <c r="K389" s="18">
        <f>IF(Imóveis!$F$4="PRICE",IF(AND(Dados!$A389&gt;=Imóveis!$Q$4,Dados!$A389&lt;=Imóveis!$T$4),Imóveis!$U$4,0),IF((IF(AND(Dados!$A389&gt;=Imóveis!$Q$4,Dados!$A389&lt;=Imóveis!$T$4),Imóveis!$S$4-(DATEDIF(Imóveis!$Q$4,Dados!$A389,"m")),0))=0,0,((Imóveis!$N$4/Imóveis!$S$4)+((Imóveis!$N$4-((Imóveis!$S$4-(IF(AND(Dados!$A389&gt;=Imóveis!$Q$4,Dados!$A389&lt;=Imóveis!$T$4),Imóveis!$S$4-(DATEDIF(Imóveis!$Q$4,Dados!$A389,"m")),)))*(Imóveis!$N$4/Imóveis!$S$4)))*Imóveis!$P$4))))*IF(AND(Imóveis!$E$4&gt;0,Dados!$A389&gt;Imóveis!$E$4),0,1)</f>
        <v>0</v>
      </c>
      <c r="L389" s="18">
        <f>IF(Imóveis!$F$5="PRICE",IF(AND(Dados!$A389&gt;=Imóveis!$Q$5,Dados!$A389&lt;=Imóveis!$T$5),Imóveis!$U$5,0),IF((IF(AND(Dados!$A389&gt;=Imóveis!$Q$5,Dados!$A389&lt;=Imóveis!$T$5),Imóveis!$S$5-(DATEDIF(Imóveis!$Q$5,Dados!$A389,"m")),0))=0,0,((Imóveis!$N$5/Imóveis!$S$5)+((Imóveis!$N$5-((Imóveis!$S$5-(IF(AND(Dados!$A389 &gt;=Imóveis!$Q$5,Dados!$A389&lt;=Imóveis!$T$5),Imóveis!$S$5-(DATEDIF(Imóveis!$Q$5,Dados!$A389,"m")),)))*(Imóveis!$N$5/Imóveis!$S$5)))*Imóveis!$P$5))))*IF(AND(Imóveis!$E$5&gt;0,Dados!$A389&gt;Imóveis!$E$5),0,1)*Imóveis!$I$5</f>
        <v>0</v>
      </c>
      <c r="M389" s="18">
        <f>IF(Imóveis!$F$6="PRICE",IF(AND(Dados!$A389&gt;=Imóveis!$Q$6,Dados!$A389&lt;=Imóveis!$T$6),Imóveis!$U$6,0),IF((IF(AND(Dados!$A389&gt;=Imóveis!$Q$6,Dados!$A389&lt;=Imóveis!$T$6),Imóveis!$S$6-(DATEDIF(Imóveis!$Q$6,Dados!$A389,"m")),0))=0,0,((Imóveis!$N$6/Imóveis!$S$6)+((Imóveis!$N$6-((Imóveis!$S$6-(IF(AND(Dados!$A389&gt;=Imóveis!$Q$6,Dados!$A389&lt;=Imóveis!$T$6),Imóveis!$S$6-(DATEDIF(Imóveis!$Q$6,Dados!$A389,"m")),)))*(Imóveis!$N$6/Imóveis!$S$6)))*Imóveis!$P$6))))*IF(AND(Imóveis!$E$6&gt;0,Dados!$A389&gt;Imóveis!$E$6),0,1)*Imóveis!$I$6</f>
        <v>0</v>
      </c>
      <c r="N389" s="18">
        <f t="shared" si="53"/>
        <v>37000</v>
      </c>
      <c r="O389" s="18">
        <f>SUMIFS(Receitas!$F:$F,Receitas!$J:$J,"&lt;="&amp;$A389,Receitas!$L:$L,"&gt;="&amp;$A389,Receitas!$C:$C,O$1,Receitas!$M:$M,"Mensal")+SUMIFS(Receitas!$F:$F,Receitas!$J:$J,"&lt;="&amp;$A389,Receitas!$L:$L,"&gt;="&amp;$A389,Receitas!$C:$C,O$1,Receitas!$M:$M,$B389)</f>
        <v>0</v>
      </c>
      <c r="P389" s="18">
        <f>SUMIFS(Receitas!$F:$F,Receitas!$J:$J,"&lt;="&amp;$A389,Receitas!$L:$L,"&gt;="&amp;$A389,Receitas!$C:$C,P$1,Receitas!$M:$M,"Mensal")+SUMIFS(Receitas!$F:$F,Receitas!$J:$J,"&lt;="&amp;$A389,Receitas!$L:$L,"&gt;="&amp;$A389,Receitas!$C:$C,P$1,Receitas!$M:$M,$B389)</f>
        <v>0</v>
      </c>
      <c r="Q389" s="18">
        <f>SUMIFS(Receitas!$F:$F,Receitas!$J:$J,"&lt;="&amp;$A389,Receitas!$L:$L,"&gt;="&amp;$A389,Receitas!$C:$C,Q$1,Receitas!$M:$M,"Mensal")+SUMIFS(Receitas!$F:$F,Receitas!$J:$J,"&lt;="&amp;$A389,Receitas!$L:$L,"&gt;="&amp;$A389,Receitas!$C:$C,Q$1,Receitas!$M:$M,$B389)</f>
        <v>0</v>
      </c>
      <c r="R389" s="18" cm="1">
        <f t="array" ref="R389">(IF(AND(Membros!$F$2="Sim",A389&lt;=MAX(Membros!$E$2:$E$5)),Membros!K$2,IF(AND(A389&gt;=Membros!J$2,A389&lt;=MAX(Membros!$E$2:$E$5)),Membros!K$2,0))+IF(AND(Membros!$F$3="Sim",A389&lt;=MAX(Membros!$E$2:$E$5)),Membros!K$3,IF(AND(A389&gt;=Membros!J$3,A389&lt;=MAX(Membros!$E$2:$E$5)),Membros!K$3,0)))*IF(AND(COUNTIFS(Tabela3[Tipo],"Provedor",Tabela3[Simulação Seguro],"Sim")=2,A389&gt;=MAX(IF(Tabela3[Tipo]="Dependente",Tabela3[Expectativa de Vida (Data)]))),0,1)</f>
        <v>10000</v>
      </c>
      <c r="S389" s="18">
        <f t="shared" si="54"/>
        <v>10000</v>
      </c>
      <c r="U389" s="18">
        <f t="shared" ca="1" si="57"/>
        <v>25439914.551519606</v>
      </c>
      <c r="V389" s="18">
        <f>SUMIF(Imóveis!E:E,Dados!A:A,Imóveis!Z:Z)-SUMIF(Imóveis!E:E,Dados!A:A,Imóveis!Y:Y)</f>
        <v>0</v>
      </c>
      <c r="W389" s="18">
        <f>-SUMIF(Projetos!N:N,A389,Projetos!F:F)</f>
        <v>0</v>
      </c>
      <c r="X389" s="18">
        <f t="shared" si="51"/>
        <v>-27000</v>
      </c>
      <c r="Y389" s="26">
        <f ca="1">(U389*((Indicadores_Economicos!D$2+1)^(1/12)-1))</f>
        <v>83283.66032305079</v>
      </c>
      <c r="Z389" s="18">
        <f t="shared" ca="1" si="55"/>
        <v>25496198.211842656</v>
      </c>
      <c r="AA389" s="18">
        <f ca="1">Auxiliar_Projetos!E389</f>
        <v>1.385226572458887E-9</v>
      </c>
      <c r="AB389" s="18">
        <f ca="1">Auxiliar_Projetos!K389</f>
        <v>1.0655589018914501E-9</v>
      </c>
      <c r="AC389" s="18">
        <f ca="1">IF(Z389-AA389-AB389&gt;Investimentos!$C$14,Investimentos!$C$14,IF(Z389-AA389-AB389&lt;Investimentos!$C$14,Z389-AA389-AB389,0))</f>
        <v>300000</v>
      </c>
      <c r="AD389" s="18">
        <f t="shared" ca="1" si="56"/>
        <v>25196198.211842656</v>
      </c>
      <c r="AE389" s="18"/>
    </row>
    <row r="390" spans="1:31" x14ac:dyDescent="0.2">
      <c r="A390" s="4">
        <v>57466</v>
      </c>
      <c r="B390" s="5" t="str">
        <f t="shared" si="52"/>
        <v>maio</v>
      </c>
      <c r="C390" s="5" t="str">
        <f t="shared" si="50"/>
        <v>2057</v>
      </c>
      <c r="D390" s="5">
        <f>SUMIFS(Despesas!$F:$F,Despesas!$J:$J,"&lt;="&amp;$A390,Despesas!$L:$L,"&gt;="&amp;$A390,Despesas!$C:$C,D$1,Despesas!$M:$M,"Mensal")+SUMIFS(Despesas!$F:$F,Despesas!$J:$J,"&lt;="&amp;$A390,Despesas!$L:$L,"&gt;="&amp;$A390,Despesas!$C:$C,D$1,Despesas!$M:$M,$B390)</f>
        <v>23000</v>
      </c>
      <c r="E390" s="18">
        <f>SUMIFS(Despesas!$F:$F,Despesas!$J:$J,"&lt;="&amp;$A390,Despesas!$L:$L,"&gt;="&amp;$A390,Despesas!$C:$C,E$1,Despesas!$M:$M,"Mensal")+SUMIFS(Despesas!$F:$F,Despesas!$J:$J,"&lt;="&amp;$A390,Despesas!$L:$L,"&gt;="&amp;$A390,Despesas!$C:$C,E$1,Despesas!$M:$M,$B390)</f>
        <v>0</v>
      </c>
      <c r="F390" s="5">
        <f>SUMIFS(Despesas!$F:$F,Despesas!$J:$J,"&lt;="&amp;$A390,Despesas!$L:$L,"&gt;="&amp;$A390,Despesas!$C:$C,F$1,Despesas!$M:$M,"Mensal")+SUMIFS(Despesas!$F:$F,Despesas!$J:$J,"&lt;="&amp;$A390,Despesas!$L:$L,"&gt;="&amp;$A390,Despesas!$C:$C,F$1,Despesas!$M:$M,$B390)</f>
        <v>13000</v>
      </c>
      <c r="G390" s="5">
        <f>SUMIFS(Despesas!$F:$F,Despesas!$J:$J,"&lt;="&amp;$A390,Despesas!$L:$L,"&gt;="&amp;$A390,Despesas!$C:$C,G$1,Despesas!$M:$M,"Mensal")+SUMIFS(Despesas!$F:$F,Despesas!$J:$J,"&lt;="&amp;$A390,Despesas!$L:$L,"&gt;="&amp;$A390,Despesas!$C:$C,G$1,Despesas!$M:$M,$B390)</f>
        <v>0</v>
      </c>
      <c r="H390" s="18">
        <f>SUMIFS(Despesas!$F:$F,Despesas!$J:$J,"&lt;="&amp;$A390,Despesas!$L:$L,"&gt;="&amp;$A390,Despesas!$C:$C,H$1,Despesas!$M:$M,"Mensal")+SUMIFS(Despesas!$F:$F,Despesas!$J:$J,"&lt;="&amp;$A390,Despesas!$L:$L,"&gt;="&amp;$A390,Despesas!$C:$C,H$1,Despesas!$M:$M,$B390)</f>
        <v>1000</v>
      </c>
      <c r="I390" s="18">
        <f>IF(Imóveis!$F$2="PRICE",IF(AND(Dados!$A390&gt;=Imóveis!$Q$2,Dados!$A390&lt;=Imóveis!$T$2),Imóveis!$U$2,0),IF((IF(AND(Dados!$A390&gt;=Imóveis!$Q$2,Dados!$A390&lt;=Imóveis!$T$2),Imóveis!$S$2-(DATEDIF(Imóveis!$Q$2,Dados!$A390,"m")),0))=0,0,((Imóveis!$N$2/Imóveis!$S$2)+((Imóveis!$N$2-((Imóveis!$S$2-(IF(AND(Dados!$A390&gt;=Imóveis!$Q$2,Dados!$A390&lt;=Imóveis!$T$2),Imóveis!$S$2-(DATEDIF(Imóveis!$Q$2,Dados!$A390,"m")),)))*(Imóveis!$N$2/Imóveis!$S$2)))*Imóveis!$P$2))))*IF(AND(Imóveis!$E$2&gt;0,Dados!$A390&gt;Imóveis!$E$2),0,1)</f>
        <v>0</v>
      </c>
      <c r="J390" s="18">
        <f>IF(Imóveis!$F$3="PRICE",IF(AND(Dados!$A390&gt;=Imóveis!$Q$3,Dados!$A390&lt;=Imóveis!$T$3),Imóveis!$U$3,0),IF((IF(AND(Dados!$A390&gt;=Imóveis!$Q$3,Dados!$A390&lt;=Imóveis!$T$3),Imóveis!$S$3-(DATEDIF(Imóveis!$Q$3,Dados!$A390,"m")),0))=0,0,((Imóveis!$N$3/Imóveis!$S$3)+((Imóveis!$N$3-((Imóveis!$S$3-(IF(AND(Dados!$A390&gt;=Imóveis!$Q$3,Dados!$A390&lt;=Imóveis!$T$3),Imóveis!$S$3-(DATEDIF(Imóveis!$Q$3,Dados!$A390,"m")),)))*(Imóveis!$N$3/Imóveis!$S$3)))*Imóveis!$P$3))))*IF(AND(Imóveis!$E$3&gt;0,Dados!$A390&gt;Imóveis!$E$3),0,1)</f>
        <v>0</v>
      </c>
      <c r="K390" s="18">
        <f>IF(Imóveis!$F$4="PRICE",IF(AND(Dados!$A390&gt;=Imóveis!$Q$4,Dados!$A390&lt;=Imóveis!$T$4),Imóveis!$U$4,0),IF((IF(AND(Dados!$A390&gt;=Imóveis!$Q$4,Dados!$A390&lt;=Imóveis!$T$4),Imóveis!$S$4-(DATEDIF(Imóveis!$Q$4,Dados!$A390,"m")),0))=0,0,((Imóveis!$N$4/Imóveis!$S$4)+((Imóveis!$N$4-((Imóveis!$S$4-(IF(AND(Dados!$A390&gt;=Imóveis!$Q$4,Dados!$A390&lt;=Imóveis!$T$4),Imóveis!$S$4-(DATEDIF(Imóveis!$Q$4,Dados!$A390,"m")),)))*(Imóveis!$N$4/Imóveis!$S$4)))*Imóveis!$P$4))))*IF(AND(Imóveis!$E$4&gt;0,Dados!$A390&gt;Imóveis!$E$4),0,1)</f>
        <v>0</v>
      </c>
      <c r="L390" s="18">
        <f>IF(Imóveis!$F$5="PRICE",IF(AND(Dados!$A390&gt;=Imóveis!$Q$5,Dados!$A390&lt;=Imóveis!$T$5),Imóveis!$U$5,0),IF((IF(AND(Dados!$A390&gt;=Imóveis!$Q$5,Dados!$A390&lt;=Imóveis!$T$5),Imóveis!$S$5-(DATEDIF(Imóveis!$Q$5,Dados!$A390,"m")),0))=0,0,((Imóveis!$N$5/Imóveis!$S$5)+((Imóveis!$N$5-((Imóveis!$S$5-(IF(AND(Dados!$A390 &gt;=Imóveis!$Q$5,Dados!$A390&lt;=Imóveis!$T$5),Imóveis!$S$5-(DATEDIF(Imóveis!$Q$5,Dados!$A390,"m")),)))*(Imóveis!$N$5/Imóveis!$S$5)))*Imóveis!$P$5))))*IF(AND(Imóveis!$E$5&gt;0,Dados!$A390&gt;Imóveis!$E$5),0,1)*Imóveis!$I$5</f>
        <v>0</v>
      </c>
      <c r="M390" s="18">
        <f>IF(Imóveis!$F$6="PRICE",IF(AND(Dados!$A390&gt;=Imóveis!$Q$6,Dados!$A390&lt;=Imóveis!$T$6),Imóveis!$U$6,0),IF((IF(AND(Dados!$A390&gt;=Imóveis!$Q$6,Dados!$A390&lt;=Imóveis!$T$6),Imóveis!$S$6-(DATEDIF(Imóveis!$Q$6,Dados!$A390,"m")),0))=0,0,((Imóveis!$N$6/Imóveis!$S$6)+((Imóveis!$N$6-((Imóveis!$S$6-(IF(AND(Dados!$A390&gt;=Imóveis!$Q$6,Dados!$A390&lt;=Imóveis!$T$6),Imóveis!$S$6-(DATEDIF(Imóveis!$Q$6,Dados!$A390,"m")),)))*(Imóveis!$N$6/Imóveis!$S$6)))*Imóveis!$P$6))))*IF(AND(Imóveis!$E$6&gt;0,Dados!$A390&gt;Imóveis!$E$6),0,1)*Imóveis!$I$6</f>
        <v>0</v>
      </c>
      <c r="N390" s="18">
        <f t="shared" si="53"/>
        <v>37000</v>
      </c>
      <c r="O390" s="18">
        <f>SUMIFS(Receitas!$F:$F,Receitas!$J:$J,"&lt;="&amp;$A390,Receitas!$L:$L,"&gt;="&amp;$A390,Receitas!$C:$C,O$1,Receitas!$M:$M,"Mensal")+SUMIFS(Receitas!$F:$F,Receitas!$J:$J,"&lt;="&amp;$A390,Receitas!$L:$L,"&gt;="&amp;$A390,Receitas!$C:$C,O$1,Receitas!$M:$M,$B390)</f>
        <v>0</v>
      </c>
      <c r="P390" s="18">
        <f>SUMIFS(Receitas!$F:$F,Receitas!$J:$J,"&lt;="&amp;$A390,Receitas!$L:$L,"&gt;="&amp;$A390,Receitas!$C:$C,P$1,Receitas!$M:$M,"Mensal")+SUMIFS(Receitas!$F:$F,Receitas!$J:$J,"&lt;="&amp;$A390,Receitas!$L:$L,"&gt;="&amp;$A390,Receitas!$C:$C,P$1,Receitas!$M:$M,$B390)</f>
        <v>0</v>
      </c>
      <c r="Q390" s="18">
        <f>SUMIFS(Receitas!$F:$F,Receitas!$J:$J,"&lt;="&amp;$A390,Receitas!$L:$L,"&gt;="&amp;$A390,Receitas!$C:$C,Q$1,Receitas!$M:$M,"Mensal")+SUMIFS(Receitas!$F:$F,Receitas!$J:$J,"&lt;="&amp;$A390,Receitas!$L:$L,"&gt;="&amp;$A390,Receitas!$C:$C,Q$1,Receitas!$M:$M,$B390)</f>
        <v>0</v>
      </c>
      <c r="R390" s="18" cm="1">
        <f t="array" ref="R390">(IF(AND(Membros!$F$2="Sim",A390&lt;=MAX(Membros!$E$2:$E$5)),Membros!K$2,IF(AND(A390&gt;=Membros!J$2,A390&lt;=MAX(Membros!$E$2:$E$5)),Membros!K$2,0))+IF(AND(Membros!$F$3="Sim",A390&lt;=MAX(Membros!$E$2:$E$5)),Membros!K$3,IF(AND(A390&gt;=Membros!J$3,A390&lt;=MAX(Membros!$E$2:$E$5)),Membros!K$3,0)))*IF(AND(COUNTIFS(Tabela3[Tipo],"Provedor",Tabela3[Simulação Seguro],"Sim")=2,A390&gt;=MAX(IF(Tabela3[Tipo]="Dependente",Tabela3[Expectativa de Vida (Data)]))),0,1)</f>
        <v>10000</v>
      </c>
      <c r="S390" s="18">
        <f t="shared" si="54"/>
        <v>10000</v>
      </c>
      <c r="U390" s="18">
        <f t="shared" ca="1" si="57"/>
        <v>25496198.211842656</v>
      </c>
      <c r="V390" s="18">
        <f>SUMIF(Imóveis!E:E,Dados!A:A,Imóveis!Z:Z)-SUMIF(Imóveis!E:E,Dados!A:A,Imóveis!Y:Y)</f>
        <v>0</v>
      </c>
      <c r="W390" s="18">
        <f>-SUMIF(Projetos!N:N,A390,Projetos!F:F)</f>
        <v>0</v>
      </c>
      <c r="X390" s="18">
        <f t="shared" si="51"/>
        <v>-27000</v>
      </c>
      <c r="Y390" s="26">
        <f ca="1">(U390*((Indicadores_Economicos!D$2+1)^(1/12)-1))</f>
        <v>83467.918380938136</v>
      </c>
      <c r="Z390" s="18">
        <f t="shared" ca="1" si="55"/>
        <v>25552666.130223595</v>
      </c>
      <c r="AA390" s="18">
        <f ca="1">Auxiliar_Projetos!E390</f>
        <v>1.3897614437965046E-9</v>
      </c>
      <c r="AB390" s="18">
        <f ca="1">Auxiliar_Projetos!K390</f>
        <v>1.0690472644588484E-9</v>
      </c>
      <c r="AC390" s="18">
        <f ca="1">IF(Z390-AA390-AB390&gt;Investimentos!$C$14,Investimentos!$C$14,IF(Z390-AA390-AB390&lt;Investimentos!$C$14,Z390-AA390-AB390,0))</f>
        <v>300000</v>
      </c>
      <c r="AD390" s="18">
        <f t="shared" ca="1" si="56"/>
        <v>25252666.130223595</v>
      </c>
      <c r="AE390" s="18"/>
    </row>
    <row r="391" spans="1:31" x14ac:dyDescent="0.2">
      <c r="A391" s="4">
        <v>57497</v>
      </c>
      <c r="B391" s="5" t="str">
        <f t="shared" si="52"/>
        <v>junho</v>
      </c>
      <c r="C391" s="5" t="str">
        <f t="shared" si="50"/>
        <v>2057</v>
      </c>
      <c r="D391" s="5">
        <f>SUMIFS(Despesas!$F:$F,Despesas!$J:$J,"&lt;="&amp;$A391,Despesas!$L:$L,"&gt;="&amp;$A391,Despesas!$C:$C,D$1,Despesas!$M:$M,"Mensal")+SUMIFS(Despesas!$F:$F,Despesas!$J:$J,"&lt;="&amp;$A391,Despesas!$L:$L,"&gt;="&amp;$A391,Despesas!$C:$C,D$1,Despesas!$M:$M,$B391)</f>
        <v>23000</v>
      </c>
      <c r="E391" s="18">
        <f>SUMIFS(Despesas!$F:$F,Despesas!$J:$J,"&lt;="&amp;$A391,Despesas!$L:$L,"&gt;="&amp;$A391,Despesas!$C:$C,E$1,Despesas!$M:$M,"Mensal")+SUMIFS(Despesas!$F:$F,Despesas!$J:$J,"&lt;="&amp;$A391,Despesas!$L:$L,"&gt;="&amp;$A391,Despesas!$C:$C,E$1,Despesas!$M:$M,$B391)</f>
        <v>0</v>
      </c>
      <c r="F391" s="5">
        <f>SUMIFS(Despesas!$F:$F,Despesas!$J:$J,"&lt;="&amp;$A391,Despesas!$L:$L,"&gt;="&amp;$A391,Despesas!$C:$C,F$1,Despesas!$M:$M,"Mensal")+SUMIFS(Despesas!$F:$F,Despesas!$J:$J,"&lt;="&amp;$A391,Despesas!$L:$L,"&gt;="&amp;$A391,Despesas!$C:$C,F$1,Despesas!$M:$M,$B391)</f>
        <v>13000</v>
      </c>
      <c r="G391" s="5">
        <f>SUMIFS(Despesas!$F:$F,Despesas!$J:$J,"&lt;="&amp;$A391,Despesas!$L:$L,"&gt;="&amp;$A391,Despesas!$C:$C,G$1,Despesas!$M:$M,"Mensal")+SUMIFS(Despesas!$F:$F,Despesas!$J:$J,"&lt;="&amp;$A391,Despesas!$L:$L,"&gt;="&amp;$A391,Despesas!$C:$C,G$1,Despesas!$M:$M,$B391)</f>
        <v>0</v>
      </c>
      <c r="H391" s="18">
        <f>SUMIFS(Despesas!$F:$F,Despesas!$J:$J,"&lt;="&amp;$A391,Despesas!$L:$L,"&gt;="&amp;$A391,Despesas!$C:$C,H$1,Despesas!$M:$M,"Mensal")+SUMIFS(Despesas!$F:$F,Despesas!$J:$J,"&lt;="&amp;$A391,Despesas!$L:$L,"&gt;="&amp;$A391,Despesas!$C:$C,H$1,Despesas!$M:$M,$B391)</f>
        <v>1000</v>
      </c>
      <c r="I391" s="18">
        <f>IF(Imóveis!$F$2="PRICE",IF(AND(Dados!$A391&gt;=Imóveis!$Q$2,Dados!$A391&lt;=Imóveis!$T$2),Imóveis!$U$2,0),IF((IF(AND(Dados!$A391&gt;=Imóveis!$Q$2,Dados!$A391&lt;=Imóveis!$T$2),Imóveis!$S$2-(DATEDIF(Imóveis!$Q$2,Dados!$A391,"m")),0))=0,0,((Imóveis!$N$2/Imóveis!$S$2)+((Imóveis!$N$2-((Imóveis!$S$2-(IF(AND(Dados!$A391&gt;=Imóveis!$Q$2,Dados!$A391&lt;=Imóveis!$T$2),Imóveis!$S$2-(DATEDIF(Imóveis!$Q$2,Dados!$A391,"m")),)))*(Imóveis!$N$2/Imóveis!$S$2)))*Imóveis!$P$2))))*IF(AND(Imóveis!$E$2&gt;0,Dados!$A391&gt;Imóveis!$E$2),0,1)</f>
        <v>0</v>
      </c>
      <c r="J391" s="18">
        <f>IF(Imóveis!$F$3="PRICE",IF(AND(Dados!$A391&gt;=Imóveis!$Q$3,Dados!$A391&lt;=Imóveis!$T$3),Imóveis!$U$3,0),IF((IF(AND(Dados!$A391&gt;=Imóveis!$Q$3,Dados!$A391&lt;=Imóveis!$T$3),Imóveis!$S$3-(DATEDIF(Imóveis!$Q$3,Dados!$A391,"m")),0))=0,0,((Imóveis!$N$3/Imóveis!$S$3)+((Imóveis!$N$3-((Imóveis!$S$3-(IF(AND(Dados!$A391&gt;=Imóveis!$Q$3,Dados!$A391&lt;=Imóveis!$T$3),Imóveis!$S$3-(DATEDIF(Imóveis!$Q$3,Dados!$A391,"m")),)))*(Imóveis!$N$3/Imóveis!$S$3)))*Imóveis!$P$3))))*IF(AND(Imóveis!$E$3&gt;0,Dados!$A391&gt;Imóveis!$E$3),0,1)</f>
        <v>0</v>
      </c>
      <c r="K391" s="18">
        <f>IF(Imóveis!$F$4="PRICE",IF(AND(Dados!$A391&gt;=Imóveis!$Q$4,Dados!$A391&lt;=Imóveis!$T$4),Imóveis!$U$4,0),IF((IF(AND(Dados!$A391&gt;=Imóveis!$Q$4,Dados!$A391&lt;=Imóveis!$T$4),Imóveis!$S$4-(DATEDIF(Imóveis!$Q$4,Dados!$A391,"m")),0))=0,0,((Imóveis!$N$4/Imóveis!$S$4)+((Imóveis!$N$4-((Imóveis!$S$4-(IF(AND(Dados!$A391&gt;=Imóveis!$Q$4,Dados!$A391&lt;=Imóveis!$T$4),Imóveis!$S$4-(DATEDIF(Imóveis!$Q$4,Dados!$A391,"m")),)))*(Imóveis!$N$4/Imóveis!$S$4)))*Imóveis!$P$4))))*IF(AND(Imóveis!$E$4&gt;0,Dados!$A391&gt;Imóveis!$E$4),0,1)</f>
        <v>0</v>
      </c>
      <c r="L391" s="18">
        <f>IF(Imóveis!$F$5="PRICE",IF(AND(Dados!$A391&gt;=Imóveis!$Q$5,Dados!$A391&lt;=Imóveis!$T$5),Imóveis!$U$5,0),IF((IF(AND(Dados!$A391&gt;=Imóveis!$Q$5,Dados!$A391&lt;=Imóveis!$T$5),Imóveis!$S$5-(DATEDIF(Imóveis!$Q$5,Dados!$A391,"m")),0))=0,0,((Imóveis!$N$5/Imóveis!$S$5)+((Imóveis!$N$5-((Imóveis!$S$5-(IF(AND(Dados!$A391 &gt;=Imóveis!$Q$5,Dados!$A391&lt;=Imóveis!$T$5),Imóveis!$S$5-(DATEDIF(Imóveis!$Q$5,Dados!$A391,"m")),)))*(Imóveis!$N$5/Imóveis!$S$5)))*Imóveis!$P$5))))*IF(AND(Imóveis!$E$5&gt;0,Dados!$A391&gt;Imóveis!$E$5),0,1)*Imóveis!$I$5</f>
        <v>0</v>
      </c>
      <c r="M391" s="18">
        <f>IF(Imóveis!$F$6="PRICE",IF(AND(Dados!$A391&gt;=Imóveis!$Q$6,Dados!$A391&lt;=Imóveis!$T$6),Imóveis!$U$6,0),IF((IF(AND(Dados!$A391&gt;=Imóveis!$Q$6,Dados!$A391&lt;=Imóveis!$T$6),Imóveis!$S$6-(DATEDIF(Imóveis!$Q$6,Dados!$A391,"m")),0))=0,0,((Imóveis!$N$6/Imóveis!$S$6)+((Imóveis!$N$6-((Imóveis!$S$6-(IF(AND(Dados!$A391&gt;=Imóveis!$Q$6,Dados!$A391&lt;=Imóveis!$T$6),Imóveis!$S$6-(DATEDIF(Imóveis!$Q$6,Dados!$A391,"m")),)))*(Imóveis!$N$6/Imóveis!$S$6)))*Imóveis!$P$6))))*IF(AND(Imóveis!$E$6&gt;0,Dados!$A391&gt;Imóveis!$E$6),0,1)*Imóveis!$I$6</f>
        <v>0</v>
      </c>
      <c r="N391" s="18">
        <f t="shared" si="53"/>
        <v>37000</v>
      </c>
      <c r="O391" s="18">
        <f>SUMIFS(Receitas!$F:$F,Receitas!$J:$J,"&lt;="&amp;$A391,Receitas!$L:$L,"&gt;="&amp;$A391,Receitas!$C:$C,O$1,Receitas!$M:$M,"Mensal")+SUMIFS(Receitas!$F:$F,Receitas!$J:$J,"&lt;="&amp;$A391,Receitas!$L:$L,"&gt;="&amp;$A391,Receitas!$C:$C,O$1,Receitas!$M:$M,$B391)</f>
        <v>0</v>
      </c>
      <c r="P391" s="18">
        <f>SUMIFS(Receitas!$F:$F,Receitas!$J:$J,"&lt;="&amp;$A391,Receitas!$L:$L,"&gt;="&amp;$A391,Receitas!$C:$C,P$1,Receitas!$M:$M,"Mensal")+SUMIFS(Receitas!$F:$F,Receitas!$J:$J,"&lt;="&amp;$A391,Receitas!$L:$L,"&gt;="&amp;$A391,Receitas!$C:$C,P$1,Receitas!$M:$M,$B391)</f>
        <v>0</v>
      </c>
      <c r="Q391" s="18">
        <f>SUMIFS(Receitas!$F:$F,Receitas!$J:$J,"&lt;="&amp;$A391,Receitas!$L:$L,"&gt;="&amp;$A391,Receitas!$C:$C,Q$1,Receitas!$M:$M,"Mensal")+SUMIFS(Receitas!$F:$F,Receitas!$J:$J,"&lt;="&amp;$A391,Receitas!$L:$L,"&gt;="&amp;$A391,Receitas!$C:$C,Q$1,Receitas!$M:$M,$B391)</f>
        <v>0</v>
      </c>
      <c r="R391" s="18" cm="1">
        <f t="array" ref="R391">(IF(AND(Membros!$F$2="Sim",A391&lt;=MAX(Membros!$E$2:$E$5)),Membros!K$2,IF(AND(A391&gt;=Membros!J$2,A391&lt;=MAX(Membros!$E$2:$E$5)),Membros!K$2,0))+IF(AND(Membros!$F$3="Sim",A391&lt;=MAX(Membros!$E$2:$E$5)),Membros!K$3,IF(AND(A391&gt;=Membros!J$3,A391&lt;=MAX(Membros!$E$2:$E$5)),Membros!K$3,0)))*IF(AND(COUNTIFS(Tabela3[Tipo],"Provedor",Tabela3[Simulação Seguro],"Sim")=2,A391&gt;=MAX(IF(Tabela3[Tipo]="Dependente",Tabela3[Expectativa de Vida (Data)]))),0,1)</f>
        <v>10000</v>
      </c>
      <c r="S391" s="18">
        <f t="shared" si="54"/>
        <v>10000</v>
      </c>
      <c r="U391" s="18">
        <f t="shared" ca="1" si="57"/>
        <v>25552666.130223595</v>
      </c>
      <c r="V391" s="18">
        <f>SUMIF(Imóveis!E:E,Dados!A:A,Imóveis!Z:Z)-SUMIF(Imóveis!E:E,Dados!A:A,Imóveis!Y:Y)</f>
        <v>0</v>
      </c>
      <c r="W391" s="18">
        <f>-SUMIF(Projetos!N:N,A391,Projetos!F:F)</f>
        <v>0</v>
      </c>
      <c r="X391" s="18">
        <f t="shared" si="51"/>
        <v>-27000</v>
      </c>
      <c r="Y391" s="26">
        <f ca="1">(U391*((Indicadores_Economicos!D$2+1)^(1/12)-1))</f>
        <v>83652.779651759774</v>
      </c>
      <c r="Z391" s="18">
        <f t="shared" ca="1" si="55"/>
        <v>25609318.909875356</v>
      </c>
      <c r="AA391" s="18">
        <f ca="1">Auxiliar_Projetos!E391</f>
        <v>1.3943111611228275E-9</v>
      </c>
      <c r="AB391" s="18">
        <f ca="1">Auxiliar_Projetos!K391</f>
        <v>1.0725470470175582E-9</v>
      </c>
      <c r="AC391" s="18">
        <f ca="1">IF(Z391-AA391-AB391&gt;Investimentos!$C$14,Investimentos!$C$14,IF(Z391-AA391-AB391&lt;Investimentos!$C$14,Z391-AA391-AB391,0))</f>
        <v>300000</v>
      </c>
      <c r="AD391" s="18">
        <f t="shared" ca="1" si="56"/>
        <v>25309318.909875356</v>
      </c>
      <c r="AE391" s="18"/>
    </row>
    <row r="392" spans="1:31" x14ac:dyDescent="0.2">
      <c r="A392" s="4">
        <v>57527</v>
      </c>
      <c r="B392" s="5" t="str">
        <f t="shared" si="52"/>
        <v>julho</v>
      </c>
      <c r="C392" s="5" t="str">
        <f t="shared" si="50"/>
        <v>2057</v>
      </c>
      <c r="D392" s="5">
        <f>SUMIFS(Despesas!$F:$F,Despesas!$J:$J,"&lt;="&amp;$A392,Despesas!$L:$L,"&gt;="&amp;$A392,Despesas!$C:$C,D$1,Despesas!$M:$M,"Mensal")+SUMIFS(Despesas!$F:$F,Despesas!$J:$J,"&lt;="&amp;$A392,Despesas!$L:$L,"&gt;="&amp;$A392,Despesas!$C:$C,D$1,Despesas!$M:$M,$B392)</f>
        <v>23000</v>
      </c>
      <c r="E392" s="18">
        <f>SUMIFS(Despesas!$F:$F,Despesas!$J:$J,"&lt;="&amp;$A392,Despesas!$L:$L,"&gt;="&amp;$A392,Despesas!$C:$C,E$1,Despesas!$M:$M,"Mensal")+SUMIFS(Despesas!$F:$F,Despesas!$J:$J,"&lt;="&amp;$A392,Despesas!$L:$L,"&gt;="&amp;$A392,Despesas!$C:$C,E$1,Despesas!$M:$M,$B392)</f>
        <v>0</v>
      </c>
      <c r="F392" s="5">
        <f>SUMIFS(Despesas!$F:$F,Despesas!$J:$J,"&lt;="&amp;$A392,Despesas!$L:$L,"&gt;="&amp;$A392,Despesas!$C:$C,F$1,Despesas!$M:$M,"Mensal")+SUMIFS(Despesas!$F:$F,Despesas!$J:$J,"&lt;="&amp;$A392,Despesas!$L:$L,"&gt;="&amp;$A392,Despesas!$C:$C,F$1,Despesas!$M:$M,$B392)</f>
        <v>13000</v>
      </c>
      <c r="G392" s="5">
        <f ca="1">SUMIFS(Despesas!$F:$F,Despesas!$J:$J,"&lt;="&amp;$A392,Despesas!$L:$L,"&gt;="&amp;$A392,Despesas!$C:$C,G$1,Despesas!$M:$M,"Mensal")+SUMIFS(Despesas!$F:$F,Despesas!$J:$J,"&lt;="&amp;$A392,Despesas!$L:$L,"&gt;="&amp;$A392,Despesas!$C:$C,G$1,Despesas!$M:$M,$B392)</f>
        <v>55757</v>
      </c>
      <c r="H392" s="18">
        <f>SUMIFS(Despesas!$F:$F,Despesas!$J:$J,"&lt;="&amp;$A392,Despesas!$L:$L,"&gt;="&amp;$A392,Despesas!$C:$C,H$1,Despesas!$M:$M,"Mensal")+SUMIFS(Despesas!$F:$F,Despesas!$J:$J,"&lt;="&amp;$A392,Despesas!$L:$L,"&gt;="&amp;$A392,Despesas!$C:$C,H$1,Despesas!$M:$M,$B392)</f>
        <v>1000</v>
      </c>
      <c r="I392" s="18">
        <f>IF(Imóveis!$F$2="PRICE",IF(AND(Dados!$A392&gt;=Imóveis!$Q$2,Dados!$A392&lt;=Imóveis!$T$2),Imóveis!$U$2,0),IF((IF(AND(Dados!$A392&gt;=Imóveis!$Q$2,Dados!$A392&lt;=Imóveis!$T$2),Imóveis!$S$2-(DATEDIF(Imóveis!$Q$2,Dados!$A392,"m")),0))=0,0,((Imóveis!$N$2/Imóveis!$S$2)+((Imóveis!$N$2-((Imóveis!$S$2-(IF(AND(Dados!$A392&gt;=Imóveis!$Q$2,Dados!$A392&lt;=Imóveis!$T$2),Imóveis!$S$2-(DATEDIF(Imóveis!$Q$2,Dados!$A392,"m")),)))*(Imóveis!$N$2/Imóveis!$S$2)))*Imóveis!$P$2))))*IF(AND(Imóveis!$E$2&gt;0,Dados!$A392&gt;Imóveis!$E$2),0,1)</f>
        <v>0</v>
      </c>
      <c r="J392" s="18">
        <f>IF(Imóveis!$F$3="PRICE",IF(AND(Dados!$A392&gt;=Imóveis!$Q$3,Dados!$A392&lt;=Imóveis!$T$3),Imóveis!$U$3,0),IF((IF(AND(Dados!$A392&gt;=Imóveis!$Q$3,Dados!$A392&lt;=Imóveis!$T$3),Imóveis!$S$3-(DATEDIF(Imóveis!$Q$3,Dados!$A392,"m")),0))=0,0,((Imóveis!$N$3/Imóveis!$S$3)+((Imóveis!$N$3-((Imóveis!$S$3-(IF(AND(Dados!$A392&gt;=Imóveis!$Q$3,Dados!$A392&lt;=Imóveis!$T$3),Imóveis!$S$3-(DATEDIF(Imóveis!$Q$3,Dados!$A392,"m")),)))*(Imóveis!$N$3/Imóveis!$S$3)))*Imóveis!$P$3))))*IF(AND(Imóveis!$E$3&gt;0,Dados!$A392&gt;Imóveis!$E$3),0,1)</f>
        <v>0</v>
      </c>
      <c r="K392" s="18">
        <f>IF(Imóveis!$F$4="PRICE",IF(AND(Dados!$A392&gt;=Imóveis!$Q$4,Dados!$A392&lt;=Imóveis!$T$4),Imóveis!$U$4,0),IF((IF(AND(Dados!$A392&gt;=Imóveis!$Q$4,Dados!$A392&lt;=Imóveis!$T$4),Imóveis!$S$4-(DATEDIF(Imóveis!$Q$4,Dados!$A392,"m")),0))=0,0,((Imóveis!$N$4/Imóveis!$S$4)+((Imóveis!$N$4-((Imóveis!$S$4-(IF(AND(Dados!$A392&gt;=Imóveis!$Q$4,Dados!$A392&lt;=Imóveis!$T$4),Imóveis!$S$4-(DATEDIF(Imóveis!$Q$4,Dados!$A392,"m")),)))*(Imóveis!$N$4/Imóveis!$S$4)))*Imóveis!$P$4))))*IF(AND(Imóveis!$E$4&gt;0,Dados!$A392&gt;Imóveis!$E$4),0,1)</f>
        <v>0</v>
      </c>
      <c r="L392" s="18">
        <f>IF(Imóveis!$F$5="PRICE",IF(AND(Dados!$A392&gt;=Imóveis!$Q$5,Dados!$A392&lt;=Imóveis!$T$5),Imóveis!$U$5,0),IF((IF(AND(Dados!$A392&gt;=Imóveis!$Q$5,Dados!$A392&lt;=Imóveis!$T$5),Imóveis!$S$5-(DATEDIF(Imóveis!$Q$5,Dados!$A392,"m")),0))=0,0,((Imóveis!$N$5/Imóveis!$S$5)+((Imóveis!$N$5-((Imóveis!$S$5-(IF(AND(Dados!$A392 &gt;=Imóveis!$Q$5,Dados!$A392&lt;=Imóveis!$T$5),Imóveis!$S$5-(DATEDIF(Imóveis!$Q$5,Dados!$A392,"m")),)))*(Imóveis!$N$5/Imóveis!$S$5)))*Imóveis!$P$5))))*IF(AND(Imóveis!$E$5&gt;0,Dados!$A392&gt;Imóveis!$E$5),0,1)*Imóveis!$I$5</f>
        <v>0</v>
      </c>
      <c r="M392" s="18">
        <f>IF(Imóveis!$F$6="PRICE",IF(AND(Dados!$A392&gt;=Imóveis!$Q$6,Dados!$A392&lt;=Imóveis!$T$6),Imóveis!$U$6,0),IF((IF(AND(Dados!$A392&gt;=Imóveis!$Q$6,Dados!$A392&lt;=Imóveis!$T$6),Imóveis!$S$6-(DATEDIF(Imóveis!$Q$6,Dados!$A392,"m")),0))=0,0,((Imóveis!$N$6/Imóveis!$S$6)+((Imóveis!$N$6-((Imóveis!$S$6-(IF(AND(Dados!$A392&gt;=Imóveis!$Q$6,Dados!$A392&lt;=Imóveis!$T$6),Imóveis!$S$6-(DATEDIF(Imóveis!$Q$6,Dados!$A392,"m")),)))*(Imóveis!$N$6/Imóveis!$S$6)))*Imóveis!$P$6))))*IF(AND(Imóveis!$E$6&gt;0,Dados!$A392&gt;Imóveis!$E$6),0,1)*Imóveis!$I$6</f>
        <v>0</v>
      </c>
      <c r="N392" s="18">
        <f t="shared" ca="1" si="53"/>
        <v>92757</v>
      </c>
      <c r="O392" s="18">
        <f>SUMIFS(Receitas!$F:$F,Receitas!$J:$J,"&lt;="&amp;$A392,Receitas!$L:$L,"&gt;="&amp;$A392,Receitas!$C:$C,O$1,Receitas!$M:$M,"Mensal")+SUMIFS(Receitas!$F:$F,Receitas!$J:$J,"&lt;="&amp;$A392,Receitas!$L:$L,"&gt;="&amp;$A392,Receitas!$C:$C,O$1,Receitas!$M:$M,$B392)</f>
        <v>0</v>
      </c>
      <c r="P392" s="18">
        <f>SUMIFS(Receitas!$F:$F,Receitas!$J:$J,"&lt;="&amp;$A392,Receitas!$L:$L,"&gt;="&amp;$A392,Receitas!$C:$C,P$1,Receitas!$M:$M,"Mensal")+SUMIFS(Receitas!$F:$F,Receitas!$J:$J,"&lt;="&amp;$A392,Receitas!$L:$L,"&gt;="&amp;$A392,Receitas!$C:$C,P$1,Receitas!$M:$M,$B392)</f>
        <v>0</v>
      </c>
      <c r="Q392" s="18">
        <f>SUMIFS(Receitas!$F:$F,Receitas!$J:$J,"&lt;="&amp;$A392,Receitas!$L:$L,"&gt;="&amp;$A392,Receitas!$C:$C,Q$1,Receitas!$M:$M,"Mensal")+SUMIFS(Receitas!$F:$F,Receitas!$J:$J,"&lt;="&amp;$A392,Receitas!$L:$L,"&gt;="&amp;$A392,Receitas!$C:$C,Q$1,Receitas!$M:$M,$B392)</f>
        <v>0</v>
      </c>
      <c r="R392" s="18" cm="1">
        <f t="array" ref="R392">(IF(AND(Membros!$F$2="Sim",A392&lt;=MAX(Membros!$E$2:$E$5)),Membros!K$2,IF(AND(A392&gt;=Membros!J$2,A392&lt;=MAX(Membros!$E$2:$E$5)),Membros!K$2,0))+IF(AND(Membros!$F$3="Sim",A392&lt;=MAX(Membros!$E$2:$E$5)),Membros!K$3,IF(AND(A392&gt;=Membros!J$3,A392&lt;=MAX(Membros!$E$2:$E$5)),Membros!K$3,0)))*IF(AND(COUNTIFS(Tabela3[Tipo],"Provedor",Tabela3[Simulação Seguro],"Sim")=2,A392&gt;=MAX(IF(Tabela3[Tipo]="Dependente",Tabela3[Expectativa de Vida (Data)]))),0,1)</f>
        <v>10000</v>
      </c>
      <c r="S392" s="18">
        <f t="shared" si="54"/>
        <v>10000</v>
      </c>
      <c r="U392" s="18">
        <f t="shared" ca="1" si="57"/>
        <v>25609318.909875356</v>
      </c>
      <c r="V392" s="18">
        <f>SUMIF(Imóveis!E:E,Dados!A:A,Imóveis!Z:Z)-SUMIF(Imóveis!E:E,Dados!A:A,Imóveis!Y:Y)</f>
        <v>0</v>
      </c>
      <c r="W392" s="18">
        <f>-SUMIF(Projetos!N:N,A392,Projetos!F:F)</f>
        <v>0</v>
      </c>
      <c r="X392" s="18">
        <f t="shared" ca="1" si="51"/>
        <v>-82757</v>
      </c>
      <c r="Y392" s="26">
        <f ca="1">(U392*((Indicadores_Economicos!D$2+1)^(1/12)-1))</f>
        <v>83838.246110277891</v>
      </c>
      <c r="Z392" s="18">
        <f t="shared" ca="1" si="55"/>
        <v>25610400.155985635</v>
      </c>
      <c r="AA392" s="18">
        <f ca="1">Auxiliar_Projetos!E392</f>
        <v>1.3988757730397593E-9</v>
      </c>
      <c r="AB392" s="18">
        <f ca="1">Auxiliar_Projetos!K392</f>
        <v>1.0760582869536596E-9</v>
      </c>
      <c r="AC392" s="18">
        <f ca="1">IF(Z392-AA392-AB392&gt;Investimentos!$C$14,Investimentos!$C$14,IF(Z392-AA392-AB392&lt;Investimentos!$C$14,Z392-AA392-AB392,0))</f>
        <v>300000</v>
      </c>
      <c r="AD392" s="18">
        <f t="shared" ca="1" si="56"/>
        <v>25310400.155985635</v>
      </c>
      <c r="AE392" s="18"/>
    </row>
    <row r="393" spans="1:31" x14ac:dyDescent="0.2">
      <c r="A393" s="4">
        <v>57558</v>
      </c>
      <c r="B393" s="5" t="str">
        <f t="shared" si="52"/>
        <v>agosto</v>
      </c>
      <c r="C393" s="5" t="str">
        <f t="shared" si="50"/>
        <v>2057</v>
      </c>
      <c r="D393" s="5">
        <f>SUMIFS(Despesas!$F:$F,Despesas!$J:$J,"&lt;="&amp;$A393,Despesas!$L:$L,"&gt;="&amp;$A393,Despesas!$C:$C,D$1,Despesas!$M:$M,"Mensal")+SUMIFS(Despesas!$F:$F,Despesas!$J:$J,"&lt;="&amp;$A393,Despesas!$L:$L,"&gt;="&amp;$A393,Despesas!$C:$C,D$1,Despesas!$M:$M,$B393)</f>
        <v>23000</v>
      </c>
      <c r="E393" s="18">
        <f>SUMIFS(Despesas!$F:$F,Despesas!$J:$J,"&lt;="&amp;$A393,Despesas!$L:$L,"&gt;="&amp;$A393,Despesas!$C:$C,E$1,Despesas!$M:$M,"Mensal")+SUMIFS(Despesas!$F:$F,Despesas!$J:$J,"&lt;="&amp;$A393,Despesas!$L:$L,"&gt;="&amp;$A393,Despesas!$C:$C,E$1,Despesas!$M:$M,$B393)</f>
        <v>0</v>
      </c>
      <c r="F393" s="5">
        <f>SUMIFS(Despesas!$F:$F,Despesas!$J:$J,"&lt;="&amp;$A393,Despesas!$L:$L,"&gt;="&amp;$A393,Despesas!$C:$C,F$1,Despesas!$M:$M,"Mensal")+SUMIFS(Despesas!$F:$F,Despesas!$J:$J,"&lt;="&amp;$A393,Despesas!$L:$L,"&gt;="&amp;$A393,Despesas!$C:$C,F$1,Despesas!$M:$M,$B393)</f>
        <v>13000</v>
      </c>
      <c r="G393" s="5">
        <f>SUMIFS(Despesas!$F:$F,Despesas!$J:$J,"&lt;="&amp;$A393,Despesas!$L:$L,"&gt;="&amp;$A393,Despesas!$C:$C,G$1,Despesas!$M:$M,"Mensal")+SUMIFS(Despesas!$F:$F,Despesas!$J:$J,"&lt;="&amp;$A393,Despesas!$L:$L,"&gt;="&amp;$A393,Despesas!$C:$C,G$1,Despesas!$M:$M,$B393)</f>
        <v>0</v>
      </c>
      <c r="H393" s="18">
        <f>SUMIFS(Despesas!$F:$F,Despesas!$J:$J,"&lt;="&amp;$A393,Despesas!$L:$L,"&gt;="&amp;$A393,Despesas!$C:$C,H$1,Despesas!$M:$M,"Mensal")+SUMIFS(Despesas!$F:$F,Despesas!$J:$J,"&lt;="&amp;$A393,Despesas!$L:$L,"&gt;="&amp;$A393,Despesas!$C:$C,H$1,Despesas!$M:$M,$B393)</f>
        <v>1000</v>
      </c>
      <c r="I393" s="18">
        <f>IF(Imóveis!$F$2="PRICE",IF(AND(Dados!$A393&gt;=Imóveis!$Q$2,Dados!$A393&lt;=Imóveis!$T$2),Imóveis!$U$2,0),IF((IF(AND(Dados!$A393&gt;=Imóveis!$Q$2,Dados!$A393&lt;=Imóveis!$T$2),Imóveis!$S$2-(DATEDIF(Imóveis!$Q$2,Dados!$A393,"m")),0))=0,0,((Imóveis!$N$2/Imóveis!$S$2)+((Imóveis!$N$2-((Imóveis!$S$2-(IF(AND(Dados!$A393&gt;=Imóveis!$Q$2,Dados!$A393&lt;=Imóveis!$T$2),Imóveis!$S$2-(DATEDIF(Imóveis!$Q$2,Dados!$A393,"m")),)))*(Imóveis!$N$2/Imóveis!$S$2)))*Imóveis!$P$2))))*IF(AND(Imóveis!$E$2&gt;0,Dados!$A393&gt;Imóveis!$E$2),0,1)</f>
        <v>0</v>
      </c>
      <c r="J393" s="18">
        <f>IF(Imóveis!$F$3="PRICE",IF(AND(Dados!$A393&gt;=Imóveis!$Q$3,Dados!$A393&lt;=Imóveis!$T$3),Imóveis!$U$3,0),IF((IF(AND(Dados!$A393&gt;=Imóveis!$Q$3,Dados!$A393&lt;=Imóveis!$T$3),Imóveis!$S$3-(DATEDIF(Imóveis!$Q$3,Dados!$A393,"m")),0))=0,0,((Imóveis!$N$3/Imóveis!$S$3)+((Imóveis!$N$3-((Imóveis!$S$3-(IF(AND(Dados!$A393&gt;=Imóveis!$Q$3,Dados!$A393&lt;=Imóveis!$T$3),Imóveis!$S$3-(DATEDIF(Imóveis!$Q$3,Dados!$A393,"m")),)))*(Imóveis!$N$3/Imóveis!$S$3)))*Imóveis!$P$3))))*IF(AND(Imóveis!$E$3&gt;0,Dados!$A393&gt;Imóveis!$E$3),0,1)</f>
        <v>0</v>
      </c>
      <c r="K393" s="18">
        <f>IF(Imóveis!$F$4="PRICE",IF(AND(Dados!$A393&gt;=Imóveis!$Q$4,Dados!$A393&lt;=Imóveis!$T$4),Imóveis!$U$4,0),IF((IF(AND(Dados!$A393&gt;=Imóveis!$Q$4,Dados!$A393&lt;=Imóveis!$T$4),Imóveis!$S$4-(DATEDIF(Imóveis!$Q$4,Dados!$A393,"m")),0))=0,0,((Imóveis!$N$4/Imóveis!$S$4)+((Imóveis!$N$4-((Imóveis!$S$4-(IF(AND(Dados!$A393&gt;=Imóveis!$Q$4,Dados!$A393&lt;=Imóveis!$T$4),Imóveis!$S$4-(DATEDIF(Imóveis!$Q$4,Dados!$A393,"m")),)))*(Imóveis!$N$4/Imóveis!$S$4)))*Imóveis!$P$4))))*IF(AND(Imóveis!$E$4&gt;0,Dados!$A393&gt;Imóveis!$E$4),0,1)</f>
        <v>0</v>
      </c>
      <c r="L393" s="18">
        <f>IF(Imóveis!$F$5="PRICE",IF(AND(Dados!$A393&gt;=Imóveis!$Q$5,Dados!$A393&lt;=Imóveis!$T$5),Imóveis!$U$5,0),IF((IF(AND(Dados!$A393&gt;=Imóveis!$Q$5,Dados!$A393&lt;=Imóveis!$T$5),Imóveis!$S$5-(DATEDIF(Imóveis!$Q$5,Dados!$A393,"m")),0))=0,0,((Imóveis!$N$5/Imóveis!$S$5)+((Imóveis!$N$5-((Imóveis!$S$5-(IF(AND(Dados!$A393 &gt;=Imóveis!$Q$5,Dados!$A393&lt;=Imóveis!$T$5),Imóveis!$S$5-(DATEDIF(Imóveis!$Q$5,Dados!$A393,"m")),)))*(Imóveis!$N$5/Imóveis!$S$5)))*Imóveis!$P$5))))*IF(AND(Imóveis!$E$5&gt;0,Dados!$A393&gt;Imóveis!$E$5),0,1)*Imóveis!$I$5</f>
        <v>0</v>
      </c>
      <c r="M393" s="18">
        <f>IF(Imóveis!$F$6="PRICE",IF(AND(Dados!$A393&gt;=Imóveis!$Q$6,Dados!$A393&lt;=Imóveis!$T$6),Imóveis!$U$6,0),IF((IF(AND(Dados!$A393&gt;=Imóveis!$Q$6,Dados!$A393&lt;=Imóveis!$T$6),Imóveis!$S$6-(DATEDIF(Imóveis!$Q$6,Dados!$A393,"m")),0))=0,0,((Imóveis!$N$6/Imóveis!$S$6)+((Imóveis!$N$6-((Imóveis!$S$6-(IF(AND(Dados!$A393&gt;=Imóveis!$Q$6,Dados!$A393&lt;=Imóveis!$T$6),Imóveis!$S$6-(DATEDIF(Imóveis!$Q$6,Dados!$A393,"m")),)))*(Imóveis!$N$6/Imóveis!$S$6)))*Imóveis!$P$6))))*IF(AND(Imóveis!$E$6&gt;0,Dados!$A393&gt;Imóveis!$E$6),0,1)*Imóveis!$I$6</f>
        <v>0</v>
      </c>
      <c r="N393" s="18">
        <f t="shared" si="53"/>
        <v>37000</v>
      </c>
      <c r="O393" s="18">
        <f>SUMIFS(Receitas!$F:$F,Receitas!$J:$J,"&lt;="&amp;$A393,Receitas!$L:$L,"&gt;="&amp;$A393,Receitas!$C:$C,O$1,Receitas!$M:$M,"Mensal")+SUMIFS(Receitas!$F:$F,Receitas!$J:$J,"&lt;="&amp;$A393,Receitas!$L:$L,"&gt;="&amp;$A393,Receitas!$C:$C,O$1,Receitas!$M:$M,$B393)</f>
        <v>0</v>
      </c>
      <c r="P393" s="18">
        <f>SUMIFS(Receitas!$F:$F,Receitas!$J:$J,"&lt;="&amp;$A393,Receitas!$L:$L,"&gt;="&amp;$A393,Receitas!$C:$C,P$1,Receitas!$M:$M,"Mensal")+SUMIFS(Receitas!$F:$F,Receitas!$J:$J,"&lt;="&amp;$A393,Receitas!$L:$L,"&gt;="&amp;$A393,Receitas!$C:$C,P$1,Receitas!$M:$M,$B393)</f>
        <v>0</v>
      </c>
      <c r="Q393" s="18">
        <f>SUMIFS(Receitas!$F:$F,Receitas!$J:$J,"&lt;="&amp;$A393,Receitas!$L:$L,"&gt;="&amp;$A393,Receitas!$C:$C,Q$1,Receitas!$M:$M,"Mensal")+SUMIFS(Receitas!$F:$F,Receitas!$J:$J,"&lt;="&amp;$A393,Receitas!$L:$L,"&gt;="&amp;$A393,Receitas!$C:$C,Q$1,Receitas!$M:$M,$B393)</f>
        <v>0</v>
      </c>
      <c r="R393" s="18" cm="1">
        <f t="array" ref="R393">(IF(AND(Membros!$F$2="Sim",A393&lt;=MAX(Membros!$E$2:$E$5)),Membros!K$2,IF(AND(A393&gt;=Membros!J$2,A393&lt;=MAX(Membros!$E$2:$E$5)),Membros!K$2,0))+IF(AND(Membros!$F$3="Sim",A393&lt;=MAX(Membros!$E$2:$E$5)),Membros!K$3,IF(AND(A393&gt;=Membros!J$3,A393&lt;=MAX(Membros!$E$2:$E$5)),Membros!K$3,0)))*IF(AND(COUNTIFS(Tabela3[Tipo],"Provedor",Tabela3[Simulação Seguro],"Sim")=2,A393&gt;=MAX(IF(Tabela3[Tipo]="Dependente",Tabela3[Expectativa de Vida (Data)]))),0,1)</f>
        <v>10000</v>
      </c>
      <c r="S393" s="18">
        <f t="shared" si="54"/>
        <v>10000</v>
      </c>
      <c r="U393" s="18">
        <f t="shared" ca="1" si="57"/>
        <v>25610400.155985635</v>
      </c>
      <c r="V393" s="18">
        <f>SUMIF(Imóveis!E:E,Dados!A:A,Imóveis!Z:Z)-SUMIF(Imóveis!E:E,Dados!A:A,Imóveis!Y:Y)</f>
        <v>0</v>
      </c>
      <c r="W393" s="18">
        <f>-SUMIF(Projetos!N:N,A393,Projetos!F:F)</f>
        <v>0</v>
      </c>
      <c r="X393" s="18">
        <f t="shared" si="51"/>
        <v>-27000</v>
      </c>
      <c r="Y393" s="26">
        <f ca="1">(U393*((Indicadores_Economicos!D$2+1)^(1/12)-1))</f>
        <v>83841.785828683453</v>
      </c>
      <c r="Z393" s="18">
        <f t="shared" ca="1" si="55"/>
        <v>25667241.941814318</v>
      </c>
      <c r="AA393" s="18">
        <f ca="1">Auxiliar_Projetos!E393</f>
        <v>1.4034553283083138E-9</v>
      </c>
      <c r="AB393" s="18">
        <f ca="1">Auxiliar_Projetos!K393</f>
        <v>1.0795810217756246E-9</v>
      </c>
      <c r="AC393" s="18">
        <f ca="1">IF(Z393-AA393-AB393&gt;Investimentos!$C$14,Investimentos!$C$14,IF(Z393-AA393-AB393&lt;Investimentos!$C$14,Z393-AA393-AB393,0))</f>
        <v>300000</v>
      </c>
      <c r="AD393" s="18">
        <f t="shared" ca="1" si="56"/>
        <v>25367241.941814318</v>
      </c>
      <c r="AE393" s="18"/>
    </row>
    <row r="394" spans="1:31" x14ac:dyDescent="0.2">
      <c r="A394" s="4">
        <v>57589</v>
      </c>
      <c r="B394" s="5" t="str">
        <f t="shared" si="52"/>
        <v>setembro</v>
      </c>
      <c r="C394" s="5" t="str">
        <f t="shared" si="50"/>
        <v>2057</v>
      </c>
      <c r="D394" s="5">
        <f>SUMIFS(Despesas!$F:$F,Despesas!$J:$J,"&lt;="&amp;$A394,Despesas!$L:$L,"&gt;="&amp;$A394,Despesas!$C:$C,D$1,Despesas!$M:$M,"Mensal")+SUMIFS(Despesas!$F:$F,Despesas!$J:$J,"&lt;="&amp;$A394,Despesas!$L:$L,"&gt;="&amp;$A394,Despesas!$C:$C,D$1,Despesas!$M:$M,$B394)</f>
        <v>23000</v>
      </c>
      <c r="E394" s="18">
        <f>SUMIFS(Despesas!$F:$F,Despesas!$J:$J,"&lt;="&amp;$A394,Despesas!$L:$L,"&gt;="&amp;$A394,Despesas!$C:$C,E$1,Despesas!$M:$M,"Mensal")+SUMIFS(Despesas!$F:$F,Despesas!$J:$J,"&lt;="&amp;$A394,Despesas!$L:$L,"&gt;="&amp;$A394,Despesas!$C:$C,E$1,Despesas!$M:$M,$B394)</f>
        <v>0</v>
      </c>
      <c r="F394" s="5">
        <f>SUMIFS(Despesas!$F:$F,Despesas!$J:$J,"&lt;="&amp;$A394,Despesas!$L:$L,"&gt;="&amp;$A394,Despesas!$C:$C,F$1,Despesas!$M:$M,"Mensal")+SUMIFS(Despesas!$F:$F,Despesas!$J:$J,"&lt;="&amp;$A394,Despesas!$L:$L,"&gt;="&amp;$A394,Despesas!$C:$C,F$1,Despesas!$M:$M,$B394)</f>
        <v>13000</v>
      </c>
      <c r="G394" s="5">
        <f>SUMIFS(Despesas!$F:$F,Despesas!$J:$J,"&lt;="&amp;$A394,Despesas!$L:$L,"&gt;="&amp;$A394,Despesas!$C:$C,G$1,Despesas!$M:$M,"Mensal")+SUMIFS(Despesas!$F:$F,Despesas!$J:$J,"&lt;="&amp;$A394,Despesas!$L:$L,"&gt;="&amp;$A394,Despesas!$C:$C,G$1,Despesas!$M:$M,$B394)</f>
        <v>0</v>
      </c>
      <c r="H394" s="18">
        <f>SUMIFS(Despesas!$F:$F,Despesas!$J:$J,"&lt;="&amp;$A394,Despesas!$L:$L,"&gt;="&amp;$A394,Despesas!$C:$C,H$1,Despesas!$M:$M,"Mensal")+SUMIFS(Despesas!$F:$F,Despesas!$J:$J,"&lt;="&amp;$A394,Despesas!$L:$L,"&gt;="&amp;$A394,Despesas!$C:$C,H$1,Despesas!$M:$M,$B394)</f>
        <v>1000</v>
      </c>
      <c r="I394" s="18">
        <f>IF(Imóveis!$F$2="PRICE",IF(AND(Dados!$A394&gt;=Imóveis!$Q$2,Dados!$A394&lt;=Imóveis!$T$2),Imóveis!$U$2,0),IF((IF(AND(Dados!$A394&gt;=Imóveis!$Q$2,Dados!$A394&lt;=Imóveis!$T$2),Imóveis!$S$2-(DATEDIF(Imóveis!$Q$2,Dados!$A394,"m")),0))=0,0,((Imóveis!$N$2/Imóveis!$S$2)+((Imóveis!$N$2-((Imóveis!$S$2-(IF(AND(Dados!$A394&gt;=Imóveis!$Q$2,Dados!$A394&lt;=Imóveis!$T$2),Imóveis!$S$2-(DATEDIF(Imóveis!$Q$2,Dados!$A394,"m")),)))*(Imóveis!$N$2/Imóveis!$S$2)))*Imóveis!$P$2))))*IF(AND(Imóveis!$E$2&gt;0,Dados!$A394&gt;Imóveis!$E$2),0,1)</f>
        <v>0</v>
      </c>
      <c r="J394" s="18">
        <f>IF(Imóveis!$F$3="PRICE",IF(AND(Dados!$A394&gt;=Imóveis!$Q$3,Dados!$A394&lt;=Imóveis!$T$3),Imóveis!$U$3,0),IF((IF(AND(Dados!$A394&gt;=Imóveis!$Q$3,Dados!$A394&lt;=Imóveis!$T$3),Imóveis!$S$3-(DATEDIF(Imóveis!$Q$3,Dados!$A394,"m")),0))=0,0,((Imóveis!$N$3/Imóveis!$S$3)+((Imóveis!$N$3-((Imóveis!$S$3-(IF(AND(Dados!$A394&gt;=Imóveis!$Q$3,Dados!$A394&lt;=Imóveis!$T$3),Imóveis!$S$3-(DATEDIF(Imóveis!$Q$3,Dados!$A394,"m")),)))*(Imóveis!$N$3/Imóveis!$S$3)))*Imóveis!$P$3))))*IF(AND(Imóveis!$E$3&gt;0,Dados!$A394&gt;Imóveis!$E$3),0,1)</f>
        <v>0</v>
      </c>
      <c r="K394" s="18">
        <f>IF(Imóveis!$F$4="PRICE",IF(AND(Dados!$A394&gt;=Imóveis!$Q$4,Dados!$A394&lt;=Imóveis!$T$4),Imóveis!$U$4,0),IF((IF(AND(Dados!$A394&gt;=Imóveis!$Q$4,Dados!$A394&lt;=Imóveis!$T$4),Imóveis!$S$4-(DATEDIF(Imóveis!$Q$4,Dados!$A394,"m")),0))=0,0,((Imóveis!$N$4/Imóveis!$S$4)+((Imóveis!$N$4-((Imóveis!$S$4-(IF(AND(Dados!$A394&gt;=Imóveis!$Q$4,Dados!$A394&lt;=Imóveis!$T$4),Imóveis!$S$4-(DATEDIF(Imóveis!$Q$4,Dados!$A394,"m")),)))*(Imóveis!$N$4/Imóveis!$S$4)))*Imóveis!$P$4))))*IF(AND(Imóveis!$E$4&gt;0,Dados!$A394&gt;Imóveis!$E$4),0,1)</f>
        <v>0</v>
      </c>
      <c r="L394" s="18">
        <f>IF(Imóveis!$F$5="PRICE",IF(AND(Dados!$A394&gt;=Imóveis!$Q$5,Dados!$A394&lt;=Imóveis!$T$5),Imóveis!$U$5,0),IF((IF(AND(Dados!$A394&gt;=Imóveis!$Q$5,Dados!$A394&lt;=Imóveis!$T$5),Imóveis!$S$5-(DATEDIF(Imóveis!$Q$5,Dados!$A394,"m")),0))=0,0,((Imóveis!$N$5/Imóveis!$S$5)+((Imóveis!$N$5-((Imóveis!$S$5-(IF(AND(Dados!$A394 &gt;=Imóveis!$Q$5,Dados!$A394&lt;=Imóveis!$T$5),Imóveis!$S$5-(DATEDIF(Imóveis!$Q$5,Dados!$A394,"m")),)))*(Imóveis!$N$5/Imóveis!$S$5)))*Imóveis!$P$5))))*IF(AND(Imóveis!$E$5&gt;0,Dados!$A394&gt;Imóveis!$E$5),0,1)*Imóveis!$I$5</f>
        <v>0</v>
      </c>
      <c r="M394" s="18">
        <f>IF(Imóveis!$F$6="PRICE",IF(AND(Dados!$A394&gt;=Imóveis!$Q$6,Dados!$A394&lt;=Imóveis!$T$6),Imóveis!$U$6,0),IF((IF(AND(Dados!$A394&gt;=Imóveis!$Q$6,Dados!$A394&lt;=Imóveis!$T$6),Imóveis!$S$6-(DATEDIF(Imóveis!$Q$6,Dados!$A394,"m")),0))=0,0,((Imóveis!$N$6/Imóveis!$S$6)+((Imóveis!$N$6-((Imóveis!$S$6-(IF(AND(Dados!$A394&gt;=Imóveis!$Q$6,Dados!$A394&lt;=Imóveis!$T$6),Imóveis!$S$6-(DATEDIF(Imóveis!$Q$6,Dados!$A394,"m")),)))*(Imóveis!$N$6/Imóveis!$S$6)))*Imóveis!$P$6))))*IF(AND(Imóveis!$E$6&gt;0,Dados!$A394&gt;Imóveis!$E$6),0,1)*Imóveis!$I$6</f>
        <v>0</v>
      </c>
      <c r="N394" s="18">
        <f t="shared" si="53"/>
        <v>37000</v>
      </c>
      <c r="O394" s="18">
        <f>SUMIFS(Receitas!$F:$F,Receitas!$J:$J,"&lt;="&amp;$A394,Receitas!$L:$L,"&gt;="&amp;$A394,Receitas!$C:$C,O$1,Receitas!$M:$M,"Mensal")+SUMIFS(Receitas!$F:$F,Receitas!$J:$J,"&lt;="&amp;$A394,Receitas!$L:$L,"&gt;="&amp;$A394,Receitas!$C:$C,O$1,Receitas!$M:$M,$B394)</f>
        <v>0</v>
      </c>
      <c r="P394" s="18">
        <f>SUMIFS(Receitas!$F:$F,Receitas!$J:$J,"&lt;="&amp;$A394,Receitas!$L:$L,"&gt;="&amp;$A394,Receitas!$C:$C,P$1,Receitas!$M:$M,"Mensal")+SUMIFS(Receitas!$F:$F,Receitas!$J:$J,"&lt;="&amp;$A394,Receitas!$L:$L,"&gt;="&amp;$A394,Receitas!$C:$C,P$1,Receitas!$M:$M,$B394)</f>
        <v>0</v>
      </c>
      <c r="Q394" s="18">
        <f>SUMIFS(Receitas!$F:$F,Receitas!$J:$J,"&lt;="&amp;$A394,Receitas!$L:$L,"&gt;="&amp;$A394,Receitas!$C:$C,Q$1,Receitas!$M:$M,"Mensal")+SUMIFS(Receitas!$F:$F,Receitas!$J:$J,"&lt;="&amp;$A394,Receitas!$L:$L,"&gt;="&amp;$A394,Receitas!$C:$C,Q$1,Receitas!$M:$M,$B394)</f>
        <v>0</v>
      </c>
      <c r="R394" s="18" cm="1">
        <f t="array" ref="R394">(IF(AND(Membros!$F$2="Sim",A394&lt;=MAX(Membros!$E$2:$E$5)),Membros!K$2,IF(AND(A394&gt;=Membros!J$2,A394&lt;=MAX(Membros!$E$2:$E$5)),Membros!K$2,0))+IF(AND(Membros!$F$3="Sim",A394&lt;=MAX(Membros!$E$2:$E$5)),Membros!K$3,IF(AND(A394&gt;=Membros!J$3,A394&lt;=MAX(Membros!$E$2:$E$5)),Membros!K$3,0)))*IF(AND(COUNTIFS(Tabela3[Tipo],"Provedor",Tabela3[Simulação Seguro],"Sim")=2,A394&gt;=MAX(IF(Tabela3[Tipo]="Dependente",Tabela3[Expectativa de Vida (Data)]))),0,1)</f>
        <v>10000</v>
      </c>
      <c r="S394" s="18">
        <f t="shared" si="54"/>
        <v>10000</v>
      </c>
      <c r="U394" s="18">
        <f t="shared" ca="1" si="57"/>
        <v>25667241.941814318</v>
      </c>
      <c r="V394" s="18">
        <f>SUMIF(Imóveis!E:E,Dados!A:A,Imóveis!Z:Z)-SUMIF(Imóveis!E:E,Dados!A:A,Imóveis!Y:Y)</f>
        <v>0</v>
      </c>
      <c r="W394" s="18">
        <f>-SUMIF(Projetos!N:N,A394,Projetos!F:F)</f>
        <v>0</v>
      </c>
      <c r="X394" s="18">
        <f t="shared" si="51"/>
        <v>-27000</v>
      </c>
      <c r="Y394" s="26">
        <f ca="1">(U394*((Indicadores_Economicos!D$2+1)^(1/12)-1))</f>
        <v>84027.871044242056</v>
      </c>
      <c r="Z394" s="18">
        <f t="shared" ca="1" si="55"/>
        <v>25724269.812858559</v>
      </c>
      <c r="AA394" s="18">
        <f ca="1">Auxiliar_Projetos!E394</f>
        <v>1.4080498758491357E-9</v>
      </c>
      <c r="AB394" s="18">
        <f ca="1">Auxiliar_Projetos!K394</f>
        <v>1.0831152891147184E-9</v>
      </c>
      <c r="AC394" s="18">
        <f ca="1">IF(Z394-AA394-AB394&gt;Investimentos!$C$14,Investimentos!$C$14,IF(Z394-AA394-AB394&lt;Investimentos!$C$14,Z394-AA394-AB394,0))</f>
        <v>300000</v>
      </c>
      <c r="AD394" s="18">
        <f t="shared" ca="1" si="56"/>
        <v>25424269.812858559</v>
      </c>
      <c r="AE394" s="18"/>
    </row>
    <row r="395" spans="1:31" x14ac:dyDescent="0.2">
      <c r="A395" s="4">
        <v>57619</v>
      </c>
      <c r="B395" s="5" t="str">
        <f t="shared" si="52"/>
        <v>outubro</v>
      </c>
      <c r="C395" s="5" t="str">
        <f t="shared" si="50"/>
        <v>2057</v>
      </c>
      <c r="D395" s="5">
        <f>SUMIFS(Despesas!$F:$F,Despesas!$J:$J,"&lt;="&amp;$A395,Despesas!$L:$L,"&gt;="&amp;$A395,Despesas!$C:$C,D$1,Despesas!$M:$M,"Mensal")+SUMIFS(Despesas!$F:$F,Despesas!$J:$J,"&lt;="&amp;$A395,Despesas!$L:$L,"&gt;="&amp;$A395,Despesas!$C:$C,D$1,Despesas!$M:$M,$B395)</f>
        <v>23000</v>
      </c>
      <c r="E395" s="18">
        <f>SUMIFS(Despesas!$F:$F,Despesas!$J:$J,"&lt;="&amp;$A395,Despesas!$L:$L,"&gt;="&amp;$A395,Despesas!$C:$C,E$1,Despesas!$M:$M,"Mensal")+SUMIFS(Despesas!$F:$F,Despesas!$J:$J,"&lt;="&amp;$A395,Despesas!$L:$L,"&gt;="&amp;$A395,Despesas!$C:$C,E$1,Despesas!$M:$M,$B395)</f>
        <v>0</v>
      </c>
      <c r="F395" s="5">
        <f>SUMIFS(Despesas!$F:$F,Despesas!$J:$J,"&lt;="&amp;$A395,Despesas!$L:$L,"&gt;="&amp;$A395,Despesas!$C:$C,F$1,Despesas!$M:$M,"Mensal")+SUMIFS(Despesas!$F:$F,Despesas!$J:$J,"&lt;="&amp;$A395,Despesas!$L:$L,"&gt;="&amp;$A395,Despesas!$C:$C,F$1,Despesas!$M:$M,$B395)</f>
        <v>13000</v>
      </c>
      <c r="G395" s="5">
        <f>SUMIFS(Despesas!$F:$F,Despesas!$J:$J,"&lt;="&amp;$A395,Despesas!$L:$L,"&gt;="&amp;$A395,Despesas!$C:$C,G$1,Despesas!$M:$M,"Mensal")+SUMIFS(Despesas!$F:$F,Despesas!$J:$J,"&lt;="&amp;$A395,Despesas!$L:$L,"&gt;="&amp;$A395,Despesas!$C:$C,G$1,Despesas!$M:$M,$B395)</f>
        <v>0</v>
      </c>
      <c r="H395" s="18">
        <f>SUMIFS(Despesas!$F:$F,Despesas!$J:$J,"&lt;="&amp;$A395,Despesas!$L:$L,"&gt;="&amp;$A395,Despesas!$C:$C,H$1,Despesas!$M:$M,"Mensal")+SUMIFS(Despesas!$F:$F,Despesas!$J:$J,"&lt;="&amp;$A395,Despesas!$L:$L,"&gt;="&amp;$A395,Despesas!$C:$C,H$1,Despesas!$M:$M,$B395)</f>
        <v>1000</v>
      </c>
      <c r="I395" s="18">
        <f>IF(Imóveis!$F$2="PRICE",IF(AND(Dados!$A395&gt;=Imóveis!$Q$2,Dados!$A395&lt;=Imóveis!$T$2),Imóveis!$U$2,0),IF((IF(AND(Dados!$A395&gt;=Imóveis!$Q$2,Dados!$A395&lt;=Imóveis!$T$2),Imóveis!$S$2-(DATEDIF(Imóveis!$Q$2,Dados!$A395,"m")),0))=0,0,((Imóveis!$N$2/Imóveis!$S$2)+((Imóveis!$N$2-((Imóveis!$S$2-(IF(AND(Dados!$A395&gt;=Imóveis!$Q$2,Dados!$A395&lt;=Imóveis!$T$2),Imóveis!$S$2-(DATEDIF(Imóveis!$Q$2,Dados!$A395,"m")),)))*(Imóveis!$N$2/Imóveis!$S$2)))*Imóveis!$P$2))))*IF(AND(Imóveis!$E$2&gt;0,Dados!$A395&gt;Imóveis!$E$2),0,1)</f>
        <v>0</v>
      </c>
      <c r="J395" s="18">
        <f>IF(Imóveis!$F$3="PRICE",IF(AND(Dados!$A395&gt;=Imóveis!$Q$3,Dados!$A395&lt;=Imóveis!$T$3),Imóveis!$U$3,0),IF((IF(AND(Dados!$A395&gt;=Imóveis!$Q$3,Dados!$A395&lt;=Imóveis!$T$3),Imóveis!$S$3-(DATEDIF(Imóveis!$Q$3,Dados!$A395,"m")),0))=0,0,((Imóveis!$N$3/Imóveis!$S$3)+((Imóveis!$N$3-((Imóveis!$S$3-(IF(AND(Dados!$A395&gt;=Imóveis!$Q$3,Dados!$A395&lt;=Imóveis!$T$3),Imóveis!$S$3-(DATEDIF(Imóveis!$Q$3,Dados!$A395,"m")),)))*(Imóveis!$N$3/Imóveis!$S$3)))*Imóveis!$P$3))))*IF(AND(Imóveis!$E$3&gt;0,Dados!$A395&gt;Imóveis!$E$3),0,1)</f>
        <v>0</v>
      </c>
      <c r="K395" s="18">
        <f>IF(Imóveis!$F$4="PRICE",IF(AND(Dados!$A395&gt;=Imóveis!$Q$4,Dados!$A395&lt;=Imóveis!$T$4),Imóveis!$U$4,0),IF((IF(AND(Dados!$A395&gt;=Imóveis!$Q$4,Dados!$A395&lt;=Imóveis!$T$4),Imóveis!$S$4-(DATEDIF(Imóveis!$Q$4,Dados!$A395,"m")),0))=0,0,((Imóveis!$N$4/Imóveis!$S$4)+((Imóveis!$N$4-((Imóveis!$S$4-(IF(AND(Dados!$A395&gt;=Imóveis!$Q$4,Dados!$A395&lt;=Imóveis!$T$4),Imóveis!$S$4-(DATEDIF(Imóveis!$Q$4,Dados!$A395,"m")),)))*(Imóveis!$N$4/Imóveis!$S$4)))*Imóveis!$P$4))))*IF(AND(Imóveis!$E$4&gt;0,Dados!$A395&gt;Imóveis!$E$4),0,1)</f>
        <v>0</v>
      </c>
      <c r="L395" s="18">
        <f>IF(Imóveis!$F$5="PRICE",IF(AND(Dados!$A395&gt;=Imóveis!$Q$5,Dados!$A395&lt;=Imóveis!$T$5),Imóveis!$U$5,0),IF((IF(AND(Dados!$A395&gt;=Imóveis!$Q$5,Dados!$A395&lt;=Imóveis!$T$5),Imóveis!$S$5-(DATEDIF(Imóveis!$Q$5,Dados!$A395,"m")),0))=0,0,((Imóveis!$N$5/Imóveis!$S$5)+((Imóveis!$N$5-((Imóveis!$S$5-(IF(AND(Dados!$A395 &gt;=Imóveis!$Q$5,Dados!$A395&lt;=Imóveis!$T$5),Imóveis!$S$5-(DATEDIF(Imóveis!$Q$5,Dados!$A395,"m")),)))*(Imóveis!$N$5/Imóveis!$S$5)))*Imóveis!$P$5))))*IF(AND(Imóveis!$E$5&gt;0,Dados!$A395&gt;Imóveis!$E$5),0,1)*Imóveis!$I$5</f>
        <v>0</v>
      </c>
      <c r="M395" s="18">
        <f>IF(Imóveis!$F$6="PRICE",IF(AND(Dados!$A395&gt;=Imóveis!$Q$6,Dados!$A395&lt;=Imóveis!$T$6),Imóveis!$U$6,0),IF((IF(AND(Dados!$A395&gt;=Imóveis!$Q$6,Dados!$A395&lt;=Imóveis!$T$6),Imóveis!$S$6-(DATEDIF(Imóveis!$Q$6,Dados!$A395,"m")),0))=0,0,((Imóveis!$N$6/Imóveis!$S$6)+((Imóveis!$N$6-((Imóveis!$S$6-(IF(AND(Dados!$A395&gt;=Imóveis!$Q$6,Dados!$A395&lt;=Imóveis!$T$6),Imóveis!$S$6-(DATEDIF(Imóveis!$Q$6,Dados!$A395,"m")),)))*(Imóveis!$N$6/Imóveis!$S$6)))*Imóveis!$P$6))))*IF(AND(Imóveis!$E$6&gt;0,Dados!$A395&gt;Imóveis!$E$6),0,1)*Imóveis!$I$6</f>
        <v>0</v>
      </c>
      <c r="N395" s="18">
        <f t="shared" si="53"/>
        <v>37000</v>
      </c>
      <c r="O395" s="18">
        <f>SUMIFS(Receitas!$F:$F,Receitas!$J:$J,"&lt;="&amp;$A395,Receitas!$L:$L,"&gt;="&amp;$A395,Receitas!$C:$C,O$1,Receitas!$M:$M,"Mensal")+SUMIFS(Receitas!$F:$F,Receitas!$J:$J,"&lt;="&amp;$A395,Receitas!$L:$L,"&gt;="&amp;$A395,Receitas!$C:$C,O$1,Receitas!$M:$M,$B395)</f>
        <v>0</v>
      </c>
      <c r="P395" s="18">
        <f>SUMIFS(Receitas!$F:$F,Receitas!$J:$J,"&lt;="&amp;$A395,Receitas!$L:$L,"&gt;="&amp;$A395,Receitas!$C:$C,P$1,Receitas!$M:$M,"Mensal")+SUMIFS(Receitas!$F:$F,Receitas!$J:$J,"&lt;="&amp;$A395,Receitas!$L:$L,"&gt;="&amp;$A395,Receitas!$C:$C,P$1,Receitas!$M:$M,$B395)</f>
        <v>0</v>
      </c>
      <c r="Q395" s="18">
        <f>SUMIFS(Receitas!$F:$F,Receitas!$J:$J,"&lt;="&amp;$A395,Receitas!$L:$L,"&gt;="&amp;$A395,Receitas!$C:$C,Q$1,Receitas!$M:$M,"Mensal")+SUMIFS(Receitas!$F:$F,Receitas!$J:$J,"&lt;="&amp;$A395,Receitas!$L:$L,"&gt;="&amp;$A395,Receitas!$C:$C,Q$1,Receitas!$M:$M,$B395)</f>
        <v>0</v>
      </c>
      <c r="R395" s="18" cm="1">
        <f t="array" ref="R395">(IF(AND(Membros!$F$2="Sim",A395&lt;=MAX(Membros!$E$2:$E$5)),Membros!K$2,IF(AND(A395&gt;=Membros!J$2,A395&lt;=MAX(Membros!$E$2:$E$5)),Membros!K$2,0))+IF(AND(Membros!$F$3="Sim",A395&lt;=MAX(Membros!$E$2:$E$5)),Membros!K$3,IF(AND(A395&gt;=Membros!J$3,A395&lt;=MAX(Membros!$E$2:$E$5)),Membros!K$3,0)))*IF(AND(COUNTIFS(Tabela3[Tipo],"Provedor",Tabela3[Simulação Seguro],"Sim")=2,A395&gt;=MAX(IF(Tabela3[Tipo]="Dependente",Tabela3[Expectativa de Vida (Data)]))),0,1)</f>
        <v>10000</v>
      </c>
      <c r="S395" s="18">
        <f t="shared" si="54"/>
        <v>10000</v>
      </c>
      <c r="U395" s="18">
        <f t="shared" ca="1" si="57"/>
        <v>25724269.812858559</v>
      </c>
      <c r="V395" s="18">
        <f>SUMIF(Imóveis!E:E,Dados!A:A,Imóveis!Z:Z)-SUMIF(Imóveis!E:E,Dados!A:A,Imóveis!Y:Y)</f>
        <v>0</v>
      </c>
      <c r="W395" s="18">
        <f>-SUMIF(Projetos!N:N,A395,Projetos!F:F)</f>
        <v>0</v>
      </c>
      <c r="X395" s="18">
        <f t="shared" si="51"/>
        <v>-27000</v>
      </c>
      <c r="Y395" s="26">
        <f ca="1">(U395*((Indicadores_Economicos!D$2+1)^(1/12)-1))</f>
        <v>84214.565454373689</v>
      </c>
      <c r="Z395" s="18">
        <f t="shared" ca="1" si="55"/>
        <v>25781484.378312934</v>
      </c>
      <c r="AA395" s="18">
        <f ca="1">Auxiliar_Projetos!E395</f>
        <v>1.4126594647430233E-9</v>
      </c>
      <c r="AB395" s="18">
        <f ca="1">Auxiliar_Projetos!K395</f>
        <v>1.0866611267254011E-9</v>
      </c>
      <c r="AC395" s="18">
        <f ca="1">IF(Z395-AA395-AB395&gt;Investimentos!$C$14,Investimentos!$C$14,IF(Z395-AA395-AB395&lt;Investimentos!$C$14,Z395-AA395-AB395,0))</f>
        <v>300000</v>
      </c>
      <c r="AD395" s="18">
        <f t="shared" ca="1" si="56"/>
        <v>25481484.378312934</v>
      </c>
      <c r="AE395" s="18"/>
    </row>
    <row r="396" spans="1:31" x14ac:dyDescent="0.2">
      <c r="A396" s="4">
        <v>57650</v>
      </c>
      <c r="B396" s="5" t="str">
        <f t="shared" si="52"/>
        <v>novembro</v>
      </c>
      <c r="C396" s="5" t="str">
        <f t="shared" si="50"/>
        <v>2057</v>
      </c>
      <c r="D396" s="5">
        <f>SUMIFS(Despesas!$F:$F,Despesas!$J:$J,"&lt;="&amp;$A396,Despesas!$L:$L,"&gt;="&amp;$A396,Despesas!$C:$C,D$1,Despesas!$M:$M,"Mensal")+SUMIFS(Despesas!$F:$F,Despesas!$J:$J,"&lt;="&amp;$A396,Despesas!$L:$L,"&gt;="&amp;$A396,Despesas!$C:$C,D$1,Despesas!$M:$M,$B396)</f>
        <v>23000</v>
      </c>
      <c r="E396" s="18">
        <f>SUMIFS(Despesas!$F:$F,Despesas!$J:$J,"&lt;="&amp;$A396,Despesas!$L:$L,"&gt;="&amp;$A396,Despesas!$C:$C,E$1,Despesas!$M:$M,"Mensal")+SUMIFS(Despesas!$F:$F,Despesas!$J:$J,"&lt;="&amp;$A396,Despesas!$L:$L,"&gt;="&amp;$A396,Despesas!$C:$C,E$1,Despesas!$M:$M,$B396)</f>
        <v>0</v>
      </c>
      <c r="F396" s="5">
        <f>SUMIFS(Despesas!$F:$F,Despesas!$J:$J,"&lt;="&amp;$A396,Despesas!$L:$L,"&gt;="&amp;$A396,Despesas!$C:$C,F$1,Despesas!$M:$M,"Mensal")+SUMIFS(Despesas!$F:$F,Despesas!$J:$J,"&lt;="&amp;$A396,Despesas!$L:$L,"&gt;="&amp;$A396,Despesas!$C:$C,F$1,Despesas!$M:$M,$B396)</f>
        <v>13000</v>
      </c>
      <c r="G396" s="5">
        <f>SUMIFS(Despesas!$F:$F,Despesas!$J:$J,"&lt;="&amp;$A396,Despesas!$L:$L,"&gt;="&amp;$A396,Despesas!$C:$C,G$1,Despesas!$M:$M,"Mensal")+SUMIFS(Despesas!$F:$F,Despesas!$J:$J,"&lt;="&amp;$A396,Despesas!$L:$L,"&gt;="&amp;$A396,Despesas!$C:$C,G$1,Despesas!$M:$M,$B396)</f>
        <v>0</v>
      </c>
      <c r="H396" s="18">
        <f>SUMIFS(Despesas!$F:$F,Despesas!$J:$J,"&lt;="&amp;$A396,Despesas!$L:$L,"&gt;="&amp;$A396,Despesas!$C:$C,H$1,Despesas!$M:$M,"Mensal")+SUMIFS(Despesas!$F:$F,Despesas!$J:$J,"&lt;="&amp;$A396,Despesas!$L:$L,"&gt;="&amp;$A396,Despesas!$C:$C,H$1,Despesas!$M:$M,$B396)</f>
        <v>1000</v>
      </c>
      <c r="I396" s="18">
        <f>IF(Imóveis!$F$2="PRICE",IF(AND(Dados!$A396&gt;=Imóveis!$Q$2,Dados!$A396&lt;=Imóveis!$T$2),Imóveis!$U$2,0),IF((IF(AND(Dados!$A396&gt;=Imóveis!$Q$2,Dados!$A396&lt;=Imóveis!$T$2),Imóveis!$S$2-(DATEDIF(Imóveis!$Q$2,Dados!$A396,"m")),0))=0,0,((Imóveis!$N$2/Imóveis!$S$2)+((Imóveis!$N$2-((Imóveis!$S$2-(IF(AND(Dados!$A396&gt;=Imóveis!$Q$2,Dados!$A396&lt;=Imóveis!$T$2),Imóveis!$S$2-(DATEDIF(Imóveis!$Q$2,Dados!$A396,"m")),)))*(Imóveis!$N$2/Imóveis!$S$2)))*Imóveis!$P$2))))*IF(AND(Imóveis!$E$2&gt;0,Dados!$A396&gt;Imóveis!$E$2),0,1)</f>
        <v>0</v>
      </c>
      <c r="J396" s="18">
        <f>IF(Imóveis!$F$3="PRICE",IF(AND(Dados!$A396&gt;=Imóveis!$Q$3,Dados!$A396&lt;=Imóveis!$T$3),Imóveis!$U$3,0),IF((IF(AND(Dados!$A396&gt;=Imóveis!$Q$3,Dados!$A396&lt;=Imóveis!$T$3),Imóveis!$S$3-(DATEDIF(Imóveis!$Q$3,Dados!$A396,"m")),0))=0,0,((Imóveis!$N$3/Imóveis!$S$3)+((Imóveis!$N$3-((Imóveis!$S$3-(IF(AND(Dados!$A396&gt;=Imóveis!$Q$3,Dados!$A396&lt;=Imóveis!$T$3),Imóveis!$S$3-(DATEDIF(Imóveis!$Q$3,Dados!$A396,"m")),)))*(Imóveis!$N$3/Imóveis!$S$3)))*Imóveis!$P$3))))*IF(AND(Imóveis!$E$3&gt;0,Dados!$A396&gt;Imóveis!$E$3),0,1)</f>
        <v>0</v>
      </c>
      <c r="K396" s="18">
        <f>IF(Imóveis!$F$4="PRICE",IF(AND(Dados!$A396&gt;=Imóveis!$Q$4,Dados!$A396&lt;=Imóveis!$T$4),Imóveis!$U$4,0),IF((IF(AND(Dados!$A396&gt;=Imóveis!$Q$4,Dados!$A396&lt;=Imóveis!$T$4),Imóveis!$S$4-(DATEDIF(Imóveis!$Q$4,Dados!$A396,"m")),0))=0,0,((Imóveis!$N$4/Imóveis!$S$4)+((Imóveis!$N$4-((Imóveis!$S$4-(IF(AND(Dados!$A396&gt;=Imóveis!$Q$4,Dados!$A396&lt;=Imóveis!$T$4),Imóveis!$S$4-(DATEDIF(Imóveis!$Q$4,Dados!$A396,"m")),)))*(Imóveis!$N$4/Imóveis!$S$4)))*Imóveis!$P$4))))*IF(AND(Imóveis!$E$4&gt;0,Dados!$A396&gt;Imóveis!$E$4),0,1)</f>
        <v>0</v>
      </c>
      <c r="L396" s="18">
        <f>IF(Imóveis!$F$5="PRICE",IF(AND(Dados!$A396&gt;=Imóveis!$Q$5,Dados!$A396&lt;=Imóveis!$T$5),Imóveis!$U$5,0),IF((IF(AND(Dados!$A396&gt;=Imóveis!$Q$5,Dados!$A396&lt;=Imóveis!$T$5),Imóveis!$S$5-(DATEDIF(Imóveis!$Q$5,Dados!$A396,"m")),0))=0,0,((Imóveis!$N$5/Imóveis!$S$5)+((Imóveis!$N$5-((Imóveis!$S$5-(IF(AND(Dados!$A396 &gt;=Imóveis!$Q$5,Dados!$A396&lt;=Imóveis!$T$5),Imóveis!$S$5-(DATEDIF(Imóveis!$Q$5,Dados!$A396,"m")),)))*(Imóveis!$N$5/Imóveis!$S$5)))*Imóveis!$P$5))))*IF(AND(Imóveis!$E$5&gt;0,Dados!$A396&gt;Imóveis!$E$5),0,1)*Imóveis!$I$5</f>
        <v>0</v>
      </c>
      <c r="M396" s="18">
        <f>IF(Imóveis!$F$6="PRICE",IF(AND(Dados!$A396&gt;=Imóveis!$Q$6,Dados!$A396&lt;=Imóveis!$T$6),Imóveis!$U$6,0),IF((IF(AND(Dados!$A396&gt;=Imóveis!$Q$6,Dados!$A396&lt;=Imóveis!$T$6),Imóveis!$S$6-(DATEDIF(Imóveis!$Q$6,Dados!$A396,"m")),0))=0,0,((Imóveis!$N$6/Imóveis!$S$6)+((Imóveis!$N$6-((Imóveis!$S$6-(IF(AND(Dados!$A396&gt;=Imóveis!$Q$6,Dados!$A396&lt;=Imóveis!$T$6),Imóveis!$S$6-(DATEDIF(Imóveis!$Q$6,Dados!$A396,"m")),)))*(Imóveis!$N$6/Imóveis!$S$6)))*Imóveis!$P$6))))*IF(AND(Imóveis!$E$6&gt;0,Dados!$A396&gt;Imóveis!$E$6),0,1)*Imóveis!$I$6</f>
        <v>0</v>
      </c>
      <c r="N396" s="18">
        <f t="shared" si="53"/>
        <v>37000</v>
      </c>
      <c r="O396" s="18">
        <f>SUMIFS(Receitas!$F:$F,Receitas!$J:$J,"&lt;="&amp;$A396,Receitas!$L:$L,"&gt;="&amp;$A396,Receitas!$C:$C,O$1,Receitas!$M:$M,"Mensal")+SUMIFS(Receitas!$F:$F,Receitas!$J:$J,"&lt;="&amp;$A396,Receitas!$L:$L,"&gt;="&amp;$A396,Receitas!$C:$C,O$1,Receitas!$M:$M,$B396)</f>
        <v>0</v>
      </c>
      <c r="P396" s="18">
        <f>SUMIFS(Receitas!$F:$F,Receitas!$J:$J,"&lt;="&amp;$A396,Receitas!$L:$L,"&gt;="&amp;$A396,Receitas!$C:$C,P$1,Receitas!$M:$M,"Mensal")+SUMIFS(Receitas!$F:$F,Receitas!$J:$J,"&lt;="&amp;$A396,Receitas!$L:$L,"&gt;="&amp;$A396,Receitas!$C:$C,P$1,Receitas!$M:$M,$B396)</f>
        <v>0</v>
      </c>
      <c r="Q396" s="18">
        <f>SUMIFS(Receitas!$F:$F,Receitas!$J:$J,"&lt;="&amp;$A396,Receitas!$L:$L,"&gt;="&amp;$A396,Receitas!$C:$C,Q$1,Receitas!$M:$M,"Mensal")+SUMIFS(Receitas!$F:$F,Receitas!$J:$J,"&lt;="&amp;$A396,Receitas!$L:$L,"&gt;="&amp;$A396,Receitas!$C:$C,Q$1,Receitas!$M:$M,$B396)</f>
        <v>0</v>
      </c>
      <c r="R396" s="18" cm="1">
        <f t="array" ref="R396">(IF(AND(Membros!$F$2="Sim",A396&lt;=MAX(Membros!$E$2:$E$5)),Membros!K$2,IF(AND(A396&gt;=Membros!J$2,A396&lt;=MAX(Membros!$E$2:$E$5)),Membros!K$2,0))+IF(AND(Membros!$F$3="Sim",A396&lt;=MAX(Membros!$E$2:$E$5)),Membros!K$3,IF(AND(A396&gt;=Membros!J$3,A396&lt;=MAX(Membros!$E$2:$E$5)),Membros!K$3,0)))*IF(AND(COUNTIFS(Tabela3[Tipo],"Provedor",Tabela3[Simulação Seguro],"Sim")=2,A396&gt;=MAX(IF(Tabela3[Tipo]="Dependente",Tabela3[Expectativa de Vida (Data)]))),0,1)</f>
        <v>10000</v>
      </c>
      <c r="S396" s="18">
        <f t="shared" si="54"/>
        <v>10000</v>
      </c>
      <c r="U396" s="18">
        <f t="shared" ca="1" si="57"/>
        <v>25781484.378312934</v>
      </c>
      <c r="V396" s="18">
        <f>SUMIF(Imóveis!E:E,Dados!A:A,Imóveis!Z:Z)-SUMIF(Imóveis!E:E,Dados!A:A,Imóveis!Y:Y)</f>
        <v>0</v>
      </c>
      <c r="W396" s="18">
        <f>-SUMIF(Projetos!N:N,A396,Projetos!F:F)</f>
        <v>0</v>
      </c>
      <c r="X396" s="18">
        <f t="shared" si="51"/>
        <v>-27000</v>
      </c>
      <c r="Y396" s="26">
        <f ca="1">(U396*((Indicadores_Economicos!D$2+1)^(1/12)-1))</f>
        <v>84401.871053422903</v>
      </c>
      <c r="Z396" s="18">
        <f t="shared" ca="1" si="55"/>
        <v>25838886.249366358</v>
      </c>
      <c r="AA396" s="18">
        <f ca="1">Auxiliar_Projetos!E396</f>
        <v>1.4172841442314523E-9</v>
      </c>
      <c r="AB396" s="18">
        <f ca="1">Auxiliar_Projetos!K396</f>
        <v>1.0902185724857311E-9</v>
      </c>
      <c r="AC396" s="18">
        <f ca="1">IF(Z396-AA396-AB396&gt;Investimentos!$C$14,Investimentos!$C$14,IF(Z396-AA396-AB396&lt;Investimentos!$C$14,Z396-AA396-AB396,0))</f>
        <v>300000</v>
      </c>
      <c r="AD396" s="18">
        <f t="shared" ca="1" si="56"/>
        <v>25538886.249366358</v>
      </c>
      <c r="AE396" s="18"/>
    </row>
    <row r="397" spans="1:31" x14ac:dyDescent="0.2">
      <c r="A397" s="4">
        <v>57680</v>
      </c>
      <c r="B397" s="5" t="str">
        <f t="shared" si="52"/>
        <v>dezembro</v>
      </c>
      <c r="C397" s="5" t="str">
        <f t="shared" si="50"/>
        <v>2057</v>
      </c>
      <c r="D397" s="5">
        <f>SUMIFS(Despesas!$F:$F,Despesas!$J:$J,"&lt;="&amp;$A397,Despesas!$L:$L,"&gt;="&amp;$A397,Despesas!$C:$C,D$1,Despesas!$M:$M,"Mensal")+SUMIFS(Despesas!$F:$F,Despesas!$J:$J,"&lt;="&amp;$A397,Despesas!$L:$L,"&gt;="&amp;$A397,Despesas!$C:$C,D$1,Despesas!$M:$M,$B397)</f>
        <v>23000</v>
      </c>
      <c r="E397" s="18">
        <f>SUMIFS(Despesas!$F:$F,Despesas!$J:$J,"&lt;="&amp;$A397,Despesas!$L:$L,"&gt;="&amp;$A397,Despesas!$C:$C,E$1,Despesas!$M:$M,"Mensal")+SUMIFS(Despesas!$F:$F,Despesas!$J:$J,"&lt;="&amp;$A397,Despesas!$L:$L,"&gt;="&amp;$A397,Despesas!$C:$C,E$1,Despesas!$M:$M,$B397)</f>
        <v>0</v>
      </c>
      <c r="F397" s="5">
        <f>SUMIFS(Despesas!$F:$F,Despesas!$J:$J,"&lt;="&amp;$A397,Despesas!$L:$L,"&gt;="&amp;$A397,Despesas!$C:$C,F$1,Despesas!$M:$M,"Mensal")+SUMIFS(Despesas!$F:$F,Despesas!$J:$J,"&lt;="&amp;$A397,Despesas!$L:$L,"&gt;="&amp;$A397,Despesas!$C:$C,F$1,Despesas!$M:$M,$B397)</f>
        <v>13000</v>
      </c>
      <c r="G397" s="5">
        <f ca="1">SUMIFS(Despesas!$F:$F,Despesas!$J:$J,"&lt;="&amp;$A397,Despesas!$L:$L,"&gt;="&amp;$A397,Despesas!$C:$C,G$1,Despesas!$M:$M,"Mensal")+SUMIFS(Despesas!$F:$F,Despesas!$J:$J,"&lt;="&amp;$A397,Despesas!$L:$L,"&gt;="&amp;$A397,Despesas!$C:$C,G$1,Despesas!$M:$M,$B397)</f>
        <v>55757</v>
      </c>
      <c r="H397" s="18">
        <f>SUMIFS(Despesas!$F:$F,Despesas!$J:$J,"&lt;="&amp;$A397,Despesas!$L:$L,"&gt;="&amp;$A397,Despesas!$C:$C,H$1,Despesas!$M:$M,"Mensal")+SUMIFS(Despesas!$F:$F,Despesas!$J:$J,"&lt;="&amp;$A397,Despesas!$L:$L,"&gt;="&amp;$A397,Despesas!$C:$C,H$1,Despesas!$M:$M,$B397)</f>
        <v>1000</v>
      </c>
      <c r="I397" s="18">
        <f>IF(Imóveis!$F$2="PRICE",IF(AND(Dados!$A397&gt;=Imóveis!$Q$2,Dados!$A397&lt;=Imóveis!$T$2),Imóveis!$U$2,0),IF((IF(AND(Dados!$A397&gt;=Imóveis!$Q$2,Dados!$A397&lt;=Imóveis!$T$2),Imóveis!$S$2-(DATEDIF(Imóveis!$Q$2,Dados!$A397,"m")),0))=0,0,((Imóveis!$N$2/Imóveis!$S$2)+((Imóveis!$N$2-((Imóveis!$S$2-(IF(AND(Dados!$A397&gt;=Imóveis!$Q$2,Dados!$A397&lt;=Imóveis!$T$2),Imóveis!$S$2-(DATEDIF(Imóveis!$Q$2,Dados!$A397,"m")),)))*(Imóveis!$N$2/Imóveis!$S$2)))*Imóveis!$P$2))))*IF(AND(Imóveis!$E$2&gt;0,Dados!$A397&gt;Imóveis!$E$2),0,1)</f>
        <v>0</v>
      </c>
      <c r="J397" s="18">
        <f>IF(Imóveis!$F$3="PRICE",IF(AND(Dados!$A397&gt;=Imóveis!$Q$3,Dados!$A397&lt;=Imóveis!$T$3),Imóveis!$U$3,0),IF((IF(AND(Dados!$A397&gt;=Imóveis!$Q$3,Dados!$A397&lt;=Imóveis!$T$3),Imóveis!$S$3-(DATEDIF(Imóveis!$Q$3,Dados!$A397,"m")),0))=0,0,((Imóveis!$N$3/Imóveis!$S$3)+((Imóveis!$N$3-((Imóveis!$S$3-(IF(AND(Dados!$A397&gt;=Imóveis!$Q$3,Dados!$A397&lt;=Imóveis!$T$3),Imóveis!$S$3-(DATEDIF(Imóveis!$Q$3,Dados!$A397,"m")),)))*(Imóveis!$N$3/Imóveis!$S$3)))*Imóveis!$P$3))))*IF(AND(Imóveis!$E$3&gt;0,Dados!$A397&gt;Imóveis!$E$3),0,1)</f>
        <v>0</v>
      </c>
      <c r="K397" s="18">
        <f>IF(Imóveis!$F$4="PRICE",IF(AND(Dados!$A397&gt;=Imóveis!$Q$4,Dados!$A397&lt;=Imóveis!$T$4),Imóveis!$U$4,0),IF((IF(AND(Dados!$A397&gt;=Imóveis!$Q$4,Dados!$A397&lt;=Imóveis!$T$4),Imóveis!$S$4-(DATEDIF(Imóveis!$Q$4,Dados!$A397,"m")),0))=0,0,((Imóveis!$N$4/Imóveis!$S$4)+((Imóveis!$N$4-((Imóveis!$S$4-(IF(AND(Dados!$A397&gt;=Imóveis!$Q$4,Dados!$A397&lt;=Imóveis!$T$4),Imóveis!$S$4-(DATEDIF(Imóveis!$Q$4,Dados!$A397,"m")),)))*(Imóveis!$N$4/Imóveis!$S$4)))*Imóveis!$P$4))))*IF(AND(Imóveis!$E$4&gt;0,Dados!$A397&gt;Imóveis!$E$4),0,1)</f>
        <v>0</v>
      </c>
      <c r="L397" s="18">
        <f>IF(Imóveis!$F$5="PRICE",IF(AND(Dados!$A397&gt;=Imóveis!$Q$5,Dados!$A397&lt;=Imóveis!$T$5),Imóveis!$U$5,0),IF((IF(AND(Dados!$A397&gt;=Imóveis!$Q$5,Dados!$A397&lt;=Imóveis!$T$5),Imóveis!$S$5-(DATEDIF(Imóveis!$Q$5,Dados!$A397,"m")),0))=0,0,((Imóveis!$N$5/Imóveis!$S$5)+((Imóveis!$N$5-((Imóveis!$S$5-(IF(AND(Dados!$A397 &gt;=Imóveis!$Q$5,Dados!$A397&lt;=Imóveis!$T$5),Imóveis!$S$5-(DATEDIF(Imóveis!$Q$5,Dados!$A397,"m")),)))*(Imóveis!$N$5/Imóveis!$S$5)))*Imóveis!$P$5))))*IF(AND(Imóveis!$E$5&gt;0,Dados!$A397&gt;Imóveis!$E$5),0,1)*Imóveis!$I$5</f>
        <v>0</v>
      </c>
      <c r="M397" s="18">
        <f>IF(Imóveis!$F$6="PRICE",IF(AND(Dados!$A397&gt;=Imóveis!$Q$6,Dados!$A397&lt;=Imóveis!$T$6),Imóveis!$U$6,0),IF((IF(AND(Dados!$A397&gt;=Imóveis!$Q$6,Dados!$A397&lt;=Imóveis!$T$6),Imóveis!$S$6-(DATEDIF(Imóveis!$Q$6,Dados!$A397,"m")),0))=0,0,((Imóveis!$N$6/Imóveis!$S$6)+((Imóveis!$N$6-((Imóveis!$S$6-(IF(AND(Dados!$A397&gt;=Imóveis!$Q$6,Dados!$A397&lt;=Imóveis!$T$6),Imóveis!$S$6-(DATEDIF(Imóveis!$Q$6,Dados!$A397,"m")),)))*(Imóveis!$N$6/Imóveis!$S$6)))*Imóveis!$P$6))))*IF(AND(Imóveis!$E$6&gt;0,Dados!$A397&gt;Imóveis!$E$6),0,1)*Imóveis!$I$6</f>
        <v>0</v>
      </c>
      <c r="N397" s="18">
        <f t="shared" ca="1" si="53"/>
        <v>92757</v>
      </c>
      <c r="O397" s="18">
        <f>SUMIFS(Receitas!$F:$F,Receitas!$J:$J,"&lt;="&amp;$A397,Receitas!$L:$L,"&gt;="&amp;$A397,Receitas!$C:$C,O$1,Receitas!$M:$M,"Mensal")+SUMIFS(Receitas!$F:$F,Receitas!$J:$J,"&lt;="&amp;$A397,Receitas!$L:$L,"&gt;="&amp;$A397,Receitas!$C:$C,O$1,Receitas!$M:$M,$B397)</f>
        <v>0</v>
      </c>
      <c r="P397" s="18">
        <f>SUMIFS(Receitas!$F:$F,Receitas!$J:$J,"&lt;="&amp;$A397,Receitas!$L:$L,"&gt;="&amp;$A397,Receitas!$C:$C,P$1,Receitas!$M:$M,"Mensal")+SUMIFS(Receitas!$F:$F,Receitas!$J:$J,"&lt;="&amp;$A397,Receitas!$L:$L,"&gt;="&amp;$A397,Receitas!$C:$C,P$1,Receitas!$M:$M,$B397)</f>
        <v>0</v>
      </c>
      <c r="Q397" s="18">
        <f>SUMIFS(Receitas!$F:$F,Receitas!$J:$J,"&lt;="&amp;$A397,Receitas!$L:$L,"&gt;="&amp;$A397,Receitas!$C:$C,Q$1,Receitas!$M:$M,"Mensal")+SUMIFS(Receitas!$F:$F,Receitas!$J:$J,"&lt;="&amp;$A397,Receitas!$L:$L,"&gt;="&amp;$A397,Receitas!$C:$C,Q$1,Receitas!$M:$M,$B397)</f>
        <v>0</v>
      </c>
      <c r="R397" s="18" cm="1">
        <f t="array" ref="R397">(IF(AND(Membros!$F$2="Sim",A397&lt;=MAX(Membros!$E$2:$E$5)),Membros!K$2,IF(AND(A397&gt;=Membros!J$2,A397&lt;=MAX(Membros!$E$2:$E$5)),Membros!K$2,0))+IF(AND(Membros!$F$3="Sim",A397&lt;=MAX(Membros!$E$2:$E$5)),Membros!K$3,IF(AND(A397&gt;=Membros!J$3,A397&lt;=MAX(Membros!$E$2:$E$5)),Membros!K$3,0)))*IF(AND(COUNTIFS(Tabela3[Tipo],"Provedor",Tabela3[Simulação Seguro],"Sim")=2,A397&gt;=MAX(IF(Tabela3[Tipo]="Dependente",Tabela3[Expectativa de Vida (Data)]))),0,1)</f>
        <v>10000</v>
      </c>
      <c r="S397" s="18">
        <f t="shared" si="54"/>
        <v>10000</v>
      </c>
      <c r="U397" s="18">
        <f t="shared" ca="1" si="57"/>
        <v>25838886.249366358</v>
      </c>
      <c r="V397" s="18">
        <f>SUMIF(Imóveis!E:E,Dados!A:A,Imóveis!Z:Z)-SUMIF(Imóveis!E:E,Dados!A:A,Imóveis!Y:Y)</f>
        <v>0</v>
      </c>
      <c r="W397" s="18">
        <f>-SUMIF(Projetos!N:N,A397,Projetos!F:F)</f>
        <v>0</v>
      </c>
      <c r="X397" s="18">
        <f t="shared" ca="1" si="51"/>
        <v>-82757</v>
      </c>
      <c r="Y397" s="26">
        <f ca="1">(U397*((Indicadores_Economicos!D$2+1)^(1/12)-1))</f>
        <v>84589.789842263141</v>
      </c>
      <c r="Z397" s="18">
        <f t="shared" ca="1" si="55"/>
        <v>25840719.039208621</v>
      </c>
      <c r="AA397" s="18">
        <f ca="1">Auxiliar_Projetos!E397</f>
        <v>1.4219239637171026E-9</v>
      </c>
      <c r="AB397" s="18">
        <f ca="1">Auxiliar_Projetos!K397</f>
        <v>1.0937876643977698E-9</v>
      </c>
      <c r="AC397" s="18">
        <f ca="1">IF(Z397-AA397-AB397&gt;Investimentos!$C$14,Investimentos!$C$14,IF(Z397-AA397-AB397&lt;Investimentos!$C$14,Z397-AA397-AB397,0))</f>
        <v>300000</v>
      </c>
      <c r="AD397" s="18">
        <f t="shared" ca="1" si="56"/>
        <v>25540719.039208621</v>
      </c>
      <c r="AE397" s="18"/>
    </row>
    <row r="398" spans="1:31" x14ac:dyDescent="0.2">
      <c r="A398" s="4">
        <v>57711</v>
      </c>
      <c r="B398" s="5" t="str">
        <f t="shared" si="52"/>
        <v>janeiro</v>
      </c>
      <c r="C398" s="5" t="str">
        <f t="shared" si="50"/>
        <v>2058</v>
      </c>
      <c r="D398" s="5">
        <f>SUMIFS(Despesas!$F:$F,Despesas!$J:$J,"&lt;="&amp;$A398,Despesas!$L:$L,"&gt;="&amp;$A398,Despesas!$C:$C,D$1,Despesas!$M:$M,"Mensal")+SUMIFS(Despesas!$F:$F,Despesas!$J:$J,"&lt;="&amp;$A398,Despesas!$L:$L,"&gt;="&amp;$A398,Despesas!$C:$C,D$1,Despesas!$M:$M,$B398)</f>
        <v>23000</v>
      </c>
      <c r="E398" s="18">
        <f>SUMIFS(Despesas!$F:$F,Despesas!$J:$J,"&lt;="&amp;$A398,Despesas!$L:$L,"&gt;="&amp;$A398,Despesas!$C:$C,E$1,Despesas!$M:$M,"Mensal")+SUMIFS(Despesas!$F:$F,Despesas!$J:$J,"&lt;="&amp;$A398,Despesas!$L:$L,"&gt;="&amp;$A398,Despesas!$C:$C,E$1,Despesas!$M:$M,$B398)</f>
        <v>0</v>
      </c>
      <c r="F398" s="5">
        <f>SUMIFS(Despesas!$F:$F,Despesas!$J:$J,"&lt;="&amp;$A398,Despesas!$L:$L,"&gt;="&amp;$A398,Despesas!$C:$C,F$1,Despesas!$M:$M,"Mensal")+SUMIFS(Despesas!$F:$F,Despesas!$J:$J,"&lt;="&amp;$A398,Despesas!$L:$L,"&gt;="&amp;$A398,Despesas!$C:$C,F$1,Despesas!$M:$M,$B398)</f>
        <v>13000</v>
      </c>
      <c r="G398" s="5">
        <f>SUMIFS(Despesas!$F:$F,Despesas!$J:$J,"&lt;="&amp;$A398,Despesas!$L:$L,"&gt;="&amp;$A398,Despesas!$C:$C,G$1,Despesas!$M:$M,"Mensal")+SUMIFS(Despesas!$F:$F,Despesas!$J:$J,"&lt;="&amp;$A398,Despesas!$L:$L,"&gt;="&amp;$A398,Despesas!$C:$C,G$1,Despesas!$M:$M,$B398)</f>
        <v>0</v>
      </c>
      <c r="H398" s="18">
        <f>SUMIFS(Despesas!$F:$F,Despesas!$J:$J,"&lt;="&amp;$A398,Despesas!$L:$L,"&gt;="&amp;$A398,Despesas!$C:$C,H$1,Despesas!$M:$M,"Mensal")+SUMIFS(Despesas!$F:$F,Despesas!$J:$J,"&lt;="&amp;$A398,Despesas!$L:$L,"&gt;="&amp;$A398,Despesas!$C:$C,H$1,Despesas!$M:$M,$B398)</f>
        <v>1000</v>
      </c>
      <c r="I398" s="18">
        <f>IF(Imóveis!$F$2="PRICE",IF(AND(Dados!$A398&gt;=Imóveis!$Q$2,Dados!$A398&lt;=Imóveis!$T$2),Imóveis!$U$2,0),IF((IF(AND(Dados!$A398&gt;=Imóveis!$Q$2,Dados!$A398&lt;=Imóveis!$T$2),Imóveis!$S$2-(DATEDIF(Imóveis!$Q$2,Dados!$A398,"m")),0))=0,0,((Imóveis!$N$2/Imóveis!$S$2)+((Imóveis!$N$2-((Imóveis!$S$2-(IF(AND(Dados!$A398&gt;=Imóveis!$Q$2,Dados!$A398&lt;=Imóveis!$T$2),Imóveis!$S$2-(DATEDIF(Imóveis!$Q$2,Dados!$A398,"m")),)))*(Imóveis!$N$2/Imóveis!$S$2)))*Imóveis!$P$2))))*IF(AND(Imóveis!$E$2&gt;0,Dados!$A398&gt;Imóveis!$E$2),0,1)</f>
        <v>0</v>
      </c>
      <c r="J398" s="18">
        <f>IF(Imóveis!$F$3="PRICE",IF(AND(Dados!$A398&gt;=Imóveis!$Q$3,Dados!$A398&lt;=Imóveis!$T$3),Imóveis!$U$3,0),IF((IF(AND(Dados!$A398&gt;=Imóveis!$Q$3,Dados!$A398&lt;=Imóveis!$T$3),Imóveis!$S$3-(DATEDIF(Imóveis!$Q$3,Dados!$A398,"m")),0))=0,0,((Imóveis!$N$3/Imóveis!$S$3)+((Imóveis!$N$3-((Imóveis!$S$3-(IF(AND(Dados!$A398&gt;=Imóveis!$Q$3,Dados!$A398&lt;=Imóveis!$T$3),Imóveis!$S$3-(DATEDIF(Imóveis!$Q$3,Dados!$A398,"m")),)))*(Imóveis!$N$3/Imóveis!$S$3)))*Imóveis!$P$3))))*IF(AND(Imóveis!$E$3&gt;0,Dados!$A398&gt;Imóveis!$E$3),0,1)</f>
        <v>0</v>
      </c>
      <c r="K398" s="18">
        <f>IF(Imóveis!$F$4="PRICE",IF(AND(Dados!$A398&gt;=Imóveis!$Q$4,Dados!$A398&lt;=Imóveis!$T$4),Imóveis!$U$4,0),IF((IF(AND(Dados!$A398&gt;=Imóveis!$Q$4,Dados!$A398&lt;=Imóveis!$T$4),Imóveis!$S$4-(DATEDIF(Imóveis!$Q$4,Dados!$A398,"m")),0))=0,0,((Imóveis!$N$4/Imóveis!$S$4)+((Imóveis!$N$4-((Imóveis!$S$4-(IF(AND(Dados!$A398&gt;=Imóveis!$Q$4,Dados!$A398&lt;=Imóveis!$T$4),Imóveis!$S$4-(DATEDIF(Imóveis!$Q$4,Dados!$A398,"m")),)))*(Imóveis!$N$4/Imóveis!$S$4)))*Imóveis!$P$4))))*IF(AND(Imóveis!$E$4&gt;0,Dados!$A398&gt;Imóveis!$E$4),0,1)</f>
        <v>0</v>
      </c>
      <c r="L398" s="18">
        <f>IF(Imóveis!$F$5="PRICE",IF(AND(Dados!$A398&gt;=Imóveis!$Q$5,Dados!$A398&lt;=Imóveis!$T$5),Imóveis!$U$5,0),IF((IF(AND(Dados!$A398&gt;=Imóveis!$Q$5,Dados!$A398&lt;=Imóveis!$T$5),Imóveis!$S$5-(DATEDIF(Imóveis!$Q$5,Dados!$A398,"m")),0))=0,0,((Imóveis!$N$5/Imóveis!$S$5)+((Imóveis!$N$5-((Imóveis!$S$5-(IF(AND(Dados!$A398 &gt;=Imóveis!$Q$5,Dados!$A398&lt;=Imóveis!$T$5),Imóveis!$S$5-(DATEDIF(Imóveis!$Q$5,Dados!$A398,"m")),)))*(Imóveis!$N$5/Imóveis!$S$5)))*Imóveis!$P$5))))*IF(AND(Imóveis!$E$5&gt;0,Dados!$A398&gt;Imóveis!$E$5),0,1)*Imóveis!$I$5</f>
        <v>0</v>
      </c>
      <c r="M398" s="18">
        <f>IF(Imóveis!$F$6="PRICE",IF(AND(Dados!$A398&gt;=Imóveis!$Q$6,Dados!$A398&lt;=Imóveis!$T$6),Imóveis!$U$6,0),IF((IF(AND(Dados!$A398&gt;=Imóveis!$Q$6,Dados!$A398&lt;=Imóveis!$T$6),Imóveis!$S$6-(DATEDIF(Imóveis!$Q$6,Dados!$A398,"m")),0))=0,0,((Imóveis!$N$6/Imóveis!$S$6)+((Imóveis!$N$6-((Imóveis!$S$6-(IF(AND(Dados!$A398&gt;=Imóveis!$Q$6,Dados!$A398&lt;=Imóveis!$T$6),Imóveis!$S$6-(DATEDIF(Imóveis!$Q$6,Dados!$A398,"m")),)))*(Imóveis!$N$6/Imóveis!$S$6)))*Imóveis!$P$6))))*IF(AND(Imóveis!$E$6&gt;0,Dados!$A398&gt;Imóveis!$E$6),0,1)*Imóveis!$I$6</f>
        <v>0</v>
      </c>
      <c r="N398" s="18">
        <f t="shared" si="53"/>
        <v>37000</v>
      </c>
      <c r="O398" s="18">
        <f>SUMIFS(Receitas!$F:$F,Receitas!$J:$J,"&lt;="&amp;$A398,Receitas!$L:$L,"&gt;="&amp;$A398,Receitas!$C:$C,O$1,Receitas!$M:$M,"Mensal")+SUMIFS(Receitas!$F:$F,Receitas!$J:$J,"&lt;="&amp;$A398,Receitas!$L:$L,"&gt;="&amp;$A398,Receitas!$C:$C,O$1,Receitas!$M:$M,$B398)</f>
        <v>0</v>
      </c>
      <c r="P398" s="18">
        <f>SUMIFS(Receitas!$F:$F,Receitas!$J:$J,"&lt;="&amp;$A398,Receitas!$L:$L,"&gt;="&amp;$A398,Receitas!$C:$C,P$1,Receitas!$M:$M,"Mensal")+SUMIFS(Receitas!$F:$F,Receitas!$J:$J,"&lt;="&amp;$A398,Receitas!$L:$L,"&gt;="&amp;$A398,Receitas!$C:$C,P$1,Receitas!$M:$M,$B398)</f>
        <v>0</v>
      </c>
      <c r="Q398" s="18">
        <f>SUMIFS(Receitas!$F:$F,Receitas!$J:$J,"&lt;="&amp;$A398,Receitas!$L:$L,"&gt;="&amp;$A398,Receitas!$C:$C,Q$1,Receitas!$M:$M,"Mensal")+SUMIFS(Receitas!$F:$F,Receitas!$J:$J,"&lt;="&amp;$A398,Receitas!$L:$L,"&gt;="&amp;$A398,Receitas!$C:$C,Q$1,Receitas!$M:$M,$B398)</f>
        <v>0</v>
      </c>
      <c r="R398" s="18" cm="1">
        <f t="array" ref="R398">(IF(AND(Membros!$F$2="Sim",A398&lt;=MAX(Membros!$E$2:$E$5)),Membros!K$2,IF(AND(A398&gt;=Membros!J$2,A398&lt;=MAX(Membros!$E$2:$E$5)),Membros!K$2,0))+IF(AND(Membros!$F$3="Sim",A398&lt;=MAX(Membros!$E$2:$E$5)),Membros!K$3,IF(AND(A398&gt;=Membros!J$3,A398&lt;=MAX(Membros!$E$2:$E$5)),Membros!K$3,0)))*IF(AND(COUNTIFS(Tabela3[Tipo],"Provedor",Tabela3[Simulação Seguro],"Sim")=2,A398&gt;=MAX(IF(Tabela3[Tipo]="Dependente",Tabela3[Expectativa de Vida (Data)]))),0,1)</f>
        <v>10000</v>
      </c>
      <c r="S398" s="18">
        <f t="shared" si="54"/>
        <v>10000</v>
      </c>
      <c r="U398" s="18">
        <f t="shared" ca="1" si="57"/>
        <v>25840719.039208621</v>
      </c>
      <c r="V398" s="18">
        <f>SUMIF(Imóveis!E:E,Dados!A:A,Imóveis!Z:Z)-SUMIF(Imóveis!E:E,Dados!A:A,Imóveis!Y:Y)</f>
        <v>0</v>
      </c>
      <c r="W398" s="18">
        <f>-SUMIF(Projetos!N:N,A398,Projetos!F:F)</f>
        <v>0</v>
      </c>
      <c r="X398" s="18">
        <f t="shared" si="51"/>
        <v>-27000</v>
      </c>
      <c r="Y398" s="26">
        <f ca="1">(U398*((Indicadores_Economicos!D$2+1)^(1/12)-1))</f>
        <v>84595.789919282179</v>
      </c>
      <c r="Z398" s="18">
        <f t="shared" ca="1" si="55"/>
        <v>25898314.829127904</v>
      </c>
      <c r="AA398" s="18">
        <f ca="1">Auxiliar_Projetos!E398</f>
        <v>1.4265789727643853E-9</v>
      </c>
      <c r="AB398" s="18">
        <f ca="1">Auxiliar_Projetos!K398</f>
        <v>1.0973684405879873E-9</v>
      </c>
      <c r="AC398" s="18">
        <f ca="1">IF(Z398-AA398-AB398&gt;Investimentos!$C$14,Investimentos!$C$14,IF(Z398-AA398-AB398&lt;Investimentos!$C$14,Z398-AA398-AB398,0))</f>
        <v>300000</v>
      </c>
      <c r="AD398" s="18">
        <f t="shared" ca="1" si="56"/>
        <v>25598314.829127904</v>
      </c>
      <c r="AE398" s="18"/>
    </row>
    <row r="399" spans="1:31" x14ac:dyDescent="0.2">
      <c r="A399" s="4">
        <v>57742</v>
      </c>
      <c r="B399" s="5" t="str">
        <f t="shared" si="52"/>
        <v>fevereiro</v>
      </c>
      <c r="C399" s="5" t="str">
        <f t="shared" si="50"/>
        <v>2058</v>
      </c>
      <c r="D399" s="5">
        <f>SUMIFS(Despesas!$F:$F,Despesas!$J:$J,"&lt;="&amp;$A399,Despesas!$L:$L,"&gt;="&amp;$A399,Despesas!$C:$C,D$1,Despesas!$M:$M,"Mensal")+SUMIFS(Despesas!$F:$F,Despesas!$J:$J,"&lt;="&amp;$A399,Despesas!$L:$L,"&gt;="&amp;$A399,Despesas!$C:$C,D$1,Despesas!$M:$M,$B399)</f>
        <v>23000</v>
      </c>
      <c r="E399" s="18">
        <f>SUMIFS(Despesas!$F:$F,Despesas!$J:$J,"&lt;="&amp;$A399,Despesas!$L:$L,"&gt;="&amp;$A399,Despesas!$C:$C,E$1,Despesas!$M:$M,"Mensal")+SUMIFS(Despesas!$F:$F,Despesas!$J:$J,"&lt;="&amp;$A399,Despesas!$L:$L,"&gt;="&amp;$A399,Despesas!$C:$C,E$1,Despesas!$M:$M,$B399)</f>
        <v>0</v>
      </c>
      <c r="F399" s="5">
        <f>SUMIFS(Despesas!$F:$F,Despesas!$J:$J,"&lt;="&amp;$A399,Despesas!$L:$L,"&gt;="&amp;$A399,Despesas!$C:$C,F$1,Despesas!$M:$M,"Mensal")+SUMIFS(Despesas!$F:$F,Despesas!$J:$J,"&lt;="&amp;$A399,Despesas!$L:$L,"&gt;="&amp;$A399,Despesas!$C:$C,F$1,Despesas!$M:$M,$B399)</f>
        <v>13000</v>
      </c>
      <c r="G399" s="5">
        <f>SUMIFS(Despesas!$F:$F,Despesas!$J:$J,"&lt;="&amp;$A399,Despesas!$L:$L,"&gt;="&amp;$A399,Despesas!$C:$C,G$1,Despesas!$M:$M,"Mensal")+SUMIFS(Despesas!$F:$F,Despesas!$J:$J,"&lt;="&amp;$A399,Despesas!$L:$L,"&gt;="&amp;$A399,Despesas!$C:$C,G$1,Despesas!$M:$M,$B399)</f>
        <v>0</v>
      </c>
      <c r="H399" s="18">
        <f>SUMIFS(Despesas!$F:$F,Despesas!$J:$J,"&lt;="&amp;$A399,Despesas!$L:$L,"&gt;="&amp;$A399,Despesas!$C:$C,H$1,Despesas!$M:$M,"Mensal")+SUMIFS(Despesas!$F:$F,Despesas!$J:$J,"&lt;="&amp;$A399,Despesas!$L:$L,"&gt;="&amp;$A399,Despesas!$C:$C,H$1,Despesas!$M:$M,$B399)</f>
        <v>2200</v>
      </c>
      <c r="I399" s="18">
        <f>IF(Imóveis!$F$2="PRICE",IF(AND(Dados!$A399&gt;=Imóveis!$Q$2,Dados!$A399&lt;=Imóveis!$T$2),Imóveis!$U$2,0),IF((IF(AND(Dados!$A399&gt;=Imóveis!$Q$2,Dados!$A399&lt;=Imóveis!$T$2),Imóveis!$S$2-(DATEDIF(Imóveis!$Q$2,Dados!$A399,"m")),0))=0,0,((Imóveis!$N$2/Imóveis!$S$2)+((Imóveis!$N$2-((Imóveis!$S$2-(IF(AND(Dados!$A399&gt;=Imóveis!$Q$2,Dados!$A399&lt;=Imóveis!$T$2),Imóveis!$S$2-(DATEDIF(Imóveis!$Q$2,Dados!$A399,"m")),)))*(Imóveis!$N$2/Imóveis!$S$2)))*Imóveis!$P$2))))*IF(AND(Imóveis!$E$2&gt;0,Dados!$A399&gt;Imóveis!$E$2),0,1)</f>
        <v>0</v>
      </c>
      <c r="J399" s="18">
        <f>IF(Imóveis!$F$3="PRICE",IF(AND(Dados!$A399&gt;=Imóveis!$Q$3,Dados!$A399&lt;=Imóveis!$T$3),Imóveis!$U$3,0),IF((IF(AND(Dados!$A399&gt;=Imóveis!$Q$3,Dados!$A399&lt;=Imóveis!$T$3),Imóveis!$S$3-(DATEDIF(Imóveis!$Q$3,Dados!$A399,"m")),0))=0,0,((Imóveis!$N$3/Imóveis!$S$3)+((Imóveis!$N$3-((Imóveis!$S$3-(IF(AND(Dados!$A399&gt;=Imóveis!$Q$3,Dados!$A399&lt;=Imóveis!$T$3),Imóveis!$S$3-(DATEDIF(Imóveis!$Q$3,Dados!$A399,"m")),)))*(Imóveis!$N$3/Imóveis!$S$3)))*Imóveis!$P$3))))*IF(AND(Imóveis!$E$3&gt;0,Dados!$A399&gt;Imóveis!$E$3),0,1)</f>
        <v>0</v>
      </c>
      <c r="K399" s="18">
        <f>IF(Imóveis!$F$4="PRICE",IF(AND(Dados!$A399&gt;=Imóveis!$Q$4,Dados!$A399&lt;=Imóveis!$T$4),Imóveis!$U$4,0),IF((IF(AND(Dados!$A399&gt;=Imóveis!$Q$4,Dados!$A399&lt;=Imóveis!$T$4),Imóveis!$S$4-(DATEDIF(Imóveis!$Q$4,Dados!$A399,"m")),0))=0,0,((Imóveis!$N$4/Imóveis!$S$4)+((Imóveis!$N$4-((Imóveis!$S$4-(IF(AND(Dados!$A399&gt;=Imóveis!$Q$4,Dados!$A399&lt;=Imóveis!$T$4),Imóveis!$S$4-(DATEDIF(Imóveis!$Q$4,Dados!$A399,"m")),)))*(Imóveis!$N$4/Imóveis!$S$4)))*Imóveis!$P$4))))*IF(AND(Imóveis!$E$4&gt;0,Dados!$A399&gt;Imóveis!$E$4),0,1)</f>
        <v>0</v>
      </c>
      <c r="L399" s="18">
        <f>IF(Imóveis!$F$5="PRICE",IF(AND(Dados!$A399&gt;=Imóveis!$Q$5,Dados!$A399&lt;=Imóveis!$T$5),Imóveis!$U$5,0),IF((IF(AND(Dados!$A399&gt;=Imóveis!$Q$5,Dados!$A399&lt;=Imóveis!$T$5),Imóveis!$S$5-(DATEDIF(Imóveis!$Q$5,Dados!$A399,"m")),0))=0,0,((Imóveis!$N$5/Imóveis!$S$5)+((Imóveis!$N$5-((Imóveis!$S$5-(IF(AND(Dados!$A399 &gt;=Imóveis!$Q$5,Dados!$A399&lt;=Imóveis!$T$5),Imóveis!$S$5-(DATEDIF(Imóveis!$Q$5,Dados!$A399,"m")),)))*(Imóveis!$N$5/Imóveis!$S$5)))*Imóveis!$P$5))))*IF(AND(Imóveis!$E$5&gt;0,Dados!$A399&gt;Imóveis!$E$5),0,1)*Imóveis!$I$5</f>
        <v>0</v>
      </c>
      <c r="M399" s="18">
        <f>IF(Imóveis!$F$6="PRICE",IF(AND(Dados!$A399&gt;=Imóveis!$Q$6,Dados!$A399&lt;=Imóveis!$T$6),Imóveis!$U$6,0),IF((IF(AND(Dados!$A399&gt;=Imóveis!$Q$6,Dados!$A399&lt;=Imóveis!$T$6),Imóveis!$S$6-(DATEDIF(Imóveis!$Q$6,Dados!$A399,"m")),0))=0,0,((Imóveis!$N$6/Imóveis!$S$6)+((Imóveis!$N$6-((Imóveis!$S$6-(IF(AND(Dados!$A399&gt;=Imóveis!$Q$6,Dados!$A399&lt;=Imóveis!$T$6),Imóveis!$S$6-(DATEDIF(Imóveis!$Q$6,Dados!$A399,"m")),)))*(Imóveis!$N$6/Imóveis!$S$6)))*Imóveis!$P$6))))*IF(AND(Imóveis!$E$6&gt;0,Dados!$A399&gt;Imóveis!$E$6),0,1)*Imóveis!$I$6</f>
        <v>0</v>
      </c>
      <c r="N399" s="18">
        <f t="shared" si="53"/>
        <v>38200</v>
      </c>
      <c r="O399" s="18">
        <f>SUMIFS(Receitas!$F:$F,Receitas!$J:$J,"&lt;="&amp;$A399,Receitas!$L:$L,"&gt;="&amp;$A399,Receitas!$C:$C,O$1,Receitas!$M:$M,"Mensal")+SUMIFS(Receitas!$F:$F,Receitas!$J:$J,"&lt;="&amp;$A399,Receitas!$L:$L,"&gt;="&amp;$A399,Receitas!$C:$C,O$1,Receitas!$M:$M,$B399)</f>
        <v>0</v>
      </c>
      <c r="P399" s="18">
        <f>SUMIFS(Receitas!$F:$F,Receitas!$J:$J,"&lt;="&amp;$A399,Receitas!$L:$L,"&gt;="&amp;$A399,Receitas!$C:$C,P$1,Receitas!$M:$M,"Mensal")+SUMIFS(Receitas!$F:$F,Receitas!$J:$J,"&lt;="&amp;$A399,Receitas!$L:$L,"&gt;="&amp;$A399,Receitas!$C:$C,P$1,Receitas!$M:$M,$B399)</f>
        <v>0</v>
      </c>
      <c r="Q399" s="18">
        <f>SUMIFS(Receitas!$F:$F,Receitas!$J:$J,"&lt;="&amp;$A399,Receitas!$L:$L,"&gt;="&amp;$A399,Receitas!$C:$C,Q$1,Receitas!$M:$M,"Mensal")+SUMIFS(Receitas!$F:$F,Receitas!$J:$J,"&lt;="&amp;$A399,Receitas!$L:$L,"&gt;="&amp;$A399,Receitas!$C:$C,Q$1,Receitas!$M:$M,$B399)</f>
        <v>0</v>
      </c>
      <c r="R399" s="18" cm="1">
        <f t="array" ref="R399">(IF(AND(Membros!$F$2="Sim",A399&lt;=MAX(Membros!$E$2:$E$5)),Membros!K$2,IF(AND(A399&gt;=Membros!J$2,A399&lt;=MAX(Membros!$E$2:$E$5)),Membros!K$2,0))+IF(AND(Membros!$F$3="Sim",A399&lt;=MAX(Membros!$E$2:$E$5)),Membros!K$3,IF(AND(A399&gt;=Membros!J$3,A399&lt;=MAX(Membros!$E$2:$E$5)),Membros!K$3,0)))*IF(AND(COUNTIFS(Tabela3[Tipo],"Provedor",Tabela3[Simulação Seguro],"Sim")=2,A399&gt;=MAX(IF(Tabela3[Tipo]="Dependente",Tabela3[Expectativa de Vida (Data)]))),0,1)</f>
        <v>10000</v>
      </c>
      <c r="S399" s="18">
        <f t="shared" si="54"/>
        <v>10000</v>
      </c>
      <c r="U399" s="18">
        <f t="shared" ca="1" si="57"/>
        <v>25898314.829127904</v>
      </c>
      <c r="V399" s="18">
        <f>SUMIF(Imóveis!E:E,Dados!A:A,Imóveis!Z:Z)-SUMIF(Imóveis!E:E,Dados!A:A,Imóveis!Y:Y)</f>
        <v>0</v>
      </c>
      <c r="W399" s="18">
        <f>-SUMIF(Projetos!N:N,A399,Projetos!F:F)</f>
        <v>0</v>
      </c>
      <c r="X399" s="18">
        <f t="shared" si="51"/>
        <v>-28200</v>
      </c>
      <c r="Y399" s="26">
        <f ca="1">(U399*((Indicadores_Economicos!D$2+1)^(1/12)-1))</f>
        <v>84784.343548028104</v>
      </c>
      <c r="Z399" s="18">
        <f t="shared" ca="1" si="55"/>
        <v>25954899.172675934</v>
      </c>
      <c r="AA399" s="18">
        <f ca="1">Auxiliar_Projetos!E399</f>
        <v>1.4312492210999726E-9</v>
      </c>
      <c r="AB399" s="18">
        <f ca="1">Auxiliar_Projetos!K399</f>
        <v>1.1009609393076698E-9</v>
      </c>
      <c r="AC399" s="18">
        <f ca="1">IF(Z399-AA399-AB399&gt;Investimentos!$C$14,Investimentos!$C$14,IF(Z399-AA399-AB399&lt;Investimentos!$C$14,Z399-AA399-AB399,0))</f>
        <v>300000</v>
      </c>
      <c r="AD399" s="18">
        <f t="shared" ca="1" si="56"/>
        <v>25654899.172675934</v>
      </c>
      <c r="AE399" s="18"/>
    </row>
    <row r="400" spans="1:31" x14ac:dyDescent="0.2">
      <c r="A400" s="4">
        <v>57770</v>
      </c>
      <c r="B400" s="5" t="str">
        <f t="shared" si="52"/>
        <v>março</v>
      </c>
      <c r="C400" s="5" t="str">
        <f t="shared" si="50"/>
        <v>2058</v>
      </c>
      <c r="D400" s="5">
        <f>SUMIFS(Despesas!$F:$F,Despesas!$J:$J,"&lt;="&amp;$A400,Despesas!$L:$L,"&gt;="&amp;$A400,Despesas!$C:$C,D$1,Despesas!$M:$M,"Mensal")+SUMIFS(Despesas!$F:$F,Despesas!$J:$J,"&lt;="&amp;$A400,Despesas!$L:$L,"&gt;="&amp;$A400,Despesas!$C:$C,D$1,Despesas!$M:$M,$B400)</f>
        <v>23000</v>
      </c>
      <c r="E400" s="18">
        <f>SUMIFS(Despesas!$F:$F,Despesas!$J:$J,"&lt;="&amp;$A400,Despesas!$L:$L,"&gt;="&amp;$A400,Despesas!$C:$C,E$1,Despesas!$M:$M,"Mensal")+SUMIFS(Despesas!$F:$F,Despesas!$J:$J,"&lt;="&amp;$A400,Despesas!$L:$L,"&gt;="&amp;$A400,Despesas!$C:$C,E$1,Despesas!$M:$M,$B400)</f>
        <v>0</v>
      </c>
      <c r="F400" s="5">
        <f>SUMIFS(Despesas!$F:$F,Despesas!$J:$J,"&lt;="&amp;$A400,Despesas!$L:$L,"&gt;="&amp;$A400,Despesas!$C:$C,F$1,Despesas!$M:$M,"Mensal")+SUMIFS(Despesas!$F:$F,Despesas!$J:$J,"&lt;="&amp;$A400,Despesas!$L:$L,"&gt;="&amp;$A400,Despesas!$C:$C,F$1,Despesas!$M:$M,$B400)</f>
        <v>13000</v>
      </c>
      <c r="G400" s="5">
        <f>SUMIFS(Despesas!$F:$F,Despesas!$J:$J,"&lt;="&amp;$A400,Despesas!$L:$L,"&gt;="&amp;$A400,Despesas!$C:$C,G$1,Despesas!$M:$M,"Mensal")+SUMIFS(Despesas!$F:$F,Despesas!$J:$J,"&lt;="&amp;$A400,Despesas!$L:$L,"&gt;="&amp;$A400,Despesas!$C:$C,G$1,Despesas!$M:$M,$B400)</f>
        <v>0</v>
      </c>
      <c r="H400" s="18">
        <f>SUMIFS(Despesas!$F:$F,Despesas!$J:$J,"&lt;="&amp;$A400,Despesas!$L:$L,"&gt;="&amp;$A400,Despesas!$C:$C,H$1,Despesas!$M:$M,"Mensal")+SUMIFS(Despesas!$F:$F,Despesas!$J:$J,"&lt;="&amp;$A400,Despesas!$L:$L,"&gt;="&amp;$A400,Despesas!$C:$C,H$1,Despesas!$M:$M,$B400)</f>
        <v>1000</v>
      </c>
      <c r="I400" s="18">
        <f>IF(Imóveis!$F$2="PRICE",IF(AND(Dados!$A400&gt;=Imóveis!$Q$2,Dados!$A400&lt;=Imóveis!$T$2),Imóveis!$U$2,0),IF((IF(AND(Dados!$A400&gt;=Imóveis!$Q$2,Dados!$A400&lt;=Imóveis!$T$2),Imóveis!$S$2-(DATEDIF(Imóveis!$Q$2,Dados!$A400,"m")),0))=0,0,((Imóveis!$N$2/Imóveis!$S$2)+((Imóveis!$N$2-((Imóveis!$S$2-(IF(AND(Dados!$A400&gt;=Imóveis!$Q$2,Dados!$A400&lt;=Imóveis!$T$2),Imóveis!$S$2-(DATEDIF(Imóveis!$Q$2,Dados!$A400,"m")),)))*(Imóveis!$N$2/Imóveis!$S$2)))*Imóveis!$P$2))))*IF(AND(Imóveis!$E$2&gt;0,Dados!$A400&gt;Imóveis!$E$2),0,1)</f>
        <v>0</v>
      </c>
      <c r="J400" s="18">
        <f>IF(Imóveis!$F$3="PRICE",IF(AND(Dados!$A400&gt;=Imóveis!$Q$3,Dados!$A400&lt;=Imóveis!$T$3),Imóveis!$U$3,0),IF((IF(AND(Dados!$A400&gt;=Imóveis!$Q$3,Dados!$A400&lt;=Imóveis!$T$3),Imóveis!$S$3-(DATEDIF(Imóveis!$Q$3,Dados!$A400,"m")),0))=0,0,((Imóveis!$N$3/Imóveis!$S$3)+((Imóveis!$N$3-((Imóveis!$S$3-(IF(AND(Dados!$A400&gt;=Imóveis!$Q$3,Dados!$A400&lt;=Imóveis!$T$3),Imóveis!$S$3-(DATEDIF(Imóveis!$Q$3,Dados!$A400,"m")),)))*(Imóveis!$N$3/Imóveis!$S$3)))*Imóveis!$P$3))))*IF(AND(Imóveis!$E$3&gt;0,Dados!$A400&gt;Imóveis!$E$3),0,1)</f>
        <v>0</v>
      </c>
      <c r="K400" s="18">
        <f>IF(Imóveis!$F$4="PRICE",IF(AND(Dados!$A400&gt;=Imóveis!$Q$4,Dados!$A400&lt;=Imóveis!$T$4),Imóveis!$U$4,0),IF((IF(AND(Dados!$A400&gt;=Imóveis!$Q$4,Dados!$A400&lt;=Imóveis!$T$4),Imóveis!$S$4-(DATEDIF(Imóveis!$Q$4,Dados!$A400,"m")),0))=0,0,((Imóveis!$N$4/Imóveis!$S$4)+((Imóveis!$N$4-((Imóveis!$S$4-(IF(AND(Dados!$A400&gt;=Imóveis!$Q$4,Dados!$A400&lt;=Imóveis!$T$4),Imóveis!$S$4-(DATEDIF(Imóveis!$Q$4,Dados!$A400,"m")),)))*(Imóveis!$N$4/Imóveis!$S$4)))*Imóveis!$P$4))))*IF(AND(Imóveis!$E$4&gt;0,Dados!$A400&gt;Imóveis!$E$4),0,1)</f>
        <v>0</v>
      </c>
      <c r="L400" s="18">
        <f>IF(Imóveis!$F$5="PRICE",IF(AND(Dados!$A400&gt;=Imóveis!$Q$5,Dados!$A400&lt;=Imóveis!$T$5),Imóveis!$U$5,0),IF((IF(AND(Dados!$A400&gt;=Imóveis!$Q$5,Dados!$A400&lt;=Imóveis!$T$5),Imóveis!$S$5-(DATEDIF(Imóveis!$Q$5,Dados!$A400,"m")),0))=0,0,((Imóveis!$N$5/Imóveis!$S$5)+((Imóveis!$N$5-((Imóveis!$S$5-(IF(AND(Dados!$A400 &gt;=Imóveis!$Q$5,Dados!$A400&lt;=Imóveis!$T$5),Imóveis!$S$5-(DATEDIF(Imóveis!$Q$5,Dados!$A400,"m")),)))*(Imóveis!$N$5/Imóveis!$S$5)))*Imóveis!$P$5))))*IF(AND(Imóveis!$E$5&gt;0,Dados!$A400&gt;Imóveis!$E$5),0,1)*Imóveis!$I$5</f>
        <v>0</v>
      </c>
      <c r="M400" s="18">
        <f>IF(Imóveis!$F$6="PRICE",IF(AND(Dados!$A400&gt;=Imóveis!$Q$6,Dados!$A400&lt;=Imóveis!$T$6),Imóveis!$U$6,0),IF((IF(AND(Dados!$A400&gt;=Imóveis!$Q$6,Dados!$A400&lt;=Imóveis!$T$6),Imóveis!$S$6-(DATEDIF(Imóveis!$Q$6,Dados!$A400,"m")),0))=0,0,((Imóveis!$N$6/Imóveis!$S$6)+((Imóveis!$N$6-((Imóveis!$S$6-(IF(AND(Dados!$A400&gt;=Imóveis!$Q$6,Dados!$A400&lt;=Imóveis!$T$6),Imóveis!$S$6-(DATEDIF(Imóveis!$Q$6,Dados!$A400,"m")),)))*(Imóveis!$N$6/Imóveis!$S$6)))*Imóveis!$P$6))))*IF(AND(Imóveis!$E$6&gt;0,Dados!$A400&gt;Imóveis!$E$6),0,1)*Imóveis!$I$6</f>
        <v>0</v>
      </c>
      <c r="N400" s="18">
        <f t="shared" si="53"/>
        <v>37000</v>
      </c>
      <c r="O400" s="18">
        <f>SUMIFS(Receitas!$F:$F,Receitas!$J:$J,"&lt;="&amp;$A400,Receitas!$L:$L,"&gt;="&amp;$A400,Receitas!$C:$C,O$1,Receitas!$M:$M,"Mensal")+SUMIFS(Receitas!$F:$F,Receitas!$J:$J,"&lt;="&amp;$A400,Receitas!$L:$L,"&gt;="&amp;$A400,Receitas!$C:$C,O$1,Receitas!$M:$M,$B400)</f>
        <v>0</v>
      </c>
      <c r="P400" s="18">
        <f>SUMIFS(Receitas!$F:$F,Receitas!$J:$J,"&lt;="&amp;$A400,Receitas!$L:$L,"&gt;="&amp;$A400,Receitas!$C:$C,P$1,Receitas!$M:$M,"Mensal")+SUMIFS(Receitas!$F:$F,Receitas!$J:$J,"&lt;="&amp;$A400,Receitas!$L:$L,"&gt;="&amp;$A400,Receitas!$C:$C,P$1,Receitas!$M:$M,$B400)</f>
        <v>0</v>
      </c>
      <c r="Q400" s="18">
        <f>SUMIFS(Receitas!$F:$F,Receitas!$J:$J,"&lt;="&amp;$A400,Receitas!$L:$L,"&gt;="&amp;$A400,Receitas!$C:$C,Q$1,Receitas!$M:$M,"Mensal")+SUMIFS(Receitas!$F:$F,Receitas!$J:$J,"&lt;="&amp;$A400,Receitas!$L:$L,"&gt;="&amp;$A400,Receitas!$C:$C,Q$1,Receitas!$M:$M,$B400)</f>
        <v>0</v>
      </c>
      <c r="R400" s="18" cm="1">
        <f t="array" ref="R400">(IF(AND(Membros!$F$2="Sim",A400&lt;=MAX(Membros!$E$2:$E$5)),Membros!K$2,IF(AND(A400&gt;=Membros!J$2,A400&lt;=MAX(Membros!$E$2:$E$5)),Membros!K$2,0))+IF(AND(Membros!$F$3="Sim",A400&lt;=MAX(Membros!$E$2:$E$5)),Membros!K$3,IF(AND(A400&gt;=Membros!J$3,A400&lt;=MAX(Membros!$E$2:$E$5)),Membros!K$3,0)))*IF(AND(COUNTIFS(Tabela3[Tipo],"Provedor",Tabela3[Simulação Seguro],"Sim")=2,A400&gt;=MAX(IF(Tabela3[Tipo]="Dependente",Tabela3[Expectativa de Vida (Data)]))),0,1)</f>
        <v>10000</v>
      </c>
      <c r="S400" s="18">
        <f t="shared" si="54"/>
        <v>10000</v>
      </c>
      <c r="U400" s="18">
        <f t="shared" ca="1" si="57"/>
        <v>25954899.172675934</v>
      </c>
      <c r="V400" s="18">
        <f>SUMIF(Imóveis!E:E,Dados!A:A,Imóveis!Z:Z)-SUMIF(Imóveis!E:E,Dados!A:A,Imóveis!Y:Y)</f>
        <v>0</v>
      </c>
      <c r="W400" s="18">
        <f>-SUMIF(Projetos!N:N,A400,Projetos!F:F)</f>
        <v>0</v>
      </c>
      <c r="X400" s="18">
        <f t="shared" si="51"/>
        <v>-27000</v>
      </c>
      <c r="Y400" s="26">
        <f ca="1">(U400*((Indicadores_Economicos!D$2+1)^(1/12)-1))</f>
        <v>84969.58596455089</v>
      </c>
      <c r="Z400" s="18">
        <f t="shared" ca="1" si="55"/>
        <v>26012868.758640483</v>
      </c>
      <c r="AA400" s="18">
        <f ca="1">Auxiliar_Projetos!E400</f>
        <v>1.4359347586133288E-9</v>
      </c>
      <c r="AB400" s="18">
        <f ca="1">Auxiliar_Projetos!K400</f>
        <v>1.1045651989333284E-9</v>
      </c>
      <c r="AC400" s="18">
        <f ca="1">IF(Z400-AA400-AB400&gt;Investimentos!$C$14,Investimentos!$C$14,IF(Z400-AA400-AB400&lt;Investimentos!$C$14,Z400-AA400-AB400,0))</f>
        <v>300000</v>
      </c>
      <c r="AD400" s="18">
        <f t="shared" ca="1" si="56"/>
        <v>25712868.758640483</v>
      </c>
      <c r="AE400" s="18"/>
    </row>
    <row r="401" spans="1:31" x14ac:dyDescent="0.2">
      <c r="A401" s="4">
        <v>57801</v>
      </c>
      <c r="B401" s="5" t="str">
        <f t="shared" si="52"/>
        <v>abril</v>
      </c>
      <c r="C401" s="5" t="str">
        <f t="shared" si="50"/>
        <v>2058</v>
      </c>
      <c r="D401" s="5">
        <f>SUMIFS(Despesas!$F:$F,Despesas!$J:$J,"&lt;="&amp;$A401,Despesas!$L:$L,"&gt;="&amp;$A401,Despesas!$C:$C,D$1,Despesas!$M:$M,"Mensal")+SUMIFS(Despesas!$F:$F,Despesas!$J:$J,"&lt;="&amp;$A401,Despesas!$L:$L,"&gt;="&amp;$A401,Despesas!$C:$C,D$1,Despesas!$M:$M,$B401)</f>
        <v>23000</v>
      </c>
      <c r="E401" s="18">
        <f>SUMIFS(Despesas!$F:$F,Despesas!$J:$J,"&lt;="&amp;$A401,Despesas!$L:$L,"&gt;="&amp;$A401,Despesas!$C:$C,E$1,Despesas!$M:$M,"Mensal")+SUMIFS(Despesas!$F:$F,Despesas!$J:$J,"&lt;="&amp;$A401,Despesas!$L:$L,"&gt;="&amp;$A401,Despesas!$C:$C,E$1,Despesas!$M:$M,$B401)</f>
        <v>0</v>
      </c>
      <c r="F401" s="5">
        <f>SUMIFS(Despesas!$F:$F,Despesas!$J:$J,"&lt;="&amp;$A401,Despesas!$L:$L,"&gt;="&amp;$A401,Despesas!$C:$C,F$1,Despesas!$M:$M,"Mensal")+SUMIFS(Despesas!$F:$F,Despesas!$J:$J,"&lt;="&amp;$A401,Despesas!$L:$L,"&gt;="&amp;$A401,Despesas!$C:$C,F$1,Despesas!$M:$M,$B401)</f>
        <v>13000</v>
      </c>
      <c r="G401" s="5">
        <f>SUMIFS(Despesas!$F:$F,Despesas!$J:$J,"&lt;="&amp;$A401,Despesas!$L:$L,"&gt;="&amp;$A401,Despesas!$C:$C,G$1,Despesas!$M:$M,"Mensal")+SUMIFS(Despesas!$F:$F,Despesas!$J:$J,"&lt;="&amp;$A401,Despesas!$L:$L,"&gt;="&amp;$A401,Despesas!$C:$C,G$1,Despesas!$M:$M,$B401)</f>
        <v>0</v>
      </c>
      <c r="H401" s="18">
        <f>SUMIFS(Despesas!$F:$F,Despesas!$J:$J,"&lt;="&amp;$A401,Despesas!$L:$L,"&gt;="&amp;$A401,Despesas!$C:$C,H$1,Despesas!$M:$M,"Mensal")+SUMIFS(Despesas!$F:$F,Despesas!$J:$J,"&lt;="&amp;$A401,Despesas!$L:$L,"&gt;="&amp;$A401,Despesas!$C:$C,H$1,Despesas!$M:$M,$B401)</f>
        <v>1000</v>
      </c>
      <c r="I401" s="18">
        <f>IF(Imóveis!$F$2="PRICE",IF(AND(Dados!$A401&gt;=Imóveis!$Q$2,Dados!$A401&lt;=Imóveis!$T$2),Imóveis!$U$2,0),IF((IF(AND(Dados!$A401&gt;=Imóveis!$Q$2,Dados!$A401&lt;=Imóveis!$T$2),Imóveis!$S$2-(DATEDIF(Imóveis!$Q$2,Dados!$A401,"m")),0))=0,0,((Imóveis!$N$2/Imóveis!$S$2)+((Imóveis!$N$2-((Imóveis!$S$2-(IF(AND(Dados!$A401&gt;=Imóveis!$Q$2,Dados!$A401&lt;=Imóveis!$T$2),Imóveis!$S$2-(DATEDIF(Imóveis!$Q$2,Dados!$A401,"m")),)))*(Imóveis!$N$2/Imóveis!$S$2)))*Imóveis!$P$2))))*IF(AND(Imóveis!$E$2&gt;0,Dados!$A401&gt;Imóveis!$E$2),0,1)</f>
        <v>0</v>
      </c>
      <c r="J401" s="18">
        <f>IF(Imóveis!$F$3="PRICE",IF(AND(Dados!$A401&gt;=Imóveis!$Q$3,Dados!$A401&lt;=Imóveis!$T$3),Imóveis!$U$3,0),IF((IF(AND(Dados!$A401&gt;=Imóveis!$Q$3,Dados!$A401&lt;=Imóveis!$T$3),Imóveis!$S$3-(DATEDIF(Imóveis!$Q$3,Dados!$A401,"m")),0))=0,0,((Imóveis!$N$3/Imóveis!$S$3)+((Imóveis!$N$3-((Imóveis!$S$3-(IF(AND(Dados!$A401&gt;=Imóveis!$Q$3,Dados!$A401&lt;=Imóveis!$T$3),Imóveis!$S$3-(DATEDIF(Imóveis!$Q$3,Dados!$A401,"m")),)))*(Imóveis!$N$3/Imóveis!$S$3)))*Imóveis!$P$3))))*IF(AND(Imóveis!$E$3&gt;0,Dados!$A401&gt;Imóveis!$E$3),0,1)</f>
        <v>0</v>
      </c>
      <c r="K401" s="18">
        <f>IF(Imóveis!$F$4="PRICE",IF(AND(Dados!$A401&gt;=Imóveis!$Q$4,Dados!$A401&lt;=Imóveis!$T$4),Imóveis!$U$4,0),IF((IF(AND(Dados!$A401&gt;=Imóveis!$Q$4,Dados!$A401&lt;=Imóveis!$T$4),Imóveis!$S$4-(DATEDIF(Imóveis!$Q$4,Dados!$A401,"m")),0))=0,0,((Imóveis!$N$4/Imóveis!$S$4)+((Imóveis!$N$4-((Imóveis!$S$4-(IF(AND(Dados!$A401&gt;=Imóveis!$Q$4,Dados!$A401&lt;=Imóveis!$T$4),Imóveis!$S$4-(DATEDIF(Imóveis!$Q$4,Dados!$A401,"m")),)))*(Imóveis!$N$4/Imóveis!$S$4)))*Imóveis!$P$4))))*IF(AND(Imóveis!$E$4&gt;0,Dados!$A401&gt;Imóveis!$E$4),0,1)</f>
        <v>0</v>
      </c>
      <c r="L401" s="18">
        <f>IF(Imóveis!$F$5="PRICE",IF(AND(Dados!$A401&gt;=Imóveis!$Q$5,Dados!$A401&lt;=Imóveis!$T$5),Imóveis!$U$5,0),IF((IF(AND(Dados!$A401&gt;=Imóveis!$Q$5,Dados!$A401&lt;=Imóveis!$T$5),Imóveis!$S$5-(DATEDIF(Imóveis!$Q$5,Dados!$A401,"m")),0))=0,0,((Imóveis!$N$5/Imóveis!$S$5)+((Imóveis!$N$5-((Imóveis!$S$5-(IF(AND(Dados!$A401 &gt;=Imóveis!$Q$5,Dados!$A401&lt;=Imóveis!$T$5),Imóveis!$S$5-(DATEDIF(Imóveis!$Q$5,Dados!$A401,"m")),)))*(Imóveis!$N$5/Imóveis!$S$5)))*Imóveis!$P$5))))*IF(AND(Imóveis!$E$5&gt;0,Dados!$A401&gt;Imóveis!$E$5),0,1)*Imóveis!$I$5</f>
        <v>0</v>
      </c>
      <c r="M401" s="18">
        <f>IF(Imóveis!$F$6="PRICE",IF(AND(Dados!$A401&gt;=Imóveis!$Q$6,Dados!$A401&lt;=Imóveis!$T$6),Imóveis!$U$6,0),IF((IF(AND(Dados!$A401&gt;=Imóveis!$Q$6,Dados!$A401&lt;=Imóveis!$T$6),Imóveis!$S$6-(DATEDIF(Imóveis!$Q$6,Dados!$A401,"m")),0))=0,0,((Imóveis!$N$6/Imóveis!$S$6)+((Imóveis!$N$6-((Imóveis!$S$6-(IF(AND(Dados!$A401&gt;=Imóveis!$Q$6,Dados!$A401&lt;=Imóveis!$T$6),Imóveis!$S$6-(DATEDIF(Imóveis!$Q$6,Dados!$A401,"m")),)))*(Imóveis!$N$6/Imóveis!$S$6)))*Imóveis!$P$6))))*IF(AND(Imóveis!$E$6&gt;0,Dados!$A401&gt;Imóveis!$E$6),0,1)*Imóveis!$I$6</f>
        <v>0</v>
      </c>
      <c r="N401" s="18">
        <f t="shared" si="53"/>
        <v>37000</v>
      </c>
      <c r="O401" s="18">
        <f>SUMIFS(Receitas!$F:$F,Receitas!$J:$J,"&lt;="&amp;$A401,Receitas!$L:$L,"&gt;="&amp;$A401,Receitas!$C:$C,O$1,Receitas!$M:$M,"Mensal")+SUMIFS(Receitas!$F:$F,Receitas!$J:$J,"&lt;="&amp;$A401,Receitas!$L:$L,"&gt;="&amp;$A401,Receitas!$C:$C,O$1,Receitas!$M:$M,$B401)</f>
        <v>0</v>
      </c>
      <c r="P401" s="18">
        <f>SUMIFS(Receitas!$F:$F,Receitas!$J:$J,"&lt;="&amp;$A401,Receitas!$L:$L,"&gt;="&amp;$A401,Receitas!$C:$C,P$1,Receitas!$M:$M,"Mensal")+SUMIFS(Receitas!$F:$F,Receitas!$J:$J,"&lt;="&amp;$A401,Receitas!$L:$L,"&gt;="&amp;$A401,Receitas!$C:$C,P$1,Receitas!$M:$M,$B401)</f>
        <v>0</v>
      </c>
      <c r="Q401" s="18">
        <f>SUMIFS(Receitas!$F:$F,Receitas!$J:$J,"&lt;="&amp;$A401,Receitas!$L:$L,"&gt;="&amp;$A401,Receitas!$C:$C,Q$1,Receitas!$M:$M,"Mensal")+SUMIFS(Receitas!$F:$F,Receitas!$J:$J,"&lt;="&amp;$A401,Receitas!$L:$L,"&gt;="&amp;$A401,Receitas!$C:$C,Q$1,Receitas!$M:$M,$B401)</f>
        <v>0</v>
      </c>
      <c r="R401" s="18" cm="1">
        <f t="array" ref="R401">(IF(AND(Membros!$F$2="Sim",A401&lt;=MAX(Membros!$E$2:$E$5)),Membros!K$2,IF(AND(A401&gt;=Membros!J$2,A401&lt;=MAX(Membros!$E$2:$E$5)),Membros!K$2,0))+IF(AND(Membros!$F$3="Sim",A401&lt;=MAX(Membros!$E$2:$E$5)),Membros!K$3,IF(AND(A401&gt;=Membros!J$3,A401&lt;=MAX(Membros!$E$2:$E$5)),Membros!K$3,0)))*IF(AND(COUNTIFS(Tabela3[Tipo],"Provedor",Tabela3[Simulação Seguro],"Sim")=2,A401&gt;=MAX(IF(Tabela3[Tipo]="Dependente",Tabela3[Expectativa de Vida (Data)]))),0,1)</f>
        <v>10000</v>
      </c>
      <c r="S401" s="18">
        <f t="shared" si="54"/>
        <v>10000</v>
      </c>
      <c r="U401" s="18">
        <f t="shared" ca="1" si="57"/>
        <v>26012868.758640483</v>
      </c>
      <c r="V401" s="18">
        <f>SUMIF(Imóveis!E:E,Dados!A:A,Imóveis!Z:Z)-SUMIF(Imóveis!E:E,Dados!A:A,Imóveis!Y:Y)</f>
        <v>0</v>
      </c>
      <c r="W401" s="18">
        <f>-SUMIF(Projetos!N:N,A401,Projetos!F:F)</f>
        <v>0</v>
      </c>
      <c r="X401" s="18">
        <f t="shared" si="51"/>
        <v>-27000</v>
      </c>
      <c r="Y401" s="26">
        <f ca="1">(U401*((Indicadores_Economicos!D$2+1)^(1/12)-1))</f>
        <v>85159.363304280647</v>
      </c>
      <c r="Z401" s="18">
        <f t="shared" ca="1" si="55"/>
        <v>26071028.121944763</v>
      </c>
      <c r="AA401" s="18">
        <f ca="1">Auxiliar_Projetos!E401</f>
        <v>1.4406356353572434E-9</v>
      </c>
      <c r="AB401" s="18">
        <f ca="1">Auxiliar_Projetos!K401</f>
        <v>1.108181257967109E-9</v>
      </c>
      <c r="AC401" s="18">
        <f ca="1">IF(Z401-AA401-AB401&gt;Investimentos!$C$14,Investimentos!$C$14,IF(Z401-AA401-AB401&lt;Investimentos!$C$14,Z401-AA401-AB401,0))</f>
        <v>300000</v>
      </c>
      <c r="AD401" s="18">
        <f t="shared" ca="1" si="56"/>
        <v>25771028.121944763</v>
      </c>
      <c r="AE401" s="18"/>
    </row>
    <row r="402" spans="1:31" x14ac:dyDescent="0.2">
      <c r="A402" s="4">
        <v>57831</v>
      </c>
      <c r="B402" s="5" t="str">
        <f t="shared" si="52"/>
        <v>maio</v>
      </c>
      <c r="C402" s="5" t="str">
        <f t="shared" si="50"/>
        <v>2058</v>
      </c>
      <c r="D402" s="5">
        <f>SUMIFS(Despesas!$F:$F,Despesas!$J:$J,"&lt;="&amp;$A402,Despesas!$L:$L,"&gt;="&amp;$A402,Despesas!$C:$C,D$1,Despesas!$M:$M,"Mensal")+SUMIFS(Despesas!$F:$F,Despesas!$J:$J,"&lt;="&amp;$A402,Despesas!$L:$L,"&gt;="&amp;$A402,Despesas!$C:$C,D$1,Despesas!$M:$M,$B402)</f>
        <v>23000</v>
      </c>
      <c r="E402" s="18">
        <f>SUMIFS(Despesas!$F:$F,Despesas!$J:$J,"&lt;="&amp;$A402,Despesas!$L:$L,"&gt;="&amp;$A402,Despesas!$C:$C,E$1,Despesas!$M:$M,"Mensal")+SUMIFS(Despesas!$F:$F,Despesas!$J:$J,"&lt;="&amp;$A402,Despesas!$L:$L,"&gt;="&amp;$A402,Despesas!$C:$C,E$1,Despesas!$M:$M,$B402)</f>
        <v>0</v>
      </c>
      <c r="F402" s="5">
        <f>SUMIFS(Despesas!$F:$F,Despesas!$J:$J,"&lt;="&amp;$A402,Despesas!$L:$L,"&gt;="&amp;$A402,Despesas!$C:$C,F$1,Despesas!$M:$M,"Mensal")+SUMIFS(Despesas!$F:$F,Despesas!$J:$J,"&lt;="&amp;$A402,Despesas!$L:$L,"&gt;="&amp;$A402,Despesas!$C:$C,F$1,Despesas!$M:$M,$B402)</f>
        <v>13000</v>
      </c>
      <c r="G402" s="5">
        <f>SUMIFS(Despesas!$F:$F,Despesas!$J:$J,"&lt;="&amp;$A402,Despesas!$L:$L,"&gt;="&amp;$A402,Despesas!$C:$C,G$1,Despesas!$M:$M,"Mensal")+SUMIFS(Despesas!$F:$F,Despesas!$J:$J,"&lt;="&amp;$A402,Despesas!$L:$L,"&gt;="&amp;$A402,Despesas!$C:$C,G$1,Despesas!$M:$M,$B402)</f>
        <v>0</v>
      </c>
      <c r="H402" s="18">
        <f>SUMIFS(Despesas!$F:$F,Despesas!$J:$J,"&lt;="&amp;$A402,Despesas!$L:$L,"&gt;="&amp;$A402,Despesas!$C:$C,H$1,Despesas!$M:$M,"Mensal")+SUMIFS(Despesas!$F:$F,Despesas!$J:$J,"&lt;="&amp;$A402,Despesas!$L:$L,"&gt;="&amp;$A402,Despesas!$C:$C,H$1,Despesas!$M:$M,$B402)</f>
        <v>1000</v>
      </c>
      <c r="I402" s="18">
        <f>IF(Imóveis!$F$2="PRICE",IF(AND(Dados!$A402&gt;=Imóveis!$Q$2,Dados!$A402&lt;=Imóveis!$T$2),Imóveis!$U$2,0),IF((IF(AND(Dados!$A402&gt;=Imóveis!$Q$2,Dados!$A402&lt;=Imóveis!$T$2),Imóveis!$S$2-(DATEDIF(Imóveis!$Q$2,Dados!$A402,"m")),0))=0,0,((Imóveis!$N$2/Imóveis!$S$2)+((Imóveis!$N$2-((Imóveis!$S$2-(IF(AND(Dados!$A402&gt;=Imóveis!$Q$2,Dados!$A402&lt;=Imóveis!$T$2),Imóveis!$S$2-(DATEDIF(Imóveis!$Q$2,Dados!$A402,"m")),)))*(Imóveis!$N$2/Imóveis!$S$2)))*Imóveis!$P$2))))*IF(AND(Imóveis!$E$2&gt;0,Dados!$A402&gt;Imóveis!$E$2),0,1)</f>
        <v>0</v>
      </c>
      <c r="J402" s="18">
        <f>IF(Imóveis!$F$3="PRICE",IF(AND(Dados!$A402&gt;=Imóveis!$Q$3,Dados!$A402&lt;=Imóveis!$T$3),Imóveis!$U$3,0),IF((IF(AND(Dados!$A402&gt;=Imóveis!$Q$3,Dados!$A402&lt;=Imóveis!$T$3),Imóveis!$S$3-(DATEDIF(Imóveis!$Q$3,Dados!$A402,"m")),0))=0,0,((Imóveis!$N$3/Imóveis!$S$3)+((Imóveis!$N$3-((Imóveis!$S$3-(IF(AND(Dados!$A402&gt;=Imóveis!$Q$3,Dados!$A402&lt;=Imóveis!$T$3),Imóveis!$S$3-(DATEDIF(Imóveis!$Q$3,Dados!$A402,"m")),)))*(Imóveis!$N$3/Imóveis!$S$3)))*Imóveis!$P$3))))*IF(AND(Imóveis!$E$3&gt;0,Dados!$A402&gt;Imóveis!$E$3),0,1)</f>
        <v>0</v>
      </c>
      <c r="K402" s="18">
        <f>IF(Imóveis!$F$4="PRICE",IF(AND(Dados!$A402&gt;=Imóveis!$Q$4,Dados!$A402&lt;=Imóveis!$T$4),Imóveis!$U$4,0),IF((IF(AND(Dados!$A402&gt;=Imóveis!$Q$4,Dados!$A402&lt;=Imóveis!$T$4),Imóveis!$S$4-(DATEDIF(Imóveis!$Q$4,Dados!$A402,"m")),0))=0,0,((Imóveis!$N$4/Imóveis!$S$4)+((Imóveis!$N$4-((Imóveis!$S$4-(IF(AND(Dados!$A402&gt;=Imóveis!$Q$4,Dados!$A402&lt;=Imóveis!$T$4),Imóveis!$S$4-(DATEDIF(Imóveis!$Q$4,Dados!$A402,"m")),)))*(Imóveis!$N$4/Imóveis!$S$4)))*Imóveis!$P$4))))*IF(AND(Imóveis!$E$4&gt;0,Dados!$A402&gt;Imóveis!$E$4),0,1)</f>
        <v>0</v>
      </c>
      <c r="L402" s="18">
        <f>IF(Imóveis!$F$5="PRICE",IF(AND(Dados!$A402&gt;=Imóveis!$Q$5,Dados!$A402&lt;=Imóveis!$T$5),Imóveis!$U$5,0),IF((IF(AND(Dados!$A402&gt;=Imóveis!$Q$5,Dados!$A402&lt;=Imóveis!$T$5),Imóveis!$S$5-(DATEDIF(Imóveis!$Q$5,Dados!$A402,"m")),0))=0,0,((Imóveis!$N$5/Imóveis!$S$5)+((Imóveis!$N$5-((Imóveis!$S$5-(IF(AND(Dados!$A402 &gt;=Imóveis!$Q$5,Dados!$A402&lt;=Imóveis!$T$5),Imóveis!$S$5-(DATEDIF(Imóveis!$Q$5,Dados!$A402,"m")),)))*(Imóveis!$N$5/Imóveis!$S$5)))*Imóveis!$P$5))))*IF(AND(Imóveis!$E$5&gt;0,Dados!$A402&gt;Imóveis!$E$5),0,1)*Imóveis!$I$5</f>
        <v>0</v>
      </c>
      <c r="M402" s="18">
        <f>IF(Imóveis!$F$6="PRICE",IF(AND(Dados!$A402&gt;=Imóveis!$Q$6,Dados!$A402&lt;=Imóveis!$T$6),Imóveis!$U$6,0),IF((IF(AND(Dados!$A402&gt;=Imóveis!$Q$6,Dados!$A402&lt;=Imóveis!$T$6),Imóveis!$S$6-(DATEDIF(Imóveis!$Q$6,Dados!$A402,"m")),0))=0,0,((Imóveis!$N$6/Imóveis!$S$6)+((Imóveis!$N$6-((Imóveis!$S$6-(IF(AND(Dados!$A402&gt;=Imóveis!$Q$6,Dados!$A402&lt;=Imóveis!$T$6),Imóveis!$S$6-(DATEDIF(Imóveis!$Q$6,Dados!$A402,"m")),)))*(Imóveis!$N$6/Imóveis!$S$6)))*Imóveis!$P$6))))*IF(AND(Imóveis!$E$6&gt;0,Dados!$A402&gt;Imóveis!$E$6),0,1)*Imóveis!$I$6</f>
        <v>0</v>
      </c>
      <c r="N402" s="18">
        <f t="shared" si="53"/>
        <v>37000</v>
      </c>
      <c r="O402" s="18">
        <f>SUMIFS(Receitas!$F:$F,Receitas!$J:$J,"&lt;="&amp;$A402,Receitas!$L:$L,"&gt;="&amp;$A402,Receitas!$C:$C,O$1,Receitas!$M:$M,"Mensal")+SUMIFS(Receitas!$F:$F,Receitas!$J:$J,"&lt;="&amp;$A402,Receitas!$L:$L,"&gt;="&amp;$A402,Receitas!$C:$C,O$1,Receitas!$M:$M,$B402)</f>
        <v>0</v>
      </c>
      <c r="P402" s="18">
        <f>SUMIFS(Receitas!$F:$F,Receitas!$J:$J,"&lt;="&amp;$A402,Receitas!$L:$L,"&gt;="&amp;$A402,Receitas!$C:$C,P$1,Receitas!$M:$M,"Mensal")+SUMIFS(Receitas!$F:$F,Receitas!$J:$J,"&lt;="&amp;$A402,Receitas!$L:$L,"&gt;="&amp;$A402,Receitas!$C:$C,P$1,Receitas!$M:$M,$B402)</f>
        <v>0</v>
      </c>
      <c r="Q402" s="18">
        <f>SUMIFS(Receitas!$F:$F,Receitas!$J:$J,"&lt;="&amp;$A402,Receitas!$L:$L,"&gt;="&amp;$A402,Receitas!$C:$C,Q$1,Receitas!$M:$M,"Mensal")+SUMIFS(Receitas!$F:$F,Receitas!$J:$J,"&lt;="&amp;$A402,Receitas!$L:$L,"&gt;="&amp;$A402,Receitas!$C:$C,Q$1,Receitas!$M:$M,$B402)</f>
        <v>0</v>
      </c>
      <c r="R402" s="18" cm="1">
        <f t="array" ref="R402">(IF(AND(Membros!$F$2="Sim",A402&lt;=MAX(Membros!$E$2:$E$5)),Membros!K$2,IF(AND(A402&gt;=Membros!J$2,A402&lt;=MAX(Membros!$E$2:$E$5)),Membros!K$2,0))+IF(AND(Membros!$F$3="Sim",A402&lt;=MAX(Membros!$E$2:$E$5)),Membros!K$3,IF(AND(A402&gt;=Membros!J$3,A402&lt;=MAX(Membros!$E$2:$E$5)),Membros!K$3,0)))*IF(AND(COUNTIFS(Tabela3[Tipo],"Provedor",Tabela3[Simulação Seguro],"Sim")=2,A402&gt;=MAX(IF(Tabela3[Tipo]="Dependente",Tabela3[Expectativa de Vida (Data)]))),0,1)</f>
        <v>10000</v>
      </c>
      <c r="S402" s="18">
        <f t="shared" si="54"/>
        <v>10000</v>
      </c>
      <c r="U402" s="18">
        <f t="shared" ca="1" si="57"/>
        <v>26071028.121944763</v>
      </c>
      <c r="V402" s="18">
        <f>SUMIF(Imóveis!E:E,Dados!A:A,Imóveis!Z:Z)-SUMIF(Imóveis!E:E,Dados!A:A,Imóveis!Y:Y)</f>
        <v>0</v>
      </c>
      <c r="W402" s="18">
        <f>-SUMIF(Projetos!N:N,A402,Projetos!F:F)</f>
        <v>0</v>
      </c>
      <c r="X402" s="18">
        <f t="shared" si="51"/>
        <v>-27000</v>
      </c>
      <c r="Y402" s="26">
        <f ca="1">(U402*((Indicadores_Economicos!D$2+1)^(1/12)-1))</f>
        <v>85349.761925637227</v>
      </c>
      <c r="Z402" s="18">
        <f t="shared" ca="1" si="55"/>
        <v>26129377.8838704</v>
      </c>
      <c r="AA402" s="18">
        <f ca="1">Auxiliar_Projetos!E402</f>
        <v>1.4453519015483659E-9</v>
      </c>
      <c r="AB402" s="18">
        <f ca="1">Auxiliar_Projetos!K402</f>
        <v>1.111809155037203E-9</v>
      </c>
      <c r="AC402" s="18">
        <f ca="1">IF(Z402-AA402-AB402&gt;Investimentos!$C$14,Investimentos!$C$14,IF(Z402-AA402-AB402&lt;Investimentos!$C$14,Z402-AA402-AB402,0))</f>
        <v>300000</v>
      </c>
      <c r="AD402" s="18">
        <f t="shared" ca="1" si="56"/>
        <v>25829377.8838704</v>
      </c>
      <c r="AE402" s="18"/>
    </row>
    <row r="403" spans="1:31" x14ac:dyDescent="0.2">
      <c r="A403" s="4">
        <v>57862</v>
      </c>
      <c r="B403" s="5" t="str">
        <f t="shared" si="52"/>
        <v>junho</v>
      </c>
      <c r="C403" s="5" t="str">
        <f t="shared" si="50"/>
        <v>2058</v>
      </c>
      <c r="D403" s="5">
        <f>SUMIFS(Despesas!$F:$F,Despesas!$J:$J,"&lt;="&amp;$A403,Despesas!$L:$L,"&gt;="&amp;$A403,Despesas!$C:$C,D$1,Despesas!$M:$M,"Mensal")+SUMIFS(Despesas!$F:$F,Despesas!$J:$J,"&lt;="&amp;$A403,Despesas!$L:$L,"&gt;="&amp;$A403,Despesas!$C:$C,D$1,Despesas!$M:$M,$B403)</f>
        <v>23000</v>
      </c>
      <c r="E403" s="18">
        <f>SUMIFS(Despesas!$F:$F,Despesas!$J:$J,"&lt;="&amp;$A403,Despesas!$L:$L,"&gt;="&amp;$A403,Despesas!$C:$C,E$1,Despesas!$M:$M,"Mensal")+SUMIFS(Despesas!$F:$F,Despesas!$J:$J,"&lt;="&amp;$A403,Despesas!$L:$L,"&gt;="&amp;$A403,Despesas!$C:$C,E$1,Despesas!$M:$M,$B403)</f>
        <v>0</v>
      </c>
      <c r="F403" s="5">
        <f>SUMIFS(Despesas!$F:$F,Despesas!$J:$J,"&lt;="&amp;$A403,Despesas!$L:$L,"&gt;="&amp;$A403,Despesas!$C:$C,F$1,Despesas!$M:$M,"Mensal")+SUMIFS(Despesas!$F:$F,Despesas!$J:$J,"&lt;="&amp;$A403,Despesas!$L:$L,"&gt;="&amp;$A403,Despesas!$C:$C,F$1,Despesas!$M:$M,$B403)</f>
        <v>13000</v>
      </c>
      <c r="G403" s="5">
        <f>SUMIFS(Despesas!$F:$F,Despesas!$J:$J,"&lt;="&amp;$A403,Despesas!$L:$L,"&gt;="&amp;$A403,Despesas!$C:$C,G$1,Despesas!$M:$M,"Mensal")+SUMIFS(Despesas!$F:$F,Despesas!$J:$J,"&lt;="&amp;$A403,Despesas!$L:$L,"&gt;="&amp;$A403,Despesas!$C:$C,G$1,Despesas!$M:$M,$B403)</f>
        <v>0</v>
      </c>
      <c r="H403" s="18">
        <f>SUMIFS(Despesas!$F:$F,Despesas!$J:$J,"&lt;="&amp;$A403,Despesas!$L:$L,"&gt;="&amp;$A403,Despesas!$C:$C,H$1,Despesas!$M:$M,"Mensal")+SUMIFS(Despesas!$F:$F,Despesas!$J:$J,"&lt;="&amp;$A403,Despesas!$L:$L,"&gt;="&amp;$A403,Despesas!$C:$C,H$1,Despesas!$M:$M,$B403)</f>
        <v>1000</v>
      </c>
      <c r="I403" s="18">
        <f>IF(Imóveis!$F$2="PRICE",IF(AND(Dados!$A403&gt;=Imóveis!$Q$2,Dados!$A403&lt;=Imóveis!$T$2),Imóveis!$U$2,0),IF((IF(AND(Dados!$A403&gt;=Imóveis!$Q$2,Dados!$A403&lt;=Imóveis!$T$2),Imóveis!$S$2-(DATEDIF(Imóveis!$Q$2,Dados!$A403,"m")),0))=0,0,((Imóveis!$N$2/Imóveis!$S$2)+((Imóveis!$N$2-((Imóveis!$S$2-(IF(AND(Dados!$A403&gt;=Imóveis!$Q$2,Dados!$A403&lt;=Imóveis!$T$2),Imóveis!$S$2-(DATEDIF(Imóveis!$Q$2,Dados!$A403,"m")),)))*(Imóveis!$N$2/Imóveis!$S$2)))*Imóveis!$P$2))))*IF(AND(Imóveis!$E$2&gt;0,Dados!$A403&gt;Imóveis!$E$2),0,1)</f>
        <v>0</v>
      </c>
      <c r="J403" s="18">
        <f>IF(Imóveis!$F$3="PRICE",IF(AND(Dados!$A403&gt;=Imóveis!$Q$3,Dados!$A403&lt;=Imóveis!$T$3),Imóveis!$U$3,0),IF((IF(AND(Dados!$A403&gt;=Imóveis!$Q$3,Dados!$A403&lt;=Imóveis!$T$3),Imóveis!$S$3-(DATEDIF(Imóveis!$Q$3,Dados!$A403,"m")),0))=0,0,((Imóveis!$N$3/Imóveis!$S$3)+((Imóveis!$N$3-((Imóveis!$S$3-(IF(AND(Dados!$A403&gt;=Imóveis!$Q$3,Dados!$A403&lt;=Imóveis!$T$3),Imóveis!$S$3-(DATEDIF(Imóveis!$Q$3,Dados!$A403,"m")),)))*(Imóveis!$N$3/Imóveis!$S$3)))*Imóveis!$P$3))))*IF(AND(Imóveis!$E$3&gt;0,Dados!$A403&gt;Imóveis!$E$3),0,1)</f>
        <v>0</v>
      </c>
      <c r="K403" s="18">
        <f>IF(Imóveis!$F$4="PRICE",IF(AND(Dados!$A403&gt;=Imóveis!$Q$4,Dados!$A403&lt;=Imóveis!$T$4),Imóveis!$U$4,0),IF((IF(AND(Dados!$A403&gt;=Imóveis!$Q$4,Dados!$A403&lt;=Imóveis!$T$4),Imóveis!$S$4-(DATEDIF(Imóveis!$Q$4,Dados!$A403,"m")),0))=0,0,((Imóveis!$N$4/Imóveis!$S$4)+((Imóveis!$N$4-((Imóveis!$S$4-(IF(AND(Dados!$A403&gt;=Imóveis!$Q$4,Dados!$A403&lt;=Imóveis!$T$4),Imóveis!$S$4-(DATEDIF(Imóveis!$Q$4,Dados!$A403,"m")),)))*(Imóveis!$N$4/Imóveis!$S$4)))*Imóveis!$P$4))))*IF(AND(Imóveis!$E$4&gt;0,Dados!$A403&gt;Imóveis!$E$4),0,1)</f>
        <v>0</v>
      </c>
      <c r="L403" s="18">
        <f>IF(Imóveis!$F$5="PRICE",IF(AND(Dados!$A403&gt;=Imóveis!$Q$5,Dados!$A403&lt;=Imóveis!$T$5),Imóveis!$U$5,0),IF((IF(AND(Dados!$A403&gt;=Imóveis!$Q$5,Dados!$A403&lt;=Imóveis!$T$5),Imóveis!$S$5-(DATEDIF(Imóveis!$Q$5,Dados!$A403,"m")),0))=0,0,((Imóveis!$N$5/Imóveis!$S$5)+((Imóveis!$N$5-((Imóveis!$S$5-(IF(AND(Dados!$A403 &gt;=Imóveis!$Q$5,Dados!$A403&lt;=Imóveis!$T$5),Imóveis!$S$5-(DATEDIF(Imóveis!$Q$5,Dados!$A403,"m")),)))*(Imóveis!$N$5/Imóveis!$S$5)))*Imóveis!$P$5))))*IF(AND(Imóveis!$E$5&gt;0,Dados!$A403&gt;Imóveis!$E$5),0,1)*Imóveis!$I$5</f>
        <v>0</v>
      </c>
      <c r="M403" s="18">
        <f>IF(Imóveis!$F$6="PRICE",IF(AND(Dados!$A403&gt;=Imóveis!$Q$6,Dados!$A403&lt;=Imóveis!$T$6),Imóveis!$U$6,0),IF((IF(AND(Dados!$A403&gt;=Imóveis!$Q$6,Dados!$A403&lt;=Imóveis!$T$6),Imóveis!$S$6-(DATEDIF(Imóveis!$Q$6,Dados!$A403,"m")),0))=0,0,((Imóveis!$N$6/Imóveis!$S$6)+((Imóveis!$N$6-((Imóveis!$S$6-(IF(AND(Dados!$A403&gt;=Imóveis!$Q$6,Dados!$A403&lt;=Imóveis!$T$6),Imóveis!$S$6-(DATEDIF(Imóveis!$Q$6,Dados!$A403,"m")),)))*(Imóveis!$N$6/Imóveis!$S$6)))*Imóveis!$P$6))))*IF(AND(Imóveis!$E$6&gt;0,Dados!$A403&gt;Imóveis!$E$6),0,1)*Imóveis!$I$6</f>
        <v>0</v>
      </c>
      <c r="N403" s="18">
        <f t="shared" si="53"/>
        <v>37000</v>
      </c>
      <c r="O403" s="18">
        <f>SUMIFS(Receitas!$F:$F,Receitas!$J:$J,"&lt;="&amp;$A403,Receitas!$L:$L,"&gt;="&amp;$A403,Receitas!$C:$C,O$1,Receitas!$M:$M,"Mensal")+SUMIFS(Receitas!$F:$F,Receitas!$J:$J,"&lt;="&amp;$A403,Receitas!$L:$L,"&gt;="&amp;$A403,Receitas!$C:$C,O$1,Receitas!$M:$M,$B403)</f>
        <v>0</v>
      </c>
      <c r="P403" s="18">
        <f>SUMIFS(Receitas!$F:$F,Receitas!$J:$J,"&lt;="&amp;$A403,Receitas!$L:$L,"&gt;="&amp;$A403,Receitas!$C:$C,P$1,Receitas!$M:$M,"Mensal")+SUMIFS(Receitas!$F:$F,Receitas!$J:$J,"&lt;="&amp;$A403,Receitas!$L:$L,"&gt;="&amp;$A403,Receitas!$C:$C,P$1,Receitas!$M:$M,$B403)</f>
        <v>0</v>
      </c>
      <c r="Q403" s="18">
        <f>SUMIFS(Receitas!$F:$F,Receitas!$J:$J,"&lt;="&amp;$A403,Receitas!$L:$L,"&gt;="&amp;$A403,Receitas!$C:$C,Q$1,Receitas!$M:$M,"Mensal")+SUMIFS(Receitas!$F:$F,Receitas!$J:$J,"&lt;="&amp;$A403,Receitas!$L:$L,"&gt;="&amp;$A403,Receitas!$C:$C,Q$1,Receitas!$M:$M,$B403)</f>
        <v>0</v>
      </c>
      <c r="R403" s="18" cm="1">
        <f t="array" ref="R403">(IF(AND(Membros!$F$2="Sim",A403&lt;=MAX(Membros!$E$2:$E$5)),Membros!K$2,IF(AND(A403&gt;=Membros!J$2,A403&lt;=MAX(Membros!$E$2:$E$5)),Membros!K$2,0))+IF(AND(Membros!$F$3="Sim",A403&lt;=MAX(Membros!$E$2:$E$5)),Membros!K$3,IF(AND(A403&gt;=Membros!J$3,A403&lt;=MAX(Membros!$E$2:$E$5)),Membros!K$3,0)))*IF(AND(COUNTIFS(Tabela3[Tipo],"Provedor",Tabela3[Simulação Seguro],"Sim")=2,A403&gt;=MAX(IF(Tabela3[Tipo]="Dependente",Tabela3[Expectativa de Vida (Data)]))),0,1)</f>
        <v>10000</v>
      </c>
      <c r="S403" s="18">
        <f t="shared" si="54"/>
        <v>10000</v>
      </c>
      <c r="U403" s="18">
        <f t="shared" ca="1" si="57"/>
        <v>26129377.8838704</v>
      </c>
      <c r="V403" s="18">
        <f>SUMIF(Imóveis!E:E,Dados!A:A,Imóveis!Z:Z)-SUMIF(Imóveis!E:E,Dados!A:A,Imóveis!Y:Y)</f>
        <v>0</v>
      </c>
      <c r="W403" s="18">
        <f>-SUMIF(Projetos!N:N,A403,Projetos!F:F)</f>
        <v>0</v>
      </c>
      <c r="X403" s="18">
        <f t="shared" si="51"/>
        <v>-27000</v>
      </c>
      <c r="Y403" s="26">
        <f ca="1">(U403*((Indicadores_Economicos!D$2+1)^(1/12)-1))</f>
        <v>85540.783862535012</v>
      </c>
      <c r="Z403" s="18">
        <f t="shared" ca="1" si="55"/>
        <v>26187918.667732935</v>
      </c>
      <c r="AA403" s="18">
        <f ca="1">Auxiliar_Projetos!E403</f>
        <v>1.4500836075677416E-9</v>
      </c>
      <c r="AB403" s="18">
        <f ca="1">Auxiliar_Projetos!K403</f>
        <v>1.1154489288982613E-9</v>
      </c>
      <c r="AC403" s="18">
        <f ca="1">IF(Z403-AA403-AB403&gt;Investimentos!$C$14,Investimentos!$C$14,IF(Z403-AA403-AB403&lt;Investimentos!$C$14,Z403-AA403-AB403,0))</f>
        <v>300000</v>
      </c>
      <c r="AD403" s="18">
        <f t="shared" ca="1" si="56"/>
        <v>25887918.667732935</v>
      </c>
      <c r="AE403" s="18"/>
    </row>
    <row r="404" spans="1:31" x14ac:dyDescent="0.2">
      <c r="A404" s="4">
        <v>57892</v>
      </c>
      <c r="B404" s="5" t="str">
        <f t="shared" si="52"/>
        <v>julho</v>
      </c>
      <c r="C404" s="5" t="str">
        <f t="shared" si="50"/>
        <v>2058</v>
      </c>
      <c r="D404" s="5">
        <f>SUMIFS(Despesas!$F:$F,Despesas!$J:$J,"&lt;="&amp;$A404,Despesas!$L:$L,"&gt;="&amp;$A404,Despesas!$C:$C,D$1,Despesas!$M:$M,"Mensal")+SUMIFS(Despesas!$F:$F,Despesas!$J:$J,"&lt;="&amp;$A404,Despesas!$L:$L,"&gt;="&amp;$A404,Despesas!$C:$C,D$1,Despesas!$M:$M,$B404)</f>
        <v>23000</v>
      </c>
      <c r="E404" s="18">
        <f>SUMIFS(Despesas!$F:$F,Despesas!$J:$J,"&lt;="&amp;$A404,Despesas!$L:$L,"&gt;="&amp;$A404,Despesas!$C:$C,E$1,Despesas!$M:$M,"Mensal")+SUMIFS(Despesas!$F:$F,Despesas!$J:$J,"&lt;="&amp;$A404,Despesas!$L:$L,"&gt;="&amp;$A404,Despesas!$C:$C,E$1,Despesas!$M:$M,$B404)</f>
        <v>0</v>
      </c>
      <c r="F404" s="5">
        <f>SUMIFS(Despesas!$F:$F,Despesas!$J:$J,"&lt;="&amp;$A404,Despesas!$L:$L,"&gt;="&amp;$A404,Despesas!$C:$C,F$1,Despesas!$M:$M,"Mensal")+SUMIFS(Despesas!$F:$F,Despesas!$J:$J,"&lt;="&amp;$A404,Despesas!$L:$L,"&gt;="&amp;$A404,Despesas!$C:$C,F$1,Despesas!$M:$M,$B404)</f>
        <v>13000</v>
      </c>
      <c r="G404" s="5">
        <f ca="1">SUMIFS(Despesas!$F:$F,Despesas!$J:$J,"&lt;="&amp;$A404,Despesas!$L:$L,"&gt;="&amp;$A404,Despesas!$C:$C,G$1,Despesas!$M:$M,"Mensal")+SUMIFS(Despesas!$F:$F,Despesas!$J:$J,"&lt;="&amp;$A404,Despesas!$L:$L,"&gt;="&amp;$A404,Despesas!$C:$C,G$1,Despesas!$M:$M,$B404)</f>
        <v>55757</v>
      </c>
      <c r="H404" s="18">
        <f>SUMIFS(Despesas!$F:$F,Despesas!$J:$J,"&lt;="&amp;$A404,Despesas!$L:$L,"&gt;="&amp;$A404,Despesas!$C:$C,H$1,Despesas!$M:$M,"Mensal")+SUMIFS(Despesas!$F:$F,Despesas!$J:$J,"&lt;="&amp;$A404,Despesas!$L:$L,"&gt;="&amp;$A404,Despesas!$C:$C,H$1,Despesas!$M:$M,$B404)</f>
        <v>1000</v>
      </c>
      <c r="I404" s="18">
        <f>IF(Imóveis!$F$2="PRICE",IF(AND(Dados!$A404&gt;=Imóveis!$Q$2,Dados!$A404&lt;=Imóveis!$T$2),Imóveis!$U$2,0),IF((IF(AND(Dados!$A404&gt;=Imóveis!$Q$2,Dados!$A404&lt;=Imóveis!$T$2),Imóveis!$S$2-(DATEDIF(Imóveis!$Q$2,Dados!$A404,"m")),0))=0,0,((Imóveis!$N$2/Imóveis!$S$2)+((Imóveis!$N$2-((Imóveis!$S$2-(IF(AND(Dados!$A404&gt;=Imóveis!$Q$2,Dados!$A404&lt;=Imóveis!$T$2),Imóveis!$S$2-(DATEDIF(Imóveis!$Q$2,Dados!$A404,"m")),)))*(Imóveis!$N$2/Imóveis!$S$2)))*Imóveis!$P$2))))*IF(AND(Imóveis!$E$2&gt;0,Dados!$A404&gt;Imóveis!$E$2),0,1)</f>
        <v>0</v>
      </c>
      <c r="J404" s="18">
        <f>IF(Imóveis!$F$3="PRICE",IF(AND(Dados!$A404&gt;=Imóveis!$Q$3,Dados!$A404&lt;=Imóveis!$T$3),Imóveis!$U$3,0),IF((IF(AND(Dados!$A404&gt;=Imóveis!$Q$3,Dados!$A404&lt;=Imóveis!$T$3),Imóveis!$S$3-(DATEDIF(Imóveis!$Q$3,Dados!$A404,"m")),0))=0,0,((Imóveis!$N$3/Imóveis!$S$3)+((Imóveis!$N$3-((Imóveis!$S$3-(IF(AND(Dados!$A404&gt;=Imóveis!$Q$3,Dados!$A404&lt;=Imóveis!$T$3),Imóveis!$S$3-(DATEDIF(Imóveis!$Q$3,Dados!$A404,"m")),)))*(Imóveis!$N$3/Imóveis!$S$3)))*Imóveis!$P$3))))*IF(AND(Imóveis!$E$3&gt;0,Dados!$A404&gt;Imóveis!$E$3),0,1)</f>
        <v>0</v>
      </c>
      <c r="K404" s="18">
        <f>IF(Imóveis!$F$4="PRICE",IF(AND(Dados!$A404&gt;=Imóveis!$Q$4,Dados!$A404&lt;=Imóveis!$T$4),Imóveis!$U$4,0),IF((IF(AND(Dados!$A404&gt;=Imóveis!$Q$4,Dados!$A404&lt;=Imóveis!$T$4),Imóveis!$S$4-(DATEDIF(Imóveis!$Q$4,Dados!$A404,"m")),0))=0,0,((Imóveis!$N$4/Imóveis!$S$4)+((Imóveis!$N$4-((Imóveis!$S$4-(IF(AND(Dados!$A404&gt;=Imóveis!$Q$4,Dados!$A404&lt;=Imóveis!$T$4),Imóveis!$S$4-(DATEDIF(Imóveis!$Q$4,Dados!$A404,"m")),)))*(Imóveis!$N$4/Imóveis!$S$4)))*Imóveis!$P$4))))*IF(AND(Imóveis!$E$4&gt;0,Dados!$A404&gt;Imóveis!$E$4),0,1)</f>
        <v>0</v>
      </c>
      <c r="L404" s="18">
        <f>IF(Imóveis!$F$5="PRICE",IF(AND(Dados!$A404&gt;=Imóveis!$Q$5,Dados!$A404&lt;=Imóveis!$T$5),Imóveis!$U$5,0),IF((IF(AND(Dados!$A404&gt;=Imóveis!$Q$5,Dados!$A404&lt;=Imóveis!$T$5),Imóveis!$S$5-(DATEDIF(Imóveis!$Q$5,Dados!$A404,"m")),0))=0,0,((Imóveis!$N$5/Imóveis!$S$5)+((Imóveis!$N$5-((Imóveis!$S$5-(IF(AND(Dados!$A404 &gt;=Imóveis!$Q$5,Dados!$A404&lt;=Imóveis!$T$5),Imóveis!$S$5-(DATEDIF(Imóveis!$Q$5,Dados!$A404,"m")),)))*(Imóveis!$N$5/Imóveis!$S$5)))*Imóveis!$P$5))))*IF(AND(Imóveis!$E$5&gt;0,Dados!$A404&gt;Imóveis!$E$5),0,1)*Imóveis!$I$5</f>
        <v>0</v>
      </c>
      <c r="M404" s="18">
        <f>IF(Imóveis!$F$6="PRICE",IF(AND(Dados!$A404&gt;=Imóveis!$Q$6,Dados!$A404&lt;=Imóveis!$T$6),Imóveis!$U$6,0),IF((IF(AND(Dados!$A404&gt;=Imóveis!$Q$6,Dados!$A404&lt;=Imóveis!$T$6),Imóveis!$S$6-(DATEDIF(Imóveis!$Q$6,Dados!$A404,"m")),0))=0,0,((Imóveis!$N$6/Imóveis!$S$6)+((Imóveis!$N$6-((Imóveis!$S$6-(IF(AND(Dados!$A404&gt;=Imóveis!$Q$6,Dados!$A404&lt;=Imóveis!$T$6),Imóveis!$S$6-(DATEDIF(Imóveis!$Q$6,Dados!$A404,"m")),)))*(Imóveis!$N$6/Imóveis!$S$6)))*Imóveis!$P$6))))*IF(AND(Imóveis!$E$6&gt;0,Dados!$A404&gt;Imóveis!$E$6),0,1)*Imóveis!$I$6</f>
        <v>0</v>
      </c>
      <c r="N404" s="18">
        <f t="shared" ca="1" si="53"/>
        <v>92757</v>
      </c>
      <c r="O404" s="18">
        <f>SUMIFS(Receitas!$F:$F,Receitas!$J:$J,"&lt;="&amp;$A404,Receitas!$L:$L,"&gt;="&amp;$A404,Receitas!$C:$C,O$1,Receitas!$M:$M,"Mensal")+SUMIFS(Receitas!$F:$F,Receitas!$J:$J,"&lt;="&amp;$A404,Receitas!$L:$L,"&gt;="&amp;$A404,Receitas!$C:$C,O$1,Receitas!$M:$M,$B404)</f>
        <v>0</v>
      </c>
      <c r="P404" s="18">
        <f>SUMIFS(Receitas!$F:$F,Receitas!$J:$J,"&lt;="&amp;$A404,Receitas!$L:$L,"&gt;="&amp;$A404,Receitas!$C:$C,P$1,Receitas!$M:$M,"Mensal")+SUMIFS(Receitas!$F:$F,Receitas!$J:$J,"&lt;="&amp;$A404,Receitas!$L:$L,"&gt;="&amp;$A404,Receitas!$C:$C,P$1,Receitas!$M:$M,$B404)</f>
        <v>0</v>
      </c>
      <c r="Q404" s="18">
        <f>SUMIFS(Receitas!$F:$F,Receitas!$J:$J,"&lt;="&amp;$A404,Receitas!$L:$L,"&gt;="&amp;$A404,Receitas!$C:$C,Q$1,Receitas!$M:$M,"Mensal")+SUMIFS(Receitas!$F:$F,Receitas!$J:$J,"&lt;="&amp;$A404,Receitas!$L:$L,"&gt;="&amp;$A404,Receitas!$C:$C,Q$1,Receitas!$M:$M,$B404)</f>
        <v>0</v>
      </c>
      <c r="R404" s="18" cm="1">
        <f t="array" ref="R404">(IF(AND(Membros!$F$2="Sim",A404&lt;=MAX(Membros!$E$2:$E$5)),Membros!K$2,IF(AND(A404&gt;=Membros!J$2,A404&lt;=MAX(Membros!$E$2:$E$5)),Membros!K$2,0))+IF(AND(Membros!$F$3="Sim",A404&lt;=MAX(Membros!$E$2:$E$5)),Membros!K$3,IF(AND(A404&gt;=Membros!J$3,A404&lt;=MAX(Membros!$E$2:$E$5)),Membros!K$3,0)))*IF(AND(COUNTIFS(Tabela3[Tipo],"Provedor",Tabela3[Simulação Seguro],"Sim")=2,A404&gt;=MAX(IF(Tabela3[Tipo]="Dependente",Tabela3[Expectativa de Vida (Data)]))),0,1)</f>
        <v>10000</v>
      </c>
      <c r="S404" s="18">
        <f t="shared" si="54"/>
        <v>10000</v>
      </c>
      <c r="U404" s="18">
        <f t="shared" ca="1" si="57"/>
        <v>26187918.667732935</v>
      </c>
      <c r="V404" s="18">
        <f>SUMIF(Imóveis!E:E,Dados!A:A,Imóveis!Z:Z)-SUMIF(Imóveis!E:E,Dados!A:A,Imóveis!Y:Y)</f>
        <v>0</v>
      </c>
      <c r="W404" s="18">
        <f>-SUMIF(Projetos!N:N,A404,Projetos!F:F)</f>
        <v>0</v>
      </c>
      <c r="X404" s="18">
        <f t="shared" ca="1" si="51"/>
        <v>-82757</v>
      </c>
      <c r="Y404" s="26">
        <f ca="1">(U404*((Indicadores_Economicos!D$2+1)^(1/12)-1))</f>
        <v>85732.431155546903</v>
      </c>
      <c r="Z404" s="18">
        <f t="shared" ca="1" si="55"/>
        <v>26190894.098888483</v>
      </c>
      <c r="AA404" s="18">
        <f ca="1">Auxiliar_Projetos!E404</f>
        <v>1.4548308039613507E-9</v>
      </c>
      <c r="AB404" s="18">
        <f ca="1">Auxiliar_Projetos!K404</f>
        <v>1.1191006184318067E-9</v>
      </c>
      <c r="AC404" s="18">
        <f ca="1">IF(Z404-AA404-AB404&gt;Investimentos!$C$14,Investimentos!$C$14,IF(Z404-AA404-AB404&lt;Investimentos!$C$14,Z404-AA404-AB404,0))</f>
        <v>300000</v>
      </c>
      <c r="AD404" s="18">
        <f t="shared" ca="1" si="56"/>
        <v>25890894.098888483</v>
      </c>
      <c r="AE404" s="18"/>
    </row>
    <row r="405" spans="1:31" x14ac:dyDescent="0.2">
      <c r="A405" s="4">
        <v>57923</v>
      </c>
      <c r="B405" s="5" t="str">
        <f t="shared" si="52"/>
        <v>agosto</v>
      </c>
      <c r="C405" s="5" t="str">
        <f t="shared" si="50"/>
        <v>2058</v>
      </c>
      <c r="D405" s="5">
        <f>SUMIFS(Despesas!$F:$F,Despesas!$J:$J,"&lt;="&amp;$A405,Despesas!$L:$L,"&gt;="&amp;$A405,Despesas!$C:$C,D$1,Despesas!$M:$M,"Mensal")+SUMIFS(Despesas!$F:$F,Despesas!$J:$J,"&lt;="&amp;$A405,Despesas!$L:$L,"&gt;="&amp;$A405,Despesas!$C:$C,D$1,Despesas!$M:$M,$B405)</f>
        <v>23000</v>
      </c>
      <c r="E405" s="18">
        <f>SUMIFS(Despesas!$F:$F,Despesas!$J:$J,"&lt;="&amp;$A405,Despesas!$L:$L,"&gt;="&amp;$A405,Despesas!$C:$C,E$1,Despesas!$M:$M,"Mensal")+SUMIFS(Despesas!$F:$F,Despesas!$J:$J,"&lt;="&amp;$A405,Despesas!$L:$L,"&gt;="&amp;$A405,Despesas!$C:$C,E$1,Despesas!$M:$M,$B405)</f>
        <v>0</v>
      </c>
      <c r="F405" s="5">
        <f>SUMIFS(Despesas!$F:$F,Despesas!$J:$J,"&lt;="&amp;$A405,Despesas!$L:$L,"&gt;="&amp;$A405,Despesas!$C:$C,F$1,Despesas!$M:$M,"Mensal")+SUMIFS(Despesas!$F:$F,Despesas!$J:$J,"&lt;="&amp;$A405,Despesas!$L:$L,"&gt;="&amp;$A405,Despesas!$C:$C,F$1,Despesas!$M:$M,$B405)</f>
        <v>13000</v>
      </c>
      <c r="G405" s="5">
        <f>SUMIFS(Despesas!$F:$F,Despesas!$J:$J,"&lt;="&amp;$A405,Despesas!$L:$L,"&gt;="&amp;$A405,Despesas!$C:$C,G$1,Despesas!$M:$M,"Mensal")+SUMIFS(Despesas!$F:$F,Despesas!$J:$J,"&lt;="&amp;$A405,Despesas!$L:$L,"&gt;="&amp;$A405,Despesas!$C:$C,G$1,Despesas!$M:$M,$B405)</f>
        <v>0</v>
      </c>
      <c r="H405" s="18">
        <f>SUMIFS(Despesas!$F:$F,Despesas!$J:$J,"&lt;="&amp;$A405,Despesas!$L:$L,"&gt;="&amp;$A405,Despesas!$C:$C,H$1,Despesas!$M:$M,"Mensal")+SUMIFS(Despesas!$F:$F,Despesas!$J:$J,"&lt;="&amp;$A405,Despesas!$L:$L,"&gt;="&amp;$A405,Despesas!$C:$C,H$1,Despesas!$M:$M,$B405)</f>
        <v>1000</v>
      </c>
      <c r="I405" s="18">
        <f>IF(Imóveis!$F$2="PRICE",IF(AND(Dados!$A405&gt;=Imóveis!$Q$2,Dados!$A405&lt;=Imóveis!$T$2),Imóveis!$U$2,0),IF((IF(AND(Dados!$A405&gt;=Imóveis!$Q$2,Dados!$A405&lt;=Imóveis!$T$2),Imóveis!$S$2-(DATEDIF(Imóveis!$Q$2,Dados!$A405,"m")),0))=0,0,((Imóveis!$N$2/Imóveis!$S$2)+((Imóveis!$N$2-((Imóveis!$S$2-(IF(AND(Dados!$A405&gt;=Imóveis!$Q$2,Dados!$A405&lt;=Imóveis!$T$2),Imóveis!$S$2-(DATEDIF(Imóveis!$Q$2,Dados!$A405,"m")),)))*(Imóveis!$N$2/Imóveis!$S$2)))*Imóveis!$P$2))))*IF(AND(Imóveis!$E$2&gt;0,Dados!$A405&gt;Imóveis!$E$2),0,1)</f>
        <v>0</v>
      </c>
      <c r="J405" s="18">
        <f>IF(Imóveis!$F$3="PRICE",IF(AND(Dados!$A405&gt;=Imóveis!$Q$3,Dados!$A405&lt;=Imóveis!$T$3),Imóveis!$U$3,0),IF((IF(AND(Dados!$A405&gt;=Imóveis!$Q$3,Dados!$A405&lt;=Imóveis!$T$3),Imóveis!$S$3-(DATEDIF(Imóveis!$Q$3,Dados!$A405,"m")),0))=0,0,((Imóveis!$N$3/Imóveis!$S$3)+((Imóveis!$N$3-((Imóveis!$S$3-(IF(AND(Dados!$A405&gt;=Imóveis!$Q$3,Dados!$A405&lt;=Imóveis!$T$3),Imóveis!$S$3-(DATEDIF(Imóveis!$Q$3,Dados!$A405,"m")),)))*(Imóveis!$N$3/Imóveis!$S$3)))*Imóveis!$P$3))))*IF(AND(Imóveis!$E$3&gt;0,Dados!$A405&gt;Imóveis!$E$3),0,1)</f>
        <v>0</v>
      </c>
      <c r="K405" s="18">
        <f>IF(Imóveis!$F$4="PRICE",IF(AND(Dados!$A405&gt;=Imóveis!$Q$4,Dados!$A405&lt;=Imóveis!$T$4),Imóveis!$U$4,0),IF((IF(AND(Dados!$A405&gt;=Imóveis!$Q$4,Dados!$A405&lt;=Imóveis!$T$4),Imóveis!$S$4-(DATEDIF(Imóveis!$Q$4,Dados!$A405,"m")),0))=0,0,((Imóveis!$N$4/Imóveis!$S$4)+((Imóveis!$N$4-((Imóveis!$S$4-(IF(AND(Dados!$A405&gt;=Imóveis!$Q$4,Dados!$A405&lt;=Imóveis!$T$4),Imóveis!$S$4-(DATEDIF(Imóveis!$Q$4,Dados!$A405,"m")),)))*(Imóveis!$N$4/Imóveis!$S$4)))*Imóveis!$P$4))))*IF(AND(Imóveis!$E$4&gt;0,Dados!$A405&gt;Imóveis!$E$4),0,1)</f>
        <v>0</v>
      </c>
      <c r="L405" s="18">
        <f>IF(Imóveis!$F$5="PRICE",IF(AND(Dados!$A405&gt;=Imóveis!$Q$5,Dados!$A405&lt;=Imóveis!$T$5),Imóveis!$U$5,0),IF((IF(AND(Dados!$A405&gt;=Imóveis!$Q$5,Dados!$A405&lt;=Imóveis!$T$5),Imóveis!$S$5-(DATEDIF(Imóveis!$Q$5,Dados!$A405,"m")),0))=0,0,((Imóveis!$N$5/Imóveis!$S$5)+((Imóveis!$N$5-((Imóveis!$S$5-(IF(AND(Dados!$A405 &gt;=Imóveis!$Q$5,Dados!$A405&lt;=Imóveis!$T$5),Imóveis!$S$5-(DATEDIF(Imóveis!$Q$5,Dados!$A405,"m")),)))*(Imóveis!$N$5/Imóveis!$S$5)))*Imóveis!$P$5))))*IF(AND(Imóveis!$E$5&gt;0,Dados!$A405&gt;Imóveis!$E$5),0,1)*Imóveis!$I$5</f>
        <v>0</v>
      </c>
      <c r="M405" s="18">
        <f>IF(Imóveis!$F$6="PRICE",IF(AND(Dados!$A405&gt;=Imóveis!$Q$6,Dados!$A405&lt;=Imóveis!$T$6),Imóveis!$U$6,0),IF((IF(AND(Dados!$A405&gt;=Imóveis!$Q$6,Dados!$A405&lt;=Imóveis!$T$6),Imóveis!$S$6-(DATEDIF(Imóveis!$Q$6,Dados!$A405,"m")),0))=0,0,((Imóveis!$N$6/Imóveis!$S$6)+((Imóveis!$N$6-((Imóveis!$S$6-(IF(AND(Dados!$A405&gt;=Imóveis!$Q$6,Dados!$A405&lt;=Imóveis!$T$6),Imóveis!$S$6-(DATEDIF(Imóveis!$Q$6,Dados!$A405,"m")),)))*(Imóveis!$N$6/Imóveis!$S$6)))*Imóveis!$P$6))))*IF(AND(Imóveis!$E$6&gt;0,Dados!$A405&gt;Imóveis!$E$6),0,1)*Imóveis!$I$6</f>
        <v>0</v>
      </c>
      <c r="N405" s="18">
        <f t="shared" si="53"/>
        <v>37000</v>
      </c>
      <c r="O405" s="18">
        <f>SUMIFS(Receitas!$F:$F,Receitas!$J:$J,"&lt;="&amp;$A405,Receitas!$L:$L,"&gt;="&amp;$A405,Receitas!$C:$C,O$1,Receitas!$M:$M,"Mensal")+SUMIFS(Receitas!$F:$F,Receitas!$J:$J,"&lt;="&amp;$A405,Receitas!$L:$L,"&gt;="&amp;$A405,Receitas!$C:$C,O$1,Receitas!$M:$M,$B405)</f>
        <v>0</v>
      </c>
      <c r="P405" s="18">
        <f>SUMIFS(Receitas!$F:$F,Receitas!$J:$J,"&lt;="&amp;$A405,Receitas!$L:$L,"&gt;="&amp;$A405,Receitas!$C:$C,P$1,Receitas!$M:$M,"Mensal")+SUMIFS(Receitas!$F:$F,Receitas!$J:$J,"&lt;="&amp;$A405,Receitas!$L:$L,"&gt;="&amp;$A405,Receitas!$C:$C,P$1,Receitas!$M:$M,$B405)</f>
        <v>0</v>
      </c>
      <c r="Q405" s="18">
        <f>SUMIFS(Receitas!$F:$F,Receitas!$J:$J,"&lt;="&amp;$A405,Receitas!$L:$L,"&gt;="&amp;$A405,Receitas!$C:$C,Q$1,Receitas!$M:$M,"Mensal")+SUMIFS(Receitas!$F:$F,Receitas!$J:$J,"&lt;="&amp;$A405,Receitas!$L:$L,"&gt;="&amp;$A405,Receitas!$C:$C,Q$1,Receitas!$M:$M,$B405)</f>
        <v>0</v>
      </c>
      <c r="R405" s="18" cm="1">
        <f t="array" ref="R405">(IF(AND(Membros!$F$2="Sim",A405&lt;=MAX(Membros!$E$2:$E$5)),Membros!K$2,IF(AND(A405&gt;=Membros!J$2,A405&lt;=MAX(Membros!$E$2:$E$5)),Membros!K$2,0))+IF(AND(Membros!$F$3="Sim",A405&lt;=MAX(Membros!$E$2:$E$5)),Membros!K$3,IF(AND(A405&gt;=Membros!J$3,A405&lt;=MAX(Membros!$E$2:$E$5)),Membros!K$3,0)))*IF(AND(COUNTIFS(Tabela3[Tipo],"Provedor",Tabela3[Simulação Seguro],"Sim")=2,A405&gt;=MAX(IF(Tabela3[Tipo]="Dependente",Tabela3[Expectativa de Vida (Data)]))),0,1)</f>
        <v>10000</v>
      </c>
      <c r="S405" s="18">
        <f t="shared" si="54"/>
        <v>10000</v>
      </c>
      <c r="U405" s="18">
        <f t="shared" ca="1" si="57"/>
        <v>26190894.098888483</v>
      </c>
      <c r="V405" s="18">
        <f>SUMIF(Imóveis!E:E,Dados!A:A,Imóveis!Z:Z)-SUMIF(Imóveis!E:E,Dados!A:A,Imóveis!Y:Y)</f>
        <v>0</v>
      </c>
      <c r="W405" s="18">
        <f>-SUMIF(Projetos!N:N,A405,Projetos!F:F)</f>
        <v>0</v>
      </c>
      <c r="X405" s="18">
        <f t="shared" si="51"/>
        <v>-27000</v>
      </c>
      <c r="Y405" s="26">
        <f ca="1">(U405*((Indicadores_Economicos!D$2+1)^(1/12)-1))</f>
        <v>85742.171942890011</v>
      </c>
      <c r="Z405" s="18">
        <f t="shared" ca="1" si="55"/>
        <v>26249636.270831373</v>
      </c>
      <c r="AA405" s="18">
        <f ca="1">Auxiliar_Projetos!E405</f>
        <v>1.4595935414406473E-9</v>
      </c>
      <c r="AB405" s="18">
        <f ca="1">Auxiliar_Projetos!K405</f>
        <v>1.1227642626466503E-9</v>
      </c>
      <c r="AC405" s="18">
        <f ca="1">IF(Z405-AA405-AB405&gt;Investimentos!$C$14,Investimentos!$C$14,IF(Z405-AA405-AB405&lt;Investimentos!$C$14,Z405-AA405-AB405,0))</f>
        <v>300000</v>
      </c>
      <c r="AD405" s="18">
        <f t="shared" ca="1" si="56"/>
        <v>25949636.270831373</v>
      </c>
      <c r="AE405" s="18"/>
    </row>
    <row r="406" spans="1:31" x14ac:dyDescent="0.2">
      <c r="A406" s="4">
        <v>57954</v>
      </c>
      <c r="B406" s="5" t="str">
        <f t="shared" si="52"/>
        <v>setembro</v>
      </c>
      <c r="C406" s="5" t="str">
        <f t="shared" si="50"/>
        <v>2058</v>
      </c>
      <c r="D406" s="5">
        <f>SUMIFS(Despesas!$F:$F,Despesas!$J:$J,"&lt;="&amp;$A406,Despesas!$L:$L,"&gt;="&amp;$A406,Despesas!$C:$C,D$1,Despesas!$M:$M,"Mensal")+SUMIFS(Despesas!$F:$F,Despesas!$J:$J,"&lt;="&amp;$A406,Despesas!$L:$L,"&gt;="&amp;$A406,Despesas!$C:$C,D$1,Despesas!$M:$M,$B406)</f>
        <v>23000</v>
      </c>
      <c r="E406" s="18">
        <f>SUMIFS(Despesas!$F:$F,Despesas!$J:$J,"&lt;="&amp;$A406,Despesas!$L:$L,"&gt;="&amp;$A406,Despesas!$C:$C,E$1,Despesas!$M:$M,"Mensal")+SUMIFS(Despesas!$F:$F,Despesas!$J:$J,"&lt;="&amp;$A406,Despesas!$L:$L,"&gt;="&amp;$A406,Despesas!$C:$C,E$1,Despesas!$M:$M,$B406)</f>
        <v>0</v>
      </c>
      <c r="F406" s="5">
        <f>SUMIFS(Despesas!$F:$F,Despesas!$J:$J,"&lt;="&amp;$A406,Despesas!$L:$L,"&gt;="&amp;$A406,Despesas!$C:$C,F$1,Despesas!$M:$M,"Mensal")+SUMIFS(Despesas!$F:$F,Despesas!$J:$J,"&lt;="&amp;$A406,Despesas!$L:$L,"&gt;="&amp;$A406,Despesas!$C:$C,F$1,Despesas!$M:$M,$B406)</f>
        <v>13000</v>
      </c>
      <c r="G406" s="5">
        <f>SUMIFS(Despesas!$F:$F,Despesas!$J:$J,"&lt;="&amp;$A406,Despesas!$L:$L,"&gt;="&amp;$A406,Despesas!$C:$C,G$1,Despesas!$M:$M,"Mensal")+SUMIFS(Despesas!$F:$F,Despesas!$J:$J,"&lt;="&amp;$A406,Despesas!$L:$L,"&gt;="&amp;$A406,Despesas!$C:$C,G$1,Despesas!$M:$M,$B406)</f>
        <v>0</v>
      </c>
      <c r="H406" s="18">
        <f>SUMIFS(Despesas!$F:$F,Despesas!$J:$J,"&lt;="&amp;$A406,Despesas!$L:$L,"&gt;="&amp;$A406,Despesas!$C:$C,H$1,Despesas!$M:$M,"Mensal")+SUMIFS(Despesas!$F:$F,Despesas!$J:$J,"&lt;="&amp;$A406,Despesas!$L:$L,"&gt;="&amp;$A406,Despesas!$C:$C,H$1,Despesas!$M:$M,$B406)</f>
        <v>1000</v>
      </c>
      <c r="I406" s="18">
        <f>IF(Imóveis!$F$2="PRICE",IF(AND(Dados!$A406&gt;=Imóveis!$Q$2,Dados!$A406&lt;=Imóveis!$T$2),Imóveis!$U$2,0),IF((IF(AND(Dados!$A406&gt;=Imóveis!$Q$2,Dados!$A406&lt;=Imóveis!$T$2),Imóveis!$S$2-(DATEDIF(Imóveis!$Q$2,Dados!$A406,"m")),0))=0,0,((Imóveis!$N$2/Imóveis!$S$2)+((Imóveis!$N$2-((Imóveis!$S$2-(IF(AND(Dados!$A406&gt;=Imóveis!$Q$2,Dados!$A406&lt;=Imóveis!$T$2),Imóveis!$S$2-(DATEDIF(Imóveis!$Q$2,Dados!$A406,"m")),)))*(Imóveis!$N$2/Imóveis!$S$2)))*Imóveis!$P$2))))*IF(AND(Imóveis!$E$2&gt;0,Dados!$A406&gt;Imóveis!$E$2),0,1)</f>
        <v>0</v>
      </c>
      <c r="J406" s="18">
        <f>IF(Imóveis!$F$3="PRICE",IF(AND(Dados!$A406&gt;=Imóveis!$Q$3,Dados!$A406&lt;=Imóveis!$T$3),Imóveis!$U$3,0),IF((IF(AND(Dados!$A406&gt;=Imóveis!$Q$3,Dados!$A406&lt;=Imóveis!$T$3),Imóveis!$S$3-(DATEDIF(Imóveis!$Q$3,Dados!$A406,"m")),0))=0,0,((Imóveis!$N$3/Imóveis!$S$3)+((Imóveis!$N$3-((Imóveis!$S$3-(IF(AND(Dados!$A406&gt;=Imóveis!$Q$3,Dados!$A406&lt;=Imóveis!$T$3),Imóveis!$S$3-(DATEDIF(Imóveis!$Q$3,Dados!$A406,"m")),)))*(Imóveis!$N$3/Imóveis!$S$3)))*Imóveis!$P$3))))*IF(AND(Imóveis!$E$3&gt;0,Dados!$A406&gt;Imóveis!$E$3),0,1)</f>
        <v>0</v>
      </c>
      <c r="K406" s="18">
        <f>IF(Imóveis!$F$4="PRICE",IF(AND(Dados!$A406&gt;=Imóveis!$Q$4,Dados!$A406&lt;=Imóveis!$T$4),Imóveis!$U$4,0),IF((IF(AND(Dados!$A406&gt;=Imóveis!$Q$4,Dados!$A406&lt;=Imóveis!$T$4),Imóveis!$S$4-(DATEDIF(Imóveis!$Q$4,Dados!$A406,"m")),0))=0,0,((Imóveis!$N$4/Imóveis!$S$4)+((Imóveis!$N$4-((Imóveis!$S$4-(IF(AND(Dados!$A406&gt;=Imóveis!$Q$4,Dados!$A406&lt;=Imóveis!$T$4),Imóveis!$S$4-(DATEDIF(Imóveis!$Q$4,Dados!$A406,"m")),)))*(Imóveis!$N$4/Imóveis!$S$4)))*Imóveis!$P$4))))*IF(AND(Imóveis!$E$4&gt;0,Dados!$A406&gt;Imóveis!$E$4),0,1)</f>
        <v>0</v>
      </c>
      <c r="L406" s="18">
        <f>IF(Imóveis!$F$5="PRICE",IF(AND(Dados!$A406&gt;=Imóveis!$Q$5,Dados!$A406&lt;=Imóveis!$T$5),Imóveis!$U$5,0),IF((IF(AND(Dados!$A406&gt;=Imóveis!$Q$5,Dados!$A406&lt;=Imóveis!$T$5),Imóveis!$S$5-(DATEDIF(Imóveis!$Q$5,Dados!$A406,"m")),0))=0,0,((Imóveis!$N$5/Imóveis!$S$5)+((Imóveis!$N$5-((Imóveis!$S$5-(IF(AND(Dados!$A406 &gt;=Imóveis!$Q$5,Dados!$A406&lt;=Imóveis!$T$5),Imóveis!$S$5-(DATEDIF(Imóveis!$Q$5,Dados!$A406,"m")),)))*(Imóveis!$N$5/Imóveis!$S$5)))*Imóveis!$P$5))))*IF(AND(Imóveis!$E$5&gt;0,Dados!$A406&gt;Imóveis!$E$5),0,1)*Imóveis!$I$5</f>
        <v>0</v>
      </c>
      <c r="M406" s="18">
        <f>IF(Imóveis!$F$6="PRICE",IF(AND(Dados!$A406&gt;=Imóveis!$Q$6,Dados!$A406&lt;=Imóveis!$T$6),Imóveis!$U$6,0),IF((IF(AND(Dados!$A406&gt;=Imóveis!$Q$6,Dados!$A406&lt;=Imóveis!$T$6),Imóveis!$S$6-(DATEDIF(Imóveis!$Q$6,Dados!$A406,"m")),0))=0,0,((Imóveis!$N$6/Imóveis!$S$6)+((Imóveis!$N$6-((Imóveis!$S$6-(IF(AND(Dados!$A406&gt;=Imóveis!$Q$6,Dados!$A406&lt;=Imóveis!$T$6),Imóveis!$S$6-(DATEDIF(Imóveis!$Q$6,Dados!$A406,"m")),)))*(Imóveis!$N$6/Imóveis!$S$6)))*Imóveis!$P$6))))*IF(AND(Imóveis!$E$6&gt;0,Dados!$A406&gt;Imóveis!$E$6),0,1)*Imóveis!$I$6</f>
        <v>0</v>
      </c>
      <c r="N406" s="18">
        <f t="shared" si="53"/>
        <v>37000</v>
      </c>
      <c r="O406" s="18">
        <f>SUMIFS(Receitas!$F:$F,Receitas!$J:$J,"&lt;="&amp;$A406,Receitas!$L:$L,"&gt;="&amp;$A406,Receitas!$C:$C,O$1,Receitas!$M:$M,"Mensal")+SUMIFS(Receitas!$F:$F,Receitas!$J:$J,"&lt;="&amp;$A406,Receitas!$L:$L,"&gt;="&amp;$A406,Receitas!$C:$C,O$1,Receitas!$M:$M,$B406)</f>
        <v>0</v>
      </c>
      <c r="P406" s="18">
        <f>SUMIFS(Receitas!$F:$F,Receitas!$J:$J,"&lt;="&amp;$A406,Receitas!$L:$L,"&gt;="&amp;$A406,Receitas!$C:$C,P$1,Receitas!$M:$M,"Mensal")+SUMIFS(Receitas!$F:$F,Receitas!$J:$J,"&lt;="&amp;$A406,Receitas!$L:$L,"&gt;="&amp;$A406,Receitas!$C:$C,P$1,Receitas!$M:$M,$B406)</f>
        <v>0</v>
      </c>
      <c r="Q406" s="18">
        <f>SUMIFS(Receitas!$F:$F,Receitas!$J:$J,"&lt;="&amp;$A406,Receitas!$L:$L,"&gt;="&amp;$A406,Receitas!$C:$C,Q$1,Receitas!$M:$M,"Mensal")+SUMIFS(Receitas!$F:$F,Receitas!$J:$J,"&lt;="&amp;$A406,Receitas!$L:$L,"&gt;="&amp;$A406,Receitas!$C:$C,Q$1,Receitas!$M:$M,$B406)</f>
        <v>0</v>
      </c>
      <c r="R406" s="18" cm="1">
        <f t="array" ref="R406">(IF(AND(Membros!$F$2="Sim",A406&lt;=MAX(Membros!$E$2:$E$5)),Membros!K$2,IF(AND(A406&gt;=Membros!J$2,A406&lt;=MAX(Membros!$E$2:$E$5)),Membros!K$2,0))+IF(AND(Membros!$F$3="Sim",A406&lt;=MAX(Membros!$E$2:$E$5)),Membros!K$3,IF(AND(A406&gt;=Membros!J$3,A406&lt;=MAX(Membros!$E$2:$E$5)),Membros!K$3,0)))*IF(AND(COUNTIFS(Tabela3[Tipo],"Provedor",Tabela3[Simulação Seguro],"Sim")=2,A406&gt;=MAX(IF(Tabela3[Tipo]="Dependente",Tabela3[Expectativa de Vida (Data)]))),0,1)</f>
        <v>10000</v>
      </c>
      <c r="S406" s="18">
        <f t="shared" si="54"/>
        <v>10000</v>
      </c>
      <c r="U406" s="18">
        <f t="shared" ca="1" si="57"/>
        <v>26249636.270831373</v>
      </c>
      <c r="V406" s="18">
        <f>SUMIF(Imóveis!E:E,Dados!A:A,Imóveis!Z:Z)-SUMIF(Imóveis!E:E,Dados!A:A,Imóveis!Y:Y)</f>
        <v>0</v>
      </c>
      <c r="W406" s="18">
        <f>-SUMIF(Projetos!N:N,A406,Projetos!F:F)</f>
        <v>0</v>
      </c>
      <c r="X406" s="18">
        <f t="shared" si="51"/>
        <v>-27000</v>
      </c>
      <c r="Y406" s="26">
        <f ca="1">(U406*((Indicadores_Economicos!D$2+1)^(1/12)-1))</f>
        <v>85934.478528072228</v>
      </c>
      <c r="Z406" s="18">
        <f t="shared" ca="1" si="55"/>
        <v>26308570.749359444</v>
      </c>
      <c r="AA406" s="18">
        <f ca="1">Auxiliar_Projetos!E406</f>
        <v>1.4643718708831022E-9</v>
      </c>
      <c r="AB406" s="18">
        <f ca="1">Auxiliar_Projetos!K406</f>
        <v>1.1264399006793079E-9</v>
      </c>
      <c r="AC406" s="18">
        <f ca="1">IF(Z406-AA406-AB406&gt;Investimentos!$C$14,Investimentos!$C$14,IF(Z406-AA406-AB406&lt;Investimentos!$C$14,Z406-AA406-AB406,0))</f>
        <v>300000</v>
      </c>
      <c r="AD406" s="18">
        <f t="shared" ca="1" si="56"/>
        <v>26008570.749359444</v>
      </c>
      <c r="AE406" s="18"/>
    </row>
    <row r="407" spans="1:31" x14ac:dyDescent="0.2">
      <c r="A407" s="4">
        <v>57984</v>
      </c>
      <c r="B407" s="5" t="str">
        <f t="shared" si="52"/>
        <v>outubro</v>
      </c>
      <c r="C407" s="5" t="str">
        <f t="shared" si="50"/>
        <v>2058</v>
      </c>
      <c r="D407" s="5">
        <f>SUMIFS(Despesas!$F:$F,Despesas!$J:$J,"&lt;="&amp;$A407,Despesas!$L:$L,"&gt;="&amp;$A407,Despesas!$C:$C,D$1,Despesas!$M:$M,"Mensal")+SUMIFS(Despesas!$F:$F,Despesas!$J:$J,"&lt;="&amp;$A407,Despesas!$L:$L,"&gt;="&amp;$A407,Despesas!$C:$C,D$1,Despesas!$M:$M,$B407)</f>
        <v>23000</v>
      </c>
      <c r="E407" s="18">
        <f>SUMIFS(Despesas!$F:$F,Despesas!$J:$J,"&lt;="&amp;$A407,Despesas!$L:$L,"&gt;="&amp;$A407,Despesas!$C:$C,E$1,Despesas!$M:$M,"Mensal")+SUMIFS(Despesas!$F:$F,Despesas!$J:$J,"&lt;="&amp;$A407,Despesas!$L:$L,"&gt;="&amp;$A407,Despesas!$C:$C,E$1,Despesas!$M:$M,$B407)</f>
        <v>0</v>
      </c>
      <c r="F407" s="5">
        <f>SUMIFS(Despesas!$F:$F,Despesas!$J:$J,"&lt;="&amp;$A407,Despesas!$L:$L,"&gt;="&amp;$A407,Despesas!$C:$C,F$1,Despesas!$M:$M,"Mensal")+SUMIFS(Despesas!$F:$F,Despesas!$J:$J,"&lt;="&amp;$A407,Despesas!$L:$L,"&gt;="&amp;$A407,Despesas!$C:$C,F$1,Despesas!$M:$M,$B407)</f>
        <v>13000</v>
      </c>
      <c r="G407" s="5">
        <f>SUMIFS(Despesas!$F:$F,Despesas!$J:$J,"&lt;="&amp;$A407,Despesas!$L:$L,"&gt;="&amp;$A407,Despesas!$C:$C,G$1,Despesas!$M:$M,"Mensal")+SUMIFS(Despesas!$F:$F,Despesas!$J:$J,"&lt;="&amp;$A407,Despesas!$L:$L,"&gt;="&amp;$A407,Despesas!$C:$C,G$1,Despesas!$M:$M,$B407)</f>
        <v>0</v>
      </c>
      <c r="H407" s="18">
        <f>SUMIFS(Despesas!$F:$F,Despesas!$J:$J,"&lt;="&amp;$A407,Despesas!$L:$L,"&gt;="&amp;$A407,Despesas!$C:$C,H$1,Despesas!$M:$M,"Mensal")+SUMIFS(Despesas!$F:$F,Despesas!$J:$J,"&lt;="&amp;$A407,Despesas!$L:$L,"&gt;="&amp;$A407,Despesas!$C:$C,H$1,Despesas!$M:$M,$B407)</f>
        <v>1000</v>
      </c>
      <c r="I407" s="18">
        <f>IF(Imóveis!$F$2="PRICE",IF(AND(Dados!$A407&gt;=Imóveis!$Q$2,Dados!$A407&lt;=Imóveis!$T$2),Imóveis!$U$2,0),IF((IF(AND(Dados!$A407&gt;=Imóveis!$Q$2,Dados!$A407&lt;=Imóveis!$T$2),Imóveis!$S$2-(DATEDIF(Imóveis!$Q$2,Dados!$A407,"m")),0))=0,0,((Imóveis!$N$2/Imóveis!$S$2)+((Imóveis!$N$2-((Imóveis!$S$2-(IF(AND(Dados!$A407&gt;=Imóveis!$Q$2,Dados!$A407&lt;=Imóveis!$T$2),Imóveis!$S$2-(DATEDIF(Imóveis!$Q$2,Dados!$A407,"m")),)))*(Imóveis!$N$2/Imóveis!$S$2)))*Imóveis!$P$2))))*IF(AND(Imóveis!$E$2&gt;0,Dados!$A407&gt;Imóveis!$E$2),0,1)</f>
        <v>0</v>
      </c>
      <c r="J407" s="18">
        <f>IF(Imóveis!$F$3="PRICE",IF(AND(Dados!$A407&gt;=Imóveis!$Q$3,Dados!$A407&lt;=Imóveis!$T$3),Imóveis!$U$3,0),IF((IF(AND(Dados!$A407&gt;=Imóveis!$Q$3,Dados!$A407&lt;=Imóveis!$T$3),Imóveis!$S$3-(DATEDIF(Imóveis!$Q$3,Dados!$A407,"m")),0))=0,0,((Imóveis!$N$3/Imóveis!$S$3)+((Imóveis!$N$3-((Imóveis!$S$3-(IF(AND(Dados!$A407&gt;=Imóveis!$Q$3,Dados!$A407&lt;=Imóveis!$T$3),Imóveis!$S$3-(DATEDIF(Imóveis!$Q$3,Dados!$A407,"m")),)))*(Imóveis!$N$3/Imóveis!$S$3)))*Imóveis!$P$3))))*IF(AND(Imóveis!$E$3&gt;0,Dados!$A407&gt;Imóveis!$E$3),0,1)</f>
        <v>0</v>
      </c>
      <c r="K407" s="18">
        <f>IF(Imóveis!$F$4="PRICE",IF(AND(Dados!$A407&gt;=Imóveis!$Q$4,Dados!$A407&lt;=Imóveis!$T$4),Imóveis!$U$4,0),IF((IF(AND(Dados!$A407&gt;=Imóveis!$Q$4,Dados!$A407&lt;=Imóveis!$T$4),Imóveis!$S$4-(DATEDIF(Imóveis!$Q$4,Dados!$A407,"m")),0))=0,0,((Imóveis!$N$4/Imóveis!$S$4)+((Imóveis!$N$4-((Imóveis!$S$4-(IF(AND(Dados!$A407&gt;=Imóveis!$Q$4,Dados!$A407&lt;=Imóveis!$T$4),Imóveis!$S$4-(DATEDIF(Imóveis!$Q$4,Dados!$A407,"m")),)))*(Imóveis!$N$4/Imóveis!$S$4)))*Imóveis!$P$4))))*IF(AND(Imóveis!$E$4&gt;0,Dados!$A407&gt;Imóveis!$E$4),0,1)</f>
        <v>0</v>
      </c>
      <c r="L407" s="18">
        <f>IF(Imóveis!$F$5="PRICE",IF(AND(Dados!$A407&gt;=Imóveis!$Q$5,Dados!$A407&lt;=Imóveis!$T$5),Imóveis!$U$5,0),IF((IF(AND(Dados!$A407&gt;=Imóveis!$Q$5,Dados!$A407&lt;=Imóveis!$T$5),Imóveis!$S$5-(DATEDIF(Imóveis!$Q$5,Dados!$A407,"m")),0))=0,0,((Imóveis!$N$5/Imóveis!$S$5)+((Imóveis!$N$5-((Imóveis!$S$5-(IF(AND(Dados!$A407 &gt;=Imóveis!$Q$5,Dados!$A407&lt;=Imóveis!$T$5),Imóveis!$S$5-(DATEDIF(Imóveis!$Q$5,Dados!$A407,"m")),)))*(Imóveis!$N$5/Imóveis!$S$5)))*Imóveis!$P$5))))*IF(AND(Imóveis!$E$5&gt;0,Dados!$A407&gt;Imóveis!$E$5),0,1)*Imóveis!$I$5</f>
        <v>0</v>
      </c>
      <c r="M407" s="18">
        <f>IF(Imóveis!$F$6="PRICE",IF(AND(Dados!$A407&gt;=Imóveis!$Q$6,Dados!$A407&lt;=Imóveis!$T$6),Imóveis!$U$6,0),IF((IF(AND(Dados!$A407&gt;=Imóveis!$Q$6,Dados!$A407&lt;=Imóveis!$T$6),Imóveis!$S$6-(DATEDIF(Imóveis!$Q$6,Dados!$A407,"m")),0))=0,0,((Imóveis!$N$6/Imóveis!$S$6)+((Imóveis!$N$6-((Imóveis!$S$6-(IF(AND(Dados!$A407&gt;=Imóveis!$Q$6,Dados!$A407&lt;=Imóveis!$T$6),Imóveis!$S$6-(DATEDIF(Imóveis!$Q$6,Dados!$A407,"m")),)))*(Imóveis!$N$6/Imóveis!$S$6)))*Imóveis!$P$6))))*IF(AND(Imóveis!$E$6&gt;0,Dados!$A407&gt;Imóveis!$E$6),0,1)*Imóveis!$I$6</f>
        <v>0</v>
      </c>
      <c r="N407" s="18">
        <f t="shared" si="53"/>
        <v>37000</v>
      </c>
      <c r="O407" s="18">
        <f>SUMIFS(Receitas!$F:$F,Receitas!$J:$J,"&lt;="&amp;$A407,Receitas!$L:$L,"&gt;="&amp;$A407,Receitas!$C:$C,O$1,Receitas!$M:$M,"Mensal")+SUMIFS(Receitas!$F:$F,Receitas!$J:$J,"&lt;="&amp;$A407,Receitas!$L:$L,"&gt;="&amp;$A407,Receitas!$C:$C,O$1,Receitas!$M:$M,$B407)</f>
        <v>0</v>
      </c>
      <c r="P407" s="18">
        <f>SUMIFS(Receitas!$F:$F,Receitas!$J:$J,"&lt;="&amp;$A407,Receitas!$L:$L,"&gt;="&amp;$A407,Receitas!$C:$C,P$1,Receitas!$M:$M,"Mensal")+SUMIFS(Receitas!$F:$F,Receitas!$J:$J,"&lt;="&amp;$A407,Receitas!$L:$L,"&gt;="&amp;$A407,Receitas!$C:$C,P$1,Receitas!$M:$M,$B407)</f>
        <v>0</v>
      </c>
      <c r="Q407" s="18">
        <f>SUMIFS(Receitas!$F:$F,Receitas!$J:$J,"&lt;="&amp;$A407,Receitas!$L:$L,"&gt;="&amp;$A407,Receitas!$C:$C,Q$1,Receitas!$M:$M,"Mensal")+SUMIFS(Receitas!$F:$F,Receitas!$J:$J,"&lt;="&amp;$A407,Receitas!$L:$L,"&gt;="&amp;$A407,Receitas!$C:$C,Q$1,Receitas!$M:$M,$B407)</f>
        <v>0</v>
      </c>
      <c r="R407" s="18" cm="1">
        <f t="array" ref="R407">(IF(AND(Membros!$F$2="Sim",A407&lt;=MAX(Membros!$E$2:$E$5)),Membros!K$2,IF(AND(A407&gt;=Membros!J$2,A407&lt;=MAX(Membros!$E$2:$E$5)),Membros!K$2,0))+IF(AND(Membros!$F$3="Sim",A407&lt;=MAX(Membros!$E$2:$E$5)),Membros!K$3,IF(AND(A407&gt;=Membros!J$3,A407&lt;=MAX(Membros!$E$2:$E$5)),Membros!K$3,0)))*IF(AND(COUNTIFS(Tabela3[Tipo],"Provedor",Tabela3[Simulação Seguro],"Sim")=2,A407&gt;=MAX(IF(Tabela3[Tipo]="Dependente",Tabela3[Expectativa de Vida (Data)]))),0,1)</f>
        <v>10000</v>
      </c>
      <c r="S407" s="18">
        <f t="shared" si="54"/>
        <v>10000</v>
      </c>
      <c r="U407" s="18">
        <f t="shared" ca="1" si="57"/>
        <v>26308570.749359444</v>
      </c>
      <c r="V407" s="18">
        <f>SUMIF(Imóveis!E:E,Dados!A:A,Imóveis!Z:Z)-SUMIF(Imóveis!E:E,Dados!A:A,Imóveis!Y:Y)</f>
        <v>0</v>
      </c>
      <c r="W407" s="18">
        <f>-SUMIF(Projetos!N:N,A407,Projetos!F:F)</f>
        <v>0</v>
      </c>
      <c r="X407" s="18">
        <f t="shared" si="51"/>
        <v>-27000</v>
      </c>
      <c r="Y407" s="26">
        <f ca="1">(U407*((Indicadores_Economicos!D$2+1)^(1/12)-1))</f>
        <v>86127.414674972722</v>
      </c>
      <c r="Z407" s="18">
        <f t="shared" ca="1" si="55"/>
        <v>26367698.164034415</v>
      </c>
      <c r="AA407" s="18">
        <f ca="1">Auxiliar_Projetos!E407</f>
        <v>1.4691658433327453E-9</v>
      </c>
      <c r="AB407" s="18">
        <f ca="1">Auxiliar_Projetos!K407</f>
        <v>1.1301275717944178E-9</v>
      </c>
      <c r="AC407" s="18">
        <f ca="1">IF(Z407-AA407-AB407&gt;Investimentos!$C$14,Investimentos!$C$14,IF(Z407-AA407-AB407&lt;Investimentos!$C$14,Z407-AA407-AB407,0))</f>
        <v>300000</v>
      </c>
      <c r="AD407" s="18">
        <f t="shared" ca="1" si="56"/>
        <v>26067698.164034415</v>
      </c>
      <c r="AE407" s="18"/>
    </row>
    <row r="408" spans="1:31" x14ac:dyDescent="0.2">
      <c r="A408" s="4">
        <v>58015</v>
      </c>
      <c r="B408" s="5" t="str">
        <f t="shared" si="52"/>
        <v>novembro</v>
      </c>
      <c r="C408" s="5" t="str">
        <f t="shared" ref="C408:C471" si="58">TEXT(A408,"AAAA")</f>
        <v>2058</v>
      </c>
      <c r="D408" s="5">
        <f>SUMIFS(Despesas!$F:$F,Despesas!$J:$J,"&lt;="&amp;$A408,Despesas!$L:$L,"&gt;="&amp;$A408,Despesas!$C:$C,D$1,Despesas!$M:$M,"Mensal")+SUMIFS(Despesas!$F:$F,Despesas!$J:$J,"&lt;="&amp;$A408,Despesas!$L:$L,"&gt;="&amp;$A408,Despesas!$C:$C,D$1,Despesas!$M:$M,$B408)</f>
        <v>23000</v>
      </c>
      <c r="E408" s="18">
        <f>SUMIFS(Despesas!$F:$F,Despesas!$J:$J,"&lt;="&amp;$A408,Despesas!$L:$L,"&gt;="&amp;$A408,Despesas!$C:$C,E$1,Despesas!$M:$M,"Mensal")+SUMIFS(Despesas!$F:$F,Despesas!$J:$J,"&lt;="&amp;$A408,Despesas!$L:$L,"&gt;="&amp;$A408,Despesas!$C:$C,E$1,Despesas!$M:$M,$B408)</f>
        <v>0</v>
      </c>
      <c r="F408" s="5">
        <f>SUMIFS(Despesas!$F:$F,Despesas!$J:$J,"&lt;="&amp;$A408,Despesas!$L:$L,"&gt;="&amp;$A408,Despesas!$C:$C,F$1,Despesas!$M:$M,"Mensal")+SUMIFS(Despesas!$F:$F,Despesas!$J:$J,"&lt;="&amp;$A408,Despesas!$L:$L,"&gt;="&amp;$A408,Despesas!$C:$C,F$1,Despesas!$M:$M,$B408)</f>
        <v>13000</v>
      </c>
      <c r="G408" s="5">
        <f>SUMIFS(Despesas!$F:$F,Despesas!$J:$J,"&lt;="&amp;$A408,Despesas!$L:$L,"&gt;="&amp;$A408,Despesas!$C:$C,G$1,Despesas!$M:$M,"Mensal")+SUMIFS(Despesas!$F:$F,Despesas!$J:$J,"&lt;="&amp;$A408,Despesas!$L:$L,"&gt;="&amp;$A408,Despesas!$C:$C,G$1,Despesas!$M:$M,$B408)</f>
        <v>0</v>
      </c>
      <c r="H408" s="18">
        <f>SUMIFS(Despesas!$F:$F,Despesas!$J:$J,"&lt;="&amp;$A408,Despesas!$L:$L,"&gt;="&amp;$A408,Despesas!$C:$C,H$1,Despesas!$M:$M,"Mensal")+SUMIFS(Despesas!$F:$F,Despesas!$J:$J,"&lt;="&amp;$A408,Despesas!$L:$L,"&gt;="&amp;$A408,Despesas!$C:$C,H$1,Despesas!$M:$M,$B408)</f>
        <v>1000</v>
      </c>
      <c r="I408" s="18">
        <f>IF(Imóveis!$F$2="PRICE",IF(AND(Dados!$A408&gt;=Imóveis!$Q$2,Dados!$A408&lt;=Imóveis!$T$2),Imóveis!$U$2,0),IF((IF(AND(Dados!$A408&gt;=Imóveis!$Q$2,Dados!$A408&lt;=Imóveis!$T$2),Imóveis!$S$2-(DATEDIF(Imóveis!$Q$2,Dados!$A408,"m")),0))=0,0,((Imóveis!$N$2/Imóveis!$S$2)+((Imóveis!$N$2-((Imóveis!$S$2-(IF(AND(Dados!$A408&gt;=Imóveis!$Q$2,Dados!$A408&lt;=Imóveis!$T$2),Imóveis!$S$2-(DATEDIF(Imóveis!$Q$2,Dados!$A408,"m")),)))*(Imóveis!$N$2/Imóveis!$S$2)))*Imóveis!$P$2))))*IF(AND(Imóveis!$E$2&gt;0,Dados!$A408&gt;Imóveis!$E$2),0,1)</f>
        <v>0</v>
      </c>
      <c r="J408" s="18">
        <f>IF(Imóveis!$F$3="PRICE",IF(AND(Dados!$A408&gt;=Imóveis!$Q$3,Dados!$A408&lt;=Imóveis!$T$3),Imóveis!$U$3,0),IF((IF(AND(Dados!$A408&gt;=Imóveis!$Q$3,Dados!$A408&lt;=Imóveis!$T$3),Imóveis!$S$3-(DATEDIF(Imóveis!$Q$3,Dados!$A408,"m")),0))=0,0,((Imóveis!$N$3/Imóveis!$S$3)+((Imóveis!$N$3-((Imóveis!$S$3-(IF(AND(Dados!$A408&gt;=Imóveis!$Q$3,Dados!$A408&lt;=Imóveis!$T$3),Imóveis!$S$3-(DATEDIF(Imóveis!$Q$3,Dados!$A408,"m")),)))*(Imóveis!$N$3/Imóveis!$S$3)))*Imóveis!$P$3))))*IF(AND(Imóveis!$E$3&gt;0,Dados!$A408&gt;Imóveis!$E$3),0,1)</f>
        <v>0</v>
      </c>
      <c r="K408" s="18">
        <f>IF(Imóveis!$F$4="PRICE",IF(AND(Dados!$A408&gt;=Imóveis!$Q$4,Dados!$A408&lt;=Imóveis!$T$4),Imóveis!$U$4,0),IF((IF(AND(Dados!$A408&gt;=Imóveis!$Q$4,Dados!$A408&lt;=Imóveis!$T$4),Imóveis!$S$4-(DATEDIF(Imóveis!$Q$4,Dados!$A408,"m")),0))=0,0,((Imóveis!$N$4/Imóveis!$S$4)+((Imóveis!$N$4-((Imóveis!$S$4-(IF(AND(Dados!$A408&gt;=Imóveis!$Q$4,Dados!$A408&lt;=Imóveis!$T$4),Imóveis!$S$4-(DATEDIF(Imóveis!$Q$4,Dados!$A408,"m")),)))*(Imóveis!$N$4/Imóveis!$S$4)))*Imóveis!$P$4))))*IF(AND(Imóveis!$E$4&gt;0,Dados!$A408&gt;Imóveis!$E$4),0,1)</f>
        <v>0</v>
      </c>
      <c r="L408" s="18">
        <f>IF(Imóveis!$F$5="PRICE",IF(AND(Dados!$A408&gt;=Imóveis!$Q$5,Dados!$A408&lt;=Imóveis!$T$5),Imóveis!$U$5,0),IF((IF(AND(Dados!$A408&gt;=Imóveis!$Q$5,Dados!$A408&lt;=Imóveis!$T$5),Imóveis!$S$5-(DATEDIF(Imóveis!$Q$5,Dados!$A408,"m")),0))=0,0,((Imóveis!$N$5/Imóveis!$S$5)+((Imóveis!$N$5-((Imóveis!$S$5-(IF(AND(Dados!$A408 &gt;=Imóveis!$Q$5,Dados!$A408&lt;=Imóveis!$T$5),Imóveis!$S$5-(DATEDIF(Imóveis!$Q$5,Dados!$A408,"m")),)))*(Imóveis!$N$5/Imóveis!$S$5)))*Imóveis!$P$5))))*IF(AND(Imóveis!$E$5&gt;0,Dados!$A408&gt;Imóveis!$E$5),0,1)*Imóveis!$I$5</f>
        <v>0</v>
      </c>
      <c r="M408" s="18">
        <f>IF(Imóveis!$F$6="PRICE",IF(AND(Dados!$A408&gt;=Imóveis!$Q$6,Dados!$A408&lt;=Imóveis!$T$6),Imóveis!$U$6,0),IF((IF(AND(Dados!$A408&gt;=Imóveis!$Q$6,Dados!$A408&lt;=Imóveis!$T$6),Imóveis!$S$6-(DATEDIF(Imóveis!$Q$6,Dados!$A408,"m")),0))=0,0,((Imóveis!$N$6/Imóveis!$S$6)+((Imóveis!$N$6-((Imóveis!$S$6-(IF(AND(Dados!$A408&gt;=Imóveis!$Q$6,Dados!$A408&lt;=Imóveis!$T$6),Imóveis!$S$6-(DATEDIF(Imóveis!$Q$6,Dados!$A408,"m")),)))*(Imóveis!$N$6/Imóveis!$S$6)))*Imóveis!$P$6))))*IF(AND(Imóveis!$E$6&gt;0,Dados!$A408&gt;Imóveis!$E$6),0,1)*Imóveis!$I$6</f>
        <v>0</v>
      </c>
      <c r="N408" s="18">
        <f t="shared" si="53"/>
        <v>37000</v>
      </c>
      <c r="O408" s="18">
        <f>SUMIFS(Receitas!$F:$F,Receitas!$J:$J,"&lt;="&amp;$A408,Receitas!$L:$L,"&gt;="&amp;$A408,Receitas!$C:$C,O$1,Receitas!$M:$M,"Mensal")+SUMIFS(Receitas!$F:$F,Receitas!$J:$J,"&lt;="&amp;$A408,Receitas!$L:$L,"&gt;="&amp;$A408,Receitas!$C:$C,O$1,Receitas!$M:$M,$B408)</f>
        <v>0</v>
      </c>
      <c r="P408" s="18">
        <f>SUMIFS(Receitas!$F:$F,Receitas!$J:$J,"&lt;="&amp;$A408,Receitas!$L:$L,"&gt;="&amp;$A408,Receitas!$C:$C,P$1,Receitas!$M:$M,"Mensal")+SUMIFS(Receitas!$F:$F,Receitas!$J:$J,"&lt;="&amp;$A408,Receitas!$L:$L,"&gt;="&amp;$A408,Receitas!$C:$C,P$1,Receitas!$M:$M,$B408)</f>
        <v>0</v>
      </c>
      <c r="Q408" s="18">
        <f>SUMIFS(Receitas!$F:$F,Receitas!$J:$J,"&lt;="&amp;$A408,Receitas!$L:$L,"&gt;="&amp;$A408,Receitas!$C:$C,Q$1,Receitas!$M:$M,"Mensal")+SUMIFS(Receitas!$F:$F,Receitas!$J:$J,"&lt;="&amp;$A408,Receitas!$L:$L,"&gt;="&amp;$A408,Receitas!$C:$C,Q$1,Receitas!$M:$M,$B408)</f>
        <v>0</v>
      </c>
      <c r="R408" s="18" cm="1">
        <f t="array" ref="R408">(IF(AND(Membros!$F$2="Sim",A408&lt;=MAX(Membros!$E$2:$E$5)),Membros!K$2,IF(AND(A408&gt;=Membros!J$2,A408&lt;=MAX(Membros!$E$2:$E$5)),Membros!K$2,0))+IF(AND(Membros!$F$3="Sim",A408&lt;=MAX(Membros!$E$2:$E$5)),Membros!K$3,IF(AND(A408&gt;=Membros!J$3,A408&lt;=MAX(Membros!$E$2:$E$5)),Membros!K$3,0)))*IF(AND(COUNTIFS(Tabela3[Tipo],"Provedor",Tabela3[Simulação Seguro],"Sim")=2,A408&gt;=MAX(IF(Tabela3[Tipo]="Dependente",Tabela3[Expectativa de Vida (Data)]))),0,1)</f>
        <v>10000</v>
      </c>
      <c r="S408" s="18">
        <f t="shared" si="54"/>
        <v>10000</v>
      </c>
      <c r="U408" s="18">
        <f t="shared" ca="1" si="57"/>
        <v>26367698.164034415</v>
      </c>
      <c r="V408" s="18">
        <f>SUMIF(Imóveis!E:E,Dados!A:A,Imóveis!Z:Z)-SUMIF(Imóveis!E:E,Dados!A:A,Imóveis!Y:Y)</f>
        <v>0</v>
      </c>
      <c r="W408" s="18">
        <f>-SUMIF(Projetos!N:N,A408,Projetos!F:F)</f>
        <v>0</v>
      </c>
      <c r="X408" s="18">
        <f t="shared" si="51"/>
        <v>-27000</v>
      </c>
      <c r="Y408" s="26">
        <f ca="1">(U408*((Indicadores_Economicos!D$2+1)^(1/12)-1))</f>
        <v>86320.982444612746</v>
      </c>
      <c r="Z408" s="18">
        <f t="shared" ca="1" si="55"/>
        <v>26427019.146479029</v>
      </c>
      <c r="AA408" s="18">
        <f ca="1">Auxiliar_Projetos!E408</f>
        <v>1.4739755100007115E-9</v>
      </c>
      <c r="AB408" s="18">
        <f ca="1">Auxiliar_Projetos!K408</f>
        <v>1.1338273153851611E-9</v>
      </c>
      <c r="AC408" s="18">
        <f ca="1">IF(Z408-AA408-AB408&gt;Investimentos!$C$14,Investimentos!$C$14,IF(Z408-AA408-AB408&lt;Investimentos!$C$14,Z408-AA408-AB408,0))</f>
        <v>300000</v>
      </c>
      <c r="AD408" s="18">
        <f t="shared" ca="1" si="56"/>
        <v>26127019.146479029</v>
      </c>
      <c r="AE408" s="18"/>
    </row>
    <row r="409" spans="1:31" x14ac:dyDescent="0.2">
      <c r="A409" s="4">
        <v>58045</v>
      </c>
      <c r="B409" s="5" t="str">
        <f t="shared" si="52"/>
        <v>dezembro</v>
      </c>
      <c r="C409" s="5" t="str">
        <f t="shared" si="58"/>
        <v>2058</v>
      </c>
      <c r="D409" s="5">
        <f>SUMIFS(Despesas!$F:$F,Despesas!$J:$J,"&lt;="&amp;$A409,Despesas!$L:$L,"&gt;="&amp;$A409,Despesas!$C:$C,D$1,Despesas!$M:$M,"Mensal")+SUMIFS(Despesas!$F:$F,Despesas!$J:$J,"&lt;="&amp;$A409,Despesas!$L:$L,"&gt;="&amp;$A409,Despesas!$C:$C,D$1,Despesas!$M:$M,$B409)</f>
        <v>23000</v>
      </c>
      <c r="E409" s="18">
        <f>SUMIFS(Despesas!$F:$F,Despesas!$J:$J,"&lt;="&amp;$A409,Despesas!$L:$L,"&gt;="&amp;$A409,Despesas!$C:$C,E$1,Despesas!$M:$M,"Mensal")+SUMIFS(Despesas!$F:$F,Despesas!$J:$J,"&lt;="&amp;$A409,Despesas!$L:$L,"&gt;="&amp;$A409,Despesas!$C:$C,E$1,Despesas!$M:$M,$B409)</f>
        <v>0</v>
      </c>
      <c r="F409" s="5">
        <f>SUMIFS(Despesas!$F:$F,Despesas!$J:$J,"&lt;="&amp;$A409,Despesas!$L:$L,"&gt;="&amp;$A409,Despesas!$C:$C,F$1,Despesas!$M:$M,"Mensal")+SUMIFS(Despesas!$F:$F,Despesas!$J:$J,"&lt;="&amp;$A409,Despesas!$L:$L,"&gt;="&amp;$A409,Despesas!$C:$C,F$1,Despesas!$M:$M,$B409)</f>
        <v>13000</v>
      </c>
      <c r="G409" s="5">
        <f ca="1">SUMIFS(Despesas!$F:$F,Despesas!$J:$J,"&lt;="&amp;$A409,Despesas!$L:$L,"&gt;="&amp;$A409,Despesas!$C:$C,G$1,Despesas!$M:$M,"Mensal")+SUMIFS(Despesas!$F:$F,Despesas!$J:$J,"&lt;="&amp;$A409,Despesas!$L:$L,"&gt;="&amp;$A409,Despesas!$C:$C,G$1,Despesas!$M:$M,$B409)</f>
        <v>55757</v>
      </c>
      <c r="H409" s="18">
        <f>SUMIFS(Despesas!$F:$F,Despesas!$J:$J,"&lt;="&amp;$A409,Despesas!$L:$L,"&gt;="&amp;$A409,Despesas!$C:$C,H$1,Despesas!$M:$M,"Mensal")+SUMIFS(Despesas!$F:$F,Despesas!$J:$J,"&lt;="&amp;$A409,Despesas!$L:$L,"&gt;="&amp;$A409,Despesas!$C:$C,H$1,Despesas!$M:$M,$B409)</f>
        <v>1000</v>
      </c>
      <c r="I409" s="18">
        <f>IF(Imóveis!$F$2="PRICE",IF(AND(Dados!$A409&gt;=Imóveis!$Q$2,Dados!$A409&lt;=Imóveis!$T$2),Imóveis!$U$2,0),IF((IF(AND(Dados!$A409&gt;=Imóveis!$Q$2,Dados!$A409&lt;=Imóveis!$T$2),Imóveis!$S$2-(DATEDIF(Imóveis!$Q$2,Dados!$A409,"m")),0))=0,0,((Imóveis!$N$2/Imóveis!$S$2)+((Imóveis!$N$2-((Imóveis!$S$2-(IF(AND(Dados!$A409&gt;=Imóveis!$Q$2,Dados!$A409&lt;=Imóveis!$T$2),Imóveis!$S$2-(DATEDIF(Imóveis!$Q$2,Dados!$A409,"m")),)))*(Imóveis!$N$2/Imóveis!$S$2)))*Imóveis!$P$2))))*IF(AND(Imóveis!$E$2&gt;0,Dados!$A409&gt;Imóveis!$E$2),0,1)</f>
        <v>0</v>
      </c>
      <c r="J409" s="18">
        <f>IF(Imóveis!$F$3="PRICE",IF(AND(Dados!$A409&gt;=Imóveis!$Q$3,Dados!$A409&lt;=Imóveis!$T$3),Imóveis!$U$3,0),IF((IF(AND(Dados!$A409&gt;=Imóveis!$Q$3,Dados!$A409&lt;=Imóveis!$T$3),Imóveis!$S$3-(DATEDIF(Imóveis!$Q$3,Dados!$A409,"m")),0))=0,0,((Imóveis!$N$3/Imóveis!$S$3)+((Imóveis!$N$3-((Imóveis!$S$3-(IF(AND(Dados!$A409&gt;=Imóveis!$Q$3,Dados!$A409&lt;=Imóveis!$T$3),Imóveis!$S$3-(DATEDIF(Imóveis!$Q$3,Dados!$A409,"m")),)))*(Imóveis!$N$3/Imóveis!$S$3)))*Imóveis!$P$3))))*IF(AND(Imóveis!$E$3&gt;0,Dados!$A409&gt;Imóveis!$E$3),0,1)</f>
        <v>0</v>
      </c>
      <c r="K409" s="18">
        <f>IF(Imóveis!$F$4="PRICE",IF(AND(Dados!$A409&gt;=Imóveis!$Q$4,Dados!$A409&lt;=Imóveis!$T$4),Imóveis!$U$4,0),IF((IF(AND(Dados!$A409&gt;=Imóveis!$Q$4,Dados!$A409&lt;=Imóveis!$T$4),Imóveis!$S$4-(DATEDIF(Imóveis!$Q$4,Dados!$A409,"m")),0))=0,0,((Imóveis!$N$4/Imóveis!$S$4)+((Imóveis!$N$4-((Imóveis!$S$4-(IF(AND(Dados!$A409&gt;=Imóveis!$Q$4,Dados!$A409&lt;=Imóveis!$T$4),Imóveis!$S$4-(DATEDIF(Imóveis!$Q$4,Dados!$A409,"m")),)))*(Imóveis!$N$4/Imóveis!$S$4)))*Imóveis!$P$4))))*IF(AND(Imóveis!$E$4&gt;0,Dados!$A409&gt;Imóveis!$E$4),0,1)</f>
        <v>0</v>
      </c>
      <c r="L409" s="18">
        <f>IF(Imóveis!$F$5="PRICE",IF(AND(Dados!$A409&gt;=Imóveis!$Q$5,Dados!$A409&lt;=Imóveis!$T$5),Imóveis!$U$5,0),IF((IF(AND(Dados!$A409&gt;=Imóveis!$Q$5,Dados!$A409&lt;=Imóveis!$T$5),Imóveis!$S$5-(DATEDIF(Imóveis!$Q$5,Dados!$A409,"m")),0))=0,0,((Imóveis!$N$5/Imóveis!$S$5)+((Imóveis!$N$5-((Imóveis!$S$5-(IF(AND(Dados!$A409 &gt;=Imóveis!$Q$5,Dados!$A409&lt;=Imóveis!$T$5),Imóveis!$S$5-(DATEDIF(Imóveis!$Q$5,Dados!$A409,"m")),)))*(Imóveis!$N$5/Imóveis!$S$5)))*Imóveis!$P$5))))*IF(AND(Imóveis!$E$5&gt;0,Dados!$A409&gt;Imóveis!$E$5),0,1)*Imóveis!$I$5</f>
        <v>0</v>
      </c>
      <c r="M409" s="18">
        <f>IF(Imóveis!$F$6="PRICE",IF(AND(Dados!$A409&gt;=Imóveis!$Q$6,Dados!$A409&lt;=Imóveis!$T$6),Imóveis!$U$6,0),IF((IF(AND(Dados!$A409&gt;=Imóveis!$Q$6,Dados!$A409&lt;=Imóveis!$T$6),Imóveis!$S$6-(DATEDIF(Imóveis!$Q$6,Dados!$A409,"m")),0))=0,0,((Imóveis!$N$6/Imóveis!$S$6)+((Imóveis!$N$6-((Imóveis!$S$6-(IF(AND(Dados!$A409&gt;=Imóveis!$Q$6,Dados!$A409&lt;=Imóveis!$T$6),Imóveis!$S$6-(DATEDIF(Imóveis!$Q$6,Dados!$A409,"m")),)))*(Imóveis!$N$6/Imóveis!$S$6)))*Imóveis!$P$6))))*IF(AND(Imóveis!$E$6&gt;0,Dados!$A409&gt;Imóveis!$E$6),0,1)*Imóveis!$I$6</f>
        <v>0</v>
      </c>
      <c r="N409" s="18">
        <f t="shared" ca="1" si="53"/>
        <v>92757</v>
      </c>
      <c r="O409" s="18">
        <f>SUMIFS(Receitas!$F:$F,Receitas!$J:$J,"&lt;="&amp;$A409,Receitas!$L:$L,"&gt;="&amp;$A409,Receitas!$C:$C,O$1,Receitas!$M:$M,"Mensal")+SUMIFS(Receitas!$F:$F,Receitas!$J:$J,"&lt;="&amp;$A409,Receitas!$L:$L,"&gt;="&amp;$A409,Receitas!$C:$C,O$1,Receitas!$M:$M,$B409)</f>
        <v>0</v>
      </c>
      <c r="P409" s="18">
        <f>SUMIFS(Receitas!$F:$F,Receitas!$J:$J,"&lt;="&amp;$A409,Receitas!$L:$L,"&gt;="&amp;$A409,Receitas!$C:$C,P$1,Receitas!$M:$M,"Mensal")+SUMIFS(Receitas!$F:$F,Receitas!$J:$J,"&lt;="&amp;$A409,Receitas!$L:$L,"&gt;="&amp;$A409,Receitas!$C:$C,P$1,Receitas!$M:$M,$B409)</f>
        <v>0</v>
      </c>
      <c r="Q409" s="18">
        <f>SUMIFS(Receitas!$F:$F,Receitas!$J:$J,"&lt;="&amp;$A409,Receitas!$L:$L,"&gt;="&amp;$A409,Receitas!$C:$C,Q$1,Receitas!$M:$M,"Mensal")+SUMIFS(Receitas!$F:$F,Receitas!$J:$J,"&lt;="&amp;$A409,Receitas!$L:$L,"&gt;="&amp;$A409,Receitas!$C:$C,Q$1,Receitas!$M:$M,$B409)</f>
        <v>0</v>
      </c>
      <c r="R409" s="18" cm="1">
        <f t="array" ref="R409">(IF(AND(Membros!$F$2="Sim",A409&lt;=MAX(Membros!$E$2:$E$5)),Membros!K$2,IF(AND(A409&gt;=Membros!J$2,A409&lt;=MAX(Membros!$E$2:$E$5)),Membros!K$2,0))+IF(AND(Membros!$F$3="Sim",A409&lt;=MAX(Membros!$E$2:$E$5)),Membros!K$3,IF(AND(A409&gt;=Membros!J$3,A409&lt;=MAX(Membros!$E$2:$E$5)),Membros!K$3,0)))*IF(AND(COUNTIFS(Tabela3[Tipo],"Provedor",Tabela3[Simulação Seguro],"Sim")=2,A409&gt;=MAX(IF(Tabela3[Tipo]="Dependente",Tabela3[Expectativa de Vida (Data)]))),0,1)</f>
        <v>10000</v>
      </c>
      <c r="S409" s="18">
        <f t="shared" si="54"/>
        <v>10000</v>
      </c>
      <c r="U409" s="18">
        <f t="shared" ca="1" si="57"/>
        <v>26427019.146479029</v>
      </c>
      <c r="V409" s="18">
        <f>SUMIF(Imóveis!E:E,Dados!A:A,Imóveis!Z:Z)-SUMIF(Imóveis!E:E,Dados!A:A,Imóveis!Y:Y)</f>
        <v>0</v>
      </c>
      <c r="W409" s="18">
        <f>-SUMIF(Projetos!N:N,A409,Projetos!F:F)</f>
        <v>0</v>
      </c>
      <c r="X409" s="18">
        <f t="shared" ca="1" si="51"/>
        <v>-82757</v>
      </c>
      <c r="Y409" s="26">
        <f ca="1">(U409*((Indicadores_Economicos!D$2+1)^(1/12)-1))</f>
        <v>86515.183904760794</v>
      </c>
      <c r="Z409" s="18">
        <f t="shared" ca="1" si="55"/>
        <v>26430777.330383789</v>
      </c>
      <c r="AA409" s="18">
        <f ca="1">Auxiliar_Projetos!E409</f>
        <v>1.4788009222657878E-9</v>
      </c>
      <c r="AB409" s="18">
        <f ca="1">Auxiliar_Projetos!K409</f>
        <v>1.1375391709736813E-9</v>
      </c>
      <c r="AC409" s="18">
        <f ca="1">IF(Z409-AA409-AB409&gt;Investimentos!$C$14,Investimentos!$C$14,IF(Z409-AA409-AB409&lt;Investimentos!$C$14,Z409-AA409-AB409,0))</f>
        <v>300000</v>
      </c>
      <c r="AD409" s="18">
        <f t="shared" ca="1" si="56"/>
        <v>26130777.330383789</v>
      </c>
      <c r="AE409" s="18"/>
    </row>
    <row r="410" spans="1:31" x14ac:dyDescent="0.2">
      <c r="A410" s="4">
        <v>58076</v>
      </c>
      <c r="B410" s="5" t="str">
        <f t="shared" si="52"/>
        <v>janeiro</v>
      </c>
      <c r="C410" s="5" t="str">
        <f t="shared" si="58"/>
        <v>2059</v>
      </c>
      <c r="D410" s="5">
        <f>SUMIFS(Despesas!$F:$F,Despesas!$J:$J,"&lt;="&amp;$A410,Despesas!$L:$L,"&gt;="&amp;$A410,Despesas!$C:$C,D$1,Despesas!$M:$M,"Mensal")+SUMIFS(Despesas!$F:$F,Despesas!$J:$J,"&lt;="&amp;$A410,Despesas!$L:$L,"&gt;="&amp;$A410,Despesas!$C:$C,D$1,Despesas!$M:$M,$B410)</f>
        <v>23000</v>
      </c>
      <c r="E410" s="18">
        <f>SUMIFS(Despesas!$F:$F,Despesas!$J:$J,"&lt;="&amp;$A410,Despesas!$L:$L,"&gt;="&amp;$A410,Despesas!$C:$C,E$1,Despesas!$M:$M,"Mensal")+SUMIFS(Despesas!$F:$F,Despesas!$J:$J,"&lt;="&amp;$A410,Despesas!$L:$L,"&gt;="&amp;$A410,Despesas!$C:$C,E$1,Despesas!$M:$M,$B410)</f>
        <v>0</v>
      </c>
      <c r="F410" s="5">
        <f>SUMIFS(Despesas!$F:$F,Despesas!$J:$J,"&lt;="&amp;$A410,Despesas!$L:$L,"&gt;="&amp;$A410,Despesas!$C:$C,F$1,Despesas!$M:$M,"Mensal")+SUMIFS(Despesas!$F:$F,Despesas!$J:$J,"&lt;="&amp;$A410,Despesas!$L:$L,"&gt;="&amp;$A410,Despesas!$C:$C,F$1,Despesas!$M:$M,$B410)</f>
        <v>13000</v>
      </c>
      <c r="G410" s="5">
        <f>SUMIFS(Despesas!$F:$F,Despesas!$J:$J,"&lt;="&amp;$A410,Despesas!$L:$L,"&gt;="&amp;$A410,Despesas!$C:$C,G$1,Despesas!$M:$M,"Mensal")+SUMIFS(Despesas!$F:$F,Despesas!$J:$J,"&lt;="&amp;$A410,Despesas!$L:$L,"&gt;="&amp;$A410,Despesas!$C:$C,G$1,Despesas!$M:$M,$B410)</f>
        <v>0</v>
      </c>
      <c r="H410" s="18">
        <f>SUMIFS(Despesas!$F:$F,Despesas!$J:$J,"&lt;="&amp;$A410,Despesas!$L:$L,"&gt;="&amp;$A410,Despesas!$C:$C,H$1,Despesas!$M:$M,"Mensal")+SUMIFS(Despesas!$F:$F,Despesas!$J:$J,"&lt;="&amp;$A410,Despesas!$L:$L,"&gt;="&amp;$A410,Despesas!$C:$C,H$1,Despesas!$M:$M,$B410)</f>
        <v>1000</v>
      </c>
      <c r="I410" s="18">
        <f>IF(Imóveis!$F$2="PRICE",IF(AND(Dados!$A410&gt;=Imóveis!$Q$2,Dados!$A410&lt;=Imóveis!$T$2),Imóveis!$U$2,0),IF((IF(AND(Dados!$A410&gt;=Imóveis!$Q$2,Dados!$A410&lt;=Imóveis!$T$2),Imóveis!$S$2-(DATEDIF(Imóveis!$Q$2,Dados!$A410,"m")),0))=0,0,((Imóveis!$N$2/Imóveis!$S$2)+((Imóveis!$N$2-((Imóveis!$S$2-(IF(AND(Dados!$A410&gt;=Imóveis!$Q$2,Dados!$A410&lt;=Imóveis!$T$2),Imóveis!$S$2-(DATEDIF(Imóveis!$Q$2,Dados!$A410,"m")),)))*(Imóveis!$N$2/Imóveis!$S$2)))*Imóveis!$P$2))))*IF(AND(Imóveis!$E$2&gt;0,Dados!$A410&gt;Imóveis!$E$2),0,1)</f>
        <v>0</v>
      </c>
      <c r="J410" s="18">
        <f>IF(Imóveis!$F$3="PRICE",IF(AND(Dados!$A410&gt;=Imóveis!$Q$3,Dados!$A410&lt;=Imóveis!$T$3),Imóveis!$U$3,0),IF((IF(AND(Dados!$A410&gt;=Imóveis!$Q$3,Dados!$A410&lt;=Imóveis!$T$3),Imóveis!$S$3-(DATEDIF(Imóveis!$Q$3,Dados!$A410,"m")),0))=0,0,((Imóveis!$N$3/Imóveis!$S$3)+((Imóveis!$N$3-((Imóveis!$S$3-(IF(AND(Dados!$A410&gt;=Imóveis!$Q$3,Dados!$A410&lt;=Imóveis!$T$3),Imóveis!$S$3-(DATEDIF(Imóveis!$Q$3,Dados!$A410,"m")),)))*(Imóveis!$N$3/Imóveis!$S$3)))*Imóveis!$P$3))))*IF(AND(Imóveis!$E$3&gt;0,Dados!$A410&gt;Imóveis!$E$3),0,1)</f>
        <v>0</v>
      </c>
      <c r="K410" s="18">
        <f>IF(Imóveis!$F$4="PRICE",IF(AND(Dados!$A410&gt;=Imóveis!$Q$4,Dados!$A410&lt;=Imóveis!$T$4),Imóveis!$U$4,0),IF((IF(AND(Dados!$A410&gt;=Imóveis!$Q$4,Dados!$A410&lt;=Imóveis!$T$4),Imóveis!$S$4-(DATEDIF(Imóveis!$Q$4,Dados!$A410,"m")),0))=0,0,((Imóveis!$N$4/Imóveis!$S$4)+((Imóveis!$N$4-((Imóveis!$S$4-(IF(AND(Dados!$A410&gt;=Imóveis!$Q$4,Dados!$A410&lt;=Imóveis!$T$4),Imóveis!$S$4-(DATEDIF(Imóveis!$Q$4,Dados!$A410,"m")),)))*(Imóveis!$N$4/Imóveis!$S$4)))*Imóveis!$P$4))))*IF(AND(Imóveis!$E$4&gt;0,Dados!$A410&gt;Imóveis!$E$4),0,1)</f>
        <v>0</v>
      </c>
      <c r="L410" s="18">
        <f>IF(Imóveis!$F$5="PRICE",IF(AND(Dados!$A410&gt;=Imóveis!$Q$5,Dados!$A410&lt;=Imóveis!$T$5),Imóveis!$U$5,0),IF((IF(AND(Dados!$A410&gt;=Imóveis!$Q$5,Dados!$A410&lt;=Imóveis!$T$5),Imóveis!$S$5-(DATEDIF(Imóveis!$Q$5,Dados!$A410,"m")),0))=0,0,((Imóveis!$N$5/Imóveis!$S$5)+((Imóveis!$N$5-((Imóveis!$S$5-(IF(AND(Dados!$A410 &gt;=Imóveis!$Q$5,Dados!$A410&lt;=Imóveis!$T$5),Imóveis!$S$5-(DATEDIF(Imóveis!$Q$5,Dados!$A410,"m")),)))*(Imóveis!$N$5/Imóveis!$S$5)))*Imóveis!$P$5))))*IF(AND(Imóveis!$E$5&gt;0,Dados!$A410&gt;Imóveis!$E$5),0,1)*Imóveis!$I$5</f>
        <v>0</v>
      </c>
      <c r="M410" s="18">
        <f>IF(Imóveis!$F$6="PRICE",IF(AND(Dados!$A410&gt;=Imóveis!$Q$6,Dados!$A410&lt;=Imóveis!$T$6),Imóveis!$U$6,0),IF((IF(AND(Dados!$A410&gt;=Imóveis!$Q$6,Dados!$A410&lt;=Imóveis!$T$6),Imóveis!$S$6-(DATEDIF(Imóveis!$Q$6,Dados!$A410,"m")),0))=0,0,((Imóveis!$N$6/Imóveis!$S$6)+((Imóveis!$N$6-((Imóveis!$S$6-(IF(AND(Dados!$A410&gt;=Imóveis!$Q$6,Dados!$A410&lt;=Imóveis!$T$6),Imóveis!$S$6-(DATEDIF(Imóveis!$Q$6,Dados!$A410,"m")),)))*(Imóveis!$N$6/Imóveis!$S$6)))*Imóveis!$P$6))))*IF(AND(Imóveis!$E$6&gt;0,Dados!$A410&gt;Imóveis!$E$6),0,1)*Imóveis!$I$6</f>
        <v>0</v>
      </c>
      <c r="N410" s="18">
        <f t="shared" si="53"/>
        <v>37000</v>
      </c>
      <c r="O410" s="18">
        <f>SUMIFS(Receitas!$F:$F,Receitas!$J:$J,"&lt;="&amp;$A410,Receitas!$L:$L,"&gt;="&amp;$A410,Receitas!$C:$C,O$1,Receitas!$M:$M,"Mensal")+SUMIFS(Receitas!$F:$F,Receitas!$J:$J,"&lt;="&amp;$A410,Receitas!$L:$L,"&gt;="&amp;$A410,Receitas!$C:$C,O$1,Receitas!$M:$M,$B410)</f>
        <v>0</v>
      </c>
      <c r="P410" s="18">
        <f>SUMIFS(Receitas!$F:$F,Receitas!$J:$J,"&lt;="&amp;$A410,Receitas!$L:$L,"&gt;="&amp;$A410,Receitas!$C:$C,P$1,Receitas!$M:$M,"Mensal")+SUMIFS(Receitas!$F:$F,Receitas!$J:$J,"&lt;="&amp;$A410,Receitas!$L:$L,"&gt;="&amp;$A410,Receitas!$C:$C,P$1,Receitas!$M:$M,$B410)</f>
        <v>0</v>
      </c>
      <c r="Q410" s="18">
        <f>SUMIFS(Receitas!$F:$F,Receitas!$J:$J,"&lt;="&amp;$A410,Receitas!$L:$L,"&gt;="&amp;$A410,Receitas!$C:$C,Q$1,Receitas!$M:$M,"Mensal")+SUMIFS(Receitas!$F:$F,Receitas!$J:$J,"&lt;="&amp;$A410,Receitas!$L:$L,"&gt;="&amp;$A410,Receitas!$C:$C,Q$1,Receitas!$M:$M,$B410)</f>
        <v>0</v>
      </c>
      <c r="R410" s="18" cm="1">
        <f t="array" ref="R410">(IF(AND(Membros!$F$2="Sim",A410&lt;=MAX(Membros!$E$2:$E$5)),Membros!K$2,IF(AND(A410&gt;=Membros!J$2,A410&lt;=MAX(Membros!$E$2:$E$5)),Membros!K$2,0))+IF(AND(Membros!$F$3="Sim",A410&lt;=MAX(Membros!$E$2:$E$5)),Membros!K$3,IF(AND(A410&gt;=Membros!J$3,A410&lt;=MAX(Membros!$E$2:$E$5)),Membros!K$3,0)))*IF(AND(COUNTIFS(Tabela3[Tipo],"Provedor",Tabela3[Simulação Seguro],"Sim")=2,A410&gt;=MAX(IF(Tabela3[Tipo]="Dependente",Tabela3[Expectativa de Vida (Data)]))),0,1)</f>
        <v>10000</v>
      </c>
      <c r="S410" s="18">
        <f t="shared" si="54"/>
        <v>10000</v>
      </c>
      <c r="U410" s="18">
        <f t="shared" ca="1" si="57"/>
        <v>26430777.330383789</v>
      </c>
      <c r="V410" s="18">
        <f>SUMIF(Imóveis!E:E,Dados!A:A,Imóveis!Z:Z)-SUMIF(Imóveis!E:E,Dados!A:A,Imóveis!Y:Y)</f>
        <v>0</v>
      </c>
      <c r="W410" s="18">
        <f>-SUMIF(Projetos!N:N,A410,Projetos!F:F)</f>
        <v>0</v>
      </c>
      <c r="X410" s="18">
        <f t="shared" si="51"/>
        <v>-27000</v>
      </c>
      <c r="Y410" s="26">
        <f ca="1">(U410*((Indicadores_Economicos!D$2+1)^(1/12)-1))</f>
        <v>86527.487220918629</v>
      </c>
      <c r="Z410" s="18">
        <f t="shared" ca="1" si="55"/>
        <v>26490304.817604706</v>
      </c>
      <c r="AA410" s="18">
        <f ca="1">Auxiliar_Projetos!E410</f>
        <v>1.4836421316749618E-9</v>
      </c>
      <c r="AB410" s="18">
        <f ca="1">Auxiliar_Projetos!K410</f>
        <v>1.1412631782115075E-9</v>
      </c>
      <c r="AC410" s="18">
        <f ca="1">IF(Z410-AA410-AB410&gt;Investimentos!$C$14,Investimentos!$C$14,IF(Z410-AA410-AB410&lt;Investimentos!$C$14,Z410-AA410-AB410,0))</f>
        <v>300000</v>
      </c>
      <c r="AD410" s="18">
        <f t="shared" ca="1" si="56"/>
        <v>26190304.817604706</v>
      </c>
      <c r="AE410" s="18"/>
    </row>
    <row r="411" spans="1:31" x14ac:dyDescent="0.2">
      <c r="A411" s="4">
        <v>58107</v>
      </c>
      <c r="B411" s="5" t="str">
        <f t="shared" si="52"/>
        <v>fevereiro</v>
      </c>
      <c r="C411" s="5" t="str">
        <f t="shared" si="58"/>
        <v>2059</v>
      </c>
      <c r="D411" s="5">
        <f>SUMIFS(Despesas!$F:$F,Despesas!$J:$J,"&lt;="&amp;$A411,Despesas!$L:$L,"&gt;="&amp;$A411,Despesas!$C:$C,D$1,Despesas!$M:$M,"Mensal")+SUMIFS(Despesas!$F:$F,Despesas!$J:$J,"&lt;="&amp;$A411,Despesas!$L:$L,"&gt;="&amp;$A411,Despesas!$C:$C,D$1,Despesas!$M:$M,$B411)</f>
        <v>23000</v>
      </c>
      <c r="E411" s="18">
        <f>SUMIFS(Despesas!$F:$F,Despesas!$J:$J,"&lt;="&amp;$A411,Despesas!$L:$L,"&gt;="&amp;$A411,Despesas!$C:$C,E$1,Despesas!$M:$M,"Mensal")+SUMIFS(Despesas!$F:$F,Despesas!$J:$J,"&lt;="&amp;$A411,Despesas!$L:$L,"&gt;="&amp;$A411,Despesas!$C:$C,E$1,Despesas!$M:$M,$B411)</f>
        <v>0</v>
      </c>
      <c r="F411" s="5">
        <f>SUMIFS(Despesas!$F:$F,Despesas!$J:$J,"&lt;="&amp;$A411,Despesas!$L:$L,"&gt;="&amp;$A411,Despesas!$C:$C,F$1,Despesas!$M:$M,"Mensal")+SUMIFS(Despesas!$F:$F,Despesas!$J:$J,"&lt;="&amp;$A411,Despesas!$L:$L,"&gt;="&amp;$A411,Despesas!$C:$C,F$1,Despesas!$M:$M,$B411)</f>
        <v>13000</v>
      </c>
      <c r="G411" s="5">
        <f>SUMIFS(Despesas!$F:$F,Despesas!$J:$J,"&lt;="&amp;$A411,Despesas!$L:$L,"&gt;="&amp;$A411,Despesas!$C:$C,G$1,Despesas!$M:$M,"Mensal")+SUMIFS(Despesas!$F:$F,Despesas!$J:$J,"&lt;="&amp;$A411,Despesas!$L:$L,"&gt;="&amp;$A411,Despesas!$C:$C,G$1,Despesas!$M:$M,$B411)</f>
        <v>0</v>
      </c>
      <c r="H411" s="18">
        <f>SUMIFS(Despesas!$F:$F,Despesas!$J:$J,"&lt;="&amp;$A411,Despesas!$L:$L,"&gt;="&amp;$A411,Despesas!$C:$C,H$1,Despesas!$M:$M,"Mensal")+SUMIFS(Despesas!$F:$F,Despesas!$J:$J,"&lt;="&amp;$A411,Despesas!$L:$L,"&gt;="&amp;$A411,Despesas!$C:$C,H$1,Despesas!$M:$M,$B411)</f>
        <v>2200</v>
      </c>
      <c r="I411" s="18">
        <f>IF(Imóveis!$F$2="PRICE",IF(AND(Dados!$A411&gt;=Imóveis!$Q$2,Dados!$A411&lt;=Imóveis!$T$2),Imóveis!$U$2,0),IF((IF(AND(Dados!$A411&gt;=Imóveis!$Q$2,Dados!$A411&lt;=Imóveis!$T$2),Imóveis!$S$2-(DATEDIF(Imóveis!$Q$2,Dados!$A411,"m")),0))=0,0,((Imóveis!$N$2/Imóveis!$S$2)+((Imóveis!$N$2-((Imóveis!$S$2-(IF(AND(Dados!$A411&gt;=Imóveis!$Q$2,Dados!$A411&lt;=Imóveis!$T$2),Imóveis!$S$2-(DATEDIF(Imóveis!$Q$2,Dados!$A411,"m")),)))*(Imóveis!$N$2/Imóveis!$S$2)))*Imóveis!$P$2))))*IF(AND(Imóveis!$E$2&gt;0,Dados!$A411&gt;Imóveis!$E$2),0,1)</f>
        <v>0</v>
      </c>
      <c r="J411" s="18">
        <f>IF(Imóveis!$F$3="PRICE",IF(AND(Dados!$A411&gt;=Imóveis!$Q$3,Dados!$A411&lt;=Imóveis!$T$3),Imóveis!$U$3,0),IF((IF(AND(Dados!$A411&gt;=Imóveis!$Q$3,Dados!$A411&lt;=Imóveis!$T$3),Imóveis!$S$3-(DATEDIF(Imóveis!$Q$3,Dados!$A411,"m")),0))=0,0,((Imóveis!$N$3/Imóveis!$S$3)+((Imóveis!$N$3-((Imóveis!$S$3-(IF(AND(Dados!$A411&gt;=Imóveis!$Q$3,Dados!$A411&lt;=Imóveis!$T$3),Imóveis!$S$3-(DATEDIF(Imóveis!$Q$3,Dados!$A411,"m")),)))*(Imóveis!$N$3/Imóveis!$S$3)))*Imóveis!$P$3))))*IF(AND(Imóveis!$E$3&gt;0,Dados!$A411&gt;Imóveis!$E$3),0,1)</f>
        <v>0</v>
      </c>
      <c r="K411" s="18">
        <f>IF(Imóveis!$F$4="PRICE",IF(AND(Dados!$A411&gt;=Imóveis!$Q$4,Dados!$A411&lt;=Imóveis!$T$4),Imóveis!$U$4,0),IF((IF(AND(Dados!$A411&gt;=Imóveis!$Q$4,Dados!$A411&lt;=Imóveis!$T$4),Imóveis!$S$4-(DATEDIF(Imóveis!$Q$4,Dados!$A411,"m")),0))=0,0,((Imóveis!$N$4/Imóveis!$S$4)+((Imóveis!$N$4-((Imóveis!$S$4-(IF(AND(Dados!$A411&gt;=Imóveis!$Q$4,Dados!$A411&lt;=Imóveis!$T$4),Imóveis!$S$4-(DATEDIF(Imóveis!$Q$4,Dados!$A411,"m")),)))*(Imóveis!$N$4/Imóveis!$S$4)))*Imóveis!$P$4))))*IF(AND(Imóveis!$E$4&gt;0,Dados!$A411&gt;Imóveis!$E$4),0,1)</f>
        <v>0</v>
      </c>
      <c r="L411" s="18">
        <f>IF(Imóveis!$F$5="PRICE",IF(AND(Dados!$A411&gt;=Imóveis!$Q$5,Dados!$A411&lt;=Imóveis!$T$5),Imóveis!$U$5,0),IF((IF(AND(Dados!$A411&gt;=Imóveis!$Q$5,Dados!$A411&lt;=Imóveis!$T$5),Imóveis!$S$5-(DATEDIF(Imóveis!$Q$5,Dados!$A411,"m")),0))=0,0,((Imóveis!$N$5/Imóveis!$S$5)+((Imóveis!$N$5-((Imóveis!$S$5-(IF(AND(Dados!$A411 &gt;=Imóveis!$Q$5,Dados!$A411&lt;=Imóveis!$T$5),Imóveis!$S$5-(DATEDIF(Imóveis!$Q$5,Dados!$A411,"m")),)))*(Imóveis!$N$5/Imóveis!$S$5)))*Imóveis!$P$5))))*IF(AND(Imóveis!$E$5&gt;0,Dados!$A411&gt;Imóveis!$E$5),0,1)*Imóveis!$I$5</f>
        <v>0</v>
      </c>
      <c r="M411" s="18">
        <f>IF(Imóveis!$F$6="PRICE",IF(AND(Dados!$A411&gt;=Imóveis!$Q$6,Dados!$A411&lt;=Imóveis!$T$6),Imóveis!$U$6,0),IF((IF(AND(Dados!$A411&gt;=Imóveis!$Q$6,Dados!$A411&lt;=Imóveis!$T$6),Imóveis!$S$6-(DATEDIF(Imóveis!$Q$6,Dados!$A411,"m")),0))=0,0,((Imóveis!$N$6/Imóveis!$S$6)+((Imóveis!$N$6-((Imóveis!$S$6-(IF(AND(Dados!$A411&gt;=Imóveis!$Q$6,Dados!$A411&lt;=Imóveis!$T$6),Imóveis!$S$6-(DATEDIF(Imóveis!$Q$6,Dados!$A411,"m")),)))*(Imóveis!$N$6/Imóveis!$S$6)))*Imóveis!$P$6))))*IF(AND(Imóveis!$E$6&gt;0,Dados!$A411&gt;Imóveis!$E$6),0,1)*Imóveis!$I$6</f>
        <v>0</v>
      </c>
      <c r="N411" s="18">
        <f t="shared" si="53"/>
        <v>38200</v>
      </c>
      <c r="O411" s="18">
        <f>SUMIFS(Receitas!$F:$F,Receitas!$J:$J,"&lt;="&amp;$A411,Receitas!$L:$L,"&gt;="&amp;$A411,Receitas!$C:$C,O$1,Receitas!$M:$M,"Mensal")+SUMIFS(Receitas!$F:$F,Receitas!$J:$J,"&lt;="&amp;$A411,Receitas!$L:$L,"&gt;="&amp;$A411,Receitas!$C:$C,O$1,Receitas!$M:$M,$B411)</f>
        <v>0</v>
      </c>
      <c r="P411" s="18">
        <f>SUMIFS(Receitas!$F:$F,Receitas!$J:$J,"&lt;="&amp;$A411,Receitas!$L:$L,"&gt;="&amp;$A411,Receitas!$C:$C,P$1,Receitas!$M:$M,"Mensal")+SUMIFS(Receitas!$F:$F,Receitas!$J:$J,"&lt;="&amp;$A411,Receitas!$L:$L,"&gt;="&amp;$A411,Receitas!$C:$C,P$1,Receitas!$M:$M,$B411)</f>
        <v>0</v>
      </c>
      <c r="Q411" s="18">
        <f>SUMIFS(Receitas!$F:$F,Receitas!$J:$J,"&lt;="&amp;$A411,Receitas!$L:$L,"&gt;="&amp;$A411,Receitas!$C:$C,Q$1,Receitas!$M:$M,"Mensal")+SUMIFS(Receitas!$F:$F,Receitas!$J:$J,"&lt;="&amp;$A411,Receitas!$L:$L,"&gt;="&amp;$A411,Receitas!$C:$C,Q$1,Receitas!$M:$M,$B411)</f>
        <v>0</v>
      </c>
      <c r="R411" s="18" cm="1">
        <f t="array" ref="R411">(IF(AND(Membros!$F$2="Sim",A411&lt;=MAX(Membros!$E$2:$E$5)),Membros!K$2,IF(AND(A411&gt;=Membros!J$2,A411&lt;=MAX(Membros!$E$2:$E$5)),Membros!K$2,0))+IF(AND(Membros!$F$3="Sim",A411&lt;=MAX(Membros!$E$2:$E$5)),Membros!K$3,IF(AND(A411&gt;=Membros!J$3,A411&lt;=MAX(Membros!$E$2:$E$5)),Membros!K$3,0)))*IF(AND(COUNTIFS(Tabela3[Tipo],"Provedor",Tabela3[Simulação Seguro],"Sim")=2,A411&gt;=MAX(IF(Tabela3[Tipo]="Dependente",Tabela3[Expectativa de Vida (Data)]))),0,1)</f>
        <v>10000</v>
      </c>
      <c r="S411" s="18">
        <f t="shared" si="54"/>
        <v>10000</v>
      </c>
      <c r="U411" s="18">
        <f t="shared" ca="1" si="57"/>
        <v>26490304.817604706</v>
      </c>
      <c r="V411" s="18">
        <f>SUMIF(Imóveis!E:E,Dados!A:A,Imóveis!Z:Z)-SUMIF(Imóveis!E:E,Dados!A:A,Imóveis!Y:Y)</f>
        <v>0</v>
      </c>
      <c r="W411" s="18">
        <f>-SUMIF(Projetos!N:N,A411,Projetos!F:F)</f>
        <v>0</v>
      </c>
      <c r="X411" s="18">
        <f t="shared" si="51"/>
        <v>-28200</v>
      </c>
      <c r="Y411" s="26">
        <f ca="1">(U411*((Indicadores_Economicos!D$2+1)^(1/12)-1))</f>
        <v>86722.364723968087</v>
      </c>
      <c r="Z411" s="18">
        <f t="shared" ca="1" si="55"/>
        <v>26548827.182328675</v>
      </c>
      <c r="AA411" s="18">
        <f ca="1">Auxiliar_Projetos!E411</f>
        <v>1.4884991899439725E-9</v>
      </c>
      <c r="AB411" s="18">
        <f ca="1">Auxiliar_Projetos!K411</f>
        <v>1.1449993768799773E-9</v>
      </c>
      <c r="AC411" s="18">
        <f ca="1">IF(Z411-AA411-AB411&gt;Investimentos!$C$14,Investimentos!$C$14,IF(Z411-AA411-AB411&lt;Investimentos!$C$14,Z411-AA411-AB411,0))</f>
        <v>300000</v>
      </c>
      <c r="AD411" s="18">
        <f t="shared" ca="1" si="56"/>
        <v>26248827.182328675</v>
      </c>
      <c r="AE411" s="18"/>
    </row>
    <row r="412" spans="1:31" x14ac:dyDescent="0.2">
      <c r="A412" s="4">
        <v>58135</v>
      </c>
      <c r="B412" s="5" t="str">
        <f t="shared" si="52"/>
        <v>março</v>
      </c>
      <c r="C412" s="5" t="str">
        <f t="shared" si="58"/>
        <v>2059</v>
      </c>
      <c r="D412" s="5">
        <f>SUMIFS(Despesas!$F:$F,Despesas!$J:$J,"&lt;="&amp;$A412,Despesas!$L:$L,"&gt;="&amp;$A412,Despesas!$C:$C,D$1,Despesas!$M:$M,"Mensal")+SUMIFS(Despesas!$F:$F,Despesas!$J:$J,"&lt;="&amp;$A412,Despesas!$L:$L,"&gt;="&amp;$A412,Despesas!$C:$C,D$1,Despesas!$M:$M,$B412)</f>
        <v>23000</v>
      </c>
      <c r="E412" s="18">
        <f>SUMIFS(Despesas!$F:$F,Despesas!$J:$J,"&lt;="&amp;$A412,Despesas!$L:$L,"&gt;="&amp;$A412,Despesas!$C:$C,E$1,Despesas!$M:$M,"Mensal")+SUMIFS(Despesas!$F:$F,Despesas!$J:$J,"&lt;="&amp;$A412,Despesas!$L:$L,"&gt;="&amp;$A412,Despesas!$C:$C,E$1,Despesas!$M:$M,$B412)</f>
        <v>0</v>
      </c>
      <c r="F412" s="5">
        <f>SUMIFS(Despesas!$F:$F,Despesas!$J:$J,"&lt;="&amp;$A412,Despesas!$L:$L,"&gt;="&amp;$A412,Despesas!$C:$C,F$1,Despesas!$M:$M,"Mensal")+SUMIFS(Despesas!$F:$F,Despesas!$J:$J,"&lt;="&amp;$A412,Despesas!$L:$L,"&gt;="&amp;$A412,Despesas!$C:$C,F$1,Despesas!$M:$M,$B412)</f>
        <v>13000</v>
      </c>
      <c r="G412" s="5">
        <f>SUMIFS(Despesas!$F:$F,Despesas!$J:$J,"&lt;="&amp;$A412,Despesas!$L:$L,"&gt;="&amp;$A412,Despesas!$C:$C,G$1,Despesas!$M:$M,"Mensal")+SUMIFS(Despesas!$F:$F,Despesas!$J:$J,"&lt;="&amp;$A412,Despesas!$L:$L,"&gt;="&amp;$A412,Despesas!$C:$C,G$1,Despesas!$M:$M,$B412)</f>
        <v>0</v>
      </c>
      <c r="H412" s="18">
        <f>SUMIFS(Despesas!$F:$F,Despesas!$J:$J,"&lt;="&amp;$A412,Despesas!$L:$L,"&gt;="&amp;$A412,Despesas!$C:$C,H$1,Despesas!$M:$M,"Mensal")+SUMIFS(Despesas!$F:$F,Despesas!$J:$J,"&lt;="&amp;$A412,Despesas!$L:$L,"&gt;="&amp;$A412,Despesas!$C:$C,H$1,Despesas!$M:$M,$B412)</f>
        <v>1000</v>
      </c>
      <c r="I412" s="18">
        <f>IF(Imóveis!$F$2="PRICE",IF(AND(Dados!$A412&gt;=Imóveis!$Q$2,Dados!$A412&lt;=Imóveis!$T$2),Imóveis!$U$2,0),IF((IF(AND(Dados!$A412&gt;=Imóveis!$Q$2,Dados!$A412&lt;=Imóveis!$T$2),Imóveis!$S$2-(DATEDIF(Imóveis!$Q$2,Dados!$A412,"m")),0))=0,0,((Imóveis!$N$2/Imóveis!$S$2)+((Imóveis!$N$2-((Imóveis!$S$2-(IF(AND(Dados!$A412&gt;=Imóveis!$Q$2,Dados!$A412&lt;=Imóveis!$T$2),Imóveis!$S$2-(DATEDIF(Imóveis!$Q$2,Dados!$A412,"m")),)))*(Imóveis!$N$2/Imóveis!$S$2)))*Imóveis!$P$2))))*IF(AND(Imóveis!$E$2&gt;0,Dados!$A412&gt;Imóveis!$E$2),0,1)</f>
        <v>0</v>
      </c>
      <c r="J412" s="18">
        <f>IF(Imóveis!$F$3="PRICE",IF(AND(Dados!$A412&gt;=Imóveis!$Q$3,Dados!$A412&lt;=Imóveis!$T$3),Imóveis!$U$3,0),IF((IF(AND(Dados!$A412&gt;=Imóveis!$Q$3,Dados!$A412&lt;=Imóveis!$T$3),Imóveis!$S$3-(DATEDIF(Imóveis!$Q$3,Dados!$A412,"m")),0))=0,0,((Imóveis!$N$3/Imóveis!$S$3)+((Imóveis!$N$3-((Imóveis!$S$3-(IF(AND(Dados!$A412&gt;=Imóveis!$Q$3,Dados!$A412&lt;=Imóveis!$T$3),Imóveis!$S$3-(DATEDIF(Imóveis!$Q$3,Dados!$A412,"m")),)))*(Imóveis!$N$3/Imóveis!$S$3)))*Imóveis!$P$3))))*IF(AND(Imóveis!$E$3&gt;0,Dados!$A412&gt;Imóveis!$E$3),0,1)</f>
        <v>0</v>
      </c>
      <c r="K412" s="18">
        <f>IF(Imóveis!$F$4="PRICE",IF(AND(Dados!$A412&gt;=Imóveis!$Q$4,Dados!$A412&lt;=Imóveis!$T$4),Imóveis!$U$4,0),IF((IF(AND(Dados!$A412&gt;=Imóveis!$Q$4,Dados!$A412&lt;=Imóveis!$T$4),Imóveis!$S$4-(DATEDIF(Imóveis!$Q$4,Dados!$A412,"m")),0))=0,0,((Imóveis!$N$4/Imóveis!$S$4)+((Imóveis!$N$4-((Imóveis!$S$4-(IF(AND(Dados!$A412&gt;=Imóveis!$Q$4,Dados!$A412&lt;=Imóveis!$T$4),Imóveis!$S$4-(DATEDIF(Imóveis!$Q$4,Dados!$A412,"m")),)))*(Imóveis!$N$4/Imóveis!$S$4)))*Imóveis!$P$4))))*IF(AND(Imóveis!$E$4&gt;0,Dados!$A412&gt;Imóveis!$E$4),0,1)</f>
        <v>0</v>
      </c>
      <c r="L412" s="18">
        <f>IF(Imóveis!$F$5="PRICE",IF(AND(Dados!$A412&gt;=Imóveis!$Q$5,Dados!$A412&lt;=Imóveis!$T$5),Imóveis!$U$5,0),IF((IF(AND(Dados!$A412&gt;=Imóveis!$Q$5,Dados!$A412&lt;=Imóveis!$T$5),Imóveis!$S$5-(DATEDIF(Imóveis!$Q$5,Dados!$A412,"m")),0))=0,0,((Imóveis!$N$5/Imóveis!$S$5)+((Imóveis!$N$5-((Imóveis!$S$5-(IF(AND(Dados!$A412 &gt;=Imóveis!$Q$5,Dados!$A412&lt;=Imóveis!$T$5),Imóveis!$S$5-(DATEDIF(Imóveis!$Q$5,Dados!$A412,"m")),)))*(Imóveis!$N$5/Imóveis!$S$5)))*Imóveis!$P$5))))*IF(AND(Imóveis!$E$5&gt;0,Dados!$A412&gt;Imóveis!$E$5),0,1)*Imóveis!$I$5</f>
        <v>0</v>
      </c>
      <c r="M412" s="18">
        <f>IF(Imóveis!$F$6="PRICE",IF(AND(Dados!$A412&gt;=Imóveis!$Q$6,Dados!$A412&lt;=Imóveis!$T$6),Imóveis!$U$6,0),IF((IF(AND(Dados!$A412&gt;=Imóveis!$Q$6,Dados!$A412&lt;=Imóveis!$T$6),Imóveis!$S$6-(DATEDIF(Imóveis!$Q$6,Dados!$A412,"m")),0))=0,0,((Imóveis!$N$6/Imóveis!$S$6)+((Imóveis!$N$6-((Imóveis!$S$6-(IF(AND(Dados!$A412&gt;=Imóveis!$Q$6,Dados!$A412&lt;=Imóveis!$T$6),Imóveis!$S$6-(DATEDIF(Imóveis!$Q$6,Dados!$A412,"m")),)))*(Imóveis!$N$6/Imóveis!$S$6)))*Imóveis!$P$6))))*IF(AND(Imóveis!$E$6&gt;0,Dados!$A412&gt;Imóveis!$E$6),0,1)*Imóveis!$I$6</f>
        <v>0</v>
      </c>
      <c r="N412" s="18">
        <f t="shared" si="53"/>
        <v>37000</v>
      </c>
      <c r="O412" s="18">
        <f>SUMIFS(Receitas!$F:$F,Receitas!$J:$J,"&lt;="&amp;$A412,Receitas!$L:$L,"&gt;="&amp;$A412,Receitas!$C:$C,O$1,Receitas!$M:$M,"Mensal")+SUMIFS(Receitas!$F:$F,Receitas!$J:$J,"&lt;="&amp;$A412,Receitas!$L:$L,"&gt;="&amp;$A412,Receitas!$C:$C,O$1,Receitas!$M:$M,$B412)</f>
        <v>0</v>
      </c>
      <c r="P412" s="18">
        <f>SUMIFS(Receitas!$F:$F,Receitas!$J:$J,"&lt;="&amp;$A412,Receitas!$L:$L,"&gt;="&amp;$A412,Receitas!$C:$C,P$1,Receitas!$M:$M,"Mensal")+SUMIFS(Receitas!$F:$F,Receitas!$J:$J,"&lt;="&amp;$A412,Receitas!$L:$L,"&gt;="&amp;$A412,Receitas!$C:$C,P$1,Receitas!$M:$M,$B412)</f>
        <v>0</v>
      </c>
      <c r="Q412" s="18">
        <f>SUMIFS(Receitas!$F:$F,Receitas!$J:$J,"&lt;="&amp;$A412,Receitas!$L:$L,"&gt;="&amp;$A412,Receitas!$C:$C,Q$1,Receitas!$M:$M,"Mensal")+SUMIFS(Receitas!$F:$F,Receitas!$J:$J,"&lt;="&amp;$A412,Receitas!$L:$L,"&gt;="&amp;$A412,Receitas!$C:$C,Q$1,Receitas!$M:$M,$B412)</f>
        <v>0</v>
      </c>
      <c r="R412" s="18" cm="1">
        <f t="array" ref="R412">(IF(AND(Membros!$F$2="Sim",A412&lt;=MAX(Membros!$E$2:$E$5)),Membros!K$2,IF(AND(A412&gt;=Membros!J$2,A412&lt;=MAX(Membros!$E$2:$E$5)),Membros!K$2,0))+IF(AND(Membros!$F$3="Sim",A412&lt;=MAX(Membros!$E$2:$E$5)),Membros!K$3,IF(AND(A412&gt;=Membros!J$3,A412&lt;=MAX(Membros!$E$2:$E$5)),Membros!K$3,0)))*IF(AND(COUNTIFS(Tabela3[Tipo],"Provedor",Tabela3[Simulação Seguro],"Sim")=2,A412&gt;=MAX(IF(Tabela3[Tipo]="Dependente",Tabela3[Expectativa de Vida (Data)]))),0,1)</f>
        <v>10000</v>
      </c>
      <c r="S412" s="18">
        <f t="shared" si="54"/>
        <v>10000</v>
      </c>
      <c r="U412" s="18">
        <f t="shared" ca="1" si="57"/>
        <v>26548827.182328675</v>
      </c>
      <c r="V412" s="18">
        <f>SUMIF(Imóveis!E:E,Dados!A:A,Imóveis!Z:Z)-SUMIF(Imóveis!E:E,Dados!A:A,Imóveis!Y:Y)</f>
        <v>0</v>
      </c>
      <c r="W412" s="18">
        <f>-SUMIF(Projetos!N:N,A412,Projetos!F:F)</f>
        <v>0</v>
      </c>
      <c r="X412" s="18">
        <f t="shared" si="51"/>
        <v>-27000</v>
      </c>
      <c r="Y412" s="26">
        <f ca="1">(U412*((Indicadores_Economicos!D$2+1)^(1/12)-1))</f>
        <v>86913.951717513293</v>
      </c>
      <c r="Z412" s="18">
        <f t="shared" ca="1" si="55"/>
        <v>26608741.134046189</v>
      </c>
      <c r="AA412" s="18">
        <f ca="1">Auxiliar_Projetos!E412</f>
        <v>1.4933721489578629E-9</v>
      </c>
      <c r="AB412" s="18">
        <f ca="1">Auxiliar_Projetos!K412</f>
        <v>1.1487478068906624E-9</v>
      </c>
      <c r="AC412" s="18">
        <f ca="1">IF(Z412-AA412-AB412&gt;Investimentos!$C$14,Investimentos!$C$14,IF(Z412-AA412-AB412&lt;Investimentos!$C$14,Z412-AA412-AB412,0))</f>
        <v>300000</v>
      </c>
      <c r="AD412" s="18">
        <f t="shared" ca="1" si="56"/>
        <v>26308741.134046189</v>
      </c>
      <c r="AE412" s="18"/>
    </row>
    <row r="413" spans="1:31" x14ac:dyDescent="0.2">
      <c r="A413" s="4">
        <v>58166</v>
      </c>
      <c r="B413" s="5" t="str">
        <f t="shared" si="52"/>
        <v>abril</v>
      </c>
      <c r="C413" s="5" t="str">
        <f t="shared" si="58"/>
        <v>2059</v>
      </c>
      <c r="D413" s="5">
        <f>SUMIFS(Despesas!$F:$F,Despesas!$J:$J,"&lt;="&amp;$A413,Despesas!$L:$L,"&gt;="&amp;$A413,Despesas!$C:$C,D$1,Despesas!$M:$M,"Mensal")+SUMIFS(Despesas!$F:$F,Despesas!$J:$J,"&lt;="&amp;$A413,Despesas!$L:$L,"&gt;="&amp;$A413,Despesas!$C:$C,D$1,Despesas!$M:$M,$B413)</f>
        <v>23000</v>
      </c>
      <c r="E413" s="18">
        <f>SUMIFS(Despesas!$F:$F,Despesas!$J:$J,"&lt;="&amp;$A413,Despesas!$L:$L,"&gt;="&amp;$A413,Despesas!$C:$C,E$1,Despesas!$M:$M,"Mensal")+SUMIFS(Despesas!$F:$F,Despesas!$J:$J,"&lt;="&amp;$A413,Despesas!$L:$L,"&gt;="&amp;$A413,Despesas!$C:$C,E$1,Despesas!$M:$M,$B413)</f>
        <v>0</v>
      </c>
      <c r="F413" s="5">
        <f>SUMIFS(Despesas!$F:$F,Despesas!$J:$J,"&lt;="&amp;$A413,Despesas!$L:$L,"&gt;="&amp;$A413,Despesas!$C:$C,F$1,Despesas!$M:$M,"Mensal")+SUMIFS(Despesas!$F:$F,Despesas!$J:$J,"&lt;="&amp;$A413,Despesas!$L:$L,"&gt;="&amp;$A413,Despesas!$C:$C,F$1,Despesas!$M:$M,$B413)</f>
        <v>13000</v>
      </c>
      <c r="G413" s="5">
        <f>SUMIFS(Despesas!$F:$F,Despesas!$J:$J,"&lt;="&amp;$A413,Despesas!$L:$L,"&gt;="&amp;$A413,Despesas!$C:$C,G$1,Despesas!$M:$M,"Mensal")+SUMIFS(Despesas!$F:$F,Despesas!$J:$J,"&lt;="&amp;$A413,Despesas!$L:$L,"&gt;="&amp;$A413,Despesas!$C:$C,G$1,Despesas!$M:$M,$B413)</f>
        <v>0</v>
      </c>
      <c r="H413" s="18">
        <f>SUMIFS(Despesas!$F:$F,Despesas!$J:$J,"&lt;="&amp;$A413,Despesas!$L:$L,"&gt;="&amp;$A413,Despesas!$C:$C,H$1,Despesas!$M:$M,"Mensal")+SUMIFS(Despesas!$F:$F,Despesas!$J:$J,"&lt;="&amp;$A413,Despesas!$L:$L,"&gt;="&amp;$A413,Despesas!$C:$C,H$1,Despesas!$M:$M,$B413)</f>
        <v>1000</v>
      </c>
      <c r="I413" s="18">
        <f>IF(Imóveis!$F$2="PRICE",IF(AND(Dados!$A413&gt;=Imóveis!$Q$2,Dados!$A413&lt;=Imóveis!$T$2),Imóveis!$U$2,0),IF((IF(AND(Dados!$A413&gt;=Imóveis!$Q$2,Dados!$A413&lt;=Imóveis!$T$2),Imóveis!$S$2-(DATEDIF(Imóveis!$Q$2,Dados!$A413,"m")),0))=0,0,((Imóveis!$N$2/Imóveis!$S$2)+((Imóveis!$N$2-((Imóveis!$S$2-(IF(AND(Dados!$A413&gt;=Imóveis!$Q$2,Dados!$A413&lt;=Imóveis!$T$2),Imóveis!$S$2-(DATEDIF(Imóveis!$Q$2,Dados!$A413,"m")),)))*(Imóveis!$N$2/Imóveis!$S$2)))*Imóveis!$P$2))))*IF(AND(Imóveis!$E$2&gt;0,Dados!$A413&gt;Imóveis!$E$2),0,1)</f>
        <v>0</v>
      </c>
      <c r="J413" s="18">
        <f>IF(Imóveis!$F$3="PRICE",IF(AND(Dados!$A413&gt;=Imóveis!$Q$3,Dados!$A413&lt;=Imóveis!$T$3),Imóveis!$U$3,0),IF((IF(AND(Dados!$A413&gt;=Imóveis!$Q$3,Dados!$A413&lt;=Imóveis!$T$3),Imóveis!$S$3-(DATEDIF(Imóveis!$Q$3,Dados!$A413,"m")),0))=0,0,((Imóveis!$N$3/Imóveis!$S$3)+((Imóveis!$N$3-((Imóveis!$S$3-(IF(AND(Dados!$A413&gt;=Imóveis!$Q$3,Dados!$A413&lt;=Imóveis!$T$3),Imóveis!$S$3-(DATEDIF(Imóveis!$Q$3,Dados!$A413,"m")),)))*(Imóveis!$N$3/Imóveis!$S$3)))*Imóveis!$P$3))))*IF(AND(Imóveis!$E$3&gt;0,Dados!$A413&gt;Imóveis!$E$3),0,1)</f>
        <v>0</v>
      </c>
      <c r="K413" s="18">
        <f>IF(Imóveis!$F$4="PRICE",IF(AND(Dados!$A413&gt;=Imóveis!$Q$4,Dados!$A413&lt;=Imóveis!$T$4),Imóveis!$U$4,0),IF((IF(AND(Dados!$A413&gt;=Imóveis!$Q$4,Dados!$A413&lt;=Imóveis!$T$4),Imóveis!$S$4-(DATEDIF(Imóveis!$Q$4,Dados!$A413,"m")),0))=0,0,((Imóveis!$N$4/Imóveis!$S$4)+((Imóveis!$N$4-((Imóveis!$S$4-(IF(AND(Dados!$A413&gt;=Imóveis!$Q$4,Dados!$A413&lt;=Imóveis!$T$4),Imóveis!$S$4-(DATEDIF(Imóveis!$Q$4,Dados!$A413,"m")),)))*(Imóveis!$N$4/Imóveis!$S$4)))*Imóveis!$P$4))))*IF(AND(Imóveis!$E$4&gt;0,Dados!$A413&gt;Imóveis!$E$4),0,1)</f>
        <v>0</v>
      </c>
      <c r="L413" s="18">
        <f>IF(Imóveis!$F$5="PRICE",IF(AND(Dados!$A413&gt;=Imóveis!$Q$5,Dados!$A413&lt;=Imóveis!$T$5),Imóveis!$U$5,0),IF((IF(AND(Dados!$A413&gt;=Imóveis!$Q$5,Dados!$A413&lt;=Imóveis!$T$5),Imóveis!$S$5-(DATEDIF(Imóveis!$Q$5,Dados!$A413,"m")),0))=0,0,((Imóveis!$N$5/Imóveis!$S$5)+((Imóveis!$N$5-((Imóveis!$S$5-(IF(AND(Dados!$A413 &gt;=Imóveis!$Q$5,Dados!$A413&lt;=Imóveis!$T$5),Imóveis!$S$5-(DATEDIF(Imóveis!$Q$5,Dados!$A413,"m")),)))*(Imóveis!$N$5/Imóveis!$S$5)))*Imóveis!$P$5))))*IF(AND(Imóveis!$E$5&gt;0,Dados!$A413&gt;Imóveis!$E$5),0,1)*Imóveis!$I$5</f>
        <v>0</v>
      </c>
      <c r="M413" s="18">
        <f>IF(Imóveis!$F$6="PRICE",IF(AND(Dados!$A413&gt;=Imóveis!$Q$6,Dados!$A413&lt;=Imóveis!$T$6),Imóveis!$U$6,0),IF((IF(AND(Dados!$A413&gt;=Imóveis!$Q$6,Dados!$A413&lt;=Imóveis!$T$6),Imóveis!$S$6-(DATEDIF(Imóveis!$Q$6,Dados!$A413,"m")),0))=0,0,((Imóveis!$N$6/Imóveis!$S$6)+((Imóveis!$N$6-((Imóveis!$S$6-(IF(AND(Dados!$A413&gt;=Imóveis!$Q$6,Dados!$A413&lt;=Imóveis!$T$6),Imóveis!$S$6-(DATEDIF(Imóveis!$Q$6,Dados!$A413,"m")),)))*(Imóveis!$N$6/Imóveis!$S$6)))*Imóveis!$P$6))))*IF(AND(Imóveis!$E$6&gt;0,Dados!$A413&gt;Imóveis!$E$6),0,1)*Imóveis!$I$6</f>
        <v>0</v>
      </c>
      <c r="N413" s="18">
        <f t="shared" si="53"/>
        <v>37000</v>
      </c>
      <c r="O413" s="18">
        <f>SUMIFS(Receitas!$F:$F,Receitas!$J:$J,"&lt;="&amp;$A413,Receitas!$L:$L,"&gt;="&amp;$A413,Receitas!$C:$C,O$1,Receitas!$M:$M,"Mensal")+SUMIFS(Receitas!$F:$F,Receitas!$J:$J,"&lt;="&amp;$A413,Receitas!$L:$L,"&gt;="&amp;$A413,Receitas!$C:$C,O$1,Receitas!$M:$M,$B413)</f>
        <v>0</v>
      </c>
      <c r="P413" s="18">
        <f>SUMIFS(Receitas!$F:$F,Receitas!$J:$J,"&lt;="&amp;$A413,Receitas!$L:$L,"&gt;="&amp;$A413,Receitas!$C:$C,P$1,Receitas!$M:$M,"Mensal")+SUMIFS(Receitas!$F:$F,Receitas!$J:$J,"&lt;="&amp;$A413,Receitas!$L:$L,"&gt;="&amp;$A413,Receitas!$C:$C,P$1,Receitas!$M:$M,$B413)</f>
        <v>0</v>
      </c>
      <c r="Q413" s="18">
        <f>SUMIFS(Receitas!$F:$F,Receitas!$J:$J,"&lt;="&amp;$A413,Receitas!$L:$L,"&gt;="&amp;$A413,Receitas!$C:$C,Q$1,Receitas!$M:$M,"Mensal")+SUMIFS(Receitas!$F:$F,Receitas!$J:$J,"&lt;="&amp;$A413,Receitas!$L:$L,"&gt;="&amp;$A413,Receitas!$C:$C,Q$1,Receitas!$M:$M,$B413)</f>
        <v>0</v>
      </c>
      <c r="R413" s="18" cm="1">
        <f t="array" ref="R413">(IF(AND(Membros!$F$2="Sim",A413&lt;=MAX(Membros!$E$2:$E$5)),Membros!K$2,IF(AND(A413&gt;=Membros!J$2,A413&lt;=MAX(Membros!$E$2:$E$5)),Membros!K$2,0))+IF(AND(Membros!$F$3="Sim",A413&lt;=MAX(Membros!$E$2:$E$5)),Membros!K$3,IF(AND(A413&gt;=Membros!J$3,A413&lt;=MAX(Membros!$E$2:$E$5)),Membros!K$3,0)))*IF(AND(COUNTIFS(Tabela3[Tipo],"Provedor",Tabela3[Simulação Seguro],"Sim")=2,A413&gt;=MAX(IF(Tabela3[Tipo]="Dependente",Tabela3[Expectativa de Vida (Data)]))),0,1)</f>
        <v>10000</v>
      </c>
      <c r="S413" s="18">
        <f t="shared" si="54"/>
        <v>10000</v>
      </c>
      <c r="U413" s="18">
        <f t="shared" ca="1" si="57"/>
        <v>26608741.134046189</v>
      </c>
      <c r="V413" s="18">
        <f>SUMIF(Imóveis!E:E,Dados!A:A,Imóveis!Z:Z)-SUMIF(Imóveis!E:E,Dados!A:A,Imóveis!Y:Y)</f>
        <v>0</v>
      </c>
      <c r="W413" s="18">
        <f>-SUMIF(Projetos!N:N,A413,Projetos!F:F)</f>
        <v>0</v>
      </c>
      <c r="X413" s="18">
        <f t="shared" si="51"/>
        <v>-27000</v>
      </c>
      <c r="Y413" s="26">
        <f ca="1">(U413*((Indicadores_Economicos!D$2+1)^(1/12)-1))</f>
        <v>87110.094404759671</v>
      </c>
      <c r="Z413" s="18">
        <f t="shared" ca="1" si="55"/>
        <v>26668851.22845095</v>
      </c>
      <c r="AA413" s="18">
        <f ca="1">Auxiliar_Projetos!E413</f>
        <v>1.4982610607715342E-9</v>
      </c>
      <c r="AB413" s="18">
        <f ca="1">Auxiliar_Projetos!K413</f>
        <v>1.1525085082857941E-9</v>
      </c>
      <c r="AC413" s="18">
        <f ca="1">IF(Z413-AA413-AB413&gt;Investimentos!$C$14,Investimentos!$C$14,IF(Z413-AA413-AB413&lt;Investimentos!$C$14,Z413-AA413-AB413,0))</f>
        <v>300000</v>
      </c>
      <c r="AD413" s="18">
        <f t="shared" ca="1" si="56"/>
        <v>26368851.22845095</v>
      </c>
      <c r="AE413" s="18"/>
    </row>
    <row r="414" spans="1:31" x14ac:dyDescent="0.2">
      <c r="A414" s="4">
        <v>58196</v>
      </c>
      <c r="B414" s="5" t="str">
        <f t="shared" si="52"/>
        <v>maio</v>
      </c>
      <c r="C414" s="5" t="str">
        <f t="shared" si="58"/>
        <v>2059</v>
      </c>
      <c r="D414" s="5">
        <f>SUMIFS(Despesas!$F:$F,Despesas!$J:$J,"&lt;="&amp;$A414,Despesas!$L:$L,"&gt;="&amp;$A414,Despesas!$C:$C,D$1,Despesas!$M:$M,"Mensal")+SUMIFS(Despesas!$F:$F,Despesas!$J:$J,"&lt;="&amp;$A414,Despesas!$L:$L,"&gt;="&amp;$A414,Despesas!$C:$C,D$1,Despesas!$M:$M,$B414)</f>
        <v>23000</v>
      </c>
      <c r="E414" s="18">
        <f>SUMIFS(Despesas!$F:$F,Despesas!$J:$J,"&lt;="&amp;$A414,Despesas!$L:$L,"&gt;="&amp;$A414,Despesas!$C:$C,E$1,Despesas!$M:$M,"Mensal")+SUMIFS(Despesas!$F:$F,Despesas!$J:$J,"&lt;="&amp;$A414,Despesas!$L:$L,"&gt;="&amp;$A414,Despesas!$C:$C,E$1,Despesas!$M:$M,$B414)</f>
        <v>0</v>
      </c>
      <c r="F414" s="5">
        <f>SUMIFS(Despesas!$F:$F,Despesas!$J:$J,"&lt;="&amp;$A414,Despesas!$L:$L,"&gt;="&amp;$A414,Despesas!$C:$C,F$1,Despesas!$M:$M,"Mensal")+SUMIFS(Despesas!$F:$F,Despesas!$J:$J,"&lt;="&amp;$A414,Despesas!$L:$L,"&gt;="&amp;$A414,Despesas!$C:$C,F$1,Despesas!$M:$M,$B414)</f>
        <v>13000</v>
      </c>
      <c r="G414" s="5">
        <f>SUMIFS(Despesas!$F:$F,Despesas!$J:$J,"&lt;="&amp;$A414,Despesas!$L:$L,"&gt;="&amp;$A414,Despesas!$C:$C,G$1,Despesas!$M:$M,"Mensal")+SUMIFS(Despesas!$F:$F,Despesas!$J:$J,"&lt;="&amp;$A414,Despesas!$L:$L,"&gt;="&amp;$A414,Despesas!$C:$C,G$1,Despesas!$M:$M,$B414)</f>
        <v>0</v>
      </c>
      <c r="H414" s="18">
        <f>SUMIFS(Despesas!$F:$F,Despesas!$J:$J,"&lt;="&amp;$A414,Despesas!$L:$L,"&gt;="&amp;$A414,Despesas!$C:$C,H$1,Despesas!$M:$M,"Mensal")+SUMIFS(Despesas!$F:$F,Despesas!$J:$J,"&lt;="&amp;$A414,Despesas!$L:$L,"&gt;="&amp;$A414,Despesas!$C:$C,H$1,Despesas!$M:$M,$B414)</f>
        <v>1000</v>
      </c>
      <c r="I414" s="18">
        <f>IF(Imóveis!$F$2="PRICE",IF(AND(Dados!$A414&gt;=Imóveis!$Q$2,Dados!$A414&lt;=Imóveis!$T$2),Imóveis!$U$2,0),IF((IF(AND(Dados!$A414&gt;=Imóveis!$Q$2,Dados!$A414&lt;=Imóveis!$T$2),Imóveis!$S$2-(DATEDIF(Imóveis!$Q$2,Dados!$A414,"m")),0))=0,0,((Imóveis!$N$2/Imóveis!$S$2)+((Imóveis!$N$2-((Imóveis!$S$2-(IF(AND(Dados!$A414&gt;=Imóveis!$Q$2,Dados!$A414&lt;=Imóveis!$T$2),Imóveis!$S$2-(DATEDIF(Imóveis!$Q$2,Dados!$A414,"m")),)))*(Imóveis!$N$2/Imóveis!$S$2)))*Imóveis!$P$2))))*IF(AND(Imóveis!$E$2&gt;0,Dados!$A414&gt;Imóveis!$E$2),0,1)</f>
        <v>0</v>
      </c>
      <c r="J414" s="18">
        <f>IF(Imóveis!$F$3="PRICE",IF(AND(Dados!$A414&gt;=Imóveis!$Q$3,Dados!$A414&lt;=Imóveis!$T$3),Imóveis!$U$3,0),IF((IF(AND(Dados!$A414&gt;=Imóveis!$Q$3,Dados!$A414&lt;=Imóveis!$T$3),Imóveis!$S$3-(DATEDIF(Imóveis!$Q$3,Dados!$A414,"m")),0))=0,0,((Imóveis!$N$3/Imóveis!$S$3)+((Imóveis!$N$3-((Imóveis!$S$3-(IF(AND(Dados!$A414&gt;=Imóveis!$Q$3,Dados!$A414&lt;=Imóveis!$T$3),Imóveis!$S$3-(DATEDIF(Imóveis!$Q$3,Dados!$A414,"m")),)))*(Imóveis!$N$3/Imóveis!$S$3)))*Imóveis!$P$3))))*IF(AND(Imóveis!$E$3&gt;0,Dados!$A414&gt;Imóveis!$E$3),0,1)</f>
        <v>0</v>
      </c>
      <c r="K414" s="18">
        <f>IF(Imóveis!$F$4="PRICE",IF(AND(Dados!$A414&gt;=Imóveis!$Q$4,Dados!$A414&lt;=Imóveis!$T$4),Imóveis!$U$4,0),IF((IF(AND(Dados!$A414&gt;=Imóveis!$Q$4,Dados!$A414&lt;=Imóveis!$T$4),Imóveis!$S$4-(DATEDIF(Imóveis!$Q$4,Dados!$A414,"m")),0))=0,0,((Imóveis!$N$4/Imóveis!$S$4)+((Imóveis!$N$4-((Imóveis!$S$4-(IF(AND(Dados!$A414&gt;=Imóveis!$Q$4,Dados!$A414&lt;=Imóveis!$T$4),Imóveis!$S$4-(DATEDIF(Imóveis!$Q$4,Dados!$A414,"m")),)))*(Imóveis!$N$4/Imóveis!$S$4)))*Imóveis!$P$4))))*IF(AND(Imóveis!$E$4&gt;0,Dados!$A414&gt;Imóveis!$E$4),0,1)</f>
        <v>0</v>
      </c>
      <c r="L414" s="18">
        <f>IF(Imóveis!$F$5="PRICE",IF(AND(Dados!$A414&gt;=Imóveis!$Q$5,Dados!$A414&lt;=Imóveis!$T$5),Imóveis!$U$5,0),IF((IF(AND(Dados!$A414&gt;=Imóveis!$Q$5,Dados!$A414&lt;=Imóveis!$T$5),Imóveis!$S$5-(DATEDIF(Imóveis!$Q$5,Dados!$A414,"m")),0))=0,0,((Imóveis!$N$5/Imóveis!$S$5)+((Imóveis!$N$5-((Imóveis!$S$5-(IF(AND(Dados!$A414 &gt;=Imóveis!$Q$5,Dados!$A414&lt;=Imóveis!$T$5),Imóveis!$S$5-(DATEDIF(Imóveis!$Q$5,Dados!$A414,"m")),)))*(Imóveis!$N$5/Imóveis!$S$5)))*Imóveis!$P$5))))*IF(AND(Imóveis!$E$5&gt;0,Dados!$A414&gt;Imóveis!$E$5),0,1)*Imóveis!$I$5</f>
        <v>0</v>
      </c>
      <c r="M414" s="18">
        <f>IF(Imóveis!$F$6="PRICE",IF(AND(Dados!$A414&gt;=Imóveis!$Q$6,Dados!$A414&lt;=Imóveis!$T$6),Imóveis!$U$6,0),IF((IF(AND(Dados!$A414&gt;=Imóveis!$Q$6,Dados!$A414&lt;=Imóveis!$T$6),Imóveis!$S$6-(DATEDIF(Imóveis!$Q$6,Dados!$A414,"m")),0))=0,0,((Imóveis!$N$6/Imóveis!$S$6)+((Imóveis!$N$6-((Imóveis!$S$6-(IF(AND(Dados!$A414&gt;=Imóveis!$Q$6,Dados!$A414&lt;=Imóveis!$T$6),Imóveis!$S$6-(DATEDIF(Imóveis!$Q$6,Dados!$A414,"m")),)))*(Imóveis!$N$6/Imóveis!$S$6)))*Imóveis!$P$6))))*IF(AND(Imóveis!$E$6&gt;0,Dados!$A414&gt;Imóveis!$E$6),0,1)*Imóveis!$I$6</f>
        <v>0</v>
      </c>
      <c r="N414" s="18">
        <f t="shared" si="53"/>
        <v>37000</v>
      </c>
      <c r="O414" s="18">
        <f>SUMIFS(Receitas!$F:$F,Receitas!$J:$J,"&lt;="&amp;$A414,Receitas!$L:$L,"&gt;="&amp;$A414,Receitas!$C:$C,O$1,Receitas!$M:$M,"Mensal")+SUMIFS(Receitas!$F:$F,Receitas!$J:$J,"&lt;="&amp;$A414,Receitas!$L:$L,"&gt;="&amp;$A414,Receitas!$C:$C,O$1,Receitas!$M:$M,$B414)</f>
        <v>0</v>
      </c>
      <c r="P414" s="18">
        <f>SUMIFS(Receitas!$F:$F,Receitas!$J:$J,"&lt;="&amp;$A414,Receitas!$L:$L,"&gt;="&amp;$A414,Receitas!$C:$C,P$1,Receitas!$M:$M,"Mensal")+SUMIFS(Receitas!$F:$F,Receitas!$J:$J,"&lt;="&amp;$A414,Receitas!$L:$L,"&gt;="&amp;$A414,Receitas!$C:$C,P$1,Receitas!$M:$M,$B414)</f>
        <v>0</v>
      </c>
      <c r="Q414" s="18">
        <f>SUMIFS(Receitas!$F:$F,Receitas!$J:$J,"&lt;="&amp;$A414,Receitas!$L:$L,"&gt;="&amp;$A414,Receitas!$C:$C,Q$1,Receitas!$M:$M,"Mensal")+SUMIFS(Receitas!$F:$F,Receitas!$J:$J,"&lt;="&amp;$A414,Receitas!$L:$L,"&gt;="&amp;$A414,Receitas!$C:$C,Q$1,Receitas!$M:$M,$B414)</f>
        <v>0</v>
      </c>
      <c r="R414" s="18" cm="1">
        <f t="array" ref="R414">(IF(AND(Membros!$F$2="Sim",A414&lt;=MAX(Membros!$E$2:$E$5)),Membros!K$2,IF(AND(A414&gt;=Membros!J$2,A414&lt;=MAX(Membros!$E$2:$E$5)),Membros!K$2,0))+IF(AND(Membros!$F$3="Sim",A414&lt;=MAX(Membros!$E$2:$E$5)),Membros!K$3,IF(AND(A414&gt;=Membros!J$3,A414&lt;=MAX(Membros!$E$2:$E$5)),Membros!K$3,0)))*IF(AND(COUNTIFS(Tabela3[Tipo],"Provedor",Tabela3[Simulação Seguro],"Sim")=2,A414&gt;=MAX(IF(Tabela3[Tipo]="Dependente",Tabela3[Expectativa de Vida (Data)]))),0,1)</f>
        <v>10000</v>
      </c>
      <c r="S414" s="18">
        <f t="shared" si="54"/>
        <v>10000</v>
      </c>
      <c r="U414" s="18">
        <f t="shared" ca="1" si="57"/>
        <v>26668851.22845095</v>
      </c>
      <c r="V414" s="18">
        <f>SUMIF(Imóveis!E:E,Dados!A:A,Imóveis!Z:Z)-SUMIF(Imóveis!E:E,Dados!A:A,Imóveis!Y:Y)</f>
        <v>0</v>
      </c>
      <c r="W414" s="18">
        <f>-SUMIF(Projetos!N:N,A414,Projetos!F:F)</f>
        <v>0</v>
      </c>
      <c r="X414" s="18">
        <f t="shared" si="51"/>
        <v>-27000</v>
      </c>
      <c r="Y414" s="26">
        <f ca="1">(U414*((Indicadores_Economicos!D$2+1)^(1/12)-1))</f>
        <v>87306.879212124273</v>
      </c>
      <c r="Z414" s="18">
        <f t="shared" ca="1" si="55"/>
        <v>26729158.107663073</v>
      </c>
      <c r="AA414" s="18">
        <f ca="1">Auxiliar_Projetos!E414</f>
        <v>1.5031659776103014E-9</v>
      </c>
      <c r="AB414" s="18">
        <f ca="1">Auxiliar_Projetos!K414</f>
        <v>1.156281521238692E-9</v>
      </c>
      <c r="AC414" s="18">
        <f ca="1">IF(Z414-AA414-AB414&gt;Investimentos!$C$14,Investimentos!$C$14,IF(Z414-AA414-AB414&lt;Investimentos!$C$14,Z414-AA414-AB414,0))</f>
        <v>300000</v>
      </c>
      <c r="AD414" s="18">
        <f t="shared" ca="1" si="56"/>
        <v>26429158.107663073</v>
      </c>
      <c r="AE414" s="18"/>
    </row>
    <row r="415" spans="1:31" x14ac:dyDescent="0.2">
      <c r="A415" s="4">
        <v>58227</v>
      </c>
      <c r="B415" s="5" t="str">
        <f t="shared" si="52"/>
        <v>junho</v>
      </c>
      <c r="C415" s="5" t="str">
        <f t="shared" si="58"/>
        <v>2059</v>
      </c>
      <c r="D415" s="5">
        <f>SUMIFS(Despesas!$F:$F,Despesas!$J:$J,"&lt;="&amp;$A415,Despesas!$L:$L,"&gt;="&amp;$A415,Despesas!$C:$C,D$1,Despesas!$M:$M,"Mensal")+SUMIFS(Despesas!$F:$F,Despesas!$J:$J,"&lt;="&amp;$A415,Despesas!$L:$L,"&gt;="&amp;$A415,Despesas!$C:$C,D$1,Despesas!$M:$M,$B415)</f>
        <v>23000</v>
      </c>
      <c r="E415" s="18">
        <f>SUMIFS(Despesas!$F:$F,Despesas!$J:$J,"&lt;="&amp;$A415,Despesas!$L:$L,"&gt;="&amp;$A415,Despesas!$C:$C,E$1,Despesas!$M:$M,"Mensal")+SUMIFS(Despesas!$F:$F,Despesas!$J:$J,"&lt;="&amp;$A415,Despesas!$L:$L,"&gt;="&amp;$A415,Despesas!$C:$C,E$1,Despesas!$M:$M,$B415)</f>
        <v>0</v>
      </c>
      <c r="F415" s="5">
        <f>SUMIFS(Despesas!$F:$F,Despesas!$J:$J,"&lt;="&amp;$A415,Despesas!$L:$L,"&gt;="&amp;$A415,Despesas!$C:$C,F$1,Despesas!$M:$M,"Mensal")+SUMIFS(Despesas!$F:$F,Despesas!$J:$J,"&lt;="&amp;$A415,Despesas!$L:$L,"&gt;="&amp;$A415,Despesas!$C:$C,F$1,Despesas!$M:$M,$B415)</f>
        <v>13000</v>
      </c>
      <c r="G415" s="5">
        <f>SUMIFS(Despesas!$F:$F,Despesas!$J:$J,"&lt;="&amp;$A415,Despesas!$L:$L,"&gt;="&amp;$A415,Despesas!$C:$C,G$1,Despesas!$M:$M,"Mensal")+SUMIFS(Despesas!$F:$F,Despesas!$J:$J,"&lt;="&amp;$A415,Despesas!$L:$L,"&gt;="&amp;$A415,Despesas!$C:$C,G$1,Despesas!$M:$M,$B415)</f>
        <v>0</v>
      </c>
      <c r="H415" s="18">
        <f>SUMIFS(Despesas!$F:$F,Despesas!$J:$J,"&lt;="&amp;$A415,Despesas!$L:$L,"&gt;="&amp;$A415,Despesas!$C:$C,H$1,Despesas!$M:$M,"Mensal")+SUMIFS(Despesas!$F:$F,Despesas!$J:$J,"&lt;="&amp;$A415,Despesas!$L:$L,"&gt;="&amp;$A415,Despesas!$C:$C,H$1,Despesas!$M:$M,$B415)</f>
        <v>1000</v>
      </c>
      <c r="I415" s="18">
        <f>IF(Imóveis!$F$2="PRICE",IF(AND(Dados!$A415&gt;=Imóveis!$Q$2,Dados!$A415&lt;=Imóveis!$T$2),Imóveis!$U$2,0),IF((IF(AND(Dados!$A415&gt;=Imóveis!$Q$2,Dados!$A415&lt;=Imóveis!$T$2),Imóveis!$S$2-(DATEDIF(Imóveis!$Q$2,Dados!$A415,"m")),0))=0,0,((Imóveis!$N$2/Imóveis!$S$2)+((Imóveis!$N$2-((Imóveis!$S$2-(IF(AND(Dados!$A415&gt;=Imóveis!$Q$2,Dados!$A415&lt;=Imóveis!$T$2),Imóveis!$S$2-(DATEDIF(Imóveis!$Q$2,Dados!$A415,"m")),)))*(Imóveis!$N$2/Imóveis!$S$2)))*Imóveis!$P$2))))*IF(AND(Imóveis!$E$2&gt;0,Dados!$A415&gt;Imóveis!$E$2),0,1)</f>
        <v>0</v>
      </c>
      <c r="J415" s="18">
        <f>IF(Imóveis!$F$3="PRICE",IF(AND(Dados!$A415&gt;=Imóveis!$Q$3,Dados!$A415&lt;=Imóveis!$T$3),Imóveis!$U$3,0),IF((IF(AND(Dados!$A415&gt;=Imóveis!$Q$3,Dados!$A415&lt;=Imóveis!$T$3),Imóveis!$S$3-(DATEDIF(Imóveis!$Q$3,Dados!$A415,"m")),0))=0,0,((Imóveis!$N$3/Imóveis!$S$3)+((Imóveis!$N$3-((Imóveis!$S$3-(IF(AND(Dados!$A415&gt;=Imóveis!$Q$3,Dados!$A415&lt;=Imóveis!$T$3),Imóveis!$S$3-(DATEDIF(Imóveis!$Q$3,Dados!$A415,"m")),)))*(Imóveis!$N$3/Imóveis!$S$3)))*Imóveis!$P$3))))*IF(AND(Imóveis!$E$3&gt;0,Dados!$A415&gt;Imóveis!$E$3),0,1)</f>
        <v>0</v>
      </c>
      <c r="K415" s="18">
        <f>IF(Imóveis!$F$4="PRICE",IF(AND(Dados!$A415&gt;=Imóveis!$Q$4,Dados!$A415&lt;=Imóveis!$T$4),Imóveis!$U$4,0),IF((IF(AND(Dados!$A415&gt;=Imóveis!$Q$4,Dados!$A415&lt;=Imóveis!$T$4),Imóveis!$S$4-(DATEDIF(Imóveis!$Q$4,Dados!$A415,"m")),0))=0,0,((Imóveis!$N$4/Imóveis!$S$4)+((Imóveis!$N$4-((Imóveis!$S$4-(IF(AND(Dados!$A415&gt;=Imóveis!$Q$4,Dados!$A415&lt;=Imóveis!$T$4),Imóveis!$S$4-(DATEDIF(Imóveis!$Q$4,Dados!$A415,"m")),)))*(Imóveis!$N$4/Imóveis!$S$4)))*Imóveis!$P$4))))*IF(AND(Imóveis!$E$4&gt;0,Dados!$A415&gt;Imóveis!$E$4),0,1)</f>
        <v>0</v>
      </c>
      <c r="L415" s="18">
        <f>IF(Imóveis!$F$5="PRICE",IF(AND(Dados!$A415&gt;=Imóveis!$Q$5,Dados!$A415&lt;=Imóveis!$T$5),Imóveis!$U$5,0),IF((IF(AND(Dados!$A415&gt;=Imóveis!$Q$5,Dados!$A415&lt;=Imóveis!$T$5),Imóveis!$S$5-(DATEDIF(Imóveis!$Q$5,Dados!$A415,"m")),0))=0,0,((Imóveis!$N$5/Imóveis!$S$5)+((Imóveis!$N$5-((Imóveis!$S$5-(IF(AND(Dados!$A415 &gt;=Imóveis!$Q$5,Dados!$A415&lt;=Imóveis!$T$5),Imóveis!$S$5-(DATEDIF(Imóveis!$Q$5,Dados!$A415,"m")),)))*(Imóveis!$N$5/Imóveis!$S$5)))*Imóveis!$P$5))))*IF(AND(Imóveis!$E$5&gt;0,Dados!$A415&gt;Imóveis!$E$5),0,1)*Imóveis!$I$5</f>
        <v>0</v>
      </c>
      <c r="M415" s="18">
        <f>IF(Imóveis!$F$6="PRICE",IF(AND(Dados!$A415&gt;=Imóveis!$Q$6,Dados!$A415&lt;=Imóveis!$T$6),Imóveis!$U$6,0),IF((IF(AND(Dados!$A415&gt;=Imóveis!$Q$6,Dados!$A415&lt;=Imóveis!$T$6),Imóveis!$S$6-(DATEDIF(Imóveis!$Q$6,Dados!$A415,"m")),0))=0,0,((Imóveis!$N$6/Imóveis!$S$6)+((Imóveis!$N$6-((Imóveis!$S$6-(IF(AND(Dados!$A415&gt;=Imóveis!$Q$6,Dados!$A415&lt;=Imóveis!$T$6),Imóveis!$S$6-(DATEDIF(Imóveis!$Q$6,Dados!$A415,"m")),)))*(Imóveis!$N$6/Imóveis!$S$6)))*Imóveis!$P$6))))*IF(AND(Imóveis!$E$6&gt;0,Dados!$A415&gt;Imóveis!$E$6),0,1)*Imóveis!$I$6</f>
        <v>0</v>
      </c>
      <c r="N415" s="18">
        <f t="shared" si="53"/>
        <v>37000</v>
      </c>
      <c r="O415" s="18">
        <f>SUMIFS(Receitas!$F:$F,Receitas!$J:$J,"&lt;="&amp;$A415,Receitas!$L:$L,"&gt;="&amp;$A415,Receitas!$C:$C,O$1,Receitas!$M:$M,"Mensal")+SUMIFS(Receitas!$F:$F,Receitas!$J:$J,"&lt;="&amp;$A415,Receitas!$L:$L,"&gt;="&amp;$A415,Receitas!$C:$C,O$1,Receitas!$M:$M,$B415)</f>
        <v>0</v>
      </c>
      <c r="P415" s="18">
        <f>SUMIFS(Receitas!$F:$F,Receitas!$J:$J,"&lt;="&amp;$A415,Receitas!$L:$L,"&gt;="&amp;$A415,Receitas!$C:$C,P$1,Receitas!$M:$M,"Mensal")+SUMIFS(Receitas!$F:$F,Receitas!$J:$J,"&lt;="&amp;$A415,Receitas!$L:$L,"&gt;="&amp;$A415,Receitas!$C:$C,P$1,Receitas!$M:$M,$B415)</f>
        <v>0</v>
      </c>
      <c r="Q415" s="18">
        <f>SUMIFS(Receitas!$F:$F,Receitas!$J:$J,"&lt;="&amp;$A415,Receitas!$L:$L,"&gt;="&amp;$A415,Receitas!$C:$C,Q$1,Receitas!$M:$M,"Mensal")+SUMIFS(Receitas!$F:$F,Receitas!$J:$J,"&lt;="&amp;$A415,Receitas!$L:$L,"&gt;="&amp;$A415,Receitas!$C:$C,Q$1,Receitas!$M:$M,$B415)</f>
        <v>0</v>
      </c>
      <c r="R415" s="18" cm="1">
        <f t="array" ref="R415">(IF(AND(Membros!$F$2="Sim",A415&lt;=MAX(Membros!$E$2:$E$5)),Membros!K$2,IF(AND(A415&gt;=Membros!J$2,A415&lt;=MAX(Membros!$E$2:$E$5)),Membros!K$2,0))+IF(AND(Membros!$F$3="Sim",A415&lt;=MAX(Membros!$E$2:$E$5)),Membros!K$3,IF(AND(A415&gt;=Membros!J$3,A415&lt;=MAX(Membros!$E$2:$E$5)),Membros!K$3,0)))*IF(AND(COUNTIFS(Tabela3[Tipo],"Provedor",Tabela3[Simulação Seguro],"Sim")=2,A415&gt;=MAX(IF(Tabela3[Tipo]="Dependente",Tabela3[Expectativa de Vida (Data)]))),0,1)</f>
        <v>10000</v>
      </c>
      <c r="S415" s="18">
        <f t="shared" si="54"/>
        <v>10000</v>
      </c>
      <c r="U415" s="18">
        <f t="shared" ca="1" si="57"/>
        <v>26729158.107663073</v>
      </c>
      <c r="V415" s="18">
        <f>SUMIF(Imóveis!E:E,Dados!A:A,Imóveis!Z:Z)-SUMIF(Imóveis!E:E,Dados!A:A,Imóveis!Y:Y)</f>
        <v>0</v>
      </c>
      <c r="W415" s="18">
        <f>-SUMIF(Projetos!N:N,A415,Projetos!F:F)</f>
        <v>0</v>
      </c>
      <c r="X415" s="18">
        <f t="shared" si="51"/>
        <v>-27000</v>
      </c>
      <c r="Y415" s="26">
        <f ca="1">(U415*((Indicadores_Economicos!D$2+1)^(1/12)-1))</f>
        <v>87504.308241741252</v>
      </c>
      <c r="Z415" s="18">
        <f t="shared" ca="1" si="55"/>
        <v>26789662.415904813</v>
      </c>
      <c r="AA415" s="18">
        <f ca="1">Auxiliar_Projetos!E415</f>
        <v>1.5080869518704522E-9</v>
      </c>
      <c r="AB415" s="18">
        <f ca="1">Auxiliar_Projetos!K415</f>
        <v>1.1600668860541927E-9</v>
      </c>
      <c r="AC415" s="18">
        <f ca="1">IF(Z415-AA415-AB415&gt;Investimentos!$C$14,Investimentos!$C$14,IF(Z415-AA415-AB415&lt;Investimentos!$C$14,Z415-AA415-AB415,0))</f>
        <v>300000</v>
      </c>
      <c r="AD415" s="18">
        <f t="shared" ca="1" si="56"/>
        <v>26489662.415904813</v>
      </c>
      <c r="AE415" s="18"/>
    </row>
    <row r="416" spans="1:31" x14ac:dyDescent="0.2">
      <c r="A416" s="4">
        <v>58257</v>
      </c>
      <c r="B416" s="5" t="str">
        <f t="shared" si="52"/>
        <v>julho</v>
      </c>
      <c r="C416" s="5" t="str">
        <f t="shared" si="58"/>
        <v>2059</v>
      </c>
      <c r="D416" s="5">
        <f>SUMIFS(Despesas!$F:$F,Despesas!$J:$J,"&lt;="&amp;$A416,Despesas!$L:$L,"&gt;="&amp;$A416,Despesas!$C:$C,D$1,Despesas!$M:$M,"Mensal")+SUMIFS(Despesas!$F:$F,Despesas!$J:$J,"&lt;="&amp;$A416,Despesas!$L:$L,"&gt;="&amp;$A416,Despesas!$C:$C,D$1,Despesas!$M:$M,$B416)</f>
        <v>23000</v>
      </c>
      <c r="E416" s="18">
        <f>SUMIFS(Despesas!$F:$F,Despesas!$J:$J,"&lt;="&amp;$A416,Despesas!$L:$L,"&gt;="&amp;$A416,Despesas!$C:$C,E$1,Despesas!$M:$M,"Mensal")+SUMIFS(Despesas!$F:$F,Despesas!$J:$J,"&lt;="&amp;$A416,Despesas!$L:$L,"&gt;="&amp;$A416,Despesas!$C:$C,E$1,Despesas!$M:$M,$B416)</f>
        <v>0</v>
      </c>
      <c r="F416" s="5">
        <f>SUMIFS(Despesas!$F:$F,Despesas!$J:$J,"&lt;="&amp;$A416,Despesas!$L:$L,"&gt;="&amp;$A416,Despesas!$C:$C,F$1,Despesas!$M:$M,"Mensal")+SUMIFS(Despesas!$F:$F,Despesas!$J:$J,"&lt;="&amp;$A416,Despesas!$L:$L,"&gt;="&amp;$A416,Despesas!$C:$C,F$1,Despesas!$M:$M,$B416)</f>
        <v>13000</v>
      </c>
      <c r="G416" s="5">
        <f ca="1">SUMIFS(Despesas!$F:$F,Despesas!$J:$J,"&lt;="&amp;$A416,Despesas!$L:$L,"&gt;="&amp;$A416,Despesas!$C:$C,G$1,Despesas!$M:$M,"Mensal")+SUMIFS(Despesas!$F:$F,Despesas!$J:$J,"&lt;="&amp;$A416,Despesas!$L:$L,"&gt;="&amp;$A416,Despesas!$C:$C,G$1,Despesas!$M:$M,$B416)</f>
        <v>55757</v>
      </c>
      <c r="H416" s="18">
        <f>SUMIFS(Despesas!$F:$F,Despesas!$J:$J,"&lt;="&amp;$A416,Despesas!$L:$L,"&gt;="&amp;$A416,Despesas!$C:$C,H$1,Despesas!$M:$M,"Mensal")+SUMIFS(Despesas!$F:$F,Despesas!$J:$J,"&lt;="&amp;$A416,Despesas!$L:$L,"&gt;="&amp;$A416,Despesas!$C:$C,H$1,Despesas!$M:$M,$B416)</f>
        <v>1000</v>
      </c>
      <c r="I416" s="18">
        <f>IF(Imóveis!$F$2="PRICE",IF(AND(Dados!$A416&gt;=Imóveis!$Q$2,Dados!$A416&lt;=Imóveis!$T$2),Imóveis!$U$2,0),IF((IF(AND(Dados!$A416&gt;=Imóveis!$Q$2,Dados!$A416&lt;=Imóveis!$T$2),Imóveis!$S$2-(DATEDIF(Imóveis!$Q$2,Dados!$A416,"m")),0))=0,0,((Imóveis!$N$2/Imóveis!$S$2)+((Imóveis!$N$2-((Imóveis!$S$2-(IF(AND(Dados!$A416&gt;=Imóveis!$Q$2,Dados!$A416&lt;=Imóveis!$T$2),Imóveis!$S$2-(DATEDIF(Imóveis!$Q$2,Dados!$A416,"m")),)))*(Imóveis!$N$2/Imóveis!$S$2)))*Imóveis!$P$2))))*IF(AND(Imóveis!$E$2&gt;0,Dados!$A416&gt;Imóveis!$E$2),0,1)</f>
        <v>0</v>
      </c>
      <c r="J416" s="18">
        <f>IF(Imóveis!$F$3="PRICE",IF(AND(Dados!$A416&gt;=Imóveis!$Q$3,Dados!$A416&lt;=Imóveis!$T$3),Imóveis!$U$3,0),IF((IF(AND(Dados!$A416&gt;=Imóveis!$Q$3,Dados!$A416&lt;=Imóveis!$T$3),Imóveis!$S$3-(DATEDIF(Imóveis!$Q$3,Dados!$A416,"m")),0))=0,0,((Imóveis!$N$3/Imóveis!$S$3)+((Imóveis!$N$3-((Imóveis!$S$3-(IF(AND(Dados!$A416&gt;=Imóveis!$Q$3,Dados!$A416&lt;=Imóveis!$T$3),Imóveis!$S$3-(DATEDIF(Imóveis!$Q$3,Dados!$A416,"m")),)))*(Imóveis!$N$3/Imóveis!$S$3)))*Imóveis!$P$3))))*IF(AND(Imóveis!$E$3&gt;0,Dados!$A416&gt;Imóveis!$E$3),0,1)</f>
        <v>0</v>
      </c>
      <c r="K416" s="18">
        <f>IF(Imóveis!$F$4="PRICE",IF(AND(Dados!$A416&gt;=Imóveis!$Q$4,Dados!$A416&lt;=Imóveis!$T$4),Imóveis!$U$4,0),IF((IF(AND(Dados!$A416&gt;=Imóveis!$Q$4,Dados!$A416&lt;=Imóveis!$T$4),Imóveis!$S$4-(DATEDIF(Imóveis!$Q$4,Dados!$A416,"m")),0))=0,0,((Imóveis!$N$4/Imóveis!$S$4)+((Imóveis!$N$4-((Imóveis!$S$4-(IF(AND(Dados!$A416&gt;=Imóveis!$Q$4,Dados!$A416&lt;=Imóveis!$T$4),Imóveis!$S$4-(DATEDIF(Imóveis!$Q$4,Dados!$A416,"m")),)))*(Imóveis!$N$4/Imóveis!$S$4)))*Imóveis!$P$4))))*IF(AND(Imóveis!$E$4&gt;0,Dados!$A416&gt;Imóveis!$E$4),0,1)</f>
        <v>0</v>
      </c>
      <c r="L416" s="18">
        <f>IF(Imóveis!$F$5="PRICE",IF(AND(Dados!$A416&gt;=Imóveis!$Q$5,Dados!$A416&lt;=Imóveis!$T$5),Imóveis!$U$5,0),IF((IF(AND(Dados!$A416&gt;=Imóveis!$Q$5,Dados!$A416&lt;=Imóveis!$T$5),Imóveis!$S$5-(DATEDIF(Imóveis!$Q$5,Dados!$A416,"m")),0))=0,0,((Imóveis!$N$5/Imóveis!$S$5)+((Imóveis!$N$5-((Imóveis!$S$5-(IF(AND(Dados!$A416 &gt;=Imóveis!$Q$5,Dados!$A416&lt;=Imóveis!$T$5),Imóveis!$S$5-(DATEDIF(Imóveis!$Q$5,Dados!$A416,"m")),)))*(Imóveis!$N$5/Imóveis!$S$5)))*Imóveis!$P$5))))*IF(AND(Imóveis!$E$5&gt;0,Dados!$A416&gt;Imóveis!$E$5),0,1)*Imóveis!$I$5</f>
        <v>0</v>
      </c>
      <c r="M416" s="18">
        <f>IF(Imóveis!$F$6="PRICE",IF(AND(Dados!$A416&gt;=Imóveis!$Q$6,Dados!$A416&lt;=Imóveis!$T$6),Imóveis!$U$6,0),IF((IF(AND(Dados!$A416&gt;=Imóveis!$Q$6,Dados!$A416&lt;=Imóveis!$T$6),Imóveis!$S$6-(DATEDIF(Imóveis!$Q$6,Dados!$A416,"m")),0))=0,0,((Imóveis!$N$6/Imóveis!$S$6)+((Imóveis!$N$6-((Imóveis!$S$6-(IF(AND(Dados!$A416&gt;=Imóveis!$Q$6,Dados!$A416&lt;=Imóveis!$T$6),Imóveis!$S$6-(DATEDIF(Imóveis!$Q$6,Dados!$A416,"m")),)))*(Imóveis!$N$6/Imóveis!$S$6)))*Imóveis!$P$6))))*IF(AND(Imóveis!$E$6&gt;0,Dados!$A416&gt;Imóveis!$E$6),0,1)*Imóveis!$I$6</f>
        <v>0</v>
      </c>
      <c r="N416" s="18">
        <f t="shared" ca="1" si="53"/>
        <v>92757</v>
      </c>
      <c r="O416" s="18">
        <f>SUMIFS(Receitas!$F:$F,Receitas!$J:$J,"&lt;="&amp;$A416,Receitas!$L:$L,"&gt;="&amp;$A416,Receitas!$C:$C,O$1,Receitas!$M:$M,"Mensal")+SUMIFS(Receitas!$F:$F,Receitas!$J:$J,"&lt;="&amp;$A416,Receitas!$L:$L,"&gt;="&amp;$A416,Receitas!$C:$C,O$1,Receitas!$M:$M,$B416)</f>
        <v>0</v>
      </c>
      <c r="P416" s="18">
        <f>SUMIFS(Receitas!$F:$F,Receitas!$J:$J,"&lt;="&amp;$A416,Receitas!$L:$L,"&gt;="&amp;$A416,Receitas!$C:$C,P$1,Receitas!$M:$M,"Mensal")+SUMIFS(Receitas!$F:$F,Receitas!$J:$J,"&lt;="&amp;$A416,Receitas!$L:$L,"&gt;="&amp;$A416,Receitas!$C:$C,P$1,Receitas!$M:$M,$B416)</f>
        <v>0</v>
      </c>
      <c r="Q416" s="18">
        <f>SUMIFS(Receitas!$F:$F,Receitas!$J:$J,"&lt;="&amp;$A416,Receitas!$L:$L,"&gt;="&amp;$A416,Receitas!$C:$C,Q$1,Receitas!$M:$M,"Mensal")+SUMIFS(Receitas!$F:$F,Receitas!$J:$J,"&lt;="&amp;$A416,Receitas!$L:$L,"&gt;="&amp;$A416,Receitas!$C:$C,Q$1,Receitas!$M:$M,$B416)</f>
        <v>0</v>
      </c>
      <c r="R416" s="18" cm="1">
        <f t="array" ref="R416">(IF(AND(Membros!$F$2="Sim",A416&lt;=MAX(Membros!$E$2:$E$5)),Membros!K$2,IF(AND(A416&gt;=Membros!J$2,A416&lt;=MAX(Membros!$E$2:$E$5)),Membros!K$2,0))+IF(AND(Membros!$F$3="Sim",A416&lt;=MAX(Membros!$E$2:$E$5)),Membros!K$3,IF(AND(A416&gt;=Membros!J$3,A416&lt;=MAX(Membros!$E$2:$E$5)),Membros!K$3,0)))*IF(AND(COUNTIFS(Tabela3[Tipo],"Provedor",Tabela3[Simulação Seguro],"Sim")=2,A416&gt;=MAX(IF(Tabela3[Tipo]="Dependente",Tabela3[Expectativa de Vida (Data)]))),0,1)</f>
        <v>10000</v>
      </c>
      <c r="S416" s="18">
        <f t="shared" si="54"/>
        <v>10000</v>
      </c>
      <c r="U416" s="18">
        <f t="shared" ca="1" si="57"/>
        <v>26789662.415904813</v>
      </c>
      <c r="V416" s="18">
        <f>SUMIF(Imóveis!E:E,Dados!A:A,Imóveis!Z:Z)-SUMIF(Imóveis!E:E,Dados!A:A,Imóveis!Y:Y)</f>
        <v>0</v>
      </c>
      <c r="W416" s="18">
        <f>-SUMIF(Projetos!N:N,A416,Projetos!F:F)</f>
        <v>0</v>
      </c>
      <c r="X416" s="18">
        <f t="shared" ca="1" si="51"/>
        <v>-82757</v>
      </c>
      <c r="Y416" s="26">
        <f ca="1">(U416*((Indicadores_Economicos!D$2+1)^(1/12)-1))</f>
        <v>87702.383602626665</v>
      </c>
      <c r="Z416" s="18">
        <f t="shared" ca="1" si="55"/>
        <v>26794607.799507439</v>
      </c>
      <c r="AA416" s="18">
        <f ca="1">Auxiliar_Projetos!E416</f>
        <v>1.5130240361198056E-9</v>
      </c>
      <c r="AB416" s="18">
        <f ca="1">Auxiliar_Projetos!K416</f>
        <v>1.1638646431690798E-9</v>
      </c>
      <c r="AC416" s="18">
        <f ca="1">IF(Z416-AA416-AB416&gt;Investimentos!$C$14,Investimentos!$C$14,IF(Z416-AA416-AB416&lt;Investimentos!$C$14,Z416-AA416-AB416,0))</f>
        <v>300000</v>
      </c>
      <c r="AD416" s="18">
        <f t="shared" ca="1" si="56"/>
        <v>26494607.799507439</v>
      </c>
      <c r="AE416" s="18"/>
    </row>
    <row r="417" spans="1:31" x14ac:dyDescent="0.2">
      <c r="A417" s="4">
        <v>58288</v>
      </c>
      <c r="B417" s="5" t="str">
        <f t="shared" si="52"/>
        <v>agosto</v>
      </c>
      <c r="C417" s="5" t="str">
        <f t="shared" si="58"/>
        <v>2059</v>
      </c>
      <c r="D417" s="5">
        <f>SUMIFS(Despesas!$F:$F,Despesas!$J:$J,"&lt;="&amp;$A417,Despesas!$L:$L,"&gt;="&amp;$A417,Despesas!$C:$C,D$1,Despesas!$M:$M,"Mensal")+SUMIFS(Despesas!$F:$F,Despesas!$J:$J,"&lt;="&amp;$A417,Despesas!$L:$L,"&gt;="&amp;$A417,Despesas!$C:$C,D$1,Despesas!$M:$M,$B417)</f>
        <v>23000</v>
      </c>
      <c r="E417" s="18">
        <f>SUMIFS(Despesas!$F:$F,Despesas!$J:$J,"&lt;="&amp;$A417,Despesas!$L:$L,"&gt;="&amp;$A417,Despesas!$C:$C,E$1,Despesas!$M:$M,"Mensal")+SUMIFS(Despesas!$F:$F,Despesas!$J:$J,"&lt;="&amp;$A417,Despesas!$L:$L,"&gt;="&amp;$A417,Despesas!$C:$C,E$1,Despesas!$M:$M,$B417)</f>
        <v>0</v>
      </c>
      <c r="F417" s="5">
        <f>SUMIFS(Despesas!$F:$F,Despesas!$J:$J,"&lt;="&amp;$A417,Despesas!$L:$L,"&gt;="&amp;$A417,Despesas!$C:$C,F$1,Despesas!$M:$M,"Mensal")+SUMIFS(Despesas!$F:$F,Despesas!$J:$J,"&lt;="&amp;$A417,Despesas!$L:$L,"&gt;="&amp;$A417,Despesas!$C:$C,F$1,Despesas!$M:$M,$B417)</f>
        <v>13000</v>
      </c>
      <c r="G417" s="5">
        <f>SUMIFS(Despesas!$F:$F,Despesas!$J:$J,"&lt;="&amp;$A417,Despesas!$L:$L,"&gt;="&amp;$A417,Despesas!$C:$C,G$1,Despesas!$M:$M,"Mensal")+SUMIFS(Despesas!$F:$F,Despesas!$J:$J,"&lt;="&amp;$A417,Despesas!$L:$L,"&gt;="&amp;$A417,Despesas!$C:$C,G$1,Despesas!$M:$M,$B417)</f>
        <v>0</v>
      </c>
      <c r="H417" s="18">
        <f>SUMIFS(Despesas!$F:$F,Despesas!$J:$J,"&lt;="&amp;$A417,Despesas!$L:$L,"&gt;="&amp;$A417,Despesas!$C:$C,H$1,Despesas!$M:$M,"Mensal")+SUMIFS(Despesas!$F:$F,Despesas!$J:$J,"&lt;="&amp;$A417,Despesas!$L:$L,"&gt;="&amp;$A417,Despesas!$C:$C,H$1,Despesas!$M:$M,$B417)</f>
        <v>1000</v>
      </c>
      <c r="I417" s="18">
        <f>IF(Imóveis!$F$2="PRICE",IF(AND(Dados!$A417&gt;=Imóveis!$Q$2,Dados!$A417&lt;=Imóveis!$T$2),Imóveis!$U$2,0),IF((IF(AND(Dados!$A417&gt;=Imóveis!$Q$2,Dados!$A417&lt;=Imóveis!$T$2),Imóveis!$S$2-(DATEDIF(Imóveis!$Q$2,Dados!$A417,"m")),0))=0,0,((Imóveis!$N$2/Imóveis!$S$2)+((Imóveis!$N$2-((Imóveis!$S$2-(IF(AND(Dados!$A417&gt;=Imóveis!$Q$2,Dados!$A417&lt;=Imóveis!$T$2),Imóveis!$S$2-(DATEDIF(Imóveis!$Q$2,Dados!$A417,"m")),)))*(Imóveis!$N$2/Imóveis!$S$2)))*Imóveis!$P$2))))*IF(AND(Imóveis!$E$2&gt;0,Dados!$A417&gt;Imóveis!$E$2),0,1)</f>
        <v>0</v>
      </c>
      <c r="J417" s="18">
        <f>IF(Imóveis!$F$3="PRICE",IF(AND(Dados!$A417&gt;=Imóveis!$Q$3,Dados!$A417&lt;=Imóveis!$T$3),Imóveis!$U$3,0),IF((IF(AND(Dados!$A417&gt;=Imóveis!$Q$3,Dados!$A417&lt;=Imóveis!$T$3),Imóveis!$S$3-(DATEDIF(Imóveis!$Q$3,Dados!$A417,"m")),0))=0,0,((Imóveis!$N$3/Imóveis!$S$3)+((Imóveis!$N$3-((Imóveis!$S$3-(IF(AND(Dados!$A417&gt;=Imóveis!$Q$3,Dados!$A417&lt;=Imóveis!$T$3),Imóveis!$S$3-(DATEDIF(Imóveis!$Q$3,Dados!$A417,"m")),)))*(Imóveis!$N$3/Imóveis!$S$3)))*Imóveis!$P$3))))*IF(AND(Imóveis!$E$3&gt;0,Dados!$A417&gt;Imóveis!$E$3),0,1)</f>
        <v>0</v>
      </c>
      <c r="K417" s="18">
        <f>IF(Imóveis!$F$4="PRICE",IF(AND(Dados!$A417&gt;=Imóveis!$Q$4,Dados!$A417&lt;=Imóveis!$T$4),Imóveis!$U$4,0),IF((IF(AND(Dados!$A417&gt;=Imóveis!$Q$4,Dados!$A417&lt;=Imóveis!$T$4),Imóveis!$S$4-(DATEDIF(Imóveis!$Q$4,Dados!$A417,"m")),0))=0,0,((Imóveis!$N$4/Imóveis!$S$4)+((Imóveis!$N$4-((Imóveis!$S$4-(IF(AND(Dados!$A417&gt;=Imóveis!$Q$4,Dados!$A417&lt;=Imóveis!$T$4),Imóveis!$S$4-(DATEDIF(Imóveis!$Q$4,Dados!$A417,"m")),)))*(Imóveis!$N$4/Imóveis!$S$4)))*Imóveis!$P$4))))*IF(AND(Imóveis!$E$4&gt;0,Dados!$A417&gt;Imóveis!$E$4),0,1)</f>
        <v>0</v>
      </c>
      <c r="L417" s="18">
        <f>IF(Imóveis!$F$5="PRICE",IF(AND(Dados!$A417&gt;=Imóveis!$Q$5,Dados!$A417&lt;=Imóveis!$T$5),Imóveis!$U$5,0),IF((IF(AND(Dados!$A417&gt;=Imóveis!$Q$5,Dados!$A417&lt;=Imóveis!$T$5),Imóveis!$S$5-(DATEDIF(Imóveis!$Q$5,Dados!$A417,"m")),0))=0,0,((Imóveis!$N$5/Imóveis!$S$5)+((Imóveis!$N$5-((Imóveis!$S$5-(IF(AND(Dados!$A417 &gt;=Imóveis!$Q$5,Dados!$A417&lt;=Imóveis!$T$5),Imóveis!$S$5-(DATEDIF(Imóveis!$Q$5,Dados!$A417,"m")),)))*(Imóveis!$N$5/Imóveis!$S$5)))*Imóveis!$P$5))))*IF(AND(Imóveis!$E$5&gt;0,Dados!$A417&gt;Imóveis!$E$5),0,1)*Imóveis!$I$5</f>
        <v>0</v>
      </c>
      <c r="M417" s="18">
        <f>IF(Imóveis!$F$6="PRICE",IF(AND(Dados!$A417&gt;=Imóveis!$Q$6,Dados!$A417&lt;=Imóveis!$T$6),Imóveis!$U$6,0),IF((IF(AND(Dados!$A417&gt;=Imóveis!$Q$6,Dados!$A417&lt;=Imóveis!$T$6),Imóveis!$S$6-(DATEDIF(Imóveis!$Q$6,Dados!$A417,"m")),0))=0,0,((Imóveis!$N$6/Imóveis!$S$6)+((Imóveis!$N$6-((Imóveis!$S$6-(IF(AND(Dados!$A417&gt;=Imóveis!$Q$6,Dados!$A417&lt;=Imóveis!$T$6),Imóveis!$S$6-(DATEDIF(Imóveis!$Q$6,Dados!$A417,"m")),)))*(Imóveis!$N$6/Imóveis!$S$6)))*Imóveis!$P$6))))*IF(AND(Imóveis!$E$6&gt;0,Dados!$A417&gt;Imóveis!$E$6),0,1)*Imóveis!$I$6</f>
        <v>0</v>
      </c>
      <c r="N417" s="18">
        <f t="shared" si="53"/>
        <v>37000</v>
      </c>
      <c r="O417" s="18">
        <f>SUMIFS(Receitas!$F:$F,Receitas!$J:$J,"&lt;="&amp;$A417,Receitas!$L:$L,"&gt;="&amp;$A417,Receitas!$C:$C,O$1,Receitas!$M:$M,"Mensal")+SUMIFS(Receitas!$F:$F,Receitas!$J:$J,"&lt;="&amp;$A417,Receitas!$L:$L,"&gt;="&amp;$A417,Receitas!$C:$C,O$1,Receitas!$M:$M,$B417)</f>
        <v>0</v>
      </c>
      <c r="P417" s="18">
        <f>SUMIFS(Receitas!$F:$F,Receitas!$J:$J,"&lt;="&amp;$A417,Receitas!$L:$L,"&gt;="&amp;$A417,Receitas!$C:$C,P$1,Receitas!$M:$M,"Mensal")+SUMIFS(Receitas!$F:$F,Receitas!$J:$J,"&lt;="&amp;$A417,Receitas!$L:$L,"&gt;="&amp;$A417,Receitas!$C:$C,P$1,Receitas!$M:$M,$B417)</f>
        <v>0</v>
      </c>
      <c r="Q417" s="18">
        <f>SUMIFS(Receitas!$F:$F,Receitas!$J:$J,"&lt;="&amp;$A417,Receitas!$L:$L,"&gt;="&amp;$A417,Receitas!$C:$C,Q$1,Receitas!$M:$M,"Mensal")+SUMIFS(Receitas!$F:$F,Receitas!$J:$J,"&lt;="&amp;$A417,Receitas!$L:$L,"&gt;="&amp;$A417,Receitas!$C:$C,Q$1,Receitas!$M:$M,$B417)</f>
        <v>0</v>
      </c>
      <c r="R417" s="18" cm="1">
        <f t="array" ref="R417">(IF(AND(Membros!$F$2="Sim",A417&lt;=MAX(Membros!$E$2:$E$5)),Membros!K$2,IF(AND(A417&gt;=Membros!J$2,A417&lt;=MAX(Membros!$E$2:$E$5)),Membros!K$2,0))+IF(AND(Membros!$F$3="Sim",A417&lt;=MAX(Membros!$E$2:$E$5)),Membros!K$3,IF(AND(A417&gt;=Membros!J$3,A417&lt;=MAX(Membros!$E$2:$E$5)),Membros!K$3,0)))*IF(AND(COUNTIFS(Tabela3[Tipo],"Provedor",Tabela3[Simulação Seguro],"Sim")=2,A417&gt;=MAX(IF(Tabela3[Tipo]="Dependente",Tabela3[Expectativa de Vida (Data)]))),0,1)</f>
        <v>10000</v>
      </c>
      <c r="S417" s="18">
        <f t="shared" si="54"/>
        <v>10000</v>
      </c>
      <c r="U417" s="18">
        <f t="shared" ca="1" si="57"/>
        <v>26794607.799507439</v>
      </c>
      <c r="V417" s="18">
        <f>SUMIF(Imóveis!E:E,Dados!A:A,Imóveis!Z:Z)-SUMIF(Imóveis!E:E,Dados!A:A,Imóveis!Y:Y)</f>
        <v>0</v>
      </c>
      <c r="W417" s="18">
        <f>-SUMIF(Projetos!N:N,A417,Projetos!F:F)</f>
        <v>0</v>
      </c>
      <c r="X417" s="18">
        <f t="shared" si="51"/>
        <v>-27000</v>
      </c>
      <c r="Y417" s="26">
        <f ca="1">(U417*((Indicadores_Economicos!D$2+1)^(1/12)-1))</f>
        <v>87718.573501664825</v>
      </c>
      <c r="Z417" s="18">
        <f t="shared" ca="1" si="55"/>
        <v>26855326.373009104</v>
      </c>
      <c r="AA417" s="18">
        <f ca="1">Auxiliar_Projetos!E417</f>
        <v>1.5179772830982741E-9</v>
      </c>
      <c r="AB417" s="18">
        <f ca="1">Auxiliar_Projetos!K417</f>
        <v>1.1676748331525172E-9</v>
      </c>
      <c r="AC417" s="18">
        <f ca="1">IF(Z417-AA417-AB417&gt;Investimentos!$C$14,Investimentos!$C$14,IF(Z417-AA417-AB417&lt;Investimentos!$C$14,Z417-AA417-AB417,0))</f>
        <v>300000</v>
      </c>
      <c r="AD417" s="18">
        <f t="shared" ca="1" si="56"/>
        <v>26555326.373009104</v>
      </c>
      <c r="AE417" s="18"/>
    </row>
    <row r="418" spans="1:31" x14ac:dyDescent="0.2">
      <c r="A418" s="4">
        <v>58319</v>
      </c>
      <c r="B418" s="5" t="str">
        <f t="shared" si="52"/>
        <v>setembro</v>
      </c>
      <c r="C418" s="5" t="str">
        <f t="shared" si="58"/>
        <v>2059</v>
      </c>
      <c r="D418" s="5">
        <f>SUMIFS(Despesas!$F:$F,Despesas!$J:$J,"&lt;="&amp;$A418,Despesas!$L:$L,"&gt;="&amp;$A418,Despesas!$C:$C,D$1,Despesas!$M:$M,"Mensal")+SUMIFS(Despesas!$F:$F,Despesas!$J:$J,"&lt;="&amp;$A418,Despesas!$L:$L,"&gt;="&amp;$A418,Despesas!$C:$C,D$1,Despesas!$M:$M,$B418)</f>
        <v>23000</v>
      </c>
      <c r="E418" s="18">
        <f>SUMIFS(Despesas!$F:$F,Despesas!$J:$J,"&lt;="&amp;$A418,Despesas!$L:$L,"&gt;="&amp;$A418,Despesas!$C:$C,E$1,Despesas!$M:$M,"Mensal")+SUMIFS(Despesas!$F:$F,Despesas!$J:$J,"&lt;="&amp;$A418,Despesas!$L:$L,"&gt;="&amp;$A418,Despesas!$C:$C,E$1,Despesas!$M:$M,$B418)</f>
        <v>0</v>
      </c>
      <c r="F418" s="5">
        <f>SUMIFS(Despesas!$F:$F,Despesas!$J:$J,"&lt;="&amp;$A418,Despesas!$L:$L,"&gt;="&amp;$A418,Despesas!$C:$C,F$1,Despesas!$M:$M,"Mensal")+SUMIFS(Despesas!$F:$F,Despesas!$J:$J,"&lt;="&amp;$A418,Despesas!$L:$L,"&gt;="&amp;$A418,Despesas!$C:$C,F$1,Despesas!$M:$M,$B418)</f>
        <v>13000</v>
      </c>
      <c r="G418" s="5">
        <f>SUMIFS(Despesas!$F:$F,Despesas!$J:$J,"&lt;="&amp;$A418,Despesas!$L:$L,"&gt;="&amp;$A418,Despesas!$C:$C,G$1,Despesas!$M:$M,"Mensal")+SUMIFS(Despesas!$F:$F,Despesas!$J:$J,"&lt;="&amp;$A418,Despesas!$L:$L,"&gt;="&amp;$A418,Despesas!$C:$C,G$1,Despesas!$M:$M,$B418)</f>
        <v>0</v>
      </c>
      <c r="H418" s="18">
        <f>SUMIFS(Despesas!$F:$F,Despesas!$J:$J,"&lt;="&amp;$A418,Despesas!$L:$L,"&gt;="&amp;$A418,Despesas!$C:$C,H$1,Despesas!$M:$M,"Mensal")+SUMIFS(Despesas!$F:$F,Despesas!$J:$J,"&lt;="&amp;$A418,Despesas!$L:$L,"&gt;="&amp;$A418,Despesas!$C:$C,H$1,Despesas!$M:$M,$B418)</f>
        <v>1000</v>
      </c>
      <c r="I418" s="18">
        <f>IF(Imóveis!$F$2="PRICE",IF(AND(Dados!$A418&gt;=Imóveis!$Q$2,Dados!$A418&lt;=Imóveis!$T$2),Imóveis!$U$2,0),IF((IF(AND(Dados!$A418&gt;=Imóveis!$Q$2,Dados!$A418&lt;=Imóveis!$T$2),Imóveis!$S$2-(DATEDIF(Imóveis!$Q$2,Dados!$A418,"m")),0))=0,0,((Imóveis!$N$2/Imóveis!$S$2)+((Imóveis!$N$2-((Imóveis!$S$2-(IF(AND(Dados!$A418&gt;=Imóveis!$Q$2,Dados!$A418&lt;=Imóveis!$T$2),Imóveis!$S$2-(DATEDIF(Imóveis!$Q$2,Dados!$A418,"m")),)))*(Imóveis!$N$2/Imóveis!$S$2)))*Imóveis!$P$2))))*IF(AND(Imóveis!$E$2&gt;0,Dados!$A418&gt;Imóveis!$E$2),0,1)</f>
        <v>0</v>
      </c>
      <c r="J418" s="18">
        <f>IF(Imóveis!$F$3="PRICE",IF(AND(Dados!$A418&gt;=Imóveis!$Q$3,Dados!$A418&lt;=Imóveis!$T$3),Imóveis!$U$3,0),IF((IF(AND(Dados!$A418&gt;=Imóveis!$Q$3,Dados!$A418&lt;=Imóveis!$T$3),Imóveis!$S$3-(DATEDIF(Imóveis!$Q$3,Dados!$A418,"m")),0))=0,0,((Imóveis!$N$3/Imóveis!$S$3)+((Imóveis!$N$3-((Imóveis!$S$3-(IF(AND(Dados!$A418&gt;=Imóveis!$Q$3,Dados!$A418&lt;=Imóveis!$T$3),Imóveis!$S$3-(DATEDIF(Imóveis!$Q$3,Dados!$A418,"m")),)))*(Imóveis!$N$3/Imóveis!$S$3)))*Imóveis!$P$3))))*IF(AND(Imóveis!$E$3&gt;0,Dados!$A418&gt;Imóveis!$E$3),0,1)</f>
        <v>0</v>
      </c>
      <c r="K418" s="18">
        <f>IF(Imóveis!$F$4="PRICE",IF(AND(Dados!$A418&gt;=Imóveis!$Q$4,Dados!$A418&lt;=Imóveis!$T$4),Imóveis!$U$4,0),IF((IF(AND(Dados!$A418&gt;=Imóveis!$Q$4,Dados!$A418&lt;=Imóveis!$T$4),Imóveis!$S$4-(DATEDIF(Imóveis!$Q$4,Dados!$A418,"m")),0))=0,0,((Imóveis!$N$4/Imóveis!$S$4)+((Imóveis!$N$4-((Imóveis!$S$4-(IF(AND(Dados!$A418&gt;=Imóveis!$Q$4,Dados!$A418&lt;=Imóveis!$T$4),Imóveis!$S$4-(DATEDIF(Imóveis!$Q$4,Dados!$A418,"m")),)))*(Imóveis!$N$4/Imóveis!$S$4)))*Imóveis!$P$4))))*IF(AND(Imóveis!$E$4&gt;0,Dados!$A418&gt;Imóveis!$E$4),0,1)</f>
        <v>0</v>
      </c>
      <c r="L418" s="18">
        <f>IF(Imóveis!$F$5="PRICE",IF(AND(Dados!$A418&gt;=Imóveis!$Q$5,Dados!$A418&lt;=Imóveis!$T$5),Imóveis!$U$5,0),IF((IF(AND(Dados!$A418&gt;=Imóveis!$Q$5,Dados!$A418&lt;=Imóveis!$T$5),Imóveis!$S$5-(DATEDIF(Imóveis!$Q$5,Dados!$A418,"m")),0))=0,0,((Imóveis!$N$5/Imóveis!$S$5)+((Imóveis!$N$5-((Imóveis!$S$5-(IF(AND(Dados!$A418 &gt;=Imóveis!$Q$5,Dados!$A418&lt;=Imóveis!$T$5),Imóveis!$S$5-(DATEDIF(Imóveis!$Q$5,Dados!$A418,"m")),)))*(Imóveis!$N$5/Imóveis!$S$5)))*Imóveis!$P$5))))*IF(AND(Imóveis!$E$5&gt;0,Dados!$A418&gt;Imóveis!$E$5),0,1)*Imóveis!$I$5</f>
        <v>0</v>
      </c>
      <c r="M418" s="18">
        <f>IF(Imóveis!$F$6="PRICE",IF(AND(Dados!$A418&gt;=Imóveis!$Q$6,Dados!$A418&lt;=Imóveis!$T$6),Imóveis!$U$6,0),IF((IF(AND(Dados!$A418&gt;=Imóveis!$Q$6,Dados!$A418&lt;=Imóveis!$T$6),Imóveis!$S$6-(DATEDIF(Imóveis!$Q$6,Dados!$A418,"m")),0))=0,0,((Imóveis!$N$6/Imóveis!$S$6)+((Imóveis!$N$6-((Imóveis!$S$6-(IF(AND(Dados!$A418&gt;=Imóveis!$Q$6,Dados!$A418&lt;=Imóveis!$T$6),Imóveis!$S$6-(DATEDIF(Imóveis!$Q$6,Dados!$A418,"m")),)))*(Imóveis!$N$6/Imóveis!$S$6)))*Imóveis!$P$6))))*IF(AND(Imóveis!$E$6&gt;0,Dados!$A418&gt;Imóveis!$E$6),0,1)*Imóveis!$I$6</f>
        <v>0</v>
      </c>
      <c r="N418" s="18">
        <f t="shared" si="53"/>
        <v>37000</v>
      </c>
      <c r="O418" s="18">
        <f>SUMIFS(Receitas!$F:$F,Receitas!$J:$J,"&lt;="&amp;$A418,Receitas!$L:$L,"&gt;="&amp;$A418,Receitas!$C:$C,O$1,Receitas!$M:$M,"Mensal")+SUMIFS(Receitas!$F:$F,Receitas!$J:$J,"&lt;="&amp;$A418,Receitas!$L:$L,"&gt;="&amp;$A418,Receitas!$C:$C,O$1,Receitas!$M:$M,$B418)</f>
        <v>0</v>
      </c>
      <c r="P418" s="18">
        <f>SUMIFS(Receitas!$F:$F,Receitas!$J:$J,"&lt;="&amp;$A418,Receitas!$L:$L,"&gt;="&amp;$A418,Receitas!$C:$C,P$1,Receitas!$M:$M,"Mensal")+SUMIFS(Receitas!$F:$F,Receitas!$J:$J,"&lt;="&amp;$A418,Receitas!$L:$L,"&gt;="&amp;$A418,Receitas!$C:$C,P$1,Receitas!$M:$M,$B418)</f>
        <v>0</v>
      </c>
      <c r="Q418" s="18">
        <f>SUMIFS(Receitas!$F:$F,Receitas!$J:$J,"&lt;="&amp;$A418,Receitas!$L:$L,"&gt;="&amp;$A418,Receitas!$C:$C,Q$1,Receitas!$M:$M,"Mensal")+SUMIFS(Receitas!$F:$F,Receitas!$J:$J,"&lt;="&amp;$A418,Receitas!$L:$L,"&gt;="&amp;$A418,Receitas!$C:$C,Q$1,Receitas!$M:$M,$B418)</f>
        <v>0</v>
      </c>
      <c r="R418" s="18" cm="1">
        <f t="array" ref="R418">(IF(AND(Membros!$F$2="Sim",A418&lt;=MAX(Membros!$E$2:$E$5)),Membros!K$2,IF(AND(A418&gt;=Membros!J$2,A418&lt;=MAX(Membros!$E$2:$E$5)),Membros!K$2,0))+IF(AND(Membros!$F$3="Sim",A418&lt;=MAX(Membros!$E$2:$E$5)),Membros!K$3,IF(AND(A418&gt;=Membros!J$3,A418&lt;=MAX(Membros!$E$2:$E$5)),Membros!K$3,0)))*IF(AND(COUNTIFS(Tabela3[Tipo],"Provedor",Tabela3[Simulação Seguro],"Sim")=2,A418&gt;=MAX(IF(Tabela3[Tipo]="Dependente",Tabela3[Expectativa de Vida (Data)]))),0,1)</f>
        <v>10000</v>
      </c>
      <c r="S418" s="18">
        <f t="shared" si="54"/>
        <v>10000</v>
      </c>
      <c r="U418" s="18">
        <f t="shared" ca="1" si="57"/>
        <v>26855326.373009104</v>
      </c>
      <c r="V418" s="18">
        <f>SUMIF(Imóveis!E:E,Dados!A:A,Imóveis!Z:Z)-SUMIF(Imóveis!E:E,Dados!A:A,Imóveis!Y:Y)</f>
        <v>0</v>
      </c>
      <c r="W418" s="18">
        <f>-SUMIF(Projetos!N:N,A418,Projetos!F:F)</f>
        <v>0</v>
      </c>
      <c r="X418" s="18">
        <f t="shared" si="51"/>
        <v>-27000</v>
      </c>
      <c r="Y418" s="26">
        <f ca="1">(U418*((Indicadores_Economicos!D$2+1)^(1/12)-1))</f>
        <v>87917.350311255592</v>
      </c>
      <c r="Z418" s="18">
        <f t="shared" ca="1" si="55"/>
        <v>26916243.723320361</v>
      </c>
      <c r="AA418" s="18">
        <f ca="1">Auxiliar_Projetos!E418</f>
        <v>1.5229467457184271E-9</v>
      </c>
      <c r="AB418" s="18">
        <f ca="1">Auxiliar_Projetos!K418</f>
        <v>1.1714974967064811E-9</v>
      </c>
      <c r="AC418" s="18">
        <f ca="1">IF(Z418-AA418-AB418&gt;Investimentos!$C$14,Investimentos!$C$14,IF(Z418-AA418-AB418&lt;Investimentos!$C$14,Z418-AA418-AB418,0))</f>
        <v>300000</v>
      </c>
      <c r="AD418" s="18">
        <f t="shared" ca="1" si="56"/>
        <v>26616243.723320361</v>
      </c>
      <c r="AE418" s="18"/>
    </row>
    <row r="419" spans="1:31" x14ac:dyDescent="0.2">
      <c r="A419" s="4">
        <v>58349</v>
      </c>
      <c r="B419" s="5" t="str">
        <f t="shared" si="52"/>
        <v>outubro</v>
      </c>
      <c r="C419" s="5" t="str">
        <f t="shared" si="58"/>
        <v>2059</v>
      </c>
      <c r="D419" s="5">
        <f>SUMIFS(Despesas!$F:$F,Despesas!$J:$J,"&lt;="&amp;$A419,Despesas!$L:$L,"&gt;="&amp;$A419,Despesas!$C:$C,D$1,Despesas!$M:$M,"Mensal")+SUMIFS(Despesas!$F:$F,Despesas!$J:$J,"&lt;="&amp;$A419,Despesas!$L:$L,"&gt;="&amp;$A419,Despesas!$C:$C,D$1,Despesas!$M:$M,$B419)</f>
        <v>23000</v>
      </c>
      <c r="E419" s="18">
        <f>SUMIFS(Despesas!$F:$F,Despesas!$J:$J,"&lt;="&amp;$A419,Despesas!$L:$L,"&gt;="&amp;$A419,Despesas!$C:$C,E$1,Despesas!$M:$M,"Mensal")+SUMIFS(Despesas!$F:$F,Despesas!$J:$J,"&lt;="&amp;$A419,Despesas!$L:$L,"&gt;="&amp;$A419,Despesas!$C:$C,E$1,Despesas!$M:$M,$B419)</f>
        <v>0</v>
      </c>
      <c r="F419" s="5">
        <f>SUMIFS(Despesas!$F:$F,Despesas!$J:$J,"&lt;="&amp;$A419,Despesas!$L:$L,"&gt;="&amp;$A419,Despesas!$C:$C,F$1,Despesas!$M:$M,"Mensal")+SUMIFS(Despesas!$F:$F,Despesas!$J:$J,"&lt;="&amp;$A419,Despesas!$L:$L,"&gt;="&amp;$A419,Despesas!$C:$C,F$1,Despesas!$M:$M,$B419)</f>
        <v>13000</v>
      </c>
      <c r="G419" s="5">
        <f>SUMIFS(Despesas!$F:$F,Despesas!$J:$J,"&lt;="&amp;$A419,Despesas!$L:$L,"&gt;="&amp;$A419,Despesas!$C:$C,G$1,Despesas!$M:$M,"Mensal")+SUMIFS(Despesas!$F:$F,Despesas!$J:$J,"&lt;="&amp;$A419,Despesas!$L:$L,"&gt;="&amp;$A419,Despesas!$C:$C,G$1,Despesas!$M:$M,$B419)</f>
        <v>0</v>
      </c>
      <c r="H419" s="18">
        <f>SUMIFS(Despesas!$F:$F,Despesas!$J:$J,"&lt;="&amp;$A419,Despesas!$L:$L,"&gt;="&amp;$A419,Despesas!$C:$C,H$1,Despesas!$M:$M,"Mensal")+SUMIFS(Despesas!$F:$F,Despesas!$J:$J,"&lt;="&amp;$A419,Despesas!$L:$L,"&gt;="&amp;$A419,Despesas!$C:$C,H$1,Despesas!$M:$M,$B419)</f>
        <v>1000</v>
      </c>
      <c r="I419" s="18">
        <f>IF(Imóveis!$F$2="PRICE",IF(AND(Dados!$A419&gt;=Imóveis!$Q$2,Dados!$A419&lt;=Imóveis!$T$2),Imóveis!$U$2,0),IF((IF(AND(Dados!$A419&gt;=Imóveis!$Q$2,Dados!$A419&lt;=Imóveis!$T$2),Imóveis!$S$2-(DATEDIF(Imóveis!$Q$2,Dados!$A419,"m")),0))=0,0,((Imóveis!$N$2/Imóveis!$S$2)+((Imóveis!$N$2-((Imóveis!$S$2-(IF(AND(Dados!$A419&gt;=Imóveis!$Q$2,Dados!$A419&lt;=Imóveis!$T$2),Imóveis!$S$2-(DATEDIF(Imóveis!$Q$2,Dados!$A419,"m")),)))*(Imóveis!$N$2/Imóveis!$S$2)))*Imóveis!$P$2))))*IF(AND(Imóveis!$E$2&gt;0,Dados!$A419&gt;Imóveis!$E$2),0,1)</f>
        <v>0</v>
      </c>
      <c r="J419" s="18">
        <f>IF(Imóveis!$F$3="PRICE",IF(AND(Dados!$A419&gt;=Imóveis!$Q$3,Dados!$A419&lt;=Imóveis!$T$3),Imóveis!$U$3,0),IF((IF(AND(Dados!$A419&gt;=Imóveis!$Q$3,Dados!$A419&lt;=Imóveis!$T$3),Imóveis!$S$3-(DATEDIF(Imóveis!$Q$3,Dados!$A419,"m")),0))=0,0,((Imóveis!$N$3/Imóveis!$S$3)+((Imóveis!$N$3-((Imóveis!$S$3-(IF(AND(Dados!$A419&gt;=Imóveis!$Q$3,Dados!$A419&lt;=Imóveis!$T$3),Imóveis!$S$3-(DATEDIF(Imóveis!$Q$3,Dados!$A419,"m")),)))*(Imóveis!$N$3/Imóveis!$S$3)))*Imóveis!$P$3))))*IF(AND(Imóveis!$E$3&gt;0,Dados!$A419&gt;Imóveis!$E$3),0,1)</f>
        <v>0</v>
      </c>
      <c r="K419" s="18">
        <f>IF(Imóveis!$F$4="PRICE",IF(AND(Dados!$A419&gt;=Imóveis!$Q$4,Dados!$A419&lt;=Imóveis!$T$4),Imóveis!$U$4,0),IF((IF(AND(Dados!$A419&gt;=Imóveis!$Q$4,Dados!$A419&lt;=Imóveis!$T$4),Imóveis!$S$4-(DATEDIF(Imóveis!$Q$4,Dados!$A419,"m")),0))=0,0,((Imóveis!$N$4/Imóveis!$S$4)+((Imóveis!$N$4-((Imóveis!$S$4-(IF(AND(Dados!$A419&gt;=Imóveis!$Q$4,Dados!$A419&lt;=Imóveis!$T$4),Imóveis!$S$4-(DATEDIF(Imóveis!$Q$4,Dados!$A419,"m")),)))*(Imóveis!$N$4/Imóveis!$S$4)))*Imóveis!$P$4))))*IF(AND(Imóveis!$E$4&gt;0,Dados!$A419&gt;Imóveis!$E$4),0,1)</f>
        <v>0</v>
      </c>
      <c r="L419" s="18">
        <f>IF(Imóveis!$F$5="PRICE",IF(AND(Dados!$A419&gt;=Imóveis!$Q$5,Dados!$A419&lt;=Imóveis!$T$5),Imóveis!$U$5,0),IF((IF(AND(Dados!$A419&gt;=Imóveis!$Q$5,Dados!$A419&lt;=Imóveis!$T$5),Imóveis!$S$5-(DATEDIF(Imóveis!$Q$5,Dados!$A419,"m")),0))=0,0,((Imóveis!$N$5/Imóveis!$S$5)+((Imóveis!$N$5-((Imóveis!$S$5-(IF(AND(Dados!$A419 &gt;=Imóveis!$Q$5,Dados!$A419&lt;=Imóveis!$T$5),Imóveis!$S$5-(DATEDIF(Imóveis!$Q$5,Dados!$A419,"m")),)))*(Imóveis!$N$5/Imóveis!$S$5)))*Imóveis!$P$5))))*IF(AND(Imóveis!$E$5&gt;0,Dados!$A419&gt;Imóveis!$E$5),0,1)*Imóveis!$I$5</f>
        <v>0</v>
      </c>
      <c r="M419" s="18">
        <f>IF(Imóveis!$F$6="PRICE",IF(AND(Dados!$A419&gt;=Imóveis!$Q$6,Dados!$A419&lt;=Imóveis!$T$6),Imóveis!$U$6,0),IF((IF(AND(Dados!$A419&gt;=Imóveis!$Q$6,Dados!$A419&lt;=Imóveis!$T$6),Imóveis!$S$6-(DATEDIF(Imóveis!$Q$6,Dados!$A419,"m")),0))=0,0,((Imóveis!$N$6/Imóveis!$S$6)+((Imóveis!$N$6-((Imóveis!$S$6-(IF(AND(Dados!$A419&gt;=Imóveis!$Q$6,Dados!$A419&lt;=Imóveis!$T$6),Imóveis!$S$6-(DATEDIF(Imóveis!$Q$6,Dados!$A419,"m")),)))*(Imóveis!$N$6/Imóveis!$S$6)))*Imóveis!$P$6))))*IF(AND(Imóveis!$E$6&gt;0,Dados!$A419&gt;Imóveis!$E$6),0,1)*Imóveis!$I$6</f>
        <v>0</v>
      </c>
      <c r="N419" s="18">
        <f t="shared" si="53"/>
        <v>37000</v>
      </c>
      <c r="O419" s="18">
        <f>SUMIFS(Receitas!$F:$F,Receitas!$J:$J,"&lt;="&amp;$A419,Receitas!$L:$L,"&gt;="&amp;$A419,Receitas!$C:$C,O$1,Receitas!$M:$M,"Mensal")+SUMIFS(Receitas!$F:$F,Receitas!$J:$J,"&lt;="&amp;$A419,Receitas!$L:$L,"&gt;="&amp;$A419,Receitas!$C:$C,O$1,Receitas!$M:$M,$B419)</f>
        <v>0</v>
      </c>
      <c r="P419" s="18">
        <f>SUMIFS(Receitas!$F:$F,Receitas!$J:$J,"&lt;="&amp;$A419,Receitas!$L:$L,"&gt;="&amp;$A419,Receitas!$C:$C,P$1,Receitas!$M:$M,"Mensal")+SUMIFS(Receitas!$F:$F,Receitas!$J:$J,"&lt;="&amp;$A419,Receitas!$L:$L,"&gt;="&amp;$A419,Receitas!$C:$C,P$1,Receitas!$M:$M,$B419)</f>
        <v>0</v>
      </c>
      <c r="Q419" s="18">
        <f>SUMIFS(Receitas!$F:$F,Receitas!$J:$J,"&lt;="&amp;$A419,Receitas!$L:$L,"&gt;="&amp;$A419,Receitas!$C:$C,Q$1,Receitas!$M:$M,"Mensal")+SUMIFS(Receitas!$F:$F,Receitas!$J:$J,"&lt;="&amp;$A419,Receitas!$L:$L,"&gt;="&amp;$A419,Receitas!$C:$C,Q$1,Receitas!$M:$M,$B419)</f>
        <v>0</v>
      </c>
      <c r="R419" s="18" cm="1">
        <f t="array" ref="R419">(IF(AND(Membros!$F$2="Sim",A419&lt;=MAX(Membros!$E$2:$E$5)),Membros!K$2,IF(AND(A419&gt;=Membros!J$2,A419&lt;=MAX(Membros!$E$2:$E$5)),Membros!K$2,0))+IF(AND(Membros!$F$3="Sim",A419&lt;=MAX(Membros!$E$2:$E$5)),Membros!K$3,IF(AND(A419&gt;=Membros!J$3,A419&lt;=MAX(Membros!$E$2:$E$5)),Membros!K$3,0)))*IF(AND(COUNTIFS(Tabela3[Tipo],"Provedor",Tabela3[Simulação Seguro],"Sim")=2,A419&gt;=MAX(IF(Tabela3[Tipo]="Dependente",Tabela3[Expectativa de Vida (Data)]))),0,1)</f>
        <v>10000</v>
      </c>
      <c r="S419" s="18">
        <f t="shared" si="54"/>
        <v>10000</v>
      </c>
      <c r="U419" s="18">
        <f t="shared" ca="1" si="57"/>
        <v>26916243.723320361</v>
      </c>
      <c r="V419" s="18">
        <f>SUMIF(Imóveis!E:E,Dados!A:A,Imóveis!Z:Z)-SUMIF(Imóveis!E:E,Dados!A:A,Imóveis!Y:Y)</f>
        <v>0</v>
      </c>
      <c r="W419" s="18">
        <f>-SUMIF(Projetos!N:N,A419,Projetos!F:F)</f>
        <v>0</v>
      </c>
      <c r="X419" s="18">
        <f t="shared" si="51"/>
        <v>-27000</v>
      </c>
      <c r="Y419" s="26">
        <f ca="1">(U419*((Indicadores_Economicos!D$2+1)^(1/12)-1))</f>
        <v>88116.777864395699</v>
      </c>
      <c r="Z419" s="18">
        <f t="shared" ca="1" si="55"/>
        <v>26977360.501184758</v>
      </c>
      <c r="AA419" s="18">
        <f ca="1">Auxiliar_Projetos!E419</f>
        <v>1.5279324770660559E-9</v>
      </c>
      <c r="AB419" s="18">
        <f ca="1">Auxiliar_Projetos!K419</f>
        <v>1.1753326746661955E-9</v>
      </c>
      <c r="AC419" s="18">
        <f ca="1">IF(Z419-AA419-AB419&gt;Investimentos!$C$14,Investimentos!$C$14,IF(Z419-AA419-AB419&lt;Investimentos!$C$14,Z419-AA419-AB419,0))</f>
        <v>300000</v>
      </c>
      <c r="AD419" s="18">
        <f t="shared" ca="1" si="56"/>
        <v>26677360.501184758</v>
      </c>
      <c r="AE419" s="18"/>
    </row>
    <row r="420" spans="1:31" x14ac:dyDescent="0.2">
      <c r="A420" s="4">
        <v>58380</v>
      </c>
      <c r="B420" s="5" t="str">
        <f t="shared" si="52"/>
        <v>novembro</v>
      </c>
      <c r="C420" s="5" t="str">
        <f t="shared" si="58"/>
        <v>2059</v>
      </c>
      <c r="D420" s="5">
        <f>SUMIFS(Despesas!$F:$F,Despesas!$J:$J,"&lt;="&amp;$A420,Despesas!$L:$L,"&gt;="&amp;$A420,Despesas!$C:$C,D$1,Despesas!$M:$M,"Mensal")+SUMIFS(Despesas!$F:$F,Despesas!$J:$J,"&lt;="&amp;$A420,Despesas!$L:$L,"&gt;="&amp;$A420,Despesas!$C:$C,D$1,Despesas!$M:$M,$B420)</f>
        <v>23000</v>
      </c>
      <c r="E420" s="18">
        <f>SUMIFS(Despesas!$F:$F,Despesas!$J:$J,"&lt;="&amp;$A420,Despesas!$L:$L,"&gt;="&amp;$A420,Despesas!$C:$C,E$1,Despesas!$M:$M,"Mensal")+SUMIFS(Despesas!$F:$F,Despesas!$J:$J,"&lt;="&amp;$A420,Despesas!$L:$L,"&gt;="&amp;$A420,Despesas!$C:$C,E$1,Despesas!$M:$M,$B420)</f>
        <v>0</v>
      </c>
      <c r="F420" s="5">
        <f>SUMIFS(Despesas!$F:$F,Despesas!$J:$J,"&lt;="&amp;$A420,Despesas!$L:$L,"&gt;="&amp;$A420,Despesas!$C:$C,F$1,Despesas!$M:$M,"Mensal")+SUMIFS(Despesas!$F:$F,Despesas!$J:$J,"&lt;="&amp;$A420,Despesas!$L:$L,"&gt;="&amp;$A420,Despesas!$C:$C,F$1,Despesas!$M:$M,$B420)</f>
        <v>13000</v>
      </c>
      <c r="G420" s="5">
        <f>SUMIFS(Despesas!$F:$F,Despesas!$J:$J,"&lt;="&amp;$A420,Despesas!$L:$L,"&gt;="&amp;$A420,Despesas!$C:$C,G$1,Despesas!$M:$M,"Mensal")+SUMIFS(Despesas!$F:$F,Despesas!$J:$J,"&lt;="&amp;$A420,Despesas!$L:$L,"&gt;="&amp;$A420,Despesas!$C:$C,G$1,Despesas!$M:$M,$B420)</f>
        <v>0</v>
      </c>
      <c r="H420" s="18">
        <f>SUMIFS(Despesas!$F:$F,Despesas!$J:$J,"&lt;="&amp;$A420,Despesas!$L:$L,"&gt;="&amp;$A420,Despesas!$C:$C,H$1,Despesas!$M:$M,"Mensal")+SUMIFS(Despesas!$F:$F,Despesas!$J:$J,"&lt;="&amp;$A420,Despesas!$L:$L,"&gt;="&amp;$A420,Despesas!$C:$C,H$1,Despesas!$M:$M,$B420)</f>
        <v>1000</v>
      </c>
      <c r="I420" s="18">
        <f>IF(Imóveis!$F$2="PRICE",IF(AND(Dados!$A420&gt;=Imóveis!$Q$2,Dados!$A420&lt;=Imóveis!$T$2),Imóveis!$U$2,0),IF((IF(AND(Dados!$A420&gt;=Imóveis!$Q$2,Dados!$A420&lt;=Imóveis!$T$2),Imóveis!$S$2-(DATEDIF(Imóveis!$Q$2,Dados!$A420,"m")),0))=0,0,((Imóveis!$N$2/Imóveis!$S$2)+((Imóveis!$N$2-((Imóveis!$S$2-(IF(AND(Dados!$A420&gt;=Imóveis!$Q$2,Dados!$A420&lt;=Imóveis!$T$2),Imóveis!$S$2-(DATEDIF(Imóveis!$Q$2,Dados!$A420,"m")),)))*(Imóveis!$N$2/Imóveis!$S$2)))*Imóveis!$P$2))))*IF(AND(Imóveis!$E$2&gt;0,Dados!$A420&gt;Imóveis!$E$2),0,1)</f>
        <v>0</v>
      </c>
      <c r="J420" s="18">
        <f>IF(Imóveis!$F$3="PRICE",IF(AND(Dados!$A420&gt;=Imóveis!$Q$3,Dados!$A420&lt;=Imóveis!$T$3),Imóveis!$U$3,0),IF((IF(AND(Dados!$A420&gt;=Imóveis!$Q$3,Dados!$A420&lt;=Imóveis!$T$3),Imóveis!$S$3-(DATEDIF(Imóveis!$Q$3,Dados!$A420,"m")),0))=0,0,((Imóveis!$N$3/Imóveis!$S$3)+((Imóveis!$N$3-((Imóveis!$S$3-(IF(AND(Dados!$A420&gt;=Imóveis!$Q$3,Dados!$A420&lt;=Imóveis!$T$3),Imóveis!$S$3-(DATEDIF(Imóveis!$Q$3,Dados!$A420,"m")),)))*(Imóveis!$N$3/Imóveis!$S$3)))*Imóveis!$P$3))))*IF(AND(Imóveis!$E$3&gt;0,Dados!$A420&gt;Imóveis!$E$3),0,1)</f>
        <v>0</v>
      </c>
      <c r="K420" s="18">
        <f>IF(Imóveis!$F$4="PRICE",IF(AND(Dados!$A420&gt;=Imóveis!$Q$4,Dados!$A420&lt;=Imóveis!$T$4),Imóveis!$U$4,0),IF((IF(AND(Dados!$A420&gt;=Imóveis!$Q$4,Dados!$A420&lt;=Imóveis!$T$4),Imóveis!$S$4-(DATEDIF(Imóveis!$Q$4,Dados!$A420,"m")),0))=0,0,((Imóveis!$N$4/Imóveis!$S$4)+((Imóveis!$N$4-((Imóveis!$S$4-(IF(AND(Dados!$A420&gt;=Imóveis!$Q$4,Dados!$A420&lt;=Imóveis!$T$4),Imóveis!$S$4-(DATEDIF(Imóveis!$Q$4,Dados!$A420,"m")),)))*(Imóveis!$N$4/Imóveis!$S$4)))*Imóveis!$P$4))))*IF(AND(Imóveis!$E$4&gt;0,Dados!$A420&gt;Imóveis!$E$4),0,1)</f>
        <v>0</v>
      </c>
      <c r="L420" s="18">
        <f>IF(Imóveis!$F$5="PRICE",IF(AND(Dados!$A420&gt;=Imóveis!$Q$5,Dados!$A420&lt;=Imóveis!$T$5),Imóveis!$U$5,0),IF((IF(AND(Dados!$A420&gt;=Imóveis!$Q$5,Dados!$A420&lt;=Imóveis!$T$5),Imóveis!$S$5-(DATEDIF(Imóveis!$Q$5,Dados!$A420,"m")),0))=0,0,((Imóveis!$N$5/Imóveis!$S$5)+((Imóveis!$N$5-((Imóveis!$S$5-(IF(AND(Dados!$A420 &gt;=Imóveis!$Q$5,Dados!$A420&lt;=Imóveis!$T$5),Imóveis!$S$5-(DATEDIF(Imóveis!$Q$5,Dados!$A420,"m")),)))*(Imóveis!$N$5/Imóveis!$S$5)))*Imóveis!$P$5))))*IF(AND(Imóveis!$E$5&gt;0,Dados!$A420&gt;Imóveis!$E$5),0,1)*Imóveis!$I$5</f>
        <v>0</v>
      </c>
      <c r="M420" s="18">
        <f>IF(Imóveis!$F$6="PRICE",IF(AND(Dados!$A420&gt;=Imóveis!$Q$6,Dados!$A420&lt;=Imóveis!$T$6),Imóveis!$U$6,0),IF((IF(AND(Dados!$A420&gt;=Imóveis!$Q$6,Dados!$A420&lt;=Imóveis!$T$6),Imóveis!$S$6-(DATEDIF(Imóveis!$Q$6,Dados!$A420,"m")),0))=0,0,((Imóveis!$N$6/Imóveis!$S$6)+((Imóveis!$N$6-((Imóveis!$S$6-(IF(AND(Dados!$A420&gt;=Imóveis!$Q$6,Dados!$A420&lt;=Imóveis!$T$6),Imóveis!$S$6-(DATEDIF(Imóveis!$Q$6,Dados!$A420,"m")),)))*(Imóveis!$N$6/Imóveis!$S$6)))*Imóveis!$P$6))))*IF(AND(Imóveis!$E$6&gt;0,Dados!$A420&gt;Imóveis!$E$6),0,1)*Imóveis!$I$6</f>
        <v>0</v>
      </c>
      <c r="N420" s="18">
        <f t="shared" si="53"/>
        <v>37000</v>
      </c>
      <c r="O420" s="18">
        <f>SUMIFS(Receitas!$F:$F,Receitas!$J:$J,"&lt;="&amp;$A420,Receitas!$L:$L,"&gt;="&amp;$A420,Receitas!$C:$C,O$1,Receitas!$M:$M,"Mensal")+SUMIFS(Receitas!$F:$F,Receitas!$J:$J,"&lt;="&amp;$A420,Receitas!$L:$L,"&gt;="&amp;$A420,Receitas!$C:$C,O$1,Receitas!$M:$M,$B420)</f>
        <v>0</v>
      </c>
      <c r="P420" s="18">
        <f>SUMIFS(Receitas!$F:$F,Receitas!$J:$J,"&lt;="&amp;$A420,Receitas!$L:$L,"&gt;="&amp;$A420,Receitas!$C:$C,P$1,Receitas!$M:$M,"Mensal")+SUMIFS(Receitas!$F:$F,Receitas!$J:$J,"&lt;="&amp;$A420,Receitas!$L:$L,"&gt;="&amp;$A420,Receitas!$C:$C,P$1,Receitas!$M:$M,$B420)</f>
        <v>0</v>
      </c>
      <c r="Q420" s="18">
        <f>SUMIFS(Receitas!$F:$F,Receitas!$J:$J,"&lt;="&amp;$A420,Receitas!$L:$L,"&gt;="&amp;$A420,Receitas!$C:$C,Q$1,Receitas!$M:$M,"Mensal")+SUMIFS(Receitas!$F:$F,Receitas!$J:$J,"&lt;="&amp;$A420,Receitas!$L:$L,"&gt;="&amp;$A420,Receitas!$C:$C,Q$1,Receitas!$M:$M,$B420)</f>
        <v>0</v>
      </c>
      <c r="R420" s="18" cm="1">
        <f t="array" ref="R420">(IF(AND(Membros!$F$2="Sim",A420&lt;=MAX(Membros!$E$2:$E$5)),Membros!K$2,IF(AND(A420&gt;=Membros!J$2,A420&lt;=MAX(Membros!$E$2:$E$5)),Membros!K$2,0))+IF(AND(Membros!$F$3="Sim",A420&lt;=MAX(Membros!$E$2:$E$5)),Membros!K$3,IF(AND(A420&gt;=Membros!J$3,A420&lt;=MAX(Membros!$E$2:$E$5)),Membros!K$3,0)))*IF(AND(COUNTIFS(Tabela3[Tipo],"Provedor",Tabela3[Simulação Seguro],"Sim")=2,A420&gt;=MAX(IF(Tabela3[Tipo]="Dependente",Tabela3[Expectativa de Vida (Data)]))),0,1)</f>
        <v>10000</v>
      </c>
      <c r="S420" s="18">
        <f t="shared" si="54"/>
        <v>10000</v>
      </c>
      <c r="U420" s="18">
        <f t="shared" ca="1" si="57"/>
        <v>26977360.501184758</v>
      </c>
      <c r="V420" s="18">
        <f>SUMIF(Imóveis!E:E,Dados!A:A,Imóveis!Z:Z)-SUMIF(Imóveis!E:E,Dados!A:A,Imóveis!Y:Y)</f>
        <v>0</v>
      </c>
      <c r="W420" s="18">
        <f>-SUMIF(Projetos!N:N,A420,Projetos!F:F)</f>
        <v>0</v>
      </c>
      <c r="X420" s="18">
        <f t="shared" si="51"/>
        <v>-27000</v>
      </c>
      <c r="Y420" s="26">
        <f ca="1">(U420*((Indicadores_Economicos!D$2+1)^(1/12)-1))</f>
        <v>88316.858291450189</v>
      </c>
      <c r="Z420" s="18">
        <f t="shared" ca="1" si="55"/>
        <v>27038677.359476209</v>
      </c>
      <c r="AA420" s="18">
        <f ca="1">Auxiliar_Projetos!E420</f>
        <v>1.5329345304007408E-9</v>
      </c>
      <c r="AB420" s="18">
        <f ca="1">Auxiliar_Projetos!K420</f>
        <v>1.1791804080005686E-9</v>
      </c>
      <c r="AC420" s="18">
        <f ca="1">IF(Z420-AA420-AB420&gt;Investimentos!$C$14,Investimentos!$C$14,IF(Z420-AA420-AB420&lt;Investimentos!$C$14,Z420-AA420-AB420,0))</f>
        <v>300000</v>
      </c>
      <c r="AD420" s="18">
        <f t="shared" ca="1" si="56"/>
        <v>26738677.359476209</v>
      </c>
      <c r="AE420" s="18"/>
    </row>
    <row r="421" spans="1:31" x14ac:dyDescent="0.2">
      <c r="A421" s="4">
        <v>58410</v>
      </c>
      <c r="B421" s="5" t="str">
        <f t="shared" si="52"/>
        <v>dezembro</v>
      </c>
      <c r="C421" s="5" t="str">
        <f t="shared" si="58"/>
        <v>2059</v>
      </c>
      <c r="D421" s="5">
        <f>SUMIFS(Despesas!$F:$F,Despesas!$J:$J,"&lt;="&amp;$A421,Despesas!$L:$L,"&gt;="&amp;$A421,Despesas!$C:$C,D$1,Despesas!$M:$M,"Mensal")+SUMIFS(Despesas!$F:$F,Despesas!$J:$J,"&lt;="&amp;$A421,Despesas!$L:$L,"&gt;="&amp;$A421,Despesas!$C:$C,D$1,Despesas!$M:$M,$B421)</f>
        <v>23000</v>
      </c>
      <c r="E421" s="18">
        <f>SUMIFS(Despesas!$F:$F,Despesas!$J:$J,"&lt;="&amp;$A421,Despesas!$L:$L,"&gt;="&amp;$A421,Despesas!$C:$C,E$1,Despesas!$M:$M,"Mensal")+SUMIFS(Despesas!$F:$F,Despesas!$J:$J,"&lt;="&amp;$A421,Despesas!$L:$L,"&gt;="&amp;$A421,Despesas!$C:$C,E$1,Despesas!$M:$M,$B421)</f>
        <v>0</v>
      </c>
      <c r="F421" s="5">
        <f>SUMIFS(Despesas!$F:$F,Despesas!$J:$J,"&lt;="&amp;$A421,Despesas!$L:$L,"&gt;="&amp;$A421,Despesas!$C:$C,F$1,Despesas!$M:$M,"Mensal")+SUMIFS(Despesas!$F:$F,Despesas!$J:$J,"&lt;="&amp;$A421,Despesas!$L:$L,"&gt;="&amp;$A421,Despesas!$C:$C,F$1,Despesas!$M:$M,$B421)</f>
        <v>13000</v>
      </c>
      <c r="G421" s="5">
        <f ca="1">SUMIFS(Despesas!$F:$F,Despesas!$J:$J,"&lt;="&amp;$A421,Despesas!$L:$L,"&gt;="&amp;$A421,Despesas!$C:$C,G$1,Despesas!$M:$M,"Mensal")+SUMIFS(Despesas!$F:$F,Despesas!$J:$J,"&lt;="&amp;$A421,Despesas!$L:$L,"&gt;="&amp;$A421,Despesas!$C:$C,G$1,Despesas!$M:$M,$B421)</f>
        <v>55757</v>
      </c>
      <c r="H421" s="18">
        <f>SUMIFS(Despesas!$F:$F,Despesas!$J:$J,"&lt;="&amp;$A421,Despesas!$L:$L,"&gt;="&amp;$A421,Despesas!$C:$C,H$1,Despesas!$M:$M,"Mensal")+SUMIFS(Despesas!$F:$F,Despesas!$J:$J,"&lt;="&amp;$A421,Despesas!$L:$L,"&gt;="&amp;$A421,Despesas!$C:$C,H$1,Despesas!$M:$M,$B421)</f>
        <v>1000</v>
      </c>
      <c r="I421" s="18">
        <f>IF(Imóveis!$F$2="PRICE",IF(AND(Dados!$A421&gt;=Imóveis!$Q$2,Dados!$A421&lt;=Imóveis!$T$2),Imóveis!$U$2,0),IF((IF(AND(Dados!$A421&gt;=Imóveis!$Q$2,Dados!$A421&lt;=Imóveis!$T$2),Imóveis!$S$2-(DATEDIF(Imóveis!$Q$2,Dados!$A421,"m")),0))=0,0,((Imóveis!$N$2/Imóveis!$S$2)+((Imóveis!$N$2-((Imóveis!$S$2-(IF(AND(Dados!$A421&gt;=Imóveis!$Q$2,Dados!$A421&lt;=Imóveis!$T$2),Imóveis!$S$2-(DATEDIF(Imóveis!$Q$2,Dados!$A421,"m")),)))*(Imóveis!$N$2/Imóveis!$S$2)))*Imóveis!$P$2))))*IF(AND(Imóveis!$E$2&gt;0,Dados!$A421&gt;Imóveis!$E$2),0,1)</f>
        <v>0</v>
      </c>
      <c r="J421" s="18">
        <f>IF(Imóveis!$F$3="PRICE",IF(AND(Dados!$A421&gt;=Imóveis!$Q$3,Dados!$A421&lt;=Imóveis!$T$3),Imóveis!$U$3,0),IF((IF(AND(Dados!$A421&gt;=Imóveis!$Q$3,Dados!$A421&lt;=Imóveis!$T$3),Imóveis!$S$3-(DATEDIF(Imóveis!$Q$3,Dados!$A421,"m")),0))=0,0,((Imóveis!$N$3/Imóveis!$S$3)+((Imóveis!$N$3-((Imóveis!$S$3-(IF(AND(Dados!$A421&gt;=Imóveis!$Q$3,Dados!$A421&lt;=Imóveis!$T$3),Imóveis!$S$3-(DATEDIF(Imóveis!$Q$3,Dados!$A421,"m")),)))*(Imóveis!$N$3/Imóveis!$S$3)))*Imóveis!$P$3))))*IF(AND(Imóveis!$E$3&gt;0,Dados!$A421&gt;Imóveis!$E$3),0,1)</f>
        <v>0</v>
      </c>
      <c r="K421" s="18">
        <f>IF(Imóveis!$F$4="PRICE",IF(AND(Dados!$A421&gt;=Imóveis!$Q$4,Dados!$A421&lt;=Imóveis!$T$4),Imóveis!$U$4,0),IF((IF(AND(Dados!$A421&gt;=Imóveis!$Q$4,Dados!$A421&lt;=Imóveis!$T$4),Imóveis!$S$4-(DATEDIF(Imóveis!$Q$4,Dados!$A421,"m")),0))=0,0,((Imóveis!$N$4/Imóveis!$S$4)+((Imóveis!$N$4-((Imóveis!$S$4-(IF(AND(Dados!$A421&gt;=Imóveis!$Q$4,Dados!$A421&lt;=Imóveis!$T$4),Imóveis!$S$4-(DATEDIF(Imóveis!$Q$4,Dados!$A421,"m")),)))*(Imóveis!$N$4/Imóveis!$S$4)))*Imóveis!$P$4))))*IF(AND(Imóveis!$E$4&gt;0,Dados!$A421&gt;Imóveis!$E$4),0,1)</f>
        <v>0</v>
      </c>
      <c r="L421" s="18">
        <f>IF(Imóveis!$F$5="PRICE",IF(AND(Dados!$A421&gt;=Imóveis!$Q$5,Dados!$A421&lt;=Imóveis!$T$5),Imóveis!$U$5,0),IF((IF(AND(Dados!$A421&gt;=Imóveis!$Q$5,Dados!$A421&lt;=Imóveis!$T$5),Imóveis!$S$5-(DATEDIF(Imóveis!$Q$5,Dados!$A421,"m")),0))=0,0,((Imóveis!$N$5/Imóveis!$S$5)+((Imóveis!$N$5-((Imóveis!$S$5-(IF(AND(Dados!$A421 &gt;=Imóveis!$Q$5,Dados!$A421&lt;=Imóveis!$T$5),Imóveis!$S$5-(DATEDIF(Imóveis!$Q$5,Dados!$A421,"m")),)))*(Imóveis!$N$5/Imóveis!$S$5)))*Imóveis!$P$5))))*IF(AND(Imóveis!$E$5&gt;0,Dados!$A421&gt;Imóveis!$E$5),0,1)*Imóveis!$I$5</f>
        <v>0</v>
      </c>
      <c r="M421" s="18">
        <f>IF(Imóveis!$F$6="PRICE",IF(AND(Dados!$A421&gt;=Imóveis!$Q$6,Dados!$A421&lt;=Imóveis!$T$6),Imóveis!$U$6,0),IF((IF(AND(Dados!$A421&gt;=Imóveis!$Q$6,Dados!$A421&lt;=Imóveis!$T$6),Imóveis!$S$6-(DATEDIF(Imóveis!$Q$6,Dados!$A421,"m")),0))=0,0,((Imóveis!$N$6/Imóveis!$S$6)+((Imóveis!$N$6-((Imóveis!$S$6-(IF(AND(Dados!$A421&gt;=Imóveis!$Q$6,Dados!$A421&lt;=Imóveis!$T$6),Imóveis!$S$6-(DATEDIF(Imóveis!$Q$6,Dados!$A421,"m")),)))*(Imóveis!$N$6/Imóveis!$S$6)))*Imóveis!$P$6))))*IF(AND(Imóveis!$E$6&gt;0,Dados!$A421&gt;Imóveis!$E$6),0,1)*Imóveis!$I$6</f>
        <v>0</v>
      </c>
      <c r="N421" s="18">
        <f t="shared" ca="1" si="53"/>
        <v>92757</v>
      </c>
      <c r="O421" s="18">
        <f>SUMIFS(Receitas!$F:$F,Receitas!$J:$J,"&lt;="&amp;$A421,Receitas!$L:$L,"&gt;="&amp;$A421,Receitas!$C:$C,O$1,Receitas!$M:$M,"Mensal")+SUMIFS(Receitas!$F:$F,Receitas!$J:$J,"&lt;="&amp;$A421,Receitas!$L:$L,"&gt;="&amp;$A421,Receitas!$C:$C,O$1,Receitas!$M:$M,$B421)</f>
        <v>0</v>
      </c>
      <c r="P421" s="18">
        <f>SUMIFS(Receitas!$F:$F,Receitas!$J:$J,"&lt;="&amp;$A421,Receitas!$L:$L,"&gt;="&amp;$A421,Receitas!$C:$C,P$1,Receitas!$M:$M,"Mensal")+SUMIFS(Receitas!$F:$F,Receitas!$J:$J,"&lt;="&amp;$A421,Receitas!$L:$L,"&gt;="&amp;$A421,Receitas!$C:$C,P$1,Receitas!$M:$M,$B421)</f>
        <v>0</v>
      </c>
      <c r="Q421" s="18">
        <f>SUMIFS(Receitas!$F:$F,Receitas!$J:$J,"&lt;="&amp;$A421,Receitas!$L:$L,"&gt;="&amp;$A421,Receitas!$C:$C,Q$1,Receitas!$M:$M,"Mensal")+SUMIFS(Receitas!$F:$F,Receitas!$J:$J,"&lt;="&amp;$A421,Receitas!$L:$L,"&gt;="&amp;$A421,Receitas!$C:$C,Q$1,Receitas!$M:$M,$B421)</f>
        <v>0</v>
      </c>
      <c r="R421" s="18" cm="1">
        <f t="array" ref="R421">(IF(AND(Membros!$F$2="Sim",A421&lt;=MAX(Membros!$E$2:$E$5)),Membros!K$2,IF(AND(A421&gt;=Membros!J$2,A421&lt;=MAX(Membros!$E$2:$E$5)),Membros!K$2,0))+IF(AND(Membros!$F$3="Sim",A421&lt;=MAX(Membros!$E$2:$E$5)),Membros!K$3,IF(AND(A421&gt;=Membros!J$3,A421&lt;=MAX(Membros!$E$2:$E$5)),Membros!K$3,0)))*IF(AND(COUNTIFS(Tabela3[Tipo],"Provedor",Tabela3[Simulação Seguro],"Sim")=2,A421&gt;=MAX(IF(Tabela3[Tipo]="Dependente",Tabela3[Expectativa de Vida (Data)]))),0,1)</f>
        <v>10000</v>
      </c>
      <c r="S421" s="18">
        <f t="shared" si="54"/>
        <v>10000</v>
      </c>
      <c r="U421" s="18">
        <f t="shared" ca="1" si="57"/>
        <v>27038677.359476209</v>
      </c>
      <c r="V421" s="18">
        <f>SUMIF(Imóveis!E:E,Dados!A:A,Imóveis!Z:Z)-SUMIF(Imóveis!E:E,Dados!A:A,Imóveis!Y:Y)</f>
        <v>0</v>
      </c>
      <c r="W421" s="18">
        <f>-SUMIF(Projetos!N:N,A421,Projetos!F:F)</f>
        <v>0</v>
      </c>
      <c r="X421" s="18">
        <f t="shared" ca="1" si="51"/>
        <v>-82757</v>
      </c>
      <c r="Y421" s="26">
        <f ca="1">(U421*((Indicadores_Economicos!D$2+1)^(1/12)-1))</f>
        <v>88517.593729758359</v>
      </c>
      <c r="Z421" s="18">
        <f t="shared" ca="1" si="55"/>
        <v>27044437.953205965</v>
      </c>
      <c r="AA421" s="18">
        <f ca="1">Auxiliar_Projetos!E421</f>
        <v>1.5379529591564201E-9</v>
      </c>
      <c r="AB421" s="18">
        <f ca="1">Auxiliar_Projetos!K421</f>
        <v>1.1830407378126297E-9</v>
      </c>
      <c r="AC421" s="18">
        <f ca="1">IF(Z421-AA421-AB421&gt;Investimentos!$C$14,Investimentos!$C$14,IF(Z421-AA421-AB421&lt;Investimentos!$C$14,Z421-AA421-AB421,0))</f>
        <v>300000</v>
      </c>
      <c r="AD421" s="18">
        <f t="shared" ca="1" si="56"/>
        <v>26744437.953205965</v>
      </c>
      <c r="AE421" s="18"/>
    </row>
    <row r="422" spans="1:31" x14ac:dyDescent="0.2">
      <c r="A422" s="4">
        <v>58441</v>
      </c>
      <c r="B422" s="5" t="str">
        <f t="shared" si="52"/>
        <v>janeiro</v>
      </c>
      <c r="C422" s="5" t="str">
        <f t="shared" si="58"/>
        <v>2060</v>
      </c>
      <c r="D422" s="5">
        <f>SUMIFS(Despesas!$F:$F,Despesas!$J:$J,"&lt;="&amp;$A422,Despesas!$L:$L,"&gt;="&amp;$A422,Despesas!$C:$C,D$1,Despesas!$M:$M,"Mensal")+SUMIFS(Despesas!$F:$F,Despesas!$J:$J,"&lt;="&amp;$A422,Despesas!$L:$L,"&gt;="&amp;$A422,Despesas!$C:$C,D$1,Despesas!$M:$M,$B422)</f>
        <v>23000</v>
      </c>
      <c r="E422" s="18">
        <f>SUMIFS(Despesas!$F:$F,Despesas!$J:$J,"&lt;="&amp;$A422,Despesas!$L:$L,"&gt;="&amp;$A422,Despesas!$C:$C,E$1,Despesas!$M:$M,"Mensal")+SUMIFS(Despesas!$F:$F,Despesas!$J:$J,"&lt;="&amp;$A422,Despesas!$L:$L,"&gt;="&amp;$A422,Despesas!$C:$C,E$1,Despesas!$M:$M,$B422)</f>
        <v>0</v>
      </c>
      <c r="F422" s="5">
        <f>SUMIFS(Despesas!$F:$F,Despesas!$J:$J,"&lt;="&amp;$A422,Despesas!$L:$L,"&gt;="&amp;$A422,Despesas!$C:$C,F$1,Despesas!$M:$M,"Mensal")+SUMIFS(Despesas!$F:$F,Despesas!$J:$J,"&lt;="&amp;$A422,Despesas!$L:$L,"&gt;="&amp;$A422,Despesas!$C:$C,F$1,Despesas!$M:$M,$B422)</f>
        <v>13000</v>
      </c>
      <c r="G422" s="5">
        <f>SUMIFS(Despesas!$F:$F,Despesas!$J:$J,"&lt;="&amp;$A422,Despesas!$L:$L,"&gt;="&amp;$A422,Despesas!$C:$C,G$1,Despesas!$M:$M,"Mensal")+SUMIFS(Despesas!$F:$F,Despesas!$J:$J,"&lt;="&amp;$A422,Despesas!$L:$L,"&gt;="&amp;$A422,Despesas!$C:$C,G$1,Despesas!$M:$M,$B422)</f>
        <v>0</v>
      </c>
      <c r="H422" s="18">
        <f>SUMIFS(Despesas!$F:$F,Despesas!$J:$J,"&lt;="&amp;$A422,Despesas!$L:$L,"&gt;="&amp;$A422,Despesas!$C:$C,H$1,Despesas!$M:$M,"Mensal")+SUMIFS(Despesas!$F:$F,Despesas!$J:$J,"&lt;="&amp;$A422,Despesas!$L:$L,"&gt;="&amp;$A422,Despesas!$C:$C,H$1,Despesas!$M:$M,$B422)</f>
        <v>1000</v>
      </c>
      <c r="I422" s="18">
        <f>IF(Imóveis!$F$2="PRICE",IF(AND(Dados!$A422&gt;=Imóveis!$Q$2,Dados!$A422&lt;=Imóveis!$T$2),Imóveis!$U$2,0),IF((IF(AND(Dados!$A422&gt;=Imóveis!$Q$2,Dados!$A422&lt;=Imóveis!$T$2),Imóveis!$S$2-(DATEDIF(Imóveis!$Q$2,Dados!$A422,"m")),0))=0,0,((Imóveis!$N$2/Imóveis!$S$2)+((Imóveis!$N$2-((Imóveis!$S$2-(IF(AND(Dados!$A422&gt;=Imóveis!$Q$2,Dados!$A422&lt;=Imóveis!$T$2),Imóveis!$S$2-(DATEDIF(Imóveis!$Q$2,Dados!$A422,"m")),)))*(Imóveis!$N$2/Imóveis!$S$2)))*Imóveis!$P$2))))*IF(AND(Imóveis!$E$2&gt;0,Dados!$A422&gt;Imóveis!$E$2),0,1)</f>
        <v>0</v>
      </c>
      <c r="J422" s="18">
        <f>IF(Imóveis!$F$3="PRICE",IF(AND(Dados!$A422&gt;=Imóveis!$Q$3,Dados!$A422&lt;=Imóveis!$T$3),Imóveis!$U$3,0),IF((IF(AND(Dados!$A422&gt;=Imóveis!$Q$3,Dados!$A422&lt;=Imóveis!$T$3),Imóveis!$S$3-(DATEDIF(Imóveis!$Q$3,Dados!$A422,"m")),0))=0,0,((Imóveis!$N$3/Imóveis!$S$3)+((Imóveis!$N$3-((Imóveis!$S$3-(IF(AND(Dados!$A422&gt;=Imóveis!$Q$3,Dados!$A422&lt;=Imóveis!$T$3),Imóveis!$S$3-(DATEDIF(Imóveis!$Q$3,Dados!$A422,"m")),)))*(Imóveis!$N$3/Imóveis!$S$3)))*Imóveis!$P$3))))*IF(AND(Imóveis!$E$3&gt;0,Dados!$A422&gt;Imóveis!$E$3),0,1)</f>
        <v>0</v>
      </c>
      <c r="K422" s="18">
        <f>IF(Imóveis!$F$4="PRICE",IF(AND(Dados!$A422&gt;=Imóveis!$Q$4,Dados!$A422&lt;=Imóveis!$T$4),Imóveis!$U$4,0),IF((IF(AND(Dados!$A422&gt;=Imóveis!$Q$4,Dados!$A422&lt;=Imóveis!$T$4),Imóveis!$S$4-(DATEDIF(Imóveis!$Q$4,Dados!$A422,"m")),0))=0,0,((Imóveis!$N$4/Imóveis!$S$4)+((Imóveis!$N$4-((Imóveis!$S$4-(IF(AND(Dados!$A422&gt;=Imóveis!$Q$4,Dados!$A422&lt;=Imóveis!$T$4),Imóveis!$S$4-(DATEDIF(Imóveis!$Q$4,Dados!$A422,"m")),)))*(Imóveis!$N$4/Imóveis!$S$4)))*Imóveis!$P$4))))*IF(AND(Imóveis!$E$4&gt;0,Dados!$A422&gt;Imóveis!$E$4),0,1)</f>
        <v>0</v>
      </c>
      <c r="L422" s="18">
        <f>IF(Imóveis!$F$5="PRICE",IF(AND(Dados!$A422&gt;=Imóveis!$Q$5,Dados!$A422&lt;=Imóveis!$T$5),Imóveis!$U$5,0),IF((IF(AND(Dados!$A422&gt;=Imóveis!$Q$5,Dados!$A422&lt;=Imóveis!$T$5),Imóveis!$S$5-(DATEDIF(Imóveis!$Q$5,Dados!$A422,"m")),0))=0,0,((Imóveis!$N$5/Imóveis!$S$5)+((Imóveis!$N$5-((Imóveis!$S$5-(IF(AND(Dados!$A422 &gt;=Imóveis!$Q$5,Dados!$A422&lt;=Imóveis!$T$5),Imóveis!$S$5-(DATEDIF(Imóveis!$Q$5,Dados!$A422,"m")),)))*(Imóveis!$N$5/Imóveis!$S$5)))*Imóveis!$P$5))))*IF(AND(Imóveis!$E$5&gt;0,Dados!$A422&gt;Imóveis!$E$5),0,1)*Imóveis!$I$5</f>
        <v>0</v>
      </c>
      <c r="M422" s="18">
        <f>IF(Imóveis!$F$6="PRICE",IF(AND(Dados!$A422&gt;=Imóveis!$Q$6,Dados!$A422&lt;=Imóveis!$T$6),Imóveis!$U$6,0),IF((IF(AND(Dados!$A422&gt;=Imóveis!$Q$6,Dados!$A422&lt;=Imóveis!$T$6),Imóveis!$S$6-(DATEDIF(Imóveis!$Q$6,Dados!$A422,"m")),0))=0,0,((Imóveis!$N$6/Imóveis!$S$6)+((Imóveis!$N$6-((Imóveis!$S$6-(IF(AND(Dados!$A422&gt;=Imóveis!$Q$6,Dados!$A422&lt;=Imóveis!$T$6),Imóveis!$S$6-(DATEDIF(Imóveis!$Q$6,Dados!$A422,"m")),)))*(Imóveis!$N$6/Imóveis!$S$6)))*Imóveis!$P$6))))*IF(AND(Imóveis!$E$6&gt;0,Dados!$A422&gt;Imóveis!$E$6),0,1)*Imóveis!$I$6</f>
        <v>0</v>
      </c>
      <c r="N422" s="18">
        <f t="shared" si="53"/>
        <v>37000</v>
      </c>
      <c r="O422" s="18">
        <f>SUMIFS(Receitas!$F:$F,Receitas!$J:$J,"&lt;="&amp;$A422,Receitas!$L:$L,"&gt;="&amp;$A422,Receitas!$C:$C,O$1,Receitas!$M:$M,"Mensal")+SUMIFS(Receitas!$F:$F,Receitas!$J:$J,"&lt;="&amp;$A422,Receitas!$L:$L,"&gt;="&amp;$A422,Receitas!$C:$C,O$1,Receitas!$M:$M,$B422)</f>
        <v>0</v>
      </c>
      <c r="P422" s="18">
        <f>SUMIFS(Receitas!$F:$F,Receitas!$J:$J,"&lt;="&amp;$A422,Receitas!$L:$L,"&gt;="&amp;$A422,Receitas!$C:$C,P$1,Receitas!$M:$M,"Mensal")+SUMIFS(Receitas!$F:$F,Receitas!$J:$J,"&lt;="&amp;$A422,Receitas!$L:$L,"&gt;="&amp;$A422,Receitas!$C:$C,P$1,Receitas!$M:$M,$B422)</f>
        <v>0</v>
      </c>
      <c r="Q422" s="18">
        <f>SUMIFS(Receitas!$F:$F,Receitas!$J:$J,"&lt;="&amp;$A422,Receitas!$L:$L,"&gt;="&amp;$A422,Receitas!$C:$C,Q$1,Receitas!$M:$M,"Mensal")+SUMIFS(Receitas!$F:$F,Receitas!$J:$J,"&lt;="&amp;$A422,Receitas!$L:$L,"&gt;="&amp;$A422,Receitas!$C:$C,Q$1,Receitas!$M:$M,$B422)</f>
        <v>0</v>
      </c>
      <c r="R422" s="18" cm="1">
        <f t="array" ref="R422">(IF(AND(Membros!$F$2="Sim",A422&lt;=MAX(Membros!$E$2:$E$5)),Membros!K$2,IF(AND(A422&gt;=Membros!J$2,A422&lt;=MAX(Membros!$E$2:$E$5)),Membros!K$2,0))+IF(AND(Membros!$F$3="Sim",A422&lt;=MAX(Membros!$E$2:$E$5)),Membros!K$3,IF(AND(A422&gt;=Membros!J$3,A422&lt;=MAX(Membros!$E$2:$E$5)),Membros!K$3,0)))*IF(AND(COUNTIFS(Tabela3[Tipo],"Provedor",Tabela3[Simulação Seguro],"Sim")=2,A422&gt;=MAX(IF(Tabela3[Tipo]="Dependente",Tabela3[Expectativa de Vida (Data)]))),0,1)</f>
        <v>10000</v>
      </c>
      <c r="S422" s="18">
        <f t="shared" si="54"/>
        <v>10000</v>
      </c>
      <c r="U422" s="18">
        <f t="shared" ca="1" si="57"/>
        <v>27044437.953205965</v>
      </c>
      <c r="V422" s="18">
        <f>SUMIF(Imóveis!E:E,Dados!A:A,Imóveis!Z:Z)-SUMIF(Imóveis!E:E,Dados!A:A,Imóveis!Y:Y)</f>
        <v>0</v>
      </c>
      <c r="W422" s="18">
        <f>-SUMIF(Projetos!N:N,A422,Projetos!F:F)</f>
        <v>0</v>
      </c>
      <c r="X422" s="18">
        <f t="shared" si="51"/>
        <v>-27000</v>
      </c>
      <c r="Y422" s="26">
        <f ca="1">(U422*((Indicadores_Economicos!D$2+1)^(1/12)-1))</f>
        <v>88536.452414620551</v>
      </c>
      <c r="Z422" s="18">
        <f t="shared" ca="1" si="55"/>
        <v>27105974.405620586</v>
      </c>
      <c r="AA422" s="18">
        <f ca="1">Auxiliar_Projetos!E422</f>
        <v>1.5429878169419611E-9</v>
      </c>
      <c r="AB422" s="18">
        <f ca="1">Auxiliar_Projetos!K422</f>
        <v>1.1869137053399688E-9</v>
      </c>
      <c r="AC422" s="18">
        <f ca="1">IF(Z422-AA422-AB422&gt;Investimentos!$C$14,Investimentos!$C$14,IF(Z422-AA422-AB422&lt;Investimentos!$C$14,Z422-AA422-AB422,0))</f>
        <v>300000</v>
      </c>
      <c r="AD422" s="18">
        <f t="shared" ca="1" si="56"/>
        <v>26805974.405620586</v>
      </c>
      <c r="AE422" s="18"/>
    </row>
    <row r="423" spans="1:31" x14ac:dyDescent="0.2">
      <c r="A423" s="4">
        <v>58472</v>
      </c>
      <c r="B423" s="5" t="str">
        <f t="shared" si="52"/>
        <v>fevereiro</v>
      </c>
      <c r="C423" s="5" t="str">
        <f t="shared" si="58"/>
        <v>2060</v>
      </c>
      <c r="D423" s="5">
        <f>SUMIFS(Despesas!$F:$F,Despesas!$J:$J,"&lt;="&amp;$A423,Despesas!$L:$L,"&gt;="&amp;$A423,Despesas!$C:$C,D$1,Despesas!$M:$M,"Mensal")+SUMIFS(Despesas!$F:$F,Despesas!$J:$J,"&lt;="&amp;$A423,Despesas!$L:$L,"&gt;="&amp;$A423,Despesas!$C:$C,D$1,Despesas!$M:$M,$B423)</f>
        <v>23000</v>
      </c>
      <c r="E423" s="18">
        <f>SUMIFS(Despesas!$F:$F,Despesas!$J:$J,"&lt;="&amp;$A423,Despesas!$L:$L,"&gt;="&amp;$A423,Despesas!$C:$C,E$1,Despesas!$M:$M,"Mensal")+SUMIFS(Despesas!$F:$F,Despesas!$J:$J,"&lt;="&amp;$A423,Despesas!$L:$L,"&gt;="&amp;$A423,Despesas!$C:$C,E$1,Despesas!$M:$M,$B423)</f>
        <v>0</v>
      </c>
      <c r="F423" s="5">
        <f>SUMIFS(Despesas!$F:$F,Despesas!$J:$J,"&lt;="&amp;$A423,Despesas!$L:$L,"&gt;="&amp;$A423,Despesas!$C:$C,F$1,Despesas!$M:$M,"Mensal")+SUMIFS(Despesas!$F:$F,Despesas!$J:$J,"&lt;="&amp;$A423,Despesas!$L:$L,"&gt;="&amp;$A423,Despesas!$C:$C,F$1,Despesas!$M:$M,$B423)</f>
        <v>13000</v>
      </c>
      <c r="G423" s="5">
        <f>SUMIFS(Despesas!$F:$F,Despesas!$J:$J,"&lt;="&amp;$A423,Despesas!$L:$L,"&gt;="&amp;$A423,Despesas!$C:$C,G$1,Despesas!$M:$M,"Mensal")+SUMIFS(Despesas!$F:$F,Despesas!$J:$J,"&lt;="&amp;$A423,Despesas!$L:$L,"&gt;="&amp;$A423,Despesas!$C:$C,G$1,Despesas!$M:$M,$B423)</f>
        <v>0</v>
      </c>
      <c r="H423" s="18">
        <f>SUMIFS(Despesas!$F:$F,Despesas!$J:$J,"&lt;="&amp;$A423,Despesas!$L:$L,"&gt;="&amp;$A423,Despesas!$C:$C,H$1,Despesas!$M:$M,"Mensal")+SUMIFS(Despesas!$F:$F,Despesas!$J:$J,"&lt;="&amp;$A423,Despesas!$L:$L,"&gt;="&amp;$A423,Despesas!$C:$C,H$1,Despesas!$M:$M,$B423)</f>
        <v>2200</v>
      </c>
      <c r="I423" s="18">
        <f>IF(Imóveis!$F$2="PRICE",IF(AND(Dados!$A423&gt;=Imóveis!$Q$2,Dados!$A423&lt;=Imóveis!$T$2),Imóveis!$U$2,0),IF((IF(AND(Dados!$A423&gt;=Imóveis!$Q$2,Dados!$A423&lt;=Imóveis!$T$2),Imóveis!$S$2-(DATEDIF(Imóveis!$Q$2,Dados!$A423,"m")),0))=0,0,((Imóveis!$N$2/Imóveis!$S$2)+((Imóveis!$N$2-((Imóveis!$S$2-(IF(AND(Dados!$A423&gt;=Imóveis!$Q$2,Dados!$A423&lt;=Imóveis!$T$2),Imóveis!$S$2-(DATEDIF(Imóveis!$Q$2,Dados!$A423,"m")),)))*(Imóveis!$N$2/Imóveis!$S$2)))*Imóveis!$P$2))))*IF(AND(Imóveis!$E$2&gt;0,Dados!$A423&gt;Imóveis!$E$2),0,1)</f>
        <v>0</v>
      </c>
      <c r="J423" s="18">
        <f>IF(Imóveis!$F$3="PRICE",IF(AND(Dados!$A423&gt;=Imóveis!$Q$3,Dados!$A423&lt;=Imóveis!$T$3),Imóveis!$U$3,0),IF((IF(AND(Dados!$A423&gt;=Imóveis!$Q$3,Dados!$A423&lt;=Imóveis!$T$3),Imóveis!$S$3-(DATEDIF(Imóveis!$Q$3,Dados!$A423,"m")),0))=0,0,((Imóveis!$N$3/Imóveis!$S$3)+((Imóveis!$N$3-((Imóveis!$S$3-(IF(AND(Dados!$A423&gt;=Imóveis!$Q$3,Dados!$A423&lt;=Imóveis!$T$3),Imóveis!$S$3-(DATEDIF(Imóveis!$Q$3,Dados!$A423,"m")),)))*(Imóveis!$N$3/Imóveis!$S$3)))*Imóveis!$P$3))))*IF(AND(Imóveis!$E$3&gt;0,Dados!$A423&gt;Imóveis!$E$3),0,1)</f>
        <v>0</v>
      </c>
      <c r="K423" s="18">
        <f>IF(Imóveis!$F$4="PRICE",IF(AND(Dados!$A423&gt;=Imóveis!$Q$4,Dados!$A423&lt;=Imóveis!$T$4),Imóveis!$U$4,0),IF((IF(AND(Dados!$A423&gt;=Imóveis!$Q$4,Dados!$A423&lt;=Imóveis!$T$4),Imóveis!$S$4-(DATEDIF(Imóveis!$Q$4,Dados!$A423,"m")),0))=0,0,((Imóveis!$N$4/Imóveis!$S$4)+((Imóveis!$N$4-((Imóveis!$S$4-(IF(AND(Dados!$A423&gt;=Imóveis!$Q$4,Dados!$A423&lt;=Imóveis!$T$4),Imóveis!$S$4-(DATEDIF(Imóveis!$Q$4,Dados!$A423,"m")),)))*(Imóveis!$N$4/Imóveis!$S$4)))*Imóveis!$P$4))))*IF(AND(Imóveis!$E$4&gt;0,Dados!$A423&gt;Imóveis!$E$4),0,1)</f>
        <v>0</v>
      </c>
      <c r="L423" s="18">
        <f>IF(Imóveis!$F$5="PRICE",IF(AND(Dados!$A423&gt;=Imóveis!$Q$5,Dados!$A423&lt;=Imóveis!$T$5),Imóveis!$U$5,0),IF((IF(AND(Dados!$A423&gt;=Imóveis!$Q$5,Dados!$A423&lt;=Imóveis!$T$5),Imóveis!$S$5-(DATEDIF(Imóveis!$Q$5,Dados!$A423,"m")),0))=0,0,((Imóveis!$N$5/Imóveis!$S$5)+((Imóveis!$N$5-((Imóveis!$S$5-(IF(AND(Dados!$A423 &gt;=Imóveis!$Q$5,Dados!$A423&lt;=Imóveis!$T$5),Imóveis!$S$5-(DATEDIF(Imóveis!$Q$5,Dados!$A423,"m")),)))*(Imóveis!$N$5/Imóveis!$S$5)))*Imóveis!$P$5))))*IF(AND(Imóveis!$E$5&gt;0,Dados!$A423&gt;Imóveis!$E$5),0,1)*Imóveis!$I$5</f>
        <v>0</v>
      </c>
      <c r="M423" s="18">
        <f>IF(Imóveis!$F$6="PRICE",IF(AND(Dados!$A423&gt;=Imóveis!$Q$6,Dados!$A423&lt;=Imóveis!$T$6),Imóveis!$U$6,0),IF((IF(AND(Dados!$A423&gt;=Imóveis!$Q$6,Dados!$A423&lt;=Imóveis!$T$6),Imóveis!$S$6-(DATEDIF(Imóveis!$Q$6,Dados!$A423,"m")),0))=0,0,((Imóveis!$N$6/Imóveis!$S$6)+((Imóveis!$N$6-((Imóveis!$S$6-(IF(AND(Dados!$A423&gt;=Imóveis!$Q$6,Dados!$A423&lt;=Imóveis!$T$6),Imóveis!$S$6-(DATEDIF(Imóveis!$Q$6,Dados!$A423,"m")),)))*(Imóveis!$N$6/Imóveis!$S$6)))*Imóveis!$P$6))))*IF(AND(Imóveis!$E$6&gt;0,Dados!$A423&gt;Imóveis!$E$6),0,1)*Imóveis!$I$6</f>
        <v>0</v>
      </c>
      <c r="N423" s="18">
        <f t="shared" si="53"/>
        <v>38200</v>
      </c>
      <c r="O423" s="18">
        <f>SUMIFS(Receitas!$F:$F,Receitas!$J:$J,"&lt;="&amp;$A423,Receitas!$L:$L,"&gt;="&amp;$A423,Receitas!$C:$C,O$1,Receitas!$M:$M,"Mensal")+SUMIFS(Receitas!$F:$F,Receitas!$J:$J,"&lt;="&amp;$A423,Receitas!$L:$L,"&gt;="&amp;$A423,Receitas!$C:$C,O$1,Receitas!$M:$M,$B423)</f>
        <v>0</v>
      </c>
      <c r="P423" s="18">
        <f>SUMIFS(Receitas!$F:$F,Receitas!$J:$J,"&lt;="&amp;$A423,Receitas!$L:$L,"&gt;="&amp;$A423,Receitas!$C:$C,P$1,Receitas!$M:$M,"Mensal")+SUMIFS(Receitas!$F:$F,Receitas!$J:$J,"&lt;="&amp;$A423,Receitas!$L:$L,"&gt;="&amp;$A423,Receitas!$C:$C,P$1,Receitas!$M:$M,$B423)</f>
        <v>0</v>
      </c>
      <c r="Q423" s="18">
        <f>SUMIFS(Receitas!$F:$F,Receitas!$J:$J,"&lt;="&amp;$A423,Receitas!$L:$L,"&gt;="&amp;$A423,Receitas!$C:$C,Q$1,Receitas!$M:$M,"Mensal")+SUMIFS(Receitas!$F:$F,Receitas!$J:$J,"&lt;="&amp;$A423,Receitas!$L:$L,"&gt;="&amp;$A423,Receitas!$C:$C,Q$1,Receitas!$M:$M,$B423)</f>
        <v>0</v>
      </c>
      <c r="R423" s="18" cm="1">
        <f t="array" ref="R423">(IF(AND(Membros!$F$2="Sim",A423&lt;=MAX(Membros!$E$2:$E$5)),Membros!K$2,IF(AND(A423&gt;=Membros!J$2,A423&lt;=MAX(Membros!$E$2:$E$5)),Membros!K$2,0))+IF(AND(Membros!$F$3="Sim",A423&lt;=MAX(Membros!$E$2:$E$5)),Membros!K$3,IF(AND(A423&gt;=Membros!J$3,A423&lt;=MAX(Membros!$E$2:$E$5)),Membros!K$3,0)))*IF(AND(COUNTIFS(Tabela3[Tipo],"Provedor",Tabela3[Simulação Seguro],"Sim")=2,A423&gt;=MAX(IF(Tabela3[Tipo]="Dependente",Tabela3[Expectativa de Vida (Data)]))),0,1)</f>
        <v>10000</v>
      </c>
      <c r="S423" s="18">
        <f t="shared" si="54"/>
        <v>10000</v>
      </c>
      <c r="U423" s="18">
        <f t="shared" ca="1" si="57"/>
        <v>27105974.405620586</v>
      </c>
      <c r="V423" s="18">
        <f>SUMIF(Imóveis!E:E,Dados!A:A,Imóveis!Z:Z)-SUMIF(Imóveis!E:E,Dados!A:A,Imóveis!Y:Y)</f>
        <v>0</v>
      </c>
      <c r="W423" s="18">
        <f>-SUMIF(Projetos!N:N,A423,Projetos!F:F)</f>
        <v>0</v>
      </c>
      <c r="X423" s="18">
        <f t="shared" si="51"/>
        <v>-28200</v>
      </c>
      <c r="Y423" s="26">
        <f ca="1">(U423*((Indicadores_Economicos!D$2+1)^(1/12)-1))</f>
        <v>88737.906746945693</v>
      </c>
      <c r="Z423" s="18">
        <f t="shared" ca="1" si="55"/>
        <v>27166512.312367532</v>
      </c>
      <c r="AA423" s="18">
        <f ca="1">Auxiliar_Projetos!E423</f>
        <v>1.5480391575417323E-9</v>
      </c>
      <c r="AB423" s="18">
        <f ca="1">Auxiliar_Projetos!K423</f>
        <v>1.1907993519551773E-9</v>
      </c>
      <c r="AC423" s="18">
        <f ca="1">IF(Z423-AA423-AB423&gt;Investimentos!$C$14,Investimentos!$C$14,IF(Z423-AA423-AB423&lt;Investimentos!$C$14,Z423-AA423-AB423,0))</f>
        <v>300000</v>
      </c>
      <c r="AD423" s="18">
        <f t="shared" ca="1" si="56"/>
        <v>26866512.312367532</v>
      </c>
      <c r="AE423" s="18"/>
    </row>
    <row r="424" spans="1:31" x14ac:dyDescent="0.2">
      <c r="A424" s="4">
        <v>58501</v>
      </c>
      <c r="B424" s="5" t="str">
        <f t="shared" si="52"/>
        <v>março</v>
      </c>
      <c r="C424" s="5" t="str">
        <f t="shared" si="58"/>
        <v>2060</v>
      </c>
      <c r="D424" s="5">
        <f>SUMIFS(Despesas!$F:$F,Despesas!$J:$J,"&lt;="&amp;$A424,Despesas!$L:$L,"&gt;="&amp;$A424,Despesas!$C:$C,D$1,Despesas!$M:$M,"Mensal")+SUMIFS(Despesas!$F:$F,Despesas!$J:$J,"&lt;="&amp;$A424,Despesas!$L:$L,"&gt;="&amp;$A424,Despesas!$C:$C,D$1,Despesas!$M:$M,$B424)</f>
        <v>23000</v>
      </c>
      <c r="E424" s="18">
        <f>SUMIFS(Despesas!$F:$F,Despesas!$J:$J,"&lt;="&amp;$A424,Despesas!$L:$L,"&gt;="&amp;$A424,Despesas!$C:$C,E$1,Despesas!$M:$M,"Mensal")+SUMIFS(Despesas!$F:$F,Despesas!$J:$J,"&lt;="&amp;$A424,Despesas!$L:$L,"&gt;="&amp;$A424,Despesas!$C:$C,E$1,Despesas!$M:$M,$B424)</f>
        <v>0</v>
      </c>
      <c r="F424" s="5">
        <f>SUMIFS(Despesas!$F:$F,Despesas!$J:$J,"&lt;="&amp;$A424,Despesas!$L:$L,"&gt;="&amp;$A424,Despesas!$C:$C,F$1,Despesas!$M:$M,"Mensal")+SUMIFS(Despesas!$F:$F,Despesas!$J:$J,"&lt;="&amp;$A424,Despesas!$L:$L,"&gt;="&amp;$A424,Despesas!$C:$C,F$1,Despesas!$M:$M,$B424)</f>
        <v>13000</v>
      </c>
      <c r="G424" s="5">
        <f>SUMIFS(Despesas!$F:$F,Despesas!$J:$J,"&lt;="&amp;$A424,Despesas!$L:$L,"&gt;="&amp;$A424,Despesas!$C:$C,G$1,Despesas!$M:$M,"Mensal")+SUMIFS(Despesas!$F:$F,Despesas!$J:$J,"&lt;="&amp;$A424,Despesas!$L:$L,"&gt;="&amp;$A424,Despesas!$C:$C,G$1,Despesas!$M:$M,$B424)</f>
        <v>0</v>
      </c>
      <c r="H424" s="18">
        <f>SUMIFS(Despesas!$F:$F,Despesas!$J:$J,"&lt;="&amp;$A424,Despesas!$L:$L,"&gt;="&amp;$A424,Despesas!$C:$C,H$1,Despesas!$M:$M,"Mensal")+SUMIFS(Despesas!$F:$F,Despesas!$J:$J,"&lt;="&amp;$A424,Despesas!$L:$L,"&gt;="&amp;$A424,Despesas!$C:$C,H$1,Despesas!$M:$M,$B424)</f>
        <v>1000</v>
      </c>
      <c r="I424" s="18">
        <f>IF(Imóveis!$F$2="PRICE",IF(AND(Dados!$A424&gt;=Imóveis!$Q$2,Dados!$A424&lt;=Imóveis!$T$2),Imóveis!$U$2,0),IF((IF(AND(Dados!$A424&gt;=Imóveis!$Q$2,Dados!$A424&lt;=Imóveis!$T$2),Imóveis!$S$2-(DATEDIF(Imóveis!$Q$2,Dados!$A424,"m")),0))=0,0,((Imóveis!$N$2/Imóveis!$S$2)+((Imóveis!$N$2-((Imóveis!$S$2-(IF(AND(Dados!$A424&gt;=Imóveis!$Q$2,Dados!$A424&lt;=Imóveis!$T$2),Imóveis!$S$2-(DATEDIF(Imóveis!$Q$2,Dados!$A424,"m")),)))*(Imóveis!$N$2/Imóveis!$S$2)))*Imóveis!$P$2))))*IF(AND(Imóveis!$E$2&gt;0,Dados!$A424&gt;Imóveis!$E$2),0,1)</f>
        <v>0</v>
      </c>
      <c r="J424" s="18">
        <f>IF(Imóveis!$F$3="PRICE",IF(AND(Dados!$A424&gt;=Imóveis!$Q$3,Dados!$A424&lt;=Imóveis!$T$3),Imóveis!$U$3,0),IF((IF(AND(Dados!$A424&gt;=Imóveis!$Q$3,Dados!$A424&lt;=Imóveis!$T$3),Imóveis!$S$3-(DATEDIF(Imóveis!$Q$3,Dados!$A424,"m")),0))=0,0,((Imóveis!$N$3/Imóveis!$S$3)+((Imóveis!$N$3-((Imóveis!$S$3-(IF(AND(Dados!$A424&gt;=Imóveis!$Q$3,Dados!$A424&lt;=Imóveis!$T$3),Imóveis!$S$3-(DATEDIF(Imóveis!$Q$3,Dados!$A424,"m")),)))*(Imóveis!$N$3/Imóveis!$S$3)))*Imóveis!$P$3))))*IF(AND(Imóveis!$E$3&gt;0,Dados!$A424&gt;Imóveis!$E$3),0,1)</f>
        <v>0</v>
      </c>
      <c r="K424" s="18">
        <f>IF(Imóveis!$F$4="PRICE",IF(AND(Dados!$A424&gt;=Imóveis!$Q$4,Dados!$A424&lt;=Imóveis!$T$4),Imóveis!$U$4,0),IF((IF(AND(Dados!$A424&gt;=Imóveis!$Q$4,Dados!$A424&lt;=Imóveis!$T$4),Imóveis!$S$4-(DATEDIF(Imóveis!$Q$4,Dados!$A424,"m")),0))=0,0,((Imóveis!$N$4/Imóveis!$S$4)+((Imóveis!$N$4-((Imóveis!$S$4-(IF(AND(Dados!$A424&gt;=Imóveis!$Q$4,Dados!$A424&lt;=Imóveis!$T$4),Imóveis!$S$4-(DATEDIF(Imóveis!$Q$4,Dados!$A424,"m")),)))*(Imóveis!$N$4/Imóveis!$S$4)))*Imóveis!$P$4))))*IF(AND(Imóveis!$E$4&gt;0,Dados!$A424&gt;Imóveis!$E$4),0,1)</f>
        <v>0</v>
      </c>
      <c r="L424" s="18">
        <f>IF(Imóveis!$F$5="PRICE",IF(AND(Dados!$A424&gt;=Imóveis!$Q$5,Dados!$A424&lt;=Imóveis!$T$5),Imóveis!$U$5,0),IF((IF(AND(Dados!$A424&gt;=Imóveis!$Q$5,Dados!$A424&lt;=Imóveis!$T$5),Imóveis!$S$5-(DATEDIF(Imóveis!$Q$5,Dados!$A424,"m")),0))=0,0,((Imóveis!$N$5/Imóveis!$S$5)+((Imóveis!$N$5-((Imóveis!$S$5-(IF(AND(Dados!$A424 &gt;=Imóveis!$Q$5,Dados!$A424&lt;=Imóveis!$T$5),Imóveis!$S$5-(DATEDIF(Imóveis!$Q$5,Dados!$A424,"m")),)))*(Imóveis!$N$5/Imóveis!$S$5)))*Imóveis!$P$5))))*IF(AND(Imóveis!$E$5&gt;0,Dados!$A424&gt;Imóveis!$E$5),0,1)*Imóveis!$I$5</f>
        <v>0</v>
      </c>
      <c r="M424" s="18">
        <f>IF(Imóveis!$F$6="PRICE",IF(AND(Dados!$A424&gt;=Imóveis!$Q$6,Dados!$A424&lt;=Imóveis!$T$6),Imóveis!$U$6,0),IF((IF(AND(Dados!$A424&gt;=Imóveis!$Q$6,Dados!$A424&lt;=Imóveis!$T$6),Imóveis!$S$6-(DATEDIF(Imóveis!$Q$6,Dados!$A424,"m")),0))=0,0,((Imóveis!$N$6/Imóveis!$S$6)+((Imóveis!$N$6-((Imóveis!$S$6-(IF(AND(Dados!$A424&gt;=Imóveis!$Q$6,Dados!$A424&lt;=Imóveis!$T$6),Imóveis!$S$6-(DATEDIF(Imóveis!$Q$6,Dados!$A424,"m")),)))*(Imóveis!$N$6/Imóveis!$S$6)))*Imóveis!$P$6))))*IF(AND(Imóveis!$E$6&gt;0,Dados!$A424&gt;Imóveis!$E$6),0,1)*Imóveis!$I$6</f>
        <v>0</v>
      </c>
      <c r="N424" s="18">
        <f t="shared" si="53"/>
        <v>37000</v>
      </c>
      <c r="O424" s="18">
        <f>SUMIFS(Receitas!$F:$F,Receitas!$J:$J,"&lt;="&amp;$A424,Receitas!$L:$L,"&gt;="&amp;$A424,Receitas!$C:$C,O$1,Receitas!$M:$M,"Mensal")+SUMIFS(Receitas!$F:$F,Receitas!$J:$J,"&lt;="&amp;$A424,Receitas!$L:$L,"&gt;="&amp;$A424,Receitas!$C:$C,O$1,Receitas!$M:$M,$B424)</f>
        <v>0</v>
      </c>
      <c r="P424" s="18">
        <f>SUMIFS(Receitas!$F:$F,Receitas!$J:$J,"&lt;="&amp;$A424,Receitas!$L:$L,"&gt;="&amp;$A424,Receitas!$C:$C,P$1,Receitas!$M:$M,"Mensal")+SUMIFS(Receitas!$F:$F,Receitas!$J:$J,"&lt;="&amp;$A424,Receitas!$L:$L,"&gt;="&amp;$A424,Receitas!$C:$C,P$1,Receitas!$M:$M,$B424)</f>
        <v>0</v>
      </c>
      <c r="Q424" s="18">
        <f>SUMIFS(Receitas!$F:$F,Receitas!$J:$J,"&lt;="&amp;$A424,Receitas!$L:$L,"&gt;="&amp;$A424,Receitas!$C:$C,Q$1,Receitas!$M:$M,"Mensal")+SUMIFS(Receitas!$F:$F,Receitas!$J:$J,"&lt;="&amp;$A424,Receitas!$L:$L,"&gt;="&amp;$A424,Receitas!$C:$C,Q$1,Receitas!$M:$M,$B424)</f>
        <v>0</v>
      </c>
      <c r="R424" s="18" cm="1">
        <f t="array" ref="R424">(IF(AND(Membros!$F$2="Sim",A424&lt;=MAX(Membros!$E$2:$E$5)),Membros!K$2,IF(AND(A424&gt;=Membros!J$2,A424&lt;=MAX(Membros!$E$2:$E$5)),Membros!K$2,0))+IF(AND(Membros!$F$3="Sim",A424&lt;=MAX(Membros!$E$2:$E$5)),Membros!K$3,IF(AND(A424&gt;=Membros!J$3,A424&lt;=MAX(Membros!$E$2:$E$5)),Membros!K$3,0)))*IF(AND(COUNTIFS(Tabela3[Tipo],"Provedor",Tabela3[Simulação Seguro],"Sim")=2,A424&gt;=MAX(IF(Tabela3[Tipo]="Dependente",Tabela3[Expectativa de Vida (Data)]))),0,1)</f>
        <v>10000</v>
      </c>
      <c r="S424" s="18">
        <f t="shared" si="54"/>
        <v>10000</v>
      </c>
      <c r="U424" s="18">
        <f t="shared" ca="1" si="57"/>
        <v>27166512.312367532</v>
      </c>
      <c r="V424" s="18">
        <f>SUMIF(Imóveis!E:E,Dados!A:A,Imóveis!Z:Z)-SUMIF(Imóveis!E:E,Dados!A:A,Imóveis!Y:Y)</f>
        <v>0</v>
      </c>
      <c r="W424" s="18">
        <f>-SUMIF(Projetos!N:N,A424,Projetos!F:F)</f>
        <v>0</v>
      </c>
      <c r="X424" s="18">
        <f t="shared" si="51"/>
        <v>-27000</v>
      </c>
      <c r="Y424" s="26">
        <f ca="1">(U424*((Indicadores_Economicos!D$2+1)^(1/12)-1))</f>
        <v>88936.092100594207</v>
      </c>
      <c r="Z424" s="18">
        <f t="shared" ca="1" si="55"/>
        <v>27228448.404468127</v>
      </c>
      <c r="AA424" s="18">
        <f ca="1">Auxiliar_Projetos!E424</f>
        <v>1.5531070349161784E-9</v>
      </c>
      <c r="AB424" s="18">
        <f ca="1">Auxiliar_Projetos!K424</f>
        <v>1.1946977191662896E-9</v>
      </c>
      <c r="AC424" s="18">
        <f ca="1">IF(Z424-AA424-AB424&gt;Investimentos!$C$14,Investimentos!$C$14,IF(Z424-AA424-AB424&lt;Investimentos!$C$14,Z424-AA424-AB424,0))</f>
        <v>300000</v>
      </c>
      <c r="AD424" s="18">
        <f t="shared" ca="1" si="56"/>
        <v>26928448.404468127</v>
      </c>
      <c r="AE424" s="18"/>
    </row>
    <row r="425" spans="1:31" x14ac:dyDescent="0.2">
      <c r="A425" s="4">
        <v>58532</v>
      </c>
      <c r="B425" s="5" t="str">
        <f t="shared" si="52"/>
        <v>abril</v>
      </c>
      <c r="C425" s="5" t="str">
        <f t="shared" si="58"/>
        <v>2060</v>
      </c>
      <c r="D425" s="5">
        <f>SUMIFS(Despesas!$F:$F,Despesas!$J:$J,"&lt;="&amp;$A425,Despesas!$L:$L,"&gt;="&amp;$A425,Despesas!$C:$C,D$1,Despesas!$M:$M,"Mensal")+SUMIFS(Despesas!$F:$F,Despesas!$J:$J,"&lt;="&amp;$A425,Despesas!$L:$L,"&gt;="&amp;$A425,Despesas!$C:$C,D$1,Despesas!$M:$M,$B425)</f>
        <v>23000</v>
      </c>
      <c r="E425" s="18">
        <f>SUMIFS(Despesas!$F:$F,Despesas!$J:$J,"&lt;="&amp;$A425,Despesas!$L:$L,"&gt;="&amp;$A425,Despesas!$C:$C,E$1,Despesas!$M:$M,"Mensal")+SUMIFS(Despesas!$F:$F,Despesas!$J:$J,"&lt;="&amp;$A425,Despesas!$L:$L,"&gt;="&amp;$A425,Despesas!$C:$C,E$1,Despesas!$M:$M,$B425)</f>
        <v>0</v>
      </c>
      <c r="F425" s="5">
        <f>SUMIFS(Despesas!$F:$F,Despesas!$J:$J,"&lt;="&amp;$A425,Despesas!$L:$L,"&gt;="&amp;$A425,Despesas!$C:$C,F$1,Despesas!$M:$M,"Mensal")+SUMIFS(Despesas!$F:$F,Despesas!$J:$J,"&lt;="&amp;$A425,Despesas!$L:$L,"&gt;="&amp;$A425,Despesas!$C:$C,F$1,Despesas!$M:$M,$B425)</f>
        <v>13000</v>
      </c>
      <c r="G425" s="5">
        <f>SUMIFS(Despesas!$F:$F,Despesas!$J:$J,"&lt;="&amp;$A425,Despesas!$L:$L,"&gt;="&amp;$A425,Despesas!$C:$C,G$1,Despesas!$M:$M,"Mensal")+SUMIFS(Despesas!$F:$F,Despesas!$J:$J,"&lt;="&amp;$A425,Despesas!$L:$L,"&gt;="&amp;$A425,Despesas!$C:$C,G$1,Despesas!$M:$M,$B425)</f>
        <v>0</v>
      </c>
      <c r="H425" s="18">
        <f>SUMIFS(Despesas!$F:$F,Despesas!$J:$J,"&lt;="&amp;$A425,Despesas!$L:$L,"&gt;="&amp;$A425,Despesas!$C:$C,H$1,Despesas!$M:$M,"Mensal")+SUMIFS(Despesas!$F:$F,Despesas!$J:$J,"&lt;="&amp;$A425,Despesas!$L:$L,"&gt;="&amp;$A425,Despesas!$C:$C,H$1,Despesas!$M:$M,$B425)</f>
        <v>1000</v>
      </c>
      <c r="I425" s="18">
        <f>IF(Imóveis!$F$2="PRICE",IF(AND(Dados!$A425&gt;=Imóveis!$Q$2,Dados!$A425&lt;=Imóveis!$T$2),Imóveis!$U$2,0),IF((IF(AND(Dados!$A425&gt;=Imóveis!$Q$2,Dados!$A425&lt;=Imóveis!$T$2),Imóveis!$S$2-(DATEDIF(Imóveis!$Q$2,Dados!$A425,"m")),0))=0,0,((Imóveis!$N$2/Imóveis!$S$2)+((Imóveis!$N$2-((Imóveis!$S$2-(IF(AND(Dados!$A425&gt;=Imóveis!$Q$2,Dados!$A425&lt;=Imóveis!$T$2),Imóveis!$S$2-(DATEDIF(Imóveis!$Q$2,Dados!$A425,"m")),)))*(Imóveis!$N$2/Imóveis!$S$2)))*Imóveis!$P$2))))*IF(AND(Imóveis!$E$2&gt;0,Dados!$A425&gt;Imóveis!$E$2),0,1)</f>
        <v>0</v>
      </c>
      <c r="J425" s="18">
        <f>IF(Imóveis!$F$3="PRICE",IF(AND(Dados!$A425&gt;=Imóveis!$Q$3,Dados!$A425&lt;=Imóveis!$T$3),Imóveis!$U$3,0),IF((IF(AND(Dados!$A425&gt;=Imóveis!$Q$3,Dados!$A425&lt;=Imóveis!$T$3),Imóveis!$S$3-(DATEDIF(Imóveis!$Q$3,Dados!$A425,"m")),0))=0,0,((Imóveis!$N$3/Imóveis!$S$3)+((Imóveis!$N$3-((Imóveis!$S$3-(IF(AND(Dados!$A425&gt;=Imóveis!$Q$3,Dados!$A425&lt;=Imóveis!$T$3),Imóveis!$S$3-(DATEDIF(Imóveis!$Q$3,Dados!$A425,"m")),)))*(Imóveis!$N$3/Imóveis!$S$3)))*Imóveis!$P$3))))*IF(AND(Imóveis!$E$3&gt;0,Dados!$A425&gt;Imóveis!$E$3),0,1)</f>
        <v>0</v>
      </c>
      <c r="K425" s="18">
        <f>IF(Imóveis!$F$4="PRICE",IF(AND(Dados!$A425&gt;=Imóveis!$Q$4,Dados!$A425&lt;=Imóveis!$T$4),Imóveis!$U$4,0),IF((IF(AND(Dados!$A425&gt;=Imóveis!$Q$4,Dados!$A425&lt;=Imóveis!$T$4),Imóveis!$S$4-(DATEDIF(Imóveis!$Q$4,Dados!$A425,"m")),0))=0,0,((Imóveis!$N$4/Imóveis!$S$4)+((Imóveis!$N$4-((Imóveis!$S$4-(IF(AND(Dados!$A425&gt;=Imóveis!$Q$4,Dados!$A425&lt;=Imóveis!$T$4),Imóveis!$S$4-(DATEDIF(Imóveis!$Q$4,Dados!$A425,"m")),)))*(Imóveis!$N$4/Imóveis!$S$4)))*Imóveis!$P$4))))*IF(AND(Imóveis!$E$4&gt;0,Dados!$A425&gt;Imóveis!$E$4),0,1)</f>
        <v>0</v>
      </c>
      <c r="L425" s="18">
        <f>IF(Imóveis!$F$5="PRICE",IF(AND(Dados!$A425&gt;=Imóveis!$Q$5,Dados!$A425&lt;=Imóveis!$T$5),Imóveis!$U$5,0),IF((IF(AND(Dados!$A425&gt;=Imóveis!$Q$5,Dados!$A425&lt;=Imóveis!$T$5),Imóveis!$S$5-(DATEDIF(Imóveis!$Q$5,Dados!$A425,"m")),0))=0,0,((Imóveis!$N$5/Imóveis!$S$5)+((Imóveis!$N$5-((Imóveis!$S$5-(IF(AND(Dados!$A425 &gt;=Imóveis!$Q$5,Dados!$A425&lt;=Imóveis!$T$5),Imóveis!$S$5-(DATEDIF(Imóveis!$Q$5,Dados!$A425,"m")),)))*(Imóveis!$N$5/Imóveis!$S$5)))*Imóveis!$P$5))))*IF(AND(Imóveis!$E$5&gt;0,Dados!$A425&gt;Imóveis!$E$5),0,1)*Imóveis!$I$5</f>
        <v>0</v>
      </c>
      <c r="M425" s="18">
        <f>IF(Imóveis!$F$6="PRICE",IF(AND(Dados!$A425&gt;=Imóveis!$Q$6,Dados!$A425&lt;=Imóveis!$T$6),Imóveis!$U$6,0),IF((IF(AND(Dados!$A425&gt;=Imóveis!$Q$6,Dados!$A425&lt;=Imóveis!$T$6),Imóveis!$S$6-(DATEDIF(Imóveis!$Q$6,Dados!$A425,"m")),0))=0,0,((Imóveis!$N$6/Imóveis!$S$6)+((Imóveis!$N$6-((Imóveis!$S$6-(IF(AND(Dados!$A425&gt;=Imóveis!$Q$6,Dados!$A425&lt;=Imóveis!$T$6),Imóveis!$S$6-(DATEDIF(Imóveis!$Q$6,Dados!$A425,"m")),)))*(Imóveis!$N$6/Imóveis!$S$6)))*Imóveis!$P$6))))*IF(AND(Imóveis!$E$6&gt;0,Dados!$A425&gt;Imóveis!$E$6),0,1)*Imóveis!$I$6</f>
        <v>0</v>
      </c>
      <c r="N425" s="18">
        <f t="shared" si="53"/>
        <v>37000</v>
      </c>
      <c r="O425" s="18">
        <f>SUMIFS(Receitas!$F:$F,Receitas!$J:$J,"&lt;="&amp;$A425,Receitas!$L:$L,"&gt;="&amp;$A425,Receitas!$C:$C,O$1,Receitas!$M:$M,"Mensal")+SUMIFS(Receitas!$F:$F,Receitas!$J:$J,"&lt;="&amp;$A425,Receitas!$L:$L,"&gt;="&amp;$A425,Receitas!$C:$C,O$1,Receitas!$M:$M,$B425)</f>
        <v>0</v>
      </c>
      <c r="P425" s="18">
        <f>SUMIFS(Receitas!$F:$F,Receitas!$J:$J,"&lt;="&amp;$A425,Receitas!$L:$L,"&gt;="&amp;$A425,Receitas!$C:$C,P$1,Receitas!$M:$M,"Mensal")+SUMIFS(Receitas!$F:$F,Receitas!$J:$J,"&lt;="&amp;$A425,Receitas!$L:$L,"&gt;="&amp;$A425,Receitas!$C:$C,P$1,Receitas!$M:$M,$B425)</f>
        <v>0</v>
      </c>
      <c r="Q425" s="18">
        <f>SUMIFS(Receitas!$F:$F,Receitas!$J:$J,"&lt;="&amp;$A425,Receitas!$L:$L,"&gt;="&amp;$A425,Receitas!$C:$C,Q$1,Receitas!$M:$M,"Mensal")+SUMIFS(Receitas!$F:$F,Receitas!$J:$J,"&lt;="&amp;$A425,Receitas!$L:$L,"&gt;="&amp;$A425,Receitas!$C:$C,Q$1,Receitas!$M:$M,$B425)</f>
        <v>0</v>
      </c>
      <c r="R425" s="18" cm="1">
        <f t="array" ref="R425">(IF(AND(Membros!$F$2="Sim",A425&lt;=MAX(Membros!$E$2:$E$5)),Membros!K$2,IF(AND(A425&gt;=Membros!J$2,A425&lt;=MAX(Membros!$E$2:$E$5)),Membros!K$2,0))+IF(AND(Membros!$F$3="Sim",A425&lt;=MAX(Membros!$E$2:$E$5)),Membros!K$3,IF(AND(A425&gt;=Membros!J$3,A425&lt;=MAX(Membros!$E$2:$E$5)),Membros!K$3,0)))*IF(AND(COUNTIFS(Tabela3[Tipo],"Provedor",Tabela3[Simulação Seguro],"Sim")=2,A425&gt;=MAX(IF(Tabela3[Tipo]="Dependente",Tabela3[Expectativa de Vida (Data)]))),0,1)</f>
        <v>10000</v>
      </c>
      <c r="S425" s="18">
        <f t="shared" si="54"/>
        <v>10000</v>
      </c>
      <c r="U425" s="18">
        <f t="shared" ca="1" si="57"/>
        <v>27228448.404468127</v>
      </c>
      <c r="V425" s="18">
        <f>SUMIF(Imóveis!E:E,Dados!A:A,Imóveis!Z:Z)-SUMIF(Imóveis!E:E,Dados!A:A,Imóveis!Y:Y)</f>
        <v>0</v>
      </c>
      <c r="W425" s="18">
        <f>-SUMIF(Projetos!N:N,A425,Projetos!F:F)</f>
        <v>0</v>
      </c>
      <c r="X425" s="18">
        <f t="shared" si="51"/>
        <v>-27000</v>
      </c>
      <c r="Y425" s="26">
        <f ca="1">(U425*((Indicadores_Economicos!D$2+1)^(1/12)-1))</f>
        <v>89138.854749257865</v>
      </c>
      <c r="Z425" s="18">
        <f t="shared" ca="1" si="55"/>
        <v>27290587.259217385</v>
      </c>
      <c r="AA425" s="18">
        <f ca="1">Auxiliar_Projetos!E425</f>
        <v>1.5581915032023965E-9</v>
      </c>
      <c r="AB425" s="18">
        <f ca="1">Auxiliar_Projetos!K425</f>
        <v>1.1986088486172267E-9</v>
      </c>
      <c r="AC425" s="18">
        <f ca="1">IF(Z425-AA425-AB425&gt;Investimentos!$C$14,Investimentos!$C$14,IF(Z425-AA425-AB425&lt;Investimentos!$C$14,Z425-AA425-AB425,0))</f>
        <v>300000</v>
      </c>
      <c r="AD425" s="18">
        <f t="shared" ca="1" si="56"/>
        <v>26990587.259217385</v>
      </c>
      <c r="AE425" s="18"/>
    </row>
    <row r="426" spans="1:31" x14ac:dyDescent="0.2">
      <c r="A426" s="4">
        <v>58562</v>
      </c>
      <c r="B426" s="5" t="str">
        <f t="shared" si="52"/>
        <v>maio</v>
      </c>
      <c r="C426" s="5" t="str">
        <f t="shared" si="58"/>
        <v>2060</v>
      </c>
      <c r="D426" s="5">
        <f>SUMIFS(Despesas!$F:$F,Despesas!$J:$J,"&lt;="&amp;$A426,Despesas!$L:$L,"&gt;="&amp;$A426,Despesas!$C:$C,D$1,Despesas!$M:$M,"Mensal")+SUMIFS(Despesas!$F:$F,Despesas!$J:$J,"&lt;="&amp;$A426,Despesas!$L:$L,"&gt;="&amp;$A426,Despesas!$C:$C,D$1,Despesas!$M:$M,$B426)</f>
        <v>23000</v>
      </c>
      <c r="E426" s="18">
        <f>SUMIFS(Despesas!$F:$F,Despesas!$J:$J,"&lt;="&amp;$A426,Despesas!$L:$L,"&gt;="&amp;$A426,Despesas!$C:$C,E$1,Despesas!$M:$M,"Mensal")+SUMIFS(Despesas!$F:$F,Despesas!$J:$J,"&lt;="&amp;$A426,Despesas!$L:$L,"&gt;="&amp;$A426,Despesas!$C:$C,E$1,Despesas!$M:$M,$B426)</f>
        <v>0</v>
      </c>
      <c r="F426" s="5">
        <f>SUMIFS(Despesas!$F:$F,Despesas!$J:$J,"&lt;="&amp;$A426,Despesas!$L:$L,"&gt;="&amp;$A426,Despesas!$C:$C,F$1,Despesas!$M:$M,"Mensal")+SUMIFS(Despesas!$F:$F,Despesas!$J:$J,"&lt;="&amp;$A426,Despesas!$L:$L,"&gt;="&amp;$A426,Despesas!$C:$C,F$1,Despesas!$M:$M,$B426)</f>
        <v>13000</v>
      </c>
      <c r="G426" s="5">
        <f>SUMIFS(Despesas!$F:$F,Despesas!$J:$J,"&lt;="&amp;$A426,Despesas!$L:$L,"&gt;="&amp;$A426,Despesas!$C:$C,G$1,Despesas!$M:$M,"Mensal")+SUMIFS(Despesas!$F:$F,Despesas!$J:$J,"&lt;="&amp;$A426,Despesas!$L:$L,"&gt;="&amp;$A426,Despesas!$C:$C,G$1,Despesas!$M:$M,$B426)</f>
        <v>0</v>
      </c>
      <c r="H426" s="18">
        <f>SUMIFS(Despesas!$F:$F,Despesas!$J:$J,"&lt;="&amp;$A426,Despesas!$L:$L,"&gt;="&amp;$A426,Despesas!$C:$C,H$1,Despesas!$M:$M,"Mensal")+SUMIFS(Despesas!$F:$F,Despesas!$J:$J,"&lt;="&amp;$A426,Despesas!$L:$L,"&gt;="&amp;$A426,Despesas!$C:$C,H$1,Despesas!$M:$M,$B426)</f>
        <v>1000</v>
      </c>
      <c r="I426" s="18">
        <f>IF(Imóveis!$F$2="PRICE",IF(AND(Dados!$A426&gt;=Imóveis!$Q$2,Dados!$A426&lt;=Imóveis!$T$2),Imóveis!$U$2,0),IF((IF(AND(Dados!$A426&gt;=Imóveis!$Q$2,Dados!$A426&lt;=Imóveis!$T$2),Imóveis!$S$2-(DATEDIF(Imóveis!$Q$2,Dados!$A426,"m")),0))=0,0,((Imóveis!$N$2/Imóveis!$S$2)+((Imóveis!$N$2-((Imóveis!$S$2-(IF(AND(Dados!$A426&gt;=Imóveis!$Q$2,Dados!$A426&lt;=Imóveis!$T$2),Imóveis!$S$2-(DATEDIF(Imóveis!$Q$2,Dados!$A426,"m")),)))*(Imóveis!$N$2/Imóveis!$S$2)))*Imóveis!$P$2))))*IF(AND(Imóveis!$E$2&gt;0,Dados!$A426&gt;Imóveis!$E$2),0,1)</f>
        <v>0</v>
      </c>
      <c r="J426" s="18">
        <f>IF(Imóveis!$F$3="PRICE",IF(AND(Dados!$A426&gt;=Imóveis!$Q$3,Dados!$A426&lt;=Imóveis!$T$3),Imóveis!$U$3,0),IF((IF(AND(Dados!$A426&gt;=Imóveis!$Q$3,Dados!$A426&lt;=Imóveis!$T$3),Imóveis!$S$3-(DATEDIF(Imóveis!$Q$3,Dados!$A426,"m")),0))=0,0,((Imóveis!$N$3/Imóveis!$S$3)+((Imóveis!$N$3-((Imóveis!$S$3-(IF(AND(Dados!$A426&gt;=Imóveis!$Q$3,Dados!$A426&lt;=Imóveis!$T$3),Imóveis!$S$3-(DATEDIF(Imóveis!$Q$3,Dados!$A426,"m")),)))*(Imóveis!$N$3/Imóveis!$S$3)))*Imóveis!$P$3))))*IF(AND(Imóveis!$E$3&gt;0,Dados!$A426&gt;Imóveis!$E$3),0,1)</f>
        <v>0</v>
      </c>
      <c r="K426" s="18">
        <f>IF(Imóveis!$F$4="PRICE",IF(AND(Dados!$A426&gt;=Imóveis!$Q$4,Dados!$A426&lt;=Imóveis!$T$4),Imóveis!$U$4,0),IF((IF(AND(Dados!$A426&gt;=Imóveis!$Q$4,Dados!$A426&lt;=Imóveis!$T$4),Imóveis!$S$4-(DATEDIF(Imóveis!$Q$4,Dados!$A426,"m")),0))=0,0,((Imóveis!$N$4/Imóveis!$S$4)+((Imóveis!$N$4-((Imóveis!$S$4-(IF(AND(Dados!$A426&gt;=Imóveis!$Q$4,Dados!$A426&lt;=Imóveis!$T$4),Imóveis!$S$4-(DATEDIF(Imóveis!$Q$4,Dados!$A426,"m")),)))*(Imóveis!$N$4/Imóveis!$S$4)))*Imóveis!$P$4))))*IF(AND(Imóveis!$E$4&gt;0,Dados!$A426&gt;Imóveis!$E$4),0,1)</f>
        <v>0</v>
      </c>
      <c r="L426" s="18">
        <f>IF(Imóveis!$F$5="PRICE",IF(AND(Dados!$A426&gt;=Imóveis!$Q$5,Dados!$A426&lt;=Imóveis!$T$5),Imóveis!$U$5,0),IF((IF(AND(Dados!$A426&gt;=Imóveis!$Q$5,Dados!$A426&lt;=Imóveis!$T$5),Imóveis!$S$5-(DATEDIF(Imóveis!$Q$5,Dados!$A426,"m")),0))=0,0,((Imóveis!$N$5/Imóveis!$S$5)+((Imóveis!$N$5-((Imóveis!$S$5-(IF(AND(Dados!$A426 &gt;=Imóveis!$Q$5,Dados!$A426&lt;=Imóveis!$T$5),Imóveis!$S$5-(DATEDIF(Imóveis!$Q$5,Dados!$A426,"m")),)))*(Imóveis!$N$5/Imóveis!$S$5)))*Imóveis!$P$5))))*IF(AND(Imóveis!$E$5&gt;0,Dados!$A426&gt;Imóveis!$E$5),0,1)*Imóveis!$I$5</f>
        <v>0</v>
      </c>
      <c r="M426" s="18">
        <f>IF(Imóveis!$F$6="PRICE",IF(AND(Dados!$A426&gt;=Imóveis!$Q$6,Dados!$A426&lt;=Imóveis!$T$6),Imóveis!$U$6,0),IF((IF(AND(Dados!$A426&gt;=Imóveis!$Q$6,Dados!$A426&lt;=Imóveis!$T$6),Imóveis!$S$6-(DATEDIF(Imóveis!$Q$6,Dados!$A426,"m")),0))=0,0,((Imóveis!$N$6/Imóveis!$S$6)+((Imóveis!$N$6-((Imóveis!$S$6-(IF(AND(Dados!$A426&gt;=Imóveis!$Q$6,Dados!$A426&lt;=Imóveis!$T$6),Imóveis!$S$6-(DATEDIF(Imóveis!$Q$6,Dados!$A426,"m")),)))*(Imóveis!$N$6/Imóveis!$S$6)))*Imóveis!$P$6))))*IF(AND(Imóveis!$E$6&gt;0,Dados!$A426&gt;Imóveis!$E$6),0,1)*Imóveis!$I$6</f>
        <v>0</v>
      </c>
      <c r="N426" s="18">
        <f t="shared" si="53"/>
        <v>37000</v>
      </c>
      <c r="O426" s="18">
        <f>SUMIFS(Receitas!$F:$F,Receitas!$J:$J,"&lt;="&amp;$A426,Receitas!$L:$L,"&gt;="&amp;$A426,Receitas!$C:$C,O$1,Receitas!$M:$M,"Mensal")+SUMIFS(Receitas!$F:$F,Receitas!$J:$J,"&lt;="&amp;$A426,Receitas!$L:$L,"&gt;="&amp;$A426,Receitas!$C:$C,O$1,Receitas!$M:$M,$B426)</f>
        <v>0</v>
      </c>
      <c r="P426" s="18">
        <f>SUMIFS(Receitas!$F:$F,Receitas!$J:$J,"&lt;="&amp;$A426,Receitas!$L:$L,"&gt;="&amp;$A426,Receitas!$C:$C,P$1,Receitas!$M:$M,"Mensal")+SUMIFS(Receitas!$F:$F,Receitas!$J:$J,"&lt;="&amp;$A426,Receitas!$L:$L,"&gt;="&amp;$A426,Receitas!$C:$C,P$1,Receitas!$M:$M,$B426)</f>
        <v>0</v>
      </c>
      <c r="Q426" s="18">
        <f>SUMIFS(Receitas!$F:$F,Receitas!$J:$J,"&lt;="&amp;$A426,Receitas!$L:$L,"&gt;="&amp;$A426,Receitas!$C:$C,Q$1,Receitas!$M:$M,"Mensal")+SUMIFS(Receitas!$F:$F,Receitas!$J:$J,"&lt;="&amp;$A426,Receitas!$L:$L,"&gt;="&amp;$A426,Receitas!$C:$C,Q$1,Receitas!$M:$M,$B426)</f>
        <v>0</v>
      </c>
      <c r="R426" s="18" cm="1">
        <f t="array" ref="R426">(IF(AND(Membros!$F$2="Sim",A426&lt;=MAX(Membros!$E$2:$E$5)),Membros!K$2,IF(AND(A426&gt;=Membros!J$2,A426&lt;=MAX(Membros!$E$2:$E$5)),Membros!K$2,0))+IF(AND(Membros!$F$3="Sim",A426&lt;=MAX(Membros!$E$2:$E$5)),Membros!K$3,IF(AND(A426&gt;=Membros!J$3,A426&lt;=MAX(Membros!$E$2:$E$5)),Membros!K$3,0)))*IF(AND(COUNTIFS(Tabela3[Tipo],"Provedor",Tabela3[Simulação Seguro],"Sim")=2,A426&gt;=MAX(IF(Tabela3[Tipo]="Dependente",Tabela3[Expectativa de Vida (Data)]))),0,1)</f>
        <v>10000</v>
      </c>
      <c r="S426" s="18">
        <f t="shared" si="54"/>
        <v>10000</v>
      </c>
      <c r="U426" s="18">
        <f t="shared" ca="1" si="57"/>
        <v>27290587.259217385</v>
      </c>
      <c r="V426" s="18">
        <f>SUMIF(Imóveis!E:E,Dados!A:A,Imóveis!Z:Z)-SUMIF(Imóveis!E:E,Dados!A:A,Imóveis!Y:Y)</f>
        <v>0</v>
      </c>
      <c r="W426" s="18">
        <f>-SUMIF(Projetos!N:N,A426,Projetos!F:F)</f>
        <v>0</v>
      </c>
      <c r="X426" s="18">
        <f t="shared" si="51"/>
        <v>-27000</v>
      </c>
      <c r="Y426" s="26">
        <f ca="1">(U426*((Indicadores_Economicos!D$2+1)^(1/12)-1))</f>
        <v>89342.281190070789</v>
      </c>
      <c r="Z426" s="18">
        <f t="shared" ca="1" si="55"/>
        <v>27352929.540407456</v>
      </c>
      <c r="AA426" s="18">
        <f ca="1">Auxiliar_Projetos!E426</f>
        <v>1.5632926167147144E-9</v>
      </c>
      <c r="AB426" s="18">
        <f ca="1">Auxiliar_Projetos!K426</f>
        <v>1.2025327820882406E-9</v>
      </c>
      <c r="AC426" s="18">
        <f ca="1">IF(Z426-AA426-AB426&gt;Investimentos!$C$14,Investimentos!$C$14,IF(Z426-AA426-AB426&lt;Investimentos!$C$14,Z426-AA426-AB426,0))</f>
        <v>300000</v>
      </c>
      <c r="AD426" s="18">
        <f t="shared" ca="1" si="56"/>
        <v>27052929.540407456</v>
      </c>
      <c r="AE426" s="18"/>
    </row>
    <row r="427" spans="1:31" x14ac:dyDescent="0.2">
      <c r="A427" s="4">
        <v>58593</v>
      </c>
      <c r="B427" s="5" t="str">
        <f t="shared" si="52"/>
        <v>junho</v>
      </c>
      <c r="C427" s="5" t="str">
        <f t="shared" si="58"/>
        <v>2060</v>
      </c>
      <c r="D427" s="5">
        <f>SUMIFS(Despesas!$F:$F,Despesas!$J:$J,"&lt;="&amp;$A427,Despesas!$L:$L,"&gt;="&amp;$A427,Despesas!$C:$C,D$1,Despesas!$M:$M,"Mensal")+SUMIFS(Despesas!$F:$F,Despesas!$J:$J,"&lt;="&amp;$A427,Despesas!$L:$L,"&gt;="&amp;$A427,Despesas!$C:$C,D$1,Despesas!$M:$M,$B427)</f>
        <v>23000</v>
      </c>
      <c r="E427" s="18">
        <f>SUMIFS(Despesas!$F:$F,Despesas!$J:$J,"&lt;="&amp;$A427,Despesas!$L:$L,"&gt;="&amp;$A427,Despesas!$C:$C,E$1,Despesas!$M:$M,"Mensal")+SUMIFS(Despesas!$F:$F,Despesas!$J:$J,"&lt;="&amp;$A427,Despesas!$L:$L,"&gt;="&amp;$A427,Despesas!$C:$C,E$1,Despesas!$M:$M,$B427)</f>
        <v>0</v>
      </c>
      <c r="F427" s="5">
        <f>SUMIFS(Despesas!$F:$F,Despesas!$J:$J,"&lt;="&amp;$A427,Despesas!$L:$L,"&gt;="&amp;$A427,Despesas!$C:$C,F$1,Despesas!$M:$M,"Mensal")+SUMIFS(Despesas!$F:$F,Despesas!$J:$J,"&lt;="&amp;$A427,Despesas!$L:$L,"&gt;="&amp;$A427,Despesas!$C:$C,F$1,Despesas!$M:$M,$B427)</f>
        <v>13000</v>
      </c>
      <c r="G427" s="5">
        <f>SUMIFS(Despesas!$F:$F,Despesas!$J:$J,"&lt;="&amp;$A427,Despesas!$L:$L,"&gt;="&amp;$A427,Despesas!$C:$C,G$1,Despesas!$M:$M,"Mensal")+SUMIFS(Despesas!$F:$F,Despesas!$J:$J,"&lt;="&amp;$A427,Despesas!$L:$L,"&gt;="&amp;$A427,Despesas!$C:$C,G$1,Despesas!$M:$M,$B427)</f>
        <v>0</v>
      </c>
      <c r="H427" s="18">
        <f>SUMIFS(Despesas!$F:$F,Despesas!$J:$J,"&lt;="&amp;$A427,Despesas!$L:$L,"&gt;="&amp;$A427,Despesas!$C:$C,H$1,Despesas!$M:$M,"Mensal")+SUMIFS(Despesas!$F:$F,Despesas!$J:$J,"&lt;="&amp;$A427,Despesas!$L:$L,"&gt;="&amp;$A427,Despesas!$C:$C,H$1,Despesas!$M:$M,$B427)</f>
        <v>1000</v>
      </c>
      <c r="I427" s="18">
        <f>IF(Imóveis!$F$2="PRICE",IF(AND(Dados!$A427&gt;=Imóveis!$Q$2,Dados!$A427&lt;=Imóveis!$T$2),Imóveis!$U$2,0),IF((IF(AND(Dados!$A427&gt;=Imóveis!$Q$2,Dados!$A427&lt;=Imóveis!$T$2),Imóveis!$S$2-(DATEDIF(Imóveis!$Q$2,Dados!$A427,"m")),0))=0,0,((Imóveis!$N$2/Imóveis!$S$2)+((Imóveis!$N$2-((Imóveis!$S$2-(IF(AND(Dados!$A427&gt;=Imóveis!$Q$2,Dados!$A427&lt;=Imóveis!$T$2),Imóveis!$S$2-(DATEDIF(Imóveis!$Q$2,Dados!$A427,"m")),)))*(Imóveis!$N$2/Imóveis!$S$2)))*Imóveis!$P$2))))*IF(AND(Imóveis!$E$2&gt;0,Dados!$A427&gt;Imóveis!$E$2),0,1)</f>
        <v>0</v>
      </c>
      <c r="J427" s="18">
        <f>IF(Imóveis!$F$3="PRICE",IF(AND(Dados!$A427&gt;=Imóveis!$Q$3,Dados!$A427&lt;=Imóveis!$T$3),Imóveis!$U$3,0),IF((IF(AND(Dados!$A427&gt;=Imóveis!$Q$3,Dados!$A427&lt;=Imóveis!$T$3),Imóveis!$S$3-(DATEDIF(Imóveis!$Q$3,Dados!$A427,"m")),0))=0,0,((Imóveis!$N$3/Imóveis!$S$3)+((Imóveis!$N$3-((Imóveis!$S$3-(IF(AND(Dados!$A427&gt;=Imóveis!$Q$3,Dados!$A427&lt;=Imóveis!$T$3),Imóveis!$S$3-(DATEDIF(Imóveis!$Q$3,Dados!$A427,"m")),)))*(Imóveis!$N$3/Imóveis!$S$3)))*Imóveis!$P$3))))*IF(AND(Imóveis!$E$3&gt;0,Dados!$A427&gt;Imóveis!$E$3),0,1)</f>
        <v>0</v>
      </c>
      <c r="K427" s="18">
        <f>IF(Imóveis!$F$4="PRICE",IF(AND(Dados!$A427&gt;=Imóveis!$Q$4,Dados!$A427&lt;=Imóveis!$T$4),Imóveis!$U$4,0),IF((IF(AND(Dados!$A427&gt;=Imóveis!$Q$4,Dados!$A427&lt;=Imóveis!$T$4),Imóveis!$S$4-(DATEDIF(Imóveis!$Q$4,Dados!$A427,"m")),0))=0,0,((Imóveis!$N$4/Imóveis!$S$4)+((Imóveis!$N$4-((Imóveis!$S$4-(IF(AND(Dados!$A427&gt;=Imóveis!$Q$4,Dados!$A427&lt;=Imóveis!$T$4),Imóveis!$S$4-(DATEDIF(Imóveis!$Q$4,Dados!$A427,"m")),)))*(Imóveis!$N$4/Imóveis!$S$4)))*Imóveis!$P$4))))*IF(AND(Imóveis!$E$4&gt;0,Dados!$A427&gt;Imóveis!$E$4),0,1)</f>
        <v>0</v>
      </c>
      <c r="L427" s="18">
        <f>IF(Imóveis!$F$5="PRICE",IF(AND(Dados!$A427&gt;=Imóveis!$Q$5,Dados!$A427&lt;=Imóveis!$T$5),Imóveis!$U$5,0),IF((IF(AND(Dados!$A427&gt;=Imóveis!$Q$5,Dados!$A427&lt;=Imóveis!$T$5),Imóveis!$S$5-(DATEDIF(Imóveis!$Q$5,Dados!$A427,"m")),0))=0,0,((Imóveis!$N$5/Imóveis!$S$5)+((Imóveis!$N$5-((Imóveis!$S$5-(IF(AND(Dados!$A427 &gt;=Imóveis!$Q$5,Dados!$A427&lt;=Imóveis!$T$5),Imóveis!$S$5-(DATEDIF(Imóveis!$Q$5,Dados!$A427,"m")),)))*(Imóveis!$N$5/Imóveis!$S$5)))*Imóveis!$P$5))))*IF(AND(Imóveis!$E$5&gt;0,Dados!$A427&gt;Imóveis!$E$5),0,1)*Imóveis!$I$5</f>
        <v>0</v>
      </c>
      <c r="M427" s="18">
        <f>IF(Imóveis!$F$6="PRICE",IF(AND(Dados!$A427&gt;=Imóveis!$Q$6,Dados!$A427&lt;=Imóveis!$T$6),Imóveis!$U$6,0),IF((IF(AND(Dados!$A427&gt;=Imóveis!$Q$6,Dados!$A427&lt;=Imóveis!$T$6),Imóveis!$S$6-(DATEDIF(Imóveis!$Q$6,Dados!$A427,"m")),0))=0,0,((Imóveis!$N$6/Imóveis!$S$6)+((Imóveis!$N$6-((Imóveis!$S$6-(IF(AND(Dados!$A427&gt;=Imóveis!$Q$6,Dados!$A427&lt;=Imóveis!$T$6),Imóveis!$S$6-(DATEDIF(Imóveis!$Q$6,Dados!$A427,"m")),)))*(Imóveis!$N$6/Imóveis!$S$6)))*Imóveis!$P$6))))*IF(AND(Imóveis!$E$6&gt;0,Dados!$A427&gt;Imóveis!$E$6),0,1)*Imóveis!$I$6</f>
        <v>0</v>
      </c>
      <c r="N427" s="18">
        <f t="shared" si="53"/>
        <v>37000</v>
      </c>
      <c r="O427" s="18">
        <f>SUMIFS(Receitas!$F:$F,Receitas!$J:$J,"&lt;="&amp;$A427,Receitas!$L:$L,"&gt;="&amp;$A427,Receitas!$C:$C,O$1,Receitas!$M:$M,"Mensal")+SUMIFS(Receitas!$F:$F,Receitas!$J:$J,"&lt;="&amp;$A427,Receitas!$L:$L,"&gt;="&amp;$A427,Receitas!$C:$C,O$1,Receitas!$M:$M,$B427)</f>
        <v>0</v>
      </c>
      <c r="P427" s="18">
        <f>SUMIFS(Receitas!$F:$F,Receitas!$J:$J,"&lt;="&amp;$A427,Receitas!$L:$L,"&gt;="&amp;$A427,Receitas!$C:$C,P$1,Receitas!$M:$M,"Mensal")+SUMIFS(Receitas!$F:$F,Receitas!$J:$J,"&lt;="&amp;$A427,Receitas!$L:$L,"&gt;="&amp;$A427,Receitas!$C:$C,P$1,Receitas!$M:$M,$B427)</f>
        <v>0</v>
      </c>
      <c r="Q427" s="18">
        <f>SUMIFS(Receitas!$F:$F,Receitas!$J:$J,"&lt;="&amp;$A427,Receitas!$L:$L,"&gt;="&amp;$A427,Receitas!$C:$C,Q$1,Receitas!$M:$M,"Mensal")+SUMIFS(Receitas!$F:$F,Receitas!$J:$J,"&lt;="&amp;$A427,Receitas!$L:$L,"&gt;="&amp;$A427,Receitas!$C:$C,Q$1,Receitas!$M:$M,$B427)</f>
        <v>0</v>
      </c>
      <c r="R427" s="18" cm="1">
        <f t="array" ref="R427">(IF(AND(Membros!$F$2="Sim",A427&lt;=MAX(Membros!$E$2:$E$5)),Membros!K$2,IF(AND(A427&gt;=Membros!J$2,A427&lt;=MAX(Membros!$E$2:$E$5)),Membros!K$2,0))+IF(AND(Membros!$F$3="Sim",A427&lt;=MAX(Membros!$E$2:$E$5)),Membros!K$3,IF(AND(A427&gt;=Membros!J$3,A427&lt;=MAX(Membros!$E$2:$E$5)),Membros!K$3,0)))*IF(AND(COUNTIFS(Tabela3[Tipo],"Provedor",Tabela3[Simulação Seguro],"Sim")=2,A427&gt;=MAX(IF(Tabela3[Tipo]="Dependente",Tabela3[Expectativa de Vida (Data)]))),0,1)</f>
        <v>10000</v>
      </c>
      <c r="S427" s="18">
        <f t="shared" si="54"/>
        <v>10000</v>
      </c>
      <c r="U427" s="18">
        <f t="shared" ca="1" si="57"/>
        <v>27352929.540407456</v>
      </c>
      <c r="V427" s="18">
        <f>SUMIF(Imóveis!E:E,Dados!A:A,Imóveis!Z:Z)-SUMIF(Imóveis!E:E,Dados!A:A,Imóveis!Y:Y)</f>
        <v>0</v>
      </c>
      <c r="W427" s="18">
        <f>-SUMIF(Projetos!N:N,A427,Projetos!F:F)</f>
        <v>0</v>
      </c>
      <c r="X427" s="18">
        <f t="shared" si="51"/>
        <v>-27000</v>
      </c>
      <c r="Y427" s="26">
        <f ca="1">(U427*((Indicadores_Economicos!D$2+1)^(1/12)-1))</f>
        <v>89546.373596115765</v>
      </c>
      <c r="Z427" s="18">
        <f t="shared" ca="1" si="55"/>
        <v>27415475.914003573</v>
      </c>
      <c r="AA427" s="18">
        <f ca="1">Auxiliar_Projetos!E427</f>
        <v>1.5684104299452713E-9</v>
      </c>
      <c r="AB427" s="18">
        <f ca="1">Auxiliar_Projetos!K427</f>
        <v>1.2064695614963612E-9</v>
      </c>
      <c r="AC427" s="18">
        <f ca="1">IF(Z427-AA427-AB427&gt;Investimentos!$C$14,Investimentos!$C$14,IF(Z427-AA427-AB427&lt;Investimentos!$C$14,Z427-AA427-AB427,0))</f>
        <v>300000</v>
      </c>
      <c r="AD427" s="18">
        <f t="shared" ca="1" si="56"/>
        <v>27115475.914003573</v>
      </c>
      <c r="AE427" s="18"/>
    </row>
    <row r="428" spans="1:31" x14ac:dyDescent="0.2">
      <c r="A428" s="4">
        <v>58623</v>
      </c>
      <c r="B428" s="5" t="str">
        <f t="shared" si="52"/>
        <v>julho</v>
      </c>
      <c r="C428" s="5" t="str">
        <f t="shared" si="58"/>
        <v>2060</v>
      </c>
      <c r="D428" s="5">
        <f>SUMIFS(Despesas!$F:$F,Despesas!$J:$J,"&lt;="&amp;$A428,Despesas!$L:$L,"&gt;="&amp;$A428,Despesas!$C:$C,D$1,Despesas!$M:$M,"Mensal")+SUMIFS(Despesas!$F:$F,Despesas!$J:$J,"&lt;="&amp;$A428,Despesas!$L:$L,"&gt;="&amp;$A428,Despesas!$C:$C,D$1,Despesas!$M:$M,$B428)</f>
        <v>23000</v>
      </c>
      <c r="E428" s="18">
        <f>SUMIFS(Despesas!$F:$F,Despesas!$J:$J,"&lt;="&amp;$A428,Despesas!$L:$L,"&gt;="&amp;$A428,Despesas!$C:$C,E$1,Despesas!$M:$M,"Mensal")+SUMIFS(Despesas!$F:$F,Despesas!$J:$J,"&lt;="&amp;$A428,Despesas!$L:$L,"&gt;="&amp;$A428,Despesas!$C:$C,E$1,Despesas!$M:$M,$B428)</f>
        <v>0</v>
      </c>
      <c r="F428" s="5">
        <f>SUMIFS(Despesas!$F:$F,Despesas!$J:$J,"&lt;="&amp;$A428,Despesas!$L:$L,"&gt;="&amp;$A428,Despesas!$C:$C,F$1,Despesas!$M:$M,"Mensal")+SUMIFS(Despesas!$F:$F,Despesas!$J:$J,"&lt;="&amp;$A428,Despesas!$L:$L,"&gt;="&amp;$A428,Despesas!$C:$C,F$1,Despesas!$M:$M,$B428)</f>
        <v>13000</v>
      </c>
      <c r="G428" s="5">
        <f ca="1">SUMIFS(Despesas!$F:$F,Despesas!$J:$J,"&lt;="&amp;$A428,Despesas!$L:$L,"&gt;="&amp;$A428,Despesas!$C:$C,G$1,Despesas!$M:$M,"Mensal")+SUMIFS(Despesas!$F:$F,Despesas!$J:$J,"&lt;="&amp;$A428,Despesas!$L:$L,"&gt;="&amp;$A428,Despesas!$C:$C,G$1,Despesas!$M:$M,$B428)</f>
        <v>55757</v>
      </c>
      <c r="H428" s="18">
        <f>SUMIFS(Despesas!$F:$F,Despesas!$J:$J,"&lt;="&amp;$A428,Despesas!$L:$L,"&gt;="&amp;$A428,Despesas!$C:$C,H$1,Despesas!$M:$M,"Mensal")+SUMIFS(Despesas!$F:$F,Despesas!$J:$J,"&lt;="&amp;$A428,Despesas!$L:$L,"&gt;="&amp;$A428,Despesas!$C:$C,H$1,Despesas!$M:$M,$B428)</f>
        <v>1000</v>
      </c>
      <c r="I428" s="18">
        <f>IF(Imóveis!$F$2="PRICE",IF(AND(Dados!$A428&gt;=Imóveis!$Q$2,Dados!$A428&lt;=Imóveis!$T$2),Imóveis!$U$2,0),IF((IF(AND(Dados!$A428&gt;=Imóveis!$Q$2,Dados!$A428&lt;=Imóveis!$T$2),Imóveis!$S$2-(DATEDIF(Imóveis!$Q$2,Dados!$A428,"m")),0))=0,0,((Imóveis!$N$2/Imóveis!$S$2)+((Imóveis!$N$2-((Imóveis!$S$2-(IF(AND(Dados!$A428&gt;=Imóveis!$Q$2,Dados!$A428&lt;=Imóveis!$T$2),Imóveis!$S$2-(DATEDIF(Imóveis!$Q$2,Dados!$A428,"m")),)))*(Imóveis!$N$2/Imóveis!$S$2)))*Imóveis!$P$2))))*IF(AND(Imóveis!$E$2&gt;0,Dados!$A428&gt;Imóveis!$E$2),0,1)</f>
        <v>0</v>
      </c>
      <c r="J428" s="18">
        <f>IF(Imóveis!$F$3="PRICE",IF(AND(Dados!$A428&gt;=Imóveis!$Q$3,Dados!$A428&lt;=Imóveis!$T$3),Imóveis!$U$3,0),IF((IF(AND(Dados!$A428&gt;=Imóveis!$Q$3,Dados!$A428&lt;=Imóveis!$T$3),Imóveis!$S$3-(DATEDIF(Imóveis!$Q$3,Dados!$A428,"m")),0))=0,0,((Imóveis!$N$3/Imóveis!$S$3)+((Imóveis!$N$3-((Imóveis!$S$3-(IF(AND(Dados!$A428&gt;=Imóveis!$Q$3,Dados!$A428&lt;=Imóveis!$T$3),Imóveis!$S$3-(DATEDIF(Imóveis!$Q$3,Dados!$A428,"m")),)))*(Imóveis!$N$3/Imóveis!$S$3)))*Imóveis!$P$3))))*IF(AND(Imóveis!$E$3&gt;0,Dados!$A428&gt;Imóveis!$E$3),0,1)</f>
        <v>0</v>
      </c>
      <c r="K428" s="18">
        <f>IF(Imóveis!$F$4="PRICE",IF(AND(Dados!$A428&gt;=Imóveis!$Q$4,Dados!$A428&lt;=Imóveis!$T$4),Imóveis!$U$4,0),IF((IF(AND(Dados!$A428&gt;=Imóveis!$Q$4,Dados!$A428&lt;=Imóveis!$T$4),Imóveis!$S$4-(DATEDIF(Imóveis!$Q$4,Dados!$A428,"m")),0))=0,0,((Imóveis!$N$4/Imóveis!$S$4)+((Imóveis!$N$4-((Imóveis!$S$4-(IF(AND(Dados!$A428&gt;=Imóveis!$Q$4,Dados!$A428&lt;=Imóveis!$T$4),Imóveis!$S$4-(DATEDIF(Imóveis!$Q$4,Dados!$A428,"m")),)))*(Imóveis!$N$4/Imóveis!$S$4)))*Imóveis!$P$4))))*IF(AND(Imóveis!$E$4&gt;0,Dados!$A428&gt;Imóveis!$E$4),0,1)</f>
        <v>0</v>
      </c>
      <c r="L428" s="18">
        <f>IF(Imóveis!$F$5="PRICE",IF(AND(Dados!$A428&gt;=Imóveis!$Q$5,Dados!$A428&lt;=Imóveis!$T$5),Imóveis!$U$5,0),IF((IF(AND(Dados!$A428&gt;=Imóveis!$Q$5,Dados!$A428&lt;=Imóveis!$T$5),Imóveis!$S$5-(DATEDIF(Imóveis!$Q$5,Dados!$A428,"m")),0))=0,0,((Imóveis!$N$5/Imóveis!$S$5)+((Imóveis!$N$5-((Imóveis!$S$5-(IF(AND(Dados!$A428 &gt;=Imóveis!$Q$5,Dados!$A428&lt;=Imóveis!$T$5),Imóveis!$S$5-(DATEDIF(Imóveis!$Q$5,Dados!$A428,"m")),)))*(Imóveis!$N$5/Imóveis!$S$5)))*Imóveis!$P$5))))*IF(AND(Imóveis!$E$5&gt;0,Dados!$A428&gt;Imóveis!$E$5),0,1)*Imóveis!$I$5</f>
        <v>0</v>
      </c>
      <c r="M428" s="18">
        <f>IF(Imóveis!$F$6="PRICE",IF(AND(Dados!$A428&gt;=Imóveis!$Q$6,Dados!$A428&lt;=Imóveis!$T$6),Imóveis!$U$6,0),IF((IF(AND(Dados!$A428&gt;=Imóveis!$Q$6,Dados!$A428&lt;=Imóveis!$T$6),Imóveis!$S$6-(DATEDIF(Imóveis!$Q$6,Dados!$A428,"m")),0))=0,0,((Imóveis!$N$6/Imóveis!$S$6)+((Imóveis!$N$6-((Imóveis!$S$6-(IF(AND(Dados!$A428&gt;=Imóveis!$Q$6,Dados!$A428&lt;=Imóveis!$T$6),Imóveis!$S$6-(DATEDIF(Imóveis!$Q$6,Dados!$A428,"m")),)))*(Imóveis!$N$6/Imóveis!$S$6)))*Imóveis!$P$6))))*IF(AND(Imóveis!$E$6&gt;0,Dados!$A428&gt;Imóveis!$E$6),0,1)*Imóveis!$I$6</f>
        <v>0</v>
      </c>
      <c r="N428" s="18">
        <f t="shared" ca="1" si="53"/>
        <v>92757</v>
      </c>
      <c r="O428" s="18">
        <f>SUMIFS(Receitas!$F:$F,Receitas!$J:$J,"&lt;="&amp;$A428,Receitas!$L:$L,"&gt;="&amp;$A428,Receitas!$C:$C,O$1,Receitas!$M:$M,"Mensal")+SUMIFS(Receitas!$F:$F,Receitas!$J:$J,"&lt;="&amp;$A428,Receitas!$L:$L,"&gt;="&amp;$A428,Receitas!$C:$C,O$1,Receitas!$M:$M,$B428)</f>
        <v>0</v>
      </c>
      <c r="P428" s="18">
        <f>SUMIFS(Receitas!$F:$F,Receitas!$J:$J,"&lt;="&amp;$A428,Receitas!$L:$L,"&gt;="&amp;$A428,Receitas!$C:$C,P$1,Receitas!$M:$M,"Mensal")+SUMIFS(Receitas!$F:$F,Receitas!$J:$J,"&lt;="&amp;$A428,Receitas!$L:$L,"&gt;="&amp;$A428,Receitas!$C:$C,P$1,Receitas!$M:$M,$B428)</f>
        <v>0</v>
      </c>
      <c r="Q428" s="18">
        <f>SUMIFS(Receitas!$F:$F,Receitas!$J:$J,"&lt;="&amp;$A428,Receitas!$L:$L,"&gt;="&amp;$A428,Receitas!$C:$C,Q$1,Receitas!$M:$M,"Mensal")+SUMIFS(Receitas!$F:$F,Receitas!$J:$J,"&lt;="&amp;$A428,Receitas!$L:$L,"&gt;="&amp;$A428,Receitas!$C:$C,Q$1,Receitas!$M:$M,$B428)</f>
        <v>0</v>
      </c>
      <c r="R428" s="18" cm="1">
        <f t="array" ref="R428">(IF(AND(Membros!$F$2="Sim",A428&lt;=MAX(Membros!$E$2:$E$5)),Membros!K$2,IF(AND(A428&gt;=Membros!J$2,A428&lt;=MAX(Membros!$E$2:$E$5)),Membros!K$2,0))+IF(AND(Membros!$F$3="Sim",A428&lt;=MAX(Membros!$E$2:$E$5)),Membros!K$3,IF(AND(A428&gt;=Membros!J$3,A428&lt;=MAX(Membros!$E$2:$E$5)),Membros!K$3,0)))*IF(AND(COUNTIFS(Tabela3[Tipo],"Provedor",Tabela3[Simulação Seguro],"Sim")=2,A428&gt;=MAX(IF(Tabela3[Tipo]="Dependente",Tabela3[Expectativa de Vida (Data)]))),0,1)</f>
        <v>10000</v>
      </c>
      <c r="S428" s="18">
        <f t="shared" si="54"/>
        <v>10000</v>
      </c>
      <c r="U428" s="18">
        <f t="shared" ca="1" si="57"/>
        <v>27415475.914003573</v>
      </c>
      <c r="V428" s="18">
        <f>SUMIF(Imóveis!E:E,Dados!A:A,Imóveis!Z:Z)-SUMIF(Imóveis!E:E,Dados!A:A,Imóveis!Y:Y)</f>
        <v>0</v>
      </c>
      <c r="W428" s="18">
        <f>-SUMIF(Projetos!N:N,A428,Projetos!F:F)</f>
        <v>0</v>
      </c>
      <c r="X428" s="18">
        <f t="shared" ca="1" si="51"/>
        <v>-82757</v>
      </c>
      <c r="Y428" s="26">
        <f ca="1">(U428*((Indicadores_Economicos!D$2+1)^(1/12)-1))</f>
        <v>89751.134147589648</v>
      </c>
      <c r="Z428" s="18">
        <f t="shared" ca="1" si="55"/>
        <v>27422470.048151162</v>
      </c>
      <c r="AA428" s="18">
        <f ca="1">Auxiliar_Projetos!E428</f>
        <v>1.5735449975645988E-9</v>
      </c>
      <c r="AB428" s="18">
        <f ca="1">Auxiliar_Projetos!K428</f>
        <v>1.2104192288958439E-9</v>
      </c>
      <c r="AC428" s="18">
        <f ca="1">IF(Z428-AA428-AB428&gt;Investimentos!$C$14,Investimentos!$C$14,IF(Z428-AA428-AB428&lt;Investimentos!$C$14,Z428-AA428-AB428,0))</f>
        <v>300000</v>
      </c>
      <c r="AD428" s="18">
        <f t="shared" ca="1" si="56"/>
        <v>27122470.048151162</v>
      </c>
      <c r="AE428" s="18"/>
    </row>
    <row r="429" spans="1:31" x14ac:dyDescent="0.2">
      <c r="A429" s="4">
        <v>58654</v>
      </c>
      <c r="B429" s="5" t="str">
        <f t="shared" si="52"/>
        <v>agosto</v>
      </c>
      <c r="C429" s="5" t="str">
        <f t="shared" si="58"/>
        <v>2060</v>
      </c>
      <c r="D429" s="5">
        <f>SUMIFS(Despesas!$F:$F,Despesas!$J:$J,"&lt;="&amp;$A429,Despesas!$L:$L,"&gt;="&amp;$A429,Despesas!$C:$C,D$1,Despesas!$M:$M,"Mensal")+SUMIFS(Despesas!$F:$F,Despesas!$J:$J,"&lt;="&amp;$A429,Despesas!$L:$L,"&gt;="&amp;$A429,Despesas!$C:$C,D$1,Despesas!$M:$M,$B429)</f>
        <v>23000</v>
      </c>
      <c r="E429" s="18">
        <f>SUMIFS(Despesas!$F:$F,Despesas!$J:$J,"&lt;="&amp;$A429,Despesas!$L:$L,"&gt;="&amp;$A429,Despesas!$C:$C,E$1,Despesas!$M:$M,"Mensal")+SUMIFS(Despesas!$F:$F,Despesas!$J:$J,"&lt;="&amp;$A429,Despesas!$L:$L,"&gt;="&amp;$A429,Despesas!$C:$C,E$1,Despesas!$M:$M,$B429)</f>
        <v>0</v>
      </c>
      <c r="F429" s="5">
        <f>SUMIFS(Despesas!$F:$F,Despesas!$J:$J,"&lt;="&amp;$A429,Despesas!$L:$L,"&gt;="&amp;$A429,Despesas!$C:$C,F$1,Despesas!$M:$M,"Mensal")+SUMIFS(Despesas!$F:$F,Despesas!$J:$J,"&lt;="&amp;$A429,Despesas!$L:$L,"&gt;="&amp;$A429,Despesas!$C:$C,F$1,Despesas!$M:$M,$B429)</f>
        <v>13000</v>
      </c>
      <c r="G429" s="5">
        <f>SUMIFS(Despesas!$F:$F,Despesas!$J:$J,"&lt;="&amp;$A429,Despesas!$L:$L,"&gt;="&amp;$A429,Despesas!$C:$C,G$1,Despesas!$M:$M,"Mensal")+SUMIFS(Despesas!$F:$F,Despesas!$J:$J,"&lt;="&amp;$A429,Despesas!$L:$L,"&gt;="&amp;$A429,Despesas!$C:$C,G$1,Despesas!$M:$M,$B429)</f>
        <v>0</v>
      </c>
      <c r="H429" s="18">
        <f>SUMIFS(Despesas!$F:$F,Despesas!$J:$J,"&lt;="&amp;$A429,Despesas!$L:$L,"&gt;="&amp;$A429,Despesas!$C:$C,H$1,Despesas!$M:$M,"Mensal")+SUMIFS(Despesas!$F:$F,Despesas!$J:$J,"&lt;="&amp;$A429,Despesas!$L:$L,"&gt;="&amp;$A429,Despesas!$C:$C,H$1,Despesas!$M:$M,$B429)</f>
        <v>1000</v>
      </c>
      <c r="I429" s="18">
        <f>IF(Imóveis!$F$2="PRICE",IF(AND(Dados!$A429&gt;=Imóveis!$Q$2,Dados!$A429&lt;=Imóveis!$T$2),Imóveis!$U$2,0),IF((IF(AND(Dados!$A429&gt;=Imóveis!$Q$2,Dados!$A429&lt;=Imóveis!$T$2),Imóveis!$S$2-(DATEDIF(Imóveis!$Q$2,Dados!$A429,"m")),0))=0,0,((Imóveis!$N$2/Imóveis!$S$2)+((Imóveis!$N$2-((Imóveis!$S$2-(IF(AND(Dados!$A429&gt;=Imóveis!$Q$2,Dados!$A429&lt;=Imóveis!$T$2),Imóveis!$S$2-(DATEDIF(Imóveis!$Q$2,Dados!$A429,"m")),)))*(Imóveis!$N$2/Imóveis!$S$2)))*Imóveis!$P$2))))*IF(AND(Imóveis!$E$2&gt;0,Dados!$A429&gt;Imóveis!$E$2),0,1)</f>
        <v>0</v>
      </c>
      <c r="J429" s="18">
        <f>IF(Imóveis!$F$3="PRICE",IF(AND(Dados!$A429&gt;=Imóveis!$Q$3,Dados!$A429&lt;=Imóveis!$T$3),Imóveis!$U$3,0),IF((IF(AND(Dados!$A429&gt;=Imóveis!$Q$3,Dados!$A429&lt;=Imóveis!$T$3),Imóveis!$S$3-(DATEDIF(Imóveis!$Q$3,Dados!$A429,"m")),0))=0,0,((Imóveis!$N$3/Imóveis!$S$3)+((Imóveis!$N$3-((Imóveis!$S$3-(IF(AND(Dados!$A429&gt;=Imóveis!$Q$3,Dados!$A429&lt;=Imóveis!$T$3),Imóveis!$S$3-(DATEDIF(Imóveis!$Q$3,Dados!$A429,"m")),)))*(Imóveis!$N$3/Imóveis!$S$3)))*Imóveis!$P$3))))*IF(AND(Imóveis!$E$3&gt;0,Dados!$A429&gt;Imóveis!$E$3),0,1)</f>
        <v>0</v>
      </c>
      <c r="K429" s="18">
        <f>IF(Imóveis!$F$4="PRICE",IF(AND(Dados!$A429&gt;=Imóveis!$Q$4,Dados!$A429&lt;=Imóveis!$T$4),Imóveis!$U$4,0),IF((IF(AND(Dados!$A429&gt;=Imóveis!$Q$4,Dados!$A429&lt;=Imóveis!$T$4),Imóveis!$S$4-(DATEDIF(Imóveis!$Q$4,Dados!$A429,"m")),0))=0,0,((Imóveis!$N$4/Imóveis!$S$4)+((Imóveis!$N$4-((Imóveis!$S$4-(IF(AND(Dados!$A429&gt;=Imóveis!$Q$4,Dados!$A429&lt;=Imóveis!$T$4),Imóveis!$S$4-(DATEDIF(Imóveis!$Q$4,Dados!$A429,"m")),)))*(Imóveis!$N$4/Imóveis!$S$4)))*Imóveis!$P$4))))*IF(AND(Imóveis!$E$4&gt;0,Dados!$A429&gt;Imóveis!$E$4),0,1)</f>
        <v>0</v>
      </c>
      <c r="L429" s="18">
        <f>IF(Imóveis!$F$5="PRICE",IF(AND(Dados!$A429&gt;=Imóveis!$Q$5,Dados!$A429&lt;=Imóveis!$T$5),Imóveis!$U$5,0),IF((IF(AND(Dados!$A429&gt;=Imóveis!$Q$5,Dados!$A429&lt;=Imóveis!$T$5),Imóveis!$S$5-(DATEDIF(Imóveis!$Q$5,Dados!$A429,"m")),0))=0,0,((Imóveis!$N$5/Imóveis!$S$5)+((Imóveis!$N$5-((Imóveis!$S$5-(IF(AND(Dados!$A429 &gt;=Imóveis!$Q$5,Dados!$A429&lt;=Imóveis!$T$5),Imóveis!$S$5-(DATEDIF(Imóveis!$Q$5,Dados!$A429,"m")),)))*(Imóveis!$N$5/Imóveis!$S$5)))*Imóveis!$P$5))))*IF(AND(Imóveis!$E$5&gt;0,Dados!$A429&gt;Imóveis!$E$5),0,1)*Imóveis!$I$5</f>
        <v>0</v>
      </c>
      <c r="M429" s="18">
        <f>IF(Imóveis!$F$6="PRICE",IF(AND(Dados!$A429&gt;=Imóveis!$Q$6,Dados!$A429&lt;=Imóveis!$T$6),Imóveis!$U$6,0),IF((IF(AND(Dados!$A429&gt;=Imóveis!$Q$6,Dados!$A429&lt;=Imóveis!$T$6),Imóveis!$S$6-(DATEDIF(Imóveis!$Q$6,Dados!$A429,"m")),0))=0,0,((Imóveis!$N$6/Imóveis!$S$6)+((Imóveis!$N$6-((Imóveis!$S$6-(IF(AND(Dados!$A429&gt;=Imóveis!$Q$6,Dados!$A429&lt;=Imóveis!$T$6),Imóveis!$S$6-(DATEDIF(Imóveis!$Q$6,Dados!$A429,"m")),)))*(Imóveis!$N$6/Imóveis!$S$6)))*Imóveis!$P$6))))*IF(AND(Imóveis!$E$6&gt;0,Dados!$A429&gt;Imóveis!$E$6),0,1)*Imóveis!$I$6</f>
        <v>0</v>
      </c>
      <c r="N429" s="18">
        <f t="shared" si="53"/>
        <v>37000</v>
      </c>
      <c r="O429" s="18">
        <f>SUMIFS(Receitas!$F:$F,Receitas!$J:$J,"&lt;="&amp;$A429,Receitas!$L:$L,"&gt;="&amp;$A429,Receitas!$C:$C,O$1,Receitas!$M:$M,"Mensal")+SUMIFS(Receitas!$F:$F,Receitas!$J:$J,"&lt;="&amp;$A429,Receitas!$L:$L,"&gt;="&amp;$A429,Receitas!$C:$C,O$1,Receitas!$M:$M,$B429)</f>
        <v>0</v>
      </c>
      <c r="P429" s="18">
        <f>SUMIFS(Receitas!$F:$F,Receitas!$J:$J,"&lt;="&amp;$A429,Receitas!$L:$L,"&gt;="&amp;$A429,Receitas!$C:$C,P$1,Receitas!$M:$M,"Mensal")+SUMIFS(Receitas!$F:$F,Receitas!$J:$J,"&lt;="&amp;$A429,Receitas!$L:$L,"&gt;="&amp;$A429,Receitas!$C:$C,P$1,Receitas!$M:$M,$B429)</f>
        <v>0</v>
      </c>
      <c r="Q429" s="18">
        <f>SUMIFS(Receitas!$F:$F,Receitas!$J:$J,"&lt;="&amp;$A429,Receitas!$L:$L,"&gt;="&amp;$A429,Receitas!$C:$C,Q$1,Receitas!$M:$M,"Mensal")+SUMIFS(Receitas!$F:$F,Receitas!$J:$J,"&lt;="&amp;$A429,Receitas!$L:$L,"&gt;="&amp;$A429,Receitas!$C:$C,Q$1,Receitas!$M:$M,$B429)</f>
        <v>0</v>
      </c>
      <c r="R429" s="18" cm="1">
        <f t="array" ref="R429">(IF(AND(Membros!$F$2="Sim",A429&lt;=MAX(Membros!$E$2:$E$5)),Membros!K$2,IF(AND(A429&gt;=Membros!J$2,A429&lt;=MAX(Membros!$E$2:$E$5)),Membros!K$2,0))+IF(AND(Membros!$F$3="Sim",A429&lt;=MAX(Membros!$E$2:$E$5)),Membros!K$3,IF(AND(A429&gt;=Membros!J$3,A429&lt;=MAX(Membros!$E$2:$E$5)),Membros!K$3,0)))*IF(AND(COUNTIFS(Tabela3[Tipo],"Provedor",Tabela3[Simulação Seguro],"Sim")=2,A429&gt;=MAX(IF(Tabela3[Tipo]="Dependente",Tabela3[Expectativa de Vida (Data)]))),0,1)</f>
        <v>10000</v>
      </c>
      <c r="S429" s="18">
        <f t="shared" si="54"/>
        <v>10000</v>
      </c>
      <c r="U429" s="18">
        <f t="shared" ca="1" si="57"/>
        <v>27422470.048151162</v>
      </c>
      <c r="V429" s="18">
        <f>SUMIF(Imóveis!E:E,Dados!A:A,Imóveis!Z:Z)-SUMIF(Imóveis!E:E,Dados!A:A,Imóveis!Y:Y)</f>
        <v>0</v>
      </c>
      <c r="W429" s="18">
        <f>-SUMIF(Projetos!N:N,A429,Projetos!F:F)</f>
        <v>0</v>
      </c>
      <c r="X429" s="18">
        <f t="shared" si="51"/>
        <v>-27000</v>
      </c>
      <c r="Y429" s="26">
        <f ca="1">(U429*((Indicadores_Economicos!D$2+1)^(1/12)-1))</f>
        <v>89774.031122790635</v>
      </c>
      <c r="Z429" s="18">
        <f t="shared" ca="1" si="55"/>
        <v>27485244.07927395</v>
      </c>
      <c r="AA429" s="18">
        <f ca="1">Auxiliar_Projetos!E429</f>
        <v>1.5786963744222061E-9</v>
      </c>
      <c r="AB429" s="18">
        <f ca="1">Auxiliar_Projetos!K429</f>
        <v>1.2143818264786187E-9</v>
      </c>
      <c r="AC429" s="18">
        <f ca="1">IF(Z429-AA429-AB429&gt;Investimentos!$C$14,Investimentos!$C$14,IF(Z429-AA429-AB429&lt;Investimentos!$C$14,Z429-AA429-AB429,0))</f>
        <v>300000</v>
      </c>
      <c r="AD429" s="18">
        <f t="shared" ca="1" si="56"/>
        <v>27185244.07927395</v>
      </c>
      <c r="AE429" s="18"/>
    </row>
    <row r="430" spans="1:31" x14ac:dyDescent="0.2">
      <c r="A430" s="4">
        <v>58685</v>
      </c>
      <c r="B430" s="5" t="str">
        <f t="shared" si="52"/>
        <v>setembro</v>
      </c>
      <c r="C430" s="5" t="str">
        <f t="shared" si="58"/>
        <v>2060</v>
      </c>
      <c r="D430" s="5">
        <f>SUMIFS(Despesas!$F:$F,Despesas!$J:$J,"&lt;="&amp;$A430,Despesas!$L:$L,"&gt;="&amp;$A430,Despesas!$C:$C,D$1,Despesas!$M:$M,"Mensal")+SUMIFS(Despesas!$F:$F,Despesas!$J:$J,"&lt;="&amp;$A430,Despesas!$L:$L,"&gt;="&amp;$A430,Despesas!$C:$C,D$1,Despesas!$M:$M,$B430)</f>
        <v>23000</v>
      </c>
      <c r="E430" s="18">
        <f>SUMIFS(Despesas!$F:$F,Despesas!$J:$J,"&lt;="&amp;$A430,Despesas!$L:$L,"&gt;="&amp;$A430,Despesas!$C:$C,E$1,Despesas!$M:$M,"Mensal")+SUMIFS(Despesas!$F:$F,Despesas!$J:$J,"&lt;="&amp;$A430,Despesas!$L:$L,"&gt;="&amp;$A430,Despesas!$C:$C,E$1,Despesas!$M:$M,$B430)</f>
        <v>0</v>
      </c>
      <c r="F430" s="5">
        <f>SUMIFS(Despesas!$F:$F,Despesas!$J:$J,"&lt;="&amp;$A430,Despesas!$L:$L,"&gt;="&amp;$A430,Despesas!$C:$C,F$1,Despesas!$M:$M,"Mensal")+SUMIFS(Despesas!$F:$F,Despesas!$J:$J,"&lt;="&amp;$A430,Despesas!$L:$L,"&gt;="&amp;$A430,Despesas!$C:$C,F$1,Despesas!$M:$M,$B430)</f>
        <v>13000</v>
      </c>
      <c r="G430" s="5">
        <f>SUMIFS(Despesas!$F:$F,Despesas!$J:$J,"&lt;="&amp;$A430,Despesas!$L:$L,"&gt;="&amp;$A430,Despesas!$C:$C,G$1,Despesas!$M:$M,"Mensal")+SUMIFS(Despesas!$F:$F,Despesas!$J:$J,"&lt;="&amp;$A430,Despesas!$L:$L,"&gt;="&amp;$A430,Despesas!$C:$C,G$1,Despesas!$M:$M,$B430)</f>
        <v>0</v>
      </c>
      <c r="H430" s="18">
        <f>SUMIFS(Despesas!$F:$F,Despesas!$J:$J,"&lt;="&amp;$A430,Despesas!$L:$L,"&gt;="&amp;$A430,Despesas!$C:$C,H$1,Despesas!$M:$M,"Mensal")+SUMIFS(Despesas!$F:$F,Despesas!$J:$J,"&lt;="&amp;$A430,Despesas!$L:$L,"&gt;="&amp;$A430,Despesas!$C:$C,H$1,Despesas!$M:$M,$B430)</f>
        <v>1000</v>
      </c>
      <c r="I430" s="18">
        <f>IF(Imóveis!$F$2="PRICE",IF(AND(Dados!$A430&gt;=Imóveis!$Q$2,Dados!$A430&lt;=Imóveis!$T$2),Imóveis!$U$2,0),IF((IF(AND(Dados!$A430&gt;=Imóveis!$Q$2,Dados!$A430&lt;=Imóveis!$T$2),Imóveis!$S$2-(DATEDIF(Imóveis!$Q$2,Dados!$A430,"m")),0))=0,0,((Imóveis!$N$2/Imóveis!$S$2)+((Imóveis!$N$2-((Imóveis!$S$2-(IF(AND(Dados!$A430&gt;=Imóveis!$Q$2,Dados!$A430&lt;=Imóveis!$T$2),Imóveis!$S$2-(DATEDIF(Imóveis!$Q$2,Dados!$A430,"m")),)))*(Imóveis!$N$2/Imóveis!$S$2)))*Imóveis!$P$2))))*IF(AND(Imóveis!$E$2&gt;0,Dados!$A430&gt;Imóveis!$E$2),0,1)</f>
        <v>0</v>
      </c>
      <c r="J430" s="18">
        <f>IF(Imóveis!$F$3="PRICE",IF(AND(Dados!$A430&gt;=Imóveis!$Q$3,Dados!$A430&lt;=Imóveis!$T$3),Imóveis!$U$3,0),IF((IF(AND(Dados!$A430&gt;=Imóveis!$Q$3,Dados!$A430&lt;=Imóveis!$T$3),Imóveis!$S$3-(DATEDIF(Imóveis!$Q$3,Dados!$A430,"m")),0))=0,0,((Imóveis!$N$3/Imóveis!$S$3)+((Imóveis!$N$3-((Imóveis!$S$3-(IF(AND(Dados!$A430&gt;=Imóveis!$Q$3,Dados!$A430&lt;=Imóveis!$T$3),Imóveis!$S$3-(DATEDIF(Imóveis!$Q$3,Dados!$A430,"m")),)))*(Imóveis!$N$3/Imóveis!$S$3)))*Imóveis!$P$3))))*IF(AND(Imóveis!$E$3&gt;0,Dados!$A430&gt;Imóveis!$E$3),0,1)</f>
        <v>0</v>
      </c>
      <c r="K430" s="18">
        <f>IF(Imóveis!$F$4="PRICE",IF(AND(Dados!$A430&gt;=Imóveis!$Q$4,Dados!$A430&lt;=Imóveis!$T$4),Imóveis!$U$4,0),IF((IF(AND(Dados!$A430&gt;=Imóveis!$Q$4,Dados!$A430&lt;=Imóveis!$T$4),Imóveis!$S$4-(DATEDIF(Imóveis!$Q$4,Dados!$A430,"m")),0))=0,0,((Imóveis!$N$4/Imóveis!$S$4)+((Imóveis!$N$4-((Imóveis!$S$4-(IF(AND(Dados!$A430&gt;=Imóveis!$Q$4,Dados!$A430&lt;=Imóveis!$T$4),Imóveis!$S$4-(DATEDIF(Imóveis!$Q$4,Dados!$A430,"m")),)))*(Imóveis!$N$4/Imóveis!$S$4)))*Imóveis!$P$4))))*IF(AND(Imóveis!$E$4&gt;0,Dados!$A430&gt;Imóveis!$E$4),0,1)</f>
        <v>0</v>
      </c>
      <c r="L430" s="18">
        <f>IF(Imóveis!$F$5="PRICE",IF(AND(Dados!$A430&gt;=Imóveis!$Q$5,Dados!$A430&lt;=Imóveis!$T$5),Imóveis!$U$5,0),IF((IF(AND(Dados!$A430&gt;=Imóveis!$Q$5,Dados!$A430&lt;=Imóveis!$T$5),Imóveis!$S$5-(DATEDIF(Imóveis!$Q$5,Dados!$A430,"m")),0))=0,0,((Imóveis!$N$5/Imóveis!$S$5)+((Imóveis!$N$5-((Imóveis!$S$5-(IF(AND(Dados!$A430 &gt;=Imóveis!$Q$5,Dados!$A430&lt;=Imóveis!$T$5),Imóveis!$S$5-(DATEDIF(Imóveis!$Q$5,Dados!$A430,"m")),)))*(Imóveis!$N$5/Imóveis!$S$5)))*Imóveis!$P$5))))*IF(AND(Imóveis!$E$5&gt;0,Dados!$A430&gt;Imóveis!$E$5),0,1)*Imóveis!$I$5</f>
        <v>0</v>
      </c>
      <c r="M430" s="18">
        <f>IF(Imóveis!$F$6="PRICE",IF(AND(Dados!$A430&gt;=Imóveis!$Q$6,Dados!$A430&lt;=Imóveis!$T$6),Imóveis!$U$6,0),IF((IF(AND(Dados!$A430&gt;=Imóveis!$Q$6,Dados!$A430&lt;=Imóveis!$T$6),Imóveis!$S$6-(DATEDIF(Imóveis!$Q$6,Dados!$A430,"m")),0))=0,0,((Imóveis!$N$6/Imóveis!$S$6)+((Imóveis!$N$6-((Imóveis!$S$6-(IF(AND(Dados!$A430&gt;=Imóveis!$Q$6,Dados!$A430&lt;=Imóveis!$T$6),Imóveis!$S$6-(DATEDIF(Imóveis!$Q$6,Dados!$A430,"m")),)))*(Imóveis!$N$6/Imóveis!$S$6)))*Imóveis!$P$6))))*IF(AND(Imóveis!$E$6&gt;0,Dados!$A430&gt;Imóveis!$E$6),0,1)*Imóveis!$I$6</f>
        <v>0</v>
      </c>
      <c r="N430" s="18">
        <f t="shared" si="53"/>
        <v>37000</v>
      </c>
      <c r="O430" s="18">
        <f>SUMIFS(Receitas!$F:$F,Receitas!$J:$J,"&lt;="&amp;$A430,Receitas!$L:$L,"&gt;="&amp;$A430,Receitas!$C:$C,O$1,Receitas!$M:$M,"Mensal")+SUMIFS(Receitas!$F:$F,Receitas!$J:$J,"&lt;="&amp;$A430,Receitas!$L:$L,"&gt;="&amp;$A430,Receitas!$C:$C,O$1,Receitas!$M:$M,$B430)</f>
        <v>0</v>
      </c>
      <c r="P430" s="18">
        <f>SUMIFS(Receitas!$F:$F,Receitas!$J:$J,"&lt;="&amp;$A430,Receitas!$L:$L,"&gt;="&amp;$A430,Receitas!$C:$C,P$1,Receitas!$M:$M,"Mensal")+SUMIFS(Receitas!$F:$F,Receitas!$J:$J,"&lt;="&amp;$A430,Receitas!$L:$L,"&gt;="&amp;$A430,Receitas!$C:$C,P$1,Receitas!$M:$M,$B430)</f>
        <v>0</v>
      </c>
      <c r="Q430" s="18">
        <f>SUMIFS(Receitas!$F:$F,Receitas!$J:$J,"&lt;="&amp;$A430,Receitas!$L:$L,"&gt;="&amp;$A430,Receitas!$C:$C,Q$1,Receitas!$M:$M,"Mensal")+SUMIFS(Receitas!$F:$F,Receitas!$J:$J,"&lt;="&amp;$A430,Receitas!$L:$L,"&gt;="&amp;$A430,Receitas!$C:$C,Q$1,Receitas!$M:$M,$B430)</f>
        <v>0</v>
      </c>
      <c r="R430" s="18" cm="1">
        <f t="array" ref="R430">(IF(AND(Membros!$F$2="Sim",A430&lt;=MAX(Membros!$E$2:$E$5)),Membros!K$2,IF(AND(A430&gt;=Membros!J$2,A430&lt;=MAX(Membros!$E$2:$E$5)),Membros!K$2,0))+IF(AND(Membros!$F$3="Sim",A430&lt;=MAX(Membros!$E$2:$E$5)),Membros!K$3,IF(AND(A430&gt;=Membros!J$3,A430&lt;=MAX(Membros!$E$2:$E$5)),Membros!K$3,0)))*IF(AND(COUNTIFS(Tabela3[Tipo],"Provedor",Tabela3[Simulação Seguro],"Sim")=2,A430&gt;=MAX(IF(Tabela3[Tipo]="Dependente",Tabela3[Expectativa de Vida (Data)]))),0,1)</f>
        <v>10000</v>
      </c>
      <c r="S430" s="18">
        <f t="shared" si="54"/>
        <v>10000</v>
      </c>
      <c r="U430" s="18">
        <f t="shared" ca="1" si="57"/>
        <v>27485244.07927395</v>
      </c>
      <c r="V430" s="18">
        <f>SUMIF(Imóveis!E:E,Dados!A:A,Imóveis!Z:Z)-SUMIF(Imóveis!E:E,Dados!A:A,Imóveis!Y:Y)</f>
        <v>0</v>
      </c>
      <c r="W430" s="18">
        <f>-SUMIF(Projetos!N:N,A430,Projetos!F:F)</f>
        <v>0</v>
      </c>
      <c r="X430" s="18">
        <f t="shared" si="51"/>
        <v>-27000</v>
      </c>
      <c r="Y430" s="26">
        <f ca="1">(U430*((Indicadores_Economicos!D$2+1)^(1/12)-1))</f>
        <v>89979.53696576631</v>
      </c>
      <c r="Z430" s="18">
        <f t="shared" ca="1" si="55"/>
        <v>27548223.616239715</v>
      </c>
      <c r="AA430" s="18">
        <f ca="1">Auxiliar_Projetos!E430</f>
        <v>1.5838646155471652E-9</v>
      </c>
      <c r="AB430" s="18">
        <f ca="1">Auxiliar_Projetos!K430</f>
        <v>1.2183573965747412E-9</v>
      </c>
      <c r="AC430" s="18">
        <f ca="1">IF(Z430-AA430-AB430&gt;Investimentos!$C$14,Investimentos!$C$14,IF(Z430-AA430-AB430&lt;Investimentos!$C$14,Z430-AA430-AB430,0))</f>
        <v>300000</v>
      </c>
      <c r="AD430" s="18">
        <f t="shared" ca="1" si="56"/>
        <v>27248223.616239715</v>
      </c>
      <c r="AE430" s="18"/>
    </row>
    <row r="431" spans="1:31" x14ac:dyDescent="0.2">
      <c r="A431" s="4">
        <v>58715</v>
      </c>
      <c r="B431" s="5" t="str">
        <f t="shared" si="52"/>
        <v>outubro</v>
      </c>
      <c r="C431" s="5" t="str">
        <f t="shared" si="58"/>
        <v>2060</v>
      </c>
      <c r="D431" s="5">
        <f>SUMIFS(Despesas!$F:$F,Despesas!$J:$J,"&lt;="&amp;$A431,Despesas!$L:$L,"&gt;="&amp;$A431,Despesas!$C:$C,D$1,Despesas!$M:$M,"Mensal")+SUMIFS(Despesas!$F:$F,Despesas!$J:$J,"&lt;="&amp;$A431,Despesas!$L:$L,"&gt;="&amp;$A431,Despesas!$C:$C,D$1,Despesas!$M:$M,$B431)</f>
        <v>23000</v>
      </c>
      <c r="E431" s="18">
        <f>SUMIFS(Despesas!$F:$F,Despesas!$J:$J,"&lt;="&amp;$A431,Despesas!$L:$L,"&gt;="&amp;$A431,Despesas!$C:$C,E$1,Despesas!$M:$M,"Mensal")+SUMIFS(Despesas!$F:$F,Despesas!$J:$J,"&lt;="&amp;$A431,Despesas!$L:$L,"&gt;="&amp;$A431,Despesas!$C:$C,E$1,Despesas!$M:$M,$B431)</f>
        <v>0</v>
      </c>
      <c r="F431" s="5">
        <f>SUMIFS(Despesas!$F:$F,Despesas!$J:$J,"&lt;="&amp;$A431,Despesas!$L:$L,"&gt;="&amp;$A431,Despesas!$C:$C,F$1,Despesas!$M:$M,"Mensal")+SUMIFS(Despesas!$F:$F,Despesas!$J:$J,"&lt;="&amp;$A431,Despesas!$L:$L,"&gt;="&amp;$A431,Despesas!$C:$C,F$1,Despesas!$M:$M,$B431)</f>
        <v>13000</v>
      </c>
      <c r="G431" s="5">
        <f>SUMIFS(Despesas!$F:$F,Despesas!$J:$J,"&lt;="&amp;$A431,Despesas!$L:$L,"&gt;="&amp;$A431,Despesas!$C:$C,G$1,Despesas!$M:$M,"Mensal")+SUMIFS(Despesas!$F:$F,Despesas!$J:$J,"&lt;="&amp;$A431,Despesas!$L:$L,"&gt;="&amp;$A431,Despesas!$C:$C,G$1,Despesas!$M:$M,$B431)</f>
        <v>0</v>
      </c>
      <c r="H431" s="18">
        <f>SUMIFS(Despesas!$F:$F,Despesas!$J:$J,"&lt;="&amp;$A431,Despesas!$L:$L,"&gt;="&amp;$A431,Despesas!$C:$C,H$1,Despesas!$M:$M,"Mensal")+SUMIFS(Despesas!$F:$F,Despesas!$J:$J,"&lt;="&amp;$A431,Despesas!$L:$L,"&gt;="&amp;$A431,Despesas!$C:$C,H$1,Despesas!$M:$M,$B431)</f>
        <v>1000</v>
      </c>
      <c r="I431" s="18">
        <f>IF(Imóveis!$F$2="PRICE",IF(AND(Dados!$A431&gt;=Imóveis!$Q$2,Dados!$A431&lt;=Imóveis!$T$2),Imóveis!$U$2,0),IF((IF(AND(Dados!$A431&gt;=Imóveis!$Q$2,Dados!$A431&lt;=Imóveis!$T$2),Imóveis!$S$2-(DATEDIF(Imóveis!$Q$2,Dados!$A431,"m")),0))=0,0,((Imóveis!$N$2/Imóveis!$S$2)+((Imóveis!$N$2-((Imóveis!$S$2-(IF(AND(Dados!$A431&gt;=Imóveis!$Q$2,Dados!$A431&lt;=Imóveis!$T$2),Imóveis!$S$2-(DATEDIF(Imóveis!$Q$2,Dados!$A431,"m")),)))*(Imóveis!$N$2/Imóveis!$S$2)))*Imóveis!$P$2))))*IF(AND(Imóveis!$E$2&gt;0,Dados!$A431&gt;Imóveis!$E$2),0,1)</f>
        <v>0</v>
      </c>
      <c r="J431" s="18">
        <f>IF(Imóveis!$F$3="PRICE",IF(AND(Dados!$A431&gt;=Imóveis!$Q$3,Dados!$A431&lt;=Imóveis!$T$3),Imóveis!$U$3,0),IF((IF(AND(Dados!$A431&gt;=Imóveis!$Q$3,Dados!$A431&lt;=Imóveis!$T$3),Imóveis!$S$3-(DATEDIF(Imóveis!$Q$3,Dados!$A431,"m")),0))=0,0,((Imóveis!$N$3/Imóveis!$S$3)+((Imóveis!$N$3-((Imóveis!$S$3-(IF(AND(Dados!$A431&gt;=Imóveis!$Q$3,Dados!$A431&lt;=Imóveis!$T$3),Imóveis!$S$3-(DATEDIF(Imóveis!$Q$3,Dados!$A431,"m")),)))*(Imóveis!$N$3/Imóveis!$S$3)))*Imóveis!$P$3))))*IF(AND(Imóveis!$E$3&gt;0,Dados!$A431&gt;Imóveis!$E$3),0,1)</f>
        <v>0</v>
      </c>
      <c r="K431" s="18">
        <f>IF(Imóveis!$F$4="PRICE",IF(AND(Dados!$A431&gt;=Imóveis!$Q$4,Dados!$A431&lt;=Imóveis!$T$4),Imóveis!$U$4,0),IF((IF(AND(Dados!$A431&gt;=Imóveis!$Q$4,Dados!$A431&lt;=Imóveis!$T$4),Imóveis!$S$4-(DATEDIF(Imóveis!$Q$4,Dados!$A431,"m")),0))=0,0,((Imóveis!$N$4/Imóveis!$S$4)+((Imóveis!$N$4-((Imóveis!$S$4-(IF(AND(Dados!$A431&gt;=Imóveis!$Q$4,Dados!$A431&lt;=Imóveis!$T$4),Imóveis!$S$4-(DATEDIF(Imóveis!$Q$4,Dados!$A431,"m")),)))*(Imóveis!$N$4/Imóveis!$S$4)))*Imóveis!$P$4))))*IF(AND(Imóveis!$E$4&gt;0,Dados!$A431&gt;Imóveis!$E$4),0,1)</f>
        <v>0</v>
      </c>
      <c r="L431" s="18">
        <f>IF(Imóveis!$F$5="PRICE",IF(AND(Dados!$A431&gt;=Imóveis!$Q$5,Dados!$A431&lt;=Imóveis!$T$5),Imóveis!$U$5,0),IF((IF(AND(Dados!$A431&gt;=Imóveis!$Q$5,Dados!$A431&lt;=Imóveis!$T$5),Imóveis!$S$5-(DATEDIF(Imóveis!$Q$5,Dados!$A431,"m")),0))=0,0,((Imóveis!$N$5/Imóveis!$S$5)+((Imóveis!$N$5-((Imóveis!$S$5-(IF(AND(Dados!$A431 &gt;=Imóveis!$Q$5,Dados!$A431&lt;=Imóveis!$T$5),Imóveis!$S$5-(DATEDIF(Imóveis!$Q$5,Dados!$A431,"m")),)))*(Imóveis!$N$5/Imóveis!$S$5)))*Imóveis!$P$5))))*IF(AND(Imóveis!$E$5&gt;0,Dados!$A431&gt;Imóveis!$E$5),0,1)*Imóveis!$I$5</f>
        <v>0</v>
      </c>
      <c r="M431" s="18">
        <f>IF(Imóveis!$F$6="PRICE",IF(AND(Dados!$A431&gt;=Imóveis!$Q$6,Dados!$A431&lt;=Imóveis!$T$6),Imóveis!$U$6,0),IF((IF(AND(Dados!$A431&gt;=Imóveis!$Q$6,Dados!$A431&lt;=Imóveis!$T$6),Imóveis!$S$6-(DATEDIF(Imóveis!$Q$6,Dados!$A431,"m")),0))=0,0,((Imóveis!$N$6/Imóveis!$S$6)+((Imóveis!$N$6-((Imóveis!$S$6-(IF(AND(Dados!$A431&gt;=Imóveis!$Q$6,Dados!$A431&lt;=Imóveis!$T$6),Imóveis!$S$6-(DATEDIF(Imóveis!$Q$6,Dados!$A431,"m")),)))*(Imóveis!$N$6/Imóveis!$S$6)))*Imóveis!$P$6))))*IF(AND(Imóveis!$E$6&gt;0,Dados!$A431&gt;Imóveis!$E$6),0,1)*Imóveis!$I$6</f>
        <v>0</v>
      </c>
      <c r="N431" s="18">
        <f t="shared" si="53"/>
        <v>37000</v>
      </c>
      <c r="O431" s="18">
        <f>SUMIFS(Receitas!$F:$F,Receitas!$J:$J,"&lt;="&amp;$A431,Receitas!$L:$L,"&gt;="&amp;$A431,Receitas!$C:$C,O$1,Receitas!$M:$M,"Mensal")+SUMIFS(Receitas!$F:$F,Receitas!$J:$J,"&lt;="&amp;$A431,Receitas!$L:$L,"&gt;="&amp;$A431,Receitas!$C:$C,O$1,Receitas!$M:$M,$B431)</f>
        <v>0</v>
      </c>
      <c r="P431" s="18">
        <f>SUMIFS(Receitas!$F:$F,Receitas!$J:$J,"&lt;="&amp;$A431,Receitas!$L:$L,"&gt;="&amp;$A431,Receitas!$C:$C,P$1,Receitas!$M:$M,"Mensal")+SUMIFS(Receitas!$F:$F,Receitas!$J:$J,"&lt;="&amp;$A431,Receitas!$L:$L,"&gt;="&amp;$A431,Receitas!$C:$C,P$1,Receitas!$M:$M,$B431)</f>
        <v>0</v>
      </c>
      <c r="Q431" s="18">
        <f>SUMIFS(Receitas!$F:$F,Receitas!$J:$J,"&lt;="&amp;$A431,Receitas!$L:$L,"&gt;="&amp;$A431,Receitas!$C:$C,Q$1,Receitas!$M:$M,"Mensal")+SUMIFS(Receitas!$F:$F,Receitas!$J:$J,"&lt;="&amp;$A431,Receitas!$L:$L,"&gt;="&amp;$A431,Receitas!$C:$C,Q$1,Receitas!$M:$M,$B431)</f>
        <v>0</v>
      </c>
      <c r="R431" s="18" cm="1">
        <f t="array" ref="R431">(IF(AND(Membros!$F$2="Sim",A431&lt;=MAX(Membros!$E$2:$E$5)),Membros!K$2,IF(AND(A431&gt;=Membros!J$2,A431&lt;=MAX(Membros!$E$2:$E$5)),Membros!K$2,0))+IF(AND(Membros!$F$3="Sim",A431&lt;=MAX(Membros!$E$2:$E$5)),Membros!K$3,IF(AND(A431&gt;=Membros!J$3,A431&lt;=MAX(Membros!$E$2:$E$5)),Membros!K$3,0)))*IF(AND(COUNTIFS(Tabela3[Tipo],"Provedor",Tabela3[Simulação Seguro],"Sim")=2,A431&gt;=MAX(IF(Tabela3[Tipo]="Dependente",Tabela3[Expectativa de Vida (Data)]))),0,1)</f>
        <v>10000</v>
      </c>
      <c r="S431" s="18">
        <f t="shared" si="54"/>
        <v>10000</v>
      </c>
      <c r="U431" s="18">
        <f t="shared" ca="1" si="57"/>
        <v>27548223.616239715</v>
      </c>
      <c r="V431" s="18">
        <f>SUMIF(Imóveis!E:E,Dados!A:A,Imóveis!Z:Z)-SUMIF(Imóveis!E:E,Dados!A:A,Imóveis!Y:Y)</f>
        <v>0</v>
      </c>
      <c r="W431" s="18">
        <f>-SUMIF(Projetos!N:N,A431,Projetos!F:F)</f>
        <v>0</v>
      </c>
      <c r="X431" s="18">
        <f t="shared" si="51"/>
        <v>-27000</v>
      </c>
      <c r="Y431" s="26">
        <f ca="1">(U431*((Indicadores_Economicos!D$2+1)^(1/12)-1))</f>
        <v>90185.715581395605</v>
      </c>
      <c r="Z431" s="18">
        <f t="shared" ca="1" si="55"/>
        <v>27611409.33182111</v>
      </c>
      <c r="AA431" s="18">
        <f ca="1">Auxiliar_Projetos!E431</f>
        <v>1.5890497761486992E-9</v>
      </c>
      <c r="AB431" s="18">
        <f ca="1">Auxiliar_Projetos!K431</f>
        <v>1.2223459816528443E-9</v>
      </c>
      <c r="AC431" s="18">
        <f ca="1">IF(Z431-AA431-AB431&gt;Investimentos!$C$14,Investimentos!$C$14,IF(Z431-AA431-AB431&lt;Investimentos!$C$14,Z431-AA431-AB431,0))</f>
        <v>300000</v>
      </c>
      <c r="AD431" s="18">
        <f t="shared" ca="1" si="56"/>
        <v>27311409.33182111</v>
      </c>
      <c r="AE431" s="18"/>
    </row>
    <row r="432" spans="1:31" x14ac:dyDescent="0.2">
      <c r="A432" s="4">
        <v>58746</v>
      </c>
      <c r="B432" s="5" t="str">
        <f t="shared" si="52"/>
        <v>novembro</v>
      </c>
      <c r="C432" s="5" t="str">
        <f t="shared" si="58"/>
        <v>2060</v>
      </c>
      <c r="D432" s="5">
        <f>SUMIFS(Despesas!$F:$F,Despesas!$J:$J,"&lt;="&amp;$A432,Despesas!$L:$L,"&gt;="&amp;$A432,Despesas!$C:$C,D$1,Despesas!$M:$M,"Mensal")+SUMIFS(Despesas!$F:$F,Despesas!$J:$J,"&lt;="&amp;$A432,Despesas!$L:$L,"&gt;="&amp;$A432,Despesas!$C:$C,D$1,Despesas!$M:$M,$B432)</f>
        <v>23000</v>
      </c>
      <c r="E432" s="18">
        <f>SUMIFS(Despesas!$F:$F,Despesas!$J:$J,"&lt;="&amp;$A432,Despesas!$L:$L,"&gt;="&amp;$A432,Despesas!$C:$C,E$1,Despesas!$M:$M,"Mensal")+SUMIFS(Despesas!$F:$F,Despesas!$J:$J,"&lt;="&amp;$A432,Despesas!$L:$L,"&gt;="&amp;$A432,Despesas!$C:$C,E$1,Despesas!$M:$M,$B432)</f>
        <v>0</v>
      </c>
      <c r="F432" s="5">
        <f>SUMIFS(Despesas!$F:$F,Despesas!$J:$J,"&lt;="&amp;$A432,Despesas!$L:$L,"&gt;="&amp;$A432,Despesas!$C:$C,F$1,Despesas!$M:$M,"Mensal")+SUMIFS(Despesas!$F:$F,Despesas!$J:$J,"&lt;="&amp;$A432,Despesas!$L:$L,"&gt;="&amp;$A432,Despesas!$C:$C,F$1,Despesas!$M:$M,$B432)</f>
        <v>13000</v>
      </c>
      <c r="G432" s="5">
        <f>SUMIFS(Despesas!$F:$F,Despesas!$J:$J,"&lt;="&amp;$A432,Despesas!$L:$L,"&gt;="&amp;$A432,Despesas!$C:$C,G$1,Despesas!$M:$M,"Mensal")+SUMIFS(Despesas!$F:$F,Despesas!$J:$J,"&lt;="&amp;$A432,Despesas!$L:$L,"&gt;="&amp;$A432,Despesas!$C:$C,G$1,Despesas!$M:$M,$B432)</f>
        <v>0</v>
      </c>
      <c r="H432" s="18">
        <f>SUMIFS(Despesas!$F:$F,Despesas!$J:$J,"&lt;="&amp;$A432,Despesas!$L:$L,"&gt;="&amp;$A432,Despesas!$C:$C,H$1,Despesas!$M:$M,"Mensal")+SUMIFS(Despesas!$F:$F,Despesas!$J:$J,"&lt;="&amp;$A432,Despesas!$L:$L,"&gt;="&amp;$A432,Despesas!$C:$C,H$1,Despesas!$M:$M,$B432)</f>
        <v>1000</v>
      </c>
      <c r="I432" s="18">
        <f>IF(Imóveis!$F$2="PRICE",IF(AND(Dados!$A432&gt;=Imóveis!$Q$2,Dados!$A432&lt;=Imóveis!$T$2),Imóveis!$U$2,0),IF((IF(AND(Dados!$A432&gt;=Imóveis!$Q$2,Dados!$A432&lt;=Imóveis!$T$2),Imóveis!$S$2-(DATEDIF(Imóveis!$Q$2,Dados!$A432,"m")),0))=0,0,((Imóveis!$N$2/Imóveis!$S$2)+((Imóveis!$N$2-((Imóveis!$S$2-(IF(AND(Dados!$A432&gt;=Imóveis!$Q$2,Dados!$A432&lt;=Imóveis!$T$2),Imóveis!$S$2-(DATEDIF(Imóveis!$Q$2,Dados!$A432,"m")),)))*(Imóveis!$N$2/Imóveis!$S$2)))*Imóveis!$P$2))))*IF(AND(Imóveis!$E$2&gt;0,Dados!$A432&gt;Imóveis!$E$2),0,1)</f>
        <v>0</v>
      </c>
      <c r="J432" s="18">
        <f>IF(Imóveis!$F$3="PRICE",IF(AND(Dados!$A432&gt;=Imóveis!$Q$3,Dados!$A432&lt;=Imóveis!$T$3),Imóveis!$U$3,0),IF((IF(AND(Dados!$A432&gt;=Imóveis!$Q$3,Dados!$A432&lt;=Imóveis!$T$3),Imóveis!$S$3-(DATEDIF(Imóveis!$Q$3,Dados!$A432,"m")),0))=0,0,((Imóveis!$N$3/Imóveis!$S$3)+((Imóveis!$N$3-((Imóveis!$S$3-(IF(AND(Dados!$A432&gt;=Imóveis!$Q$3,Dados!$A432&lt;=Imóveis!$T$3),Imóveis!$S$3-(DATEDIF(Imóveis!$Q$3,Dados!$A432,"m")),)))*(Imóveis!$N$3/Imóveis!$S$3)))*Imóveis!$P$3))))*IF(AND(Imóveis!$E$3&gt;0,Dados!$A432&gt;Imóveis!$E$3),0,1)</f>
        <v>0</v>
      </c>
      <c r="K432" s="18">
        <f>IF(Imóveis!$F$4="PRICE",IF(AND(Dados!$A432&gt;=Imóveis!$Q$4,Dados!$A432&lt;=Imóveis!$T$4),Imóveis!$U$4,0),IF((IF(AND(Dados!$A432&gt;=Imóveis!$Q$4,Dados!$A432&lt;=Imóveis!$T$4),Imóveis!$S$4-(DATEDIF(Imóveis!$Q$4,Dados!$A432,"m")),0))=0,0,((Imóveis!$N$4/Imóveis!$S$4)+((Imóveis!$N$4-((Imóveis!$S$4-(IF(AND(Dados!$A432&gt;=Imóveis!$Q$4,Dados!$A432&lt;=Imóveis!$T$4),Imóveis!$S$4-(DATEDIF(Imóveis!$Q$4,Dados!$A432,"m")),)))*(Imóveis!$N$4/Imóveis!$S$4)))*Imóveis!$P$4))))*IF(AND(Imóveis!$E$4&gt;0,Dados!$A432&gt;Imóveis!$E$4),0,1)</f>
        <v>0</v>
      </c>
      <c r="L432" s="18">
        <f>IF(Imóveis!$F$5="PRICE",IF(AND(Dados!$A432&gt;=Imóveis!$Q$5,Dados!$A432&lt;=Imóveis!$T$5),Imóveis!$U$5,0),IF((IF(AND(Dados!$A432&gt;=Imóveis!$Q$5,Dados!$A432&lt;=Imóveis!$T$5),Imóveis!$S$5-(DATEDIF(Imóveis!$Q$5,Dados!$A432,"m")),0))=0,0,((Imóveis!$N$5/Imóveis!$S$5)+((Imóveis!$N$5-((Imóveis!$S$5-(IF(AND(Dados!$A432 &gt;=Imóveis!$Q$5,Dados!$A432&lt;=Imóveis!$T$5),Imóveis!$S$5-(DATEDIF(Imóveis!$Q$5,Dados!$A432,"m")),)))*(Imóveis!$N$5/Imóveis!$S$5)))*Imóveis!$P$5))))*IF(AND(Imóveis!$E$5&gt;0,Dados!$A432&gt;Imóveis!$E$5),0,1)*Imóveis!$I$5</f>
        <v>0</v>
      </c>
      <c r="M432" s="18">
        <f>IF(Imóveis!$F$6="PRICE",IF(AND(Dados!$A432&gt;=Imóveis!$Q$6,Dados!$A432&lt;=Imóveis!$T$6),Imóveis!$U$6,0),IF((IF(AND(Dados!$A432&gt;=Imóveis!$Q$6,Dados!$A432&lt;=Imóveis!$T$6),Imóveis!$S$6-(DATEDIF(Imóveis!$Q$6,Dados!$A432,"m")),0))=0,0,((Imóveis!$N$6/Imóveis!$S$6)+((Imóveis!$N$6-((Imóveis!$S$6-(IF(AND(Dados!$A432&gt;=Imóveis!$Q$6,Dados!$A432&lt;=Imóveis!$T$6),Imóveis!$S$6-(DATEDIF(Imóveis!$Q$6,Dados!$A432,"m")),)))*(Imóveis!$N$6/Imóveis!$S$6)))*Imóveis!$P$6))))*IF(AND(Imóveis!$E$6&gt;0,Dados!$A432&gt;Imóveis!$E$6),0,1)*Imóveis!$I$6</f>
        <v>0</v>
      </c>
      <c r="N432" s="18">
        <f t="shared" si="53"/>
        <v>37000</v>
      </c>
      <c r="O432" s="18">
        <f>SUMIFS(Receitas!$F:$F,Receitas!$J:$J,"&lt;="&amp;$A432,Receitas!$L:$L,"&gt;="&amp;$A432,Receitas!$C:$C,O$1,Receitas!$M:$M,"Mensal")+SUMIFS(Receitas!$F:$F,Receitas!$J:$J,"&lt;="&amp;$A432,Receitas!$L:$L,"&gt;="&amp;$A432,Receitas!$C:$C,O$1,Receitas!$M:$M,$B432)</f>
        <v>0</v>
      </c>
      <c r="P432" s="18">
        <f>SUMIFS(Receitas!$F:$F,Receitas!$J:$J,"&lt;="&amp;$A432,Receitas!$L:$L,"&gt;="&amp;$A432,Receitas!$C:$C,P$1,Receitas!$M:$M,"Mensal")+SUMIFS(Receitas!$F:$F,Receitas!$J:$J,"&lt;="&amp;$A432,Receitas!$L:$L,"&gt;="&amp;$A432,Receitas!$C:$C,P$1,Receitas!$M:$M,$B432)</f>
        <v>0</v>
      </c>
      <c r="Q432" s="18">
        <f>SUMIFS(Receitas!$F:$F,Receitas!$J:$J,"&lt;="&amp;$A432,Receitas!$L:$L,"&gt;="&amp;$A432,Receitas!$C:$C,Q$1,Receitas!$M:$M,"Mensal")+SUMIFS(Receitas!$F:$F,Receitas!$J:$J,"&lt;="&amp;$A432,Receitas!$L:$L,"&gt;="&amp;$A432,Receitas!$C:$C,Q$1,Receitas!$M:$M,$B432)</f>
        <v>0</v>
      </c>
      <c r="R432" s="18" cm="1">
        <f t="array" ref="R432">(IF(AND(Membros!$F$2="Sim",A432&lt;=MAX(Membros!$E$2:$E$5)),Membros!K$2,IF(AND(A432&gt;=Membros!J$2,A432&lt;=MAX(Membros!$E$2:$E$5)),Membros!K$2,0))+IF(AND(Membros!$F$3="Sim",A432&lt;=MAX(Membros!$E$2:$E$5)),Membros!K$3,IF(AND(A432&gt;=Membros!J$3,A432&lt;=MAX(Membros!$E$2:$E$5)),Membros!K$3,0)))*IF(AND(COUNTIFS(Tabela3[Tipo],"Provedor",Tabela3[Simulação Seguro],"Sim")=2,A432&gt;=MAX(IF(Tabela3[Tipo]="Dependente",Tabela3[Expectativa de Vida (Data)]))),0,1)</f>
        <v>10000</v>
      </c>
      <c r="S432" s="18">
        <f t="shared" si="54"/>
        <v>10000</v>
      </c>
      <c r="U432" s="18">
        <f t="shared" ca="1" si="57"/>
        <v>27611409.33182111</v>
      </c>
      <c r="V432" s="18">
        <f>SUMIF(Imóveis!E:E,Dados!A:A,Imóveis!Z:Z)-SUMIF(Imóveis!E:E,Dados!A:A,Imóveis!Y:Y)</f>
        <v>0</v>
      </c>
      <c r="W432" s="18">
        <f>-SUMIF(Projetos!N:N,A432,Projetos!F:F)</f>
        <v>0</v>
      </c>
      <c r="X432" s="18">
        <f t="shared" si="51"/>
        <v>-27000</v>
      </c>
      <c r="Y432" s="26">
        <f ca="1">(U432*((Indicadores_Economicos!D$2+1)^(1/12)-1))</f>
        <v>90392.569172161122</v>
      </c>
      <c r="Z432" s="18">
        <f t="shared" ca="1" si="55"/>
        <v>27674801.900993273</v>
      </c>
      <c r="AA432" s="18">
        <f ca="1">Auxiliar_Projetos!E432</f>
        <v>1.5942519116167714E-9</v>
      </c>
      <c r="AB432" s="18">
        <f ca="1">Auxiliar_Projetos!K432</f>
        <v>1.2263476243205922E-9</v>
      </c>
      <c r="AC432" s="18">
        <f ca="1">IF(Z432-AA432-AB432&gt;Investimentos!$C$14,Investimentos!$C$14,IF(Z432-AA432-AB432&lt;Investimentos!$C$14,Z432-AA432-AB432,0))</f>
        <v>300000</v>
      </c>
      <c r="AD432" s="18">
        <f t="shared" ca="1" si="56"/>
        <v>27374801.900993273</v>
      </c>
      <c r="AE432" s="18"/>
    </row>
    <row r="433" spans="1:31" x14ac:dyDescent="0.2">
      <c r="A433" s="4">
        <v>58776</v>
      </c>
      <c r="B433" s="5" t="str">
        <f t="shared" si="52"/>
        <v>dezembro</v>
      </c>
      <c r="C433" s="5" t="str">
        <f t="shared" si="58"/>
        <v>2060</v>
      </c>
      <c r="D433" s="5">
        <f>SUMIFS(Despesas!$F:$F,Despesas!$J:$J,"&lt;="&amp;$A433,Despesas!$L:$L,"&gt;="&amp;$A433,Despesas!$C:$C,D$1,Despesas!$M:$M,"Mensal")+SUMIFS(Despesas!$F:$F,Despesas!$J:$J,"&lt;="&amp;$A433,Despesas!$L:$L,"&gt;="&amp;$A433,Despesas!$C:$C,D$1,Despesas!$M:$M,$B433)</f>
        <v>23000</v>
      </c>
      <c r="E433" s="18">
        <f>SUMIFS(Despesas!$F:$F,Despesas!$J:$J,"&lt;="&amp;$A433,Despesas!$L:$L,"&gt;="&amp;$A433,Despesas!$C:$C,E$1,Despesas!$M:$M,"Mensal")+SUMIFS(Despesas!$F:$F,Despesas!$J:$J,"&lt;="&amp;$A433,Despesas!$L:$L,"&gt;="&amp;$A433,Despesas!$C:$C,E$1,Despesas!$M:$M,$B433)</f>
        <v>0</v>
      </c>
      <c r="F433" s="5">
        <f>SUMIFS(Despesas!$F:$F,Despesas!$J:$J,"&lt;="&amp;$A433,Despesas!$L:$L,"&gt;="&amp;$A433,Despesas!$C:$C,F$1,Despesas!$M:$M,"Mensal")+SUMIFS(Despesas!$F:$F,Despesas!$J:$J,"&lt;="&amp;$A433,Despesas!$L:$L,"&gt;="&amp;$A433,Despesas!$C:$C,F$1,Despesas!$M:$M,$B433)</f>
        <v>13000</v>
      </c>
      <c r="G433" s="5">
        <f ca="1">SUMIFS(Despesas!$F:$F,Despesas!$J:$J,"&lt;="&amp;$A433,Despesas!$L:$L,"&gt;="&amp;$A433,Despesas!$C:$C,G$1,Despesas!$M:$M,"Mensal")+SUMIFS(Despesas!$F:$F,Despesas!$J:$J,"&lt;="&amp;$A433,Despesas!$L:$L,"&gt;="&amp;$A433,Despesas!$C:$C,G$1,Despesas!$M:$M,$B433)</f>
        <v>55757</v>
      </c>
      <c r="H433" s="18">
        <f>SUMIFS(Despesas!$F:$F,Despesas!$J:$J,"&lt;="&amp;$A433,Despesas!$L:$L,"&gt;="&amp;$A433,Despesas!$C:$C,H$1,Despesas!$M:$M,"Mensal")+SUMIFS(Despesas!$F:$F,Despesas!$J:$J,"&lt;="&amp;$A433,Despesas!$L:$L,"&gt;="&amp;$A433,Despesas!$C:$C,H$1,Despesas!$M:$M,$B433)</f>
        <v>1000</v>
      </c>
      <c r="I433" s="18">
        <f>IF(Imóveis!$F$2="PRICE",IF(AND(Dados!$A433&gt;=Imóveis!$Q$2,Dados!$A433&lt;=Imóveis!$T$2),Imóveis!$U$2,0),IF((IF(AND(Dados!$A433&gt;=Imóveis!$Q$2,Dados!$A433&lt;=Imóveis!$T$2),Imóveis!$S$2-(DATEDIF(Imóveis!$Q$2,Dados!$A433,"m")),0))=0,0,((Imóveis!$N$2/Imóveis!$S$2)+((Imóveis!$N$2-((Imóveis!$S$2-(IF(AND(Dados!$A433&gt;=Imóveis!$Q$2,Dados!$A433&lt;=Imóveis!$T$2),Imóveis!$S$2-(DATEDIF(Imóveis!$Q$2,Dados!$A433,"m")),)))*(Imóveis!$N$2/Imóveis!$S$2)))*Imóveis!$P$2))))*IF(AND(Imóveis!$E$2&gt;0,Dados!$A433&gt;Imóveis!$E$2),0,1)</f>
        <v>0</v>
      </c>
      <c r="J433" s="18">
        <f>IF(Imóveis!$F$3="PRICE",IF(AND(Dados!$A433&gt;=Imóveis!$Q$3,Dados!$A433&lt;=Imóveis!$T$3),Imóveis!$U$3,0),IF((IF(AND(Dados!$A433&gt;=Imóveis!$Q$3,Dados!$A433&lt;=Imóveis!$T$3),Imóveis!$S$3-(DATEDIF(Imóveis!$Q$3,Dados!$A433,"m")),0))=0,0,((Imóveis!$N$3/Imóveis!$S$3)+((Imóveis!$N$3-((Imóveis!$S$3-(IF(AND(Dados!$A433&gt;=Imóveis!$Q$3,Dados!$A433&lt;=Imóveis!$T$3),Imóveis!$S$3-(DATEDIF(Imóveis!$Q$3,Dados!$A433,"m")),)))*(Imóveis!$N$3/Imóveis!$S$3)))*Imóveis!$P$3))))*IF(AND(Imóveis!$E$3&gt;0,Dados!$A433&gt;Imóveis!$E$3),0,1)</f>
        <v>0</v>
      </c>
      <c r="K433" s="18">
        <f>IF(Imóveis!$F$4="PRICE",IF(AND(Dados!$A433&gt;=Imóveis!$Q$4,Dados!$A433&lt;=Imóveis!$T$4),Imóveis!$U$4,0),IF((IF(AND(Dados!$A433&gt;=Imóveis!$Q$4,Dados!$A433&lt;=Imóveis!$T$4),Imóveis!$S$4-(DATEDIF(Imóveis!$Q$4,Dados!$A433,"m")),0))=0,0,((Imóveis!$N$4/Imóveis!$S$4)+((Imóveis!$N$4-((Imóveis!$S$4-(IF(AND(Dados!$A433&gt;=Imóveis!$Q$4,Dados!$A433&lt;=Imóveis!$T$4),Imóveis!$S$4-(DATEDIF(Imóveis!$Q$4,Dados!$A433,"m")),)))*(Imóveis!$N$4/Imóveis!$S$4)))*Imóveis!$P$4))))*IF(AND(Imóveis!$E$4&gt;0,Dados!$A433&gt;Imóveis!$E$4),0,1)</f>
        <v>0</v>
      </c>
      <c r="L433" s="18">
        <f>IF(Imóveis!$F$5="PRICE",IF(AND(Dados!$A433&gt;=Imóveis!$Q$5,Dados!$A433&lt;=Imóveis!$T$5),Imóveis!$U$5,0),IF((IF(AND(Dados!$A433&gt;=Imóveis!$Q$5,Dados!$A433&lt;=Imóveis!$T$5),Imóveis!$S$5-(DATEDIF(Imóveis!$Q$5,Dados!$A433,"m")),0))=0,0,((Imóveis!$N$5/Imóveis!$S$5)+((Imóveis!$N$5-((Imóveis!$S$5-(IF(AND(Dados!$A433 &gt;=Imóveis!$Q$5,Dados!$A433&lt;=Imóveis!$T$5),Imóveis!$S$5-(DATEDIF(Imóveis!$Q$5,Dados!$A433,"m")),)))*(Imóveis!$N$5/Imóveis!$S$5)))*Imóveis!$P$5))))*IF(AND(Imóveis!$E$5&gt;0,Dados!$A433&gt;Imóveis!$E$5),0,1)*Imóveis!$I$5</f>
        <v>0</v>
      </c>
      <c r="M433" s="18">
        <f>IF(Imóveis!$F$6="PRICE",IF(AND(Dados!$A433&gt;=Imóveis!$Q$6,Dados!$A433&lt;=Imóveis!$T$6),Imóveis!$U$6,0),IF((IF(AND(Dados!$A433&gt;=Imóveis!$Q$6,Dados!$A433&lt;=Imóveis!$T$6),Imóveis!$S$6-(DATEDIF(Imóveis!$Q$6,Dados!$A433,"m")),0))=0,0,((Imóveis!$N$6/Imóveis!$S$6)+((Imóveis!$N$6-((Imóveis!$S$6-(IF(AND(Dados!$A433&gt;=Imóveis!$Q$6,Dados!$A433&lt;=Imóveis!$T$6),Imóveis!$S$6-(DATEDIF(Imóveis!$Q$6,Dados!$A433,"m")),)))*(Imóveis!$N$6/Imóveis!$S$6)))*Imóveis!$P$6))))*IF(AND(Imóveis!$E$6&gt;0,Dados!$A433&gt;Imóveis!$E$6),0,1)*Imóveis!$I$6</f>
        <v>0</v>
      </c>
      <c r="N433" s="18">
        <f t="shared" ca="1" si="53"/>
        <v>92757</v>
      </c>
      <c r="O433" s="18">
        <f>SUMIFS(Receitas!$F:$F,Receitas!$J:$J,"&lt;="&amp;$A433,Receitas!$L:$L,"&gt;="&amp;$A433,Receitas!$C:$C,O$1,Receitas!$M:$M,"Mensal")+SUMIFS(Receitas!$F:$F,Receitas!$J:$J,"&lt;="&amp;$A433,Receitas!$L:$L,"&gt;="&amp;$A433,Receitas!$C:$C,O$1,Receitas!$M:$M,$B433)</f>
        <v>0</v>
      </c>
      <c r="P433" s="18">
        <f>SUMIFS(Receitas!$F:$F,Receitas!$J:$J,"&lt;="&amp;$A433,Receitas!$L:$L,"&gt;="&amp;$A433,Receitas!$C:$C,P$1,Receitas!$M:$M,"Mensal")+SUMIFS(Receitas!$F:$F,Receitas!$J:$J,"&lt;="&amp;$A433,Receitas!$L:$L,"&gt;="&amp;$A433,Receitas!$C:$C,P$1,Receitas!$M:$M,$B433)</f>
        <v>0</v>
      </c>
      <c r="Q433" s="18">
        <f>SUMIFS(Receitas!$F:$F,Receitas!$J:$J,"&lt;="&amp;$A433,Receitas!$L:$L,"&gt;="&amp;$A433,Receitas!$C:$C,Q$1,Receitas!$M:$M,"Mensal")+SUMIFS(Receitas!$F:$F,Receitas!$J:$J,"&lt;="&amp;$A433,Receitas!$L:$L,"&gt;="&amp;$A433,Receitas!$C:$C,Q$1,Receitas!$M:$M,$B433)</f>
        <v>0</v>
      </c>
      <c r="R433" s="18" cm="1">
        <f t="array" ref="R433">(IF(AND(Membros!$F$2="Sim",A433&lt;=MAX(Membros!$E$2:$E$5)),Membros!K$2,IF(AND(A433&gt;=Membros!J$2,A433&lt;=MAX(Membros!$E$2:$E$5)),Membros!K$2,0))+IF(AND(Membros!$F$3="Sim",A433&lt;=MAX(Membros!$E$2:$E$5)),Membros!K$3,IF(AND(A433&gt;=Membros!J$3,A433&lt;=MAX(Membros!$E$2:$E$5)),Membros!K$3,0)))*IF(AND(COUNTIFS(Tabela3[Tipo],"Provedor",Tabela3[Simulação Seguro],"Sim")=2,A433&gt;=MAX(IF(Tabela3[Tipo]="Dependente",Tabela3[Expectativa de Vida (Data)]))),0,1)</f>
        <v>10000</v>
      </c>
      <c r="S433" s="18">
        <f t="shared" si="54"/>
        <v>10000</v>
      </c>
      <c r="U433" s="18">
        <f t="shared" ca="1" si="57"/>
        <v>27674801.900993273</v>
      </c>
      <c r="V433" s="18">
        <f>SUMIF(Imóveis!E:E,Dados!A:A,Imóveis!Z:Z)-SUMIF(Imóveis!E:E,Dados!A:A,Imóveis!Y:Y)</f>
        <v>0</v>
      </c>
      <c r="W433" s="18">
        <f>-SUMIF(Projetos!N:N,A433,Projetos!F:F)</f>
        <v>0</v>
      </c>
      <c r="X433" s="18">
        <f t="shared" ca="1" si="51"/>
        <v>-82757</v>
      </c>
      <c r="Y433" s="26">
        <f ca="1">(U433*((Indicadores_Economicos!D$2+1)^(1/12)-1))</f>
        <v>90600.099947755822</v>
      </c>
      <c r="Z433" s="18">
        <f t="shared" ca="1" si="55"/>
        <v>27682645.000941027</v>
      </c>
      <c r="AA433" s="18">
        <f ca="1">Auxiliar_Projetos!E433</f>
        <v>1.5994710775226779E-9</v>
      </c>
      <c r="AB433" s="18">
        <f ca="1">Auxiliar_Projetos!K433</f>
        <v>1.2303623673251356E-9</v>
      </c>
      <c r="AC433" s="18">
        <f ca="1">IF(Z433-AA433-AB433&gt;Investimentos!$C$14,Investimentos!$C$14,IF(Z433-AA433-AB433&lt;Investimentos!$C$14,Z433-AA433-AB433,0))</f>
        <v>300000</v>
      </c>
      <c r="AD433" s="18">
        <f t="shared" ca="1" si="56"/>
        <v>27382645.000941027</v>
      </c>
      <c r="AE433" s="18"/>
    </row>
    <row r="434" spans="1:31" x14ac:dyDescent="0.2">
      <c r="A434" s="4">
        <v>58807</v>
      </c>
      <c r="B434" s="5" t="str">
        <f t="shared" si="52"/>
        <v>janeiro</v>
      </c>
      <c r="C434" s="5" t="str">
        <f t="shared" si="58"/>
        <v>2061</v>
      </c>
      <c r="D434" s="5">
        <f>SUMIFS(Despesas!$F:$F,Despesas!$J:$J,"&lt;="&amp;$A434,Despesas!$L:$L,"&gt;="&amp;$A434,Despesas!$C:$C,D$1,Despesas!$M:$M,"Mensal")+SUMIFS(Despesas!$F:$F,Despesas!$J:$J,"&lt;="&amp;$A434,Despesas!$L:$L,"&gt;="&amp;$A434,Despesas!$C:$C,D$1,Despesas!$M:$M,$B434)</f>
        <v>23000</v>
      </c>
      <c r="E434" s="18">
        <f>SUMIFS(Despesas!$F:$F,Despesas!$J:$J,"&lt;="&amp;$A434,Despesas!$L:$L,"&gt;="&amp;$A434,Despesas!$C:$C,E$1,Despesas!$M:$M,"Mensal")+SUMIFS(Despesas!$F:$F,Despesas!$J:$J,"&lt;="&amp;$A434,Despesas!$L:$L,"&gt;="&amp;$A434,Despesas!$C:$C,E$1,Despesas!$M:$M,$B434)</f>
        <v>0</v>
      </c>
      <c r="F434" s="5">
        <f>SUMIFS(Despesas!$F:$F,Despesas!$J:$J,"&lt;="&amp;$A434,Despesas!$L:$L,"&gt;="&amp;$A434,Despesas!$C:$C,F$1,Despesas!$M:$M,"Mensal")+SUMIFS(Despesas!$F:$F,Despesas!$J:$J,"&lt;="&amp;$A434,Despesas!$L:$L,"&gt;="&amp;$A434,Despesas!$C:$C,F$1,Despesas!$M:$M,$B434)</f>
        <v>13000</v>
      </c>
      <c r="G434" s="5">
        <f>SUMIFS(Despesas!$F:$F,Despesas!$J:$J,"&lt;="&amp;$A434,Despesas!$L:$L,"&gt;="&amp;$A434,Despesas!$C:$C,G$1,Despesas!$M:$M,"Mensal")+SUMIFS(Despesas!$F:$F,Despesas!$J:$J,"&lt;="&amp;$A434,Despesas!$L:$L,"&gt;="&amp;$A434,Despesas!$C:$C,G$1,Despesas!$M:$M,$B434)</f>
        <v>0</v>
      </c>
      <c r="H434" s="18">
        <f>SUMIFS(Despesas!$F:$F,Despesas!$J:$J,"&lt;="&amp;$A434,Despesas!$L:$L,"&gt;="&amp;$A434,Despesas!$C:$C,H$1,Despesas!$M:$M,"Mensal")+SUMIFS(Despesas!$F:$F,Despesas!$J:$J,"&lt;="&amp;$A434,Despesas!$L:$L,"&gt;="&amp;$A434,Despesas!$C:$C,H$1,Despesas!$M:$M,$B434)</f>
        <v>1000</v>
      </c>
      <c r="I434" s="18">
        <f>IF(Imóveis!$F$2="PRICE",IF(AND(Dados!$A434&gt;=Imóveis!$Q$2,Dados!$A434&lt;=Imóveis!$T$2),Imóveis!$U$2,0),IF((IF(AND(Dados!$A434&gt;=Imóveis!$Q$2,Dados!$A434&lt;=Imóveis!$T$2),Imóveis!$S$2-(DATEDIF(Imóveis!$Q$2,Dados!$A434,"m")),0))=0,0,((Imóveis!$N$2/Imóveis!$S$2)+((Imóveis!$N$2-((Imóveis!$S$2-(IF(AND(Dados!$A434&gt;=Imóveis!$Q$2,Dados!$A434&lt;=Imóveis!$T$2),Imóveis!$S$2-(DATEDIF(Imóveis!$Q$2,Dados!$A434,"m")),)))*(Imóveis!$N$2/Imóveis!$S$2)))*Imóveis!$P$2))))*IF(AND(Imóveis!$E$2&gt;0,Dados!$A434&gt;Imóveis!$E$2),0,1)</f>
        <v>0</v>
      </c>
      <c r="J434" s="18">
        <f>IF(Imóveis!$F$3="PRICE",IF(AND(Dados!$A434&gt;=Imóveis!$Q$3,Dados!$A434&lt;=Imóveis!$T$3),Imóveis!$U$3,0),IF((IF(AND(Dados!$A434&gt;=Imóveis!$Q$3,Dados!$A434&lt;=Imóveis!$T$3),Imóveis!$S$3-(DATEDIF(Imóveis!$Q$3,Dados!$A434,"m")),0))=0,0,((Imóveis!$N$3/Imóveis!$S$3)+((Imóveis!$N$3-((Imóveis!$S$3-(IF(AND(Dados!$A434&gt;=Imóveis!$Q$3,Dados!$A434&lt;=Imóveis!$T$3),Imóveis!$S$3-(DATEDIF(Imóveis!$Q$3,Dados!$A434,"m")),)))*(Imóveis!$N$3/Imóveis!$S$3)))*Imóveis!$P$3))))*IF(AND(Imóveis!$E$3&gt;0,Dados!$A434&gt;Imóveis!$E$3),0,1)</f>
        <v>0</v>
      </c>
      <c r="K434" s="18">
        <f>IF(Imóveis!$F$4="PRICE",IF(AND(Dados!$A434&gt;=Imóveis!$Q$4,Dados!$A434&lt;=Imóveis!$T$4),Imóveis!$U$4,0),IF((IF(AND(Dados!$A434&gt;=Imóveis!$Q$4,Dados!$A434&lt;=Imóveis!$T$4),Imóveis!$S$4-(DATEDIF(Imóveis!$Q$4,Dados!$A434,"m")),0))=0,0,((Imóveis!$N$4/Imóveis!$S$4)+((Imóveis!$N$4-((Imóveis!$S$4-(IF(AND(Dados!$A434&gt;=Imóveis!$Q$4,Dados!$A434&lt;=Imóveis!$T$4),Imóveis!$S$4-(DATEDIF(Imóveis!$Q$4,Dados!$A434,"m")),)))*(Imóveis!$N$4/Imóveis!$S$4)))*Imóveis!$P$4))))*IF(AND(Imóveis!$E$4&gt;0,Dados!$A434&gt;Imóveis!$E$4),0,1)</f>
        <v>0</v>
      </c>
      <c r="L434" s="18">
        <f>IF(Imóveis!$F$5="PRICE",IF(AND(Dados!$A434&gt;=Imóveis!$Q$5,Dados!$A434&lt;=Imóveis!$T$5),Imóveis!$U$5,0),IF((IF(AND(Dados!$A434&gt;=Imóveis!$Q$5,Dados!$A434&lt;=Imóveis!$T$5),Imóveis!$S$5-(DATEDIF(Imóveis!$Q$5,Dados!$A434,"m")),0))=0,0,((Imóveis!$N$5/Imóveis!$S$5)+((Imóveis!$N$5-((Imóveis!$S$5-(IF(AND(Dados!$A434 &gt;=Imóveis!$Q$5,Dados!$A434&lt;=Imóveis!$T$5),Imóveis!$S$5-(DATEDIF(Imóveis!$Q$5,Dados!$A434,"m")),)))*(Imóveis!$N$5/Imóveis!$S$5)))*Imóveis!$P$5))))*IF(AND(Imóveis!$E$5&gt;0,Dados!$A434&gt;Imóveis!$E$5),0,1)*Imóveis!$I$5</f>
        <v>0</v>
      </c>
      <c r="M434" s="18">
        <f>IF(Imóveis!$F$6="PRICE",IF(AND(Dados!$A434&gt;=Imóveis!$Q$6,Dados!$A434&lt;=Imóveis!$T$6),Imóveis!$U$6,0),IF((IF(AND(Dados!$A434&gt;=Imóveis!$Q$6,Dados!$A434&lt;=Imóveis!$T$6),Imóveis!$S$6-(DATEDIF(Imóveis!$Q$6,Dados!$A434,"m")),0))=0,0,((Imóveis!$N$6/Imóveis!$S$6)+((Imóveis!$N$6-((Imóveis!$S$6-(IF(AND(Dados!$A434&gt;=Imóveis!$Q$6,Dados!$A434&lt;=Imóveis!$T$6),Imóveis!$S$6-(DATEDIF(Imóveis!$Q$6,Dados!$A434,"m")),)))*(Imóveis!$N$6/Imóveis!$S$6)))*Imóveis!$P$6))))*IF(AND(Imóveis!$E$6&gt;0,Dados!$A434&gt;Imóveis!$E$6),0,1)*Imóveis!$I$6</f>
        <v>0</v>
      </c>
      <c r="N434" s="18">
        <f t="shared" si="53"/>
        <v>37000</v>
      </c>
      <c r="O434" s="18">
        <f>SUMIFS(Receitas!$F:$F,Receitas!$J:$J,"&lt;="&amp;$A434,Receitas!$L:$L,"&gt;="&amp;$A434,Receitas!$C:$C,O$1,Receitas!$M:$M,"Mensal")+SUMIFS(Receitas!$F:$F,Receitas!$J:$J,"&lt;="&amp;$A434,Receitas!$L:$L,"&gt;="&amp;$A434,Receitas!$C:$C,O$1,Receitas!$M:$M,$B434)</f>
        <v>0</v>
      </c>
      <c r="P434" s="18">
        <f>SUMIFS(Receitas!$F:$F,Receitas!$J:$J,"&lt;="&amp;$A434,Receitas!$L:$L,"&gt;="&amp;$A434,Receitas!$C:$C,P$1,Receitas!$M:$M,"Mensal")+SUMIFS(Receitas!$F:$F,Receitas!$J:$J,"&lt;="&amp;$A434,Receitas!$L:$L,"&gt;="&amp;$A434,Receitas!$C:$C,P$1,Receitas!$M:$M,$B434)</f>
        <v>0</v>
      </c>
      <c r="Q434" s="18">
        <f>SUMIFS(Receitas!$F:$F,Receitas!$J:$J,"&lt;="&amp;$A434,Receitas!$L:$L,"&gt;="&amp;$A434,Receitas!$C:$C,Q$1,Receitas!$M:$M,"Mensal")+SUMIFS(Receitas!$F:$F,Receitas!$J:$J,"&lt;="&amp;$A434,Receitas!$L:$L,"&gt;="&amp;$A434,Receitas!$C:$C,Q$1,Receitas!$M:$M,$B434)</f>
        <v>0</v>
      </c>
      <c r="R434" s="18" cm="1">
        <f t="array" ref="R434">(IF(AND(Membros!$F$2="Sim",A434&lt;=MAX(Membros!$E$2:$E$5)),Membros!K$2,IF(AND(A434&gt;=Membros!J$2,A434&lt;=MAX(Membros!$E$2:$E$5)),Membros!K$2,0))+IF(AND(Membros!$F$3="Sim",A434&lt;=MAX(Membros!$E$2:$E$5)),Membros!K$3,IF(AND(A434&gt;=Membros!J$3,A434&lt;=MAX(Membros!$E$2:$E$5)),Membros!K$3,0)))*IF(AND(COUNTIFS(Tabela3[Tipo],"Provedor",Tabela3[Simulação Seguro],"Sim")=2,A434&gt;=MAX(IF(Tabela3[Tipo]="Dependente",Tabela3[Expectativa de Vida (Data)]))),0,1)</f>
        <v>10000</v>
      </c>
      <c r="S434" s="18">
        <f t="shared" si="54"/>
        <v>10000</v>
      </c>
      <c r="U434" s="18">
        <f t="shared" ca="1" si="57"/>
        <v>27682645.000941027</v>
      </c>
      <c r="V434" s="18">
        <f>SUMIF(Imóveis!E:E,Dados!A:A,Imóveis!Z:Z)-SUMIF(Imóveis!E:E,Dados!A:A,Imóveis!Y:Y)</f>
        <v>0</v>
      </c>
      <c r="W434" s="18">
        <f>-SUMIF(Projetos!N:N,A434,Projetos!F:F)</f>
        <v>0</v>
      </c>
      <c r="X434" s="18">
        <f t="shared" si="51"/>
        <v>-27000</v>
      </c>
      <c r="Y434" s="26">
        <f ca="1">(U434*((Indicadores_Economicos!D$2+1)^(1/12)-1))</f>
        <v>90625.776216070546</v>
      </c>
      <c r="Z434" s="18">
        <f t="shared" ca="1" si="55"/>
        <v>27746270.777157098</v>
      </c>
      <c r="AA434" s="18">
        <f ca="1">Auxiliar_Projetos!E434</f>
        <v>1.6047073296196405E-9</v>
      </c>
      <c r="AB434" s="18">
        <f ca="1">Auxiliar_Projetos!K434</f>
        <v>1.2343902535535683E-9</v>
      </c>
      <c r="AC434" s="18">
        <f ca="1">IF(Z434-AA434-AB434&gt;Investimentos!$C$14,Investimentos!$C$14,IF(Z434-AA434-AB434&lt;Investimentos!$C$14,Z434-AA434-AB434,0))</f>
        <v>300000</v>
      </c>
      <c r="AD434" s="18">
        <f t="shared" ca="1" si="56"/>
        <v>27446270.777157098</v>
      </c>
      <c r="AE434" s="18"/>
    </row>
    <row r="435" spans="1:31" x14ac:dyDescent="0.2">
      <c r="A435" s="4">
        <v>58838</v>
      </c>
      <c r="B435" s="5" t="str">
        <f t="shared" si="52"/>
        <v>fevereiro</v>
      </c>
      <c r="C435" s="5" t="str">
        <f t="shared" si="58"/>
        <v>2061</v>
      </c>
      <c r="D435" s="5">
        <f>SUMIFS(Despesas!$F:$F,Despesas!$J:$J,"&lt;="&amp;$A435,Despesas!$L:$L,"&gt;="&amp;$A435,Despesas!$C:$C,D$1,Despesas!$M:$M,"Mensal")+SUMIFS(Despesas!$F:$F,Despesas!$J:$J,"&lt;="&amp;$A435,Despesas!$L:$L,"&gt;="&amp;$A435,Despesas!$C:$C,D$1,Despesas!$M:$M,$B435)</f>
        <v>23000</v>
      </c>
      <c r="E435" s="18">
        <f>SUMIFS(Despesas!$F:$F,Despesas!$J:$J,"&lt;="&amp;$A435,Despesas!$L:$L,"&gt;="&amp;$A435,Despesas!$C:$C,E$1,Despesas!$M:$M,"Mensal")+SUMIFS(Despesas!$F:$F,Despesas!$J:$J,"&lt;="&amp;$A435,Despesas!$L:$L,"&gt;="&amp;$A435,Despesas!$C:$C,E$1,Despesas!$M:$M,$B435)</f>
        <v>0</v>
      </c>
      <c r="F435" s="5">
        <f>SUMIFS(Despesas!$F:$F,Despesas!$J:$J,"&lt;="&amp;$A435,Despesas!$L:$L,"&gt;="&amp;$A435,Despesas!$C:$C,F$1,Despesas!$M:$M,"Mensal")+SUMIFS(Despesas!$F:$F,Despesas!$J:$J,"&lt;="&amp;$A435,Despesas!$L:$L,"&gt;="&amp;$A435,Despesas!$C:$C,F$1,Despesas!$M:$M,$B435)</f>
        <v>13000</v>
      </c>
      <c r="G435" s="5">
        <f>SUMIFS(Despesas!$F:$F,Despesas!$J:$J,"&lt;="&amp;$A435,Despesas!$L:$L,"&gt;="&amp;$A435,Despesas!$C:$C,G$1,Despesas!$M:$M,"Mensal")+SUMIFS(Despesas!$F:$F,Despesas!$J:$J,"&lt;="&amp;$A435,Despesas!$L:$L,"&gt;="&amp;$A435,Despesas!$C:$C,G$1,Despesas!$M:$M,$B435)</f>
        <v>0</v>
      </c>
      <c r="H435" s="18">
        <f>SUMIFS(Despesas!$F:$F,Despesas!$J:$J,"&lt;="&amp;$A435,Despesas!$L:$L,"&gt;="&amp;$A435,Despesas!$C:$C,H$1,Despesas!$M:$M,"Mensal")+SUMIFS(Despesas!$F:$F,Despesas!$J:$J,"&lt;="&amp;$A435,Despesas!$L:$L,"&gt;="&amp;$A435,Despesas!$C:$C,H$1,Despesas!$M:$M,$B435)</f>
        <v>2200</v>
      </c>
      <c r="I435" s="18">
        <f>IF(Imóveis!$F$2="PRICE",IF(AND(Dados!$A435&gt;=Imóveis!$Q$2,Dados!$A435&lt;=Imóveis!$T$2),Imóveis!$U$2,0),IF((IF(AND(Dados!$A435&gt;=Imóveis!$Q$2,Dados!$A435&lt;=Imóveis!$T$2),Imóveis!$S$2-(DATEDIF(Imóveis!$Q$2,Dados!$A435,"m")),0))=0,0,((Imóveis!$N$2/Imóveis!$S$2)+((Imóveis!$N$2-((Imóveis!$S$2-(IF(AND(Dados!$A435&gt;=Imóveis!$Q$2,Dados!$A435&lt;=Imóveis!$T$2),Imóveis!$S$2-(DATEDIF(Imóveis!$Q$2,Dados!$A435,"m")),)))*(Imóveis!$N$2/Imóveis!$S$2)))*Imóveis!$P$2))))*IF(AND(Imóveis!$E$2&gt;0,Dados!$A435&gt;Imóveis!$E$2),0,1)</f>
        <v>0</v>
      </c>
      <c r="J435" s="18">
        <f>IF(Imóveis!$F$3="PRICE",IF(AND(Dados!$A435&gt;=Imóveis!$Q$3,Dados!$A435&lt;=Imóveis!$T$3),Imóveis!$U$3,0),IF((IF(AND(Dados!$A435&gt;=Imóveis!$Q$3,Dados!$A435&lt;=Imóveis!$T$3),Imóveis!$S$3-(DATEDIF(Imóveis!$Q$3,Dados!$A435,"m")),0))=0,0,((Imóveis!$N$3/Imóveis!$S$3)+((Imóveis!$N$3-((Imóveis!$S$3-(IF(AND(Dados!$A435&gt;=Imóveis!$Q$3,Dados!$A435&lt;=Imóveis!$T$3),Imóveis!$S$3-(DATEDIF(Imóveis!$Q$3,Dados!$A435,"m")),)))*(Imóveis!$N$3/Imóveis!$S$3)))*Imóveis!$P$3))))*IF(AND(Imóveis!$E$3&gt;0,Dados!$A435&gt;Imóveis!$E$3),0,1)</f>
        <v>0</v>
      </c>
      <c r="K435" s="18">
        <f>IF(Imóveis!$F$4="PRICE",IF(AND(Dados!$A435&gt;=Imóveis!$Q$4,Dados!$A435&lt;=Imóveis!$T$4),Imóveis!$U$4,0),IF((IF(AND(Dados!$A435&gt;=Imóveis!$Q$4,Dados!$A435&lt;=Imóveis!$T$4),Imóveis!$S$4-(DATEDIF(Imóveis!$Q$4,Dados!$A435,"m")),0))=0,0,((Imóveis!$N$4/Imóveis!$S$4)+((Imóveis!$N$4-((Imóveis!$S$4-(IF(AND(Dados!$A435&gt;=Imóveis!$Q$4,Dados!$A435&lt;=Imóveis!$T$4),Imóveis!$S$4-(DATEDIF(Imóveis!$Q$4,Dados!$A435,"m")),)))*(Imóveis!$N$4/Imóveis!$S$4)))*Imóveis!$P$4))))*IF(AND(Imóveis!$E$4&gt;0,Dados!$A435&gt;Imóveis!$E$4),0,1)</f>
        <v>0</v>
      </c>
      <c r="L435" s="18">
        <f>IF(Imóveis!$F$5="PRICE",IF(AND(Dados!$A435&gt;=Imóveis!$Q$5,Dados!$A435&lt;=Imóveis!$T$5),Imóveis!$U$5,0),IF((IF(AND(Dados!$A435&gt;=Imóveis!$Q$5,Dados!$A435&lt;=Imóveis!$T$5),Imóveis!$S$5-(DATEDIF(Imóveis!$Q$5,Dados!$A435,"m")),0))=0,0,((Imóveis!$N$5/Imóveis!$S$5)+((Imóveis!$N$5-((Imóveis!$S$5-(IF(AND(Dados!$A435 &gt;=Imóveis!$Q$5,Dados!$A435&lt;=Imóveis!$T$5),Imóveis!$S$5-(DATEDIF(Imóveis!$Q$5,Dados!$A435,"m")),)))*(Imóveis!$N$5/Imóveis!$S$5)))*Imóveis!$P$5))))*IF(AND(Imóveis!$E$5&gt;0,Dados!$A435&gt;Imóveis!$E$5),0,1)*Imóveis!$I$5</f>
        <v>0</v>
      </c>
      <c r="M435" s="18">
        <f>IF(Imóveis!$F$6="PRICE",IF(AND(Dados!$A435&gt;=Imóveis!$Q$6,Dados!$A435&lt;=Imóveis!$T$6),Imóveis!$U$6,0),IF((IF(AND(Dados!$A435&gt;=Imóveis!$Q$6,Dados!$A435&lt;=Imóveis!$T$6),Imóveis!$S$6-(DATEDIF(Imóveis!$Q$6,Dados!$A435,"m")),0))=0,0,((Imóveis!$N$6/Imóveis!$S$6)+((Imóveis!$N$6-((Imóveis!$S$6-(IF(AND(Dados!$A435&gt;=Imóveis!$Q$6,Dados!$A435&lt;=Imóveis!$T$6),Imóveis!$S$6-(DATEDIF(Imóveis!$Q$6,Dados!$A435,"m")),)))*(Imóveis!$N$6/Imóveis!$S$6)))*Imóveis!$P$6))))*IF(AND(Imóveis!$E$6&gt;0,Dados!$A435&gt;Imóveis!$E$6),0,1)*Imóveis!$I$6</f>
        <v>0</v>
      </c>
      <c r="N435" s="18">
        <f t="shared" si="53"/>
        <v>38200</v>
      </c>
      <c r="O435" s="18">
        <f>SUMIFS(Receitas!$F:$F,Receitas!$J:$J,"&lt;="&amp;$A435,Receitas!$L:$L,"&gt;="&amp;$A435,Receitas!$C:$C,O$1,Receitas!$M:$M,"Mensal")+SUMIFS(Receitas!$F:$F,Receitas!$J:$J,"&lt;="&amp;$A435,Receitas!$L:$L,"&gt;="&amp;$A435,Receitas!$C:$C,O$1,Receitas!$M:$M,$B435)</f>
        <v>0</v>
      </c>
      <c r="P435" s="18">
        <f>SUMIFS(Receitas!$F:$F,Receitas!$J:$J,"&lt;="&amp;$A435,Receitas!$L:$L,"&gt;="&amp;$A435,Receitas!$C:$C,P$1,Receitas!$M:$M,"Mensal")+SUMIFS(Receitas!$F:$F,Receitas!$J:$J,"&lt;="&amp;$A435,Receitas!$L:$L,"&gt;="&amp;$A435,Receitas!$C:$C,P$1,Receitas!$M:$M,$B435)</f>
        <v>0</v>
      </c>
      <c r="Q435" s="18">
        <f>SUMIFS(Receitas!$F:$F,Receitas!$J:$J,"&lt;="&amp;$A435,Receitas!$L:$L,"&gt;="&amp;$A435,Receitas!$C:$C,Q$1,Receitas!$M:$M,"Mensal")+SUMIFS(Receitas!$F:$F,Receitas!$J:$J,"&lt;="&amp;$A435,Receitas!$L:$L,"&gt;="&amp;$A435,Receitas!$C:$C,Q$1,Receitas!$M:$M,$B435)</f>
        <v>0</v>
      </c>
      <c r="R435" s="18" cm="1">
        <f t="array" ref="R435">(IF(AND(Membros!$F$2="Sim",A435&lt;=MAX(Membros!$E$2:$E$5)),Membros!K$2,IF(AND(A435&gt;=Membros!J$2,A435&lt;=MAX(Membros!$E$2:$E$5)),Membros!K$2,0))+IF(AND(Membros!$F$3="Sim",A435&lt;=MAX(Membros!$E$2:$E$5)),Membros!K$3,IF(AND(A435&gt;=Membros!J$3,A435&lt;=MAX(Membros!$E$2:$E$5)),Membros!K$3,0)))*IF(AND(COUNTIFS(Tabela3[Tipo],"Provedor",Tabela3[Simulação Seguro],"Sim")=2,A435&gt;=MAX(IF(Tabela3[Tipo]="Dependente",Tabela3[Expectativa de Vida (Data)]))),0,1)</f>
        <v>10000</v>
      </c>
      <c r="S435" s="18">
        <f t="shared" si="54"/>
        <v>10000</v>
      </c>
      <c r="U435" s="18">
        <f t="shared" ca="1" si="57"/>
        <v>27746270.777157098</v>
      </c>
      <c r="V435" s="18">
        <f>SUMIF(Imóveis!E:E,Dados!A:A,Imóveis!Z:Z)-SUMIF(Imóveis!E:E,Dados!A:A,Imóveis!Y:Y)</f>
        <v>0</v>
      </c>
      <c r="W435" s="18">
        <f>-SUMIF(Projetos!N:N,A435,Projetos!F:F)</f>
        <v>0</v>
      </c>
      <c r="X435" s="18">
        <f t="shared" si="51"/>
        <v>-28200</v>
      </c>
      <c r="Y435" s="26">
        <f ca="1">(U435*((Indicadores_Economicos!D$2+1)^(1/12)-1))</f>
        <v>90834.070450842381</v>
      </c>
      <c r="Z435" s="18">
        <f t="shared" ca="1" si="55"/>
        <v>27808904.84760794</v>
      </c>
      <c r="AA435" s="18">
        <f ca="1">Auxiliar_Projetos!E435</f>
        <v>1.6099607238434025E-9</v>
      </c>
      <c r="AB435" s="18">
        <f ca="1">Auxiliar_Projetos!K435</f>
        <v>1.2384313260333852E-9</v>
      </c>
      <c r="AC435" s="18">
        <f ca="1">IF(Z435-AA435-AB435&gt;Investimentos!$C$14,Investimentos!$C$14,IF(Z435-AA435-AB435&lt;Investimentos!$C$14,Z435-AA435-AB435,0))</f>
        <v>300000</v>
      </c>
      <c r="AD435" s="18">
        <f t="shared" ca="1" si="56"/>
        <v>27508904.84760794</v>
      </c>
      <c r="AE435" s="18"/>
    </row>
    <row r="436" spans="1:31" x14ac:dyDescent="0.2">
      <c r="A436" s="4">
        <v>58866</v>
      </c>
      <c r="B436" s="5" t="str">
        <f t="shared" si="52"/>
        <v>março</v>
      </c>
      <c r="C436" s="5" t="str">
        <f t="shared" si="58"/>
        <v>2061</v>
      </c>
      <c r="D436" s="5">
        <f>SUMIFS(Despesas!$F:$F,Despesas!$J:$J,"&lt;="&amp;$A436,Despesas!$L:$L,"&gt;="&amp;$A436,Despesas!$C:$C,D$1,Despesas!$M:$M,"Mensal")+SUMIFS(Despesas!$F:$F,Despesas!$J:$J,"&lt;="&amp;$A436,Despesas!$L:$L,"&gt;="&amp;$A436,Despesas!$C:$C,D$1,Despesas!$M:$M,$B436)</f>
        <v>23000</v>
      </c>
      <c r="E436" s="18">
        <f>SUMIFS(Despesas!$F:$F,Despesas!$J:$J,"&lt;="&amp;$A436,Despesas!$L:$L,"&gt;="&amp;$A436,Despesas!$C:$C,E$1,Despesas!$M:$M,"Mensal")+SUMIFS(Despesas!$F:$F,Despesas!$J:$J,"&lt;="&amp;$A436,Despesas!$L:$L,"&gt;="&amp;$A436,Despesas!$C:$C,E$1,Despesas!$M:$M,$B436)</f>
        <v>0</v>
      </c>
      <c r="F436" s="5">
        <f>SUMIFS(Despesas!$F:$F,Despesas!$J:$J,"&lt;="&amp;$A436,Despesas!$L:$L,"&gt;="&amp;$A436,Despesas!$C:$C,F$1,Despesas!$M:$M,"Mensal")+SUMIFS(Despesas!$F:$F,Despesas!$J:$J,"&lt;="&amp;$A436,Despesas!$L:$L,"&gt;="&amp;$A436,Despesas!$C:$C,F$1,Despesas!$M:$M,$B436)</f>
        <v>13000</v>
      </c>
      <c r="G436" s="5">
        <f>SUMIFS(Despesas!$F:$F,Despesas!$J:$J,"&lt;="&amp;$A436,Despesas!$L:$L,"&gt;="&amp;$A436,Despesas!$C:$C,G$1,Despesas!$M:$M,"Mensal")+SUMIFS(Despesas!$F:$F,Despesas!$J:$J,"&lt;="&amp;$A436,Despesas!$L:$L,"&gt;="&amp;$A436,Despesas!$C:$C,G$1,Despesas!$M:$M,$B436)</f>
        <v>0</v>
      </c>
      <c r="H436" s="18">
        <f>SUMIFS(Despesas!$F:$F,Despesas!$J:$J,"&lt;="&amp;$A436,Despesas!$L:$L,"&gt;="&amp;$A436,Despesas!$C:$C,H$1,Despesas!$M:$M,"Mensal")+SUMIFS(Despesas!$F:$F,Despesas!$J:$J,"&lt;="&amp;$A436,Despesas!$L:$L,"&gt;="&amp;$A436,Despesas!$C:$C,H$1,Despesas!$M:$M,$B436)</f>
        <v>1000</v>
      </c>
      <c r="I436" s="18">
        <f>IF(Imóveis!$F$2="PRICE",IF(AND(Dados!$A436&gt;=Imóveis!$Q$2,Dados!$A436&lt;=Imóveis!$T$2),Imóveis!$U$2,0),IF((IF(AND(Dados!$A436&gt;=Imóveis!$Q$2,Dados!$A436&lt;=Imóveis!$T$2),Imóveis!$S$2-(DATEDIF(Imóveis!$Q$2,Dados!$A436,"m")),0))=0,0,((Imóveis!$N$2/Imóveis!$S$2)+((Imóveis!$N$2-((Imóveis!$S$2-(IF(AND(Dados!$A436&gt;=Imóveis!$Q$2,Dados!$A436&lt;=Imóveis!$T$2),Imóveis!$S$2-(DATEDIF(Imóveis!$Q$2,Dados!$A436,"m")),)))*(Imóveis!$N$2/Imóveis!$S$2)))*Imóveis!$P$2))))*IF(AND(Imóveis!$E$2&gt;0,Dados!$A436&gt;Imóveis!$E$2),0,1)</f>
        <v>0</v>
      </c>
      <c r="J436" s="18">
        <f>IF(Imóveis!$F$3="PRICE",IF(AND(Dados!$A436&gt;=Imóveis!$Q$3,Dados!$A436&lt;=Imóveis!$T$3),Imóveis!$U$3,0),IF((IF(AND(Dados!$A436&gt;=Imóveis!$Q$3,Dados!$A436&lt;=Imóveis!$T$3),Imóveis!$S$3-(DATEDIF(Imóveis!$Q$3,Dados!$A436,"m")),0))=0,0,((Imóveis!$N$3/Imóveis!$S$3)+((Imóveis!$N$3-((Imóveis!$S$3-(IF(AND(Dados!$A436&gt;=Imóveis!$Q$3,Dados!$A436&lt;=Imóveis!$T$3),Imóveis!$S$3-(DATEDIF(Imóveis!$Q$3,Dados!$A436,"m")),)))*(Imóveis!$N$3/Imóveis!$S$3)))*Imóveis!$P$3))))*IF(AND(Imóveis!$E$3&gt;0,Dados!$A436&gt;Imóveis!$E$3),0,1)</f>
        <v>0</v>
      </c>
      <c r="K436" s="18">
        <f>IF(Imóveis!$F$4="PRICE",IF(AND(Dados!$A436&gt;=Imóveis!$Q$4,Dados!$A436&lt;=Imóveis!$T$4),Imóveis!$U$4,0),IF((IF(AND(Dados!$A436&gt;=Imóveis!$Q$4,Dados!$A436&lt;=Imóveis!$T$4),Imóveis!$S$4-(DATEDIF(Imóveis!$Q$4,Dados!$A436,"m")),0))=0,0,((Imóveis!$N$4/Imóveis!$S$4)+((Imóveis!$N$4-((Imóveis!$S$4-(IF(AND(Dados!$A436&gt;=Imóveis!$Q$4,Dados!$A436&lt;=Imóveis!$T$4),Imóveis!$S$4-(DATEDIF(Imóveis!$Q$4,Dados!$A436,"m")),)))*(Imóveis!$N$4/Imóveis!$S$4)))*Imóveis!$P$4))))*IF(AND(Imóveis!$E$4&gt;0,Dados!$A436&gt;Imóveis!$E$4),0,1)</f>
        <v>0</v>
      </c>
      <c r="L436" s="18">
        <f>IF(Imóveis!$F$5="PRICE",IF(AND(Dados!$A436&gt;=Imóveis!$Q$5,Dados!$A436&lt;=Imóveis!$T$5),Imóveis!$U$5,0),IF((IF(AND(Dados!$A436&gt;=Imóveis!$Q$5,Dados!$A436&lt;=Imóveis!$T$5),Imóveis!$S$5-(DATEDIF(Imóveis!$Q$5,Dados!$A436,"m")),0))=0,0,((Imóveis!$N$5/Imóveis!$S$5)+((Imóveis!$N$5-((Imóveis!$S$5-(IF(AND(Dados!$A436 &gt;=Imóveis!$Q$5,Dados!$A436&lt;=Imóveis!$T$5),Imóveis!$S$5-(DATEDIF(Imóveis!$Q$5,Dados!$A436,"m")),)))*(Imóveis!$N$5/Imóveis!$S$5)))*Imóveis!$P$5))))*IF(AND(Imóveis!$E$5&gt;0,Dados!$A436&gt;Imóveis!$E$5),0,1)*Imóveis!$I$5</f>
        <v>0</v>
      </c>
      <c r="M436" s="18">
        <f>IF(Imóveis!$F$6="PRICE",IF(AND(Dados!$A436&gt;=Imóveis!$Q$6,Dados!$A436&lt;=Imóveis!$T$6),Imóveis!$U$6,0),IF((IF(AND(Dados!$A436&gt;=Imóveis!$Q$6,Dados!$A436&lt;=Imóveis!$T$6),Imóveis!$S$6-(DATEDIF(Imóveis!$Q$6,Dados!$A436,"m")),0))=0,0,((Imóveis!$N$6/Imóveis!$S$6)+((Imóveis!$N$6-((Imóveis!$S$6-(IF(AND(Dados!$A436&gt;=Imóveis!$Q$6,Dados!$A436&lt;=Imóveis!$T$6),Imóveis!$S$6-(DATEDIF(Imóveis!$Q$6,Dados!$A436,"m")),)))*(Imóveis!$N$6/Imóveis!$S$6)))*Imóveis!$P$6))))*IF(AND(Imóveis!$E$6&gt;0,Dados!$A436&gt;Imóveis!$E$6),0,1)*Imóveis!$I$6</f>
        <v>0</v>
      </c>
      <c r="N436" s="18">
        <f t="shared" si="53"/>
        <v>37000</v>
      </c>
      <c r="O436" s="18">
        <f>SUMIFS(Receitas!$F:$F,Receitas!$J:$J,"&lt;="&amp;$A436,Receitas!$L:$L,"&gt;="&amp;$A436,Receitas!$C:$C,O$1,Receitas!$M:$M,"Mensal")+SUMIFS(Receitas!$F:$F,Receitas!$J:$J,"&lt;="&amp;$A436,Receitas!$L:$L,"&gt;="&amp;$A436,Receitas!$C:$C,O$1,Receitas!$M:$M,$B436)</f>
        <v>0</v>
      </c>
      <c r="P436" s="18">
        <f>SUMIFS(Receitas!$F:$F,Receitas!$J:$J,"&lt;="&amp;$A436,Receitas!$L:$L,"&gt;="&amp;$A436,Receitas!$C:$C,P$1,Receitas!$M:$M,"Mensal")+SUMIFS(Receitas!$F:$F,Receitas!$J:$J,"&lt;="&amp;$A436,Receitas!$L:$L,"&gt;="&amp;$A436,Receitas!$C:$C,P$1,Receitas!$M:$M,$B436)</f>
        <v>0</v>
      </c>
      <c r="Q436" s="18">
        <f>SUMIFS(Receitas!$F:$F,Receitas!$J:$J,"&lt;="&amp;$A436,Receitas!$L:$L,"&gt;="&amp;$A436,Receitas!$C:$C,Q$1,Receitas!$M:$M,"Mensal")+SUMIFS(Receitas!$F:$F,Receitas!$J:$J,"&lt;="&amp;$A436,Receitas!$L:$L,"&gt;="&amp;$A436,Receitas!$C:$C,Q$1,Receitas!$M:$M,$B436)</f>
        <v>0</v>
      </c>
      <c r="R436" s="18" cm="1">
        <f t="array" ref="R436">(IF(AND(Membros!$F$2="Sim",A436&lt;=MAX(Membros!$E$2:$E$5)),Membros!K$2,IF(AND(A436&gt;=Membros!J$2,A436&lt;=MAX(Membros!$E$2:$E$5)),Membros!K$2,0))+IF(AND(Membros!$F$3="Sim",A436&lt;=MAX(Membros!$E$2:$E$5)),Membros!K$3,IF(AND(A436&gt;=Membros!J$3,A436&lt;=MAX(Membros!$E$2:$E$5)),Membros!K$3,0)))*IF(AND(COUNTIFS(Tabela3[Tipo],"Provedor",Tabela3[Simulação Seguro],"Sim")=2,A436&gt;=MAX(IF(Tabela3[Tipo]="Dependente",Tabela3[Expectativa de Vida (Data)]))),0,1)</f>
        <v>10000</v>
      </c>
      <c r="S436" s="18">
        <f t="shared" si="54"/>
        <v>10000</v>
      </c>
      <c r="U436" s="18">
        <f t="shared" ca="1" si="57"/>
        <v>27808904.84760794</v>
      </c>
      <c r="V436" s="18">
        <f>SUMIF(Imóveis!E:E,Dados!A:A,Imóveis!Z:Z)-SUMIF(Imóveis!E:E,Dados!A:A,Imóveis!Y:Y)</f>
        <v>0</v>
      </c>
      <c r="W436" s="18">
        <f>-SUMIF(Projetos!N:N,A436,Projetos!F:F)</f>
        <v>0</v>
      </c>
      <c r="X436" s="18">
        <f t="shared" si="51"/>
        <v>-27000</v>
      </c>
      <c r="Y436" s="26">
        <f ca="1">(U436*((Indicadores_Economicos!D$2+1)^(1/12)-1))</f>
        <v>91039.118098998355</v>
      </c>
      <c r="Z436" s="18">
        <f t="shared" ca="1" si="55"/>
        <v>27872943.965706937</v>
      </c>
      <c r="AA436" s="18">
        <f ca="1">Auxiliar_Projetos!E436</f>
        <v>1.6152313163128264E-9</v>
      </c>
      <c r="AB436" s="18">
        <f ca="1">Auxiliar_Projetos!K436</f>
        <v>1.2424856279329421E-9</v>
      </c>
      <c r="AC436" s="18">
        <f ca="1">IF(Z436-AA436-AB436&gt;Investimentos!$C$14,Investimentos!$C$14,IF(Z436-AA436-AB436&lt;Investimentos!$C$14,Z436-AA436-AB436,0))</f>
        <v>300000</v>
      </c>
      <c r="AD436" s="18">
        <f t="shared" ca="1" si="56"/>
        <v>27572943.965706937</v>
      </c>
      <c r="AE436" s="18"/>
    </row>
    <row r="437" spans="1:31" x14ac:dyDescent="0.2">
      <c r="A437" s="4">
        <v>58897</v>
      </c>
      <c r="B437" s="5" t="str">
        <f t="shared" si="52"/>
        <v>abril</v>
      </c>
      <c r="C437" s="5" t="str">
        <f t="shared" si="58"/>
        <v>2061</v>
      </c>
      <c r="D437" s="5">
        <f>SUMIFS(Despesas!$F:$F,Despesas!$J:$J,"&lt;="&amp;$A437,Despesas!$L:$L,"&gt;="&amp;$A437,Despesas!$C:$C,D$1,Despesas!$M:$M,"Mensal")+SUMIFS(Despesas!$F:$F,Despesas!$J:$J,"&lt;="&amp;$A437,Despesas!$L:$L,"&gt;="&amp;$A437,Despesas!$C:$C,D$1,Despesas!$M:$M,$B437)</f>
        <v>23000</v>
      </c>
      <c r="E437" s="18">
        <f>SUMIFS(Despesas!$F:$F,Despesas!$J:$J,"&lt;="&amp;$A437,Despesas!$L:$L,"&gt;="&amp;$A437,Despesas!$C:$C,E$1,Despesas!$M:$M,"Mensal")+SUMIFS(Despesas!$F:$F,Despesas!$J:$J,"&lt;="&amp;$A437,Despesas!$L:$L,"&gt;="&amp;$A437,Despesas!$C:$C,E$1,Despesas!$M:$M,$B437)</f>
        <v>0</v>
      </c>
      <c r="F437" s="5">
        <f>SUMIFS(Despesas!$F:$F,Despesas!$J:$J,"&lt;="&amp;$A437,Despesas!$L:$L,"&gt;="&amp;$A437,Despesas!$C:$C,F$1,Despesas!$M:$M,"Mensal")+SUMIFS(Despesas!$F:$F,Despesas!$J:$J,"&lt;="&amp;$A437,Despesas!$L:$L,"&gt;="&amp;$A437,Despesas!$C:$C,F$1,Despesas!$M:$M,$B437)</f>
        <v>13000</v>
      </c>
      <c r="G437" s="5">
        <f>SUMIFS(Despesas!$F:$F,Despesas!$J:$J,"&lt;="&amp;$A437,Despesas!$L:$L,"&gt;="&amp;$A437,Despesas!$C:$C,G$1,Despesas!$M:$M,"Mensal")+SUMIFS(Despesas!$F:$F,Despesas!$J:$J,"&lt;="&amp;$A437,Despesas!$L:$L,"&gt;="&amp;$A437,Despesas!$C:$C,G$1,Despesas!$M:$M,$B437)</f>
        <v>0</v>
      </c>
      <c r="H437" s="18">
        <f>SUMIFS(Despesas!$F:$F,Despesas!$J:$J,"&lt;="&amp;$A437,Despesas!$L:$L,"&gt;="&amp;$A437,Despesas!$C:$C,H$1,Despesas!$M:$M,"Mensal")+SUMIFS(Despesas!$F:$F,Despesas!$J:$J,"&lt;="&amp;$A437,Despesas!$L:$L,"&gt;="&amp;$A437,Despesas!$C:$C,H$1,Despesas!$M:$M,$B437)</f>
        <v>1000</v>
      </c>
      <c r="I437" s="18">
        <f>IF(Imóveis!$F$2="PRICE",IF(AND(Dados!$A437&gt;=Imóveis!$Q$2,Dados!$A437&lt;=Imóveis!$T$2),Imóveis!$U$2,0),IF((IF(AND(Dados!$A437&gt;=Imóveis!$Q$2,Dados!$A437&lt;=Imóveis!$T$2),Imóveis!$S$2-(DATEDIF(Imóveis!$Q$2,Dados!$A437,"m")),0))=0,0,((Imóveis!$N$2/Imóveis!$S$2)+((Imóveis!$N$2-((Imóveis!$S$2-(IF(AND(Dados!$A437&gt;=Imóveis!$Q$2,Dados!$A437&lt;=Imóveis!$T$2),Imóveis!$S$2-(DATEDIF(Imóveis!$Q$2,Dados!$A437,"m")),)))*(Imóveis!$N$2/Imóveis!$S$2)))*Imóveis!$P$2))))*IF(AND(Imóveis!$E$2&gt;0,Dados!$A437&gt;Imóveis!$E$2),0,1)</f>
        <v>0</v>
      </c>
      <c r="J437" s="18">
        <f>IF(Imóveis!$F$3="PRICE",IF(AND(Dados!$A437&gt;=Imóveis!$Q$3,Dados!$A437&lt;=Imóveis!$T$3),Imóveis!$U$3,0),IF((IF(AND(Dados!$A437&gt;=Imóveis!$Q$3,Dados!$A437&lt;=Imóveis!$T$3),Imóveis!$S$3-(DATEDIF(Imóveis!$Q$3,Dados!$A437,"m")),0))=0,0,((Imóveis!$N$3/Imóveis!$S$3)+((Imóveis!$N$3-((Imóveis!$S$3-(IF(AND(Dados!$A437&gt;=Imóveis!$Q$3,Dados!$A437&lt;=Imóveis!$T$3),Imóveis!$S$3-(DATEDIF(Imóveis!$Q$3,Dados!$A437,"m")),)))*(Imóveis!$N$3/Imóveis!$S$3)))*Imóveis!$P$3))))*IF(AND(Imóveis!$E$3&gt;0,Dados!$A437&gt;Imóveis!$E$3),0,1)</f>
        <v>0</v>
      </c>
      <c r="K437" s="18">
        <f>IF(Imóveis!$F$4="PRICE",IF(AND(Dados!$A437&gt;=Imóveis!$Q$4,Dados!$A437&lt;=Imóveis!$T$4),Imóveis!$U$4,0),IF((IF(AND(Dados!$A437&gt;=Imóveis!$Q$4,Dados!$A437&lt;=Imóveis!$T$4),Imóveis!$S$4-(DATEDIF(Imóveis!$Q$4,Dados!$A437,"m")),0))=0,0,((Imóveis!$N$4/Imóveis!$S$4)+((Imóveis!$N$4-((Imóveis!$S$4-(IF(AND(Dados!$A437&gt;=Imóveis!$Q$4,Dados!$A437&lt;=Imóveis!$T$4),Imóveis!$S$4-(DATEDIF(Imóveis!$Q$4,Dados!$A437,"m")),)))*(Imóveis!$N$4/Imóveis!$S$4)))*Imóveis!$P$4))))*IF(AND(Imóveis!$E$4&gt;0,Dados!$A437&gt;Imóveis!$E$4),0,1)</f>
        <v>0</v>
      </c>
      <c r="L437" s="18">
        <f>IF(Imóveis!$F$5="PRICE",IF(AND(Dados!$A437&gt;=Imóveis!$Q$5,Dados!$A437&lt;=Imóveis!$T$5),Imóveis!$U$5,0),IF((IF(AND(Dados!$A437&gt;=Imóveis!$Q$5,Dados!$A437&lt;=Imóveis!$T$5),Imóveis!$S$5-(DATEDIF(Imóveis!$Q$5,Dados!$A437,"m")),0))=0,0,((Imóveis!$N$5/Imóveis!$S$5)+((Imóveis!$N$5-((Imóveis!$S$5-(IF(AND(Dados!$A437 &gt;=Imóveis!$Q$5,Dados!$A437&lt;=Imóveis!$T$5),Imóveis!$S$5-(DATEDIF(Imóveis!$Q$5,Dados!$A437,"m")),)))*(Imóveis!$N$5/Imóveis!$S$5)))*Imóveis!$P$5))))*IF(AND(Imóveis!$E$5&gt;0,Dados!$A437&gt;Imóveis!$E$5),0,1)*Imóveis!$I$5</f>
        <v>0</v>
      </c>
      <c r="M437" s="18">
        <f>IF(Imóveis!$F$6="PRICE",IF(AND(Dados!$A437&gt;=Imóveis!$Q$6,Dados!$A437&lt;=Imóveis!$T$6),Imóveis!$U$6,0),IF((IF(AND(Dados!$A437&gt;=Imóveis!$Q$6,Dados!$A437&lt;=Imóveis!$T$6),Imóveis!$S$6-(DATEDIF(Imóveis!$Q$6,Dados!$A437,"m")),0))=0,0,((Imóveis!$N$6/Imóveis!$S$6)+((Imóveis!$N$6-((Imóveis!$S$6-(IF(AND(Dados!$A437&gt;=Imóveis!$Q$6,Dados!$A437&lt;=Imóveis!$T$6),Imóveis!$S$6-(DATEDIF(Imóveis!$Q$6,Dados!$A437,"m")),)))*(Imóveis!$N$6/Imóveis!$S$6)))*Imóveis!$P$6))))*IF(AND(Imóveis!$E$6&gt;0,Dados!$A437&gt;Imóveis!$E$6),0,1)*Imóveis!$I$6</f>
        <v>0</v>
      </c>
      <c r="N437" s="18">
        <f t="shared" si="53"/>
        <v>37000</v>
      </c>
      <c r="O437" s="18">
        <f>SUMIFS(Receitas!$F:$F,Receitas!$J:$J,"&lt;="&amp;$A437,Receitas!$L:$L,"&gt;="&amp;$A437,Receitas!$C:$C,O$1,Receitas!$M:$M,"Mensal")+SUMIFS(Receitas!$F:$F,Receitas!$J:$J,"&lt;="&amp;$A437,Receitas!$L:$L,"&gt;="&amp;$A437,Receitas!$C:$C,O$1,Receitas!$M:$M,$B437)</f>
        <v>0</v>
      </c>
      <c r="P437" s="18">
        <f>SUMIFS(Receitas!$F:$F,Receitas!$J:$J,"&lt;="&amp;$A437,Receitas!$L:$L,"&gt;="&amp;$A437,Receitas!$C:$C,P$1,Receitas!$M:$M,"Mensal")+SUMIFS(Receitas!$F:$F,Receitas!$J:$J,"&lt;="&amp;$A437,Receitas!$L:$L,"&gt;="&amp;$A437,Receitas!$C:$C,P$1,Receitas!$M:$M,$B437)</f>
        <v>0</v>
      </c>
      <c r="Q437" s="18">
        <f>SUMIFS(Receitas!$F:$F,Receitas!$J:$J,"&lt;="&amp;$A437,Receitas!$L:$L,"&gt;="&amp;$A437,Receitas!$C:$C,Q$1,Receitas!$M:$M,"Mensal")+SUMIFS(Receitas!$F:$F,Receitas!$J:$J,"&lt;="&amp;$A437,Receitas!$L:$L,"&gt;="&amp;$A437,Receitas!$C:$C,Q$1,Receitas!$M:$M,$B437)</f>
        <v>0</v>
      </c>
      <c r="R437" s="18" cm="1">
        <f t="array" ref="R437">(IF(AND(Membros!$F$2="Sim",A437&lt;=MAX(Membros!$E$2:$E$5)),Membros!K$2,IF(AND(A437&gt;=Membros!J$2,A437&lt;=MAX(Membros!$E$2:$E$5)),Membros!K$2,0))+IF(AND(Membros!$F$3="Sim",A437&lt;=MAX(Membros!$E$2:$E$5)),Membros!K$3,IF(AND(A437&gt;=Membros!J$3,A437&lt;=MAX(Membros!$E$2:$E$5)),Membros!K$3,0)))*IF(AND(COUNTIFS(Tabela3[Tipo],"Provedor",Tabela3[Simulação Seguro],"Sim")=2,A437&gt;=MAX(IF(Tabela3[Tipo]="Dependente",Tabela3[Expectativa de Vida (Data)]))),0,1)</f>
        <v>10000</v>
      </c>
      <c r="S437" s="18">
        <f t="shared" si="54"/>
        <v>10000</v>
      </c>
      <c r="U437" s="18">
        <f t="shared" ca="1" si="57"/>
        <v>27872943.965706937</v>
      </c>
      <c r="V437" s="18">
        <f>SUMIF(Imóveis!E:E,Dados!A:A,Imóveis!Z:Z)-SUMIF(Imóveis!E:E,Dados!A:A,Imóveis!Y:Y)</f>
        <v>0</v>
      </c>
      <c r="W437" s="18">
        <f>-SUMIF(Projetos!N:N,A437,Projetos!F:F)</f>
        <v>0</v>
      </c>
      <c r="X437" s="18">
        <f t="shared" si="51"/>
        <v>-27000</v>
      </c>
      <c r="Y437" s="26">
        <f ca="1">(U437*((Indicadores_Economicos!D$2+1)^(1/12)-1))</f>
        <v>91248.76550753598</v>
      </c>
      <c r="Z437" s="18">
        <f t="shared" ca="1" si="55"/>
        <v>27937192.731214471</v>
      </c>
      <c r="AA437" s="18">
        <f ca="1">Auxiliar_Projetos!E437</f>
        <v>1.6205191633304933E-9</v>
      </c>
      <c r="AB437" s="18">
        <f ca="1">Auxiliar_Projetos!K437</f>
        <v>1.2465532025619167E-9</v>
      </c>
      <c r="AC437" s="18">
        <f ca="1">IF(Z437-AA437-AB437&gt;Investimentos!$C$14,Investimentos!$C$14,IF(Z437-AA437-AB437&lt;Investimentos!$C$14,Z437-AA437-AB437,0))</f>
        <v>300000</v>
      </c>
      <c r="AD437" s="18">
        <f t="shared" ca="1" si="56"/>
        <v>27637192.731214471</v>
      </c>
      <c r="AE437" s="18"/>
    </row>
    <row r="438" spans="1:31" x14ac:dyDescent="0.2">
      <c r="A438" s="4">
        <v>58927</v>
      </c>
      <c r="B438" s="5" t="str">
        <f t="shared" si="52"/>
        <v>maio</v>
      </c>
      <c r="C438" s="5" t="str">
        <f t="shared" si="58"/>
        <v>2061</v>
      </c>
      <c r="D438" s="5">
        <f>SUMIFS(Despesas!$F:$F,Despesas!$J:$J,"&lt;="&amp;$A438,Despesas!$L:$L,"&gt;="&amp;$A438,Despesas!$C:$C,D$1,Despesas!$M:$M,"Mensal")+SUMIFS(Despesas!$F:$F,Despesas!$J:$J,"&lt;="&amp;$A438,Despesas!$L:$L,"&gt;="&amp;$A438,Despesas!$C:$C,D$1,Despesas!$M:$M,$B438)</f>
        <v>23000</v>
      </c>
      <c r="E438" s="18">
        <f>SUMIFS(Despesas!$F:$F,Despesas!$J:$J,"&lt;="&amp;$A438,Despesas!$L:$L,"&gt;="&amp;$A438,Despesas!$C:$C,E$1,Despesas!$M:$M,"Mensal")+SUMIFS(Despesas!$F:$F,Despesas!$J:$J,"&lt;="&amp;$A438,Despesas!$L:$L,"&gt;="&amp;$A438,Despesas!$C:$C,E$1,Despesas!$M:$M,$B438)</f>
        <v>0</v>
      </c>
      <c r="F438" s="5">
        <f>SUMIFS(Despesas!$F:$F,Despesas!$J:$J,"&lt;="&amp;$A438,Despesas!$L:$L,"&gt;="&amp;$A438,Despesas!$C:$C,F$1,Despesas!$M:$M,"Mensal")+SUMIFS(Despesas!$F:$F,Despesas!$J:$J,"&lt;="&amp;$A438,Despesas!$L:$L,"&gt;="&amp;$A438,Despesas!$C:$C,F$1,Despesas!$M:$M,$B438)</f>
        <v>13000</v>
      </c>
      <c r="G438" s="5">
        <f>SUMIFS(Despesas!$F:$F,Despesas!$J:$J,"&lt;="&amp;$A438,Despesas!$L:$L,"&gt;="&amp;$A438,Despesas!$C:$C,G$1,Despesas!$M:$M,"Mensal")+SUMIFS(Despesas!$F:$F,Despesas!$J:$J,"&lt;="&amp;$A438,Despesas!$L:$L,"&gt;="&amp;$A438,Despesas!$C:$C,G$1,Despesas!$M:$M,$B438)</f>
        <v>0</v>
      </c>
      <c r="H438" s="18">
        <f>SUMIFS(Despesas!$F:$F,Despesas!$J:$J,"&lt;="&amp;$A438,Despesas!$L:$L,"&gt;="&amp;$A438,Despesas!$C:$C,H$1,Despesas!$M:$M,"Mensal")+SUMIFS(Despesas!$F:$F,Despesas!$J:$J,"&lt;="&amp;$A438,Despesas!$L:$L,"&gt;="&amp;$A438,Despesas!$C:$C,H$1,Despesas!$M:$M,$B438)</f>
        <v>1000</v>
      </c>
      <c r="I438" s="18">
        <f>IF(Imóveis!$F$2="PRICE",IF(AND(Dados!$A438&gt;=Imóveis!$Q$2,Dados!$A438&lt;=Imóveis!$T$2),Imóveis!$U$2,0),IF((IF(AND(Dados!$A438&gt;=Imóveis!$Q$2,Dados!$A438&lt;=Imóveis!$T$2),Imóveis!$S$2-(DATEDIF(Imóveis!$Q$2,Dados!$A438,"m")),0))=0,0,((Imóveis!$N$2/Imóveis!$S$2)+((Imóveis!$N$2-((Imóveis!$S$2-(IF(AND(Dados!$A438&gt;=Imóveis!$Q$2,Dados!$A438&lt;=Imóveis!$T$2),Imóveis!$S$2-(DATEDIF(Imóveis!$Q$2,Dados!$A438,"m")),)))*(Imóveis!$N$2/Imóveis!$S$2)))*Imóveis!$P$2))))*IF(AND(Imóveis!$E$2&gt;0,Dados!$A438&gt;Imóveis!$E$2),0,1)</f>
        <v>0</v>
      </c>
      <c r="J438" s="18">
        <f>IF(Imóveis!$F$3="PRICE",IF(AND(Dados!$A438&gt;=Imóveis!$Q$3,Dados!$A438&lt;=Imóveis!$T$3),Imóveis!$U$3,0),IF((IF(AND(Dados!$A438&gt;=Imóveis!$Q$3,Dados!$A438&lt;=Imóveis!$T$3),Imóveis!$S$3-(DATEDIF(Imóveis!$Q$3,Dados!$A438,"m")),0))=0,0,((Imóveis!$N$3/Imóveis!$S$3)+((Imóveis!$N$3-((Imóveis!$S$3-(IF(AND(Dados!$A438&gt;=Imóveis!$Q$3,Dados!$A438&lt;=Imóveis!$T$3),Imóveis!$S$3-(DATEDIF(Imóveis!$Q$3,Dados!$A438,"m")),)))*(Imóveis!$N$3/Imóveis!$S$3)))*Imóveis!$P$3))))*IF(AND(Imóveis!$E$3&gt;0,Dados!$A438&gt;Imóveis!$E$3),0,1)</f>
        <v>0</v>
      </c>
      <c r="K438" s="18">
        <f>IF(Imóveis!$F$4="PRICE",IF(AND(Dados!$A438&gt;=Imóveis!$Q$4,Dados!$A438&lt;=Imóveis!$T$4),Imóveis!$U$4,0),IF((IF(AND(Dados!$A438&gt;=Imóveis!$Q$4,Dados!$A438&lt;=Imóveis!$T$4),Imóveis!$S$4-(DATEDIF(Imóveis!$Q$4,Dados!$A438,"m")),0))=0,0,((Imóveis!$N$4/Imóveis!$S$4)+((Imóveis!$N$4-((Imóveis!$S$4-(IF(AND(Dados!$A438&gt;=Imóveis!$Q$4,Dados!$A438&lt;=Imóveis!$T$4),Imóveis!$S$4-(DATEDIF(Imóveis!$Q$4,Dados!$A438,"m")),)))*(Imóveis!$N$4/Imóveis!$S$4)))*Imóveis!$P$4))))*IF(AND(Imóveis!$E$4&gt;0,Dados!$A438&gt;Imóveis!$E$4),0,1)</f>
        <v>0</v>
      </c>
      <c r="L438" s="18">
        <f>IF(Imóveis!$F$5="PRICE",IF(AND(Dados!$A438&gt;=Imóveis!$Q$5,Dados!$A438&lt;=Imóveis!$T$5),Imóveis!$U$5,0),IF((IF(AND(Dados!$A438&gt;=Imóveis!$Q$5,Dados!$A438&lt;=Imóveis!$T$5),Imóveis!$S$5-(DATEDIF(Imóveis!$Q$5,Dados!$A438,"m")),0))=0,0,((Imóveis!$N$5/Imóveis!$S$5)+((Imóveis!$N$5-((Imóveis!$S$5-(IF(AND(Dados!$A438 &gt;=Imóveis!$Q$5,Dados!$A438&lt;=Imóveis!$T$5),Imóveis!$S$5-(DATEDIF(Imóveis!$Q$5,Dados!$A438,"m")),)))*(Imóveis!$N$5/Imóveis!$S$5)))*Imóveis!$P$5))))*IF(AND(Imóveis!$E$5&gt;0,Dados!$A438&gt;Imóveis!$E$5),0,1)*Imóveis!$I$5</f>
        <v>0</v>
      </c>
      <c r="M438" s="18">
        <f>IF(Imóveis!$F$6="PRICE",IF(AND(Dados!$A438&gt;=Imóveis!$Q$6,Dados!$A438&lt;=Imóveis!$T$6),Imóveis!$U$6,0),IF((IF(AND(Dados!$A438&gt;=Imóveis!$Q$6,Dados!$A438&lt;=Imóveis!$T$6),Imóveis!$S$6-(DATEDIF(Imóveis!$Q$6,Dados!$A438,"m")),0))=0,0,((Imóveis!$N$6/Imóveis!$S$6)+((Imóveis!$N$6-((Imóveis!$S$6-(IF(AND(Dados!$A438&gt;=Imóveis!$Q$6,Dados!$A438&lt;=Imóveis!$T$6),Imóveis!$S$6-(DATEDIF(Imóveis!$Q$6,Dados!$A438,"m")),)))*(Imóveis!$N$6/Imóveis!$S$6)))*Imóveis!$P$6))))*IF(AND(Imóveis!$E$6&gt;0,Dados!$A438&gt;Imóveis!$E$6),0,1)*Imóveis!$I$6</f>
        <v>0</v>
      </c>
      <c r="N438" s="18">
        <f t="shared" si="53"/>
        <v>37000</v>
      </c>
      <c r="O438" s="18">
        <f>SUMIFS(Receitas!$F:$F,Receitas!$J:$J,"&lt;="&amp;$A438,Receitas!$L:$L,"&gt;="&amp;$A438,Receitas!$C:$C,O$1,Receitas!$M:$M,"Mensal")+SUMIFS(Receitas!$F:$F,Receitas!$J:$J,"&lt;="&amp;$A438,Receitas!$L:$L,"&gt;="&amp;$A438,Receitas!$C:$C,O$1,Receitas!$M:$M,$B438)</f>
        <v>0</v>
      </c>
      <c r="P438" s="18">
        <f>SUMIFS(Receitas!$F:$F,Receitas!$J:$J,"&lt;="&amp;$A438,Receitas!$L:$L,"&gt;="&amp;$A438,Receitas!$C:$C,P$1,Receitas!$M:$M,"Mensal")+SUMIFS(Receitas!$F:$F,Receitas!$J:$J,"&lt;="&amp;$A438,Receitas!$L:$L,"&gt;="&amp;$A438,Receitas!$C:$C,P$1,Receitas!$M:$M,$B438)</f>
        <v>0</v>
      </c>
      <c r="Q438" s="18">
        <f>SUMIFS(Receitas!$F:$F,Receitas!$J:$J,"&lt;="&amp;$A438,Receitas!$L:$L,"&gt;="&amp;$A438,Receitas!$C:$C,Q$1,Receitas!$M:$M,"Mensal")+SUMIFS(Receitas!$F:$F,Receitas!$J:$J,"&lt;="&amp;$A438,Receitas!$L:$L,"&gt;="&amp;$A438,Receitas!$C:$C,Q$1,Receitas!$M:$M,$B438)</f>
        <v>0</v>
      </c>
      <c r="R438" s="18" cm="1">
        <f t="array" ref="R438">(IF(AND(Membros!$F$2="Sim",A438&lt;=MAX(Membros!$E$2:$E$5)),Membros!K$2,IF(AND(A438&gt;=Membros!J$2,A438&lt;=MAX(Membros!$E$2:$E$5)),Membros!K$2,0))+IF(AND(Membros!$F$3="Sim",A438&lt;=MAX(Membros!$E$2:$E$5)),Membros!K$3,IF(AND(A438&gt;=Membros!J$3,A438&lt;=MAX(Membros!$E$2:$E$5)),Membros!K$3,0)))*IF(AND(COUNTIFS(Tabela3[Tipo],"Provedor",Tabela3[Simulação Seguro],"Sim")=2,A438&gt;=MAX(IF(Tabela3[Tipo]="Dependente",Tabela3[Expectativa de Vida (Data)]))),0,1)</f>
        <v>10000</v>
      </c>
      <c r="S438" s="18">
        <f t="shared" si="54"/>
        <v>10000</v>
      </c>
      <c r="U438" s="18">
        <f t="shared" ca="1" si="57"/>
        <v>27937192.731214471</v>
      </c>
      <c r="V438" s="18">
        <f>SUMIF(Imóveis!E:E,Dados!A:A,Imóveis!Z:Z)-SUMIF(Imóveis!E:E,Dados!A:A,Imóveis!Y:Y)</f>
        <v>0</v>
      </c>
      <c r="W438" s="18">
        <f>-SUMIF(Projetos!N:N,A438,Projetos!F:F)</f>
        <v>0</v>
      </c>
      <c r="X438" s="18">
        <f t="shared" si="51"/>
        <v>-27000</v>
      </c>
      <c r="Y438" s="26">
        <f ca="1">(U438*((Indicadores_Economicos!D$2+1)^(1/12)-1))</f>
        <v>91459.099247135164</v>
      </c>
      <c r="Z438" s="18">
        <f t="shared" ca="1" si="55"/>
        <v>28001651.830461606</v>
      </c>
      <c r="AA438" s="18">
        <f ca="1">Auxiliar_Projetos!E438</f>
        <v>1.6258243213833039E-9</v>
      </c>
      <c r="AB438" s="18">
        <f ca="1">Auxiliar_Projetos!K438</f>
        <v>1.2506340933717711E-9</v>
      </c>
      <c r="AC438" s="18">
        <f ca="1">IF(Z438-AA438-AB438&gt;Investimentos!$C$14,Investimentos!$C$14,IF(Z438-AA438-AB438&lt;Investimentos!$C$14,Z438-AA438-AB438,0))</f>
        <v>300000</v>
      </c>
      <c r="AD438" s="18">
        <f t="shared" ca="1" si="56"/>
        <v>27701651.830461606</v>
      </c>
      <c r="AE438" s="18"/>
    </row>
    <row r="439" spans="1:31" x14ac:dyDescent="0.2">
      <c r="A439" s="4">
        <v>58958</v>
      </c>
      <c r="B439" s="5" t="str">
        <f t="shared" si="52"/>
        <v>junho</v>
      </c>
      <c r="C439" s="5" t="str">
        <f t="shared" si="58"/>
        <v>2061</v>
      </c>
      <c r="D439" s="5">
        <f>SUMIFS(Despesas!$F:$F,Despesas!$J:$J,"&lt;="&amp;$A439,Despesas!$L:$L,"&gt;="&amp;$A439,Despesas!$C:$C,D$1,Despesas!$M:$M,"Mensal")+SUMIFS(Despesas!$F:$F,Despesas!$J:$J,"&lt;="&amp;$A439,Despesas!$L:$L,"&gt;="&amp;$A439,Despesas!$C:$C,D$1,Despesas!$M:$M,$B439)</f>
        <v>23000</v>
      </c>
      <c r="E439" s="18">
        <f>SUMIFS(Despesas!$F:$F,Despesas!$J:$J,"&lt;="&amp;$A439,Despesas!$L:$L,"&gt;="&amp;$A439,Despesas!$C:$C,E$1,Despesas!$M:$M,"Mensal")+SUMIFS(Despesas!$F:$F,Despesas!$J:$J,"&lt;="&amp;$A439,Despesas!$L:$L,"&gt;="&amp;$A439,Despesas!$C:$C,E$1,Despesas!$M:$M,$B439)</f>
        <v>0</v>
      </c>
      <c r="F439" s="5">
        <f>SUMIFS(Despesas!$F:$F,Despesas!$J:$J,"&lt;="&amp;$A439,Despesas!$L:$L,"&gt;="&amp;$A439,Despesas!$C:$C,F$1,Despesas!$M:$M,"Mensal")+SUMIFS(Despesas!$F:$F,Despesas!$J:$J,"&lt;="&amp;$A439,Despesas!$L:$L,"&gt;="&amp;$A439,Despesas!$C:$C,F$1,Despesas!$M:$M,$B439)</f>
        <v>13000</v>
      </c>
      <c r="G439" s="5">
        <f>SUMIFS(Despesas!$F:$F,Despesas!$J:$J,"&lt;="&amp;$A439,Despesas!$L:$L,"&gt;="&amp;$A439,Despesas!$C:$C,G$1,Despesas!$M:$M,"Mensal")+SUMIFS(Despesas!$F:$F,Despesas!$J:$J,"&lt;="&amp;$A439,Despesas!$L:$L,"&gt;="&amp;$A439,Despesas!$C:$C,G$1,Despesas!$M:$M,$B439)</f>
        <v>0</v>
      </c>
      <c r="H439" s="18">
        <f>SUMIFS(Despesas!$F:$F,Despesas!$J:$J,"&lt;="&amp;$A439,Despesas!$L:$L,"&gt;="&amp;$A439,Despesas!$C:$C,H$1,Despesas!$M:$M,"Mensal")+SUMIFS(Despesas!$F:$F,Despesas!$J:$J,"&lt;="&amp;$A439,Despesas!$L:$L,"&gt;="&amp;$A439,Despesas!$C:$C,H$1,Despesas!$M:$M,$B439)</f>
        <v>1000</v>
      </c>
      <c r="I439" s="18">
        <f>IF(Imóveis!$F$2="PRICE",IF(AND(Dados!$A439&gt;=Imóveis!$Q$2,Dados!$A439&lt;=Imóveis!$T$2),Imóveis!$U$2,0),IF((IF(AND(Dados!$A439&gt;=Imóveis!$Q$2,Dados!$A439&lt;=Imóveis!$T$2),Imóveis!$S$2-(DATEDIF(Imóveis!$Q$2,Dados!$A439,"m")),0))=0,0,((Imóveis!$N$2/Imóveis!$S$2)+((Imóveis!$N$2-((Imóveis!$S$2-(IF(AND(Dados!$A439&gt;=Imóveis!$Q$2,Dados!$A439&lt;=Imóveis!$T$2),Imóveis!$S$2-(DATEDIF(Imóveis!$Q$2,Dados!$A439,"m")),)))*(Imóveis!$N$2/Imóveis!$S$2)))*Imóveis!$P$2))))*IF(AND(Imóveis!$E$2&gt;0,Dados!$A439&gt;Imóveis!$E$2),0,1)</f>
        <v>0</v>
      </c>
      <c r="J439" s="18">
        <f>IF(Imóveis!$F$3="PRICE",IF(AND(Dados!$A439&gt;=Imóveis!$Q$3,Dados!$A439&lt;=Imóveis!$T$3),Imóveis!$U$3,0),IF((IF(AND(Dados!$A439&gt;=Imóveis!$Q$3,Dados!$A439&lt;=Imóveis!$T$3),Imóveis!$S$3-(DATEDIF(Imóveis!$Q$3,Dados!$A439,"m")),0))=0,0,((Imóveis!$N$3/Imóveis!$S$3)+((Imóveis!$N$3-((Imóveis!$S$3-(IF(AND(Dados!$A439&gt;=Imóveis!$Q$3,Dados!$A439&lt;=Imóveis!$T$3),Imóveis!$S$3-(DATEDIF(Imóveis!$Q$3,Dados!$A439,"m")),)))*(Imóveis!$N$3/Imóveis!$S$3)))*Imóveis!$P$3))))*IF(AND(Imóveis!$E$3&gt;0,Dados!$A439&gt;Imóveis!$E$3),0,1)</f>
        <v>0</v>
      </c>
      <c r="K439" s="18">
        <f>IF(Imóveis!$F$4="PRICE",IF(AND(Dados!$A439&gt;=Imóveis!$Q$4,Dados!$A439&lt;=Imóveis!$T$4),Imóveis!$U$4,0),IF((IF(AND(Dados!$A439&gt;=Imóveis!$Q$4,Dados!$A439&lt;=Imóveis!$T$4),Imóveis!$S$4-(DATEDIF(Imóveis!$Q$4,Dados!$A439,"m")),0))=0,0,((Imóveis!$N$4/Imóveis!$S$4)+((Imóveis!$N$4-((Imóveis!$S$4-(IF(AND(Dados!$A439&gt;=Imóveis!$Q$4,Dados!$A439&lt;=Imóveis!$T$4),Imóveis!$S$4-(DATEDIF(Imóveis!$Q$4,Dados!$A439,"m")),)))*(Imóveis!$N$4/Imóveis!$S$4)))*Imóveis!$P$4))))*IF(AND(Imóveis!$E$4&gt;0,Dados!$A439&gt;Imóveis!$E$4),0,1)</f>
        <v>0</v>
      </c>
      <c r="L439" s="18">
        <f>IF(Imóveis!$F$5="PRICE",IF(AND(Dados!$A439&gt;=Imóveis!$Q$5,Dados!$A439&lt;=Imóveis!$T$5),Imóveis!$U$5,0),IF((IF(AND(Dados!$A439&gt;=Imóveis!$Q$5,Dados!$A439&lt;=Imóveis!$T$5),Imóveis!$S$5-(DATEDIF(Imóveis!$Q$5,Dados!$A439,"m")),0))=0,0,((Imóveis!$N$5/Imóveis!$S$5)+((Imóveis!$N$5-((Imóveis!$S$5-(IF(AND(Dados!$A439 &gt;=Imóveis!$Q$5,Dados!$A439&lt;=Imóveis!$T$5),Imóveis!$S$5-(DATEDIF(Imóveis!$Q$5,Dados!$A439,"m")),)))*(Imóveis!$N$5/Imóveis!$S$5)))*Imóveis!$P$5))))*IF(AND(Imóveis!$E$5&gt;0,Dados!$A439&gt;Imóveis!$E$5),0,1)*Imóveis!$I$5</f>
        <v>0</v>
      </c>
      <c r="M439" s="18">
        <f>IF(Imóveis!$F$6="PRICE",IF(AND(Dados!$A439&gt;=Imóveis!$Q$6,Dados!$A439&lt;=Imóveis!$T$6),Imóveis!$U$6,0),IF((IF(AND(Dados!$A439&gt;=Imóveis!$Q$6,Dados!$A439&lt;=Imóveis!$T$6),Imóveis!$S$6-(DATEDIF(Imóveis!$Q$6,Dados!$A439,"m")),0))=0,0,((Imóveis!$N$6/Imóveis!$S$6)+((Imóveis!$N$6-((Imóveis!$S$6-(IF(AND(Dados!$A439&gt;=Imóveis!$Q$6,Dados!$A439&lt;=Imóveis!$T$6),Imóveis!$S$6-(DATEDIF(Imóveis!$Q$6,Dados!$A439,"m")),)))*(Imóveis!$N$6/Imóveis!$S$6)))*Imóveis!$P$6))))*IF(AND(Imóveis!$E$6&gt;0,Dados!$A439&gt;Imóveis!$E$6),0,1)*Imóveis!$I$6</f>
        <v>0</v>
      </c>
      <c r="N439" s="18">
        <f t="shared" si="53"/>
        <v>37000</v>
      </c>
      <c r="O439" s="18">
        <f>SUMIFS(Receitas!$F:$F,Receitas!$J:$J,"&lt;="&amp;$A439,Receitas!$L:$L,"&gt;="&amp;$A439,Receitas!$C:$C,O$1,Receitas!$M:$M,"Mensal")+SUMIFS(Receitas!$F:$F,Receitas!$J:$J,"&lt;="&amp;$A439,Receitas!$L:$L,"&gt;="&amp;$A439,Receitas!$C:$C,O$1,Receitas!$M:$M,$B439)</f>
        <v>0</v>
      </c>
      <c r="P439" s="18">
        <f>SUMIFS(Receitas!$F:$F,Receitas!$J:$J,"&lt;="&amp;$A439,Receitas!$L:$L,"&gt;="&amp;$A439,Receitas!$C:$C,P$1,Receitas!$M:$M,"Mensal")+SUMIFS(Receitas!$F:$F,Receitas!$J:$J,"&lt;="&amp;$A439,Receitas!$L:$L,"&gt;="&amp;$A439,Receitas!$C:$C,P$1,Receitas!$M:$M,$B439)</f>
        <v>0</v>
      </c>
      <c r="Q439" s="18">
        <f>SUMIFS(Receitas!$F:$F,Receitas!$J:$J,"&lt;="&amp;$A439,Receitas!$L:$L,"&gt;="&amp;$A439,Receitas!$C:$C,Q$1,Receitas!$M:$M,"Mensal")+SUMIFS(Receitas!$F:$F,Receitas!$J:$J,"&lt;="&amp;$A439,Receitas!$L:$L,"&gt;="&amp;$A439,Receitas!$C:$C,Q$1,Receitas!$M:$M,$B439)</f>
        <v>0</v>
      </c>
      <c r="R439" s="18" cm="1">
        <f t="array" ref="R439">(IF(AND(Membros!$F$2="Sim",A439&lt;=MAX(Membros!$E$2:$E$5)),Membros!K$2,IF(AND(A439&gt;=Membros!J$2,A439&lt;=MAX(Membros!$E$2:$E$5)),Membros!K$2,0))+IF(AND(Membros!$F$3="Sim",A439&lt;=MAX(Membros!$E$2:$E$5)),Membros!K$3,IF(AND(A439&gt;=Membros!J$3,A439&lt;=MAX(Membros!$E$2:$E$5)),Membros!K$3,0)))*IF(AND(COUNTIFS(Tabela3[Tipo],"Provedor",Tabela3[Simulação Seguro],"Sim")=2,A439&gt;=MAX(IF(Tabela3[Tipo]="Dependente",Tabela3[Expectativa de Vida (Data)]))),0,1)</f>
        <v>10000</v>
      </c>
      <c r="S439" s="18">
        <f t="shared" si="54"/>
        <v>10000</v>
      </c>
      <c r="U439" s="18">
        <f t="shared" ca="1" si="57"/>
        <v>28001651.830461606</v>
      </c>
      <c r="V439" s="18">
        <f>SUMIF(Imóveis!E:E,Dados!A:A,Imóveis!Z:Z)-SUMIF(Imóveis!E:E,Dados!A:A,Imóveis!Y:Y)</f>
        <v>0</v>
      </c>
      <c r="W439" s="18">
        <f>-SUMIF(Projetos!N:N,A439,Projetos!F:F)</f>
        <v>0</v>
      </c>
      <c r="X439" s="18">
        <f t="shared" si="51"/>
        <v>-27000</v>
      </c>
      <c r="Y439" s="26">
        <f ca="1">(U439*((Indicadores_Economicos!D$2+1)^(1/12)-1))</f>
        <v>91670.121564665213</v>
      </c>
      <c r="Z439" s="18">
        <f t="shared" ca="1" si="55"/>
        <v>28066321.95202627</v>
      </c>
      <c r="AA439" s="18">
        <f ca="1">Auxiliar_Projetos!E439</f>
        <v>1.6311468471430831E-9</v>
      </c>
      <c r="AB439" s="18">
        <f ca="1">Auxiliar_Projetos!K439</f>
        <v>1.2547283439562166E-9</v>
      </c>
      <c r="AC439" s="18">
        <f ca="1">IF(Z439-AA439-AB439&gt;Investimentos!$C$14,Investimentos!$C$14,IF(Z439-AA439-AB439&lt;Investimentos!$C$14,Z439-AA439-AB439,0))</f>
        <v>300000</v>
      </c>
      <c r="AD439" s="18">
        <f t="shared" ca="1" si="56"/>
        <v>27766321.95202627</v>
      </c>
      <c r="AE439" s="18"/>
    </row>
    <row r="440" spans="1:31" x14ac:dyDescent="0.2">
      <c r="A440" s="4">
        <v>58988</v>
      </c>
      <c r="B440" s="5" t="str">
        <f t="shared" si="52"/>
        <v>julho</v>
      </c>
      <c r="C440" s="5" t="str">
        <f t="shared" si="58"/>
        <v>2061</v>
      </c>
      <c r="D440" s="5">
        <f>SUMIFS(Despesas!$F:$F,Despesas!$J:$J,"&lt;="&amp;$A440,Despesas!$L:$L,"&gt;="&amp;$A440,Despesas!$C:$C,D$1,Despesas!$M:$M,"Mensal")+SUMIFS(Despesas!$F:$F,Despesas!$J:$J,"&lt;="&amp;$A440,Despesas!$L:$L,"&gt;="&amp;$A440,Despesas!$C:$C,D$1,Despesas!$M:$M,$B440)</f>
        <v>23000</v>
      </c>
      <c r="E440" s="18">
        <f>SUMIFS(Despesas!$F:$F,Despesas!$J:$J,"&lt;="&amp;$A440,Despesas!$L:$L,"&gt;="&amp;$A440,Despesas!$C:$C,E$1,Despesas!$M:$M,"Mensal")+SUMIFS(Despesas!$F:$F,Despesas!$J:$J,"&lt;="&amp;$A440,Despesas!$L:$L,"&gt;="&amp;$A440,Despesas!$C:$C,E$1,Despesas!$M:$M,$B440)</f>
        <v>0</v>
      </c>
      <c r="F440" s="5">
        <f>SUMIFS(Despesas!$F:$F,Despesas!$J:$J,"&lt;="&amp;$A440,Despesas!$L:$L,"&gt;="&amp;$A440,Despesas!$C:$C,F$1,Despesas!$M:$M,"Mensal")+SUMIFS(Despesas!$F:$F,Despesas!$J:$J,"&lt;="&amp;$A440,Despesas!$L:$L,"&gt;="&amp;$A440,Despesas!$C:$C,F$1,Despesas!$M:$M,$B440)</f>
        <v>13000</v>
      </c>
      <c r="G440" s="5">
        <f ca="1">SUMIFS(Despesas!$F:$F,Despesas!$J:$J,"&lt;="&amp;$A440,Despesas!$L:$L,"&gt;="&amp;$A440,Despesas!$C:$C,G$1,Despesas!$M:$M,"Mensal")+SUMIFS(Despesas!$F:$F,Despesas!$J:$J,"&lt;="&amp;$A440,Despesas!$L:$L,"&gt;="&amp;$A440,Despesas!$C:$C,G$1,Despesas!$M:$M,$B440)</f>
        <v>55757</v>
      </c>
      <c r="H440" s="18">
        <f>SUMIFS(Despesas!$F:$F,Despesas!$J:$J,"&lt;="&amp;$A440,Despesas!$L:$L,"&gt;="&amp;$A440,Despesas!$C:$C,H$1,Despesas!$M:$M,"Mensal")+SUMIFS(Despesas!$F:$F,Despesas!$J:$J,"&lt;="&amp;$A440,Despesas!$L:$L,"&gt;="&amp;$A440,Despesas!$C:$C,H$1,Despesas!$M:$M,$B440)</f>
        <v>1000</v>
      </c>
      <c r="I440" s="18">
        <f>IF(Imóveis!$F$2="PRICE",IF(AND(Dados!$A440&gt;=Imóveis!$Q$2,Dados!$A440&lt;=Imóveis!$T$2),Imóveis!$U$2,0),IF((IF(AND(Dados!$A440&gt;=Imóveis!$Q$2,Dados!$A440&lt;=Imóveis!$T$2),Imóveis!$S$2-(DATEDIF(Imóveis!$Q$2,Dados!$A440,"m")),0))=0,0,((Imóveis!$N$2/Imóveis!$S$2)+((Imóveis!$N$2-((Imóveis!$S$2-(IF(AND(Dados!$A440&gt;=Imóveis!$Q$2,Dados!$A440&lt;=Imóveis!$T$2),Imóveis!$S$2-(DATEDIF(Imóveis!$Q$2,Dados!$A440,"m")),)))*(Imóveis!$N$2/Imóveis!$S$2)))*Imóveis!$P$2))))*IF(AND(Imóveis!$E$2&gt;0,Dados!$A440&gt;Imóveis!$E$2),0,1)</f>
        <v>0</v>
      </c>
      <c r="J440" s="18">
        <f>IF(Imóveis!$F$3="PRICE",IF(AND(Dados!$A440&gt;=Imóveis!$Q$3,Dados!$A440&lt;=Imóveis!$T$3),Imóveis!$U$3,0),IF((IF(AND(Dados!$A440&gt;=Imóveis!$Q$3,Dados!$A440&lt;=Imóveis!$T$3),Imóveis!$S$3-(DATEDIF(Imóveis!$Q$3,Dados!$A440,"m")),0))=0,0,((Imóveis!$N$3/Imóveis!$S$3)+((Imóveis!$N$3-((Imóveis!$S$3-(IF(AND(Dados!$A440&gt;=Imóveis!$Q$3,Dados!$A440&lt;=Imóveis!$T$3),Imóveis!$S$3-(DATEDIF(Imóveis!$Q$3,Dados!$A440,"m")),)))*(Imóveis!$N$3/Imóveis!$S$3)))*Imóveis!$P$3))))*IF(AND(Imóveis!$E$3&gt;0,Dados!$A440&gt;Imóveis!$E$3),0,1)</f>
        <v>0</v>
      </c>
      <c r="K440" s="18">
        <f>IF(Imóveis!$F$4="PRICE",IF(AND(Dados!$A440&gt;=Imóveis!$Q$4,Dados!$A440&lt;=Imóveis!$T$4),Imóveis!$U$4,0),IF((IF(AND(Dados!$A440&gt;=Imóveis!$Q$4,Dados!$A440&lt;=Imóveis!$T$4),Imóveis!$S$4-(DATEDIF(Imóveis!$Q$4,Dados!$A440,"m")),0))=0,0,((Imóveis!$N$4/Imóveis!$S$4)+((Imóveis!$N$4-((Imóveis!$S$4-(IF(AND(Dados!$A440&gt;=Imóveis!$Q$4,Dados!$A440&lt;=Imóveis!$T$4),Imóveis!$S$4-(DATEDIF(Imóveis!$Q$4,Dados!$A440,"m")),)))*(Imóveis!$N$4/Imóveis!$S$4)))*Imóveis!$P$4))))*IF(AND(Imóveis!$E$4&gt;0,Dados!$A440&gt;Imóveis!$E$4),0,1)</f>
        <v>0</v>
      </c>
      <c r="L440" s="18">
        <f>IF(Imóveis!$F$5="PRICE",IF(AND(Dados!$A440&gt;=Imóveis!$Q$5,Dados!$A440&lt;=Imóveis!$T$5),Imóveis!$U$5,0),IF((IF(AND(Dados!$A440&gt;=Imóveis!$Q$5,Dados!$A440&lt;=Imóveis!$T$5),Imóveis!$S$5-(DATEDIF(Imóveis!$Q$5,Dados!$A440,"m")),0))=0,0,((Imóveis!$N$5/Imóveis!$S$5)+((Imóveis!$N$5-((Imóveis!$S$5-(IF(AND(Dados!$A440 &gt;=Imóveis!$Q$5,Dados!$A440&lt;=Imóveis!$T$5),Imóveis!$S$5-(DATEDIF(Imóveis!$Q$5,Dados!$A440,"m")),)))*(Imóveis!$N$5/Imóveis!$S$5)))*Imóveis!$P$5))))*IF(AND(Imóveis!$E$5&gt;0,Dados!$A440&gt;Imóveis!$E$5),0,1)*Imóveis!$I$5</f>
        <v>0</v>
      </c>
      <c r="M440" s="18">
        <f>IF(Imóveis!$F$6="PRICE",IF(AND(Dados!$A440&gt;=Imóveis!$Q$6,Dados!$A440&lt;=Imóveis!$T$6),Imóveis!$U$6,0),IF((IF(AND(Dados!$A440&gt;=Imóveis!$Q$6,Dados!$A440&lt;=Imóveis!$T$6),Imóveis!$S$6-(DATEDIF(Imóveis!$Q$6,Dados!$A440,"m")),0))=0,0,((Imóveis!$N$6/Imóveis!$S$6)+((Imóveis!$N$6-((Imóveis!$S$6-(IF(AND(Dados!$A440&gt;=Imóveis!$Q$6,Dados!$A440&lt;=Imóveis!$T$6),Imóveis!$S$6-(DATEDIF(Imóveis!$Q$6,Dados!$A440,"m")),)))*(Imóveis!$N$6/Imóveis!$S$6)))*Imóveis!$P$6))))*IF(AND(Imóveis!$E$6&gt;0,Dados!$A440&gt;Imóveis!$E$6),0,1)*Imóveis!$I$6</f>
        <v>0</v>
      </c>
      <c r="N440" s="18">
        <f t="shared" ca="1" si="53"/>
        <v>92757</v>
      </c>
      <c r="O440" s="18">
        <f>SUMIFS(Receitas!$F:$F,Receitas!$J:$J,"&lt;="&amp;$A440,Receitas!$L:$L,"&gt;="&amp;$A440,Receitas!$C:$C,O$1,Receitas!$M:$M,"Mensal")+SUMIFS(Receitas!$F:$F,Receitas!$J:$J,"&lt;="&amp;$A440,Receitas!$L:$L,"&gt;="&amp;$A440,Receitas!$C:$C,O$1,Receitas!$M:$M,$B440)</f>
        <v>0</v>
      </c>
      <c r="P440" s="18">
        <f>SUMIFS(Receitas!$F:$F,Receitas!$J:$J,"&lt;="&amp;$A440,Receitas!$L:$L,"&gt;="&amp;$A440,Receitas!$C:$C,P$1,Receitas!$M:$M,"Mensal")+SUMIFS(Receitas!$F:$F,Receitas!$J:$J,"&lt;="&amp;$A440,Receitas!$L:$L,"&gt;="&amp;$A440,Receitas!$C:$C,P$1,Receitas!$M:$M,$B440)</f>
        <v>0</v>
      </c>
      <c r="Q440" s="18">
        <f>SUMIFS(Receitas!$F:$F,Receitas!$J:$J,"&lt;="&amp;$A440,Receitas!$L:$L,"&gt;="&amp;$A440,Receitas!$C:$C,Q$1,Receitas!$M:$M,"Mensal")+SUMIFS(Receitas!$F:$F,Receitas!$J:$J,"&lt;="&amp;$A440,Receitas!$L:$L,"&gt;="&amp;$A440,Receitas!$C:$C,Q$1,Receitas!$M:$M,$B440)</f>
        <v>0</v>
      </c>
      <c r="R440" s="18" cm="1">
        <f t="array" ref="R440">(IF(AND(Membros!$F$2="Sim",A440&lt;=MAX(Membros!$E$2:$E$5)),Membros!K$2,IF(AND(A440&gt;=Membros!J$2,A440&lt;=MAX(Membros!$E$2:$E$5)),Membros!K$2,0))+IF(AND(Membros!$F$3="Sim",A440&lt;=MAX(Membros!$E$2:$E$5)),Membros!K$3,IF(AND(A440&gt;=Membros!J$3,A440&lt;=MAX(Membros!$E$2:$E$5)),Membros!K$3,0)))*IF(AND(COUNTIFS(Tabela3[Tipo],"Provedor",Tabela3[Simulação Seguro],"Sim")=2,A440&gt;=MAX(IF(Tabela3[Tipo]="Dependente",Tabela3[Expectativa de Vida (Data)]))),0,1)</f>
        <v>10000</v>
      </c>
      <c r="S440" s="18">
        <f t="shared" si="54"/>
        <v>10000</v>
      </c>
      <c r="U440" s="18">
        <f t="shared" ca="1" si="57"/>
        <v>28066321.95202627</v>
      </c>
      <c r="V440" s="18">
        <f>SUMIF(Imóveis!E:E,Dados!A:A,Imóveis!Z:Z)-SUMIF(Imóveis!E:E,Dados!A:A,Imóveis!Y:Y)</f>
        <v>0</v>
      </c>
      <c r="W440" s="18">
        <f>-SUMIF(Projetos!N:N,A440,Projetos!F:F)</f>
        <v>0</v>
      </c>
      <c r="X440" s="18">
        <f t="shared" ca="1" si="51"/>
        <v>-82757</v>
      </c>
      <c r="Y440" s="26">
        <f ca="1">(U440*((Indicadores_Economicos!D$2+1)^(1/12)-1))</f>
        <v>91881.834714351091</v>
      </c>
      <c r="Z440" s="18">
        <f t="shared" ca="1" si="55"/>
        <v>28075446.78674062</v>
      </c>
      <c r="AA440" s="18">
        <f ca="1">Auxiliar_Projetos!E440</f>
        <v>1.6364867974671837E-9</v>
      </c>
      <c r="AB440" s="18">
        <f ca="1">Auxiliar_Projetos!K440</f>
        <v>1.2588359980516786E-9</v>
      </c>
      <c r="AC440" s="18">
        <f ca="1">IF(Z440-AA440-AB440&gt;Investimentos!$C$14,Investimentos!$C$14,IF(Z440-AA440-AB440&lt;Investimentos!$C$14,Z440-AA440-AB440,0))</f>
        <v>300000</v>
      </c>
      <c r="AD440" s="18">
        <f t="shared" ca="1" si="56"/>
        <v>27775446.78674062</v>
      </c>
      <c r="AE440" s="18"/>
    </row>
    <row r="441" spans="1:31" x14ac:dyDescent="0.2">
      <c r="A441" s="4">
        <v>59019</v>
      </c>
      <c r="B441" s="5" t="str">
        <f t="shared" si="52"/>
        <v>agosto</v>
      </c>
      <c r="C441" s="5" t="str">
        <f t="shared" si="58"/>
        <v>2061</v>
      </c>
      <c r="D441" s="5">
        <f>SUMIFS(Despesas!$F:$F,Despesas!$J:$J,"&lt;="&amp;$A441,Despesas!$L:$L,"&gt;="&amp;$A441,Despesas!$C:$C,D$1,Despesas!$M:$M,"Mensal")+SUMIFS(Despesas!$F:$F,Despesas!$J:$J,"&lt;="&amp;$A441,Despesas!$L:$L,"&gt;="&amp;$A441,Despesas!$C:$C,D$1,Despesas!$M:$M,$B441)</f>
        <v>23000</v>
      </c>
      <c r="E441" s="18">
        <f>SUMIFS(Despesas!$F:$F,Despesas!$J:$J,"&lt;="&amp;$A441,Despesas!$L:$L,"&gt;="&amp;$A441,Despesas!$C:$C,E$1,Despesas!$M:$M,"Mensal")+SUMIFS(Despesas!$F:$F,Despesas!$J:$J,"&lt;="&amp;$A441,Despesas!$L:$L,"&gt;="&amp;$A441,Despesas!$C:$C,E$1,Despesas!$M:$M,$B441)</f>
        <v>0</v>
      </c>
      <c r="F441" s="5">
        <f>SUMIFS(Despesas!$F:$F,Despesas!$J:$J,"&lt;="&amp;$A441,Despesas!$L:$L,"&gt;="&amp;$A441,Despesas!$C:$C,F$1,Despesas!$M:$M,"Mensal")+SUMIFS(Despesas!$F:$F,Despesas!$J:$J,"&lt;="&amp;$A441,Despesas!$L:$L,"&gt;="&amp;$A441,Despesas!$C:$C,F$1,Despesas!$M:$M,$B441)</f>
        <v>13000</v>
      </c>
      <c r="G441" s="5">
        <f>SUMIFS(Despesas!$F:$F,Despesas!$J:$J,"&lt;="&amp;$A441,Despesas!$L:$L,"&gt;="&amp;$A441,Despesas!$C:$C,G$1,Despesas!$M:$M,"Mensal")+SUMIFS(Despesas!$F:$F,Despesas!$J:$J,"&lt;="&amp;$A441,Despesas!$L:$L,"&gt;="&amp;$A441,Despesas!$C:$C,G$1,Despesas!$M:$M,$B441)</f>
        <v>0</v>
      </c>
      <c r="H441" s="18">
        <f>SUMIFS(Despesas!$F:$F,Despesas!$J:$J,"&lt;="&amp;$A441,Despesas!$L:$L,"&gt;="&amp;$A441,Despesas!$C:$C,H$1,Despesas!$M:$M,"Mensal")+SUMIFS(Despesas!$F:$F,Despesas!$J:$J,"&lt;="&amp;$A441,Despesas!$L:$L,"&gt;="&amp;$A441,Despesas!$C:$C,H$1,Despesas!$M:$M,$B441)</f>
        <v>1000</v>
      </c>
      <c r="I441" s="18">
        <f>IF(Imóveis!$F$2="PRICE",IF(AND(Dados!$A441&gt;=Imóveis!$Q$2,Dados!$A441&lt;=Imóveis!$T$2),Imóveis!$U$2,0),IF((IF(AND(Dados!$A441&gt;=Imóveis!$Q$2,Dados!$A441&lt;=Imóveis!$T$2),Imóveis!$S$2-(DATEDIF(Imóveis!$Q$2,Dados!$A441,"m")),0))=0,0,((Imóveis!$N$2/Imóveis!$S$2)+((Imóveis!$N$2-((Imóveis!$S$2-(IF(AND(Dados!$A441&gt;=Imóveis!$Q$2,Dados!$A441&lt;=Imóveis!$T$2),Imóveis!$S$2-(DATEDIF(Imóveis!$Q$2,Dados!$A441,"m")),)))*(Imóveis!$N$2/Imóveis!$S$2)))*Imóveis!$P$2))))*IF(AND(Imóveis!$E$2&gt;0,Dados!$A441&gt;Imóveis!$E$2),0,1)</f>
        <v>0</v>
      </c>
      <c r="J441" s="18">
        <f>IF(Imóveis!$F$3="PRICE",IF(AND(Dados!$A441&gt;=Imóveis!$Q$3,Dados!$A441&lt;=Imóveis!$T$3),Imóveis!$U$3,0),IF((IF(AND(Dados!$A441&gt;=Imóveis!$Q$3,Dados!$A441&lt;=Imóveis!$T$3),Imóveis!$S$3-(DATEDIF(Imóveis!$Q$3,Dados!$A441,"m")),0))=0,0,((Imóveis!$N$3/Imóveis!$S$3)+((Imóveis!$N$3-((Imóveis!$S$3-(IF(AND(Dados!$A441&gt;=Imóveis!$Q$3,Dados!$A441&lt;=Imóveis!$T$3),Imóveis!$S$3-(DATEDIF(Imóveis!$Q$3,Dados!$A441,"m")),)))*(Imóveis!$N$3/Imóveis!$S$3)))*Imóveis!$P$3))))*IF(AND(Imóveis!$E$3&gt;0,Dados!$A441&gt;Imóveis!$E$3),0,1)</f>
        <v>0</v>
      </c>
      <c r="K441" s="18">
        <f>IF(Imóveis!$F$4="PRICE",IF(AND(Dados!$A441&gt;=Imóveis!$Q$4,Dados!$A441&lt;=Imóveis!$T$4),Imóveis!$U$4,0),IF((IF(AND(Dados!$A441&gt;=Imóveis!$Q$4,Dados!$A441&lt;=Imóveis!$T$4),Imóveis!$S$4-(DATEDIF(Imóveis!$Q$4,Dados!$A441,"m")),0))=0,0,((Imóveis!$N$4/Imóveis!$S$4)+((Imóveis!$N$4-((Imóveis!$S$4-(IF(AND(Dados!$A441&gt;=Imóveis!$Q$4,Dados!$A441&lt;=Imóveis!$T$4),Imóveis!$S$4-(DATEDIF(Imóveis!$Q$4,Dados!$A441,"m")),)))*(Imóveis!$N$4/Imóveis!$S$4)))*Imóveis!$P$4))))*IF(AND(Imóveis!$E$4&gt;0,Dados!$A441&gt;Imóveis!$E$4),0,1)</f>
        <v>0</v>
      </c>
      <c r="L441" s="18">
        <f>IF(Imóveis!$F$5="PRICE",IF(AND(Dados!$A441&gt;=Imóveis!$Q$5,Dados!$A441&lt;=Imóveis!$T$5),Imóveis!$U$5,0),IF((IF(AND(Dados!$A441&gt;=Imóveis!$Q$5,Dados!$A441&lt;=Imóveis!$T$5),Imóveis!$S$5-(DATEDIF(Imóveis!$Q$5,Dados!$A441,"m")),0))=0,0,((Imóveis!$N$5/Imóveis!$S$5)+((Imóveis!$N$5-((Imóveis!$S$5-(IF(AND(Dados!$A441 &gt;=Imóveis!$Q$5,Dados!$A441&lt;=Imóveis!$T$5),Imóveis!$S$5-(DATEDIF(Imóveis!$Q$5,Dados!$A441,"m")),)))*(Imóveis!$N$5/Imóveis!$S$5)))*Imóveis!$P$5))))*IF(AND(Imóveis!$E$5&gt;0,Dados!$A441&gt;Imóveis!$E$5),0,1)*Imóveis!$I$5</f>
        <v>0</v>
      </c>
      <c r="M441" s="18">
        <f>IF(Imóveis!$F$6="PRICE",IF(AND(Dados!$A441&gt;=Imóveis!$Q$6,Dados!$A441&lt;=Imóveis!$T$6),Imóveis!$U$6,0),IF((IF(AND(Dados!$A441&gt;=Imóveis!$Q$6,Dados!$A441&lt;=Imóveis!$T$6),Imóveis!$S$6-(DATEDIF(Imóveis!$Q$6,Dados!$A441,"m")),0))=0,0,((Imóveis!$N$6/Imóveis!$S$6)+((Imóveis!$N$6-((Imóveis!$S$6-(IF(AND(Dados!$A441&gt;=Imóveis!$Q$6,Dados!$A441&lt;=Imóveis!$T$6),Imóveis!$S$6-(DATEDIF(Imóveis!$Q$6,Dados!$A441,"m")),)))*(Imóveis!$N$6/Imóveis!$S$6)))*Imóveis!$P$6))))*IF(AND(Imóveis!$E$6&gt;0,Dados!$A441&gt;Imóveis!$E$6),0,1)*Imóveis!$I$6</f>
        <v>0</v>
      </c>
      <c r="N441" s="18">
        <f t="shared" si="53"/>
        <v>37000</v>
      </c>
      <c r="O441" s="18">
        <f>SUMIFS(Receitas!$F:$F,Receitas!$J:$J,"&lt;="&amp;$A441,Receitas!$L:$L,"&gt;="&amp;$A441,Receitas!$C:$C,O$1,Receitas!$M:$M,"Mensal")+SUMIFS(Receitas!$F:$F,Receitas!$J:$J,"&lt;="&amp;$A441,Receitas!$L:$L,"&gt;="&amp;$A441,Receitas!$C:$C,O$1,Receitas!$M:$M,$B441)</f>
        <v>0</v>
      </c>
      <c r="P441" s="18">
        <f>SUMIFS(Receitas!$F:$F,Receitas!$J:$J,"&lt;="&amp;$A441,Receitas!$L:$L,"&gt;="&amp;$A441,Receitas!$C:$C,P$1,Receitas!$M:$M,"Mensal")+SUMIFS(Receitas!$F:$F,Receitas!$J:$J,"&lt;="&amp;$A441,Receitas!$L:$L,"&gt;="&amp;$A441,Receitas!$C:$C,P$1,Receitas!$M:$M,$B441)</f>
        <v>0</v>
      </c>
      <c r="Q441" s="18">
        <f>SUMIFS(Receitas!$F:$F,Receitas!$J:$J,"&lt;="&amp;$A441,Receitas!$L:$L,"&gt;="&amp;$A441,Receitas!$C:$C,Q$1,Receitas!$M:$M,"Mensal")+SUMIFS(Receitas!$F:$F,Receitas!$J:$J,"&lt;="&amp;$A441,Receitas!$L:$L,"&gt;="&amp;$A441,Receitas!$C:$C,Q$1,Receitas!$M:$M,$B441)</f>
        <v>0</v>
      </c>
      <c r="R441" s="18" cm="1">
        <f t="array" ref="R441">(IF(AND(Membros!$F$2="Sim",A441&lt;=MAX(Membros!$E$2:$E$5)),Membros!K$2,IF(AND(A441&gt;=Membros!J$2,A441&lt;=MAX(Membros!$E$2:$E$5)),Membros!K$2,0))+IF(AND(Membros!$F$3="Sim",A441&lt;=MAX(Membros!$E$2:$E$5)),Membros!K$3,IF(AND(A441&gt;=Membros!J$3,A441&lt;=MAX(Membros!$E$2:$E$5)),Membros!K$3,0)))*IF(AND(COUNTIFS(Tabela3[Tipo],"Provedor",Tabela3[Simulação Seguro],"Sim")=2,A441&gt;=MAX(IF(Tabela3[Tipo]="Dependente",Tabela3[Expectativa de Vida (Data)]))),0,1)</f>
        <v>10000</v>
      </c>
      <c r="S441" s="18">
        <f t="shared" si="54"/>
        <v>10000</v>
      </c>
      <c r="U441" s="18">
        <f t="shared" ca="1" si="57"/>
        <v>28075446.78674062</v>
      </c>
      <c r="V441" s="18">
        <f>SUMIF(Imóveis!E:E,Dados!A:A,Imóveis!Z:Z)-SUMIF(Imóveis!E:E,Dados!A:A,Imóveis!Y:Y)</f>
        <v>0</v>
      </c>
      <c r="W441" s="18">
        <f>-SUMIF(Projetos!N:N,A441,Projetos!F:F)</f>
        <v>0</v>
      </c>
      <c r="X441" s="18">
        <f t="shared" si="51"/>
        <v>-27000</v>
      </c>
      <c r="Y441" s="26">
        <f ca="1">(U441*((Indicadores_Economicos!D$2+1)^(1/12)-1))</f>
        <v>91911.707048761455</v>
      </c>
      <c r="Z441" s="18">
        <f t="shared" ca="1" si="55"/>
        <v>28140358.493789382</v>
      </c>
      <c r="AA441" s="18">
        <f ca="1">Auxiliar_Projetos!E441</f>
        <v>1.6418442293990953E-9</v>
      </c>
      <c r="AB441" s="18">
        <f ca="1">Auxiliar_Projetos!K441</f>
        <v>1.2629570995377645E-9</v>
      </c>
      <c r="AC441" s="18">
        <f ca="1">IF(Z441-AA441-AB441&gt;Investimentos!$C$14,Investimentos!$C$14,IF(Z441-AA441-AB441&lt;Investimentos!$C$14,Z441-AA441-AB441,0))</f>
        <v>300000</v>
      </c>
      <c r="AD441" s="18">
        <f t="shared" ca="1" si="56"/>
        <v>27840358.493789382</v>
      </c>
      <c r="AE441" s="18"/>
    </row>
    <row r="442" spans="1:31" x14ac:dyDescent="0.2">
      <c r="A442" s="4">
        <v>59050</v>
      </c>
      <c r="B442" s="5" t="str">
        <f t="shared" si="52"/>
        <v>setembro</v>
      </c>
      <c r="C442" s="5" t="str">
        <f t="shared" si="58"/>
        <v>2061</v>
      </c>
      <c r="D442" s="5">
        <f>SUMIFS(Despesas!$F:$F,Despesas!$J:$J,"&lt;="&amp;$A442,Despesas!$L:$L,"&gt;="&amp;$A442,Despesas!$C:$C,D$1,Despesas!$M:$M,"Mensal")+SUMIFS(Despesas!$F:$F,Despesas!$J:$J,"&lt;="&amp;$A442,Despesas!$L:$L,"&gt;="&amp;$A442,Despesas!$C:$C,D$1,Despesas!$M:$M,$B442)</f>
        <v>23000</v>
      </c>
      <c r="E442" s="18">
        <f>SUMIFS(Despesas!$F:$F,Despesas!$J:$J,"&lt;="&amp;$A442,Despesas!$L:$L,"&gt;="&amp;$A442,Despesas!$C:$C,E$1,Despesas!$M:$M,"Mensal")+SUMIFS(Despesas!$F:$F,Despesas!$J:$J,"&lt;="&amp;$A442,Despesas!$L:$L,"&gt;="&amp;$A442,Despesas!$C:$C,E$1,Despesas!$M:$M,$B442)</f>
        <v>0</v>
      </c>
      <c r="F442" s="5">
        <f>SUMIFS(Despesas!$F:$F,Despesas!$J:$J,"&lt;="&amp;$A442,Despesas!$L:$L,"&gt;="&amp;$A442,Despesas!$C:$C,F$1,Despesas!$M:$M,"Mensal")+SUMIFS(Despesas!$F:$F,Despesas!$J:$J,"&lt;="&amp;$A442,Despesas!$L:$L,"&gt;="&amp;$A442,Despesas!$C:$C,F$1,Despesas!$M:$M,$B442)</f>
        <v>13000</v>
      </c>
      <c r="G442" s="5">
        <f>SUMIFS(Despesas!$F:$F,Despesas!$J:$J,"&lt;="&amp;$A442,Despesas!$L:$L,"&gt;="&amp;$A442,Despesas!$C:$C,G$1,Despesas!$M:$M,"Mensal")+SUMIFS(Despesas!$F:$F,Despesas!$J:$J,"&lt;="&amp;$A442,Despesas!$L:$L,"&gt;="&amp;$A442,Despesas!$C:$C,G$1,Despesas!$M:$M,$B442)</f>
        <v>0</v>
      </c>
      <c r="H442" s="18">
        <f>SUMIFS(Despesas!$F:$F,Despesas!$J:$J,"&lt;="&amp;$A442,Despesas!$L:$L,"&gt;="&amp;$A442,Despesas!$C:$C,H$1,Despesas!$M:$M,"Mensal")+SUMIFS(Despesas!$F:$F,Despesas!$J:$J,"&lt;="&amp;$A442,Despesas!$L:$L,"&gt;="&amp;$A442,Despesas!$C:$C,H$1,Despesas!$M:$M,$B442)</f>
        <v>1000</v>
      </c>
      <c r="I442" s="18">
        <f>IF(Imóveis!$F$2="PRICE",IF(AND(Dados!$A442&gt;=Imóveis!$Q$2,Dados!$A442&lt;=Imóveis!$T$2),Imóveis!$U$2,0),IF((IF(AND(Dados!$A442&gt;=Imóveis!$Q$2,Dados!$A442&lt;=Imóveis!$T$2),Imóveis!$S$2-(DATEDIF(Imóveis!$Q$2,Dados!$A442,"m")),0))=0,0,((Imóveis!$N$2/Imóveis!$S$2)+((Imóveis!$N$2-((Imóveis!$S$2-(IF(AND(Dados!$A442&gt;=Imóveis!$Q$2,Dados!$A442&lt;=Imóveis!$T$2),Imóveis!$S$2-(DATEDIF(Imóveis!$Q$2,Dados!$A442,"m")),)))*(Imóveis!$N$2/Imóveis!$S$2)))*Imóveis!$P$2))))*IF(AND(Imóveis!$E$2&gt;0,Dados!$A442&gt;Imóveis!$E$2),0,1)</f>
        <v>0</v>
      </c>
      <c r="J442" s="18">
        <f>IF(Imóveis!$F$3="PRICE",IF(AND(Dados!$A442&gt;=Imóveis!$Q$3,Dados!$A442&lt;=Imóveis!$T$3),Imóveis!$U$3,0),IF((IF(AND(Dados!$A442&gt;=Imóveis!$Q$3,Dados!$A442&lt;=Imóveis!$T$3),Imóveis!$S$3-(DATEDIF(Imóveis!$Q$3,Dados!$A442,"m")),0))=0,0,((Imóveis!$N$3/Imóveis!$S$3)+((Imóveis!$N$3-((Imóveis!$S$3-(IF(AND(Dados!$A442&gt;=Imóveis!$Q$3,Dados!$A442&lt;=Imóveis!$T$3),Imóveis!$S$3-(DATEDIF(Imóveis!$Q$3,Dados!$A442,"m")),)))*(Imóveis!$N$3/Imóveis!$S$3)))*Imóveis!$P$3))))*IF(AND(Imóveis!$E$3&gt;0,Dados!$A442&gt;Imóveis!$E$3),0,1)</f>
        <v>0</v>
      </c>
      <c r="K442" s="18">
        <f>IF(Imóveis!$F$4="PRICE",IF(AND(Dados!$A442&gt;=Imóveis!$Q$4,Dados!$A442&lt;=Imóveis!$T$4),Imóveis!$U$4,0),IF((IF(AND(Dados!$A442&gt;=Imóveis!$Q$4,Dados!$A442&lt;=Imóveis!$T$4),Imóveis!$S$4-(DATEDIF(Imóveis!$Q$4,Dados!$A442,"m")),0))=0,0,((Imóveis!$N$4/Imóveis!$S$4)+((Imóveis!$N$4-((Imóveis!$S$4-(IF(AND(Dados!$A442&gt;=Imóveis!$Q$4,Dados!$A442&lt;=Imóveis!$T$4),Imóveis!$S$4-(DATEDIF(Imóveis!$Q$4,Dados!$A442,"m")),)))*(Imóveis!$N$4/Imóveis!$S$4)))*Imóveis!$P$4))))*IF(AND(Imóveis!$E$4&gt;0,Dados!$A442&gt;Imóveis!$E$4),0,1)</f>
        <v>0</v>
      </c>
      <c r="L442" s="18">
        <f>IF(Imóveis!$F$5="PRICE",IF(AND(Dados!$A442&gt;=Imóveis!$Q$5,Dados!$A442&lt;=Imóveis!$T$5),Imóveis!$U$5,0),IF((IF(AND(Dados!$A442&gt;=Imóveis!$Q$5,Dados!$A442&lt;=Imóveis!$T$5),Imóveis!$S$5-(DATEDIF(Imóveis!$Q$5,Dados!$A442,"m")),0))=0,0,((Imóveis!$N$5/Imóveis!$S$5)+((Imóveis!$N$5-((Imóveis!$S$5-(IF(AND(Dados!$A442 &gt;=Imóveis!$Q$5,Dados!$A442&lt;=Imóveis!$T$5),Imóveis!$S$5-(DATEDIF(Imóveis!$Q$5,Dados!$A442,"m")),)))*(Imóveis!$N$5/Imóveis!$S$5)))*Imóveis!$P$5))))*IF(AND(Imóveis!$E$5&gt;0,Dados!$A442&gt;Imóveis!$E$5),0,1)*Imóveis!$I$5</f>
        <v>0</v>
      </c>
      <c r="M442" s="18">
        <f>IF(Imóveis!$F$6="PRICE",IF(AND(Dados!$A442&gt;=Imóveis!$Q$6,Dados!$A442&lt;=Imóveis!$T$6),Imóveis!$U$6,0),IF((IF(AND(Dados!$A442&gt;=Imóveis!$Q$6,Dados!$A442&lt;=Imóveis!$T$6),Imóveis!$S$6-(DATEDIF(Imóveis!$Q$6,Dados!$A442,"m")),0))=0,0,((Imóveis!$N$6/Imóveis!$S$6)+((Imóveis!$N$6-((Imóveis!$S$6-(IF(AND(Dados!$A442&gt;=Imóveis!$Q$6,Dados!$A442&lt;=Imóveis!$T$6),Imóveis!$S$6-(DATEDIF(Imóveis!$Q$6,Dados!$A442,"m")),)))*(Imóveis!$N$6/Imóveis!$S$6)))*Imóveis!$P$6))))*IF(AND(Imóveis!$E$6&gt;0,Dados!$A442&gt;Imóveis!$E$6),0,1)*Imóveis!$I$6</f>
        <v>0</v>
      </c>
      <c r="N442" s="18">
        <f t="shared" si="53"/>
        <v>37000</v>
      </c>
      <c r="O442" s="18">
        <f>SUMIFS(Receitas!$F:$F,Receitas!$J:$J,"&lt;="&amp;$A442,Receitas!$L:$L,"&gt;="&amp;$A442,Receitas!$C:$C,O$1,Receitas!$M:$M,"Mensal")+SUMIFS(Receitas!$F:$F,Receitas!$J:$J,"&lt;="&amp;$A442,Receitas!$L:$L,"&gt;="&amp;$A442,Receitas!$C:$C,O$1,Receitas!$M:$M,$B442)</f>
        <v>0</v>
      </c>
      <c r="P442" s="18">
        <f>SUMIFS(Receitas!$F:$F,Receitas!$J:$J,"&lt;="&amp;$A442,Receitas!$L:$L,"&gt;="&amp;$A442,Receitas!$C:$C,P$1,Receitas!$M:$M,"Mensal")+SUMIFS(Receitas!$F:$F,Receitas!$J:$J,"&lt;="&amp;$A442,Receitas!$L:$L,"&gt;="&amp;$A442,Receitas!$C:$C,P$1,Receitas!$M:$M,$B442)</f>
        <v>0</v>
      </c>
      <c r="Q442" s="18">
        <f>SUMIFS(Receitas!$F:$F,Receitas!$J:$J,"&lt;="&amp;$A442,Receitas!$L:$L,"&gt;="&amp;$A442,Receitas!$C:$C,Q$1,Receitas!$M:$M,"Mensal")+SUMIFS(Receitas!$F:$F,Receitas!$J:$J,"&lt;="&amp;$A442,Receitas!$L:$L,"&gt;="&amp;$A442,Receitas!$C:$C,Q$1,Receitas!$M:$M,$B442)</f>
        <v>0</v>
      </c>
      <c r="R442" s="18" cm="1">
        <f t="array" ref="R442">(IF(AND(Membros!$F$2="Sim",A442&lt;=MAX(Membros!$E$2:$E$5)),Membros!K$2,IF(AND(A442&gt;=Membros!J$2,A442&lt;=MAX(Membros!$E$2:$E$5)),Membros!K$2,0))+IF(AND(Membros!$F$3="Sim",A442&lt;=MAX(Membros!$E$2:$E$5)),Membros!K$3,IF(AND(A442&gt;=Membros!J$3,A442&lt;=MAX(Membros!$E$2:$E$5)),Membros!K$3,0)))*IF(AND(COUNTIFS(Tabela3[Tipo],"Provedor",Tabela3[Simulação Seguro],"Sim")=2,A442&gt;=MAX(IF(Tabela3[Tipo]="Dependente",Tabela3[Expectativa de Vida (Data)]))),0,1)</f>
        <v>10000</v>
      </c>
      <c r="S442" s="18">
        <f t="shared" si="54"/>
        <v>10000</v>
      </c>
      <c r="U442" s="18">
        <f t="shared" ca="1" si="57"/>
        <v>28140358.493789382</v>
      </c>
      <c r="V442" s="18">
        <f>SUMIF(Imóveis!E:E,Dados!A:A,Imóveis!Z:Z)-SUMIF(Imóveis!E:E,Dados!A:A,Imóveis!Y:Y)</f>
        <v>0</v>
      </c>
      <c r="W442" s="18">
        <f>-SUMIF(Projetos!N:N,A442,Projetos!F:F)</f>
        <v>0</v>
      </c>
      <c r="X442" s="18">
        <f t="shared" si="51"/>
        <v>-27000</v>
      </c>
      <c r="Y442" s="26">
        <f ca="1">(U442*((Indicadores_Economicos!D$2+1)^(1/12)-1))</f>
        <v>92124.211086457421</v>
      </c>
      <c r="Z442" s="18">
        <f t="shared" ca="1" si="55"/>
        <v>28205482.704875838</v>
      </c>
      <c r="AA442" s="18">
        <f ca="1">Auxiliar_Projetos!E442</f>
        <v>1.6472192001690527E-9</v>
      </c>
      <c r="AB442" s="18">
        <f ca="1">Auxiliar_Projetos!K442</f>
        <v>1.2670916924377318E-9</v>
      </c>
      <c r="AC442" s="18">
        <f ca="1">IF(Z442-AA442-AB442&gt;Investimentos!$C$14,Investimentos!$C$14,IF(Z442-AA442-AB442&lt;Investimentos!$C$14,Z442-AA442-AB442,0))</f>
        <v>300000</v>
      </c>
      <c r="AD442" s="18">
        <f t="shared" ca="1" si="56"/>
        <v>27905482.704875838</v>
      </c>
      <c r="AE442" s="18"/>
    </row>
    <row r="443" spans="1:31" x14ac:dyDescent="0.2">
      <c r="A443" s="4">
        <v>59080</v>
      </c>
      <c r="B443" s="5" t="str">
        <f t="shared" si="52"/>
        <v>outubro</v>
      </c>
      <c r="C443" s="5" t="str">
        <f t="shared" si="58"/>
        <v>2061</v>
      </c>
      <c r="D443" s="5">
        <f>SUMIFS(Despesas!$F:$F,Despesas!$J:$J,"&lt;="&amp;$A443,Despesas!$L:$L,"&gt;="&amp;$A443,Despesas!$C:$C,D$1,Despesas!$M:$M,"Mensal")+SUMIFS(Despesas!$F:$F,Despesas!$J:$J,"&lt;="&amp;$A443,Despesas!$L:$L,"&gt;="&amp;$A443,Despesas!$C:$C,D$1,Despesas!$M:$M,$B443)</f>
        <v>23000</v>
      </c>
      <c r="E443" s="18">
        <f>SUMIFS(Despesas!$F:$F,Despesas!$J:$J,"&lt;="&amp;$A443,Despesas!$L:$L,"&gt;="&amp;$A443,Despesas!$C:$C,E$1,Despesas!$M:$M,"Mensal")+SUMIFS(Despesas!$F:$F,Despesas!$J:$J,"&lt;="&amp;$A443,Despesas!$L:$L,"&gt;="&amp;$A443,Despesas!$C:$C,E$1,Despesas!$M:$M,$B443)</f>
        <v>0</v>
      </c>
      <c r="F443" s="5">
        <f>SUMIFS(Despesas!$F:$F,Despesas!$J:$J,"&lt;="&amp;$A443,Despesas!$L:$L,"&gt;="&amp;$A443,Despesas!$C:$C,F$1,Despesas!$M:$M,"Mensal")+SUMIFS(Despesas!$F:$F,Despesas!$J:$J,"&lt;="&amp;$A443,Despesas!$L:$L,"&gt;="&amp;$A443,Despesas!$C:$C,F$1,Despesas!$M:$M,$B443)</f>
        <v>13000</v>
      </c>
      <c r="G443" s="5">
        <f>SUMIFS(Despesas!$F:$F,Despesas!$J:$J,"&lt;="&amp;$A443,Despesas!$L:$L,"&gt;="&amp;$A443,Despesas!$C:$C,G$1,Despesas!$M:$M,"Mensal")+SUMIFS(Despesas!$F:$F,Despesas!$J:$J,"&lt;="&amp;$A443,Despesas!$L:$L,"&gt;="&amp;$A443,Despesas!$C:$C,G$1,Despesas!$M:$M,$B443)</f>
        <v>0</v>
      </c>
      <c r="H443" s="18">
        <f>SUMIFS(Despesas!$F:$F,Despesas!$J:$J,"&lt;="&amp;$A443,Despesas!$L:$L,"&gt;="&amp;$A443,Despesas!$C:$C,H$1,Despesas!$M:$M,"Mensal")+SUMIFS(Despesas!$F:$F,Despesas!$J:$J,"&lt;="&amp;$A443,Despesas!$L:$L,"&gt;="&amp;$A443,Despesas!$C:$C,H$1,Despesas!$M:$M,$B443)</f>
        <v>1000</v>
      </c>
      <c r="I443" s="18">
        <f>IF(Imóveis!$F$2="PRICE",IF(AND(Dados!$A443&gt;=Imóveis!$Q$2,Dados!$A443&lt;=Imóveis!$T$2),Imóveis!$U$2,0),IF((IF(AND(Dados!$A443&gt;=Imóveis!$Q$2,Dados!$A443&lt;=Imóveis!$T$2),Imóveis!$S$2-(DATEDIF(Imóveis!$Q$2,Dados!$A443,"m")),0))=0,0,((Imóveis!$N$2/Imóveis!$S$2)+((Imóveis!$N$2-((Imóveis!$S$2-(IF(AND(Dados!$A443&gt;=Imóveis!$Q$2,Dados!$A443&lt;=Imóveis!$T$2),Imóveis!$S$2-(DATEDIF(Imóveis!$Q$2,Dados!$A443,"m")),)))*(Imóveis!$N$2/Imóveis!$S$2)))*Imóveis!$P$2))))*IF(AND(Imóveis!$E$2&gt;0,Dados!$A443&gt;Imóveis!$E$2),0,1)</f>
        <v>0</v>
      </c>
      <c r="J443" s="18">
        <f>IF(Imóveis!$F$3="PRICE",IF(AND(Dados!$A443&gt;=Imóveis!$Q$3,Dados!$A443&lt;=Imóveis!$T$3),Imóveis!$U$3,0),IF((IF(AND(Dados!$A443&gt;=Imóveis!$Q$3,Dados!$A443&lt;=Imóveis!$T$3),Imóveis!$S$3-(DATEDIF(Imóveis!$Q$3,Dados!$A443,"m")),0))=0,0,((Imóveis!$N$3/Imóveis!$S$3)+((Imóveis!$N$3-((Imóveis!$S$3-(IF(AND(Dados!$A443&gt;=Imóveis!$Q$3,Dados!$A443&lt;=Imóveis!$T$3),Imóveis!$S$3-(DATEDIF(Imóveis!$Q$3,Dados!$A443,"m")),)))*(Imóveis!$N$3/Imóveis!$S$3)))*Imóveis!$P$3))))*IF(AND(Imóveis!$E$3&gt;0,Dados!$A443&gt;Imóveis!$E$3),0,1)</f>
        <v>0</v>
      </c>
      <c r="K443" s="18">
        <f>IF(Imóveis!$F$4="PRICE",IF(AND(Dados!$A443&gt;=Imóveis!$Q$4,Dados!$A443&lt;=Imóveis!$T$4),Imóveis!$U$4,0),IF((IF(AND(Dados!$A443&gt;=Imóveis!$Q$4,Dados!$A443&lt;=Imóveis!$T$4),Imóveis!$S$4-(DATEDIF(Imóveis!$Q$4,Dados!$A443,"m")),0))=0,0,((Imóveis!$N$4/Imóveis!$S$4)+((Imóveis!$N$4-((Imóveis!$S$4-(IF(AND(Dados!$A443&gt;=Imóveis!$Q$4,Dados!$A443&lt;=Imóveis!$T$4),Imóveis!$S$4-(DATEDIF(Imóveis!$Q$4,Dados!$A443,"m")),)))*(Imóveis!$N$4/Imóveis!$S$4)))*Imóveis!$P$4))))*IF(AND(Imóveis!$E$4&gt;0,Dados!$A443&gt;Imóveis!$E$4),0,1)</f>
        <v>0</v>
      </c>
      <c r="L443" s="18">
        <f>IF(Imóveis!$F$5="PRICE",IF(AND(Dados!$A443&gt;=Imóveis!$Q$5,Dados!$A443&lt;=Imóveis!$T$5),Imóveis!$U$5,0),IF((IF(AND(Dados!$A443&gt;=Imóveis!$Q$5,Dados!$A443&lt;=Imóveis!$T$5),Imóveis!$S$5-(DATEDIF(Imóveis!$Q$5,Dados!$A443,"m")),0))=0,0,((Imóveis!$N$5/Imóveis!$S$5)+((Imóveis!$N$5-((Imóveis!$S$5-(IF(AND(Dados!$A443 &gt;=Imóveis!$Q$5,Dados!$A443&lt;=Imóveis!$T$5),Imóveis!$S$5-(DATEDIF(Imóveis!$Q$5,Dados!$A443,"m")),)))*(Imóveis!$N$5/Imóveis!$S$5)))*Imóveis!$P$5))))*IF(AND(Imóveis!$E$5&gt;0,Dados!$A443&gt;Imóveis!$E$5),0,1)*Imóveis!$I$5</f>
        <v>0</v>
      </c>
      <c r="M443" s="18">
        <f>IF(Imóveis!$F$6="PRICE",IF(AND(Dados!$A443&gt;=Imóveis!$Q$6,Dados!$A443&lt;=Imóveis!$T$6),Imóveis!$U$6,0),IF((IF(AND(Dados!$A443&gt;=Imóveis!$Q$6,Dados!$A443&lt;=Imóveis!$T$6),Imóveis!$S$6-(DATEDIF(Imóveis!$Q$6,Dados!$A443,"m")),0))=0,0,((Imóveis!$N$6/Imóveis!$S$6)+((Imóveis!$N$6-((Imóveis!$S$6-(IF(AND(Dados!$A443&gt;=Imóveis!$Q$6,Dados!$A443&lt;=Imóveis!$T$6),Imóveis!$S$6-(DATEDIF(Imóveis!$Q$6,Dados!$A443,"m")),)))*(Imóveis!$N$6/Imóveis!$S$6)))*Imóveis!$P$6))))*IF(AND(Imóveis!$E$6&gt;0,Dados!$A443&gt;Imóveis!$E$6),0,1)*Imóveis!$I$6</f>
        <v>0</v>
      </c>
      <c r="N443" s="18">
        <f t="shared" si="53"/>
        <v>37000</v>
      </c>
      <c r="O443" s="18">
        <f>SUMIFS(Receitas!$F:$F,Receitas!$J:$J,"&lt;="&amp;$A443,Receitas!$L:$L,"&gt;="&amp;$A443,Receitas!$C:$C,O$1,Receitas!$M:$M,"Mensal")+SUMIFS(Receitas!$F:$F,Receitas!$J:$J,"&lt;="&amp;$A443,Receitas!$L:$L,"&gt;="&amp;$A443,Receitas!$C:$C,O$1,Receitas!$M:$M,$B443)</f>
        <v>0</v>
      </c>
      <c r="P443" s="18">
        <f>SUMIFS(Receitas!$F:$F,Receitas!$J:$J,"&lt;="&amp;$A443,Receitas!$L:$L,"&gt;="&amp;$A443,Receitas!$C:$C,P$1,Receitas!$M:$M,"Mensal")+SUMIFS(Receitas!$F:$F,Receitas!$J:$J,"&lt;="&amp;$A443,Receitas!$L:$L,"&gt;="&amp;$A443,Receitas!$C:$C,P$1,Receitas!$M:$M,$B443)</f>
        <v>0</v>
      </c>
      <c r="Q443" s="18">
        <f>SUMIFS(Receitas!$F:$F,Receitas!$J:$J,"&lt;="&amp;$A443,Receitas!$L:$L,"&gt;="&amp;$A443,Receitas!$C:$C,Q$1,Receitas!$M:$M,"Mensal")+SUMIFS(Receitas!$F:$F,Receitas!$J:$J,"&lt;="&amp;$A443,Receitas!$L:$L,"&gt;="&amp;$A443,Receitas!$C:$C,Q$1,Receitas!$M:$M,$B443)</f>
        <v>0</v>
      </c>
      <c r="R443" s="18" cm="1">
        <f t="array" ref="R443">(IF(AND(Membros!$F$2="Sim",A443&lt;=MAX(Membros!$E$2:$E$5)),Membros!K$2,IF(AND(A443&gt;=Membros!J$2,A443&lt;=MAX(Membros!$E$2:$E$5)),Membros!K$2,0))+IF(AND(Membros!$F$3="Sim",A443&lt;=MAX(Membros!$E$2:$E$5)),Membros!K$3,IF(AND(A443&gt;=Membros!J$3,A443&lt;=MAX(Membros!$E$2:$E$5)),Membros!K$3,0)))*IF(AND(COUNTIFS(Tabela3[Tipo],"Provedor",Tabela3[Simulação Seguro],"Sim")=2,A443&gt;=MAX(IF(Tabela3[Tipo]="Dependente",Tabela3[Expectativa de Vida (Data)]))),0,1)</f>
        <v>10000</v>
      </c>
      <c r="S443" s="18">
        <f t="shared" si="54"/>
        <v>10000</v>
      </c>
      <c r="U443" s="18">
        <f t="shared" ca="1" si="57"/>
        <v>28205482.704875838</v>
      </c>
      <c r="V443" s="18">
        <f>SUMIF(Imóveis!E:E,Dados!A:A,Imóveis!Z:Z)-SUMIF(Imóveis!E:E,Dados!A:A,Imóveis!Y:Y)</f>
        <v>0</v>
      </c>
      <c r="W443" s="18">
        <f>-SUMIF(Projetos!N:N,A443,Projetos!F:F)</f>
        <v>0</v>
      </c>
      <c r="X443" s="18">
        <f t="shared" si="51"/>
        <v>-27000</v>
      </c>
      <c r="Y443" s="26">
        <f ca="1">(U443*((Indicadores_Economicos!D$2+1)^(1/12)-1))</f>
        <v>92337.410807075474</v>
      </c>
      <c r="Z443" s="18">
        <f t="shared" ca="1" si="55"/>
        <v>28270820.115682915</v>
      </c>
      <c r="AA443" s="18">
        <f ca="1">Auxiliar_Projetos!E443</f>
        <v>1.6526117671946481E-9</v>
      </c>
      <c r="AB443" s="18">
        <f ca="1">Auxiliar_Projetos!K443</f>
        <v>1.2712398209189589E-9</v>
      </c>
      <c r="AC443" s="18">
        <f ca="1">IF(Z443-AA443-AB443&gt;Investimentos!$C$14,Investimentos!$C$14,IF(Z443-AA443-AB443&lt;Investimentos!$C$14,Z443-AA443-AB443,0))</f>
        <v>300000</v>
      </c>
      <c r="AD443" s="18">
        <f t="shared" ca="1" si="56"/>
        <v>27970820.115682915</v>
      </c>
      <c r="AE443" s="18"/>
    </row>
    <row r="444" spans="1:31" x14ac:dyDescent="0.2">
      <c r="A444" s="4">
        <v>59111</v>
      </c>
      <c r="B444" s="5" t="str">
        <f t="shared" si="52"/>
        <v>novembro</v>
      </c>
      <c r="C444" s="5" t="str">
        <f t="shared" si="58"/>
        <v>2061</v>
      </c>
      <c r="D444" s="5">
        <f>SUMIFS(Despesas!$F:$F,Despesas!$J:$J,"&lt;="&amp;$A444,Despesas!$L:$L,"&gt;="&amp;$A444,Despesas!$C:$C,D$1,Despesas!$M:$M,"Mensal")+SUMIFS(Despesas!$F:$F,Despesas!$J:$J,"&lt;="&amp;$A444,Despesas!$L:$L,"&gt;="&amp;$A444,Despesas!$C:$C,D$1,Despesas!$M:$M,$B444)</f>
        <v>23000</v>
      </c>
      <c r="E444" s="18">
        <f>SUMIFS(Despesas!$F:$F,Despesas!$J:$J,"&lt;="&amp;$A444,Despesas!$L:$L,"&gt;="&amp;$A444,Despesas!$C:$C,E$1,Despesas!$M:$M,"Mensal")+SUMIFS(Despesas!$F:$F,Despesas!$J:$J,"&lt;="&amp;$A444,Despesas!$L:$L,"&gt;="&amp;$A444,Despesas!$C:$C,E$1,Despesas!$M:$M,$B444)</f>
        <v>0</v>
      </c>
      <c r="F444" s="5">
        <f>SUMIFS(Despesas!$F:$F,Despesas!$J:$J,"&lt;="&amp;$A444,Despesas!$L:$L,"&gt;="&amp;$A444,Despesas!$C:$C,F$1,Despesas!$M:$M,"Mensal")+SUMIFS(Despesas!$F:$F,Despesas!$J:$J,"&lt;="&amp;$A444,Despesas!$L:$L,"&gt;="&amp;$A444,Despesas!$C:$C,F$1,Despesas!$M:$M,$B444)</f>
        <v>13000</v>
      </c>
      <c r="G444" s="5">
        <f>SUMIFS(Despesas!$F:$F,Despesas!$J:$J,"&lt;="&amp;$A444,Despesas!$L:$L,"&gt;="&amp;$A444,Despesas!$C:$C,G$1,Despesas!$M:$M,"Mensal")+SUMIFS(Despesas!$F:$F,Despesas!$J:$J,"&lt;="&amp;$A444,Despesas!$L:$L,"&gt;="&amp;$A444,Despesas!$C:$C,G$1,Despesas!$M:$M,$B444)</f>
        <v>0</v>
      </c>
      <c r="H444" s="18">
        <f>SUMIFS(Despesas!$F:$F,Despesas!$J:$J,"&lt;="&amp;$A444,Despesas!$L:$L,"&gt;="&amp;$A444,Despesas!$C:$C,H$1,Despesas!$M:$M,"Mensal")+SUMIFS(Despesas!$F:$F,Despesas!$J:$J,"&lt;="&amp;$A444,Despesas!$L:$L,"&gt;="&amp;$A444,Despesas!$C:$C,H$1,Despesas!$M:$M,$B444)</f>
        <v>1000</v>
      </c>
      <c r="I444" s="18">
        <f>IF(Imóveis!$F$2="PRICE",IF(AND(Dados!$A444&gt;=Imóveis!$Q$2,Dados!$A444&lt;=Imóveis!$T$2),Imóveis!$U$2,0),IF((IF(AND(Dados!$A444&gt;=Imóveis!$Q$2,Dados!$A444&lt;=Imóveis!$T$2),Imóveis!$S$2-(DATEDIF(Imóveis!$Q$2,Dados!$A444,"m")),0))=0,0,((Imóveis!$N$2/Imóveis!$S$2)+((Imóveis!$N$2-((Imóveis!$S$2-(IF(AND(Dados!$A444&gt;=Imóveis!$Q$2,Dados!$A444&lt;=Imóveis!$T$2),Imóveis!$S$2-(DATEDIF(Imóveis!$Q$2,Dados!$A444,"m")),)))*(Imóveis!$N$2/Imóveis!$S$2)))*Imóveis!$P$2))))*IF(AND(Imóveis!$E$2&gt;0,Dados!$A444&gt;Imóveis!$E$2),0,1)</f>
        <v>0</v>
      </c>
      <c r="J444" s="18">
        <f>IF(Imóveis!$F$3="PRICE",IF(AND(Dados!$A444&gt;=Imóveis!$Q$3,Dados!$A444&lt;=Imóveis!$T$3),Imóveis!$U$3,0),IF((IF(AND(Dados!$A444&gt;=Imóveis!$Q$3,Dados!$A444&lt;=Imóveis!$T$3),Imóveis!$S$3-(DATEDIF(Imóveis!$Q$3,Dados!$A444,"m")),0))=0,0,((Imóveis!$N$3/Imóveis!$S$3)+((Imóveis!$N$3-((Imóveis!$S$3-(IF(AND(Dados!$A444&gt;=Imóveis!$Q$3,Dados!$A444&lt;=Imóveis!$T$3),Imóveis!$S$3-(DATEDIF(Imóveis!$Q$3,Dados!$A444,"m")),)))*(Imóveis!$N$3/Imóveis!$S$3)))*Imóveis!$P$3))))*IF(AND(Imóveis!$E$3&gt;0,Dados!$A444&gt;Imóveis!$E$3),0,1)</f>
        <v>0</v>
      </c>
      <c r="K444" s="18">
        <f>IF(Imóveis!$F$4="PRICE",IF(AND(Dados!$A444&gt;=Imóveis!$Q$4,Dados!$A444&lt;=Imóveis!$T$4),Imóveis!$U$4,0),IF((IF(AND(Dados!$A444&gt;=Imóveis!$Q$4,Dados!$A444&lt;=Imóveis!$T$4),Imóveis!$S$4-(DATEDIF(Imóveis!$Q$4,Dados!$A444,"m")),0))=0,0,((Imóveis!$N$4/Imóveis!$S$4)+((Imóveis!$N$4-((Imóveis!$S$4-(IF(AND(Dados!$A444&gt;=Imóveis!$Q$4,Dados!$A444&lt;=Imóveis!$T$4),Imóveis!$S$4-(DATEDIF(Imóveis!$Q$4,Dados!$A444,"m")),)))*(Imóveis!$N$4/Imóveis!$S$4)))*Imóveis!$P$4))))*IF(AND(Imóveis!$E$4&gt;0,Dados!$A444&gt;Imóveis!$E$4),0,1)</f>
        <v>0</v>
      </c>
      <c r="L444" s="18">
        <f>IF(Imóveis!$F$5="PRICE",IF(AND(Dados!$A444&gt;=Imóveis!$Q$5,Dados!$A444&lt;=Imóveis!$T$5),Imóveis!$U$5,0),IF((IF(AND(Dados!$A444&gt;=Imóveis!$Q$5,Dados!$A444&lt;=Imóveis!$T$5),Imóveis!$S$5-(DATEDIF(Imóveis!$Q$5,Dados!$A444,"m")),0))=0,0,((Imóveis!$N$5/Imóveis!$S$5)+((Imóveis!$N$5-((Imóveis!$S$5-(IF(AND(Dados!$A444 &gt;=Imóveis!$Q$5,Dados!$A444&lt;=Imóveis!$T$5),Imóveis!$S$5-(DATEDIF(Imóveis!$Q$5,Dados!$A444,"m")),)))*(Imóveis!$N$5/Imóveis!$S$5)))*Imóveis!$P$5))))*IF(AND(Imóveis!$E$5&gt;0,Dados!$A444&gt;Imóveis!$E$5),0,1)*Imóveis!$I$5</f>
        <v>0</v>
      </c>
      <c r="M444" s="18">
        <f>IF(Imóveis!$F$6="PRICE",IF(AND(Dados!$A444&gt;=Imóveis!$Q$6,Dados!$A444&lt;=Imóveis!$T$6),Imóveis!$U$6,0),IF((IF(AND(Dados!$A444&gt;=Imóveis!$Q$6,Dados!$A444&lt;=Imóveis!$T$6),Imóveis!$S$6-(DATEDIF(Imóveis!$Q$6,Dados!$A444,"m")),0))=0,0,((Imóveis!$N$6/Imóveis!$S$6)+((Imóveis!$N$6-((Imóveis!$S$6-(IF(AND(Dados!$A444&gt;=Imóveis!$Q$6,Dados!$A444&lt;=Imóveis!$T$6),Imóveis!$S$6-(DATEDIF(Imóveis!$Q$6,Dados!$A444,"m")),)))*(Imóveis!$N$6/Imóveis!$S$6)))*Imóveis!$P$6))))*IF(AND(Imóveis!$E$6&gt;0,Dados!$A444&gt;Imóveis!$E$6),0,1)*Imóveis!$I$6</f>
        <v>0</v>
      </c>
      <c r="N444" s="18">
        <f t="shared" si="53"/>
        <v>37000</v>
      </c>
      <c r="O444" s="18">
        <f>SUMIFS(Receitas!$F:$F,Receitas!$J:$J,"&lt;="&amp;$A444,Receitas!$L:$L,"&gt;="&amp;$A444,Receitas!$C:$C,O$1,Receitas!$M:$M,"Mensal")+SUMIFS(Receitas!$F:$F,Receitas!$J:$J,"&lt;="&amp;$A444,Receitas!$L:$L,"&gt;="&amp;$A444,Receitas!$C:$C,O$1,Receitas!$M:$M,$B444)</f>
        <v>0</v>
      </c>
      <c r="P444" s="18">
        <f>SUMIFS(Receitas!$F:$F,Receitas!$J:$J,"&lt;="&amp;$A444,Receitas!$L:$L,"&gt;="&amp;$A444,Receitas!$C:$C,P$1,Receitas!$M:$M,"Mensal")+SUMIFS(Receitas!$F:$F,Receitas!$J:$J,"&lt;="&amp;$A444,Receitas!$L:$L,"&gt;="&amp;$A444,Receitas!$C:$C,P$1,Receitas!$M:$M,$B444)</f>
        <v>0</v>
      </c>
      <c r="Q444" s="18">
        <f>SUMIFS(Receitas!$F:$F,Receitas!$J:$J,"&lt;="&amp;$A444,Receitas!$L:$L,"&gt;="&amp;$A444,Receitas!$C:$C,Q$1,Receitas!$M:$M,"Mensal")+SUMIFS(Receitas!$F:$F,Receitas!$J:$J,"&lt;="&amp;$A444,Receitas!$L:$L,"&gt;="&amp;$A444,Receitas!$C:$C,Q$1,Receitas!$M:$M,$B444)</f>
        <v>0</v>
      </c>
      <c r="R444" s="18" cm="1">
        <f t="array" ref="R444">(IF(AND(Membros!$F$2="Sim",A444&lt;=MAX(Membros!$E$2:$E$5)),Membros!K$2,IF(AND(A444&gt;=Membros!J$2,A444&lt;=MAX(Membros!$E$2:$E$5)),Membros!K$2,0))+IF(AND(Membros!$F$3="Sim",A444&lt;=MAX(Membros!$E$2:$E$5)),Membros!K$3,IF(AND(A444&gt;=Membros!J$3,A444&lt;=MAX(Membros!$E$2:$E$5)),Membros!K$3,0)))*IF(AND(COUNTIFS(Tabela3[Tipo],"Provedor",Tabela3[Simulação Seguro],"Sim")=2,A444&gt;=MAX(IF(Tabela3[Tipo]="Dependente",Tabela3[Expectativa de Vida (Data)]))),0,1)</f>
        <v>10000</v>
      </c>
      <c r="S444" s="18">
        <f t="shared" si="54"/>
        <v>10000</v>
      </c>
      <c r="U444" s="18">
        <f t="shared" ca="1" si="57"/>
        <v>28270820.115682915</v>
      </c>
      <c r="V444" s="18">
        <f>SUMIF(Imóveis!E:E,Dados!A:A,Imóveis!Z:Z)-SUMIF(Imóveis!E:E,Dados!A:A,Imóveis!Y:Y)</f>
        <v>0</v>
      </c>
      <c r="W444" s="18">
        <f>-SUMIF(Projetos!N:N,A444,Projetos!F:F)</f>
        <v>0</v>
      </c>
      <c r="X444" s="18">
        <f t="shared" si="51"/>
        <v>-27000</v>
      </c>
      <c r="Y444" s="26">
        <f ca="1">(U444*((Indicadores_Economicos!D$2+1)^(1/12)-1))</f>
        <v>92551.308488100476</v>
      </c>
      <c r="Z444" s="18">
        <f t="shared" ca="1" si="55"/>
        <v>28336371.424171016</v>
      </c>
      <c r="AA444" s="18">
        <f ca="1">Auxiliar_Projetos!E444</f>
        <v>1.6580219880814433E-9</v>
      </c>
      <c r="AB444" s="18">
        <f ca="1">Auxiliar_Projetos!K444</f>
        <v>1.2754015292934167E-9</v>
      </c>
      <c r="AC444" s="18">
        <f ca="1">IF(Z444-AA444-AB444&gt;Investimentos!$C$14,Investimentos!$C$14,IF(Z444-AA444-AB444&lt;Investimentos!$C$14,Z444-AA444-AB444,0))</f>
        <v>300000</v>
      </c>
      <c r="AD444" s="18">
        <f t="shared" ca="1" si="56"/>
        <v>28036371.424171016</v>
      </c>
      <c r="AE444" s="18"/>
    </row>
    <row r="445" spans="1:31" x14ac:dyDescent="0.2">
      <c r="A445" s="4">
        <v>59141</v>
      </c>
      <c r="B445" s="5" t="str">
        <f t="shared" si="52"/>
        <v>dezembro</v>
      </c>
      <c r="C445" s="5" t="str">
        <f t="shared" si="58"/>
        <v>2061</v>
      </c>
      <c r="D445" s="5">
        <f>SUMIFS(Despesas!$F:$F,Despesas!$J:$J,"&lt;="&amp;$A445,Despesas!$L:$L,"&gt;="&amp;$A445,Despesas!$C:$C,D$1,Despesas!$M:$M,"Mensal")+SUMIFS(Despesas!$F:$F,Despesas!$J:$J,"&lt;="&amp;$A445,Despesas!$L:$L,"&gt;="&amp;$A445,Despesas!$C:$C,D$1,Despesas!$M:$M,$B445)</f>
        <v>23000</v>
      </c>
      <c r="E445" s="18">
        <f>SUMIFS(Despesas!$F:$F,Despesas!$J:$J,"&lt;="&amp;$A445,Despesas!$L:$L,"&gt;="&amp;$A445,Despesas!$C:$C,E$1,Despesas!$M:$M,"Mensal")+SUMIFS(Despesas!$F:$F,Despesas!$J:$J,"&lt;="&amp;$A445,Despesas!$L:$L,"&gt;="&amp;$A445,Despesas!$C:$C,E$1,Despesas!$M:$M,$B445)</f>
        <v>0</v>
      </c>
      <c r="F445" s="5">
        <f>SUMIFS(Despesas!$F:$F,Despesas!$J:$J,"&lt;="&amp;$A445,Despesas!$L:$L,"&gt;="&amp;$A445,Despesas!$C:$C,F$1,Despesas!$M:$M,"Mensal")+SUMIFS(Despesas!$F:$F,Despesas!$J:$J,"&lt;="&amp;$A445,Despesas!$L:$L,"&gt;="&amp;$A445,Despesas!$C:$C,F$1,Despesas!$M:$M,$B445)</f>
        <v>13000</v>
      </c>
      <c r="G445" s="5">
        <f ca="1">SUMIFS(Despesas!$F:$F,Despesas!$J:$J,"&lt;="&amp;$A445,Despesas!$L:$L,"&gt;="&amp;$A445,Despesas!$C:$C,G$1,Despesas!$M:$M,"Mensal")+SUMIFS(Despesas!$F:$F,Despesas!$J:$J,"&lt;="&amp;$A445,Despesas!$L:$L,"&gt;="&amp;$A445,Despesas!$C:$C,G$1,Despesas!$M:$M,$B445)</f>
        <v>55757</v>
      </c>
      <c r="H445" s="18">
        <f>SUMIFS(Despesas!$F:$F,Despesas!$J:$J,"&lt;="&amp;$A445,Despesas!$L:$L,"&gt;="&amp;$A445,Despesas!$C:$C,H$1,Despesas!$M:$M,"Mensal")+SUMIFS(Despesas!$F:$F,Despesas!$J:$J,"&lt;="&amp;$A445,Despesas!$L:$L,"&gt;="&amp;$A445,Despesas!$C:$C,H$1,Despesas!$M:$M,$B445)</f>
        <v>1000</v>
      </c>
      <c r="I445" s="18">
        <f>IF(Imóveis!$F$2="PRICE",IF(AND(Dados!$A445&gt;=Imóveis!$Q$2,Dados!$A445&lt;=Imóveis!$T$2),Imóveis!$U$2,0),IF((IF(AND(Dados!$A445&gt;=Imóveis!$Q$2,Dados!$A445&lt;=Imóveis!$T$2),Imóveis!$S$2-(DATEDIF(Imóveis!$Q$2,Dados!$A445,"m")),0))=0,0,((Imóveis!$N$2/Imóveis!$S$2)+((Imóveis!$N$2-((Imóveis!$S$2-(IF(AND(Dados!$A445&gt;=Imóveis!$Q$2,Dados!$A445&lt;=Imóveis!$T$2),Imóveis!$S$2-(DATEDIF(Imóveis!$Q$2,Dados!$A445,"m")),)))*(Imóveis!$N$2/Imóveis!$S$2)))*Imóveis!$P$2))))*IF(AND(Imóveis!$E$2&gt;0,Dados!$A445&gt;Imóveis!$E$2),0,1)</f>
        <v>0</v>
      </c>
      <c r="J445" s="18">
        <f>IF(Imóveis!$F$3="PRICE",IF(AND(Dados!$A445&gt;=Imóveis!$Q$3,Dados!$A445&lt;=Imóveis!$T$3),Imóveis!$U$3,0),IF((IF(AND(Dados!$A445&gt;=Imóveis!$Q$3,Dados!$A445&lt;=Imóveis!$T$3),Imóveis!$S$3-(DATEDIF(Imóveis!$Q$3,Dados!$A445,"m")),0))=0,0,((Imóveis!$N$3/Imóveis!$S$3)+((Imóveis!$N$3-((Imóveis!$S$3-(IF(AND(Dados!$A445&gt;=Imóveis!$Q$3,Dados!$A445&lt;=Imóveis!$T$3),Imóveis!$S$3-(DATEDIF(Imóveis!$Q$3,Dados!$A445,"m")),)))*(Imóveis!$N$3/Imóveis!$S$3)))*Imóveis!$P$3))))*IF(AND(Imóveis!$E$3&gt;0,Dados!$A445&gt;Imóveis!$E$3),0,1)</f>
        <v>0</v>
      </c>
      <c r="K445" s="18">
        <f>IF(Imóveis!$F$4="PRICE",IF(AND(Dados!$A445&gt;=Imóveis!$Q$4,Dados!$A445&lt;=Imóveis!$T$4),Imóveis!$U$4,0),IF((IF(AND(Dados!$A445&gt;=Imóveis!$Q$4,Dados!$A445&lt;=Imóveis!$T$4),Imóveis!$S$4-(DATEDIF(Imóveis!$Q$4,Dados!$A445,"m")),0))=0,0,((Imóveis!$N$4/Imóveis!$S$4)+((Imóveis!$N$4-((Imóveis!$S$4-(IF(AND(Dados!$A445&gt;=Imóveis!$Q$4,Dados!$A445&lt;=Imóveis!$T$4),Imóveis!$S$4-(DATEDIF(Imóveis!$Q$4,Dados!$A445,"m")),)))*(Imóveis!$N$4/Imóveis!$S$4)))*Imóveis!$P$4))))*IF(AND(Imóveis!$E$4&gt;0,Dados!$A445&gt;Imóveis!$E$4),0,1)</f>
        <v>0</v>
      </c>
      <c r="L445" s="18">
        <f>IF(Imóveis!$F$5="PRICE",IF(AND(Dados!$A445&gt;=Imóveis!$Q$5,Dados!$A445&lt;=Imóveis!$T$5),Imóveis!$U$5,0),IF((IF(AND(Dados!$A445&gt;=Imóveis!$Q$5,Dados!$A445&lt;=Imóveis!$T$5),Imóveis!$S$5-(DATEDIF(Imóveis!$Q$5,Dados!$A445,"m")),0))=0,0,((Imóveis!$N$5/Imóveis!$S$5)+((Imóveis!$N$5-((Imóveis!$S$5-(IF(AND(Dados!$A445 &gt;=Imóveis!$Q$5,Dados!$A445&lt;=Imóveis!$T$5),Imóveis!$S$5-(DATEDIF(Imóveis!$Q$5,Dados!$A445,"m")),)))*(Imóveis!$N$5/Imóveis!$S$5)))*Imóveis!$P$5))))*IF(AND(Imóveis!$E$5&gt;0,Dados!$A445&gt;Imóveis!$E$5),0,1)*Imóveis!$I$5</f>
        <v>0</v>
      </c>
      <c r="M445" s="18">
        <f>IF(Imóveis!$F$6="PRICE",IF(AND(Dados!$A445&gt;=Imóveis!$Q$6,Dados!$A445&lt;=Imóveis!$T$6),Imóveis!$U$6,0),IF((IF(AND(Dados!$A445&gt;=Imóveis!$Q$6,Dados!$A445&lt;=Imóveis!$T$6),Imóveis!$S$6-(DATEDIF(Imóveis!$Q$6,Dados!$A445,"m")),0))=0,0,((Imóveis!$N$6/Imóveis!$S$6)+((Imóveis!$N$6-((Imóveis!$S$6-(IF(AND(Dados!$A445&gt;=Imóveis!$Q$6,Dados!$A445&lt;=Imóveis!$T$6),Imóveis!$S$6-(DATEDIF(Imóveis!$Q$6,Dados!$A445,"m")),)))*(Imóveis!$N$6/Imóveis!$S$6)))*Imóveis!$P$6))))*IF(AND(Imóveis!$E$6&gt;0,Dados!$A445&gt;Imóveis!$E$6),0,1)*Imóveis!$I$6</f>
        <v>0</v>
      </c>
      <c r="N445" s="18">
        <f t="shared" ca="1" si="53"/>
        <v>92757</v>
      </c>
      <c r="O445" s="18">
        <f>SUMIFS(Receitas!$F:$F,Receitas!$J:$J,"&lt;="&amp;$A445,Receitas!$L:$L,"&gt;="&amp;$A445,Receitas!$C:$C,O$1,Receitas!$M:$M,"Mensal")+SUMIFS(Receitas!$F:$F,Receitas!$J:$J,"&lt;="&amp;$A445,Receitas!$L:$L,"&gt;="&amp;$A445,Receitas!$C:$C,O$1,Receitas!$M:$M,$B445)</f>
        <v>0</v>
      </c>
      <c r="P445" s="18">
        <f>SUMIFS(Receitas!$F:$F,Receitas!$J:$J,"&lt;="&amp;$A445,Receitas!$L:$L,"&gt;="&amp;$A445,Receitas!$C:$C,P$1,Receitas!$M:$M,"Mensal")+SUMIFS(Receitas!$F:$F,Receitas!$J:$J,"&lt;="&amp;$A445,Receitas!$L:$L,"&gt;="&amp;$A445,Receitas!$C:$C,P$1,Receitas!$M:$M,$B445)</f>
        <v>0</v>
      </c>
      <c r="Q445" s="18">
        <f>SUMIFS(Receitas!$F:$F,Receitas!$J:$J,"&lt;="&amp;$A445,Receitas!$L:$L,"&gt;="&amp;$A445,Receitas!$C:$C,Q$1,Receitas!$M:$M,"Mensal")+SUMIFS(Receitas!$F:$F,Receitas!$J:$J,"&lt;="&amp;$A445,Receitas!$L:$L,"&gt;="&amp;$A445,Receitas!$C:$C,Q$1,Receitas!$M:$M,$B445)</f>
        <v>0</v>
      </c>
      <c r="R445" s="18" cm="1">
        <f t="array" ref="R445">(IF(AND(Membros!$F$2="Sim",A445&lt;=MAX(Membros!$E$2:$E$5)),Membros!K$2,IF(AND(A445&gt;=Membros!J$2,A445&lt;=MAX(Membros!$E$2:$E$5)),Membros!K$2,0))+IF(AND(Membros!$F$3="Sim",A445&lt;=MAX(Membros!$E$2:$E$5)),Membros!K$3,IF(AND(A445&gt;=Membros!J$3,A445&lt;=MAX(Membros!$E$2:$E$5)),Membros!K$3,0)))*IF(AND(COUNTIFS(Tabela3[Tipo],"Provedor",Tabela3[Simulação Seguro],"Sim")=2,A445&gt;=MAX(IF(Tabela3[Tipo]="Dependente",Tabela3[Expectativa de Vida (Data)]))),0,1)</f>
        <v>10000</v>
      </c>
      <c r="S445" s="18">
        <f t="shared" si="54"/>
        <v>10000</v>
      </c>
      <c r="U445" s="18">
        <f t="shared" ca="1" si="57"/>
        <v>28336371.424171016</v>
      </c>
      <c r="V445" s="18">
        <f>SUMIF(Imóveis!E:E,Dados!A:A,Imóveis!Z:Z)-SUMIF(Imóveis!E:E,Dados!A:A,Imóveis!Y:Y)</f>
        <v>0</v>
      </c>
      <c r="W445" s="18">
        <f>-SUMIF(Projetos!N:N,A445,Projetos!F:F)</f>
        <v>0</v>
      </c>
      <c r="X445" s="18">
        <f t="shared" ca="1" si="51"/>
        <v>-82757</v>
      </c>
      <c r="Y445" s="26">
        <f ca="1">(U445*((Indicadores_Economicos!D$2+1)^(1/12)-1))</f>
        <v>92765.906414473167</v>
      </c>
      <c r="Z445" s="18">
        <f t="shared" ca="1" si="55"/>
        <v>28346380.330585487</v>
      </c>
      <c r="AA445" s="18">
        <f ca="1">Auxiliar_Projetos!E445</f>
        <v>1.663449920623586E-9</v>
      </c>
      <c r="AB445" s="18">
        <f ca="1">Auxiliar_Projetos!K445</f>
        <v>1.2795768620181419E-9</v>
      </c>
      <c r="AC445" s="18">
        <f ca="1">IF(Z445-AA445-AB445&gt;Investimentos!$C$14,Investimentos!$C$14,IF(Z445-AA445-AB445&lt;Investimentos!$C$14,Z445-AA445-AB445,0))</f>
        <v>300000</v>
      </c>
      <c r="AD445" s="18">
        <f t="shared" ca="1" si="56"/>
        <v>28046380.330585487</v>
      </c>
      <c r="AE445" s="18"/>
    </row>
    <row r="446" spans="1:31" x14ac:dyDescent="0.2">
      <c r="A446" s="4">
        <v>59172</v>
      </c>
      <c r="B446" s="5" t="str">
        <f t="shared" si="52"/>
        <v>janeiro</v>
      </c>
      <c r="C446" s="5" t="str">
        <f t="shared" si="58"/>
        <v>2062</v>
      </c>
      <c r="D446" s="5">
        <f>SUMIFS(Despesas!$F:$F,Despesas!$J:$J,"&lt;="&amp;$A446,Despesas!$L:$L,"&gt;="&amp;$A446,Despesas!$C:$C,D$1,Despesas!$M:$M,"Mensal")+SUMIFS(Despesas!$F:$F,Despesas!$J:$J,"&lt;="&amp;$A446,Despesas!$L:$L,"&gt;="&amp;$A446,Despesas!$C:$C,D$1,Despesas!$M:$M,$B446)</f>
        <v>23000</v>
      </c>
      <c r="E446" s="18">
        <f>SUMIFS(Despesas!$F:$F,Despesas!$J:$J,"&lt;="&amp;$A446,Despesas!$L:$L,"&gt;="&amp;$A446,Despesas!$C:$C,E$1,Despesas!$M:$M,"Mensal")+SUMIFS(Despesas!$F:$F,Despesas!$J:$J,"&lt;="&amp;$A446,Despesas!$L:$L,"&gt;="&amp;$A446,Despesas!$C:$C,E$1,Despesas!$M:$M,$B446)</f>
        <v>0</v>
      </c>
      <c r="F446" s="5">
        <f>SUMIFS(Despesas!$F:$F,Despesas!$J:$J,"&lt;="&amp;$A446,Despesas!$L:$L,"&gt;="&amp;$A446,Despesas!$C:$C,F$1,Despesas!$M:$M,"Mensal")+SUMIFS(Despesas!$F:$F,Despesas!$J:$J,"&lt;="&amp;$A446,Despesas!$L:$L,"&gt;="&amp;$A446,Despesas!$C:$C,F$1,Despesas!$M:$M,$B446)</f>
        <v>13000</v>
      </c>
      <c r="G446" s="5">
        <f>SUMIFS(Despesas!$F:$F,Despesas!$J:$J,"&lt;="&amp;$A446,Despesas!$L:$L,"&gt;="&amp;$A446,Despesas!$C:$C,G$1,Despesas!$M:$M,"Mensal")+SUMIFS(Despesas!$F:$F,Despesas!$J:$J,"&lt;="&amp;$A446,Despesas!$L:$L,"&gt;="&amp;$A446,Despesas!$C:$C,G$1,Despesas!$M:$M,$B446)</f>
        <v>0</v>
      </c>
      <c r="H446" s="18">
        <f>SUMIFS(Despesas!$F:$F,Despesas!$J:$J,"&lt;="&amp;$A446,Despesas!$L:$L,"&gt;="&amp;$A446,Despesas!$C:$C,H$1,Despesas!$M:$M,"Mensal")+SUMIFS(Despesas!$F:$F,Despesas!$J:$J,"&lt;="&amp;$A446,Despesas!$L:$L,"&gt;="&amp;$A446,Despesas!$C:$C,H$1,Despesas!$M:$M,$B446)</f>
        <v>1000</v>
      </c>
      <c r="I446" s="18">
        <f>IF(Imóveis!$F$2="PRICE",IF(AND(Dados!$A446&gt;=Imóveis!$Q$2,Dados!$A446&lt;=Imóveis!$T$2),Imóveis!$U$2,0),IF((IF(AND(Dados!$A446&gt;=Imóveis!$Q$2,Dados!$A446&lt;=Imóveis!$T$2),Imóveis!$S$2-(DATEDIF(Imóveis!$Q$2,Dados!$A446,"m")),0))=0,0,((Imóveis!$N$2/Imóveis!$S$2)+((Imóveis!$N$2-((Imóveis!$S$2-(IF(AND(Dados!$A446&gt;=Imóveis!$Q$2,Dados!$A446&lt;=Imóveis!$T$2),Imóveis!$S$2-(DATEDIF(Imóveis!$Q$2,Dados!$A446,"m")),)))*(Imóveis!$N$2/Imóveis!$S$2)))*Imóveis!$P$2))))*IF(AND(Imóveis!$E$2&gt;0,Dados!$A446&gt;Imóveis!$E$2),0,1)</f>
        <v>0</v>
      </c>
      <c r="J446" s="18">
        <f>IF(Imóveis!$F$3="PRICE",IF(AND(Dados!$A446&gt;=Imóveis!$Q$3,Dados!$A446&lt;=Imóveis!$T$3),Imóveis!$U$3,0),IF((IF(AND(Dados!$A446&gt;=Imóveis!$Q$3,Dados!$A446&lt;=Imóveis!$T$3),Imóveis!$S$3-(DATEDIF(Imóveis!$Q$3,Dados!$A446,"m")),0))=0,0,((Imóveis!$N$3/Imóveis!$S$3)+((Imóveis!$N$3-((Imóveis!$S$3-(IF(AND(Dados!$A446&gt;=Imóveis!$Q$3,Dados!$A446&lt;=Imóveis!$T$3),Imóveis!$S$3-(DATEDIF(Imóveis!$Q$3,Dados!$A446,"m")),)))*(Imóveis!$N$3/Imóveis!$S$3)))*Imóveis!$P$3))))*IF(AND(Imóveis!$E$3&gt;0,Dados!$A446&gt;Imóveis!$E$3),0,1)</f>
        <v>0</v>
      </c>
      <c r="K446" s="18">
        <f>IF(Imóveis!$F$4="PRICE",IF(AND(Dados!$A446&gt;=Imóveis!$Q$4,Dados!$A446&lt;=Imóveis!$T$4),Imóveis!$U$4,0),IF((IF(AND(Dados!$A446&gt;=Imóveis!$Q$4,Dados!$A446&lt;=Imóveis!$T$4),Imóveis!$S$4-(DATEDIF(Imóveis!$Q$4,Dados!$A446,"m")),0))=0,0,((Imóveis!$N$4/Imóveis!$S$4)+((Imóveis!$N$4-((Imóveis!$S$4-(IF(AND(Dados!$A446&gt;=Imóveis!$Q$4,Dados!$A446&lt;=Imóveis!$T$4),Imóveis!$S$4-(DATEDIF(Imóveis!$Q$4,Dados!$A446,"m")),)))*(Imóveis!$N$4/Imóveis!$S$4)))*Imóveis!$P$4))))*IF(AND(Imóveis!$E$4&gt;0,Dados!$A446&gt;Imóveis!$E$4),0,1)</f>
        <v>0</v>
      </c>
      <c r="L446" s="18">
        <f>IF(Imóveis!$F$5="PRICE",IF(AND(Dados!$A446&gt;=Imóveis!$Q$5,Dados!$A446&lt;=Imóveis!$T$5),Imóveis!$U$5,0),IF((IF(AND(Dados!$A446&gt;=Imóveis!$Q$5,Dados!$A446&lt;=Imóveis!$T$5),Imóveis!$S$5-(DATEDIF(Imóveis!$Q$5,Dados!$A446,"m")),0))=0,0,((Imóveis!$N$5/Imóveis!$S$5)+((Imóveis!$N$5-((Imóveis!$S$5-(IF(AND(Dados!$A446 &gt;=Imóveis!$Q$5,Dados!$A446&lt;=Imóveis!$T$5),Imóveis!$S$5-(DATEDIF(Imóveis!$Q$5,Dados!$A446,"m")),)))*(Imóveis!$N$5/Imóveis!$S$5)))*Imóveis!$P$5))))*IF(AND(Imóveis!$E$5&gt;0,Dados!$A446&gt;Imóveis!$E$5),0,1)*Imóveis!$I$5</f>
        <v>0</v>
      </c>
      <c r="M446" s="18">
        <f>IF(Imóveis!$F$6="PRICE",IF(AND(Dados!$A446&gt;=Imóveis!$Q$6,Dados!$A446&lt;=Imóveis!$T$6),Imóveis!$U$6,0),IF((IF(AND(Dados!$A446&gt;=Imóveis!$Q$6,Dados!$A446&lt;=Imóveis!$T$6),Imóveis!$S$6-(DATEDIF(Imóveis!$Q$6,Dados!$A446,"m")),0))=0,0,((Imóveis!$N$6/Imóveis!$S$6)+((Imóveis!$N$6-((Imóveis!$S$6-(IF(AND(Dados!$A446&gt;=Imóveis!$Q$6,Dados!$A446&lt;=Imóveis!$T$6),Imóveis!$S$6-(DATEDIF(Imóveis!$Q$6,Dados!$A446,"m")),)))*(Imóveis!$N$6/Imóveis!$S$6)))*Imóveis!$P$6))))*IF(AND(Imóveis!$E$6&gt;0,Dados!$A446&gt;Imóveis!$E$6),0,1)*Imóveis!$I$6</f>
        <v>0</v>
      </c>
      <c r="N446" s="18">
        <f t="shared" si="53"/>
        <v>37000</v>
      </c>
      <c r="O446" s="18">
        <f>SUMIFS(Receitas!$F:$F,Receitas!$J:$J,"&lt;="&amp;$A446,Receitas!$L:$L,"&gt;="&amp;$A446,Receitas!$C:$C,O$1,Receitas!$M:$M,"Mensal")+SUMIFS(Receitas!$F:$F,Receitas!$J:$J,"&lt;="&amp;$A446,Receitas!$L:$L,"&gt;="&amp;$A446,Receitas!$C:$C,O$1,Receitas!$M:$M,$B446)</f>
        <v>0</v>
      </c>
      <c r="P446" s="18">
        <f>SUMIFS(Receitas!$F:$F,Receitas!$J:$J,"&lt;="&amp;$A446,Receitas!$L:$L,"&gt;="&amp;$A446,Receitas!$C:$C,P$1,Receitas!$M:$M,"Mensal")+SUMIFS(Receitas!$F:$F,Receitas!$J:$J,"&lt;="&amp;$A446,Receitas!$L:$L,"&gt;="&amp;$A446,Receitas!$C:$C,P$1,Receitas!$M:$M,$B446)</f>
        <v>0</v>
      </c>
      <c r="Q446" s="18">
        <f>SUMIFS(Receitas!$F:$F,Receitas!$J:$J,"&lt;="&amp;$A446,Receitas!$L:$L,"&gt;="&amp;$A446,Receitas!$C:$C,Q$1,Receitas!$M:$M,"Mensal")+SUMIFS(Receitas!$F:$F,Receitas!$J:$J,"&lt;="&amp;$A446,Receitas!$L:$L,"&gt;="&amp;$A446,Receitas!$C:$C,Q$1,Receitas!$M:$M,$B446)</f>
        <v>0</v>
      </c>
      <c r="R446" s="18" cm="1">
        <f t="array" ref="R446">(IF(AND(Membros!$F$2="Sim",A446&lt;=MAX(Membros!$E$2:$E$5)),Membros!K$2,IF(AND(A446&gt;=Membros!J$2,A446&lt;=MAX(Membros!$E$2:$E$5)),Membros!K$2,0))+IF(AND(Membros!$F$3="Sim",A446&lt;=MAX(Membros!$E$2:$E$5)),Membros!K$3,IF(AND(A446&gt;=Membros!J$3,A446&lt;=MAX(Membros!$E$2:$E$5)),Membros!K$3,0)))*IF(AND(COUNTIFS(Tabela3[Tipo],"Provedor",Tabela3[Simulação Seguro],"Sim")=2,A446&gt;=MAX(IF(Tabela3[Tipo]="Dependente",Tabela3[Expectativa de Vida (Data)]))),0,1)</f>
        <v>10000</v>
      </c>
      <c r="S446" s="18">
        <f t="shared" si="54"/>
        <v>10000</v>
      </c>
      <c r="U446" s="18">
        <f t="shared" ca="1" si="57"/>
        <v>28346380.330585487</v>
      </c>
      <c r="V446" s="18">
        <f>SUMIF(Imóveis!E:E,Dados!A:A,Imóveis!Z:Z)-SUMIF(Imóveis!E:E,Dados!A:A,Imóveis!Y:Y)</f>
        <v>0</v>
      </c>
      <c r="W446" s="18">
        <f>-SUMIF(Projetos!N:N,A446,Projetos!F:F)</f>
        <v>0</v>
      </c>
      <c r="X446" s="18">
        <f t="shared" si="51"/>
        <v>-27000</v>
      </c>
      <c r="Y446" s="26">
        <f ca="1">(U446*((Indicadores_Economicos!D$2+1)^(1/12)-1))</f>
        <v>92798.672969578533</v>
      </c>
      <c r="Z446" s="18">
        <f t="shared" ca="1" si="55"/>
        <v>28412179.003555067</v>
      </c>
      <c r="AA446" s="18">
        <f ca="1">Auxiliar_Projetos!E446</f>
        <v>1.6688956228044271E-9</v>
      </c>
      <c r="AB446" s="18">
        <f ca="1">Auxiliar_Projetos!K446</f>
        <v>1.283765863695712E-9</v>
      </c>
      <c r="AC446" s="18">
        <f ca="1">IF(Z446-AA446-AB446&gt;Investimentos!$C$14,Investimentos!$C$14,IF(Z446-AA446-AB446&lt;Investimentos!$C$14,Z446-AA446-AB446,0))</f>
        <v>300000</v>
      </c>
      <c r="AD446" s="18">
        <f t="shared" ca="1" si="56"/>
        <v>28112179.003555067</v>
      </c>
      <c r="AE446" s="18"/>
    </row>
    <row r="447" spans="1:31" x14ac:dyDescent="0.2">
      <c r="A447" s="4">
        <v>59203</v>
      </c>
      <c r="B447" s="5" t="str">
        <f t="shared" si="52"/>
        <v>fevereiro</v>
      </c>
      <c r="C447" s="5" t="str">
        <f t="shared" si="58"/>
        <v>2062</v>
      </c>
      <c r="D447" s="5">
        <f>SUMIFS(Despesas!$F:$F,Despesas!$J:$J,"&lt;="&amp;$A447,Despesas!$L:$L,"&gt;="&amp;$A447,Despesas!$C:$C,D$1,Despesas!$M:$M,"Mensal")+SUMIFS(Despesas!$F:$F,Despesas!$J:$J,"&lt;="&amp;$A447,Despesas!$L:$L,"&gt;="&amp;$A447,Despesas!$C:$C,D$1,Despesas!$M:$M,$B447)</f>
        <v>23000</v>
      </c>
      <c r="E447" s="18">
        <f>SUMIFS(Despesas!$F:$F,Despesas!$J:$J,"&lt;="&amp;$A447,Despesas!$L:$L,"&gt;="&amp;$A447,Despesas!$C:$C,E$1,Despesas!$M:$M,"Mensal")+SUMIFS(Despesas!$F:$F,Despesas!$J:$J,"&lt;="&amp;$A447,Despesas!$L:$L,"&gt;="&amp;$A447,Despesas!$C:$C,E$1,Despesas!$M:$M,$B447)</f>
        <v>0</v>
      </c>
      <c r="F447" s="5">
        <f>SUMIFS(Despesas!$F:$F,Despesas!$J:$J,"&lt;="&amp;$A447,Despesas!$L:$L,"&gt;="&amp;$A447,Despesas!$C:$C,F$1,Despesas!$M:$M,"Mensal")+SUMIFS(Despesas!$F:$F,Despesas!$J:$J,"&lt;="&amp;$A447,Despesas!$L:$L,"&gt;="&amp;$A447,Despesas!$C:$C,F$1,Despesas!$M:$M,$B447)</f>
        <v>13000</v>
      </c>
      <c r="G447" s="5">
        <f>SUMIFS(Despesas!$F:$F,Despesas!$J:$J,"&lt;="&amp;$A447,Despesas!$L:$L,"&gt;="&amp;$A447,Despesas!$C:$C,G$1,Despesas!$M:$M,"Mensal")+SUMIFS(Despesas!$F:$F,Despesas!$J:$J,"&lt;="&amp;$A447,Despesas!$L:$L,"&gt;="&amp;$A447,Despesas!$C:$C,G$1,Despesas!$M:$M,$B447)</f>
        <v>0</v>
      </c>
      <c r="H447" s="18">
        <f>SUMIFS(Despesas!$F:$F,Despesas!$J:$J,"&lt;="&amp;$A447,Despesas!$L:$L,"&gt;="&amp;$A447,Despesas!$C:$C,H$1,Despesas!$M:$M,"Mensal")+SUMIFS(Despesas!$F:$F,Despesas!$J:$J,"&lt;="&amp;$A447,Despesas!$L:$L,"&gt;="&amp;$A447,Despesas!$C:$C,H$1,Despesas!$M:$M,$B447)</f>
        <v>2200</v>
      </c>
      <c r="I447" s="18">
        <f>IF(Imóveis!$F$2="PRICE",IF(AND(Dados!$A447&gt;=Imóveis!$Q$2,Dados!$A447&lt;=Imóveis!$T$2),Imóveis!$U$2,0),IF((IF(AND(Dados!$A447&gt;=Imóveis!$Q$2,Dados!$A447&lt;=Imóveis!$T$2),Imóveis!$S$2-(DATEDIF(Imóveis!$Q$2,Dados!$A447,"m")),0))=0,0,((Imóveis!$N$2/Imóveis!$S$2)+((Imóveis!$N$2-((Imóveis!$S$2-(IF(AND(Dados!$A447&gt;=Imóveis!$Q$2,Dados!$A447&lt;=Imóveis!$T$2),Imóveis!$S$2-(DATEDIF(Imóveis!$Q$2,Dados!$A447,"m")),)))*(Imóveis!$N$2/Imóveis!$S$2)))*Imóveis!$P$2))))*IF(AND(Imóveis!$E$2&gt;0,Dados!$A447&gt;Imóveis!$E$2),0,1)</f>
        <v>0</v>
      </c>
      <c r="J447" s="18">
        <f>IF(Imóveis!$F$3="PRICE",IF(AND(Dados!$A447&gt;=Imóveis!$Q$3,Dados!$A447&lt;=Imóveis!$T$3),Imóveis!$U$3,0),IF((IF(AND(Dados!$A447&gt;=Imóveis!$Q$3,Dados!$A447&lt;=Imóveis!$T$3),Imóveis!$S$3-(DATEDIF(Imóveis!$Q$3,Dados!$A447,"m")),0))=0,0,((Imóveis!$N$3/Imóveis!$S$3)+((Imóveis!$N$3-((Imóveis!$S$3-(IF(AND(Dados!$A447&gt;=Imóveis!$Q$3,Dados!$A447&lt;=Imóveis!$T$3),Imóveis!$S$3-(DATEDIF(Imóveis!$Q$3,Dados!$A447,"m")),)))*(Imóveis!$N$3/Imóveis!$S$3)))*Imóveis!$P$3))))*IF(AND(Imóveis!$E$3&gt;0,Dados!$A447&gt;Imóveis!$E$3),0,1)</f>
        <v>0</v>
      </c>
      <c r="K447" s="18">
        <f>IF(Imóveis!$F$4="PRICE",IF(AND(Dados!$A447&gt;=Imóveis!$Q$4,Dados!$A447&lt;=Imóveis!$T$4),Imóveis!$U$4,0),IF((IF(AND(Dados!$A447&gt;=Imóveis!$Q$4,Dados!$A447&lt;=Imóveis!$T$4),Imóveis!$S$4-(DATEDIF(Imóveis!$Q$4,Dados!$A447,"m")),0))=0,0,((Imóveis!$N$4/Imóveis!$S$4)+((Imóveis!$N$4-((Imóveis!$S$4-(IF(AND(Dados!$A447&gt;=Imóveis!$Q$4,Dados!$A447&lt;=Imóveis!$T$4),Imóveis!$S$4-(DATEDIF(Imóveis!$Q$4,Dados!$A447,"m")),)))*(Imóveis!$N$4/Imóveis!$S$4)))*Imóveis!$P$4))))*IF(AND(Imóveis!$E$4&gt;0,Dados!$A447&gt;Imóveis!$E$4),0,1)</f>
        <v>0</v>
      </c>
      <c r="L447" s="18">
        <f>IF(Imóveis!$F$5="PRICE",IF(AND(Dados!$A447&gt;=Imóveis!$Q$5,Dados!$A447&lt;=Imóveis!$T$5),Imóveis!$U$5,0),IF((IF(AND(Dados!$A447&gt;=Imóveis!$Q$5,Dados!$A447&lt;=Imóveis!$T$5),Imóveis!$S$5-(DATEDIF(Imóveis!$Q$5,Dados!$A447,"m")),0))=0,0,((Imóveis!$N$5/Imóveis!$S$5)+((Imóveis!$N$5-((Imóveis!$S$5-(IF(AND(Dados!$A447 &gt;=Imóveis!$Q$5,Dados!$A447&lt;=Imóveis!$T$5),Imóveis!$S$5-(DATEDIF(Imóveis!$Q$5,Dados!$A447,"m")),)))*(Imóveis!$N$5/Imóveis!$S$5)))*Imóveis!$P$5))))*IF(AND(Imóveis!$E$5&gt;0,Dados!$A447&gt;Imóveis!$E$5),0,1)*Imóveis!$I$5</f>
        <v>0</v>
      </c>
      <c r="M447" s="18">
        <f>IF(Imóveis!$F$6="PRICE",IF(AND(Dados!$A447&gt;=Imóveis!$Q$6,Dados!$A447&lt;=Imóveis!$T$6),Imóveis!$U$6,0),IF((IF(AND(Dados!$A447&gt;=Imóveis!$Q$6,Dados!$A447&lt;=Imóveis!$T$6),Imóveis!$S$6-(DATEDIF(Imóveis!$Q$6,Dados!$A447,"m")),0))=0,0,((Imóveis!$N$6/Imóveis!$S$6)+((Imóveis!$N$6-((Imóveis!$S$6-(IF(AND(Dados!$A447&gt;=Imóveis!$Q$6,Dados!$A447&lt;=Imóveis!$T$6),Imóveis!$S$6-(DATEDIF(Imóveis!$Q$6,Dados!$A447,"m")),)))*(Imóveis!$N$6/Imóveis!$S$6)))*Imóveis!$P$6))))*IF(AND(Imóveis!$E$6&gt;0,Dados!$A447&gt;Imóveis!$E$6),0,1)*Imóveis!$I$6</f>
        <v>0</v>
      </c>
      <c r="N447" s="18">
        <f t="shared" si="53"/>
        <v>38200</v>
      </c>
      <c r="O447" s="18">
        <f>SUMIFS(Receitas!$F:$F,Receitas!$J:$J,"&lt;="&amp;$A447,Receitas!$L:$L,"&gt;="&amp;$A447,Receitas!$C:$C,O$1,Receitas!$M:$M,"Mensal")+SUMIFS(Receitas!$F:$F,Receitas!$J:$J,"&lt;="&amp;$A447,Receitas!$L:$L,"&gt;="&amp;$A447,Receitas!$C:$C,O$1,Receitas!$M:$M,$B447)</f>
        <v>0</v>
      </c>
      <c r="P447" s="18">
        <f>SUMIFS(Receitas!$F:$F,Receitas!$J:$J,"&lt;="&amp;$A447,Receitas!$L:$L,"&gt;="&amp;$A447,Receitas!$C:$C,P$1,Receitas!$M:$M,"Mensal")+SUMIFS(Receitas!$F:$F,Receitas!$J:$J,"&lt;="&amp;$A447,Receitas!$L:$L,"&gt;="&amp;$A447,Receitas!$C:$C,P$1,Receitas!$M:$M,$B447)</f>
        <v>0</v>
      </c>
      <c r="Q447" s="18">
        <f>SUMIFS(Receitas!$F:$F,Receitas!$J:$J,"&lt;="&amp;$A447,Receitas!$L:$L,"&gt;="&amp;$A447,Receitas!$C:$C,Q$1,Receitas!$M:$M,"Mensal")+SUMIFS(Receitas!$F:$F,Receitas!$J:$J,"&lt;="&amp;$A447,Receitas!$L:$L,"&gt;="&amp;$A447,Receitas!$C:$C,Q$1,Receitas!$M:$M,$B447)</f>
        <v>0</v>
      </c>
      <c r="R447" s="18" cm="1">
        <f t="array" ref="R447">(IF(AND(Membros!$F$2="Sim",A447&lt;=MAX(Membros!$E$2:$E$5)),Membros!K$2,IF(AND(A447&gt;=Membros!J$2,A447&lt;=MAX(Membros!$E$2:$E$5)),Membros!K$2,0))+IF(AND(Membros!$F$3="Sim",A447&lt;=MAX(Membros!$E$2:$E$5)),Membros!K$3,IF(AND(A447&gt;=Membros!J$3,A447&lt;=MAX(Membros!$E$2:$E$5)),Membros!K$3,0)))*IF(AND(COUNTIFS(Tabela3[Tipo],"Provedor",Tabela3[Simulação Seguro],"Sim")=2,A447&gt;=MAX(IF(Tabela3[Tipo]="Dependente",Tabela3[Expectativa de Vida (Data)]))),0,1)</f>
        <v>10000</v>
      </c>
      <c r="S447" s="18">
        <f t="shared" si="54"/>
        <v>10000</v>
      </c>
      <c r="U447" s="18">
        <f t="shared" ca="1" si="57"/>
        <v>28412179.003555067</v>
      </c>
      <c r="V447" s="18">
        <f>SUMIF(Imóveis!E:E,Dados!A:A,Imóveis!Z:Z)-SUMIF(Imóveis!E:E,Dados!A:A,Imóveis!Y:Y)</f>
        <v>0</v>
      </c>
      <c r="W447" s="18">
        <f>-SUMIF(Projetos!N:N,A447,Projetos!F:F)</f>
        <v>0</v>
      </c>
      <c r="X447" s="18">
        <f t="shared" si="51"/>
        <v>-28200</v>
      </c>
      <c r="Y447" s="26">
        <f ca="1">(U447*((Indicadores_Economicos!D$2+1)^(1/12)-1))</f>
        <v>93014.080702894935</v>
      </c>
      <c r="Z447" s="18">
        <f t="shared" ca="1" si="55"/>
        <v>28476993.08425796</v>
      </c>
      <c r="AA447" s="18">
        <f ca="1">Auxiliar_Projetos!E447</f>
        <v>1.6743591527971395E-9</v>
      </c>
      <c r="AB447" s="18">
        <f ca="1">Auxiliar_Projetos!K447</f>
        <v>1.2879685790747217E-9</v>
      </c>
      <c r="AC447" s="18">
        <f ca="1">IF(Z447-AA447-AB447&gt;Investimentos!$C$14,Investimentos!$C$14,IF(Z447-AA447-AB447&lt;Investimentos!$C$14,Z447-AA447-AB447,0))</f>
        <v>300000</v>
      </c>
      <c r="AD447" s="18">
        <f t="shared" ca="1" si="56"/>
        <v>28176993.08425796</v>
      </c>
      <c r="AE447" s="18"/>
    </row>
    <row r="448" spans="1:31" x14ac:dyDescent="0.2">
      <c r="A448" s="4">
        <v>59231</v>
      </c>
      <c r="B448" s="5" t="str">
        <f t="shared" si="52"/>
        <v>março</v>
      </c>
      <c r="C448" s="5" t="str">
        <f t="shared" si="58"/>
        <v>2062</v>
      </c>
      <c r="D448" s="5">
        <f>SUMIFS(Despesas!$F:$F,Despesas!$J:$J,"&lt;="&amp;$A448,Despesas!$L:$L,"&gt;="&amp;$A448,Despesas!$C:$C,D$1,Despesas!$M:$M,"Mensal")+SUMIFS(Despesas!$F:$F,Despesas!$J:$J,"&lt;="&amp;$A448,Despesas!$L:$L,"&gt;="&amp;$A448,Despesas!$C:$C,D$1,Despesas!$M:$M,$B448)</f>
        <v>23000</v>
      </c>
      <c r="E448" s="18">
        <f>SUMIFS(Despesas!$F:$F,Despesas!$J:$J,"&lt;="&amp;$A448,Despesas!$L:$L,"&gt;="&amp;$A448,Despesas!$C:$C,E$1,Despesas!$M:$M,"Mensal")+SUMIFS(Despesas!$F:$F,Despesas!$J:$J,"&lt;="&amp;$A448,Despesas!$L:$L,"&gt;="&amp;$A448,Despesas!$C:$C,E$1,Despesas!$M:$M,$B448)</f>
        <v>0</v>
      </c>
      <c r="F448" s="5">
        <f>SUMIFS(Despesas!$F:$F,Despesas!$J:$J,"&lt;="&amp;$A448,Despesas!$L:$L,"&gt;="&amp;$A448,Despesas!$C:$C,F$1,Despesas!$M:$M,"Mensal")+SUMIFS(Despesas!$F:$F,Despesas!$J:$J,"&lt;="&amp;$A448,Despesas!$L:$L,"&gt;="&amp;$A448,Despesas!$C:$C,F$1,Despesas!$M:$M,$B448)</f>
        <v>13000</v>
      </c>
      <c r="G448" s="5">
        <f>SUMIFS(Despesas!$F:$F,Despesas!$J:$J,"&lt;="&amp;$A448,Despesas!$L:$L,"&gt;="&amp;$A448,Despesas!$C:$C,G$1,Despesas!$M:$M,"Mensal")+SUMIFS(Despesas!$F:$F,Despesas!$J:$J,"&lt;="&amp;$A448,Despesas!$L:$L,"&gt;="&amp;$A448,Despesas!$C:$C,G$1,Despesas!$M:$M,$B448)</f>
        <v>0</v>
      </c>
      <c r="H448" s="18">
        <f>SUMIFS(Despesas!$F:$F,Despesas!$J:$J,"&lt;="&amp;$A448,Despesas!$L:$L,"&gt;="&amp;$A448,Despesas!$C:$C,H$1,Despesas!$M:$M,"Mensal")+SUMIFS(Despesas!$F:$F,Despesas!$J:$J,"&lt;="&amp;$A448,Despesas!$L:$L,"&gt;="&amp;$A448,Despesas!$C:$C,H$1,Despesas!$M:$M,$B448)</f>
        <v>1000</v>
      </c>
      <c r="I448" s="18">
        <f>IF(Imóveis!$F$2="PRICE",IF(AND(Dados!$A448&gt;=Imóveis!$Q$2,Dados!$A448&lt;=Imóveis!$T$2),Imóveis!$U$2,0),IF((IF(AND(Dados!$A448&gt;=Imóveis!$Q$2,Dados!$A448&lt;=Imóveis!$T$2),Imóveis!$S$2-(DATEDIF(Imóveis!$Q$2,Dados!$A448,"m")),0))=0,0,((Imóveis!$N$2/Imóveis!$S$2)+((Imóveis!$N$2-((Imóveis!$S$2-(IF(AND(Dados!$A448&gt;=Imóveis!$Q$2,Dados!$A448&lt;=Imóveis!$T$2),Imóveis!$S$2-(DATEDIF(Imóveis!$Q$2,Dados!$A448,"m")),)))*(Imóveis!$N$2/Imóveis!$S$2)))*Imóveis!$P$2))))*IF(AND(Imóveis!$E$2&gt;0,Dados!$A448&gt;Imóveis!$E$2),0,1)</f>
        <v>0</v>
      </c>
      <c r="J448" s="18">
        <f>IF(Imóveis!$F$3="PRICE",IF(AND(Dados!$A448&gt;=Imóveis!$Q$3,Dados!$A448&lt;=Imóveis!$T$3),Imóveis!$U$3,0),IF((IF(AND(Dados!$A448&gt;=Imóveis!$Q$3,Dados!$A448&lt;=Imóveis!$T$3),Imóveis!$S$3-(DATEDIF(Imóveis!$Q$3,Dados!$A448,"m")),0))=0,0,((Imóveis!$N$3/Imóveis!$S$3)+((Imóveis!$N$3-((Imóveis!$S$3-(IF(AND(Dados!$A448&gt;=Imóveis!$Q$3,Dados!$A448&lt;=Imóveis!$T$3),Imóveis!$S$3-(DATEDIF(Imóveis!$Q$3,Dados!$A448,"m")),)))*(Imóveis!$N$3/Imóveis!$S$3)))*Imóveis!$P$3))))*IF(AND(Imóveis!$E$3&gt;0,Dados!$A448&gt;Imóveis!$E$3),0,1)</f>
        <v>0</v>
      </c>
      <c r="K448" s="18">
        <f>IF(Imóveis!$F$4="PRICE",IF(AND(Dados!$A448&gt;=Imóveis!$Q$4,Dados!$A448&lt;=Imóveis!$T$4),Imóveis!$U$4,0),IF((IF(AND(Dados!$A448&gt;=Imóveis!$Q$4,Dados!$A448&lt;=Imóveis!$T$4),Imóveis!$S$4-(DATEDIF(Imóveis!$Q$4,Dados!$A448,"m")),0))=0,0,((Imóveis!$N$4/Imóveis!$S$4)+((Imóveis!$N$4-((Imóveis!$S$4-(IF(AND(Dados!$A448&gt;=Imóveis!$Q$4,Dados!$A448&lt;=Imóveis!$T$4),Imóveis!$S$4-(DATEDIF(Imóveis!$Q$4,Dados!$A448,"m")),)))*(Imóveis!$N$4/Imóveis!$S$4)))*Imóveis!$P$4))))*IF(AND(Imóveis!$E$4&gt;0,Dados!$A448&gt;Imóveis!$E$4),0,1)</f>
        <v>0</v>
      </c>
      <c r="L448" s="18">
        <f>IF(Imóveis!$F$5="PRICE",IF(AND(Dados!$A448&gt;=Imóveis!$Q$5,Dados!$A448&lt;=Imóveis!$T$5),Imóveis!$U$5,0),IF((IF(AND(Dados!$A448&gt;=Imóveis!$Q$5,Dados!$A448&lt;=Imóveis!$T$5),Imóveis!$S$5-(DATEDIF(Imóveis!$Q$5,Dados!$A448,"m")),0))=0,0,((Imóveis!$N$5/Imóveis!$S$5)+((Imóveis!$N$5-((Imóveis!$S$5-(IF(AND(Dados!$A448 &gt;=Imóveis!$Q$5,Dados!$A448&lt;=Imóveis!$T$5),Imóveis!$S$5-(DATEDIF(Imóveis!$Q$5,Dados!$A448,"m")),)))*(Imóveis!$N$5/Imóveis!$S$5)))*Imóveis!$P$5))))*IF(AND(Imóveis!$E$5&gt;0,Dados!$A448&gt;Imóveis!$E$5),0,1)*Imóveis!$I$5</f>
        <v>0</v>
      </c>
      <c r="M448" s="18">
        <f>IF(Imóveis!$F$6="PRICE",IF(AND(Dados!$A448&gt;=Imóveis!$Q$6,Dados!$A448&lt;=Imóveis!$T$6),Imóveis!$U$6,0),IF((IF(AND(Dados!$A448&gt;=Imóveis!$Q$6,Dados!$A448&lt;=Imóveis!$T$6),Imóveis!$S$6-(DATEDIF(Imóveis!$Q$6,Dados!$A448,"m")),0))=0,0,((Imóveis!$N$6/Imóveis!$S$6)+((Imóveis!$N$6-((Imóveis!$S$6-(IF(AND(Dados!$A448&gt;=Imóveis!$Q$6,Dados!$A448&lt;=Imóveis!$T$6),Imóveis!$S$6-(DATEDIF(Imóveis!$Q$6,Dados!$A448,"m")),)))*(Imóveis!$N$6/Imóveis!$S$6)))*Imóveis!$P$6))))*IF(AND(Imóveis!$E$6&gt;0,Dados!$A448&gt;Imóveis!$E$6),0,1)*Imóveis!$I$6</f>
        <v>0</v>
      </c>
      <c r="N448" s="18">
        <f t="shared" si="53"/>
        <v>37000</v>
      </c>
      <c r="O448" s="18">
        <f>SUMIFS(Receitas!$F:$F,Receitas!$J:$J,"&lt;="&amp;$A448,Receitas!$L:$L,"&gt;="&amp;$A448,Receitas!$C:$C,O$1,Receitas!$M:$M,"Mensal")+SUMIFS(Receitas!$F:$F,Receitas!$J:$J,"&lt;="&amp;$A448,Receitas!$L:$L,"&gt;="&amp;$A448,Receitas!$C:$C,O$1,Receitas!$M:$M,$B448)</f>
        <v>0</v>
      </c>
      <c r="P448" s="18">
        <f>SUMIFS(Receitas!$F:$F,Receitas!$J:$J,"&lt;="&amp;$A448,Receitas!$L:$L,"&gt;="&amp;$A448,Receitas!$C:$C,P$1,Receitas!$M:$M,"Mensal")+SUMIFS(Receitas!$F:$F,Receitas!$J:$J,"&lt;="&amp;$A448,Receitas!$L:$L,"&gt;="&amp;$A448,Receitas!$C:$C,P$1,Receitas!$M:$M,$B448)</f>
        <v>0</v>
      </c>
      <c r="Q448" s="18">
        <f>SUMIFS(Receitas!$F:$F,Receitas!$J:$J,"&lt;="&amp;$A448,Receitas!$L:$L,"&gt;="&amp;$A448,Receitas!$C:$C,Q$1,Receitas!$M:$M,"Mensal")+SUMIFS(Receitas!$F:$F,Receitas!$J:$J,"&lt;="&amp;$A448,Receitas!$L:$L,"&gt;="&amp;$A448,Receitas!$C:$C,Q$1,Receitas!$M:$M,$B448)</f>
        <v>0</v>
      </c>
      <c r="R448" s="18" cm="1">
        <f t="array" ref="R448">(IF(AND(Membros!$F$2="Sim",A448&lt;=MAX(Membros!$E$2:$E$5)),Membros!K$2,IF(AND(A448&gt;=Membros!J$2,A448&lt;=MAX(Membros!$E$2:$E$5)),Membros!K$2,0))+IF(AND(Membros!$F$3="Sim",A448&lt;=MAX(Membros!$E$2:$E$5)),Membros!K$3,IF(AND(A448&gt;=Membros!J$3,A448&lt;=MAX(Membros!$E$2:$E$5)),Membros!K$3,0)))*IF(AND(COUNTIFS(Tabela3[Tipo],"Provedor",Tabela3[Simulação Seguro],"Sim")=2,A448&gt;=MAX(IF(Tabela3[Tipo]="Dependente",Tabela3[Expectativa de Vida (Data)]))),0,1)</f>
        <v>10000</v>
      </c>
      <c r="S448" s="18">
        <f t="shared" si="54"/>
        <v>10000</v>
      </c>
      <c r="U448" s="18">
        <f t="shared" ca="1" si="57"/>
        <v>28476993.08425796</v>
      </c>
      <c r="V448" s="18">
        <f>SUMIF(Imóveis!E:E,Dados!A:A,Imóveis!Z:Z)-SUMIF(Imóveis!E:E,Dados!A:A,Imóveis!Y:Y)</f>
        <v>0</v>
      </c>
      <c r="W448" s="18">
        <f>-SUMIF(Projetos!N:N,A448,Projetos!F:F)</f>
        <v>0</v>
      </c>
      <c r="X448" s="18">
        <f t="shared" si="51"/>
        <v>-27000</v>
      </c>
      <c r="Y448" s="26">
        <f ca="1">(U448*((Indicadores_Economicos!D$2+1)^(1/12)-1))</f>
        <v>93226.265137338647</v>
      </c>
      <c r="Z448" s="18">
        <f t="shared" ca="1" si="55"/>
        <v>28543219.349395297</v>
      </c>
      <c r="AA448" s="18">
        <f ca="1">Auxiliar_Projetos!E448</f>
        <v>1.6798405689653403E-9</v>
      </c>
      <c r="AB448" s="18">
        <f ca="1">Auxiliar_Projetos!K448</f>
        <v>1.2921850530502609E-9</v>
      </c>
      <c r="AC448" s="18">
        <f ca="1">IF(Z448-AA448-AB448&gt;Investimentos!$C$14,Investimentos!$C$14,IF(Z448-AA448-AB448&lt;Investimentos!$C$14,Z448-AA448-AB448,0))</f>
        <v>300000</v>
      </c>
      <c r="AD448" s="18">
        <f t="shared" ca="1" si="56"/>
        <v>28243219.349395297</v>
      </c>
      <c r="AE448" s="18"/>
    </row>
    <row r="449" spans="1:31" x14ac:dyDescent="0.2">
      <c r="A449" s="4">
        <v>59262</v>
      </c>
      <c r="B449" s="5" t="str">
        <f t="shared" si="52"/>
        <v>abril</v>
      </c>
      <c r="C449" s="5" t="str">
        <f t="shared" si="58"/>
        <v>2062</v>
      </c>
      <c r="D449" s="5">
        <f>SUMIFS(Despesas!$F:$F,Despesas!$J:$J,"&lt;="&amp;$A449,Despesas!$L:$L,"&gt;="&amp;$A449,Despesas!$C:$C,D$1,Despesas!$M:$M,"Mensal")+SUMIFS(Despesas!$F:$F,Despesas!$J:$J,"&lt;="&amp;$A449,Despesas!$L:$L,"&gt;="&amp;$A449,Despesas!$C:$C,D$1,Despesas!$M:$M,$B449)</f>
        <v>23000</v>
      </c>
      <c r="E449" s="18">
        <f>SUMIFS(Despesas!$F:$F,Despesas!$J:$J,"&lt;="&amp;$A449,Despesas!$L:$L,"&gt;="&amp;$A449,Despesas!$C:$C,E$1,Despesas!$M:$M,"Mensal")+SUMIFS(Despesas!$F:$F,Despesas!$J:$J,"&lt;="&amp;$A449,Despesas!$L:$L,"&gt;="&amp;$A449,Despesas!$C:$C,E$1,Despesas!$M:$M,$B449)</f>
        <v>0</v>
      </c>
      <c r="F449" s="5">
        <f>SUMIFS(Despesas!$F:$F,Despesas!$J:$J,"&lt;="&amp;$A449,Despesas!$L:$L,"&gt;="&amp;$A449,Despesas!$C:$C,F$1,Despesas!$M:$M,"Mensal")+SUMIFS(Despesas!$F:$F,Despesas!$J:$J,"&lt;="&amp;$A449,Despesas!$L:$L,"&gt;="&amp;$A449,Despesas!$C:$C,F$1,Despesas!$M:$M,$B449)</f>
        <v>13000</v>
      </c>
      <c r="G449" s="5">
        <f>SUMIFS(Despesas!$F:$F,Despesas!$J:$J,"&lt;="&amp;$A449,Despesas!$L:$L,"&gt;="&amp;$A449,Despesas!$C:$C,G$1,Despesas!$M:$M,"Mensal")+SUMIFS(Despesas!$F:$F,Despesas!$J:$J,"&lt;="&amp;$A449,Despesas!$L:$L,"&gt;="&amp;$A449,Despesas!$C:$C,G$1,Despesas!$M:$M,$B449)</f>
        <v>0</v>
      </c>
      <c r="H449" s="18">
        <f>SUMIFS(Despesas!$F:$F,Despesas!$J:$J,"&lt;="&amp;$A449,Despesas!$L:$L,"&gt;="&amp;$A449,Despesas!$C:$C,H$1,Despesas!$M:$M,"Mensal")+SUMIFS(Despesas!$F:$F,Despesas!$J:$J,"&lt;="&amp;$A449,Despesas!$L:$L,"&gt;="&amp;$A449,Despesas!$C:$C,H$1,Despesas!$M:$M,$B449)</f>
        <v>1000</v>
      </c>
      <c r="I449" s="18">
        <f>IF(Imóveis!$F$2="PRICE",IF(AND(Dados!$A449&gt;=Imóveis!$Q$2,Dados!$A449&lt;=Imóveis!$T$2),Imóveis!$U$2,0),IF((IF(AND(Dados!$A449&gt;=Imóveis!$Q$2,Dados!$A449&lt;=Imóveis!$T$2),Imóveis!$S$2-(DATEDIF(Imóveis!$Q$2,Dados!$A449,"m")),0))=0,0,((Imóveis!$N$2/Imóveis!$S$2)+((Imóveis!$N$2-((Imóveis!$S$2-(IF(AND(Dados!$A449&gt;=Imóveis!$Q$2,Dados!$A449&lt;=Imóveis!$T$2),Imóveis!$S$2-(DATEDIF(Imóveis!$Q$2,Dados!$A449,"m")),)))*(Imóveis!$N$2/Imóveis!$S$2)))*Imóveis!$P$2))))*IF(AND(Imóveis!$E$2&gt;0,Dados!$A449&gt;Imóveis!$E$2),0,1)</f>
        <v>0</v>
      </c>
      <c r="J449" s="18">
        <f>IF(Imóveis!$F$3="PRICE",IF(AND(Dados!$A449&gt;=Imóveis!$Q$3,Dados!$A449&lt;=Imóveis!$T$3),Imóveis!$U$3,0),IF((IF(AND(Dados!$A449&gt;=Imóveis!$Q$3,Dados!$A449&lt;=Imóveis!$T$3),Imóveis!$S$3-(DATEDIF(Imóveis!$Q$3,Dados!$A449,"m")),0))=0,0,((Imóveis!$N$3/Imóveis!$S$3)+((Imóveis!$N$3-((Imóveis!$S$3-(IF(AND(Dados!$A449&gt;=Imóveis!$Q$3,Dados!$A449&lt;=Imóveis!$T$3),Imóveis!$S$3-(DATEDIF(Imóveis!$Q$3,Dados!$A449,"m")),)))*(Imóveis!$N$3/Imóveis!$S$3)))*Imóveis!$P$3))))*IF(AND(Imóveis!$E$3&gt;0,Dados!$A449&gt;Imóveis!$E$3),0,1)</f>
        <v>0</v>
      </c>
      <c r="K449" s="18">
        <f>IF(Imóveis!$F$4="PRICE",IF(AND(Dados!$A449&gt;=Imóveis!$Q$4,Dados!$A449&lt;=Imóveis!$T$4),Imóveis!$U$4,0),IF((IF(AND(Dados!$A449&gt;=Imóveis!$Q$4,Dados!$A449&lt;=Imóveis!$T$4),Imóveis!$S$4-(DATEDIF(Imóveis!$Q$4,Dados!$A449,"m")),0))=0,0,((Imóveis!$N$4/Imóveis!$S$4)+((Imóveis!$N$4-((Imóveis!$S$4-(IF(AND(Dados!$A449&gt;=Imóveis!$Q$4,Dados!$A449&lt;=Imóveis!$T$4),Imóveis!$S$4-(DATEDIF(Imóveis!$Q$4,Dados!$A449,"m")),)))*(Imóveis!$N$4/Imóveis!$S$4)))*Imóveis!$P$4))))*IF(AND(Imóveis!$E$4&gt;0,Dados!$A449&gt;Imóveis!$E$4),0,1)</f>
        <v>0</v>
      </c>
      <c r="L449" s="18">
        <f>IF(Imóveis!$F$5="PRICE",IF(AND(Dados!$A449&gt;=Imóveis!$Q$5,Dados!$A449&lt;=Imóveis!$T$5),Imóveis!$U$5,0),IF((IF(AND(Dados!$A449&gt;=Imóveis!$Q$5,Dados!$A449&lt;=Imóveis!$T$5),Imóveis!$S$5-(DATEDIF(Imóveis!$Q$5,Dados!$A449,"m")),0))=0,0,((Imóveis!$N$5/Imóveis!$S$5)+((Imóveis!$N$5-((Imóveis!$S$5-(IF(AND(Dados!$A449 &gt;=Imóveis!$Q$5,Dados!$A449&lt;=Imóveis!$T$5),Imóveis!$S$5-(DATEDIF(Imóveis!$Q$5,Dados!$A449,"m")),)))*(Imóveis!$N$5/Imóveis!$S$5)))*Imóveis!$P$5))))*IF(AND(Imóveis!$E$5&gt;0,Dados!$A449&gt;Imóveis!$E$5),0,1)*Imóveis!$I$5</f>
        <v>0</v>
      </c>
      <c r="M449" s="18">
        <f>IF(Imóveis!$F$6="PRICE",IF(AND(Dados!$A449&gt;=Imóveis!$Q$6,Dados!$A449&lt;=Imóveis!$T$6),Imóveis!$U$6,0),IF((IF(AND(Dados!$A449&gt;=Imóveis!$Q$6,Dados!$A449&lt;=Imóveis!$T$6),Imóveis!$S$6-(DATEDIF(Imóveis!$Q$6,Dados!$A449,"m")),0))=0,0,((Imóveis!$N$6/Imóveis!$S$6)+((Imóveis!$N$6-((Imóveis!$S$6-(IF(AND(Dados!$A449&gt;=Imóveis!$Q$6,Dados!$A449&lt;=Imóveis!$T$6),Imóveis!$S$6-(DATEDIF(Imóveis!$Q$6,Dados!$A449,"m")),)))*(Imóveis!$N$6/Imóveis!$S$6)))*Imóveis!$P$6))))*IF(AND(Imóveis!$E$6&gt;0,Dados!$A449&gt;Imóveis!$E$6),0,1)*Imóveis!$I$6</f>
        <v>0</v>
      </c>
      <c r="N449" s="18">
        <f t="shared" si="53"/>
        <v>37000</v>
      </c>
      <c r="O449" s="18">
        <f>SUMIFS(Receitas!$F:$F,Receitas!$J:$J,"&lt;="&amp;$A449,Receitas!$L:$L,"&gt;="&amp;$A449,Receitas!$C:$C,O$1,Receitas!$M:$M,"Mensal")+SUMIFS(Receitas!$F:$F,Receitas!$J:$J,"&lt;="&amp;$A449,Receitas!$L:$L,"&gt;="&amp;$A449,Receitas!$C:$C,O$1,Receitas!$M:$M,$B449)</f>
        <v>0</v>
      </c>
      <c r="P449" s="18">
        <f>SUMIFS(Receitas!$F:$F,Receitas!$J:$J,"&lt;="&amp;$A449,Receitas!$L:$L,"&gt;="&amp;$A449,Receitas!$C:$C,P$1,Receitas!$M:$M,"Mensal")+SUMIFS(Receitas!$F:$F,Receitas!$J:$J,"&lt;="&amp;$A449,Receitas!$L:$L,"&gt;="&amp;$A449,Receitas!$C:$C,P$1,Receitas!$M:$M,$B449)</f>
        <v>0</v>
      </c>
      <c r="Q449" s="18">
        <f>SUMIFS(Receitas!$F:$F,Receitas!$J:$J,"&lt;="&amp;$A449,Receitas!$L:$L,"&gt;="&amp;$A449,Receitas!$C:$C,Q$1,Receitas!$M:$M,"Mensal")+SUMIFS(Receitas!$F:$F,Receitas!$J:$J,"&lt;="&amp;$A449,Receitas!$L:$L,"&gt;="&amp;$A449,Receitas!$C:$C,Q$1,Receitas!$M:$M,$B449)</f>
        <v>0</v>
      </c>
      <c r="R449" s="18" cm="1">
        <f t="array" ref="R449">(IF(AND(Membros!$F$2="Sim",A449&lt;=MAX(Membros!$E$2:$E$5)),Membros!K$2,IF(AND(A449&gt;=Membros!J$2,A449&lt;=MAX(Membros!$E$2:$E$5)),Membros!K$2,0))+IF(AND(Membros!$F$3="Sim",A449&lt;=MAX(Membros!$E$2:$E$5)),Membros!K$3,IF(AND(A449&gt;=Membros!J$3,A449&lt;=MAX(Membros!$E$2:$E$5)),Membros!K$3,0)))*IF(AND(COUNTIFS(Tabela3[Tipo],"Provedor",Tabela3[Simulação Seguro],"Sim")=2,A449&gt;=MAX(IF(Tabela3[Tipo]="Dependente",Tabela3[Expectativa de Vida (Data)]))),0,1)</f>
        <v>10000</v>
      </c>
      <c r="S449" s="18">
        <f t="shared" si="54"/>
        <v>10000</v>
      </c>
      <c r="U449" s="18">
        <f t="shared" ca="1" si="57"/>
        <v>28543219.349395297</v>
      </c>
      <c r="V449" s="18">
        <f>SUMIF(Imóveis!E:E,Dados!A:A,Imóveis!Z:Z)-SUMIF(Imóveis!E:E,Dados!A:A,Imóveis!Y:Y)</f>
        <v>0</v>
      </c>
      <c r="W449" s="18">
        <f>-SUMIF(Projetos!N:N,A449,Projetos!F:F)</f>
        <v>0</v>
      </c>
      <c r="X449" s="18">
        <f t="shared" si="51"/>
        <v>-27000</v>
      </c>
      <c r="Y449" s="26">
        <f ca="1">(U449*((Indicadores_Economicos!D$2+1)^(1/12)-1))</f>
        <v>93443.072696145202</v>
      </c>
      <c r="Z449" s="18">
        <f t="shared" ca="1" si="55"/>
        <v>28609662.422091443</v>
      </c>
      <c r="AA449" s="18">
        <f ca="1">Auxiliar_Projetos!E449</f>
        <v>1.6853399298637137E-9</v>
      </c>
      <c r="AB449" s="18">
        <f ca="1">Auxiliar_Projetos!K449</f>
        <v>1.2964153306643944E-9</v>
      </c>
      <c r="AC449" s="18">
        <f ca="1">IF(Z449-AA449-AB449&gt;Investimentos!$C$14,Investimentos!$C$14,IF(Z449-AA449-AB449&lt;Investimentos!$C$14,Z449-AA449-AB449,0))</f>
        <v>300000</v>
      </c>
      <c r="AD449" s="18">
        <f t="shared" ca="1" si="56"/>
        <v>28309662.422091443</v>
      </c>
      <c r="AE449" s="18"/>
    </row>
    <row r="450" spans="1:31" x14ac:dyDescent="0.2">
      <c r="A450" s="4">
        <v>59292</v>
      </c>
      <c r="B450" s="5" t="str">
        <f t="shared" si="52"/>
        <v>maio</v>
      </c>
      <c r="C450" s="5" t="str">
        <f t="shared" si="58"/>
        <v>2062</v>
      </c>
      <c r="D450" s="5">
        <f>SUMIFS(Despesas!$F:$F,Despesas!$J:$J,"&lt;="&amp;$A450,Despesas!$L:$L,"&gt;="&amp;$A450,Despesas!$C:$C,D$1,Despesas!$M:$M,"Mensal")+SUMIFS(Despesas!$F:$F,Despesas!$J:$J,"&lt;="&amp;$A450,Despesas!$L:$L,"&gt;="&amp;$A450,Despesas!$C:$C,D$1,Despesas!$M:$M,$B450)</f>
        <v>23000</v>
      </c>
      <c r="E450" s="18">
        <f>SUMIFS(Despesas!$F:$F,Despesas!$J:$J,"&lt;="&amp;$A450,Despesas!$L:$L,"&gt;="&amp;$A450,Despesas!$C:$C,E$1,Despesas!$M:$M,"Mensal")+SUMIFS(Despesas!$F:$F,Despesas!$J:$J,"&lt;="&amp;$A450,Despesas!$L:$L,"&gt;="&amp;$A450,Despesas!$C:$C,E$1,Despesas!$M:$M,$B450)</f>
        <v>0</v>
      </c>
      <c r="F450" s="5">
        <f>SUMIFS(Despesas!$F:$F,Despesas!$J:$J,"&lt;="&amp;$A450,Despesas!$L:$L,"&gt;="&amp;$A450,Despesas!$C:$C,F$1,Despesas!$M:$M,"Mensal")+SUMIFS(Despesas!$F:$F,Despesas!$J:$J,"&lt;="&amp;$A450,Despesas!$L:$L,"&gt;="&amp;$A450,Despesas!$C:$C,F$1,Despesas!$M:$M,$B450)</f>
        <v>13000</v>
      </c>
      <c r="G450" s="5">
        <f>SUMIFS(Despesas!$F:$F,Despesas!$J:$J,"&lt;="&amp;$A450,Despesas!$L:$L,"&gt;="&amp;$A450,Despesas!$C:$C,G$1,Despesas!$M:$M,"Mensal")+SUMIFS(Despesas!$F:$F,Despesas!$J:$J,"&lt;="&amp;$A450,Despesas!$L:$L,"&gt;="&amp;$A450,Despesas!$C:$C,G$1,Despesas!$M:$M,$B450)</f>
        <v>0</v>
      </c>
      <c r="H450" s="18">
        <f>SUMIFS(Despesas!$F:$F,Despesas!$J:$J,"&lt;="&amp;$A450,Despesas!$L:$L,"&gt;="&amp;$A450,Despesas!$C:$C,H$1,Despesas!$M:$M,"Mensal")+SUMIFS(Despesas!$F:$F,Despesas!$J:$J,"&lt;="&amp;$A450,Despesas!$L:$L,"&gt;="&amp;$A450,Despesas!$C:$C,H$1,Despesas!$M:$M,$B450)</f>
        <v>1000</v>
      </c>
      <c r="I450" s="18">
        <f>IF(Imóveis!$F$2="PRICE",IF(AND(Dados!$A450&gt;=Imóveis!$Q$2,Dados!$A450&lt;=Imóveis!$T$2),Imóveis!$U$2,0),IF((IF(AND(Dados!$A450&gt;=Imóveis!$Q$2,Dados!$A450&lt;=Imóveis!$T$2),Imóveis!$S$2-(DATEDIF(Imóveis!$Q$2,Dados!$A450,"m")),0))=0,0,((Imóveis!$N$2/Imóveis!$S$2)+((Imóveis!$N$2-((Imóveis!$S$2-(IF(AND(Dados!$A450&gt;=Imóveis!$Q$2,Dados!$A450&lt;=Imóveis!$T$2),Imóveis!$S$2-(DATEDIF(Imóveis!$Q$2,Dados!$A450,"m")),)))*(Imóveis!$N$2/Imóveis!$S$2)))*Imóveis!$P$2))))*IF(AND(Imóveis!$E$2&gt;0,Dados!$A450&gt;Imóveis!$E$2),0,1)</f>
        <v>0</v>
      </c>
      <c r="J450" s="18">
        <f>IF(Imóveis!$F$3="PRICE",IF(AND(Dados!$A450&gt;=Imóveis!$Q$3,Dados!$A450&lt;=Imóveis!$T$3),Imóveis!$U$3,0),IF((IF(AND(Dados!$A450&gt;=Imóveis!$Q$3,Dados!$A450&lt;=Imóveis!$T$3),Imóveis!$S$3-(DATEDIF(Imóveis!$Q$3,Dados!$A450,"m")),0))=0,0,((Imóveis!$N$3/Imóveis!$S$3)+((Imóveis!$N$3-((Imóveis!$S$3-(IF(AND(Dados!$A450&gt;=Imóveis!$Q$3,Dados!$A450&lt;=Imóveis!$T$3),Imóveis!$S$3-(DATEDIF(Imóveis!$Q$3,Dados!$A450,"m")),)))*(Imóveis!$N$3/Imóveis!$S$3)))*Imóveis!$P$3))))*IF(AND(Imóveis!$E$3&gt;0,Dados!$A450&gt;Imóveis!$E$3),0,1)</f>
        <v>0</v>
      </c>
      <c r="K450" s="18">
        <f>IF(Imóveis!$F$4="PRICE",IF(AND(Dados!$A450&gt;=Imóveis!$Q$4,Dados!$A450&lt;=Imóveis!$T$4),Imóveis!$U$4,0),IF((IF(AND(Dados!$A450&gt;=Imóveis!$Q$4,Dados!$A450&lt;=Imóveis!$T$4),Imóveis!$S$4-(DATEDIF(Imóveis!$Q$4,Dados!$A450,"m")),0))=0,0,((Imóveis!$N$4/Imóveis!$S$4)+((Imóveis!$N$4-((Imóveis!$S$4-(IF(AND(Dados!$A450&gt;=Imóveis!$Q$4,Dados!$A450&lt;=Imóveis!$T$4),Imóveis!$S$4-(DATEDIF(Imóveis!$Q$4,Dados!$A450,"m")),)))*(Imóveis!$N$4/Imóveis!$S$4)))*Imóveis!$P$4))))*IF(AND(Imóveis!$E$4&gt;0,Dados!$A450&gt;Imóveis!$E$4),0,1)</f>
        <v>0</v>
      </c>
      <c r="L450" s="18">
        <f>IF(Imóveis!$F$5="PRICE",IF(AND(Dados!$A450&gt;=Imóveis!$Q$5,Dados!$A450&lt;=Imóveis!$T$5),Imóveis!$U$5,0),IF((IF(AND(Dados!$A450&gt;=Imóveis!$Q$5,Dados!$A450&lt;=Imóveis!$T$5),Imóveis!$S$5-(DATEDIF(Imóveis!$Q$5,Dados!$A450,"m")),0))=0,0,((Imóveis!$N$5/Imóveis!$S$5)+((Imóveis!$N$5-((Imóveis!$S$5-(IF(AND(Dados!$A450 &gt;=Imóveis!$Q$5,Dados!$A450&lt;=Imóveis!$T$5),Imóveis!$S$5-(DATEDIF(Imóveis!$Q$5,Dados!$A450,"m")),)))*(Imóveis!$N$5/Imóveis!$S$5)))*Imóveis!$P$5))))*IF(AND(Imóveis!$E$5&gt;0,Dados!$A450&gt;Imóveis!$E$5),0,1)*Imóveis!$I$5</f>
        <v>0</v>
      </c>
      <c r="M450" s="18">
        <f>IF(Imóveis!$F$6="PRICE",IF(AND(Dados!$A450&gt;=Imóveis!$Q$6,Dados!$A450&lt;=Imóveis!$T$6),Imóveis!$U$6,0),IF((IF(AND(Dados!$A450&gt;=Imóveis!$Q$6,Dados!$A450&lt;=Imóveis!$T$6),Imóveis!$S$6-(DATEDIF(Imóveis!$Q$6,Dados!$A450,"m")),0))=0,0,((Imóveis!$N$6/Imóveis!$S$6)+((Imóveis!$N$6-((Imóveis!$S$6-(IF(AND(Dados!$A450&gt;=Imóveis!$Q$6,Dados!$A450&lt;=Imóveis!$T$6),Imóveis!$S$6-(DATEDIF(Imóveis!$Q$6,Dados!$A450,"m")),)))*(Imóveis!$N$6/Imóveis!$S$6)))*Imóveis!$P$6))))*IF(AND(Imóveis!$E$6&gt;0,Dados!$A450&gt;Imóveis!$E$6),0,1)*Imóveis!$I$6</f>
        <v>0</v>
      </c>
      <c r="N450" s="18">
        <f t="shared" si="53"/>
        <v>37000</v>
      </c>
      <c r="O450" s="18">
        <f>SUMIFS(Receitas!$F:$F,Receitas!$J:$J,"&lt;="&amp;$A450,Receitas!$L:$L,"&gt;="&amp;$A450,Receitas!$C:$C,O$1,Receitas!$M:$M,"Mensal")+SUMIFS(Receitas!$F:$F,Receitas!$J:$J,"&lt;="&amp;$A450,Receitas!$L:$L,"&gt;="&amp;$A450,Receitas!$C:$C,O$1,Receitas!$M:$M,$B450)</f>
        <v>0</v>
      </c>
      <c r="P450" s="18">
        <f>SUMIFS(Receitas!$F:$F,Receitas!$J:$J,"&lt;="&amp;$A450,Receitas!$L:$L,"&gt;="&amp;$A450,Receitas!$C:$C,P$1,Receitas!$M:$M,"Mensal")+SUMIFS(Receitas!$F:$F,Receitas!$J:$J,"&lt;="&amp;$A450,Receitas!$L:$L,"&gt;="&amp;$A450,Receitas!$C:$C,P$1,Receitas!$M:$M,$B450)</f>
        <v>0</v>
      </c>
      <c r="Q450" s="18">
        <f>SUMIFS(Receitas!$F:$F,Receitas!$J:$J,"&lt;="&amp;$A450,Receitas!$L:$L,"&gt;="&amp;$A450,Receitas!$C:$C,Q$1,Receitas!$M:$M,"Mensal")+SUMIFS(Receitas!$F:$F,Receitas!$J:$J,"&lt;="&amp;$A450,Receitas!$L:$L,"&gt;="&amp;$A450,Receitas!$C:$C,Q$1,Receitas!$M:$M,$B450)</f>
        <v>0</v>
      </c>
      <c r="R450" s="18" cm="1">
        <f t="array" ref="R450">(IF(AND(Membros!$F$2="Sim",A450&lt;=MAX(Membros!$E$2:$E$5)),Membros!K$2,IF(AND(A450&gt;=Membros!J$2,A450&lt;=MAX(Membros!$E$2:$E$5)),Membros!K$2,0))+IF(AND(Membros!$F$3="Sim",A450&lt;=MAX(Membros!$E$2:$E$5)),Membros!K$3,IF(AND(A450&gt;=Membros!J$3,A450&lt;=MAX(Membros!$E$2:$E$5)),Membros!K$3,0)))*IF(AND(COUNTIFS(Tabela3[Tipo],"Provedor",Tabela3[Simulação Seguro],"Sim")=2,A450&gt;=MAX(IF(Tabela3[Tipo]="Dependente",Tabela3[Expectativa de Vida (Data)]))),0,1)</f>
        <v>10000</v>
      </c>
      <c r="S450" s="18">
        <f t="shared" si="54"/>
        <v>10000</v>
      </c>
      <c r="U450" s="18">
        <f t="shared" ca="1" si="57"/>
        <v>28609662.422091443</v>
      </c>
      <c r="V450" s="18">
        <f>SUMIF(Imóveis!E:E,Dados!A:A,Imóveis!Z:Z)-SUMIF(Imóveis!E:E,Dados!A:A,Imóveis!Y:Y)</f>
        <v>0</v>
      </c>
      <c r="W450" s="18">
        <f>-SUMIF(Projetos!N:N,A450,Projetos!F:F)</f>
        <v>0</v>
      </c>
      <c r="X450" s="18">
        <f t="shared" ref="X450:X513" si="59">(S450-N450)</f>
        <v>-27000</v>
      </c>
      <c r="Y450" s="26">
        <f ca="1">(U450*((Indicadores_Economicos!D$2+1)^(1/12)-1))</f>
        <v>93660.59002648211</v>
      </c>
      <c r="Z450" s="18">
        <f t="shared" ca="1" si="55"/>
        <v>28676323.012117926</v>
      </c>
      <c r="AA450" s="18">
        <f ca="1">Auxiliar_Projetos!E450</f>
        <v>1.6908572942386368E-9</v>
      </c>
      <c r="AB450" s="18">
        <f ca="1">Auxiliar_Projetos!K450</f>
        <v>1.300659457106643E-9</v>
      </c>
      <c r="AC450" s="18">
        <f ca="1">IF(Z450-AA450-AB450&gt;Investimentos!$C$14,Investimentos!$C$14,IF(Z450-AA450-AB450&lt;Investimentos!$C$14,Z450-AA450-AB450,0))</f>
        <v>300000</v>
      </c>
      <c r="AD450" s="18">
        <f t="shared" ca="1" si="56"/>
        <v>28376323.012117926</v>
      </c>
      <c r="AE450" s="18"/>
    </row>
    <row r="451" spans="1:31" x14ac:dyDescent="0.2">
      <c r="A451" s="4">
        <v>59323</v>
      </c>
      <c r="B451" s="5" t="str">
        <f t="shared" ref="B451:B514" si="60">TEXT(A451,"MMMM")</f>
        <v>junho</v>
      </c>
      <c r="C451" s="5" t="str">
        <f t="shared" si="58"/>
        <v>2062</v>
      </c>
      <c r="D451" s="5">
        <f>SUMIFS(Despesas!$F:$F,Despesas!$J:$J,"&lt;="&amp;$A451,Despesas!$L:$L,"&gt;="&amp;$A451,Despesas!$C:$C,D$1,Despesas!$M:$M,"Mensal")+SUMIFS(Despesas!$F:$F,Despesas!$J:$J,"&lt;="&amp;$A451,Despesas!$L:$L,"&gt;="&amp;$A451,Despesas!$C:$C,D$1,Despesas!$M:$M,$B451)</f>
        <v>23000</v>
      </c>
      <c r="E451" s="18">
        <f>SUMIFS(Despesas!$F:$F,Despesas!$J:$J,"&lt;="&amp;$A451,Despesas!$L:$L,"&gt;="&amp;$A451,Despesas!$C:$C,E$1,Despesas!$M:$M,"Mensal")+SUMIFS(Despesas!$F:$F,Despesas!$J:$J,"&lt;="&amp;$A451,Despesas!$L:$L,"&gt;="&amp;$A451,Despesas!$C:$C,E$1,Despesas!$M:$M,$B451)</f>
        <v>0</v>
      </c>
      <c r="F451" s="5">
        <f>SUMIFS(Despesas!$F:$F,Despesas!$J:$J,"&lt;="&amp;$A451,Despesas!$L:$L,"&gt;="&amp;$A451,Despesas!$C:$C,F$1,Despesas!$M:$M,"Mensal")+SUMIFS(Despesas!$F:$F,Despesas!$J:$J,"&lt;="&amp;$A451,Despesas!$L:$L,"&gt;="&amp;$A451,Despesas!$C:$C,F$1,Despesas!$M:$M,$B451)</f>
        <v>13000</v>
      </c>
      <c r="G451" s="5">
        <f>SUMIFS(Despesas!$F:$F,Despesas!$J:$J,"&lt;="&amp;$A451,Despesas!$L:$L,"&gt;="&amp;$A451,Despesas!$C:$C,G$1,Despesas!$M:$M,"Mensal")+SUMIFS(Despesas!$F:$F,Despesas!$J:$J,"&lt;="&amp;$A451,Despesas!$L:$L,"&gt;="&amp;$A451,Despesas!$C:$C,G$1,Despesas!$M:$M,$B451)</f>
        <v>0</v>
      </c>
      <c r="H451" s="18">
        <f>SUMIFS(Despesas!$F:$F,Despesas!$J:$J,"&lt;="&amp;$A451,Despesas!$L:$L,"&gt;="&amp;$A451,Despesas!$C:$C,H$1,Despesas!$M:$M,"Mensal")+SUMIFS(Despesas!$F:$F,Despesas!$J:$J,"&lt;="&amp;$A451,Despesas!$L:$L,"&gt;="&amp;$A451,Despesas!$C:$C,H$1,Despesas!$M:$M,$B451)</f>
        <v>1000</v>
      </c>
      <c r="I451" s="18">
        <f>IF(Imóveis!$F$2="PRICE",IF(AND(Dados!$A451&gt;=Imóveis!$Q$2,Dados!$A451&lt;=Imóveis!$T$2),Imóveis!$U$2,0),IF((IF(AND(Dados!$A451&gt;=Imóveis!$Q$2,Dados!$A451&lt;=Imóveis!$T$2),Imóveis!$S$2-(DATEDIF(Imóveis!$Q$2,Dados!$A451,"m")),0))=0,0,((Imóveis!$N$2/Imóveis!$S$2)+((Imóveis!$N$2-((Imóveis!$S$2-(IF(AND(Dados!$A451&gt;=Imóveis!$Q$2,Dados!$A451&lt;=Imóveis!$T$2),Imóveis!$S$2-(DATEDIF(Imóveis!$Q$2,Dados!$A451,"m")),)))*(Imóveis!$N$2/Imóveis!$S$2)))*Imóveis!$P$2))))*IF(AND(Imóveis!$E$2&gt;0,Dados!$A451&gt;Imóveis!$E$2),0,1)</f>
        <v>0</v>
      </c>
      <c r="J451" s="18">
        <f>IF(Imóveis!$F$3="PRICE",IF(AND(Dados!$A451&gt;=Imóveis!$Q$3,Dados!$A451&lt;=Imóveis!$T$3),Imóveis!$U$3,0),IF((IF(AND(Dados!$A451&gt;=Imóveis!$Q$3,Dados!$A451&lt;=Imóveis!$T$3),Imóveis!$S$3-(DATEDIF(Imóveis!$Q$3,Dados!$A451,"m")),0))=0,0,((Imóveis!$N$3/Imóveis!$S$3)+((Imóveis!$N$3-((Imóveis!$S$3-(IF(AND(Dados!$A451&gt;=Imóveis!$Q$3,Dados!$A451&lt;=Imóveis!$T$3),Imóveis!$S$3-(DATEDIF(Imóveis!$Q$3,Dados!$A451,"m")),)))*(Imóveis!$N$3/Imóveis!$S$3)))*Imóveis!$P$3))))*IF(AND(Imóveis!$E$3&gt;0,Dados!$A451&gt;Imóveis!$E$3),0,1)</f>
        <v>0</v>
      </c>
      <c r="K451" s="18">
        <f>IF(Imóveis!$F$4="PRICE",IF(AND(Dados!$A451&gt;=Imóveis!$Q$4,Dados!$A451&lt;=Imóveis!$T$4),Imóveis!$U$4,0),IF((IF(AND(Dados!$A451&gt;=Imóveis!$Q$4,Dados!$A451&lt;=Imóveis!$T$4),Imóveis!$S$4-(DATEDIF(Imóveis!$Q$4,Dados!$A451,"m")),0))=0,0,((Imóveis!$N$4/Imóveis!$S$4)+((Imóveis!$N$4-((Imóveis!$S$4-(IF(AND(Dados!$A451&gt;=Imóveis!$Q$4,Dados!$A451&lt;=Imóveis!$T$4),Imóveis!$S$4-(DATEDIF(Imóveis!$Q$4,Dados!$A451,"m")),)))*(Imóveis!$N$4/Imóveis!$S$4)))*Imóveis!$P$4))))*IF(AND(Imóveis!$E$4&gt;0,Dados!$A451&gt;Imóveis!$E$4),0,1)</f>
        <v>0</v>
      </c>
      <c r="L451" s="18">
        <f>IF(Imóveis!$F$5="PRICE",IF(AND(Dados!$A451&gt;=Imóveis!$Q$5,Dados!$A451&lt;=Imóveis!$T$5),Imóveis!$U$5,0),IF((IF(AND(Dados!$A451&gt;=Imóveis!$Q$5,Dados!$A451&lt;=Imóveis!$T$5),Imóveis!$S$5-(DATEDIF(Imóveis!$Q$5,Dados!$A451,"m")),0))=0,0,((Imóveis!$N$5/Imóveis!$S$5)+((Imóveis!$N$5-((Imóveis!$S$5-(IF(AND(Dados!$A451 &gt;=Imóveis!$Q$5,Dados!$A451&lt;=Imóveis!$T$5),Imóveis!$S$5-(DATEDIF(Imóveis!$Q$5,Dados!$A451,"m")),)))*(Imóveis!$N$5/Imóveis!$S$5)))*Imóveis!$P$5))))*IF(AND(Imóveis!$E$5&gt;0,Dados!$A451&gt;Imóveis!$E$5),0,1)*Imóveis!$I$5</f>
        <v>0</v>
      </c>
      <c r="M451" s="18">
        <f>IF(Imóveis!$F$6="PRICE",IF(AND(Dados!$A451&gt;=Imóveis!$Q$6,Dados!$A451&lt;=Imóveis!$T$6),Imóveis!$U$6,0),IF((IF(AND(Dados!$A451&gt;=Imóveis!$Q$6,Dados!$A451&lt;=Imóveis!$T$6),Imóveis!$S$6-(DATEDIF(Imóveis!$Q$6,Dados!$A451,"m")),0))=0,0,((Imóveis!$N$6/Imóveis!$S$6)+((Imóveis!$N$6-((Imóveis!$S$6-(IF(AND(Dados!$A451&gt;=Imóveis!$Q$6,Dados!$A451&lt;=Imóveis!$T$6),Imóveis!$S$6-(DATEDIF(Imóveis!$Q$6,Dados!$A451,"m")),)))*(Imóveis!$N$6/Imóveis!$S$6)))*Imóveis!$P$6))))*IF(AND(Imóveis!$E$6&gt;0,Dados!$A451&gt;Imóveis!$E$6),0,1)*Imóveis!$I$6</f>
        <v>0</v>
      </c>
      <c r="N451" s="18">
        <f t="shared" ref="N451:N514" si="61">SUM(D451:M451)</f>
        <v>37000</v>
      </c>
      <c r="O451" s="18">
        <f>SUMIFS(Receitas!$F:$F,Receitas!$J:$J,"&lt;="&amp;$A451,Receitas!$L:$L,"&gt;="&amp;$A451,Receitas!$C:$C,O$1,Receitas!$M:$M,"Mensal")+SUMIFS(Receitas!$F:$F,Receitas!$J:$J,"&lt;="&amp;$A451,Receitas!$L:$L,"&gt;="&amp;$A451,Receitas!$C:$C,O$1,Receitas!$M:$M,$B451)</f>
        <v>0</v>
      </c>
      <c r="P451" s="18">
        <f>SUMIFS(Receitas!$F:$F,Receitas!$J:$J,"&lt;="&amp;$A451,Receitas!$L:$L,"&gt;="&amp;$A451,Receitas!$C:$C,P$1,Receitas!$M:$M,"Mensal")+SUMIFS(Receitas!$F:$F,Receitas!$J:$J,"&lt;="&amp;$A451,Receitas!$L:$L,"&gt;="&amp;$A451,Receitas!$C:$C,P$1,Receitas!$M:$M,$B451)</f>
        <v>0</v>
      </c>
      <c r="Q451" s="18">
        <f>SUMIFS(Receitas!$F:$F,Receitas!$J:$J,"&lt;="&amp;$A451,Receitas!$L:$L,"&gt;="&amp;$A451,Receitas!$C:$C,Q$1,Receitas!$M:$M,"Mensal")+SUMIFS(Receitas!$F:$F,Receitas!$J:$J,"&lt;="&amp;$A451,Receitas!$L:$L,"&gt;="&amp;$A451,Receitas!$C:$C,Q$1,Receitas!$M:$M,$B451)</f>
        <v>0</v>
      </c>
      <c r="R451" s="18" cm="1">
        <f t="array" ref="R451">(IF(AND(Membros!$F$2="Sim",A451&lt;=MAX(Membros!$E$2:$E$5)),Membros!K$2,IF(AND(A451&gt;=Membros!J$2,A451&lt;=MAX(Membros!$E$2:$E$5)),Membros!K$2,0))+IF(AND(Membros!$F$3="Sim",A451&lt;=MAX(Membros!$E$2:$E$5)),Membros!K$3,IF(AND(A451&gt;=Membros!J$3,A451&lt;=MAX(Membros!$E$2:$E$5)),Membros!K$3,0)))*IF(AND(COUNTIFS(Tabela3[Tipo],"Provedor",Tabela3[Simulação Seguro],"Sim")=2,A451&gt;=MAX(IF(Tabela3[Tipo]="Dependente",Tabela3[Expectativa de Vida (Data)]))),0,1)</f>
        <v>10000</v>
      </c>
      <c r="S451" s="18">
        <f t="shared" ref="S451:S514" si="62">O451+P451+Q451+R451</f>
        <v>10000</v>
      </c>
      <c r="U451" s="18">
        <f t="shared" ca="1" si="57"/>
        <v>28676323.012117926</v>
      </c>
      <c r="V451" s="18">
        <f>SUMIF(Imóveis!E:E,Dados!A:A,Imóveis!Z:Z)-SUMIF(Imóveis!E:E,Dados!A:A,Imóveis!Y:Y)</f>
        <v>0</v>
      </c>
      <c r="W451" s="18">
        <f>-SUMIF(Projetos!N:N,A451,Projetos!F:F)</f>
        <v>0</v>
      </c>
      <c r="X451" s="18">
        <f t="shared" si="59"/>
        <v>-27000</v>
      </c>
      <c r="Y451" s="26">
        <f ca="1">(U451*((Indicadores_Economicos!D$2+1)^(1/12)-1))</f>
        <v>93878.81945195666</v>
      </c>
      <c r="Z451" s="18">
        <f t="shared" ref="Z451:Z514" ca="1" si="63">U451+V451+W451+X451+Y451</f>
        <v>28743201.831569884</v>
      </c>
      <c r="AA451" s="18">
        <f ca="1">Auxiliar_Projetos!E451</f>
        <v>1.696392721028807E-9</v>
      </c>
      <c r="AB451" s="18">
        <f ca="1">Auxiliar_Projetos!K451</f>
        <v>1.3049174777144663E-9</v>
      </c>
      <c r="AC451" s="18">
        <f ca="1">IF(Z451-AA451-AB451&gt;Investimentos!$C$14,Investimentos!$C$14,IF(Z451-AA451-AB451&lt;Investimentos!$C$14,Z451-AA451-AB451,0))</f>
        <v>300000</v>
      </c>
      <c r="AD451" s="18">
        <f t="shared" ref="AD451:AD514" ca="1" si="64">Z451-AA451-AB451-AC451</f>
        <v>28443201.831569884</v>
      </c>
      <c r="AE451" s="18"/>
    </row>
    <row r="452" spans="1:31" x14ac:dyDescent="0.2">
      <c r="A452" s="4">
        <v>59353</v>
      </c>
      <c r="B452" s="5" t="str">
        <f t="shared" si="60"/>
        <v>julho</v>
      </c>
      <c r="C452" s="5" t="str">
        <f t="shared" si="58"/>
        <v>2062</v>
      </c>
      <c r="D452" s="5">
        <f>SUMIFS(Despesas!$F:$F,Despesas!$J:$J,"&lt;="&amp;$A452,Despesas!$L:$L,"&gt;="&amp;$A452,Despesas!$C:$C,D$1,Despesas!$M:$M,"Mensal")+SUMIFS(Despesas!$F:$F,Despesas!$J:$J,"&lt;="&amp;$A452,Despesas!$L:$L,"&gt;="&amp;$A452,Despesas!$C:$C,D$1,Despesas!$M:$M,$B452)</f>
        <v>23000</v>
      </c>
      <c r="E452" s="18">
        <f>SUMIFS(Despesas!$F:$F,Despesas!$J:$J,"&lt;="&amp;$A452,Despesas!$L:$L,"&gt;="&amp;$A452,Despesas!$C:$C,E$1,Despesas!$M:$M,"Mensal")+SUMIFS(Despesas!$F:$F,Despesas!$J:$J,"&lt;="&amp;$A452,Despesas!$L:$L,"&gt;="&amp;$A452,Despesas!$C:$C,E$1,Despesas!$M:$M,$B452)</f>
        <v>0</v>
      </c>
      <c r="F452" s="5">
        <f>SUMIFS(Despesas!$F:$F,Despesas!$J:$J,"&lt;="&amp;$A452,Despesas!$L:$L,"&gt;="&amp;$A452,Despesas!$C:$C,F$1,Despesas!$M:$M,"Mensal")+SUMIFS(Despesas!$F:$F,Despesas!$J:$J,"&lt;="&amp;$A452,Despesas!$L:$L,"&gt;="&amp;$A452,Despesas!$C:$C,F$1,Despesas!$M:$M,$B452)</f>
        <v>13000</v>
      </c>
      <c r="G452" s="5">
        <f ca="1">SUMIFS(Despesas!$F:$F,Despesas!$J:$J,"&lt;="&amp;$A452,Despesas!$L:$L,"&gt;="&amp;$A452,Despesas!$C:$C,G$1,Despesas!$M:$M,"Mensal")+SUMIFS(Despesas!$F:$F,Despesas!$J:$J,"&lt;="&amp;$A452,Despesas!$L:$L,"&gt;="&amp;$A452,Despesas!$C:$C,G$1,Despesas!$M:$M,$B452)</f>
        <v>55757</v>
      </c>
      <c r="H452" s="18">
        <f>SUMIFS(Despesas!$F:$F,Despesas!$J:$J,"&lt;="&amp;$A452,Despesas!$L:$L,"&gt;="&amp;$A452,Despesas!$C:$C,H$1,Despesas!$M:$M,"Mensal")+SUMIFS(Despesas!$F:$F,Despesas!$J:$J,"&lt;="&amp;$A452,Despesas!$L:$L,"&gt;="&amp;$A452,Despesas!$C:$C,H$1,Despesas!$M:$M,$B452)</f>
        <v>1000</v>
      </c>
      <c r="I452" s="18">
        <f>IF(Imóveis!$F$2="PRICE",IF(AND(Dados!$A452&gt;=Imóveis!$Q$2,Dados!$A452&lt;=Imóveis!$T$2),Imóveis!$U$2,0),IF((IF(AND(Dados!$A452&gt;=Imóveis!$Q$2,Dados!$A452&lt;=Imóveis!$T$2),Imóveis!$S$2-(DATEDIF(Imóveis!$Q$2,Dados!$A452,"m")),0))=0,0,((Imóveis!$N$2/Imóveis!$S$2)+((Imóveis!$N$2-((Imóveis!$S$2-(IF(AND(Dados!$A452&gt;=Imóveis!$Q$2,Dados!$A452&lt;=Imóveis!$T$2),Imóveis!$S$2-(DATEDIF(Imóveis!$Q$2,Dados!$A452,"m")),)))*(Imóveis!$N$2/Imóveis!$S$2)))*Imóveis!$P$2))))*IF(AND(Imóveis!$E$2&gt;0,Dados!$A452&gt;Imóveis!$E$2),0,1)</f>
        <v>0</v>
      </c>
      <c r="J452" s="18">
        <f>IF(Imóveis!$F$3="PRICE",IF(AND(Dados!$A452&gt;=Imóveis!$Q$3,Dados!$A452&lt;=Imóveis!$T$3),Imóveis!$U$3,0),IF((IF(AND(Dados!$A452&gt;=Imóveis!$Q$3,Dados!$A452&lt;=Imóveis!$T$3),Imóveis!$S$3-(DATEDIF(Imóveis!$Q$3,Dados!$A452,"m")),0))=0,0,((Imóveis!$N$3/Imóveis!$S$3)+((Imóveis!$N$3-((Imóveis!$S$3-(IF(AND(Dados!$A452&gt;=Imóveis!$Q$3,Dados!$A452&lt;=Imóveis!$T$3),Imóveis!$S$3-(DATEDIF(Imóveis!$Q$3,Dados!$A452,"m")),)))*(Imóveis!$N$3/Imóveis!$S$3)))*Imóveis!$P$3))))*IF(AND(Imóveis!$E$3&gt;0,Dados!$A452&gt;Imóveis!$E$3),0,1)</f>
        <v>0</v>
      </c>
      <c r="K452" s="18">
        <f>IF(Imóveis!$F$4="PRICE",IF(AND(Dados!$A452&gt;=Imóveis!$Q$4,Dados!$A452&lt;=Imóveis!$T$4),Imóveis!$U$4,0),IF((IF(AND(Dados!$A452&gt;=Imóveis!$Q$4,Dados!$A452&lt;=Imóveis!$T$4),Imóveis!$S$4-(DATEDIF(Imóveis!$Q$4,Dados!$A452,"m")),0))=0,0,((Imóveis!$N$4/Imóveis!$S$4)+((Imóveis!$N$4-((Imóveis!$S$4-(IF(AND(Dados!$A452&gt;=Imóveis!$Q$4,Dados!$A452&lt;=Imóveis!$T$4),Imóveis!$S$4-(DATEDIF(Imóveis!$Q$4,Dados!$A452,"m")),)))*(Imóveis!$N$4/Imóveis!$S$4)))*Imóveis!$P$4))))*IF(AND(Imóveis!$E$4&gt;0,Dados!$A452&gt;Imóveis!$E$4),0,1)</f>
        <v>0</v>
      </c>
      <c r="L452" s="18">
        <f>IF(Imóveis!$F$5="PRICE",IF(AND(Dados!$A452&gt;=Imóveis!$Q$5,Dados!$A452&lt;=Imóveis!$T$5),Imóveis!$U$5,0),IF((IF(AND(Dados!$A452&gt;=Imóveis!$Q$5,Dados!$A452&lt;=Imóveis!$T$5),Imóveis!$S$5-(DATEDIF(Imóveis!$Q$5,Dados!$A452,"m")),0))=0,0,((Imóveis!$N$5/Imóveis!$S$5)+((Imóveis!$N$5-((Imóveis!$S$5-(IF(AND(Dados!$A452 &gt;=Imóveis!$Q$5,Dados!$A452&lt;=Imóveis!$T$5),Imóveis!$S$5-(DATEDIF(Imóveis!$Q$5,Dados!$A452,"m")),)))*(Imóveis!$N$5/Imóveis!$S$5)))*Imóveis!$P$5))))*IF(AND(Imóveis!$E$5&gt;0,Dados!$A452&gt;Imóveis!$E$5),0,1)*Imóveis!$I$5</f>
        <v>0</v>
      </c>
      <c r="M452" s="18">
        <f>IF(Imóveis!$F$6="PRICE",IF(AND(Dados!$A452&gt;=Imóveis!$Q$6,Dados!$A452&lt;=Imóveis!$T$6),Imóveis!$U$6,0),IF((IF(AND(Dados!$A452&gt;=Imóveis!$Q$6,Dados!$A452&lt;=Imóveis!$T$6),Imóveis!$S$6-(DATEDIF(Imóveis!$Q$6,Dados!$A452,"m")),0))=0,0,((Imóveis!$N$6/Imóveis!$S$6)+((Imóveis!$N$6-((Imóveis!$S$6-(IF(AND(Dados!$A452&gt;=Imóveis!$Q$6,Dados!$A452&lt;=Imóveis!$T$6),Imóveis!$S$6-(DATEDIF(Imóveis!$Q$6,Dados!$A452,"m")),)))*(Imóveis!$N$6/Imóveis!$S$6)))*Imóveis!$P$6))))*IF(AND(Imóveis!$E$6&gt;0,Dados!$A452&gt;Imóveis!$E$6),0,1)*Imóveis!$I$6</f>
        <v>0</v>
      </c>
      <c r="N452" s="18">
        <f t="shared" ca="1" si="61"/>
        <v>92757</v>
      </c>
      <c r="O452" s="18">
        <f>SUMIFS(Receitas!$F:$F,Receitas!$J:$J,"&lt;="&amp;$A452,Receitas!$L:$L,"&gt;="&amp;$A452,Receitas!$C:$C,O$1,Receitas!$M:$M,"Mensal")+SUMIFS(Receitas!$F:$F,Receitas!$J:$J,"&lt;="&amp;$A452,Receitas!$L:$L,"&gt;="&amp;$A452,Receitas!$C:$C,O$1,Receitas!$M:$M,$B452)</f>
        <v>0</v>
      </c>
      <c r="P452" s="18">
        <f>SUMIFS(Receitas!$F:$F,Receitas!$J:$J,"&lt;="&amp;$A452,Receitas!$L:$L,"&gt;="&amp;$A452,Receitas!$C:$C,P$1,Receitas!$M:$M,"Mensal")+SUMIFS(Receitas!$F:$F,Receitas!$J:$J,"&lt;="&amp;$A452,Receitas!$L:$L,"&gt;="&amp;$A452,Receitas!$C:$C,P$1,Receitas!$M:$M,$B452)</f>
        <v>0</v>
      </c>
      <c r="Q452" s="18">
        <f>SUMIFS(Receitas!$F:$F,Receitas!$J:$J,"&lt;="&amp;$A452,Receitas!$L:$L,"&gt;="&amp;$A452,Receitas!$C:$C,Q$1,Receitas!$M:$M,"Mensal")+SUMIFS(Receitas!$F:$F,Receitas!$J:$J,"&lt;="&amp;$A452,Receitas!$L:$L,"&gt;="&amp;$A452,Receitas!$C:$C,Q$1,Receitas!$M:$M,$B452)</f>
        <v>0</v>
      </c>
      <c r="R452" s="18" cm="1">
        <f t="array" ref="R452">(IF(AND(Membros!$F$2="Sim",A452&lt;=MAX(Membros!$E$2:$E$5)),Membros!K$2,IF(AND(A452&gt;=Membros!J$2,A452&lt;=MAX(Membros!$E$2:$E$5)),Membros!K$2,0))+IF(AND(Membros!$F$3="Sim",A452&lt;=MAX(Membros!$E$2:$E$5)),Membros!K$3,IF(AND(A452&gt;=Membros!J$3,A452&lt;=MAX(Membros!$E$2:$E$5)),Membros!K$3,0)))*IF(AND(COUNTIFS(Tabela3[Tipo],"Provedor",Tabela3[Simulação Seguro],"Sim")=2,A452&gt;=MAX(IF(Tabela3[Tipo]="Dependente",Tabela3[Expectativa de Vida (Data)]))),0,1)</f>
        <v>10000</v>
      </c>
      <c r="S452" s="18">
        <f t="shared" si="62"/>
        <v>10000</v>
      </c>
      <c r="U452" s="18">
        <f t="shared" ref="U452:U515" ca="1" si="65">Z451</f>
        <v>28743201.831569884</v>
      </c>
      <c r="V452" s="18">
        <f>SUMIF(Imóveis!E:E,Dados!A:A,Imóveis!Z:Z)-SUMIF(Imóveis!E:E,Dados!A:A,Imóveis!Y:Y)</f>
        <v>0</v>
      </c>
      <c r="W452" s="18">
        <f>-SUMIF(Projetos!N:N,A452,Projetos!F:F)</f>
        <v>0</v>
      </c>
      <c r="X452" s="18">
        <f t="shared" ca="1" si="59"/>
        <v>-82757</v>
      </c>
      <c r="Y452" s="26">
        <f ca="1">(U452*((Indicadores_Economicos!D$2+1)^(1/12)-1))</f>
        <v>94097.763303783038</v>
      </c>
      <c r="Z452" s="18">
        <f t="shared" ca="1" si="63"/>
        <v>28754542.594873667</v>
      </c>
      <c r="AA452" s="18">
        <f ca="1">Auxiliar_Projetos!E452</f>
        <v>1.7019462693658716E-9</v>
      </c>
      <c r="AB452" s="18">
        <f ca="1">Auxiliar_Projetos!K452</f>
        <v>1.3091894379737467E-9</v>
      </c>
      <c r="AC452" s="18">
        <f ca="1">IF(Z452-AA452-AB452&gt;Investimentos!$C$14,Investimentos!$C$14,IF(Z452-AA452-AB452&lt;Investimentos!$C$14,Z452-AA452-AB452,0))</f>
        <v>300000</v>
      </c>
      <c r="AD452" s="18">
        <f t="shared" ca="1" si="64"/>
        <v>28454542.594873667</v>
      </c>
      <c r="AE452" s="18"/>
    </row>
    <row r="453" spans="1:31" x14ac:dyDescent="0.2">
      <c r="A453" s="4">
        <v>59384</v>
      </c>
      <c r="B453" s="5" t="str">
        <f t="shared" si="60"/>
        <v>agosto</v>
      </c>
      <c r="C453" s="5" t="str">
        <f t="shared" si="58"/>
        <v>2062</v>
      </c>
      <c r="D453" s="5">
        <f>SUMIFS(Despesas!$F:$F,Despesas!$J:$J,"&lt;="&amp;$A453,Despesas!$L:$L,"&gt;="&amp;$A453,Despesas!$C:$C,D$1,Despesas!$M:$M,"Mensal")+SUMIFS(Despesas!$F:$F,Despesas!$J:$J,"&lt;="&amp;$A453,Despesas!$L:$L,"&gt;="&amp;$A453,Despesas!$C:$C,D$1,Despesas!$M:$M,$B453)</f>
        <v>23000</v>
      </c>
      <c r="E453" s="18">
        <f>SUMIFS(Despesas!$F:$F,Despesas!$J:$J,"&lt;="&amp;$A453,Despesas!$L:$L,"&gt;="&amp;$A453,Despesas!$C:$C,E$1,Despesas!$M:$M,"Mensal")+SUMIFS(Despesas!$F:$F,Despesas!$J:$J,"&lt;="&amp;$A453,Despesas!$L:$L,"&gt;="&amp;$A453,Despesas!$C:$C,E$1,Despesas!$M:$M,$B453)</f>
        <v>0</v>
      </c>
      <c r="F453" s="5">
        <f>SUMIFS(Despesas!$F:$F,Despesas!$J:$J,"&lt;="&amp;$A453,Despesas!$L:$L,"&gt;="&amp;$A453,Despesas!$C:$C,F$1,Despesas!$M:$M,"Mensal")+SUMIFS(Despesas!$F:$F,Despesas!$J:$J,"&lt;="&amp;$A453,Despesas!$L:$L,"&gt;="&amp;$A453,Despesas!$C:$C,F$1,Despesas!$M:$M,$B453)</f>
        <v>13000</v>
      </c>
      <c r="G453" s="5">
        <f>SUMIFS(Despesas!$F:$F,Despesas!$J:$J,"&lt;="&amp;$A453,Despesas!$L:$L,"&gt;="&amp;$A453,Despesas!$C:$C,G$1,Despesas!$M:$M,"Mensal")+SUMIFS(Despesas!$F:$F,Despesas!$J:$J,"&lt;="&amp;$A453,Despesas!$L:$L,"&gt;="&amp;$A453,Despesas!$C:$C,G$1,Despesas!$M:$M,$B453)</f>
        <v>0</v>
      </c>
      <c r="H453" s="18">
        <f>SUMIFS(Despesas!$F:$F,Despesas!$J:$J,"&lt;="&amp;$A453,Despesas!$L:$L,"&gt;="&amp;$A453,Despesas!$C:$C,H$1,Despesas!$M:$M,"Mensal")+SUMIFS(Despesas!$F:$F,Despesas!$J:$J,"&lt;="&amp;$A453,Despesas!$L:$L,"&gt;="&amp;$A453,Despesas!$C:$C,H$1,Despesas!$M:$M,$B453)</f>
        <v>1000</v>
      </c>
      <c r="I453" s="18">
        <f>IF(Imóveis!$F$2="PRICE",IF(AND(Dados!$A453&gt;=Imóveis!$Q$2,Dados!$A453&lt;=Imóveis!$T$2),Imóveis!$U$2,0),IF((IF(AND(Dados!$A453&gt;=Imóveis!$Q$2,Dados!$A453&lt;=Imóveis!$T$2),Imóveis!$S$2-(DATEDIF(Imóveis!$Q$2,Dados!$A453,"m")),0))=0,0,((Imóveis!$N$2/Imóveis!$S$2)+((Imóveis!$N$2-((Imóveis!$S$2-(IF(AND(Dados!$A453&gt;=Imóveis!$Q$2,Dados!$A453&lt;=Imóveis!$T$2),Imóveis!$S$2-(DATEDIF(Imóveis!$Q$2,Dados!$A453,"m")),)))*(Imóveis!$N$2/Imóveis!$S$2)))*Imóveis!$P$2))))*IF(AND(Imóveis!$E$2&gt;0,Dados!$A453&gt;Imóveis!$E$2),0,1)</f>
        <v>0</v>
      </c>
      <c r="J453" s="18">
        <f>IF(Imóveis!$F$3="PRICE",IF(AND(Dados!$A453&gt;=Imóveis!$Q$3,Dados!$A453&lt;=Imóveis!$T$3),Imóveis!$U$3,0),IF((IF(AND(Dados!$A453&gt;=Imóveis!$Q$3,Dados!$A453&lt;=Imóveis!$T$3),Imóveis!$S$3-(DATEDIF(Imóveis!$Q$3,Dados!$A453,"m")),0))=0,0,((Imóveis!$N$3/Imóveis!$S$3)+((Imóveis!$N$3-((Imóveis!$S$3-(IF(AND(Dados!$A453&gt;=Imóveis!$Q$3,Dados!$A453&lt;=Imóveis!$T$3),Imóveis!$S$3-(DATEDIF(Imóveis!$Q$3,Dados!$A453,"m")),)))*(Imóveis!$N$3/Imóveis!$S$3)))*Imóveis!$P$3))))*IF(AND(Imóveis!$E$3&gt;0,Dados!$A453&gt;Imóveis!$E$3),0,1)</f>
        <v>0</v>
      </c>
      <c r="K453" s="18">
        <f>IF(Imóveis!$F$4="PRICE",IF(AND(Dados!$A453&gt;=Imóveis!$Q$4,Dados!$A453&lt;=Imóveis!$T$4),Imóveis!$U$4,0),IF((IF(AND(Dados!$A453&gt;=Imóveis!$Q$4,Dados!$A453&lt;=Imóveis!$T$4),Imóveis!$S$4-(DATEDIF(Imóveis!$Q$4,Dados!$A453,"m")),0))=0,0,((Imóveis!$N$4/Imóveis!$S$4)+((Imóveis!$N$4-((Imóveis!$S$4-(IF(AND(Dados!$A453&gt;=Imóveis!$Q$4,Dados!$A453&lt;=Imóveis!$T$4),Imóveis!$S$4-(DATEDIF(Imóveis!$Q$4,Dados!$A453,"m")),)))*(Imóveis!$N$4/Imóveis!$S$4)))*Imóveis!$P$4))))*IF(AND(Imóveis!$E$4&gt;0,Dados!$A453&gt;Imóveis!$E$4),0,1)</f>
        <v>0</v>
      </c>
      <c r="L453" s="18">
        <f>IF(Imóveis!$F$5="PRICE",IF(AND(Dados!$A453&gt;=Imóveis!$Q$5,Dados!$A453&lt;=Imóveis!$T$5),Imóveis!$U$5,0),IF((IF(AND(Dados!$A453&gt;=Imóveis!$Q$5,Dados!$A453&lt;=Imóveis!$T$5),Imóveis!$S$5-(DATEDIF(Imóveis!$Q$5,Dados!$A453,"m")),0))=0,0,((Imóveis!$N$5/Imóveis!$S$5)+((Imóveis!$N$5-((Imóveis!$S$5-(IF(AND(Dados!$A453 &gt;=Imóveis!$Q$5,Dados!$A453&lt;=Imóveis!$T$5),Imóveis!$S$5-(DATEDIF(Imóveis!$Q$5,Dados!$A453,"m")),)))*(Imóveis!$N$5/Imóveis!$S$5)))*Imóveis!$P$5))))*IF(AND(Imóveis!$E$5&gt;0,Dados!$A453&gt;Imóveis!$E$5),0,1)*Imóveis!$I$5</f>
        <v>0</v>
      </c>
      <c r="M453" s="18">
        <f>IF(Imóveis!$F$6="PRICE",IF(AND(Dados!$A453&gt;=Imóveis!$Q$6,Dados!$A453&lt;=Imóveis!$T$6),Imóveis!$U$6,0),IF((IF(AND(Dados!$A453&gt;=Imóveis!$Q$6,Dados!$A453&lt;=Imóveis!$T$6),Imóveis!$S$6-(DATEDIF(Imóveis!$Q$6,Dados!$A453,"m")),0))=0,0,((Imóveis!$N$6/Imóveis!$S$6)+((Imóveis!$N$6-((Imóveis!$S$6-(IF(AND(Dados!$A453&gt;=Imóveis!$Q$6,Dados!$A453&lt;=Imóveis!$T$6),Imóveis!$S$6-(DATEDIF(Imóveis!$Q$6,Dados!$A453,"m")),)))*(Imóveis!$N$6/Imóveis!$S$6)))*Imóveis!$P$6))))*IF(AND(Imóveis!$E$6&gt;0,Dados!$A453&gt;Imóveis!$E$6),0,1)*Imóveis!$I$6</f>
        <v>0</v>
      </c>
      <c r="N453" s="18">
        <f t="shared" si="61"/>
        <v>37000</v>
      </c>
      <c r="O453" s="18">
        <f>SUMIFS(Receitas!$F:$F,Receitas!$J:$J,"&lt;="&amp;$A453,Receitas!$L:$L,"&gt;="&amp;$A453,Receitas!$C:$C,O$1,Receitas!$M:$M,"Mensal")+SUMIFS(Receitas!$F:$F,Receitas!$J:$J,"&lt;="&amp;$A453,Receitas!$L:$L,"&gt;="&amp;$A453,Receitas!$C:$C,O$1,Receitas!$M:$M,$B453)</f>
        <v>0</v>
      </c>
      <c r="P453" s="18">
        <f>SUMIFS(Receitas!$F:$F,Receitas!$J:$J,"&lt;="&amp;$A453,Receitas!$L:$L,"&gt;="&amp;$A453,Receitas!$C:$C,P$1,Receitas!$M:$M,"Mensal")+SUMIFS(Receitas!$F:$F,Receitas!$J:$J,"&lt;="&amp;$A453,Receitas!$L:$L,"&gt;="&amp;$A453,Receitas!$C:$C,P$1,Receitas!$M:$M,$B453)</f>
        <v>0</v>
      </c>
      <c r="Q453" s="18">
        <f>SUMIFS(Receitas!$F:$F,Receitas!$J:$J,"&lt;="&amp;$A453,Receitas!$L:$L,"&gt;="&amp;$A453,Receitas!$C:$C,Q$1,Receitas!$M:$M,"Mensal")+SUMIFS(Receitas!$F:$F,Receitas!$J:$J,"&lt;="&amp;$A453,Receitas!$L:$L,"&gt;="&amp;$A453,Receitas!$C:$C,Q$1,Receitas!$M:$M,$B453)</f>
        <v>0</v>
      </c>
      <c r="R453" s="18" cm="1">
        <f t="array" ref="R453">(IF(AND(Membros!$F$2="Sim",A453&lt;=MAX(Membros!$E$2:$E$5)),Membros!K$2,IF(AND(A453&gt;=Membros!J$2,A453&lt;=MAX(Membros!$E$2:$E$5)),Membros!K$2,0))+IF(AND(Membros!$F$3="Sim",A453&lt;=MAX(Membros!$E$2:$E$5)),Membros!K$3,IF(AND(A453&gt;=Membros!J$3,A453&lt;=MAX(Membros!$E$2:$E$5)),Membros!K$3,0)))*IF(AND(COUNTIFS(Tabela3[Tipo],"Provedor",Tabela3[Simulação Seguro],"Sim")=2,A453&gt;=MAX(IF(Tabela3[Tipo]="Dependente",Tabela3[Expectativa de Vida (Data)]))),0,1)</f>
        <v>10000</v>
      </c>
      <c r="S453" s="18">
        <f t="shared" si="62"/>
        <v>10000</v>
      </c>
      <c r="U453" s="18">
        <f t="shared" ca="1" si="65"/>
        <v>28754542.594873667</v>
      </c>
      <c r="V453" s="18">
        <f>SUMIF(Imóveis!E:E,Dados!A:A,Imóveis!Z:Z)-SUMIF(Imóveis!E:E,Dados!A:A,Imóveis!Y:Y)</f>
        <v>0</v>
      </c>
      <c r="W453" s="18">
        <f>-SUMIF(Projetos!N:N,A453,Projetos!F:F)</f>
        <v>0</v>
      </c>
      <c r="X453" s="18">
        <f t="shared" si="59"/>
        <v>-27000</v>
      </c>
      <c r="Y453" s="26">
        <f ca="1">(U453*((Indicadores_Economicos!D$2+1)^(1/12)-1))</f>
        <v>94134.890011771131</v>
      </c>
      <c r="Z453" s="18">
        <f t="shared" ca="1" si="63"/>
        <v>28821677.484885439</v>
      </c>
      <c r="AA453" s="18">
        <f ca="1">Auxiliar_Projetos!E453</f>
        <v>1.7075179985750597E-9</v>
      </c>
      <c r="AB453" s="18">
        <f ca="1">Auxiliar_Projetos!K453</f>
        <v>1.3134753835192761E-9</v>
      </c>
      <c r="AC453" s="18">
        <f ca="1">IF(Z453-AA453-AB453&gt;Investimentos!$C$14,Investimentos!$C$14,IF(Z453-AA453-AB453&lt;Investimentos!$C$14,Z453-AA453-AB453,0))</f>
        <v>300000</v>
      </c>
      <c r="AD453" s="18">
        <f t="shared" ca="1" si="64"/>
        <v>28521677.484885439</v>
      </c>
      <c r="AE453" s="18"/>
    </row>
    <row r="454" spans="1:31" x14ac:dyDescent="0.2">
      <c r="A454" s="4">
        <v>59415</v>
      </c>
      <c r="B454" s="5" t="str">
        <f t="shared" si="60"/>
        <v>setembro</v>
      </c>
      <c r="C454" s="5" t="str">
        <f t="shared" si="58"/>
        <v>2062</v>
      </c>
      <c r="D454" s="5">
        <f>SUMIFS(Despesas!$F:$F,Despesas!$J:$J,"&lt;="&amp;$A454,Despesas!$L:$L,"&gt;="&amp;$A454,Despesas!$C:$C,D$1,Despesas!$M:$M,"Mensal")+SUMIFS(Despesas!$F:$F,Despesas!$J:$J,"&lt;="&amp;$A454,Despesas!$L:$L,"&gt;="&amp;$A454,Despesas!$C:$C,D$1,Despesas!$M:$M,$B454)</f>
        <v>23000</v>
      </c>
      <c r="E454" s="18">
        <f>SUMIFS(Despesas!$F:$F,Despesas!$J:$J,"&lt;="&amp;$A454,Despesas!$L:$L,"&gt;="&amp;$A454,Despesas!$C:$C,E$1,Despesas!$M:$M,"Mensal")+SUMIFS(Despesas!$F:$F,Despesas!$J:$J,"&lt;="&amp;$A454,Despesas!$L:$L,"&gt;="&amp;$A454,Despesas!$C:$C,E$1,Despesas!$M:$M,$B454)</f>
        <v>0</v>
      </c>
      <c r="F454" s="5">
        <f>SUMIFS(Despesas!$F:$F,Despesas!$J:$J,"&lt;="&amp;$A454,Despesas!$L:$L,"&gt;="&amp;$A454,Despesas!$C:$C,F$1,Despesas!$M:$M,"Mensal")+SUMIFS(Despesas!$F:$F,Despesas!$J:$J,"&lt;="&amp;$A454,Despesas!$L:$L,"&gt;="&amp;$A454,Despesas!$C:$C,F$1,Despesas!$M:$M,$B454)</f>
        <v>13000</v>
      </c>
      <c r="G454" s="5">
        <f>SUMIFS(Despesas!$F:$F,Despesas!$J:$J,"&lt;="&amp;$A454,Despesas!$L:$L,"&gt;="&amp;$A454,Despesas!$C:$C,G$1,Despesas!$M:$M,"Mensal")+SUMIFS(Despesas!$F:$F,Despesas!$J:$J,"&lt;="&amp;$A454,Despesas!$L:$L,"&gt;="&amp;$A454,Despesas!$C:$C,G$1,Despesas!$M:$M,$B454)</f>
        <v>0</v>
      </c>
      <c r="H454" s="18">
        <f>SUMIFS(Despesas!$F:$F,Despesas!$J:$J,"&lt;="&amp;$A454,Despesas!$L:$L,"&gt;="&amp;$A454,Despesas!$C:$C,H$1,Despesas!$M:$M,"Mensal")+SUMIFS(Despesas!$F:$F,Despesas!$J:$J,"&lt;="&amp;$A454,Despesas!$L:$L,"&gt;="&amp;$A454,Despesas!$C:$C,H$1,Despesas!$M:$M,$B454)</f>
        <v>1000</v>
      </c>
      <c r="I454" s="18">
        <f>IF(Imóveis!$F$2="PRICE",IF(AND(Dados!$A454&gt;=Imóveis!$Q$2,Dados!$A454&lt;=Imóveis!$T$2),Imóveis!$U$2,0),IF((IF(AND(Dados!$A454&gt;=Imóveis!$Q$2,Dados!$A454&lt;=Imóveis!$T$2),Imóveis!$S$2-(DATEDIF(Imóveis!$Q$2,Dados!$A454,"m")),0))=0,0,((Imóveis!$N$2/Imóveis!$S$2)+((Imóveis!$N$2-((Imóveis!$S$2-(IF(AND(Dados!$A454&gt;=Imóveis!$Q$2,Dados!$A454&lt;=Imóveis!$T$2),Imóveis!$S$2-(DATEDIF(Imóveis!$Q$2,Dados!$A454,"m")),)))*(Imóveis!$N$2/Imóveis!$S$2)))*Imóveis!$P$2))))*IF(AND(Imóveis!$E$2&gt;0,Dados!$A454&gt;Imóveis!$E$2),0,1)</f>
        <v>0</v>
      </c>
      <c r="J454" s="18">
        <f>IF(Imóveis!$F$3="PRICE",IF(AND(Dados!$A454&gt;=Imóveis!$Q$3,Dados!$A454&lt;=Imóveis!$T$3),Imóveis!$U$3,0),IF((IF(AND(Dados!$A454&gt;=Imóveis!$Q$3,Dados!$A454&lt;=Imóveis!$T$3),Imóveis!$S$3-(DATEDIF(Imóveis!$Q$3,Dados!$A454,"m")),0))=0,0,((Imóveis!$N$3/Imóveis!$S$3)+((Imóveis!$N$3-((Imóveis!$S$3-(IF(AND(Dados!$A454&gt;=Imóveis!$Q$3,Dados!$A454&lt;=Imóveis!$T$3),Imóveis!$S$3-(DATEDIF(Imóveis!$Q$3,Dados!$A454,"m")),)))*(Imóveis!$N$3/Imóveis!$S$3)))*Imóveis!$P$3))))*IF(AND(Imóveis!$E$3&gt;0,Dados!$A454&gt;Imóveis!$E$3),0,1)</f>
        <v>0</v>
      </c>
      <c r="K454" s="18">
        <f>IF(Imóveis!$F$4="PRICE",IF(AND(Dados!$A454&gt;=Imóveis!$Q$4,Dados!$A454&lt;=Imóveis!$T$4),Imóveis!$U$4,0),IF((IF(AND(Dados!$A454&gt;=Imóveis!$Q$4,Dados!$A454&lt;=Imóveis!$T$4),Imóveis!$S$4-(DATEDIF(Imóveis!$Q$4,Dados!$A454,"m")),0))=0,0,((Imóveis!$N$4/Imóveis!$S$4)+((Imóveis!$N$4-((Imóveis!$S$4-(IF(AND(Dados!$A454&gt;=Imóveis!$Q$4,Dados!$A454&lt;=Imóveis!$T$4),Imóveis!$S$4-(DATEDIF(Imóveis!$Q$4,Dados!$A454,"m")),)))*(Imóveis!$N$4/Imóveis!$S$4)))*Imóveis!$P$4))))*IF(AND(Imóveis!$E$4&gt;0,Dados!$A454&gt;Imóveis!$E$4),0,1)</f>
        <v>0</v>
      </c>
      <c r="L454" s="18">
        <f>IF(Imóveis!$F$5="PRICE",IF(AND(Dados!$A454&gt;=Imóveis!$Q$5,Dados!$A454&lt;=Imóveis!$T$5),Imóveis!$U$5,0),IF((IF(AND(Dados!$A454&gt;=Imóveis!$Q$5,Dados!$A454&lt;=Imóveis!$T$5),Imóveis!$S$5-(DATEDIF(Imóveis!$Q$5,Dados!$A454,"m")),0))=0,0,((Imóveis!$N$5/Imóveis!$S$5)+((Imóveis!$N$5-((Imóveis!$S$5-(IF(AND(Dados!$A454 &gt;=Imóveis!$Q$5,Dados!$A454&lt;=Imóveis!$T$5),Imóveis!$S$5-(DATEDIF(Imóveis!$Q$5,Dados!$A454,"m")),)))*(Imóveis!$N$5/Imóveis!$S$5)))*Imóveis!$P$5))))*IF(AND(Imóveis!$E$5&gt;0,Dados!$A454&gt;Imóveis!$E$5),0,1)*Imóveis!$I$5</f>
        <v>0</v>
      </c>
      <c r="M454" s="18">
        <f>IF(Imóveis!$F$6="PRICE",IF(AND(Dados!$A454&gt;=Imóveis!$Q$6,Dados!$A454&lt;=Imóveis!$T$6),Imóveis!$U$6,0),IF((IF(AND(Dados!$A454&gt;=Imóveis!$Q$6,Dados!$A454&lt;=Imóveis!$T$6),Imóveis!$S$6-(DATEDIF(Imóveis!$Q$6,Dados!$A454,"m")),0))=0,0,((Imóveis!$N$6/Imóveis!$S$6)+((Imóveis!$N$6-((Imóveis!$S$6-(IF(AND(Dados!$A454&gt;=Imóveis!$Q$6,Dados!$A454&lt;=Imóveis!$T$6),Imóveis!$S$6-(DATEDIF(Imóveis!$Q$6,Dados!$A454,"m")),)))*(Imóveis!$N$6/Imóveis!$S$6)))*Imóveis!$P$6))))*IF(AND(Imóveis!$E$6&gt;0,Dados!$A454&gt;Imóveis!$E$6),0,1)*Imóveis!$I$6</f>
        <v>0</v>
      </c>
      <c r="N454" s="18">
        <f t="shared" si="61"/>
        <v>37000</v>
      </c>
      <c r="O454" s="18">
        <f>SUMIFS(Receitas!$F:$F,Receitas!$J:$J,"&lt;="&amp;$A454,Receitas!$L:$L,"&gt;="&amp;$A454,Receitas!$C:$C,O$1,Receitas!$M:$M,"Mensal")+SUMIFS(Receitas!$F:$F,Receitas!$J:$J,"&lt;="&amp;$A454,Receitas!$L:$L,"&gt;="&amp;$A454,Receitas!$C:$C,O$1,Receitas!$M:$M,$B454)</f>
        <v>0</v>
      </c>
      <c r="P454" s="18">
        <f>SUMIFS(Receitas!$F:$F,Receitas!$J:$J,"&lt;="&amp;$A454,Receitas!$L:$L,"&gt;="&amp;$A454,Receitas!$C:$C,P$1,Receitas!$M:$M,"Mensal")+SUMIFS(Receitas!$F:$F,Receitas!$J:$J,"&lt;="&amp;$A454,Receitas!$L:$L,"&gt;="&amp;$A454,Receitas!$C:$C,P$1,Receitas!$M:$M,$B454)</f>
        <v>0</v>
      </c>
      <c r="Q454" s="18">
        <f>SUMIFS(Receitas!$F:$F,Receitas!$J:$J,"&lt;="&amp;$A454,Receitas!$L:$L,"&gt;="&amp;$A454,Receitas!$C:$C,Q$1,Receitas!$M:$M,"Mensal")+SUMIFS(Receitas!$F:$F,Receitas!$J:$J,"&lt;="&amp;$A454,Receitas!$L:$L,"&gt;="&amp;$A454,Receitas!$C:$C,Q$1,Receitas!$M:$M,$B454)</f>
        <v>0</v>
      </c>
      <c r="R454" s="18" cm="1">
        <f t="array" ref="R454">(IF(AND(Membros!$F$2="Sim",A454&lt;=MAX(Membros!$E$2:$E$5)),Membros!K$2,IF(AND(A454&gt;=Membros!J$2,A454&lt;=MAX(Membros!$E$2:$E$5)),Membros!K$2,0))+IF(AND(Membros!$F$3="Sim",A454&lt;=MAX(Membros!$E$2:$E$5)),Membros!K$3,IF(AND(A454&gt;=Membros!J$3,A454&lt;=MAX(Membros!$E$2:$E$5)),Membros!K$3,0)))*IF(AND(COUNTIFS(Tabela3[Tipo],"Provedor",Tabela3[Simulação Seguro],"Sim")=2,A454&gt;=MAX(IF(Tabela3[Tipo]="Dependente",Tabela3[Expectativa de Vida (Data)]))),0,1)</f>
        <v>10000</v>
      </c>
      <c r="S454" s="18">
        <f t="shared" si="62"/>
        <v>10000</v>
      </c>
      <c r="U454" s="18">
        <f t="shared" ca="1" si="65"/>
        <v>28821677.484885439</v>
      </c>
      <c r="V454" s="18">
        <f>SUMIF(Imóveis!E:E,Dados!A:A,Imóveis!Z:Z)-SUMIF(Imóveis!E:E,Dados!A:A,Imóveis!Y:Y)</f>
        <v>0</v>
      </c>
      <c r="W454" s="18">
        <f>-SUMIF(Projetos!N:N,A454,Projetos!F:F)</f>
        <v>0</v>
      </c>
      <c r="X454" s="18">
        <f t="shared" si="59"/>
        <v>-27000</v>
      </c>
      <c r="Y454" s="26">
        <f ca="1">(U454*((Indicadores_Economicos!D$2+1)^(1/12)-1))</f>
        <v>94354.672171976214</v>
      </c>
      <c r="Z454" s="18">
        <f t="shared" ca="1" si="63"/>
        <v>28889032.157057416</v>
      </c>
      <c r="AA454" s="18">
        <f ca="1">Auxiliar_Projetos!E454</f>
        <v>1.7131079681758154E-9</v>
      </c>
      <c r="AB454" s="18">
        <f ca="1">Auxiliar_Projetos!K454</f>
        <v>1.3177753601352422E-9</v>
      </c>
      <c r="AC454" s="18">
        <f ca="1">IF(Z454-AA454-AB454&gt;Investimentos!$C$14,Investimentos!$C$14,IF(Z454-AA454-AB454&lt;Investimentos!$C$14,Z454-AA454-AB454,0))</f>
        <v>300000</v>
      </c>
      <c r="AD454" s="18">
        <f t="shared" ca="1" si="64"/>
        <v>28589032.157057416</v>
      </c>
      <c r="AE454" s="18"/>
    </row>
    <row r="455" spans="1:31" x14ac:dyDescent="0.2">
      <c r="A455" s="4">
        <v>59445</v>
      </c>
      <c r="B455" s="5" t="str">
        <f t="shared" si="60"/>
        <v>outubro</v>
      </c>
      <c r="C455" s="5" t="str">
        <f t="shared" si="58"/>
        <v>2062</v>
      </c>
      <c r="D455" s="5">
        <f>SUMIFS(Despesas!$F:$F,Despesas!$J:$J,"&lt;="&amp;$A455,Despesas!$L:$L,"&gt;="&amp;$A455,Despesas!$C:$C,D$1,Despesas!$M:$M,"Mensal")+SUMIFS(Despesas!$F:$F,Despesas!$J:$J,"&lt;="&amp;$A455,Despesas!$L:$L,"&gt;="&amp;$A455,Despesas!$C:$C,D$1,Despesas!$M:$M,$B455)</f>
        <v>23000</v>
      </c>
      <c r="E455" s="18">
        <f>SUMIFS(Despesas!$F:$F,Despesas!$J:$J,"&lt;="&amp;$A455,Despesas!$L:$L,"&gt;="&amp;$A455,Despesas!$C:$C,E$1,Despesas!$M:$M,"Mensal")+SUMIFS(Despesas!$F:$F,Despesas!$J:$J,"&lt;="&amp;$A455,Despesas!$L:$L,"&gt;="&amp;$A455,Despesas!$C:$C,E$1,Despesas!$M:$M,$B455)</f>
        <v>0</v>
      </c>
      <c r="F455" s="5">
        <f>SUMIFS(Despesas!$F:$F,Despesas!$J:$J,"&lt;="&amp;$A455,Despesas!$L:$L,"&gt;="&amp;$A455,Despesas!$C:$C,F$1,Despesas!$M:$M,"Mensal")+SUMIFS(Despesas!$F:$F,Despesas!$J:$J,"&lt;="&amp;$A455,Despesas!$L:$L,"&gt;="&amp;$A455,Despesas!$C:$C,F$1,Despesas!$M:$M,$B455)</f>
        <v>13000</v>
      </c>
      <c r="G455" s="5">
        <f>SUMIFS(Despesas!$F:$F,Despesas!$J:$J,"&lt;="&amp;$A455,Despesas!$L:$L,"&gt;="&amp;$A455,Despesas!$C:$C,G$1,Despesas!$M:$M,"Mensal")+SUMIFS(Despesas!$F:$F,Despesas!$J:$J,"&lt;="&amp;$A455,Despesas!$L:$L,"&gt;="&amp;$A455,Despesas!$C:$C,G$1,Despesas!$M:$M,$B455)</f>
        <v>0</v>
      </c>
      <c r="H455" s="18">
        <f>SUMIFS(Despesas!$F:$F,Despesas!$J:$J,"&lt;="&amp;$A455,Despesas!$L:$L,"&gt;="&amp;$A455,Despesas!$C:$C,H$1,Despesas!$M:$M,"Mensal")+SUMIFS(Despesas!$F:$F,Despesas!$J:$J,"&lt;="&amp;$A455,Despesas!$L:$L,"&gt;="&amp;$A455,Despesas!$C:$C,H$1,Despesas!$M:$M,$B455)</f>
        <v>1000</v>
      </c>
      <c r="I455" s="18">
        <f>IF(Imóveis!$F$2="PRICE",IF(AND(Dados!$A455&gt;=Imóveis!$Q$2,Dados!$A455&lt;=Imóveis!$T$2),Imóveis!$U$2,0),IF((IF(AND(Dados!$A455&gt;=Imóveis!$Q$2,Dados!$A455&lt;=Imóveis!$T$2),Imóveis!$S$2-(DATEDIF(Imóveis!$Q$2,Dados!$A455,"m")),0))=0,0,((Imóveis!$N$2/Imóveis!$S$2)+((Imóveis!$N$2-((Imóveis!$S$2-(IF(AND(Dados!$A455&gt;=Imóveis!$Q$2,Dados!$A455&lt;=Imóveis!$T$2),Imóveis!$S$2-(DATEDIF(Imóveis!$Q$2,Dados!$A455,"m")),)))*(Imóveis!$N$2/Imóveis!$S$2)))*Imóveis!$P$2))))*IF(AND(Imóveis!$E$2&gt;0,Dados!$A455&gt;Imóveis!$E$2),0,1)</f>
        <v>0</v>
      </c>
      <c r="J455" s="18">
        <f>IF(Imóveis!$F$3="PRICE",IF(AND(Dados!$A455&gt;=Imóveis!$Q$3,Dados!$A455&lt;=Imóveis!$T$3),Imóveis!$U$3,0),IF((IF(AND(Dados!$A455&gt;=Imóveis!$Q$3,Dados!$A455&lt;=Imóveis!$T$3),Imóveis!$S$3-(DATEDIF(Imóveis!$Q$3,Dados!$A455,"m")),0))=0,0,((Imóveis!$N$3/Imóveis!$S$3)+((Imóveis!$N$3-((Imóveis!$S$3-(IF(AND(Dados!$A455&gt;=Imóveis!$Q$3,Dados!$A455&lt;=Imóveis!$T$3),Imóveis!$S$3-(DATEDIF(Imóveis!$Q$3,Dados!$A455,"m")),)))*(Imóveis!$N$3/Imóveis!$S$3)))*Imóveis!$P$3))))*IF(AND(Imóveis!$E$3&gt;0,Dados!$A455&gt;Imóveis!$E$3),0,1)</f>
        <v>0</v>
      </c>
      <c r="K455" s="18">
        <f>IF(Imóveis!$F$4="PRICE",IF(AND(Dados!$A455&gt;=Imóveis!$Q$4,Dados!$A455&lt;=Imóveis!$T$4),Imóveis!$U$4,0),IF((IF(AND(Dados!$A455&gt;=Imóveis!$Q$4,Dados!$A455&lt;=Imóveis!$T$4),Imóveis!$S$4-(DATEDIF(Imóveis!$Q$4,Dados!$A455,"m")),0))=0,0,((Imóveis!$N$4/Imóveis!$S$4)+((Imóveis!$N$4-((Imóveis!$S$4-(IF(AND(Dados!$A455&gt;=Imóveis!$Q$4,Dados!$A455&lt;=Imóveis!$T$4),Imóveis!$S$4-(DATEDIF(Imóveis!$Q$4,Dados!$A455,"m")),)))*(Imóveis!$N$4/Imóveis!$S$4)))*Imóveis!$P$4))))*IF(AND(Imóveis!$E$4&gt;0,Dados!$A455&gt;Imóveis!$E$4),0,1)</f>
        <v>0</v>
      </c>
      <c r="L455" s="18">
        <f>IF(Imóveis!$F$5="PRICE",IF(AND(Dados!$A455&gt;=Imóveis!$Q$5,Dados!$A455&lt;=Imóveis!$T$5),Imóveis!$U$5,0),IF((IF(AND(Dados!$A455&gt;=Imóveis!$Q$5,Dados!$A455&lt;=Imóveis!$T$5),Imóveis!$S$5-(DATEDIF(Imóveis!$Q$5,Dados!$A455,"m")),0))=0,0,((Imóveis!$N$5/Imóveis!$S$5)+((Imóveis!$N$5-((Imóveis!$S$5-(IF(AND(Dados!$A455 &gt;=Imóveis!$Q$5,Dados!$A455&lt;=Imóveis!$T$5),Imóveis!$S$5-(DATEDIF(Imóveis!$Q$5,Dados!$A455,"m")),)))*(Imóveis!$N$5/Imóveis!$S$5)))*Imóveis!$P$5))))*IF(AND(Imóveis!$E$5&gt;0,Dados!$A455&gt;Imóveis!$E$5),0,1)*Imóveis!$I$5</f>
        <v>0</v>
      </c>
      <c r="M455" s="18">
        <f>IF(Imóveis!$F$6="PRICE",IF(AND(Dados!$A455&gt;=Imóveis!$Q$6,Dados!$A455&lt;=Imóveis!$T$6),Imóveis!$U$6,0),IF((IF(AND(Dados!$A455&gt;=Imóveis!$Q$6,Dados!$A455&lt;=Imóveis!$T$6),Imóveis!$S$6-(DATEDIF(Imóveis!$Q$6,Dados!$A455,"m")),0))=0,0,((Imóveis!$N$6/Imóveis!$S$6)+((Imóveis!$N$6-((Imóveis!$S$6-(IF(AND(Dados!$A455&gt;=Imóveis!$Q$6,Dados!$A455&lt;=Imóveis!$T$6),Imóveis!$S$6-(DATEDIF(Imóveis!$Q$6,Dados!$A455,"m")),)))*(Imóveis!$N$6/Imóveis!$S$6)))*Imóveis!$P$6))))*IF(AND(Imóveis!$E$6&gt;0,Dados!$A455&gt;Imóveis!$E$6),0,1)*Imóveis!$I$6</f>
        <v>0</v>
      </c>
      <c r="N455" s="18">
        <f t="shared" si="61"/>
        <v>37000</v>
      </c>
      <c r="O455" s="18">
        <f>SUMIFS(Receitas!$F:$F,Receitas!$J:$J,"&lt;="&amp;$A455,Receitas!$L:$L,"&gt;="&amp;$A455,Receitas!$C:$C,O$1,Receitas!$M:$M,"Mensal")+SUMIFS(Receitas!$F:$F,Receitas!$J:$J,"&lt;="&amp;$A455,Receitas!$L:$L,"&gt;="&amp;$A455,Receitas!$C:$C,O$1,Receitas!$M:$M,$B455)</f>
        <v>0</v>
      </c>
      <c r="P455" s="18">
        <f>SUMIFS(Receitas!$F:$F,Receitas!$J:$J,"&lt;="&amp;$A455,Receitas!$L:$L,"&gt;="&amp;$A455,Receitas!$C:$C,P$1,Receitas!$M:$M,"Mensal")+SUMIFS(Receitas!$F:$F,Receitas!$J:$J,"&lt;="&amp;$A455,Receitas!$L:$L,"&gt;="&amp;$A455,Receitas!$C:$C,P$1,Receitas!$M:$M,$B455)</f>
        <v>0</v>
      </c>
      <c r="Q455" s="18">
        <f>SUMIFS(Receitas!$F:$F,Receitas!$J:$J,"&lt;="&amp;$A455,Receitas!$L:$L,"&gt;="&amp;$A455,Receitas!$C:$C,Q$1,Receitas!$M:$M,"Mensal")+SUMIFS(Receitas!$F:$F,Receitas!$J:$J,"&lt;="&amp;$A455,Receitas!$L:$L,"&gt;="&amp;$A455,Receitas!$C:$C,Q$1,Receitas!$M:$M,$B455)</f>
        <v>0</v>
      </c>
      <c r="R455" s="18" cm="1">
        <f t="array" ref="R455">(IF(AND(Membros!$F$2="Sim",A455&lt;=MAX(Membros!$E$2:$E$5)),Membros!K$2,IF(AND(A455&gt;=Membros!J$2,A455&lt;=MAX(Membros!$E$2:$E$5)),Membros!K$2,0))+IF(AND(Membros!$F$3="Sim",A455&lt;=MAX(Membros!$E$2:$E$5)),Membros!K$3,IF(AND(A455&gt;=Membros!J$3,A455&lt;=MAX(Membros!$E$2:$E$5)),Membros!K$3,0)))*IF(AND(COUNTIFS(Tabela3[Tipo],"Provedor",Tabela3[Simulação Seguro],"Sim")=2,A455&gt;=MAX(IF(Tabela3[Tipo]="Dependente",Tabela3[Expectativa de Vida (Data)]))),0,1)</f>
        <v>10000</v>
      </c>
      <c r="S455" s="18">
        <f t="shared" si="62"/>
        <v>10000</v>
      </c>
      <c r="U455" s="18">
        <f t="shared" ca="1" si="65"/>
        <v>28889032.157057416</v>
      </c>
      <c r="V455" s="18">
        <f>SUMIF(Imóveis!E:E,Dados!A:A,Imóveis!Z:Z)-SUMIF(Imóveis!E:E,Dados!A:A,Imóveis!Y:Y)</f>
        <v>0</v>
      </c>
      <c r="W455" s="18">
        <f>-SUMIF(Projetos!N:N,A455,Projetos!F:F)</f>
        <v>0</v>
      </c>
      <c r="X455" s="18">
        <f t="shared" si="59"/>
        <v>-27000</v>
      </c>
      <c r="Y455" s="26">
        <f ca="1">(U455*((Indicadores_Economicos!D$2+1)^(1/12)-1))</f>
        <v>94575.173841782584</v>
      </c>
      <c r="Z455" s="18">
        <f t="shared" ca="1" si="63"/>
        <v>28956607.330899198</v>
      </c>
      <c r="AA455" s="18">
        <f ca="1">Auxiliar_Projetos!E455</f>
        <v>1.7187162378824346E-9</v>
      </c>
      <c r="AB455" s="18">
        <f ca="1">Auxiliar_Projetos!K455</f>
        <v>1.3220894137557184E-9</v>
      </c>
      <c r="AC455" s="18">
        <f ca="1">IF(Z455-AA455-AB455&gt;Investimentos!$C$14,Investimentos!$C$14,IF(Z455-AA455-AB455&lt;Investimentos!$C$14,Z455-AA455-AB455,0))</f>
        <v>300000</v>
      </c>
      <c r="AD455" s="18">
        <f t="shared" ca="1" si="64"/>
        <v>28656607.330899198</v>
      </c>
      <c r="AE455" s="18"/>
    </row>
    <row r="456" spans="1:31" x14ac:dyDescent="0.2">
      <c r="A456" s="4">
        <v>59476</v>
      </c>
      <c r="B456" s="5" t="str">
        <f t="shared" si="60"/>
        <v>novembro</v>
      </c>
      <c r="C456" s="5" t="str">
        <f t="shared" si="58"/>
        <v>2062</v>
      </c>
      <c r="D456" s="5">
        <f>SUMIFS(Despesas!$F:$F,Despesas!$J:$J,"&lt;="&amp;$A456,Despesas!$L:$L,"&gt;="&amp;$A456,Despesas!$C:$C,D$1,Despesas!$M:$M,"Mensal")+SUMIFS(Despesas!$F:$F,Despesas!$J:$J,"&lt;="&amp;$A456,Despesas!$L:$L,"&gt;="&amp;$A456,Despesas!$C:$C,D$1,Despesas!$M:$M,$B456)</f>
        <v>23000</v>
      </c>
      <c r="E456" s="18">
        <f>SUMIFS(Despesas!$F:$F,Despesas!$J:$J,"&lt;="&amp;$A456,Despesas!$L:$L,"&gt;="&amp;$A456,Despesas!$C:$C,E$1,Despesas!$M:$M,"Mensal")+SUMIFS(Despesas!$F:$F,Despesas!$J:$J,"&lt;="&amp;$A456,Despesas!$L:$L,"&gt;="&amp;$A456,Despesas!$C:$C,E$1,Despesas!$M:$M,$B456)</f>
        <v>0</v>
      </c>
      <c r="F456" s="5">
        <f>SUMIFS(Despesas!$F:$F,Despesas!$J:$J,"&lt;="&amp;$A456,Despesas!$L:$L,"&gt;="&amp;$A456,Despesas!$C:$C,F$1,Despesas!$M:$M,"Mensal")+SUMIFS(Despesas!$F:$F,Despesas!$J:$J,"&lt;="&amp;$A456,Despesas!$L:$L,"&gt;="&amp;$A456,Despesas!$C:$C,F$1,Despesas!$M:$M,$B456)</f>
        <v>13000</v>
      </c>
      <c r="G456" s="5">
        <f>SUMIFS(Despesas!$F:$F,Despesas!$J:$J,"&lt;="&amp;$A456,Despesas!$L:$L,"&gt;="&amp;$A456,Despesas!$C:$C,G$1,Despesas!$M:$M,"Mensal")+SUMIFS(Despesas!$F:$F,Despesas!$J:$J,"&lt;="&amp;$A456,Despesas!$L:$L,"&gt;="&amp;$A456,Despesas!$C:$C,G$1,Despesas!$M:$M,$B456)</f>
        <v>0</v>
      </c>
      <c r="H456" s="18">
        <f>SUMIFS(Despesas!$F:$F,Despesas!$J:$J,"&lt;="&amp;$A456,Despesas!$L:$L,"&gt;="&amp;$A456,Despesas!$C:$C,H$1,Despesas!$M:$M,"Mensal")+SUMIFS(Despesas!$F:$F,Despesas!$J:$J,"&lt;="&amp;$A456,Despesas!$L:$L,"&gt;="&amp;$A456,Despesas!$C:$C,H$1,Despesas!$M:$M,$B456)</f>
        <v>1000</v>
      </c>
      <c r="I456" s="18">
        <f>IF(Imóveis!$F$2="PRICE",IF(AND(Dados!$A456&gt;=Imóveis!$Q$2,Dados!$A456&lt;=Imóveis!$T$2),Imóveis!$U$2,0),IF((IF(AND(Dados!$A456&gt;=Imóveis!$Q$2,Dados!$A456&lt;=Imóveis!$T$2),Imóveis!$S$2-(DATEDIF(Imóveis!$Q$2,Dados!$A456,"m")),0))=0,0,((Imóveis!$N$2/Imóveis!$S$2)+((Imóveis!$N$2-((Imóveis!$S$2-(IF(AND(Dados!$A456&gt;=Imóveis!$Q$2,Dados!$A456&lt;=Imóveis!$T$2),Imóveis!$S$2-(DATEDIF(Imóveis!$Q$2,Dados!$A456,"m")),)))*(Imóveis!$N$2/Imóveis!$S$2)))*Imóveis!$P$2))))*IF(AND(Imóveis!$E$2&gt;0,Dados!$A456&gt;Imóveis!$E$2),0,1)</f>
        <v>0</v>
      </c>
      <c r="J456" s="18">
        <f>IF(Imóveis!$F$3="PRICE",IF(AND(Dados!$A456&gt;=Imóveis!$Q$3,Dados!$A456&lt;=Imóveis!$T$3),Imóveis!$U$3,0),IF((IF(AND(Dados!$A456&gt;=Imóveis!$Q$3,Dados!$A456&lt;=Imóveis!$T$3),Imóveis!$S$3-(DATEDIF(Imóveis!$Q$3,Dados!$A456,"m")),0))=0,0,((Imóveis!$N$3/Imóveis!$S$3)+((Imóveis!$N$3-((Imóveis!$S$3-(IF(AND(Dados!$A456&gt;=Imóveis!$Q$3,Dados!$A456&lt;=Imóveis!$T$3),Imóveis!$S$3-(DATEDIF(Imóveis!$Q$3,Dados!$A456,"m")),)))*(Imóveis!$N$3/Imóveis!$S$3)))*Imóveis!$P$3))))*IF(AND(Imóveis!$E$3&gt;0,Dados!$A456&gt;Imóveis!$E$3),0,1)</f>
        <v>0</v>
      </c>
      <c r="K456" s="18">
        <f>IF(Imóveis!$F$4="PRICE",IF(AND(Dados!$A456&gt;=Imóveis!$Q$4,Dados!$A456&lt;=Imóveis!$T$4),Imóveis!$U$4,0),IF((IF(AND(Dados!$A456&gt;=Imóveis!$Q$4,Dados!$A456&lt;=Imóveis!$T$4),Imóveis!$S$4-(DATEDIF(Imóveis!$Q$4,Dados!$A456,"m")),0))=0,0,((Imóveis!$N$4/Imóveis!$S$4)+((Imóveis!$N$4-((Imóveis!$S$4-(IF(AND(Dados!$A456&gt;=Imóveis!$Q$4,Dados!$A456&lt;=Imóveis!$T$4),Imóveis!$S$4-(DATEDIF(Imóveis!$Q$4,Dados!$A456,"m")),)))*(Imóveis!$N$4/Imóveis!$S$4)))*Imóveis!$P$4))))*IF(AND(Imóveis!$E$4&gt;0,Dados!$A456&gt;Imóveis!$E$4),0,1)</f>
        <v>0</v>
      </c>
      <c r="L456" s="18">
        <f>IF(Imóveis!$F$5="PRICE",IF(AND(Dados!$A456&gt;=Imóveis!$Q$5,Dados!$A456&lt;=Imóveis!$T$5),Imóveis!$U$5,0),IF((IF(AND(Dados!$A456&gt;=Imóveis!$Q$5,Dados!$A456&lt;=Imóveis!$T$5),Imóveis!$S$5-(DATEDIF(Imóveis!$Q$5,Dados!$A456,"m")),0))=0,0,((Imóveis!$N$5/Imóveis!$S$5)+((Imóveis!$N$5-((Imóveis!$S$5-(IF(AND(Dados!$A456 &gt;=Imóveis!$Q$5,Dados!$A456&lt;=Imóveis!$T$5),Imóveis!$S$5-(DATEDIF(Imóveis!$Q$5,Dados!$A456,"m")),)))*(Imóveis!$N$5/Imóveis!$S$5)))*Imóveis!$P$5))))*IF(AND(Imóveis!$E$5&gt;0,Dados!$A456&gt;Imóveis!$E$5),0,1)*Imóveis!$I$5</f>
        <v>0</v>
      </c>
      <c r="M456" s="18">
        <f>IF(Imóveis!$F$6="PRICE",IF(AND(Dados!$A456&gt;=Imóveis!$Q$6,Dados!$A456&lt;=Imóveis!$T$6),Imóveis!$U$6,0),IF((IF(AND(Dados!$A456&gt;=Imóveis!$Q$6,Dados!$A456&lt;=Imóveis!$T$6),Imóveis!$S$6-(DATEDIF(Imóveis!$Q$6,Dados!$A456,"m")),0))=0,0,((Imóveis!$N$6/Imóveis!$S$6)+((Imóveis!$N$6-((Imóveis!$S$6-(IF(AND(Dados!$A456&gt;=Imóveis!$Q$6,Dados!$A456&lt;=Imóveis!$T$6),Imóveis!$S$6-(DATEDIF(Imóveis!$Q$6,Dados!$A456,"m")),)))*(Imóveis!$N$6/Imóveis!$S$6)))*Imóveis!$P$6))))*IF(AND(Imóveis!$E$6&gt;0,Dados!$A456&gt;Imóveis!$E$6),0,1)*Imóveis!$I$6</f>
        <v>0</v>
      </c>
      <c r="N456" s="18">
        <f t="shared" si="61"/>
        <v>37000</v>
      </c>
      <c r="O456" s="18">
        <f>SUMIFS(Receitas!$F:$F,Receitas!$J:$J,"&lt;="&amp;$A456,Receitas!$L:$L,"&gt;="&amp;$A456,Receitas!$C:$C,O$1,Receitas!$M:$M,"Mensal")+SUMIFS(Receitas!$F:$F,Receitas!$J:$J,"&lt;="&amp;$A456,Receitas!$L:$L,"&gt;="&amp;$A456,Receitas!$C:$C,O$1,Receitas!$M:$M,$B456)</f>
        <v>0</v>
      </c>
      <c r="P456" s="18">
        <f>SUMIFS(Receitas!$F:$F,Receitas!$J:$J,"&lt;="&amp;$A456,Receitas!$L:$L,"&gt;="&amp;$A456,Receitas!$C:$C,P$1,Receitas!$M:$M,"Mensal")+SUMIFS(Receitas!$F:$F,Receitas!$J:$J,"&lt;="&amp;$A456,Receitas!$L:$L,"&gt;="&amp;$A456,Receitas!$C:$C,P$1,Receitas!$M:$M,$B456)</f>
        <v>0</v>
      </c>
      <c r="Q456" s="18">
        <f>SUMIFS(Receitas!$F:$F,Receitas!$J:$J,"&lt;="&amp;$A456,Receitas!$L:$L,"&gt;="&amp;$A456,Receitas!$C:$C,Q$1,Receitas!$M:$M,"Mensal")+SUMIFS(Receitas!$F:$F,Receitas!$J:$J,"&lt;="&amp;$A456,Receitas!$L:$L,"&gt;="&amp;$A456,Receitas!$C:$C,Q$1,Receitas!$M:$M,$B456)</f>
        <v>0</v>
      </c>
      <c r="R456" s="18" cm="1">
        <f t="array" ref="R456">(IF(AND(Membros!$F$2="Sim",A456&lt;=MAX(Membros!$E$2:$E$5)),Membros!K$2,IF(AND(A456&gt;=Membros!J$2,A456&lt;=MAX(Membros!$E$2:$E$5)),Membros!K$2,0))+IF(AND(Membros!$F$3="Sim",A456&lt;=MAX(Membros!$E$2:$E$5)),Membros!K$3,IF(AND(A456&gt;=Membros!J$3,A456&lt;=MAX(Membros!$E$2:$E$5)),Membros!K$3,0)))*IF(AND(COUNTIFS(Tabela3[Tipo],"Provedor",Tabela3[Simulação Seguro],"Sim")=2,A456&gt;=MAX(IF(Tabela3[Tipo]="Dependente",Tabela3[Expectativa de Vida (Data)]))),0,1)</f>
        <v>10000</v>
      </c>
      <c r="S456" s="18">
        <f t="shared" si="62"/>
        <v>10000</v>
      </c>
      <c r="U456" s="18">
        <f t="shared" ca="1" si="65"/>
        <v>28956607.330899198</v>
      </c>
      <c r="V456" s="18">
        <f>SUMIF(Imóveis!E:E,Dados!A:A,Imóveis!Z:Z)-SUMIF(Imóveis!E:E,Dados!A:A,Imóveis!Y:Y)</f>
        <v>0</v>
      </c>
      <c r="W456" s="18">
        <f>-SUMIF(Projetos!N:N,A456,Projetos!F:F)</f>
        <v>0</v>
      </c>
      <c r="X456" s="18">
        <f t="shared" si="59"/>
        <v>-27000</v>
      </c>
      <c r="Y456" s="26">
        <f ca="1">(U456*((Indicadores_Economicos!D$2+1)^(1/12)-1))</f>
        <v>94796.397376677429</v>
      </c>
      <c r="Z456" s="18">
        <f t="shared" ca="1" si="63"/>
        <v>29024403.728275876</v>
      </c>
      <c r="AA456" s="18">
        <f ca="1">Auxiliar_Projetos!E456</f>
        <v>1.7243428676047017E-9</v>
      </c>
      <c r="AB456" s="18">
        <f ca="1">Auxiliar_Projetos!K456</f>
        <v>1.3264175904651545E-9</v>
      </c>
      <c r="AC456" s="18">
        <f ca="1">IF(Z456-AA456-AB456&gt;Investimentos!$C$14,Investimentos!$C$14,IF(Z456-AA456-AB456&lt;Investimentos!$C$14,Z456-AA456-AB456,0))</f>
        <v>300000</v>
      </c>
      <c r="AD456" s="18">
        <f t="shared" ca="1" si="64"/>
        <v>28724403.728275876</v>
      </c>
      <c r="AE456" s="18"/>
    </row>
    <row r="457" spans="1:31" x14ac:dyDescent="0.2">
      <c r="A457" s="4">
        <v>59506</v>
      </c>
      <c r="B457" s="5" t="str">
        <f t="shared" si="60"/>
        <v>dezembro</v>
      </c>
      <c r="C457" s="5" t="str">
        <f t="shared" si="58"/>
        <v>2062</v>
      </c>
      <c r="D457" s="5">
        <f>SUMIFS(Despesas!$F:$F,Despesas!$J:$J,"&lt;="&amp;$A457,Despesas!$L:$L,"&gt;="&amp;$A457,Despesas!$C:$C,D$1,Despesas!$M:$M,"Mensal")+SUMIFS(Despesas!$F:$F,Despesas!$J:$J,"&lt;="&amp;$A457,Despesas!$L:$L,"&gt;="&amp;$A457,Despesas!$C:$C,D$1,Despesas!$M:$M,$B457)</f>
        <v>23000</v>
      </c>
      <c r="E457" s="18">
        <f>SUMIFS(Despesas!$F:$F,Despesas!$J:$J,"&lt;="&amp;$A457,Despesas!$L:$L,"&gt;="&amp;$A457,Despesas!$C:$C,E$1,Despesas!$M:$M,"Mensal")+SUMIFS(Despesas!$F:$F,Despesas!$J:$J,"&lt;="&amp;$A457,Despesas!$L:$L,"&gt;="&amp;$A457,Despesas!$C:$C,E$1,Despesas!$M:$M,$B457)</f>
        <v>0</v>
      </c>
      <c r="F457" s="5">
        <f>SUMIFS(Despesas!$F:$F,Despesas!$J:$J,"&lt;="&amp;$A457,Despesas!$L:$L,"&gt;="&amp;$A457,Despesas!$C:$C,F$1,Despesas!$M:$M,"Mensal")+SUMIFS(Despesas!$F:$F,Despesas!$J:$J,"&lt;="&amp;$A457,Despesas!$L:$L,"&gt;="&amp;$A457,Despesas!$C:$C,F$1,Despesas!$M:$M,$B457)</f>
        <v>13000</v>
      </c>
      <c r="G457" s="5">
        <f ca="1">SUMIFS(Despesas!$F:$F,Despesas!$J:$J,"&lt;="&amp;$A457,Despesas!$L:$L,"&gt;="&amp;$A457,Despesas!$C:$C,G$1,Despesas!$M:$M,"Mensal")+SUMIFS(Despesas!$F:$F,Despesas!$J:$J,"&lt;="&amp;$A457,Despesas!$L:$L,"&gt;="&amp;$A457,Despesas!$C:$C,G$1,Despesas!$M:$M,$B457)</f>
        <v>55757</v>
      </c>
      <c r="H457" s="18">
        <f>SUMIFS(Despesas!$F:$F,Despesas!$J:$J,"&lt;="&amp;$A457,Despesas!$L:$L,"&gt;="&amp;$A457,Despesas!$C:$C,H$1,Despesas!$M:$M,"Mensal")+SUMIFS(Despesas!$F:$F,Despesas!$J:$J,"&lt;="&amp;$A457,Despesas!$L:$L,"&gt;="&amp;$A457,Despesas!$C:$C,H$1,Despesas!$M:$M,$B457)</f>
        <v>1000</v>
      </c>
      <c r="I457" s="18">
        <f>IF(Imóveis!$F$2="PRICE",IF(AND(Dados!$A457&gt;=Imóveis!$Q$2,Dados!$A457&lt;=Imóveis!$T$2),Imóveis!$U$2,0),IF((IF(AND(Dados!$A457&gt;=Imóveis!$Q$2,Dados!$A457&lt;=Imóveis!$T$2),Imóveis!$S$2-(DATEDIF(Imóveis!$Q$2,Dados!$A457,"m")),0))=0,0,((Imóveis!$N$2/Imóveis!$S$2)+((Imóveis!$N$2-((Imóveis!$S$2-(IF(AND(Dados!$A457&gt;=Imóveis!$Q$2,Dados!$A457&lt;=Imóveis!$T$2),Imóveis!$S$2-(DATEDIF(Imóveis!$Q$2,Dados!$A457,"m")),)))*(Imóveis!$N$2/Imóveis!$S$2)))*Imóveis!$P$2))))*IF(AND(Imóveis!$E$2&gt;0,Dados!$A457&gt;Imóveis!$E$2),0,1)</f>
        <v>0</v>
      </c>
      <c r="J457" s="18">
        <f>IF(Imóveis!$F$3="PRICE",IF(AND(Dados!$A457&gt;=Imóveis!$Q$3,Dados!$A457&lt;=Imóveis!$T$3),Imóveis!$U$3,0),IF((IF(AND(Dados!$A457&gt;=Imóveis!$Q$3,Dados!$A457&lt;=Imóveis!$T$3),Imóveis!$S$3-(DATEDIF(Imóveis!$Q$3,Dados!$A457,"m")),0))=0,0,((Imóveis!$N$3/Imóveis!$S$3)+((Imóveis!$N$3-((Imóveis!$S$3-(IF(AND(Dados!$A457&gt;=Imóveis!$Q$3,Dados!$A457&lt;=Imóveis!$T$3),Imóveis!$S$3-(DATEDIF(Imóveis!$Q$3,Dados!$A457,"m")),)))*(Imóveis!$N$3/Imóveis!$S$3)))*Imóveis!$P$3))))*IF(AND(Imóveis!$E$3&gt;0,Dados!$A457&gt;Imóveis!$E$3),0,1)</f>
        <v>0</v>
      </c>
      <c r="K457" s="18">
        <f>IF(Imóveis!$F$4="PRICE",IF(AND(Dados!$A457&gt;=Imóveis!$Q$4,Dados!$A457&lt;=Imóveis!$T$4),Imóveis!$U$4,0),IF((IF(AND(Dados!$A457&gt;=Imóveis!$Q$4,Dados!$A457&lt;=Imóveis!$T$4),Imóveis!$S$4-(DATEDIF(Imóveis!$Q$4,Dados!$A457,"m")),0))=0,0,((Imóveis!$N$4/Imóveis!$S$4)+((Imóveis!$N$4-((Imóveis!$S$4-(IF(AND(Dados!$A457&gt;=Imóveis!$Q$4,Dados!$A457&lt;=Imóveis!$T$4),Imóveis!$S$4-(DATEDIF(Imóveis!$Q$4,Dados!$A457,"m")),)))*(Imóveis!$N$4/Imóveis!$S$4)))*Imóveis!$P$4))))*IF(AND(Imóveis!$E$4&gt;0,Dados!$A457&gt;Imóveis!$E$4),0,1)</f>
        <v>0</v>
      </c>
      <c r="L457" s="18">
        <f>IF(Imóveis!$F$5="PRICE",IF(AND(Dados!$A457&gt;=Imóveis!$Q$5,Dados!$A457&lt;=Imóveis!$T$5),Imóveis!$U$5,0),IF((IF(AND(Dados!$A457&gt;=Imóveis!$Q$5,Dados!$A457&lt;=Imóveis!$T$5),Imóveis!$S$5-(DATEDIF(Imóveis!$Q$5,Dados!$A457,"m")),0))=0,0,((Imóveis!$N$5/Imóveis!$S$5)+((Imóveis!$N$5-((Imóveis!$S$5-(IF(AND(Dados!$A457 &gt;=Imóveis!$Q$5,Dados!$A457&lt;=Imóveis!$T$5),Imóveis!$S$5-(DATEDIF(Imóveis!$Q$5,Dados!$A457,"m")),)))*(Imóveis!$N$5/Imóveis!$S$5)))*Imóveis!$P$5))))*IF(AND(Imóveis!$E$5&gt;0,Dados!$A457&gt;Imóveis!$E$5),0,1)*Imóveis!$I$5</f>
        <v>0</v>
      </c>
      <c r="M457" s="18">
        <f>IF(Imóveis!$F$6="PRICE",IF(AND(Dados!$A457&gt;=Imóveis!$Q$6,Dados!$A457&lt;=Imóveis!$T$6),Imóveis!$U$6,0),IF((IF(AND(Dados!$A457&gt;=Imóveis!$Q$6,Dados!$A457&lt;=Imóveis!$T$6),Imóveis!$S$6-(DATEDIF(Imóveis!$Q$6,Dados!$A457,"m")),0))=0,0,((Imóveis!$N$6/Imóveis!$S$6)+((Imóveis!$N$6-((Imóveis!$S$6-(IF(AND(Dados!$A457&gt;=Imóveis!$Q$6,Dados!$A457&lt;=Imóveis!$T$6),Imóveis!$S$6-(DATEDIF(Imóveis!$Q$6,Dados!$A457,"m")),)))*(Imóveis!$N$6/Imóveis!$S$6)))*Imóveis!$P$6))))*IF(AND(Imóveis!$E$6&gt;0,Dados!$A457&gt;Imóveis!$E$6),0,1)*Imóveis!$I$6</f>
        <v>0</v>
      </c>
      <c r="N457" s="18">
        <f t="shared" ca="1" si="61"/>
        <v>92757</v>
      </c>
      <c r="O457" s="18">
        <f>SUMIFS(Receitas!$F:$F,Receitas!$J:$J,"&lt;="&amp;$A457,Receitas!$L:$L,"&gt;="&amp;$A457,Receitas!$C:$C,O$1,Receitas!$M:$M,"Mensal")+SUMIFS(Receitas!$F:$F,Receitas!$J:$J,"&lt;="&amp;$A457,Receitas!$L:$L,"&gt;="&amp;$A457,Receitas!$C:$C,O$1,Receitas!$M:$M,$B457)</f>
        <v>0</v>
      </c>
      <c r="P457" s="18">
        <f>SUMIFS(Receitas!$F:$F,Receitas!$J:$J,"&lt;="&amp;$A457,Receitas!$L:$L,"&gt;="&amp;$A457,Receitas!$C:$C,P$1,Receitas!$M:$M,"Mensal")+SUMIFS(Receitas!$F:$F,Receitas!$J:$J,"&lt;="&amp;$A457,Receitas!$L:$L,"&gt;="&amp;$A457,Receitas!$C:$C,P$1,Receitas!$M:$M,$B457)</f>
        <v>0</v>
      </c>
      <c r="Q457" s="18">
        <f>SUMIFS(Receitas!$F:$F,Receitas!$J:$J,"&lt;="&amp;$A457,Receitas!$L:$L,"&gt;="&amp;$A457,Receitas!$C:$C,Q$1,Receitas!$M:$M,"Mensal")+SUMIFS(Receitas!$F:$F,Receitas!$J:$J,"&lt;="&amp;$A457,Receitas!$L:$L,"&gt;="&amp;$A457,Receitas!$C:$C,Q$1,Receitas!$M:$M,$B457)</f>
        <v>0</v>
      </c>
      <c r="R457" s="18" cm="1">
        <f t="array" ref="R457">(IF(AND(Membros!$F$2="Sim",A457&lt;=MAX(Membros!$E$2:$E$5)),Membros!K$2,IF(AND(A457&gt;=Membros!J$2,A457&lt;=MAX(Membros!$E$2:$E$5)),Membros!K$2,0))+IF(AND(Membros!$F$3="Sim",A457&lt;=MAX(Membros!$E$2:$E$5)),Membros!K$3,IF(AND(A457&gt;=Membros!J$3,A457&lt;=MAX(Membros!$E$2:$E$5)),Membros!K$3,0)))*IF(AND(COUNTIFS(Tabela3[Tipo],"Provedor",Tabela3[Simulação Seguro],"Sim")=2,A457&gt;=MAX(IF(Tabela3[Tipo]="Dependente",Tabela3[Expectativa de Vida (Data)]))),0,1)</f>
        <v>10000</v>
      </c>
      <c r="S457" s="18">
        <f t="shared" si="62"/>
        <v>10000</v>
      </c>
      <c r="U457" s="18">
        <f t="shared" ca="1" si="65"/>
        <v>29024403.728275876</v>
      </c>
      <c r="V457" s="18">
        <f>SUMIF(Imóveis!E:E,Dados!A:A,Imóveis!Z:Z)-SUMIF(Imóveis!E:E,Dados!A:A,Imóveis!Y:Y)</f>
        <v>0</v>
      </c>
      <c r="W457" s="18">
        <f>-SUMIF(Projetos!N:N,A457,Projetos!F:F)</f>
        <v>0</v>
      </c>
      <c r="X457" s="18">
        <f t="shared" ca="1" si="59"/>
        <v>-82757</v>
      </c>
      <c r="Y457" s="26">
        <f ca="1">(U457*((Indicadores_Economicos!D$2+1)^(1/12)-1))</f>
        <v>95018.34513985923</v>
      </c>
      <c r="Z457" s="18">
        <f t="shared" ca="1" si="63"/>
        <v>29036665.073415734</v>
      </c>
      <c r="AA457" s="18">
        <f ca="1">Auxiliar_Projetos!E457</f>
        <v>1.7299879174485302E-9</v>
      </c>
      <c r="AB457" s="18">
        <f ca="1">Auxiliar_Projetos!K457</f>
        <v>1.3307599364988687E-9</v>
      </c>
      <c r="AC457" s="18">
        <f ca="1">IF(Z457-AA457-AB457&gt;Investimentos!$C$14,Investimentos!$C$14,IF(Z457-AA457-AB457&lt;Investimentos!$C$14,Z457-AA457-AB457,0))</f>
        <v>300000</v>
      </c>
      <c r="AD457" s="18">
        <f t="shared" ca="1" si="64"/>
        <v>28736665.073415734</v>
      </c>
      <c r="AE457" s="18"/>
    </row>
    <row r="458" spans="1:31" x14ac:dyDescent="0.2">
      <c r="A458" s="4">
        <v>59537</v>
      </c>
      <c r="B458" s="5" t="str">
        <f t="shared" si="60"/>
        <v>janeiro</v>
      </c>
      <c r="C458" s="5" t="str">
        <f t="shared" si="58"/>
        <v>2063</v>
      </c>
      <c r="D458" s="5">
        <f>SUMIFS(Despesas!$F:$F,Despesas!$J:$J,"&lt;="&amp;$A458,Despesas!$L:$L,"&gt;="&amp;$A458,Despesas!$C:$C,D$1,Despesas!$M:$M,"Mensal")+SUMIFS(Despesas!$F:$F,Despesas!$J:$J,"&lt;="&amp;$A458,Despesas!$L:$L,"&gt;="&amp;$A458,Despesas!$C:$C,D$1,Despesas!$M:$M,$B458)</f>
        <v>23000</v>
      </c>
      <c r="E458" s="18">
        <f>SUMIFS(Despesas!$F:$F,Despesas!$J:$J,"&lt;="&amp;$A458,Despesas!$L:$L,"&gt;="&amp;$A458,Despesas!$C:$C,E$1,Despesas!$M:$M,"Mensal")+SUMIFS(Despesas!$F:$F,Despesas!$J:$J,"&lt;="&amp;$A458,Despesas!$L:$L,"&gt;="&amp;$A458,Despesas!$C:$C,E$1,Despesas!$M:$M,$B458)</f>
        <v>0</v>
      </c>
      <c r="F458" s="5">
        <f>SUMIFS(Despesas!$F:$F,Despesas!$J:$J,"&lt;="&amp;$A458,Despesas!$L:$L,"&gt;="&amp;$A458,Despesas!$C:$C,F$1,Despesas!$M:$M,"Mensal")+SUMIFS(Despesas!$F:$F,Despesas!$J:$J,"&lt;="&amp;$A458,Despesas!$L:$L,"&gt;="&amp;$A458,Despesas!$C:$C,F$1,Despesas!$M:$M,$B458)</f>
        <v>13000</v>
      </c>
      <c r="G458" s="5">
        <f>SUMIFS(Despesas!$F:$F,Despesas!$J:$J,"&lt;="&amp;$A458,Despesas!$L:$L,"&gt;="&amp;$A458,Despesas!$C:$C,G$1,Despesas!$M:$M,"Mensal")+SUMIFS(Despesas!$F:$F,Despesas!$J:$J,"&lt;="&amp;$A458,Despesas!$L:$L,"&gt;="&amp;$A458,Despesas!$C:$C,G$1,Despesas!$M:$M,$B458)</f>
        <v>0</v>
      </c>
      <c r="H458" s="18">
        <f>SUMIFS(Despesas!$F:$F,Despesas!$J:$J,"&lt;="&amp;$A458,Despesas!$L:$L,"&gt;="&amp;$A458,Despesas!$C:$C,H$1,Despesas!$M:$M,"Mensal")+SUMIFS(Despesas!$F:$F,Despesas!$J:$J,"&lt;="&amp;$A458,Despesas!$L:$L,"&gt;="&amp;$A458,Despesas!$C:$C,H$1,Despesas!$M:$M,$B458)</f>
        <v>1000</v>
      </c>
      <c r="I458" s="18">
        <f>IF(Imóveis!$F$2="PRICE",IF(AND(Dados!$A458&gt;=Imóveis!$Q$2,Dados!$A458&lt;=Imóveis!$T$2),Imóveis!$U$2,0),IF((IF(AND(Dados!$A458&gt;=Imóveis!$Q$2,Dados!$A458&lt;=Imóveis!$T$2),Imóveis!$S$2-(DATEDIF(Imóveis!$Q$2,Dados!$A458,"m")),0))=0,0,((Imóveis!$N$2/Imóveis!$S$2)+((Imóveis!$N$2-((Imóveis!$S$2-(IF(AND(Dados!$A458&gt;=Imóveis!$Q$2,Dados!$A458&lt;=Imóveis!$T$2),Imóveis!$S$2-(DATEDIF(Imóveis!$Q$2,Dados!$A458,"m")),)))*(Imóveis!$N$2/Imóveis!$S$2)))*Imóveis!$P$2))))*IF(AND(Imóveis!$E$2&gt;0,Dados!$A458&gt;Imóveis!$E$2),0,1)</f>
        <v>0</v>
      </c>
      <c r="J458" s="18">
        <f>IF(Imóveis!$F$3="PRICE",IF(AND(Dados!$A458&gt;=Imóveis!$Q$3,Dados!$A458&lt;=Imóveis!$T$3),Imóveis!$U$3,0),IF((IF(AND(Dados!$A458&gt;=Imóveis!$Q$3,Dados!$A458&lt;=Imóveis!$T$3),Imóveis!$S$3-(DATEDIF(Imóveis!$Q$3,Dados!$A458,"m")),0))=0,0,((Imóveis!$N$3/Imóveis!$S$3)+((Imóveis!$N$3-((Imóveis!$S$3-(IF(AND(Dados!$A458&gt;=Imóveis!$Q$3,Dados!$A458&lt;=Imóveis!$T$3),Imóveis!$S$3-(DATEDIF(Imóveis!$Q$3,Dados!$A458,"m")),)))*(Imóveis!$N$3/Imóveis!$S$3)))*Imóveis!$P$3))))*IF(AND(Imóveis!$E$3&gt;0,Dados!$A458&gt;Imóveis!$E$3),0,1)</f>
        <v>0</v>
      </c>
      <c r="K458" s="18">
        <f>IF(Imóveis!$F$4="PRICE",IF(AND(Dados!$A458&gt;=Imóveis!$Q$4,Dados!$A458&lt;=Imóveis!$T$4),Imóveis!$U$4,0),IF((IF(AND(Dados!$A458&gt;=Imóveis!$Q$4,Dados!$A458&lt;=Imóveis!$T$4),Imóveis!$S$4-(DATEDIF(Imóveis!$Q$4,Dados!$A458,"m")),0))=0,0,((Imóveis!$N$4/Imóveis!$S$4)+((Imóveis!$N$4-((Imóveis!$S$4-(IF(AND(Dados!$A458&gt;=Imóveis!$Q$4,Dados!$A458&lt;=Imóveis!$T$4),Imóveis!$S$4-(DATEDIF(Imóveis!$Q$4,Dados!$A458,"m")),)))*(Imóveis!$N$4/Imóveis!$S$4)))*Imóveis!$P$4))))*IF(AND(Imóveis!$E$4&gt;0,Dados!$A458&gt;Imóveis!$E$4),0,1)</f>
        <v>0</v>
      </c>
      <c r="L458" s="18">
        <f>IF(Imóveis!$F$5="PRICE",IF(AND(Dados!$A458&gt;=Imóveis!$Q$5,Dados!$A458&lt;=Imóveis!$T$5),Imóveis!$U$5,0),IF((IF(AND(Dados!$A458&gt;=Imóveis!$Q$5,Dados!$A458&lt;=Imóveis!$T$5),Imóveis!$S$5-(DATEDIF(Imóveis!$Q$5,Dados!$A458,"m")),0))=0,0,((Imóveis!$N$5/Imóveis!$S$5)+((Imóveis!$N$5-((Imóveis!$S$5-(IF(AND(Dados!$A458 &gt;=Imóveis!$Q$5,Dados!$A458&lt;=Imóveis!$T$5),Imóveis!$S$5-(DATEDIF(Imóveis!$Q$5,Dados!$A458,"m")),)))*(Imóveis!$N$5/Imóveis!$S$5)))*Imóveis!$P$5))))*IF(AND(Imóveis!$E$5&gt;0,Dados!$A458&gt;Imóveis!$E$5),0,1)*Imóveis!$I$5</f>
        <v>0</v>
      </c>
      <c r="M458" s="18">
        <f>IF(Imóveis!$F$6="PRICE",IF(AND(Dados!$A458&gt;=Imóveis!$Q$6,Dados!$A458&lt;=Imóveis!$T$6),Imóveis!$U$6,0),IF((IF(AND(Dados!$A458&gt;=Imóveis!$Q$6,Dados!$A458&lt;=Imóveis!$T$6),Imóveis!$S$6-(DATEDIF(Imóveis!$Q$6,Dados!$A458,"m")),0))=0,0,((Imóveis!$N$6/Imóveis!$S$6)+((Imóveis!$N$6-((Imóveis!$S$6-(IF(AND(Dados!$A458&gt;=Imóveis!$Q$6,Dados!$A458&lt;=Imóveis!$T$6),Imóveis!$S$6-(DATEDIF(Imóveis!$Q$6,Dados!$A458,"m")),)))*(Imóveis!$N$6/Imóveis!$S$6)))*Imóveis!$P$6))))*IF(AND(Imóveis!$E$6&gt;0,Dados!$A458&gt;Imóveis!$E$6),0,1)*Imóveis!$I$6</f>
        <v>0</v>
      </c>
      <c r="N458" s="18">
        <f t="shared" si="61"/>
        <v>37000</v>
      </c>
      <c r="O458" s="18">
        <f>SUMIFS(Receitas!$F:$F,Receitas!$J:$J,"&lt;="&amp;$A458,Receitas!$L:$L,"&gt;="&amp;$A458,Receitas!$C:$C,O$1,Receitas!$M:$M,"Mensal")+SUMIFS(Receitas!$F:$F,Receitas!$J:$J,"&lt;="&amp;$A458,Receitas!$L:$L,"&gt;="&amp;$A458,Receitas!$C:$C,O$1,Receitas!$M:$M,$B458)</f>
        <v>0</v>
      </c>
      <c r="P458" s="18">
        <f>SUMIFS(Receitas!$F:$F,Receitas!$J:$J,"&lt;="&amp;$A458,Receitas!$L:$L,"&gt;="&amp;$A458,Receitas!$C:$C,P$1,Receitas!$M:$M,"Mensal")+SUMIFS(Receitas!$F:$F,Receitas!$J:$J,"&lt;="&amp;$A458,Receitas!$L:$L,"&gt;="&amp;$A458,Receitas!$C:$C,P$1,Receitas!$M:$M,$B458)</f>
        <v>0</v>
      </c>
      <c r="Q458" s="18">
        <f>SUMIFS(Receitas!$F:$F,Receitas!$J:$J,"&lt;="&amp;$A458,Receitas!$L:$L,"&gt;="&amp;$A458,Receitas!$C:$C,Q$1,Receitas!$M:$M,"Mensal")+SUMIFS(Receitas!$F:$F,Receitas!$J:$J,"&lt;="&amp;$A458,Receitas!$L:$L,"&gt;="&amp;$A458,Receitas!$C:$C,Q$1,Receitas!$M:$M,$B458)</f>
        <v>0</v>
      </c>
      <c r="R458" s="18" cm="1">
        <f t="array" ref="R458">(IF(AND(Membros!$F$2="Sim",A458&lt;=MAX(Membros!$E$2:$E$5)),Membros!K$2,IF(AND(A458&gt;=Membros!J$2,A458&lt;=MAX(Membros!$E$2:$E$5)),Membros!K$2,0))+IF(AND(Membros!$F$3="Sim",A458&lt;=MAX(Membros!$E$2:$E$5)),Membros!K$3,IF(AND(A458&gt;=Membros!J$3,A458&lt;=MAX(Membros!$E$2:$E$5)),Membros!K$3,0)))*IF(AND(COUNTIFS(Tabela3[Tipo],"Provedor",Tabela3[Simulação Seguro],"Sim")=2,A458&gt;=MAX(IF(Tabela3[Tipo]="Dependente",Tabela3[Expectativa de Vida (Data)]))),0,1)</f>
        <v>10000</v>
      </c>
      <c r="S458" s="18">
        <f t="shared" si="62"/>
        <v>10000</v>
      </c>
      <c r="U458" s="18">
        <f t="shared" ca="1" si="65"/>
        <v>29036665.073415734</v>
      </c>
      <c r="V458" s="18">
        <f>SUMIF(Imóveis!E:E,Dados!A:A,Imóveis!Z:Z)-SUMIF(Imóveis!E:E,Dados!A:A,Imóveis!Y:Y)</f>
        <v>0</v>
      </c>
      <c r="W458" s="18">
        <f>-SUMIF(Projetos!N:N,A458,Projetos!F:F)</f>
        <v>0</v>
      </c>
      <c r="X458" s="18">
        <f t="shared" si="59"/>
        <v>-27000</v>
      </c>
      <c r="Y458" s="26">
        <f ca="1">(U458*((Indicadores_Economicos!D$2+1)^(1/12)-1))</f>
        <v>95058.485593226855</v>
      </c>
      <c r="Z458" s="18">
        <f t="shared" ca="1" si="63"/>
        <v>29104723.55900896</v>
      </c>
      <c r="AA458" s="18">
        <f ca="1">Auxiliar_Projetos!E458</f>
        <v>1.7356514477166049E-9</v>
      </c>
      <c r="AB458" s="18">
        <f ca="1">Auxiliar_Projetos!K458</f>
        <v>1.3351164982435415E-9</v>
      </c>
      <c r="AC458" s="18">
        <f ca="1">IF(Z458-AA458-AB458&gt;Investimentos!$C$14,Investimentos!$C$14,IF(Z458-AA458-AB458&lt;Investimentos!$C$14,Z458-AA458-AB458,0))</f>
        <v>300000</v>
      </c>
      <c r="AD458" s="18">
        <f t="shared" ca="1" si="64"/>
        <v>28804723.55900896</v>
      </c>
      <c r="AE458" s="18"/>
    </row>
    <row r="459" spans="1:31" x14ac:dyDescent="0.2">
      <c r="A459" s="4">
        <v>59568</v>
      </c>
      <c r="B459" s="5" t="str">
        <f t="shared" si="60"/>
        <v>fevereiro</v>
      </c>
      <c r="C459" s="5" t="str">
        <f t="shared" si="58"/>
        <v>2063</v>
      </c>
      <c r="D459" s="5">
        <f>SUMIFS(Despesas!$F:$F,Despesas!$J:$J,"&lt;="&amp;$A459,Despesas!$L:$L,"&gt;="&amp;$A459,Despesas!$C:$C,D$1,Despesas!$M:$M,"Mensal")+SUMIFS(Despesas!$F:$F,Despesas!$J:$J,"&lt;="&amp;$A459,Despesas!$L:$L,"&gt;="&amp;$A459,Despesas!$C:$C,D$1,Despesas!$M:$M,$B459)</f>
        <v>23000</v>
      </c>
      <c r="E459" s="18">
        <f>SUMIFS(Despesas!$F:$F,Despesas!$J:$J,"&lt;="&amp;$A459,Despesas!$L:$L,"&gt;="&amp;$A459,Despesas!$C:$C,E$1,Despesas!$M:$M,"Mensal")+SUMIFS(Despesas!$F:$F,Despesas!$J:$J,"&lt;="&amp;$A459,Despesas!$L:$L,"&gt;="&amp;$A459,Despesas!$C:$C,E$1,Despesas!$M:$M,$B459)</f>
        <v>0</v>
      </c>
      <c r="F459" s="5">
        <f>SUMIFS(Despesas!$F:$F,Despesas!$J:$J,"&lt;="&amp;$A459,Despesas!$L:$L,"&gt;="&amp;$A459,Despesas!$C:$C,F$1,Despesas!$M:$M,"Mensal")+SUMIFS(Despesas!$F:$F,Despesas!$J:$J,"&lt;="&amp;$A459,Despesas!$L:$L,"&gt;="&amp;$A459,Despesas!$C:$C,F$1,Despesas!$M:$M,$B459)</f>
        <v>13000</v>
      </c>
      <c r="G459" s="5">
        <f>SUMIFS(Despesas!$F:$F,Despesas!$J:$J,"&lt;="&amp;$A459,Despesas!$L:$L,"&gt;="&amp;$A459,Despesas!$C:$C,G$1,Despesas!$M:$M,"Mensal")+SUMIFS(Despesas!$F:$F,Despesas!$J:$J,"&lt;="&amp;$A459,Despesas!$L:$L,"&gt;="&amp;$A459,Despesas!$C:$C,G$1,Despesas!$M:$M,$B459)</f>
        <v>0</v>
      </c>
      <c r="H459" s="18">
        <f>SUMIFS(Despesas!$F:$F,Despesas!$J:$J,"&lt;="&amp;$A459,Despesas!$L:$L,"&gt;="&amp;$A459,Despesas!$C:$C,H$1,Despesas!$M:$M,"Mensal")+SUMIFS(Despesas!$F:$F,Despesas!$J:$J,"&lt;="&amp;$A459,Despesas!$L:$L,"&gt;="&amp;$A459,Despesas!$C:$C,H$1,Despesas!$M:$M,$B459)</f>
        <v>2200</v>
      </c>
      <c r="I459" s="18">
        <f>IF(Imóveis!$F$2="PRICE",IF(AND(Dados!$A459&gt;=Imóveis!$Q$2,Dados!$A459&lt;=Imóveis!$T$2),Imóveis!$U$2,0),IF((IF(AND(Dados!$A459&gt;=Imóveis!$Q$2,Dados!$A459&lt;=Imóveis!$T$2),Imóveis!$S$2-(DATEDIF(Imóveis!$Q$2,Dados!$A459,"m")),0))=0,0,((Imóveis!$N$2/Imóveis!$S$2)+((Imóveis!$N$2-((Imóveis!$S$2-(IF(AND(Dados!$A459&gt;=Imóveis!$Q$2,Dados!$A459&lt;=Imóveis!$T$2),Imóveis!$S$2-(DATEDIF(Imóveis!$Q$2,Dados!$A459,"m")),)))*(Imóveis!$N$2/Imóveis!$S$2)))*Imóveis!$P$2))))*IF(AND(Imóveis!$E$2&gt;0,Dados!$A459&gt;Imóveis!$E$2),0,1)</f>
        <v>0</v>
      </c>
      <c r="J459" s="18">
        <f>IF(Imóveis!$F$3="PRICE",IF(AND(Dados!$A459&gt;=Imóveis!$Q$3,Dados!$A459&lt;=Imóveis!$T$3),Imóveis!$U$3,0),IF((IF(AND(Dados!$A459&gt;=Imóveis!$Q$3,Dados!$A459&lt;=Imóveis!$T$3),Imóveis!$S$3-(DATEDIF(Imóveis!$Q$3,Dados!$A459,"m")),0))=0,0,((Imóveis!$N$3/Imóveis!$S$3)+((Imóveis!$N$3-((Imóveis!$S$3-(IF(AND(Dados!$A459&gt;=Imóveis!$Q$3,Dados!$A459&lt;=Imóveis!$T$3),Imóveis!$S$3-(DATEDIF(Imóveis!$Q$3,Dados!$A459,"m")),)))*(Imóveis!$N$3/Imóveis!$S$3)))*Imóveis!$P$3))))*IF(AND(Imóveis!$E$3&gt;0,Dados!$A459&gt;Imóveis!$E$3),0,1)</f>
        <v>0</v>
      </c>
      <c r="K459" s="18">
        <f>IF(Imóveis!$F$4="PRICE",IF(AND(Dados!$A459&gt;=Imóveis!$Q$4,Dados!$A459&lt;=Imóveis!$T$4),Imóveis!$U$4,0),IF((IF(AND(Dados!$A459&gt;=Imóveis!$Q$4,Dados!$A459&lt;=Imóveis!$T$4),Imóveis!$S$4-(DATEDIF(Imóveis!$Q$4,Dados!$A459,"m")),0))=0,0,((Imóveis!$N$4/Imóveis!$S$4)+((Imóveis!$N$4-((Imóveis!$S$4-(IF(AND(Dados!$A459&gt;=Imóveis!$Q$4,Dados!$A459&lt;=Imóveis!$T$4),Imóveis!$S$4-(DATEDIF(Imóveis!$Q$4,Dados!$A459,"m")),)))*(Imóveis!$N$4/Imóveis!$S$4)))*Imóveis!$P$4))))*IF(AND(Imóveis!$E$4&gt;0,Dados!$A459&gt;Imóveis!$E$4),0,1)</f>
        <v>0</v>
      </c>
      <c r="L459" s="18">
        <f>IF(Imóveis!$F$5="PRICE",IF(AND(Dados!$A459&gt;=Imóveis!$Q$5,Dados!$A459&lt;=Imóveis!$T$5),Imóveis!$U$5,0),IF((IF(AND(Dados!$A459&gt;=Imóveis!$Q$5,Dados!$A459&lt;=Imóveis!$T$5),Imóveis!$S$5-(DATEDIF(Imóveis!$Q$5,Dados!$A459,"m")),0))=0,0,((Imóveis!$N$5/Imóveis!$S$5)+((Imóveis!$N$5-((Imóveis!$S$5-(IF(AND(Dados!$A459 &gt;=Imóveis!$Q$5,Dados!$A459&lt;=Imóveis!$T$5),Imóveis!$S$5-(DATEDIF(Imóveis!$Q$5,Dados!$A459,"m")),)))*(Imóveis!$N$5/Imóveis!$S$5)))*Imóveis!$P$5))))*IF(AND(Imóveis!$E$5&gt;0,Dados!$A459&gt;Imóveis!$E$5),0,1)*Imóveis!$I$5</f>
        <v>0</v>
      </c>
      <c r="M459" s="18">
        <f>IF(Imóveis!$F$6="PRICE",IF(AND(Dados!$A459&gt;=Imóveis!$Q$6,Dados!$A459&lt;=Imóveis!$T$6),Imóveis!$U$6,0),IF((IF(AND(Dados!$A459&gt;=Imóveis!$Q$6,Dados!$A459&lt;=Imóveis!$T$6),Imóveis!$S$6-(DATEDIF(Imóveis!$Q$6,Dados!$A459,"m")),0))=0,0,((Imóveis!$N$6/Imóveis!$S$6)+((Imóveis!$N$6-((Imóveis!$S$6-(IF(AND(Dados!$A459&gt;=Imóveis!$Q$6,Dados!$A459&lt;=Imóveis!$T$6),Imóveis!$S$6-(DATEDIF(Imóveis!$Q$6,Dados!$A459,"m")),)))*(Imóveis!$N$6/Imóveis!$S$6)))*Imóveis!$P$6))))*IF(AND(Imóveis!$E$6&gt;0,Dados!$A459&gt;Imóveis!$E$6),0,1)*Imóveis!$I$6</f>
        <v>0</v>
      </c>
      <c r="N459" s="18">
        <f t="shared" si="61"/>
        <v>38200</v>
      </c>
      <c r="O459" s="18">
        <f>SUMIFS(Receitas!$F:$F,Receitas!$J:$J,"&lt;="&amp;$A459,Receitas!$L:$L,"&gt;="&amp;$A459,Receitas!$C:$C,O$1,Receitas!$M:$M,"Mensal")+SUMIFS(Receitas!$F:$F,Receitas!$J:$J,"&lt;="&amp;$A459,Receitas!$L:$L,"&gt;="&amp;$A459,Receitas!$C:$C,O$1,Receitas!$M:$M,$B459)</f>
        <v>0</v>
      </c>
      <c r="P459" s="18">
        <f>SUMIFS(Receitas!$F:$F,Receitas!$J:$J,"&lt;="&amp;$A459,Receitas!$L:$L,"&gt;="&amp;$A459,Receitas!$C:$C,P$1,Receitas!$M:$M,"Mensal")+SUMIFS(Receitas!$F:$F,Receitas!$J:$J,"&lt;="&amp;$A459,Receitas!$L:$L,"&gt;="&amp;$A459,Receitas!$C:$C,P$1,Receitas!$M:$M,$B459)</f>
        <v>0</v>
      </c>
      <c r="Q459" s="18">
        <f>SUMIFS(Receitas!$F:$F,Receitas!$J:$J,"&lt;="&amp;$A459,Receitas!$L:$L,"&gt;="&amp;$A459,Receitas!$C:$C,Q$1,Receitas!$M:$M,"Mensal")+SUMIFS(Receitas!$F:$F,Receitas!$J:$J,"&lt;="&amp;$A459,Receitas!$L:$L,"&gt;="&amp;$A459,Receitas!$C:$C,Q$1,Receitas!$M:$M,$B459)</f>
        <v>0</v>
      </c>
      <c r="R459" s="18" cm="1">
        <f t="array" ref="R459">(IF(AND(Membros!$F$2="Sim",A459&lt;=MAX(Membros!$E$2:$E$5)),Membros!K$2,IF(AND(A459&gt;=Membros!J$2,A459&lt;=MAX(Membros!$E$2:$E$5)),Membros!K$2,0))+IF(AND(Membros!$F$3="Sim",A459&lt;=MAX(Membros!$E$2:$E$5)),Membros!K$3,IF(AND(A459&gt;=Membros!J$3,A459&lt;=MAX(Membros!$E$2:$E$5)),Membros!K$3,0)))*IF(AND(COUNTIFS(Tabela3[Tipo],"Provedor",Tabela3[Simulação Seguro],"Sim")=2,A459&gt;=MAX(IF(Tabela3[Tipo]="Dependente",Tabela3[Expectativa de Vida (Data)]))),0,1)</f>
        <v>10000</v>
      </c>
      <c r="S459" s="18">
        <f t="shared" si="62"/>
        <v>10000</v>
      </c>
      <c r="U459" s="18">
        <f t="shared" ca="1" si="65"/>
        <v>29104723.55900896</v>
      </c>
      <c r="V459" s="18">
        <f>SUMIF(Imóveis!E:E,Dados!A:A,Imóveis!Z:Z)-SUMIF(Imóveis!E:E,Dados!A:A,Imóveis!Y:Y)</f>
        <v>0</v>
      </c>
      <c r="W459" s="18">
        <f>-SUMIF(Projetos!N:N,A459,Projetos!F:F)</f>
        <v>0</v>
      </c>
      <c r="X459" s="18">
        <f t="shared" si="59"/>
        <v>-28200</v>
      </c>
      <c r="Y459" s="26">
        <f ca="1">(U459*((Indicadores_Economicos!D$2+1)^(1/12)-1))</f>
        <v>95281.29136502961</v>
      </c>
      <c r="Z459" s="18">
        <f t="shared" ca="1" si="63"/>
        <v>29171804.850373991</v>
      </c>
      <c r="AA459" s="18">
        <f ca="1">Auxiliar_Projetos!E459</f>
        <v>1.7413335189090259E-9</v>
      </c>
      <c r="AB459" s="18">
        <f ca="1">Auxiliar_Projetos!K459</f>
        <v>1.3394873222377115E-9</v>
      </c>
      <c r="AC459" s="18">
        <f ca="1">IF(Z459-AA459-AB459&gt;Investimentos!$C$14,Investimentos!$C$14,IF(Z459-AA459-AB459&lt;Investimentos!$C$14,Z459-AA459-AB459,0))</f>
        <v>300000</v>
      </c>
      <c r="AD459" s="18">
        <f t="shared" ca="1" si="64"/>
        <v>28871804.850373991</v>
      </c>
      <c r="AE459" s="18"/>
    </row>
    <row r="460" spans="1:31" x14ac:dyDescent="0.2">
      <c r="A460" s="4">
        <v>59596</v>
      </c>
      <c r="B460" s="5" t="str">
        <f t="shared" si="60"/>
        <v>março</v>
      </c>
      <c r="C460" s="5" t="str">
        <f t="shared" si="58"/>
        <v>2063</v>
      </c>
      <c r="D460" s="5">
        <f>SUMIFS(Despesas!$F:$F,Despesas!$J:$J,"&lt;="&amp;$A460,Despesas!$L:$L,"&gt;="&amp;$A460,Despesas!$C:$C,D$1,Despesas!$M:$M,"Mensal")+SUMIFS(Despesas!$F:$F,Despesas!$J:$J,"&lt;="&amp;$A460,Despesas!$L:$L,"&gt;="&amp;$A460,Despesas!$C:$C,D$1,Despesas!$M:$M,$B460)</f>
        <v>23000</v>
      </c>
      <c r="E460" s="18">
        <f>SUMIFS(Despesas!$F:$F,Despesas!$J:$J,"&lt;="&amp;$A460,Despesas!$L:$L,"&gt;="&amp;$A460,Despesas!$C:$C,E$1,Despesas!$M:$M,"Mensal")+SUMIFS(Despesas!$F:$F,Despesas!$J:$J,"&lt;="&amp;$A460,Despesas!$L:$L,"&gt;="&amp;$A460,Despesas!$C:$C,E$1,Despesas!$M:$M,$B460)</f>
        <v>0</v>
      </c>
      <c r="F460" s="5">
        <f>SUMIFS(Despesas!$F:$F,Despesas!$J:$J,"&lt;="&amp;$A460,Despesas!$L:$L,"&gt;="&amp;$A460,Despesas!$C:$C,F$1,Despesas!$M:$M,"Mensal")+SUMIFS(Despesas!$F:$F,Despesas!$J:$J,"&lt;="&amp;$A460,Despesas!$L:$L,"&gt;="&amp;$A460,Despesas!$C:$C,F$1,Despesas!$M:$M,$B460)</f>
        <v>13000</v>
      </c>
      <c r="G460" s="5">
        <f>SUMIFS(Despesas!$F:$F,Despesas!$J:$J,"&lt;="&amp;$A460,Despesas!$L:$L,"&gt;="&amp;$A460,Despesas!$C:$C,G$1,Despesas!$M:$M,"Mensal")+SUMIFS(Despesas!$F:$F,Despesas!$J:$J,"&lt;="&amp;$A460,Despesas!$L:$L,"&gt;="&amp;$A460,Despesas!$C:$C,G$1,Despesas!$M:$M,$B460)</f>
        <v>0</v>
      </c>
      <c r="H460" s="18">
        <f>SUMIFS(Despesas!$F:$F,Despesas!$J:$J,"&lt;="&amp;$A460,Despesas!$L:$L,"&gt;="&amp;$A460,Despesas!$C:$C,H$1,Despesas!$M:$M,"Mensal")+SUMIFS(Despesas!$F:$F,Despesas!$J:$J,"&lt;="&amp;$A460,Despesas!$L:$L,"&gt;="&amp;$A460,Despesas!$C:$C,H$1,Despesas!$M:$M,$B460)</f>
        <v>1000</v>
      </c>
      <c r="I460" s="18">
        <f>IF(Imóveis!$F$2="PRICE",IF(AND(Dados!$A460&gt;=Imóveis!$Q$2,Dados!$A460&lt;=Imóveis!$T$2),Imóveis!$U$2,0),IF((IF(AND(Dados!$A460&gt;=Imóveis!$Q$2,Dados!$A460&lt;=Imóveis!$T$2),Imóveis!$S$2-(DATEDIF(Imóveis!$Q$2,Dados!$A460,"m")),0))=0,0,((Imóveis!$N$2/Imóveis!$S$2)+((Imóveis!$N$2-((Imóveis!$S$2-(IF(AND(Dados!$A460&gt;=Imóveis!$Q$2,Dados!$A460&lt;=Imóveis!$T$2),Imóveis!$S$2-(DATEDIF(Imóveis!$Q$2,Dados!$A460,"m")),)))*(Imóveis!$N$2/Imóveis!$S$2)))*Imóveis!$P$2))))*IF(AND(Imóveis!$E$2&gt;0,Dados!$A460&gt;Imóveis!$E$2),0,1)</f>
        <v>0</v>
      </c>
      <c r="J460" s="18">
        <f>IF(Imóveis!$F$3="PRICE",IF(AND(Dados!$A460&gt;=Imóveis!$Q$3,Dados!$A460&lt;=Imóveis!$T$3),Imóveis!$U$3,0),IF((IF(AND(Dados!$A460&gt;=Imóveis!$Q$3,Dados!$A460&lt;=Imóveis!$T$3),Imóveis!$S$3-(DATEDIF(Imóveis!$Q$3,Dados!$A460,"m")),0))=0,0,((Imóveis!$N$3/Imóveis!$S$3)+((Imóveis!$N$3-((Imóveis!$S$3-(IF(AND(Dados!$A460&gt;=Imóveis!$Q$3,Dados!$A460&lt;=Imóveis!$T$3),Imóveis!$S$3-(DATEDIF(Imóveis!$Q$3,Dados!$A460,"m")),)))*(Imóveis!$N$3/Imóveis!$S$3)))*Imóveis!$P$3))))*IF(AND(Imóveis!$E$3&gt;0,Dados!$A460&gt;Imóveis!$E$3),0,1)</f>
        <v>0</v>
      </c>
      <c r="K460" s="18">
        <f>IF(Imóveis!$F$4="PRICE",IF(AND(Dados!$A460&gt;=Imóveis!$Q$4,Dados!$A460&lt;=Imóveis!$T$4),Imóveis!$U$4,0),IF((IF(AND(Dados!$A460&gt;=Imóveis!$Q$4,Dados!$A460&lt;=Imóveis!$T$4),Imóveis!$S$4-(DATEDIF(Imóveis!$Q$4,Dados!$A460,"m")),0))=0,0,((Imóveis!$N$4/Imóveis!$S$4)+((Imóveis!$N$4-((Imóveis!$S$4-(IF(AND(Dados!$A460&gt;=Imóveis!$Q$4,Dados!$A460&lt;=Imóveis!$T$4),Imóveis!$S$4-(DATEDIF(Imóveis!$Q$4,Dados!$A460,"m")),)))*(Imóveis!$N$4/Imóveis!$S$4)))*Imóveis!$P$4))))*IF(AND(Imóveis!$E$4&gt;0,Dados!$A460&gt;Imóveis!$E$4),0,1)</f>
        <v>0</v>
      </c>
      <c r="L460" s="18">
        <f>IF(Imóveis!$F$5="PRICE",IF(AND(Dados!$A460&gt;=Imóveis!$Q$5,Dados!$A460&lt;=Imóveis!$T$5),Imóveis!$U$5,0),IF((IF(AND(Dados!$A460&gt;=Imóveis!$Q$5,Dados!$A460&lt;=Imóveis!$T$5),Imóveis!$S$5-(DATEDIF(Imóveis!$Q$5,Dados!$A460,"m")),0))=0,0,((Imóveis!$N$5/Imóveis!$S$5)+((Imóveis!$N$5-((Imóveis!$S$5-(IF(AND(Dados!$A460 &gt;=Imóveis!$Q$5,Dados!$A460&lt;=Imóveis!$T$5),Imóveis!$S$5-(DATEDIF(Imóveis!$Q$5,Dados!$A460,"m")),)))*(Imóveis!$N$5/Imóveis!$S$5)))*Imóveis!$P$5))))*IF(AND(Imóveis!$E$5&gt;0,Dados!$A460&gt;Imóveis!$E$5),0,1)*Imóveis!$I$5</f>
        <v>0</v>
      </c>
      <c r="M460" s="18">
        <f>IF(Imóveis!$F$6="PRICE",IF(AND(Dados!$A460&gt;=Imóveis!$Q$6,Dados!$A460&lt;=Imóveis!$T$6),Imóveis!$U$6,0),IF((IF(AND(Dados!$A460&gt;=Imóveis!$Q$6,Dados!$A460&lt;=Imóveis!$T$6),Imóveis!$S$6-(DATEDIF(Imóveis!$Q$6,Dados!$A460,"m")),0))=0,0,((Imóveis!$N$6/Imóveis!$S$6)+((Imóveis!$N$6-((Imóveis!$S$6-(IF(AND(Dados!$A460&gt;=Imóveis!$Q$6,Dados!$A460&lt;=Imóveis!$T$6),Imóveis!$S$6-(DATEDIF(Imóveis!$Q$6,Dados!$A460,"m")),)))*(Imóveis!$N$6/Imóveis!$S$6)))*Imóveis!$P$6))))*IF(AND(Imóveis!$E$6&gt;0,Dados!$A460&gt;Imóveis!$E$6),0,1)*Imóveis!$I$6</f>
        <v>0</v>
      </c>
      <c r="N460" s="18">
        <f t="shared" si="61"/>
        <v>37000</v>
      </c>
      <c r="O460" s="18">
        <f>SUMIFS(Receitas!$F:$F,Receitas!$J:$J,"&lt;="&amp;$A460,Receitas!$L:$L,"&gt;="&amp;$A460,Receitas!$C:$C,O$1,Receitas!$M:$M,"Mensal")+SUMIFS(Receitas!$F:$F,Receitas!$J:$J,"&lt;="&amp;$A460,Receitas!$L:$L,"&gt;="&amp;$A460,Receitas!$C:$C,O$1,Receitas!$M:$M,$B460)</f>
        <v>0</v>
      </c>
      <c r="P460" s="18">
        <f>SUMIFS(Receitas!$F:$F,Receitas!$J:$J,"&lt;="&amp;$A460,Receitas!$L:$L,"&gt;="&amp;$A460,Receitas!$C:$C,P$1,Receitas!$M:$M,"Mensal")+SUMIFS(Receitas!$F:$F,Receitas!$J:$J,"&lt;="&amp;$A460,Receitas!$L:$L,"&gt;="&amp;$A460,Receitas!$C:$C,P$1,Receitas!$M:$M,$B460)</f>
        <v>0</v>
      </c>
      <c r="Q460" s="18">
        <f>SUMIFS(Receitas!$F:$F,Receitas!$J:$J,"&lt;="&amp;$A460,Receitas!$L:$L,"&gt;="&amp;$A460,Receitas!$C:$C,Q$1,Receitas!$M:$M,"Mensal")+SUMIFS(Receitas!$F:$F,Receitas!$J:$J,"&lt;="&amp;$A460,Receitas!$L:$L,"&gt;="&amp;$A460,Receitas!$C:$C,Q$1,Receitas!$M:$M,$B460)</f>
        <v>0</v>
      </c>
      <c r="R460" s="18" cm="1">
        <f t="array" ref="R460">(IF(AND(Membros!$F$2="Sim",A460&lt;=MAX(Membros!$E$2:$E$5)),Membros!K$2,IF(AND(A460&gt;=Membros!J$2,A460&lt;=MAX(Membros!$E$2:$E$5)),Membros!K$2,0))+IF(AND(Membros!$F$3="Sim",A460&lt;=MAX(Membros!$E$2:$E$5)),Membros!K$3,IF(AND(A460&gt;=Membros!J$3,A460&lt;=MAX(Membros!$E$2:$E$5)),Membros!K$3,0)))*IF(AND(COUNTIFS(Tabela3[Tipo],"Provedor",Tabela3[Simulação Seguro],"Sim")=2,A460&gt;=MAX(IF(Tabela3[Tipo]="Dependente",Tabela3[Expectativa de Vida (Data)]))),0,1)</f>
        <v>10000</v>
      </c>
      <c r="S460" s="18">
        <f t="shared" si="62"/>
        <v>10000</v>
      </c>
      <c r="U460" s="18">
        <f t="shared" ca="1" si="65"/>
        <v>29171804.850373991</v>
      </c>
      <c r="V460" s="18">
        <f>SUMIF(Imóveis!E:E,Dados!A:A,Imóveis!Z:Z)-SUMIF(Imóveis!E:E,Dados!A:A,Imóveis!Y:Y)</f>
        <v>0</v>
      </c>
      <c r="W460" s="18">
        <f>-SUMIF(Projetos!N:N,A460,Projetos!F:F)</f>
        <v>0</v>
      </c>
      <c r="X460" s="18">
        <f t="shared" si="59"/>
        <v>-27000</v>
      </c>
      <c r="Y460" s="26">
        <f ca="1">(U460*((Indicadores_Economicos!D$2+1)^(1/12)-1))</f>
        <v>95500.898057212587</v>
      </c>
      <c r="Z460" s="18">
        <f t="shared" ca="1" si="63"/>
        <v>29240305.748431202</v>
      </c>
      <c r="AA460" s="18">
        <f ca="1">Auxiliar_Projetos!E460</f>
        <v>1.7470341917239548E-9</v>
      </c>
      <c r="AB460" s="18">
        <f ca="1">Auxiliar_Projetos!K460</f>
        <v>1.3438724551722723E-9</v>
      </c>
      <c r="AC460" s="18">
        <f ca="1">IF(Z460-AA460-AB460&gt;Investimentos!$C$14,Investimentos!$C$14,IF(Z460-AA460-AB460&lt;Investimentos!$C$14,Z460-AA460-AB460,0))</f>
        <v>300000</v>
      </c>
      <c r="AD460" s="18">
        <f t="shared" ca="1" si="64"/>
        <v>28940305.748431202</v>
      </c>
      <c r="AE460" s="18"/>
    </row>
    <row r="461" spans="1:31" x14ac:dyDescent="0.2">
      <c r="A461" s="4">
        <v>59627</v>
      </c>
      <c r="B461" s="5" t="str">
        <f t="shared" si="60"/>
        <v>abril</v>
      </c>
      <c r="C461" s="5" t="str">
        <f t="shared" si="58"/>
        <v>2063</v>
      </c>
      <c r="D461" s="5">
        <f>SUMIFS(Despesas!$F:$F,Despesas!$J:$J,"&lt;="&amp;$A461,Despesas!$L:$L,"&gt;="&amp;$A461,Despesas!$C:$C,D$1,Despesas!$M:$M,"Mensal")+SUMIFS(Despesas!$F:$F,Despesas!$J:$J,"&lt;="&amp;$A461,Despesas!$L:$L,"&gt;="&amp;$A461,Despesas!$C:$C,D$1,Despesas!$M:$M,$B461)</f>
        <v>23000</v>
      </c>
      <c r="E461" s="18">
        <f>SUMIFS(Despesas!$F:$F,Despesas!$J:$J,"&lt;="&amp;$A461,Despesas!$L:$L,"&gt;="&amp;$A461,Despesas!$C:$C,E$1,Despesas!$M:$M,"Mensal")+SUMIFS(Despesas!$F:$F,Despesas!$J:$J,"&lt;="&amp;$A461,Despesas!$L:$L,"&gt;="&amp;$A461,Despesas!$C:$C,E$1,Despesas!$M:$M,$B461)</f>
        <v>0</v>
      </c>
      <c r="F461" s="5">
        <f>SUMIFS(Despesas!$F:$F,Despesas!$J:$J,"&lt;="&amp;$A461,Despesas!$L:$L,"&gt;="&amp;$A461,Despesas!$C:$C,F$1,Despesas!$M:$M,"Mensal")+SUMIFS(Despesas!$F:$F,Despesas!$J:$J,"&lt;="&amp;$A461,Despesas!$L:$L,"&gt;="&amp;$A461,Despesas!$C:$C,F$1,Despesas!$M:$M,$B461)</f>
        <v>13000</v>
      </c>
      <c r="G461" s="5">
        <f>SUMIFS(Despesas!$F:$F,Despesas!$J:$J,"&lt;="&amp;$A461,Despesas!$L:$L,"&gt;="&amp;$A461,Despesas!$C:$C,G$1,Despesas!$M:$M,"Mensal")+SUMIFS(Despesas!$F:$F,Despesas!$J:$J,"&lt;="&amp;$A461,Despesas!$L:$L,"&gt;="&amp;$A461,Despesas!$C:$C,G$1,Despesas!$M:$M,$B461)</f>
        <v>0</v>
      </c>
      <c r="H461" s="18">
        <f>SUMIFS(Despesas!$F:$F,Despesas!$J:$J,"&lt;="&amp;$A461,Despesas!$L:$L,"&gt;="&amp;$A461,Despesas!$C:$C,H$1,Despesas!$M:$M,"Mensal")+SUMIFS(Despesas!$F:$F,Despesas!$J:$J,"&lt;="&amp;$A461,Despesas!$L:$L,"&gt;="&amp;$A461,Despesas!$C:$C,H$1,Despesas!$M:$M,$B461)</f>
        <v>1000</v>
      </c>
      <c r="I461" s="18">
        <f>IF(Imóveis!$F$2="PRICE",IF(AND(Dados!$A461&gt;=Imóveis!$Q$2,Dados!$A461&lt;=Imóveis!$T$2),Imóveis!$U$2,0),IF((IF(AND(Dados!$A461&gt;=Imóveis!$Q$2,Dados!$A461&lt;=Imóveis!$T$2),Imóveis!$S$2-(DATEDIF(Imóveis!$Q$2,Dados!$A461,"m")),0))=0,0,((Imóveis!$N$2/Imóveis!$S$2)+((Imóveis!$N$2-((Imóveis!$S$2-(IF(AND(Dados!$A461&gt;=Imóveis!$Q$2,Dados!$A461&lt;=Imóveis!$T$2),Imóveis!$S$2-(DATEDIF(Imóveis!$Q$2,Dados!$A461,"m")),)))*(Imóveis!$N$2/Imóveis!$S$2)))*Imóveis!$P$2))))*IF(AND(Imóveis!$E$2&gt;0,Dados!$A461&gt;Imóveis!$E$2),0,1)</f>
        <v>0</v>
      </c>
      <c r="J461" s="18">
        <f>IF(Imóveis!$F$3="PRICE",IF(AND(Dados!$A461&gt;=Imóveis!$Q$3,Dados!$A461&lt;=Imóveis!$T$3),Imóveis!$U$3,0),IF((IF(AND(Dados!$A461&gt;=Imóveis!$Q$3,Dados!$A461&lt;=Imóveis!$T$3),Imóveis!$S$3-(DATEDIF(Imóveis!$Q$3,Dados!$A461,"m")),0))=0,0,((Imóveis!$N$3/Imóveis!$S$3)+((Imóveis!$N$3-((Imóveis!$S$3-(IF(AND(Dados!$A461&gt;=Imóveis!$Q$3,Dados!$A461&lt;=Imóveis!$T$3),Imóveis!$S$3-(DATEDIF(Imóveis!$Q$3,Dados!$A461,"m")),)))*(Imóveis!$N$3/Imóveis!$S$3)))*Imóveis!$P$3))))*IF(AND(Imóveis!$E$3&gt;0,Dados!$A461&gt;Imóveis!$E$3),0,1)</f>
        <v>0</v>
      </c>
      <c r="K461" s="18">
        <f>IF(Imóveis!$F$4="PRICE",IF(AND(Dados!$A461&gt;=Imóveis!$Q$4,Dados!$A461&lt;=Imóveis!$T$4),Imóveis!$U$4,0),IF((IF(AND(Dados!$A461&gt;=Imóveis!$Q$4,Dados!$A461&lt;=Imóveis!$T$4),Imóveis!$S$4-(DATEDIF(Imóveis!$Q$4,Dados!$A461,"m")),0))=0,0,((Imóveis!$N$4/Imóveis!$S$4)+((Imóveis!$N$4-((Imóveis!$S$4-(IF(AND(Dados!$A461&gt;=Imóveis!$Q$4,Dados!$A461&lt;=Imóveis!$T$4),Imóveis!$S$4-(DATEDIF(Imóveis!$Q$4,Dados!$A461,"m")),)))*(Imóveis!$N$4/Imóveis!$S$4)))*Imóveis!$P$4))))*IF(AND(Imóveis!$E$4&gt;0,Dados!$A461&gt;Imóveis!$E$4),0,1)</f>
        <v>0</v>
      </c>
      <c r="L461" s="18">
        <f>IF(Imóveis!$F$5="PRICE",IF(AND(Dados!$A461&gt;=Imóveis!$Q$5,Dados!$A461&lt;=Imóveis!$T$5),Imóveis!$U$5,0),IF((IF(AND(Dados!$A461&gt;=Imóveis!$Q$5,Dados!$A461&lt;=Imóveis!$T$5),Imóveis!$S$5-(DATEDIF(Imóveis!$Q$5,Dados!$A461,"m")),0))=0,0,((Imóveis!$N$5/Imóveis!$S$5)+((Imóveis!$N$5-((Imóveis!$S$5-(IF(AND(Dados!$A461 &gt;=Imóveis!$Q$5,Dados!$A461&lt;=Imóveis!$T$5),Imóveis!$S$5-(DATEDIF(Imóveis!$Q$5,Dados!$A461,"m")),)))*(Imóveis!$N$5/Imóveis!$S$5)))*Imóveis!$P$5))))*IF(AND(Imóveis!$E$5&gt;0,Dados!$A461&gt;Imóveis!$E$5),0,1)*Imóveis!$I$5</f>
        <v>0</v>
      </c>
      <c r="M461" s="18">
        <f>IF(Imóveis!$F$6="PRICE",IF(AND(Dados!$A461&gt;=Imóveis!$Q$6,Dados!$A461&lt;=Imóveis!$T$6),Imóveis!$U$6,0),IF((IF(AND(Dados!$A461&gt;=Imóveis!$Q$6,Dados!$A461&lt;=Imóveis!$T$6),Imóveis!$S$6-(DATEDIF(Imóveis!$Q$6,Dados!$A461,"m")),0))=0,0,((Imóveis!$N$6/Imóveis!$S$6)+((Imóveis!$N$6-((Imóveis!$S$6-(IF(AND(Dados!$A461&gt;=Imóveis!$Q$6,Dados!$A461&lt;=Imóveis!$T$6),Imóveis!$S$6-(DATEDIF(Imóveis!$Q$6,Dados!$A461,"m")),)))*(Imóveis!$N$6/Imóveis!$S$6)))*Imóveis!$P$6))))*IF(AND(Imóveis!$E$6&gt;0,Dados!$A461&gt;Imóveis!$E$6),0,1)*Imóveis!$I$6</f>
        <v>0</v>
      </c>
      <c r="N461" s="18">
        <f t="shared" si="61"/>
        <v>37000</v>
      </c>
      <c r="O461" s="18">
        <f>SUMIFS(Receitas!$F:$F,Receitas!$J:$J,"&lt;="&amp;$A461,Receitas!$L:$L,"&gt;="&amp;$A461,Receitas!$C:$C,O$1,Receitas!$M:$M,"Mensal")+SUMIFS(Receitas!$F:$F,Receitas!$J:$J,"&lt;="&amp;$A461,Receitas!$L:$L,"&gt;="&amp;$A461,Receitas!$C:$C,O$1,Receitas!$M:$M,$B461)</f>
        <v>0</v>
      </c>
      <c r="P461" s="18">
        <f>SUMIFS(Receitas!$F:$F,Receitas!$J:$J,"&lt;="&amp;$A461,Receitas!$L:$L,"&gt;="&amp;$A461,Receitas!$C:$C,P$1,Receitas!$M:$M,"Mensal")+SUMIFS(Receitas!$F:$F,Receitas!$J:$J,"&lt;="&amp;$A461,Receitas!$L:$L,"&gt;="&amp;$A461,Receitas!$C:$C,P$1,Receitas!$M:$M,$B461)</f>
        <v>0</v>
      </c>
      <c r="Q461" s="18">
        <f>SUMIFS(Receitas!$F:$F,Receitas!$J:$J,"&lt;="&amp;$A461,Receitas!$L:$L,"&gt;="&amp;$A461,Receitas!$C:$C,Q$1,Receitas!$M:$M,"Mensal")+SUMIFS(Receitas!$F:$F,Receitas!$J:$J,"&lt;="&amp;$A461,Receitas!$L:$L,"&gt;="&amp;$A461,Receitas!$C:$C,Q$1,Receitas!$M:$M,$B461)</f>
        <v>0</v>
      </c>
      <c r="R461" s="18" cm="1">
        <f t="array" ref="R461">(IF(AND(Membros!$F$2="Sim",A461&lt;=MAX(Membros!$E$2:$E$5)),Membros!K$2,IF(AND(A461&gt;=Membros!J$2,A461&lt;=MAX(Membros!$E$2:$E$5)),Membros!K$2,0))+IF(AND(Membros!$F$3="Sim",A461&lt;=MAX(Membros!$E$2:$E$5)),Membros!K$3,IF(AND(A461&gt;=Membros!J$3,A461&lt;=MAX(Membros!$E$2:$E$5)),Membros!K$3,0)))*IF(AND(COUNTIFS(Tabela3[Tipo],"Provedor",Tabela3[Simulação Seguro],"Sim")=2,A461&gt;=MAX(IF(Tabela3[Tipo]="Dependente",Tabela3[Expectativa de Vida (Data)]))),0,1)</f>
        <v>10000</v>
      </c>
      <c r="S461" s="18">
        <f t="shared" si="62"/>
        <v>10000</v>
      </c>
      <c r="U461" s="18">
        <f t="shared" ca="1" si="65"/>
        <v>29240305.748431202</v>
      </c>
      <c r="V461" s="18">
        <f>SUMIF(Imóveis!E:E,Dados!A:A,Imóveis!Z:Z)-SUMIF(Imóveis!E:E,Dados!A:A,Imóveis!Y:Y)</f>
        <v>0</v>
      </c>
      <c r="W461" s="18">
        <f>-SUMIF(Projetos!N:N,A461,Projetos!F:F)</f>
        <v>0</v>
      </c>
      <c r="X461" s="18">
        <f t="shared" si="59"/>
        <v>-27000</v>
      </c>
      <c r="Y461" s="26">
        <f ca="1">(U461*((Indicadores_Economicos!D$2+1)^(1/12)-1))</f>
        <v>95725.152172298825</v>
      </c>
      <c r="Z461" s="18">
        <f t="shared" ca="1" si="63"/>
        <v>29309030.900603499</v>
      </c>
      <c r="AA461" s="18">
        <f ca="1">Auxiliar_Projetos!E461</f>
        <v>1.7527535270582632E-9</v>
      </c>
      <c r="AB461" s="18">
        <f ca="1">Auxiliar_Projetos!K461</f>
        <v>1.3482719438909711E-9</v>
      </c>
      <c r="AC461" s="18">
        <f ca="1">IF(Z461-AA461-AB461&gt;Investimentos!$C$14,Investimentos!$C$14,IF(Z461-AA461-AB461&lt;Investimentos!$C$14,Z461-AA461-AB461,0))</f>
        <v>300000</v>
      </c>
      <c r="AD461" s="18">
        <f t="shared" ca="1" si="64"/>
        <v>29009030.900603499</v>
      </c>
      <c r="AE461" s="18"/>
    </row>
    <row r="462" spans="1:31" x14ac:dyDescent="0.2">
      <c r="A462" s="4">
        <v>59657</v>
      </c>
      <c r="B462" s="5" t="str">
        <f t="shared" si="60"/>
        <v>maio</v>
      </c>
      <c r="C462" s="5" t="str">
        <f t="shared" si="58"/>
        <v>2063</v>
      </c>
      <c r="D462" s="5">
        <f>SUMIFS(Despesas!$F:$F,Despesas!$J:$J,"&lt;="&amp;$A462,Despesas!$L:$L,"&gt;="&amp;$A462,Despesas!$C:$C,D$1,Despesas!$M:$M,"Mensal")+SUMIFS(Despesas!$F:$F,Despesas!$J:$J,"&lt;="&amp;$A462,Despesas!$L:$L,"&gt;="&amp;$A462,Despesas!$C:$C,D$1,Despesas!$M:$M,$B462)</f>
        <v>23000</v>
      </c>
      <c r="E462" s="18">
        <f>SUMIFS(Despesas!$F:$F,Despesas!$J:$J,"&lt;="&amp;$A462,Despesas!$L:$L,"&gt;="&amp;$A462,Despesas!$C:$C,E$1,Despesas!$M:$M,"Mensal")+SUMIFS(Despesas!$F:$F,Despesas!$J:$J,"&lt;="&amp;$A462,Despesas!$L:$L,"&gt;="&amp;$A462,Despesas!$C:$C,E$1,Despesas!$M:$M,$B462)</f>
        <v>0</v>
      </c>
      <c r="F462" s="5">
        <f>SUMIFS(Despesas!$F:$F,Despesas!$J:$J,"&lt;="&amp;$A462,Despesas!$L:$L,"&gt;="&amp;$A462,Despesas!$C:$C,F$1,Despesas!$M:$M,"Mensal")+SUMIFS(Despesas!$F:$F,Despesas!$J:$J,"&lt;="&amp;$A462,Despesas!$L:$L,"&gt;="&amp;$A462,Despesas!$C:$C,F$1,Despesas!$M:$M,$B462)</f>
        <v>13000</v>
      </c>
      <c r="G462" s="5">
        <f>SUMIFS(Despesas!$F:$F,Despesas!$J:$J,"&lt;="&amp;$A462,Despesas!$L:$L,"&gt;="&amp;$A462,Despesas!$C:$C,G$1,Despesas!$M:$M,"Mensal")+SUMIFS(Despesas!$F:$F,Despesas!$J:$J,"&lt;="&amp;$A462,Despesas!$L:$L,"&gt;="&amp;$A462,Despesas!$C:$C,G$1,Despesas!$M:$M,$B462)</f>
        <v>0</v>
      </c>
      <c r="H462" s="18">
        <f>SUMIFS(Despesas!$F:$F,Despesas!$J:$J,"&lt;="&amp;$A462,Despesas!$L:$L,"&gt;="&amp;$A462,Despesas!$C:$C,H$1,Despesas!$M:$M,"Mensal")+SUMIFS(Despesas!$F:$F,Despesas!$J:$J,"&lt;="&amp;$A462,Despesas!$L:$L,"&gt;="&amp;$A462,Despesas!$C:$C,H$1,Despesas!$M:$M,$B462)</f>
        <v>1000</v>
      </c>
      <c r="I462" s="18">
        <f>IF(Imóveis!$F$2="PRICE",IF(AND(Dados!$A462&gt;=Imóveis!$Q$2,Dados!$A462&lt;=Imóveis!$T$2),Imóveis!$U$2,0),IF((IF(AND(Dados!$A462&gt;=Imóveis!$Q$2,Dados!$A462&lt;=Imóveis!$T$2),Imóveis!$S$2-(DATEDIF(Imóveis!$Q$2,Dados!$A462,"m")),0))=0,0,((Imóveis!$N$2/Imóveis!$S$2)+((Imóveis!$N$2-((Imóveis!$S$2-(IF(AND(Dados!$A462&gt;=Imóveis!$Q$2,Dados!$A462&lt;=Imóveis!$T$2),Imóveis!$S$2-(DATEDIF(Imóveis!$Q$2,Dados!$A462,"m")),)))*(Imóveis!$N$2/Imóveis!$S$2)))*Imóveis!$P$2))))*IF(AND(Imóveis!$E$2&gt;0,Dados!$A462&gt;Imóveis!$E$2),0,1)</f>
        <v>0</v>
      </c>
      <c r="J462" s="18">
        <f>IF(Imóveis!$F$3="PRICE",IF(AND(Dados!$A462&gt;=Imóveis!$Q$3,Dados!$A462&lt;=Imóveis!$T$3),Imóveis!$U$3,0),IF((IF(AND(Dados!$A462&gt;=Imóveis!$Q$3,Dados!$A462&lt;=Imóveis!$T$3),Imóveis!$S$3-(DATEDIF(Imóveis!$Q$3,Dados!$A462,"m")),0))=0,0,((Imóveis!$N$3/Imóveis!$S$3)+((Imóveis!$N$3-((Imóveis!$S$3-(IF(AND(Dados!$A462&gt;=Imóveis!$Q$3,Dados!$A462&lt;=Imóveis!$T$3),Imóveis!$S$3-(DATEDIF(Imóveis!$Q$3,Dados!$A462,"m")),)))*(Imóveis!$N$3/Imóveis!$S$3)))*Imóveis!$P$3))))*IF(AND(Imóveis!$E$3&gt;0,Dados!$A462&gt;Imóveis!$E$3),0,1)</f>
        <v>0</v>
      </c>
      <c r="K462" s="18">
        <f>IF(Imóveis!$F$4="PRICE",IF(AND(Dados!$A462&gt;=Imóveis!$Q$4,Dados!$A462&lt;=Imóveis!$T$4),Imóveis!$U$4,0),IF((IF(AND(Dados!$A462&gt;=Imóveis!$Q$4,Dados!$A462&lt;=Imóveis!$T$4),Imóveis!$S$4-(DATEDIF(Imóveis!$Q$4,Dados!$A462,"m")),0))=0,0,((Imóveis!$N$4/Imóveis!$S$4)+((Imóveis!$N$4-((Imóveis!$S$4-(IF(AND(Dados!$A462&gt;=Imóveis!$Q$4,Dados!$A462&lt;=Imóveis!$T$4),Imóveis!$S$4-(DATEDIF(Imóveis!$Q$4,Dados!$A462,"m")),)))*(Imóveis!$N$4/Imóveis!$S$4)))*Imóveis!$P$4))))*IF(AND(Imóveis!$E$4&gt;0,Dados!$A462&gt;Imóveis!$E$4),0,1)</f>
        <v>0</v>
      </c>
      <c r="L462" s="18">
        <f>IF(Imóveis!$F$5="PRICE",IF(AND(Dados!$A462&gt;=Imóveis!$Q$5,Dados!$A462&lt;=Imóveis!$T$5),Imóveis!$U$5,0),IF((IF(AND(Dados!$A462&gt;=Imóveis!$Q$5,Dados!$A462&lt;=Imóveis!$T$5),Imóveis!$S$5-(DATEDIF(Imóveis!$Q$5,Dados!$A462,"m")),0))=0,0,((Imóveis!$N$5/Imóveis!$S$5)+((Imóveis!$N$5-((Imóveis!$S$5-(IF(AND(Dados!$A462 &gt;=Imóveis!$Q$5,Dados!$A462&lt;=Imóveis!$T$5),Imóveis!$S$5-(DATEDIF(Imóveis!$Q$5,Dados!$A462,"m")),)))*(Imóveis!$N$5/Imóveis!$S$5)))*Imóveis!$P$5))))*IF(AND(Imóveis!$E$5&gt;0,Dados!$A462&gt;Imóveis!$E$5),0,1)*Imóveis!$I$5</f>
        <v>0</v>
      </c>
      <c r="M462" s="18">
        <f>IF(Imóveis!$F$6="PRICE",IF(AND(Dados!$A462&gt;=Imóveis!$Q$6,Dados!$A462&lt;=Imóveis!$T$6),Imóveis!$U$6,0),IF((IF(AND(Dados!$A462&gt;=Imóveis!$Q$6,Dados!$A462&lt;=Imóveis!$T$6),Imóveis!$S$6-(DATEDIF(Imóveis!$Q$6,Dados!$A462,"m")),0))=0,0,((Imóveis!$N$6/Imóveis!$S$6)+((Imóveis!$N$6-((Imóveis!$S$6-(IF(AND(Dados!$A462&gt;=Imóveis!$Q$6,Dados!$A462&lt;=Imóveis!$T$6),Imóveis!$S$6-(DATEDIF(Imóveis!$Q$6,Dados!$A462,"m")),)))*(Imóveis!$N$6/Imóveis!$S$6)))*Imóveis!$P$6))))*IF(AND(Imóveis!$E$6&gt;0,Dados!$A462&gt;Imóveis!$E$6),0,1)*Imóveis!$I$6</f>
        <v>0</v>
      </c>
      <c r="N462" s="18">
        <f t="shared" si="61"/>
        <v>37000</v>
      </c>
      <c r="O462" s="18">
        <f>SUMIFS(Receitas!$F:$F,Receitas!$J:$J,"&lt;="&amp;$A462,Receitas!$L:$L,"&gt;="&amp;$A462,Receitas!$C:$C,O$1,Receitas!$M:$M,"Mensal")+SUMIFS(Receitas!$F:$F,Receitas!$J:$J,"&lt;="&amp;$A462,Receitas!$L:$L,"&gt;="&amp;$A462,Receitas!$C:$C,O$1,Receitas!$M:$M,$B462)</f>
        <v>0</v>
      </c>
      <c r="P462" s="18">
        <f>SUMIFS(Receitas!$F:$F,Receitas!$J:$J,"&lt;="&amp;$A462,Receitas!$L:$L,"&gt;="&amp;$A462,Receitas!$C:$C,P$1,Receitas!$M:$M,"Mensal")+SUMIFS(Receitas!$F:$F,Receitas!$J:$J,"&lt;="&amp;$A462,Receitas!$L:$L,"&gt;="&amp;$A462,Receitas!$C:$C,P$1,Receitas!$M:$M,$B462)</f>
        <v>0</v>
      </c>
      <c r="Q462" s="18">
        <f>SUMIFS(Receitas!$F:$F,Receitas!$J:$J,"&lt;="&amp;$A462,Receitas!$L:$L,"&gt;="&amp;$A462,Receitas!$C:$C,Q$1,Receitas!$M:$M,"Mensal")+SUMIFS(Receitas!$F:$F,Receitas!$J:$J,"&lt;="&amp;$A462,Receitas!$L:$L,"&gt;="&amp;$A462,Receitas!$C:$C,Q$1,Receitas!$M:$M,$B462)</f>
        <v>0</v>
      </c>
      <c r="R462" s="18" cm="1">
        <f t="array" ref="R462">(IF(AND(Membros!$F$2="Sim",A462&lt;=MAX(Membros!$E$2:$E$5)),Membros!K$2,IF(AND(A462&gt;=Membros!J$2,A462&lt;=MAX(Membros!$E$2:$E$5)),Membros!K$2,0))+IF(AND(Membros!$F$3="Sim",A462&lt;=MAX(Membros!$E$2:$E$5)),Membros!K$3,IF(AND(A462&gt;=Membros!J$3,A462&lt;=MAX(Membros!$E$2:$E$5)),Membros!K$3,0)))*IF(AND(COUNTIFS(Tabela3[Tipo],"Provedor",Tabela3[Simulação Seguro],"Sim")=2,A462&gt;=MAX(IF(Tabela3[Tipo]="Dependente",Tabela3[Expectativa de Vida (Data)]))),0,1)</f>
        <v>10000</v>
      </c>
      <c r="S462" s="18">
        <f t="shared" si="62"/>
        <v>10000</v>
      </c>
      <c r="U462" s="18">
        <f t="shared" ca="1" si="65"/>
        <v>29309030.900603499</v>
      </c>
      <c r="V462" s="18">
        <f>SUMIF(Imóveis!E:E,Dados!A:A,Imóveis!Z:Z)-SUMIF(Imóveis!E:E,Dados!A:A,Imóveis!Y:Y)</f>
        <v>0</v>
      </c>
      <c r="W462" s="18">
        <f>-SUMIF(Projetos!N:N,A462,Projetos!F:F)</f>
        <v>0</v>
      </c>
      <c r="X462" s="18">
        <f t="shared" si="59"/>
        <v>-27000</v>
      </c>
      <c r="Y462" s="26">
        <f ca="1">(U462*((Indicadores_Economicos!D$2+1)^(1/12)-1))</f>
        <v>95950.140437002949</v>
      </c>
      <c r="Z462" s="18">
        <f t="shared" ca="1" si="63"/>
        <v>29377981.041040502</v>
      </c>
      <c r="AA462" s="18">
        <f ca="1">Auxiliar_Projetos!E462</f>
        <v>1.7584915860081834E-9</v>
      </c>
      <c r="AB462" s="18">
        <f ca="1">Auxiliar_Projetos!K462</f>
        <v>1.3526858353909096E-9</v>
      </c>
      <c r="AC462" s="18">
        <f ca="1">IF(Z462-AA462-AB462&gt;Investimentos!$C$14,Investimentos!$C$14,IF(Z462-AA462-AB462&lt;Investimentos!$C$14,Z462-AA462-AB462,0))</f>
        <v>300000</v>
      </c>
      <c r="AD462" s="18">
        <f t="shared" ca="1" si="64"/>
        <v>29077981.041040502</v>
      </c>
      <c r="AE462" s="18"/>
    </row>
    <row r="463" spans="1:31" x14ac:dyDescent="0.2">
      <c r="A463" s="4">
        <v>59688</v>
      </c>
      <c r="B463" s="5" t="str">
        <f t="shared" si="60"/>
        <v>junho</v>
      </c>
      <c r="C463" s="5" t="str">
        <f t="shared" si="58"/>
        <v>2063</v>
      </c>
      <c r="D463" s="5">
        <f>SUMIFS(Despesas!$F:$F,Despesas!$J:$J,"&lt;="&amp;$A463,Despesas!$L:$L,"&gt;="&amp;$A463,Despesas!$C:$C,D$1,Despesas!$M:$M,"Mensal")+SUMIFS(Despesas!$F:$F,Despesas!$J:$J,"&lt;="&amp;$A463,Despesas!$L:$L,"&gt;="&amp;$A463,Despesas!$C:$C,D$1,Despesas!$M:$M,$B463)</f>
        <v>23000</v>
      </c>
      <c r="E463" s="18">
        <f>SUMIFS(Despesas!$F:$F,Despesas!$J:$J,"&lt;="&amp;$A463,Despesas!$L:$L,"&gt;="&amp;$A463,Despesas!$C:$C,E$1,Despesas!$M:$M,"Mensal")+SUMIFS(Despesas!$F:$F,Despesas!$J:$J,"&lt;="&amp;$A463,Despesas!$L:$L,"&gt;="&amp;$A463,Despesas!$C:$C,E$1,Despesas!$M:$M,$B463)</f>
        <v>0</v>
      </c>
      <c r="F463" s="5">
        <f>SUMIFS(Despesas!$F:$F,Despesas!$J:$J,"&lt;="&amp;$A463,Despesas!$L:$L,"&gt;="&amp;$A463,Despesas!$C:$C,F$1,Despesas!$M:$M,"Mensal")+SUMIFS(Despesas!$F:$F,Despesas!$J:$J,"&lt;="&amp;$A463,Despesas!$L:$L,"&gt;="&amp;$A463,Despesas!$C:$C,F$1,Despesas!$M:$M,$B463)</f>
        <v>13000</v>
      </c>
      <c r="G463" s="5">
        <f>SUMIFS(Despesas!$F:$F,Despesas!$J:$J,"&lt;="&amp;$A463,Despesas!$L:$L,"&gt;="&amp;$A463,Despesas!$C:$C,G$1,Despesas!$M:$M,"Mensal")+SUMIFS(Despesas!$F:$F,Despesas!$J:$J,"&lt;="&amp;$A463,Despesas!$L:$L,"&gt;="&amp;$A463,Despesas!$C:$C,G$1,Despesas!$M:$M,$B463)</f>
        <v>0</v>
      </c>
      <c r="H463" s="18">
        <f>SUMIFS(Despesas!$F:$F,Despesas!$J:$J,"&lt;="&amp;$A463,Despesas!$L:$L,"&gt;="&amp;$A463,Despesas!$C:$C,H$1,Despesas!$M:$M,"Mensal")+SUMIFS(Despesas!$F:$F,Despesas!$J:$J,"&lt;="&amp;$A463,Despesas!$L:$L,"&gt;="&amp;$A463,Despesas!$C:$C,H$1,Despesas!$M:$M,$B463)</f>
        <v>1000</v>
      </c>
      <c r="I463" s="18">
        <f>IF(Imóveis!$F$2="PRICE",IF(AND(Dados!$A463&gt;=Imóveis!$Q$2,Dados!$A463&lt;=Imóveis!$T$2),Imóveis!$U$2,0),IF((IF(AND(Dados!$A463&gt;=Imóveis!$Q$2,Dados!$A463&lt;=Imóveis!$T$2),Imóveis!$S$2-(DATEDIF(Imóveis!$Q$2,Dados!$A463,"m")),0))=0,0,((Imóveis!$N$2/Imóveis!$S$2)+((Imóveis!$N$2-((Imóveis!$S$2-(IF(AND(Dados!$A463&gt;=Imóveis!$Q$2,Dados!$A463&lt;=Imóveis!$T$2),Imóveis!$S$2-(DATEDIF(Imóveis!$Q$2,Dados!$A463,"m")),)))*(Imóveis!$N$2/Imóveis!$S$2)))*Imóveis!$P$2))))*IF(AND(Imóveis!$E$2&gt;0,Dados!$A463&gt;Imóveis!$E$2),0,1)</f>
        <v>0</v>
      </c>
      <c r="J463" s="18">
        <f>IF(Imóveis!$F$3="PRICE",IF(AND(Dados!$A463&gt;=Imóveis!$Q$3,Dados!$A463&lt;=Imóveis!$T$3),Imóveis!$U$3,0),IF((IF(AND(Dados!$A463&gt;=Imóveis!$Q$3,Dados!$A463&lt;=Imóveis!$T$3),Imóveis!$S$3-(DATEDIF(Imóveis!$Q$3,Dados!$A463,"m")),0))=0,0,((Imóveis!$N$3/Imóveis!$S$3)+((Imóveis!$N$3-((Imóveis!$S$3-(IF(AND(Dados!$A463&gt;=Imóveis!$Q$3,Dados!$A463&lt;=Imóveis!$T$3),Imóveis!$S$3-(DATEDIF(Imóveis!$Q$3,Dados!$A463,"m")),)))*(Imóveis!$N$3/Imóveis!$S$3)))*Imóveis!$P$3))))*IF(AND(Imóveis!$E$3&gt;0,Dados!$A463&gt;Imóveis!$E$3),0,1)</f>
        <v>0</v>
      </c>
      <c r="K463" s="18">
        <f>IF(Imóveis!$F$4="PRICE",IF(AND(Dados!$A463&gt;=Imóveis!$Q$4,Dados!$A463&lt;=Imóveis!$T$4),Imóveis!$U$4,0),IF((IF(AND(Dados!$A463&gt;=Imóveis!$Q$4,Dados!$A463&lt;=Imóveis!$T$4),Imóveis!$S$4-(DATEDIF(Imóveis!$Q$4,Dados!$A463,"m")),0))=0,0,((Imóveis!$N$4/Imóveis!$S$4)+((Imóveis!$N$4-((Imóveis!$S$4-(IF(AND(Dados!$A463&gt;=Imóveis!$Q$4,Dados!$A463&lt;=Imóveis!$T$4),Imóveis!$S$4-(DATEDIF(Imóveis!$Q$4,Dados!$A463,"m")),)))*(Imóveis!$N$4/Imóveis!$S$4)))*Imóveis!$P$4))))*IF(AND(Imóveis!$E$4&gt;0,Dados!$A463&gt;Imóveis!$E$4),0,1)</f>
        <v>0</v>
      </c>
      <c r="L463" s="18">
        <f>IF(Imóveis!$F$5="PRICE",IF(AND(Dados!$A463&gt;=Imóveis!$Q$5,Dados!$A463&lt;=Imóveis!$T$5),Imóveis!$U$5,0),IF((IF(AND(Dados!$A463&gt;=Imóveis!$Q$5,Dados!$A463&lt;=Imóveis!$T$5),Imóveis!$S$5-(DATEDIF(Imóveis!$Q$5,Dados!$A463,"m")),0))=0,0,((Imóveis!$N$5/Imóveis!$S$5)+((Imóveis!$N$5-((Imóveis!$S$5-(IF(AND(Dados!$A463 &gt;=Imóveis!$Q$5,Dados!$A463&lt;=Imóveis!$T$5),Imóveis!$S$5-(DATEDIF(Imóveis!$Q$5,Dados!$A463,"m")),)))*(Imóveis!$N$5/Imóveis!$S$5)))*Imóveis!$P$5))))*IF(AND(Imóveis!$E$5&gt;0,Dados!$A463&gt;Imóveis!$E$5),0,1)*Imóveis!$I$5</f>
        <v>0</v>
      </c>
      <c r="M463" s="18">
        <f>IF(Imóveis!$F$6="PRICE",IF(AND(Dados!$A463&gt;=Imóveis!$Q$6,Dados!$A463&lt;=Imóveis!$T$6),Imóveis!$U$6,0),IF((IF(AND(Dados!$A463&gt;=Imóveis!$Q$6,Dados!$A463&lt;=Imóveis!$T$6),Imóveis!$S$6-(DATEDIF(Imóveis!$Q$6,Dados!$A463,"m")),0))=0,0,((Imóveis!$N$6/Imóveis!$S$6)+((Imóveis!$N$6-((Imóveis!$S$6-(IF(AND(Dados!$A463&gt;=Imóveis!$Q$6,Dados!$A463&lt;=Imóveis!$T$6),Imóveis!$S$6-(DATEDIF(Imóveis!$Q$6,Dados!$A463,"m")),)))*(Imóveis!$N$6/Imóveis!$S$6)))*Imóveis!$P$6))))*IF(AND(Imóveis!$E$6&gt;0,Dados!$A463&gt;Imóveis!$E$6),0,1)*Imóveis!$I$6</f>
        <v>0</v>
      </c>
      <c r="N463" s="18">
        <f t="shared" si="61"/>
        <v>37000</v>
      </c>
      <c r="O463" s="18">
        <f>SUMIFS(Receitas!$F:$F,Receitas!$J:$J,"&lt;="&amp;$A463,Receitas!$L:$L,"&gt;="&amp;$A463,Receitas!$C:$C,O$1,Receitas!$M:$M,"Mensal")+SUMIFS(Receitas!$F:$F,Receitas!$J:$J,"&lt;="&amp;$A463,Receitas!$L:$L,"&gt;="&amp;$A463,Receitas!$C:$C,O$1,Receitas!$M:$M,$B463)</f>
        <v>0</v>
      </c>
      <c r="P463" s="18">
        <f>SUMIFS(Receitas!$F:$F,Receitas!$J:$J,"&lt;="&amp;$A463,Receitas!$L:$L,"&gt;="&amp;$A463,Receitas!$C:$C,P$1,Receitas!$M:$M,"Mensal")+SUMIFS(Receitas!$F:$F,Receitas!$J:$J,"&lt;="&amp;$A463,Receitas!$L:$L,"&gt;="&amp;$A463,Receitas!$C:$C,P$1,Receitas!$M:$M,$B463)</f>
        <v>0</v>
      </c>
      <c r="Q463" s="18">
        <f>SUMIFS(Receitas!$F:$F,Receitas!$J:$J,"&lt;="&amp;$A463,Receitas!$L:$L,"&gt;="&amp;$A463,Receitas!$C:$C,Q$1,Receitas!$M:$M,"Mensal")+SUMIFS(Receitas!$F:$F,Receitas!$J:$J,"&lt;="&amp;$A463,Receitas!$L:$L,"&gt;="&amp;$A463,Receitas!$C:$C,Q$1,Receitas!$M:$M,$B463)</f>
        <v>0</v>
      </c>
      <c r="R463" s="18" cm="1">
        <f t="array" ref="R463">(IF(AND(Membros!$F$2="Sim",A463&lt;=MAX(Membros!$E$2:$E$5)),Membros!K$2,IF(AND(A463&gt;=Membros!J$2,A463&lt;=MAX(Membros!$E$2:$E$5)),Membros!K$2,0))+IF(AND(Membros!$F$3="Sim",A463&lt;=MAX(Membros!$E$2:$E$5)),Membros!K$3,IF(AND(A463&gt;=Membros!J$3,A463&lt;=MAX(Membros!$E$2:$E$5)),Membros!K$3,0)))*IF(AND(COUNTIFS(Tabela3[Tipo],"Provedor",Tabela3[Simulação Seguro],"Sim")=2,A463&gt;=MAX(IF(Tabela3[Tipo]="Dependente",Tabela3[Expectativa de Vida (Data)]))),0,1)</f>
        <v>10000</v>
      </c>
      <c r="S463" s="18">
        <f t="shared" si="62"/>
        <v>10000</v>
      </c>
      <c r="U463" s="18">
        <f t="shared" ca="1" si="65"/>
        <v>29377981.041040502</v>
      </c>
      <c r="V463" s="18">
        <f>SUMIF(Imóveis!E:E,Dados!A:A,Imóveis!Z:Z)-SUMIF(Imóveis!E:E,Dados!A:A,Imóveis!Y:Y)</f>
        <v>0</v>
      </c>
      <c r="W463" s="18">
        <f>-SUMIF(Projetos!N:N,A463,Projetos!F:F)</f>
        <v>0</v>
      </c>
      <c r="X463" s="18">
        <f t="shared" si="59"/>
        <v>-27000</v>
      </c>
      <c r="Y463" s="26">
        <f ca="1">(U463*((Indicadores_Economicos!D$2+1)^(1/12)-1))</f>
        <v>96175.86525473978</v>
      </c>
      <c r="Z463" s="18">
        <f t="shared" ca="1" si="63"/>
        <v>29447156.906295244</v>
      </c>
      <c r="AA463" s="18">
        <f ca="1">Auxiliar_Projetos!E463</f>
        <v>1.7642484298699604E-9</v>
      </c>
      <c r="AB463" s="18">
        <f ca="1">Auxiliar_Projetos!K463</f>
        <v>1.3571141768230459E-9</v>
      </c>
      <c r="AC463" s="18">
        <f ca="1">IF(Z463-AA463-AB463&gt;Investimentos!$C$14,Investimentos!$C$14,IF(Z463-AA463-AB463&lt;Investimentos!$C$14,Z463-AA463-AB463,0))</f>
        <v>300000</v>
      </c>
      <c r="AD463" s="18">
        <f t="shared" ca="1" si="64"/>
        <v>29147156.906295244</v>
      </c>
      <c r="AE463" s="18"/>
    </row>
    <row r="464" spans="1:31" x14ac:dyDescent="0.2">
      <c r="A464" s="4">
        <v>59718</v>
      </c>
      <c r="B464" s="5" t="str">
        <f t="shared" si="60"/>
        <v>julho</v>
      </c>
      <c r="C464" s="5" t="str">
        <f t="shared" si="58"/>
        <v>2063</v>
      </c>
      <c r="D464" s="5">
        <f>SUMIFS(Despesas!$F:$F,Despesas!$J:$J,"&lt;="&amp;$A464,Despesas!$L:$L,"&gt;="&amp;$A464,Despesas!$C:$C,D$1,Despesas!$M:$M,"Mensal")+SUMIFS(Despesas!$F:$F,Despesas!$J:$J,"&lt;="&amp;$A464,Despesas!$L:$L,"&gt;="&amp;$A464,Despesas!$C:$C,D$1,Despesas!$M:$M,$B464)</f>
        <v>23000</v>
      </c>
      <c r="E464" s="18">
        <f>SUMIFS(Despesas!$F:$F,Despesas!$J:$J,"&lt;="&amp;$A464,Despesas!$L:$L,"&gt;="&amp;$A464,Despesas!$C:$C,E$1,Despesas!$M:$M,"Mensal")+SUMIFS(Despesas!$F:$F,Despesas!$J:$J,"&lt;="&amp;$A464,Despesas!$L:$L,"&gt;="&amp;$A464,Despesas!$C:$C,E$1,Despesas!$M:$M,$B464)</f>
        <v>0</v>
      </c>
      <c r="F464" s="5">
        <f>SUMIFS(Despesas!$F:$F,Despesas!$J:$J,"&lt;="&amp;$A464,Despesas!$L:$L,"&gt;="&amp;$A464,Despesas!$C:$C,F$1,Despesas!$M:$M,"Mensal")+SUMIFS(Despesas!$F:$F,Despesas!$J:$J,"&lt;="&amp;$A464,Despesas!$L:$L,"&gt;="&amp;$A464,Despesas!$C:$C,F$1,Despesas!$M:$M,$B464)</f>
        <v>13000</v>
      </c>
      <c r="G464" s="5">
        <f ca="1">SUMIFS(Despesas!$F:$F,Despesas!$J:$J,"&lt;="&amp;$A464,Despesas!$L:$L,"&gt;="&amp;$A464,Despesas!$C:$C,G$1,Despesas!$M:$M,"Mensal")+SUMIFS(Despesas!$F:$F,Despesas!$J:$J,"&lt;="&amp;$A464,Despesas!$L:$L,"&gt;="&amp;$A464,Despesas!$C:$C,G$1,Despesas!$M:$M,$B464)</f>
        <v>55757</v>
      </c>
      <c r="H464" s="18">
        <f>SUMIFS(Despesas!$F:$F,Despesas!$J:$J,"&lt;="&amp;$A464,Despesas!$L:$L,"&gt;="&amp;$A464,Despesas!$C:$C,H$1,Despesas!$M:$M,"Mensal")+SUMIFS(Despesas!$F:$F,Despesas!$J:$J,"&lt;="&amp;$A464,Despesas!$L:$L,"&gt;="&amp;$A464,Despesas!$C:$C,H$1,Despesas!$M:$M,$B464)</f>
        <v>1000</v>
      </c>
      <c r="I464" s="18">
        <f>IF(Imóveis!$F$2="PRICE",IF(AND(Dados!$A464&gt;=Imóveis!$Q$2,Dados!$A464&lt;=Imóveis!$T$2),Imóveis!$U$2,0),IF((IF(AND(Dados!$A464&gt;=Imóveis!$Q$2,Dados!$A464&lt;=Imóveis!$T$2),Imóveis!$S$2-(DATEDIF(Imóveis!$Q$2,Dados!$A464,"m")),0))=0,0,((Imóveis!$N$2/Imóveis!$S$2)+((Imóveis!$N$2-((Imóveis!$S$2-(IF(AND(Dados!$A464&gt;=Imóveis!$Q$2,Dados!$A464&lt;=Imóveis!$T$2),Imóveis!$S$2-(DATEDIF(Imóveis!$Q$2,Dados!$A464,"m")),)))*(Imóveis!$N$2/Imóveis!$S$2)))*Imóveis!$P$2))))*IF(AND(Imóveis!$E$2&gt;0,Dados!$A464&gt;Imóveis!$E$2),0,1)</f>
        <v>0</v>
      </c>
      <c r="J464" s="18">
        <f>IF(Imóveis!$F$3="PRICE",IF(AND(Dados!$A464&gt;=Imóveis!$Q$3,Dados!$A464&lt;=Imóveis!$T$3),Imóveis!$U$3,0),IF((IF(AND(Dados!$A464&gt;=Imóveis!$Q$3,Dados!$A464&lt;=Imóveis!$T$3),Imóveis!$S$3-(DATEDIF(Imóveis!$Q$3,Dados!$A464,"m")),0))=0,0,((Imóveis!$N$3/Imóveis!$S$3)+((Imóveis!$N$3-((Imóveis!$S$3-(IF(AND(Dados!$A464&gt;=Imóveis!$Q$3,Dados!$A464&lt;=Imóveis!$T$3),Imóveis!$S$3-(DATEDIF(Imóveis!$Q$3,Dados!$A464,"m")),)))*(Imóveis!$N$3/Imóveis!$S$3)))*Imóveis!$P$3))))*IF(AND(Imóveis!$E$3&gt;0,Dados!$A464&gt;Imóveis!$E$3),0,1)</f>
        <v>0</v>
      </c>
      <c r="K464" s="18">
        <f>IF(Imóveis!$F$4="PRICE",IF(AND(Dados!$A464&gt;=Imóveis!$Q$4,Dados!$A464&lt;=Imóveis!$T$4),Imóveis!$U$4,0),IF((IF(AND(Dados!$A464&gt;=Imóveis!$Q$4,Dados!$A464&lt;=Imóveis!$T$4),Imóveis!$S$4-(DATEDIF(Imóveis!$Q$4,Dados!$A464,"m")),0))=0,0,((Imóveis!$N$4/Imóveis!$S$4)+((Imóveis!$N$4-((Imóveis!$S$4-(IF(AND(Dados!$A464&gt;=Imóveis!$Q$4,Dados!$A464&lt;=Imóveis!$T$4),Imóveis!$S$4-(DATEDIF(Imóveis!$Q$4,Dados!$A464,"m")),)))*(Imóveis!$N$4/Imóveis!$S$4)))*Imóveis!$P$4))))*IF(AND(Imóveis!$E$4&gt;0,Dados!$A464&gt;Imóveis!$E$4),0,1)</f>
        <v>0</v>
      </c>
      <c r="L464" s="18">
        <f>IF(Imóveis!$F$5="PRICE",IF(AND(Dados!$A464&gt;=Imóveis!$Q$5,Dados!$A464&lt;=Imóveis!$T$5),Imóveis!$U$5,0),IF((IF(AND(Dados!$A464&gt;=Imóveis!$Q$5,Dados!$A464&lt;=Imóveis!$T$5),Imóveis!$S$5-(DATEDIF(Imóveis!$Q$5,Dados!$A464,"m")),0))=0,0,((Imóveis!$N$5/Imóveis!$S$5)+((Imóveis!$N$5-((Imóveis!$S$5-(IF(AND(Dados!$A464 &gt;=Imóveis!$Q$5,Dados!$A464&lt;=Imóveis!$T$5),Imóveis!$S$5-(DATEDIF(Imóveis!$Q$5,Dados!$A464,"m")),)))*(Imóveis!$N$5/Imóveis!$S$5)))*Imóveis!$P$5))))*IF(AND(Imóveis!$E$5&gt;0,Dados!$A464&gt;Imóveis!$E$5),0,1)*Imóveis!$I$5</f>
        <v>0</v>
      </c>
      <c r="M464" s="18">
        <f>IF(Imóveis!$F$6="PRICE",IF(AND(Dados!$A464&gt;=Imóveis!$Q$6,Dados!$A464&lt;=Imóveis!$T$6),Imóveis!$U$6,0),IF((IF(AND(Dados!$A464&gt;=Imóveis!$Q$6,Dados!$A464&lt;=Imóveis!$T$6),Imóveis!$S$6-(DATEDIF(Imóveis!$Q$6,Dados!$A464,"m")),0))=0,0,((Imóveis!$N$6/Imóveis!$S$6)+((Imóveis!$N$6-((Imóveis!$S$6-(IF(AND(Dados!$A464&gt;=Imóveis!$Q$6,Dados!$A464&lt;=Imóveis!$T$6),Imóveis!$S$6-(DATEDIF(Imóveis!$Q$6,Dados!$A464,"m")),)))*(Imóveis!$N$6/Imóveis!$S$6)))*Imóveis!$P$6))))*IF(AND(Imóveis!$E$6&gt;0,Dados!$A464&gt;Imóveis!$E$6),0,1)*Imóveis!$I$6</f>
        <v>0</v>
      </c>
      <c r="N464" s="18">
        <f t="shared" ca="1" si="61"/>
        <v>92757</v>
      </c>
      <c r="O464" s="18">
        <f>SUMIFS(Receitas!$F:$F,Receitas!$J:$J,"&lt;="&amp;$A464,Receitas!$L:$L,"&gt;="&amp;$A464,Receitas!$C:$C,O$1,Receitas!$M:$M,"Mensal")+SUMIFS(Receitas!$F:$F,Receitas!$J:$J,"&lt;="&amp;$A464,Receitas!$L:$L,"&gt;="&amp;$A464,Receitas!$C:$C,O$1,Receitas!$M:$M,$B464)</f>
        <v>0</v>
      </c>
      <c r="P464" s="18">
        <f>SUMIFS(Receitas!$F:$F,Receitas!$J:$J,"&lt;="&amp;$A464,Receitas!$L:$L,"&gt;="&amp;$A464,Receitas!$C:$C,P$1,Receitas!$M:$M,"Mensal")+SUMIFS(Receitas!$F:$F,Receitas!$J:$J,"&lt;="&amp;$A464,Receitas!$L:$L,"&gt;="&amp;$A464,Receitas!$C:$C,P$1,Receitas!$M:$M,$B464)</f>
        <v>0</v>
      </c>
      <c r="Q464" s="18">
        <f>SUMIFS(Receitas!$F:$F,Receitas!$J:$J,"&lt;="&amp;$A464,Receitas!$L:$L,"&gt;="&amp;$A464,Receitas!$C:$C,Q$1,Receitas!$M:$M,"Mensal")+SUMIFS(Receitas!$F:$F,Receitas!$J:$J,"&lt;="&amp;$A464,Receitas!$L:$L,"&gt;="&amp;$A464,Receitas!$C:$C,Q$1,Receitas!$M:$M,$B464)</f>
        <v>0</v>
      </c>
      <c r="R464" s="18" cm="1">
        <f t="array" ref="R464">(IF(AND(Membros!$F$2="Sim",A464&lt;=MAX(Membros!$E$2:$E$5)),Membros!K$2,IF(AND(A464&gt;=Membros!J$2,A464&lt;=MAX(Membros!$E$2:$E$5)),Membros!K$2,0))+IF(AND(Membros!$F$3="Sim",A464&lt;=MAX(Membros!$E$2:$E$5)),Membros!K$3,IF(AND(A464&gt;=Membros!J$3,A464&lt;=MAX(Membros!$E$2:$E$5)),Membros!K$3,0)))*IF(AND(COUNTIFS(Tabela3[Tipo],"Provedor",Tabela3[Simulação Seguro],"Sim")=2,A464&gt;=MAX(IF(Tabela3[Tipo]="Dependente",Tabela3[Expectativa de Vida (Data)]))),0,1)</f>
        <v>10000</v>
      </c>
      <c r="S464" s="18">
        <f t="shared" si="62"/>
        <v>10000</v>
      </c>
      <c r="U464" s="18">
        <f t="shared" ca="1" si="65"/>
        <v>29447156.906295244</v>
      </c>
      <c r="V464" s="18">
        <f>SUMIF(Imóveis!E:E,Dados!A:A,Imóveis!Z:Z)-SUMIF(Imóveis!E:E,Dados!A:A,Imóveis!Y:Y)</f>
        <v>0</v>
      </c>
      <c r="W464" s="18">
        <f>-SUMIF(Projetos!N:N,A464,Projetos!F:F)</f>
        <v>0</v>
      </c>
      <c r="X464" s="18">
        <f t="shared" ca="1" si="59"/>
        <v>-82757</v>
      </c>
      <c r="Y464" s="26">
        <f ca="1">(U464*((Indicadores_Economicos!D$2+1)^(1/12)-1))</f>
        <v>96402.329036792245</v>
      </c>
      <c r="Z464" s="18">
        <f t="shared" ca="1" si="63"/>
        <v>29460802.235332035</v>
      </c>
      <c r="AA464" s="18">
        <f ca="1">Auxiliar_Projetos!E464</f>
        <v>1.7700241201405076E-9</v>
      </c>
      <c r="AB464" s="18">
        <f ca="1">Auxiliar_Projetos!K464</f>
        <v>1.3615570154926976E-9</v>
      </c>
      <c r="AC464" s="18">
        <f ca="1">IF(Z464-AA464-AB464&gt;Investimentos!$C$14,Investimentos!$C$14,IF(Z464-AA464-AB464&lt;Investimentos!$C$14,Z464-AA464-AB464,0))</f>
        <v>300000</v>
      </c>
      <c r="AD464" s="18">
        <f t="shared" ca="1" si="64"/>
        <v>29160802.235332035</v>
      </c>
      <c r="AE464" s="18"/>
    </row>
    <row r="465" spans="1:31" x14ac:dyDescent="0.2">
      <c r="A465" s="4">
        <v>59749</v>
      </c>
      <c r="B465" s="5" t="str">
        <f t="shared" si="60"/>
        <v>agosto</v>
      </c>
      <c r="C465" s="5" t="str">
        <f t="shared" si="58"/>
        <v>2063</v>
      </c>
      <c r="D465" s="5">
        <f>SUMIFS(Despesas!$F:$F,Despesas!$J:$J,"&lt;="&amp;$A465,Despesas!$L:$L,"&gt;="&amp;$A465,Despesas!$C:$C,D$1,Despesas!$M:$M,"Mensal")+SUMIFS(Despesas!$F:$F,Despesas!$J:$J,"&lt;="&amp;$A465,Despesas!$L:$L,"&gt;="&amp;$A465,Despesas!$C:$C,D$1,Despesas!$M:$M,$B465)</f>
        <v>23000</v>
      </c>
      <c r="E465" s="18">
        <f>SUMIFS(Despesas!$F:$F,Despesas!$J:$J,"&lt;="&amp;$A465,Despesas!$L:$L,"&gt;="&amp;$A465,Despesas!$C:$C,E$1,Despesas!$M:$M,"Mensal")+SUMIFS(Despesas!$F:$F,Despesas!$J:$J,"&lt;="&amp;$A465,Despesas!$L:$L,"&gt;="&amp;$A465,Despesas!$C:$C,E$1,Despesas!$M:$M,$B465)</f>
        <v>0</v>
      </c>
      <c r="F465" s="5">
        <f>SUMIFS(Despesas!$F:$F,Despesas!$J:$J,"&lt;="&amp;$A465,Despesas!$L:$L,"&gt;="&amp;$A465,Despesas!$C:$C,F$1,Despesas!$M:$M,"Mensal")+SUMIFS(Despesas!$F:$F,Despesas!$J:$J,"&lt;="&amp;$A465,Despesas!$L:$L,"&gt;="&amp;$A465,Despesas!$C:$C,F$1,Despesas!$M:$M,$B465)</f>
        <v>13000</v>
      </c>
      <c r="G465" s="5">
        <f>SUMIFS(Despesas!$F:$F,Despesas!$J:$J,"&lt;="&amp;$A465,Despesas!$L:$L,"&gt;="&amp;$A465,Despesas!$C:$C,G$1,Despesas!$M:$M,"Mensal")+SUMIFS(Despesas!$F:$F,Despesas!$J:$J,"&lt;="&amp;$A465,Despesas!$L:$L,"&gt;="&amp;$A465,Despesas!$C:$C,G$1,Despesas!$M:$M,$B465)</f>
        <v>0</v>
      </c>
      <c r="H465" s="18">
        <f>SUMIFS(Despesas!$F:$F,Despesas!$J:$J,"&lt;="&amp;$A465,Despesas!$L:$L,"&gt;="&amp;$A465,Despesas!$C:$C,H$1,Despesas!$M:$M,"Mensal")+SUMIFS(Despesas!$F:$F,Despesas!$J:$J,"&lt;="&amp;$A465,Despesas!$L:$L,"&gt;="&amp;$A465,Despesas!$C:$C,H$1,Despesas!$M:$M,$B465)</f>
        <v>1000</v>
      </c>
      <c r="I465" s="18">
        <f>IF(Imóveis!$F$2="PRICE",IF(AND(Dados!$A465&gt;=Imóveis!$Q$2,Dados!$A465&lt;=Imóveis!$T$2),Imóveis!$U$2,0),IF((IF(AND(Dados!$A465&gt;=Imóveis!$Q$2,Dados!$A465&lt;=Imóveis!$T$2),Imóveis!$S$2-(DATEDIF(Imóveis!$Q$2,Dados!$A465,"m")),0))=0,0,((Imóveis!$N$2/Imóveis!$S$2)+((Imóveis!$N$2-((Imóveis!$S$2-(IF(AND(Dados!$A465&gt;=Imóveis!$Q$2,Dados!$A465&lt;=Imóveis!$T$2),Imóveis!$S$2-(DATEDIF(Imóveis!$Q$2,Dados!$A465,"m")),)))*(Imóveis!$N$2/Imóveis!$S$2)))*Imóveis!$P$2))))*IF(AND(Imóveis!$E$2&gt;0,Dados!$A465&gt;Imóveis!$E$2),0,1)</f>
        <v>0</v>
      </c>
      <c r="J465" s="18">
        <f>IF(Imóveis!$F$3="PRICE",IF(AND(Dados!$A465&gt;=Imóveis!$Q$3,Dados!$A465&lt;=Imóveis!$T$3),Imóveis!$U$3,0),IF((IF(AND(Dados!$A465&gt;=Imóveis!$Q$3,Dados!$A465&lt;=Imóveis!$T$3),Imóveis!$S$3-(DATEDIF(Imóveis!$Q$3,Dados!$A465,"m")),0))=0,0,((Imóveis!$N$3/Imóveis!$S$3)+((Imóveis!$N$3-((Imóveis!$S$3-(IF(AND(Dados!$A465&gt;=Imóveis!$Q$3,Dados!$A465&lt;=Imóveis!$T$3),Imóveis!$S$3-(DATEDIF(Imóveis!$Q$3,Dados!$A465,"m")),)))*(Imóveis!$N$3/Imóveis!$S$3)))*Imóveis!$P$3))))*IF(AND(Imóveis!$E$3&gt;0,Dados!$A465&gt;Imóveis!$E$3),0,1)</f>
        <v>0</v>
      </c>
      <c r="K465" s="18">
        <f>IF(Imóveis!$F$4="PRICE",IF(AND(Dados!$A465&gt;=Imóveis!$Q$4,Dados!$A465&lt;=Imóveis!$T$4),Imóveis!$U$4,0),IF((IF(AND(Dados!$A465&gt;=Imóveis!$Q$4,Dados!$A465&lt;=Imóveis!$T$4),Imóveis!$S$4-(DATEDIF(Imóveis!$Q$4,Dados!$A465,"m")),0))=0,0,((Imóveis!$N$4/Imóveis!$S$4)+((Imóveis!$N$4-((Imóveis!$S$4-(IF(AND(Dados!$A465&gt;=Imóveis!$Q$4,Dados!$A465&lt;=Imóveis!$T$4),Imóveis!$S$4-(DATEDIF(Imóveis!$Q$4,Dados!$A465,"m")),)))*(Imóveis!$N$4/Imóveis!$S$4)))*Imóveis!$P$4))))*IF(AND(Imóveis!$E$4&gt;0,Dados!$A465&gt;Imóveis!$E$4),0,1)</f>
        <v>0</v>
      </c>
      <c r="L465" s="18">
        <f>IF(Imóveis!$F$5="PRICE",IF(AND(Dados!$A465&gt;=Imóveis!$Q$5,Dados!$A465&lt;=Imóveis!$T$5),Imóveis!$U$5,0),IF((IF(AND(Dados!$A465&gt;=Imóveis!$Q$5,Dados!$A465&lt;=Imóveis!$T$5),Imóveis!$S$5-(DATEDIF(Imóveis!$Q$5,Dados!$A465,"m")),0))=0,0,((Imóveis!$N$5/Imóveis!$S$5)+((Imóveis!$N$5-((Imóveis!$S$5-(IF(AND(Dados!$A465 &gt;=Imóveis!$Q$5,Dados!$A465&lt;=Imóveis!$T$5),Imóveis!$S$5-(DATEDIF(Imóveis!$Q$5,Dados!$A465,"m")),)))*(Imóveis!$N$5/Imóveis!$S$5)))*Imóveis!$P$5))))*IF(AND(Imóveis!$E$5&gt;0,Dados!$A465&gt;Imóveis!$E$5),0,1)*Imóveis!$I$5</f>
        <v>0</v>
      </c>
      <c r="M465" s="18">
        <f>IF(Imóveis!$F$6="PRICE",IF(AND(Dados!$A465&gt;=Imóveis!$Q$6,Dados!$A465&lt;=Imóveis!$T$6),Imóveis!$U$6,0),IF((IF(AND(Dados!$A465&gt;=Imóveis!$Q$6,Dados!$A465&lt;=Imóveis!$T$6),Imóveis!$S$6-(DATEDIF(Imóveis!$Q$6,Dados!$A465,"m")),0))=0,0,((Imóveis!$N$6/Imóveis!$S$6)+((Imóveis!$N$6-((Imóveis!$S$6-(IF(AND(Dados!$A465&gt;=Imóveis!$Q$6,Dados!$A465&lt;=Imóveis!$T$6),Imóveis!$S$6-(DATEDIF(Imóveis!$Q$6,Dados!$A465,"m")),)))*(Imóveis!$N$6/Imóveis!$S$6)))*Imóveis!$P$6))))*IF(AND(Imóveis!$E$6&gt;0,Dados!$A465&gt;Imóveis!$E$6),0,1)*Imóveis!$I$6</f>
        <v>0</v>
      </c>
      <c r="N465" s="18">
        <f t="shared" si="61"/>
        <v>37000</v>
      </c>
      <c r="O465" s="18">
        <f>SUMIFS(Receitas!$F:$F,Receitas!$J:$J,"&lt;="&amp;$A465,Receitas!$L:$L,"&gt;="&amp;$A465,Receitas!$C:$C,O$1,Receitas!$M:$M,"Mensal")+SUMIFS(Receitas!$F:$F,Receitas!$J:$J,"&lt;="&amp;$A465,Receitas!$L:$L,"&gt;="&amp;$A465,Receitas!$C:$C,O$1,Receitas!$M:$M,$B465)</f>
        <v>0</v>
      </c>
      <c r="P465" s="18">
        <f>SUMIFS(Receitas!$F:$F,Receitas!$J:$J,"&lt;="&amp;$A465,Receitas!$L:$L,"&gt;="&amp;$A465,Receitas!$C:$C,P$1,Receitas!$M:$M,"Mensal")+SUMIFS(Receitas!$F:$F,Receitas!$J:$J,"&lt;="&amp;$A465,Receitas!$L:$L,"&gt;="&amp;$A465,Receitas!$C:$C,P$1,Receitas!$M:$M,$B465)</f>
        <v>0</v>
      </c>
      <c r="Q465" s="18">
        <f>SUMIFS(Receitas!$F:$F,Receitas!$J:$J,"&lt;="&amp;$A465,Receitas!$L:$L,"&gt;="&amp;$A465,Receitas!$C:$C,Q$1,Receitas!$M:$M,"Mensal")+SUMIFS(Receitas!$F:$F,Receitas!$J:$J,"&lt;="&amp;$A465,Receitas!$L:$L,"&gt;="&amp;$A465,Receitas!$C:$C,Q$1,Receitas!$M:$M,$B465)</f>
        <v>0</v>
      </c>
      <c r="R465" s="18" cm="1">
        <f t="array" ref="R465">(IF(AND(Membros!$F$2="Sim",A465&lt;=MAX(Membros!$E$2:$E$5)),Membros!K$2,IF(AND(A465&gt;=Membros!J$2,A465&lt;=MAX(Membros!$E$2:$E$5)),Membros!K$2,0))+IF(AND(Membros!$F$3="Sim",A465&lt;=MAX(Membros!$E$2:$E$5)),Membros!K$3,IF(AND(A465&gt;=Membros!J$3,A465&lt;=MAX(Membros!$E$2:$E$5)),Membros!K$3,0)))*IF(AND(COUNTIFS(Tabela3[Tipo],"Provedor",Tabela3[Simulação Seguro],"Sim")=2,A465&gt;=MAX(IF(Tabela3[Tipo]="Dependente",Tabela3[Expectativa de Vida (Data)]))),0,1)</f>
        <v>10000</v>
      </c>
      <c r="S465" s="18">
        <f t="shared" si="62"/>
        <v>10000</v>
      </c>
      <c r="U465" s="18">
        <f t="shared" ca="1" si="65"/>
        <v>29460802.235332035</v>
      </c>
      <c r="V465" s="18">
        <f>SUMIF(Imóveis!E:E,Dados!A:A,Imóveis!Z:Z)-SUMIF(Imóveis!E:E,Dados!A:A,Imóveis!Y:Y)</f>
        <v>0</v>
      </c>
      <c r="W465" s="18">
        <f>-SUMIF(Projetos!N:N,A465,Projetos!F:F)</f>
        <v>0</v>
      </c>
      <c r="X465" s="18">
        <f t="shared" si="59"/>
        <v>-27000</v>
      </c>
      <c r="Y465" s="26">
        <f ca="1">(U465*((Indicadores_Economicos!D$2+1)^(1/12)-1))</f>
        <v>96447.000293301186</v>
      </c>
      <c r="Z465" s="18">
        <f t="shared" ca="1" si="63"/>
        <v>29530249.235625334</v>
      </c>
      <c r="AA465" s="18">
        <f ca="1">Auxiliar_Projetos!E465</f>
        <v>1.7758187185180632E-9</v>
      </c>
      <c r="AB465" s="18">
        <f ca="1">Auxiliar_Projetos!K465</f>
        <v>1.366014398860048E-9</v>
      </c>
      <c r="AC465" s="18">
        <f ca="1">IF(Z465-AA465-AB465&gt;Investimentos!$C$14,Investimentos!$C$14,IF(Z465-AA465-AB465&lt;Investimentos!$C$14,Z465-AA465-AB465,0))</f>
        <v>300000</v>
      </c>
      <c r="AD465" s="18">
        <f t="shared" ca="1" si="64"/>
        <v>29230249.235625334</v>
      </c>
      <c r="AE465" s="18"/>
    </row>
    <row r="466" spans="1:31" x14ac:dyDescent="0.2">
      <c r="A466" s="4">
        <v>59780</v>
      </c>
      <c r="B466" s="5" t="str">
        <f t="shared" si="60"/>
        <v>setembro</v>
      </c>
      <c r="C466" s="5" t="str">
        <f t="shared" si="58"/>
        <v>2063</v>
      </c>
      <c r="D466" s="5">
        <f>SUMIFS(Despesas!$F:$F,Despesas!$J:$J,"&lt;="&amp;$A466,Despesas!$L:$L,"&gt;="&amp;$A466,Despesas!$C:$C,D$1,Despesas!$M:$M,"Mensal")+SUMIFS(Despesas!$F:$F,Despesas!$J:$J,"&lt;="&amp;$A466,Despesas!$L:$L,"&gt;="&amp;$A466,Despesas!$C:$C,D$1,Despesas!$M:$M,$B466)</f>
        <v>23000</v>
      </c>
      <c r="E466" s="18">
        <f>SUMIFS(Despesas!$F:$F,Despesas!$J:$J,"&lt;="&amp;$A466,Despesas!$L:$L,"&gt;="&amp;$A466,Despesas!$C:$C,E$1,Despesas!$M:$M,"Mensal")+SUMIFS(Despesas!$F:$F,Despesas!$J:$J,"&lt;="&amp;$A466,Despesas!$L:$L,"&gt;="&amp;$A466,Despesas!$C:$C,E$1,Despesas!$M:$M,$B466)</f>
        <v>0</v>
      </c>
      <c r="F466" s="5">
        <f>SUMIFS(Despesas!$F:$F,Despesas!$J:$J,"&lt;="&amp;$A466,Despesas!$L:$L,"&gt;="&amp;$A466,Despesas!$C:$C,F$1,Despesas!$M:$M,"Mensal")+SUMIFS(Despesas!$F:$F,Despesas!$J:$J,"&lt;="&amp;$A466,Despesas!$L:$L,"&gt;="&amp;$A466,Despesas!$C:$C,F$1,Despesas!$M:$M,$B466)</f>
        <v>13000</v>
      </c>
      <c r="G466" s="5">
        <f>SUMIFS(Despesas!$F:$F,Despesas!$J:$J,"&lt;="&amp;$A466,Despesas!$L:$L,"&gt;="&amp;$A466,Despesas!$C:$C,G$1,Despesas!$M:$M,"Mensal")+SUMIFS(Despesas!$F:$F,Despesas!$J:$J,"&lt;="&amp;$A466,Despesas!$L:$L,"&gt;="&amp;$A466,Despesas!$C:$C,G$1,Despesas!$M:$M,$B466)</f>
        <v>0</v>
      </c>
      <c r="H466" s="18">
        <f>SUMIFS(Despesas!$F:$F,Despesas!$J:$J,"&lt;="&amp;$A466,Despesas!$L:$L,"&gt;="&amp;$A466,Despesas!$C:$C,H$1,Despesas!$M:$M,"Mensal")+SUMIFS(Despesas!$F:$F,Despesas!$J:$J,"&lt;="&amp;$A466,Despesas!$L:$L,"&gt;="&amp;$A466,Despesas!$C:$C,H$1,Despesas!$M:$M,$B466)</f>
        <v>1000</v>
      </c>
      <c r="I466" s="18">
        <f>IF(Imóveis!$F$2="PRICE",IF(AND(Dados!$A466&gt;=Imóveis!$Q$2,Dados!$A466&lt;=Imóveis!$T$2),Imóveis!$U$2,0),IF((IF(AND(Dados!$A466&gt;=Imóveis!$Q$2,Dados!$A466&lt;=Imóveis!$T$2),Imóveis!$S$2-(DATEDIF(Imóveis!$Q$2,Dados!$A466,"m")),0))=0,0,((Imóveis!$N$2/Imóveis!$S$2)+((Imóveis!$N$2-((Imóveis!$S$2-(IF(AND(Dados!$A466&gt;=Imóveis!$Q$2,Dados!$A466&lt;=Imóveis!$T$2),Imóveis!$S$2-(DATEDIF(Imóveis!$Q$2,Dados!$A466,"m")),)))*(Imóveis!$N$2/Imóveis!$S$2)))*Imóveis!$P$2))))*IF(AND(Imóveis!$E$2&gt;0,Dados!$A466&gt;Imóveis!$E$2),0,1)</f>
        <v>0</v>
      </c>
      <c r="J466" s="18">
        <f>IF(Imóveis!$F$3="PRICE",IF(AND(Dados!$A466&gt;=Imóveis!$Q$3,Dados!$A466&lt;=Imóveis!$T$3),Imóveis!$U$3,0),IF((IF(AND(Dados!$A466&gt;=Imóveis!$Q$3,Dados!$A466&lt;=Imóveis!$T$3),Imóveis!$S$3-(DATEDIF(Imóveis!$Q$3,Dados!$A466,"m")),0))=0,0,((Imóveis!$N$3/Imóveis!$S$3)+((Imóveis!$N$3-((Imóveis!$S$3-(IF(AND(Dados!$A466&gt;=Imóveis!$Q$3,Dados!$A466&lt;=Imóveis!$T$3),Imóveis!$S$3-(DATEDIF(Imóveis!$Q$3,Dados!$A466,"m")),)))*(Imóveis!$N$3/Imóveis!$S$3)))*Imóveis!$P$3))))*IF(AND(Imóveis!$E$3&gt;0,Dados!$A466&gt;Imóveis!$E$3),0,1)</f>
        <v>0</v>
      </c>
      <c r="K466" s="18">
        <f>IF(Imóveis!$F$4="PRICE",IF(AND(Dados!$A466&gt;=Imóveis!$Q$4,Dados!$A466&lt;=Imóveis!$T$4),Imóveis!$U$4,0),IF((IF(AND(Dados!$A466&gt;=Imóveis!$Q$4,Dados!$A466&lt;=Imóveis!$T$4),Imóveis!$S$4-(DATEDIF(Imóveis!$Q$4,Dados!$A466,"m")),0))=0,0,((Imóveis!$N$4/Imóveis!$S$4)+((Imóveis!$N$4-((Imóveis!$S$4-(IF(AND(Dados!$A466&gt;=Imóveis!$Q$4,Dados!$A466&lt;=Imóveis!$T$4),Imóveis!$S$4-(DATEDIF(Imóveis!$Q$4,Dados!$A466,"m")),)))*(Imóveis!$N$4/Imóveis!$S$4)))*Imóveis!$P$4))))*IF(AND(Imóveis!$E$4&gt;0,Dados!$A466&gt;Imóveis!$E$4),0,1)</f>
        <v>0</v>
      </c>
      <c r="L466" s="18">
        <f>IF(Imóveis!$F$5="PRICE",IF(AND(Dados!$A466&gt;=Imóveis!$Q$5,Dados!$A466&lt;=Imóveis!$T$5),Imóveis!$U$5,0),IF((IF(AND(Dados!$A466&gt;=Imóveis!$Q$5,Dados!$A466&lt;=Imóveis!$T$5),Imóveis!$S$5-(DATEDIF(Imóveis!$Q$5,Dados!$A466,"m")),0))=0,0,((Imóveis!$N$5/Imóveis!$S$5)+((Imóveis!$N$5-((Imóveis!$S$5-(IF(AND(Dados!$A466 &gt;=Imóveis!$Q$5,Dados!$A466&lt;=Imóveis!$T$5),Imóveis!$S$5-(DATEDIF(Imóveis!$Q$5,Dados!$A466,"m")),)))*(Imóveis!$N$5/Imóveis!$S$5)))*Imóveis!$P$5))))*IF(AND(Imóveis!$E$5&gt;0,Dados!$A466&gt;Imóveis!$E$5),0,1)*Imóveis!$I$5</f>
        <v>0</v>
      </c>
      <c r="M466" s="18">
        <f>IF(Imóveis!$F$6="PRICE",IF(AND(Dados!$A466&gt;=Imóveis!$Q$6,Dados!$A466&lt;=Imóveis!$T$6),Imóveis!$U$6,0),IF((IF(AND(Dados!$A466&gt;=Imóveis!$Q$6,Dados!$A466&lt;=Imóveis!$T$6),Imóveis!$S$6-(DATEDIF(Imóveis!$Q$6,Dados!$A466,"m")),0))=0,0,((Imóveis!$N$6/Imóveis!$S$6)+((Imóveis!$N$6-((Imóveis!$S$6-(IF(AND(Dados!$A466&gt;=Imóveis!$Q$6,Dados!$A466&lt;=Imóveis!$T$6),Imóveis!$S$6-(DATEDIF(Imóveis!$Q$6,Dados!$A466,"m")),)))*(Imóveis!$N$6/Imóveis!$S$6)))*Imóveis!$P$6))))*IF(AND(Imóveis!$E$6&gt;0,Dados!$A466&gt;Imóveis!$E$6),0,1)*Imóveis!$I$6</f>
        <v>0</v>
      </c>
      <c r="N466" s="18">
        <f t="shared" si="61"/>
        <v>37000</v>
      </c>
      <c r="O466" s="18">
        <f>SUMIFS(Receitas!$F:$F,Receitas!$J:$J,"&lt;="&amp;$A466,Receitas!$L:$L,"&gt;="&amp;$A466,Receitas!$C:$C,O$1,Receitas!$M:$M,"Mensal")+SUMIFS(Receitas!$F:$F,Receitas!$J:$J,"&lt;="&amp;$A466,Receitas!$L:$L,"&gt;="&amp;$A466,Receitas!$C:$C,O$1,Receitas!$M:$M,$B466)</f>
        <v>0</v>
      </c>
      <c r="P466" s="18">
        <f>SUMIFS(Receitas!$F:$F,Receitas!$J:$J,"&lt;="&amp;$A466,Receitas!$L:$L,"&gt;="&amp;$A466,Receitas!$C:$C,P$1,Receitas!$M:$M,"Mensal")+SUMIFS(Receitas!$F:$F,Receitas!$J:$J,"&lt;="&amp;$A466,Receitas!$L:$L,"&gt;="&amp;$A466,Receitas!$C:$C,P$1,Receitas!$M:$M,$B466)</f>
        <v>0</v>
      </c>
      <c r="Q466" s="18">
        <f>SUMIFS(Receitas!$F:$F,Receitas!$J:$J,"&lt;="&amp;$A466,Receitas!$L:$L,"&gt;="&amp;$A466,Receitas!$C:$C,Q$1,Receitas!$M:$M,"Mensal")+SUMIFS(Receitas!$F:$F,Receitas!$J:$J,"&lt;="&amp;$A466,Receitas!$L:$L,"&gt;="&amp;$A466,Receitas!$C:$C,Q$1,Receitas!$M:$M,$B466)</f>
        <v>0</v>
      </c>
      <c r="R466" s="18" cm="1">
        <f t="array" ref="R466">(IF(AND(Membros!$F$2="Sim",A466&lt;=MAX(Membros!$E$2:$E$5)),Membros!K$2,IF(AND(A466&gt;=Membros!J$2,A466&lt;=MAX(Membros!$E$2:$E$5)),Membros!K$2,0))+IF(AND(Membros!$F$3="Sim",A466&lt;=MAX(Membros!$E$2:$E$5)),Membros!K$3,IF(AND(A466&gt;=Membros!J$3,A466&lt;=MAX(Membros!$E$2:$E$5)),Membros!K$3,0)))*IF(AND(COUNTIFS(Tabela3[Tipo],"Provedor",Tabela3[Simulação Seguro],"Sim")=2,A466&gt;=MAX(IF(Tabela3[Tipo]="Dependente",Tabela3[Expectativa de Vida (Data)]))),0,1)</f>
        <v>10000</v>
      </c>
      <c r="S466" s="18">
        <f t="shared" si="62"/>
        <v>10000</v>
      </c>
      <c r="U466" s="18">
        <f t="shared" ca="1" si="65"/>
        <v>29530249.235625334</v>
      </c>
      <c r="V466" s="18">
        <f>SUMIF(Imóveis!E:E,Dados!A:A,Imóveis!Z:Z)-SUMIF(Imóveis!E:E,Dados!A:A,Imóveis!Y:Y)</f>
        <v>0</v>
      </c>
      <c r="W466" s="18">
        <f>-SUMIF(Projetos!N:N,A466,Projetos!F:F)</f>
        <v>0</v>
      </c>
      <c r="X466" s="18">
        <f t="shared" si="59"/>
        <v>-27000</v>
      </c>
      <c r="Y466" s="26">
        <f ca="1">(U466*((Indicadores_Economicos!D$2+1)^(1/12)-1))</f>
        <v>96674.351700915737</v>
      </c>
      <c r="Z466" s="18">
        <f t="shared" ca="1" si="63"/>
        <v>29599923.587326251</v>
      </c>
      <c r="AA466" s="18">
        <f ca="1">Auxiliar_Projetos!E466</f>
        <v>1.7816322869028493E-9</v>
      </c>
      <c r="AB466" s="18">
        <f ca="1">Auxiliar_Projetos!K466</f>
        <v>1.3704863745406527E-9</v>
      </c>
      <c r="AC466" s="18">
        <f ca="1">IF(Z466-AA466-AB466&gt;Investimentos!$C$14,Investimentos!$C$14,IF(Z466-AA466-AB466&lt;Investimentos!$C$14,Z466-AA466-AB466,0))</f>
        <v>300000</v>
      </c>
      <c r="AD466" s="18">
        <f t="shared" ca="1" si="64"/>
        <v>29299923.587326251</v>
      </c>
      <c r="AE466" s="18"/>
    </row>
    <row r="467" spans="1:31" x14ac:dyDescent="0.2">
      <c r="A467" s="4">
        <v>59810</v>
      </c>
      <c r="B467" s="5" t="str">
        <f t="shared" si="60"/>
        <v>outubro</v>
      </c>
      <c r="C467" s="5" t="str">
        <f t="shared" si="58"/>
        <v>2063</v>
      </c>
      <c r="D467" s="5">
        <f>SUMIFS(Despesas!$F:$F,Despesas!$J:$J,"&lt;="&amp;$A467,Despesas!$L:$L,"&gt;="&amp;$A467,Despesas!$C:$C,D$1,Despesas!$M:$M,"Mensal")+SUMIFS(Despesas!$F:$F,Despesas!$J:$J,"&lt;="&amp;$A467,Despesas!$L:$L,"&gt;="&amp;$A467,Despesas!$C:$C,D$1,Despesas!$M:$M,$B467)</f>
        <v>23000</v>
      </c>
      <c r="E467" s="18">
        <f>SUMIFS(Despesas!$F:$F,Despesas!$J:$J,"&lt;="&amp;$A467,Despesas!$L:$L,"&gt;="&amp;$A467,Despesas!$C:$C,E$1,Despesas!$M:$M,"Mensal")+SUMIFS(Despesas!$F:$F,Despesas!$J:$J,"&lt;="&amp;$A467,Despesas!$L:$L,"&gt;="&amp;$A467,Despesas!$C:$C,E$1,Despesas!$M:$M,$B467)</f>
        <v>0</v>
      </c>
      <c r="F467" s="5">
        <f>SUMIFS(Despesas!$F:$F,Despesas!$J:$J,"&lt;="&amp;$A467,Despesas!$L:$L,"&gt;="&amp;$A467,Despesas!$C:$C,F$1,Despesas!$M:$M,"Mensal")+SUMIFS(Despesas!$F:$F,Despesas!$J:$J,"&lt;="&amp;$A467,Despesas!$L:$L,"&gt;="&amp;$A467,Despesas!$C:$C,F$1,Despesas!$M:$M,$B467)</f>
        <v>13000</v>
      </c>
      <c r="G467" s="5">
        <f>SUMIFS(Despesas!$F:$F,Despesas!$J:$J,"&lt;="&amp;$A467,Despesas!$L:$L,"&gt;="&amp;$A467,Despesas!$C:$C,G$1,Despesas!$M:$M,"Mensal")+SUMIFS(Despesas!$F:$F,Despesas!$J:$J,"&lt;="&amp;$A467,Despesas!$L:$L,"&gt;="&amp;$A467,Despesas!$C:$C,G$1,Despesas!$M:$M,$B467)</f>
        <v>0</v>
      </c>
      <c r="H467" s="18">
        <f>SUMIFS(Despesas!$F:$F,Despesas!$J:$J,"&lt;="&amp;$A467,Despesas!$L:$L,"&gt;="&amp;$A467,Despesas!$C:$C,H$1,Despesas!$M:$M,"Mensal")+SUMIFS(Despesas!$F:$F,Despesas!$J:$J,"&lt;="&amp;$A467,Despesas!$L:$L,"&gt;="&amp;$A467,Despesas!$C:$C,H$1,Despesas!$M:$M,$B467)</f>
        <v>1000</v>
      </c>
      <c r="I467" s="18">
        <f>IF(Imóveis!$F$2="PRICE",IF(AND(Dados!$A467&gt;=Imóveis!$Q$2,Dados!$A467&lt;=Imóveis!$T$2),Imóveis!$U$2,0),IF((IF(AND(Dados!$A467&gt;=Imóveis!$Q$2,Dados!$A467&lt;=Imóveis!$T$2),Imóveis!$S$2-(DATEDIF(Imóveis!$Q$2,Dados!$A467,"m")),0))=0,0,((Imóveis!$N$2/Imóveis!$S$2)+((Imóveis!$N$2-((Imóveis!$S$2-(IF(AND(Dados!$A467&gt;=Imóveis!$Q$2,Dados!$A467&lt;=Imóveis!$T$2),Imóveis!$S$2-(DATEDIF(Imóveis!$Q$2,Dados!$A467,"m")),)))*(Imóveis!$N$2/Imóveis!$S$2)))*Imóveis!$P$2))))*IF(AND(Imóveis!$E$2&gt;0,Dados!$A467&gt;Imóveis!$E$2),0,1)</f>
        <v>0</v>
      </c>
      <c r="J467" s="18">
        <f>IF(Imóveis!$F$3="PRICE",IF(AND(Dados!$A467&gt;=Imóveis!$Q$3,Dados!$A467&lt;=Imóveis!$T$3),Imóveis!$U$3,0),IF((IF(AND(Dados!$A467&gt;=Imóveis!$Q$3,Dados!$A467&lt;=Imóveis!$T$3),Imóveis!$S$3-(DATEDIF(Imóveis!$Q$3,Dados!$A467,"m")),0))=0,0,((Imóveis!$N$3/Imóveis!$S$3)+((Imóveis!$N$3-((Imóveis!$S$3-(IF(AND(Dados!$A467&gt;=Imóveis!$Q$3,Dados!$A467&lt;=Imóveis!$T$3),Imóveis!$S$3-(DATEDIF(Imóveis!$Q$3,Dados!$A467,"m")),)))*(Imóveis!$N$3/Imóveis!$S$3)))*Imóveis!$P$3))))*IF(AND(Imóveis!$E$3&gt;0,Dados!$A467&gt;Imóveis!$E$3),0,1)</f>
        <v>0</v>
      </c>
      <c r="K467" s="18">
        <f>IF(Imóveis!$F$4="PRICE",IF(AND(Dados!$A467&gt;=Imóveis!$Q$4,Dados!$A467&lt;=Imóveis!$T$4),Imóveis!$U$4,0),IF((IF(AND(Dados!$A467&gt;=Imóveis!$Q$4,Dados!$A467&lt;=Imóveis!$T$4),Imóveis!$S$4-(DATEDIF(Imóveis!$Q$4,Dados!$A467,"m")),0))=0,0,((Imóveis!$N$4/Imóveis!$S$4)+((Imóveis!$N$4-((Imóveis!$S$4-(IF(AND(Dados!$A467&gt;=Imóveis!$Q$4,Dados!$A467&lt;=Imóveis!$T$4),Imóveis!$S$4-(DATEDIF(Imóveis!$Q$4,Dados!$A467,"m")),)))*(Imóveis!$N$4/Imóveis!$S$4)))*Imóveis!$P$4))))*IF(AND(Imóveis!$E$4&gt;0,Dados!$A467&gt;Imóveis!$E$4),0,1)</f>
        <v>0</v>
      </c>
      <c r="L467" s="18">
        <f>IF(Imóveis!$F$5="PRICE",IF(AND(Dados!$A467&gt;=Imóveis!$Q$5,Dados!$A467&lt;=Imóveis!$T$5),Imóveis!$U$5,0),IF((IF(AND(Dados!$A467&gt;=Imóveis!$Q$5,Dados!$A467&lt;=Imóveis!$T$5),Imóveis!$S$5-(DATEDIF(Imóveis!$Q$5,Dados!$A467,"m")),0))=0,0,((Imóveis!$N$5/Imóveis!$S$5)+((Imóveis!$N$5-((Imóveis!$S$5-(IF(AND(Dados!$A467 &gt;=Imóveis!$Q$5,Dados!$A467&lt;=Imóveis!$T$5),Imóveis!$S$5-(DATEDIF(Imóveis!$Q$5,Dados!$A467,"m")),)))*(Imóveis!$N$5/Imóveis!$S$5)))*Imóveis!$P$5))))*IF(AND(Imóveis!$E$5&gt;0,Dados!$A467&gt;Imóveis!$E$5),0,1)*Imóveis!$I$5</f>
        <v>0</v>
      </c>
      <c r="M467" s="18">
        <f>IF(Imóveis!$F$6="PRICE",IF(AND(Dados!$A467&gt;=Imóveis!$Q$6,Dados!$A467&lt;=Imóveis!$T$6),Imóveis!$U$6,0),IF((IF(AND(Dados!$A467&gt;=Imóveis!$Q$6,Dados!$A467&lt;=Imóveis!$T$6),Imóveis!$S$6-(DATEDIF(Imóveis!$Q$6,Dados!$A467,"m")),0))=0,0,((Imóveis!$N$6/Imóveis!$S$6)+((Imóveis!$N$6-((Imóveis!$S$6-(IF(AND(Dados!$A467&gt;=Imóveis!$Q$6,Dados!$A467&lt;=Imóveis!$T$6),Imóveis!$S$6-(DATEDIF(Imóveis!$Q$6,Dados!$A467,"m")),)))*(Imóveis!$N$6/Imóveis!$S$6)))*Imóveis!$P$6))))*IF(AND(Imóveis!$E$6&gt;0,Dados!$A467&gt;Imóveis!$E$6),0,1)*Imóveis!$I$6</f>
        <v>0</v>
      </c>
      <c r="N467" s="18">
        <f t="shared" si="61"/>
        <v>37000</v>
      </c>
      <c r="O467" s="18">
        <f>SUMIFS(Receitas!$F:$F,Receitas!$J:$J,"&lt;="&amp;$A467,Receitas!$L:$L,"&gt;="&amp;$A467,Receitas!$C:$C,O$1,Receitas!$M:$M,"Mensal")+SUMIFS(Receitas!$F:$F,Receitas!$J:$J,"&lt;="&amp;$A467,Receitas!$L:$L,"&gt;="&amp;$A467,Receitas!$C:$C,O$1,Receitas!$M:$M,$B467)</f>
        <v>0</v>
      </c>
      <c r="P467" s="18">
        <f>SUMIFS(Receitas!$F:$F,Receitas!$J:$J,"&lt;="&amp;$A467,Receitas!$L:$L,"&gt;="&amp;$A467,Receitas!$C:$C,P$1,Receitas!$M:$M,"Mensal")+SUMIFS(Receitas!$F:$F,Receitas!$J:$J,"&lt;="&amp;$A467,Receitas!$L:$L,"&gt;="&amp;$A467,Receitas!$C:$C,P$1,Receitas!$M:$M,$B467)</f>
        <v>0</v>
      </c>
      <c r="Q467" s="18">
        <f>SUMIFS(Receitas!$F:$F,Receitas!$J:$J,"&lt;="&amp;$A467,Receitas!$L:$L,"&gt;="&amp;$A467,Receitas!$C:$C,Q$1,Receitas!$M:$M,"Mensal")+SUMIFS(Receitas!$F:$F,Receitas!$J:$J,"&lt;="&amp;$A467,Receitas!$L:$L,"&gt;="&amp;$A467,Receitas!$C:$C,Q$1,Receitas!$M:$M,$B467)</f>
        <v>0</v>
      </c>
      <c r="R467" s="18" cm="1">
        <f t="array" ref="R467">(IF(AND(Membros!$F$2="Sim",A467&lt;=MAX(Membros!$E$2:$E$5)),Membros!K$2,IF(AND(A467&gt;=Membros!J$2,A467&lt;=MAX(Membros!$E$2:$E$5)),Membros!K$2,0))+IF(AND(Membros!$F$3="Sim",A467&lt;=MAX(Membros!$E$2:$E$5)),Membros!K$3,IF(AND(A467&gt;=Membros!J$3,A467&lt;=MAX(Membros!$E$2:$E$5)),Membros!K$3,0)))*IF(AND(COUNTIFS(Tabela3[Tipo],"Provedor",Tabela3[Simulação Seguro],"Sim")=2,A467&gt;=MAX(IF(Tabela3[Tipo]="Dependente",Tabela3[Expectativa de Vida (Data)]))),0,1)</f>
        <v>10000</v>
      </c>
      <c r="S467" s="18">
        <f t="shared" si="62"/>
        <v>10000</v>
      </c>
      <c r="U467" s="18">
        <f t="shared" ca="1" si="65"/>
        <v>29599923.587326251</v>
      </c>
      <c r="V467" s="18">
        <f>SUMIF(Imóveis!E:E,Dados!A:A,Imóveis!Z:Z)-SUMIF(Imóveis!E:E,Dados!A:A,Imóveis!Y:Y)</f>
        <v>0</v>
      </c>
      <c r="W467" s="18">
        <f>-SUMIF(Projetos!N:N,A467,Projetos!F:F)</f>
        <v>0</v>
      </c>
      <c r="X467" s="18">
        <f t="shared" si="59"/>
        <v>-27000</v>
      </c>
      <c r="Y467" s="26">
        <f ca="1">(U467*((Indicadores_Economicos!D$2+1)^(1/12)-1))</f>
        <v>96902.447397877957</v>
      </c>
      <c r="Z467" s="18">
        <f t="shared" ca="1" si="63"/>
        <v>29669826.034724128</v>
      </c>
      <c r="AA467" s="18">
        <f ca="1">Auxiliar_Projetos!E467</f>
        <v>1.7874648873977332E-9</v>
      </c>
      <c r="AB467" s="18">
        <f ca="1">Auxiliar_Projetos!K467</f>
        <v>1.374972990305948E-9</v>
      </c>
      <c r="AC467" s="18">
        <f ca="1">IF(Z467-AA467-AB467&gt;Investimentos!$C$14,Investimentos!$C$14,IF(Z467-AA467-AB467&lt;Investimentos!$C$14,Z467-AA467-AB467,0))</f>
        <v>300000</v>
      </c>
      <c r="AD467" s="18">
        <f t="shared" ca="1" si="64"/>
        <v>29369826.034724128</v>
      </c>
      <c r="AE467" s="18"/>
    </row>
    <row r="468" spans="1:31" x14ac:dyDescent="0.2">
      <c r="A468" s="4">
        <v>59841</v>
      </c>
      <c r="B468" s="5" t="str">
        <f t="shared" si="60"/>
        <v>novembro</v>
      </c>
      <c r="C468" s="5" t="str">
        <f t="shared" si="58"/>
        <v>2063</v>
      </c>
      <c r="D468" s="5">
        <f>SUMIFS(Despesas!$F:$F,Despesas!$J:$J,"&lt;="&amp;$A468,Despesas!$L:$L,"&gt;="&amp;$A468,Despesas!$C:$C,D$1,Despesas!$M:$M,"Mensal")+SUMIFS(Despesas!$F:$F,Despesas!$J:$J,"&lt;="&amp;$A468,Despesas!$L:$L,"&gt;="&amp;$A468,Despesas!$C:$C,D$1,Despesas!$M:$M,$B468)</f>
        <v>23000</v>
      </c>
      <c r="E468" s="18">
        <f>SUMIFS(Despesas!$F:$F,Despesas!$J:$J,"&lt;="&amp;$A468,Despesas!$L:$L,"&gt;="&amp;$A468,Despesas!$C:$C,E$1,Despesas!$M:$M,"Mensal")+SUMIFS(Despesas!$F:$F,Despesas!$J:$J,"&lt;="&amp;$A468,Despesas!$L:$L,"&gt;="&amp;$A468,Despesas!$C:$C,E$1,Despesas!$M:$M,$B468)</f>
        <v>0</v>
      </c>
      <c r="F468" s="5">
        <f>SUMIFS(Despesas!$F:$F,Despesas!$J:$J,"&lt;="&amp;$A468,Despesas!$L:$L,"&gt;="&amp;$A468,Despesas!$C:$C,F$1,Despesas!$M:$M,"Mensal")+SUMIFS(Despesas!$F:$F,Despesas!$J:$J,"&lt;="&amp;$A468,Despesas!$L:$L,"&gt;="&amp;$A468,Despesas!$C:$C,F$1,Despesas!$M:$M,$B468)</f>
        <v>13000</v>
      </c>
      <c r="G468" s="5">
        <f>SUMIFS(Despesas!$F:$F,Despesas!$J:$J,"&lt;="&amp;$A468,Despesas!$L:$L,"&gt;="&amp;$A468,Despesas!$C:$C,G$1,Despesas!$M:$M,"Mensal")+SUMIFS(Despesas!$F:$F,Despesas!$J:$J,"&lt;="&amp;$A468,Despesas!$L:$L,"&gt;="&amp;$A468,Despesas!$C:$C,G$1,Despesas!$M:$M,$B468)</f>
        <v>0</v>
      </c>
      <c r="H468" s="18">
        <f>SUMIFS(Despesas!$F:$F,Despesas!$J:$J,"&lt;="&amp;$A468,Despesas!$L:$L,"&gt;="&amp;$A468,Despesas!$C:$C,H$1,Despesas!$M:$M,"Mensal")+SUMIFS(Despesas!$F:$F,Despesas!$J:$J,"&lt;="&amp;$A468,Despesas!$L:$L,"&gt;="&amp;$A468,Despesas!$C:$C,H$1,Despesas!$M:$M,$B468)</f>
        <v>1000</v>
      </c>
      <c r="I468" s="18">
        <f>IF(Imóveis!$F$2="PRICE",IF(AND(Dados!$A468&gt;=Imóveis!$Q$2,Dados!$A468&lt;=Imóveis!$T$2),Imóveis!$U$2,0),IF((IF(AND(Dados!$A468&gt;=Imóveis!$Q$2,Dados!$A468&lt;=Imóveis!$T$2),Imóveis!$S$2-(DATEDIF(Imóveis!$Q$2,Dados!$A468,"m")),0))=0,0,((Imóveis!$N$2/Imóveis!$S$2)+((Imóveis!$N$2-((Imóveis!$S$2-(IF(AND(Dados!$A468&gt;=Imóveis!$Q$2,Dados!$A468&lt;=Imóveis!$T$2),Imóveis!$S$2-(DATEDIF(Imóveis!$Q$2,Dados!$A468,"m")),)))*(Imóveis!$N$2/Imóveis!$S$2)))*Imóveis!$P$2))))*IF(AND(Imóveis!$E$2&gt;0,Dados!$A468&gt;Imóveis!$E$2),0,1)</f>
        <v>0</v>
      </c>
      <c r="J468" s="18">
        <f>IF(Imóveis!$F$3="PRICE",IF(AND(Dados!$A468&gt;=Imóveis!$Q$3,Dados!$A468&lt;=Imóveis!$T$3),Imóveis!$U$3,0),IF((IF(AND(Dados!$A468&gt;=Imóveis!$Q$3,Dados!$A468&lt;=Imóveis!$T$3),Imóveis!$S$3-(DATEDIF(Imóveis!$Q$3,Dados!$A468,"m")),0))=0,0,((Imóveis!$N$3/Imóveis!$S$3)+((Imóveis!$N$3-((Imóveis!$S$3-(IF(AND(Dados!$A468&gt;=Imóveis!$Q$3,Dados!$A468&lt;=Imóveis!$T$3),Imóveis!$S$3-(DATEDIF(Imóveis!$Q$3,Dados!$A468,"m")),)))*(Imóveis!$N$3/Imóveis!$S$3)))*Imóveis!$P$3))))*IF(AND(Imóveis!$E$3&gt;0,Dados!$A468&gt;Imóveis!$E$3),0,1)</f>
        <v>0</v>
      </c>
      <c r="K468" s="18">
        <f>IF(Imóveis!$F$4="PRICE",IF(AND(Dados!$A468&gt;=Imóveis!$Q$4,Dados!$A468&lt;=Imóveis!$T$4),Imóveis!$U$4,0),IF((IF(AND(Dados!$A468&gt;=Imóveis!$Q$4,Dados!$A468&lt;=Imóveis!$T$4),Imóveis!$S$4-(DATEDIF(Imóveis!$Q$4,Dados!$A468,"m")),0))=0,0,((Imóveis!$N$4/Imóveis!$S$4)+((Imóveis!$N$4-((Imóveis!$S$4-(IF(AND(Dados!$A468&gt;=Imóveis!$Q$4,Dados!$A468&lt;=Imóveis!$T$4),Imóveis!$S$4-(DATEDIF(Imóveis!$Q$4,Dados!$A468,"m")),)))*(Imóveis!$N$4/Imóveis!$S$4)))*Imóveis!$P$4))))*IF(AND(Imóveis!$E$4&gt;0,Dados!$A468&gt;Imóveis!$E$4),0,1)</f>
        <v>0</v>
      </c>
      <c r="L468" s="18">
        <f>IF(Imóveis!$F$5="PRICE",IF(AND(Dados!$A468&gt;=Imóveis!$Q$5,Dados!$A468&lt;=Imóveis!$T$5),Imóveis!$U$5,0),IF((IF(AND(Dados!$A468&gt;=Imóveis!$Q$5,Dados!$A468&lt;=Imóveis!$T$5),Imóveis!$S$5-(DATEDIF(Imóveis!$Q$5,Dados!$A468,"m")),0))=0,0,((Imóveis!$N$5/Imóveis!$S$5)+((Imóveis!$N$5-((Imóveis!$S$5-(IF(AND(Dados!$A468 &gt;=Imóveis!$Q$5,Dados!$A468&lt;=Imóveis!$T$5),Imóveis!$S$5-(DATEDIF(Imóveis!$Q$5,Dados!$A468,"m")),)))*(Imóveis!$N$5/Imóveis!$S$5)))*Imóveis!$P$5))))*IF(AND(Imóveis!$E$5&gt;0,Dados!$A468&gt;Imóveis!$E$5),0,1)*Imóveis!$I$5</f>
        <v>0</v>
      </c>
      <c r="M468" s="18">
        <f>IF(Imóveis!$F$6="PRICE",IF(AND(Dados!$A468&gt;=Imóveis!$Q$6,Dados!$A468&lt;=Imóveis!$T$6),Imóveis!$U$6,0),IF((IF(AND(Dados!$A468&gt;=Imóveis!$Q$6,Dados!$A468&lt;=Imóveis!$T$6),Imóveis!$S$6-(DATEDIF(Imóveis!$Q$6,Dados!$A468,"m")),0))=0,0,((Imóveis!$N$6/Imóveis!$S$6)+((Imóveis!$N$6-((Imóveis!$S$6-(IF(AND(Dados!$A468&gt;=Imóveis!$Q$6,Dados!$A468&lt;=Imóveis!$T$6),Imóveis!$S$6-(DATEDIF(Imóveis!$Q$6,Dados!$A468,"m")),)))*(Imóveis!$N$6/Imóveis!$S$6)))*Imóveis!$P$6))))*IF(AND(Imóveis!$E$6&gt;0,Dados!$A468&gt;Imóveis!$E$6),0,1)*Imóveis!$I$6</f>
        <v>0</v>
      </c>
      <c r="N468" s="18">
        <f t="shared" si="61"/>
        <v>37000</v>
      </c>
      <c r="O468" s="18">
        <f>SUMIFS(Receitas!$F:$F,Receitas!$J:$J,"&lt;="&amp;$A468,Receitas!$L:$L,"&gt;="&amp;$A468,Receitas!$C:$C,O$1,Receitas!$M:$M,"Mensal")+SUMIFS(Receitas!$F:$F,Receitas!$J:$J,"&lt;="&amp;$A468,Receitas!$L:$L,"&gt;="&amp;$A468,Receitas!$C:$C,O$1,Receitas!$M:$M,$B468)</f>
        <v>0</v>
      </c>
      <c r="P468" s="18">
        <f>SUMIFS(Receitas!$F:$F,Receitas!$J:$J,"&lt;="&amp;$A468,Receitas!$L:$L,"&gt;="&amp;$A468,Receitas!$C:$C,P$1,Receitas!$M:$M,"Mensal")+SUMIFS(Receitas!$F:$F,Receitas!$J:$J,"&lt;="&amp;$A468,Receitas!$L:$L,"&gt;="&amp;$A468,Receitas!$C:$C,P$1,Receitas!$M:$M,$B468)</f>
        <v>0</v>
      </c>
      <c r="Q468" s="18">
        <f>SUMIFS(Receitas!$F:$F,Receitas!$J:$J,"&lt;="&amp;$A468,Receitas!$L:$L,"&gt;="&amp;$A468,Receitas!$C:$C,Q$1,Receitas!$M:$M,"Mensal")+SUMIFS(Receitas!$F:$F,Receitas!$J:$J,"&lt;="&amp;$A468,Receitas!$L:$L,"&gt;="&amp;$A468,Receitas!$C:$C,Q$1,Receitas!$M:$M,$B468)</f>
        <v>0</v>
      </c>
      <c r="R468" s="18" cm="1">
        <f t="array" ref="R468">(IF(AND(Membros!$F$2="Sim",A468&lt;=MAX(Membros!$E$2:$E$5)),Membros!K$2,IF(AND(A468&gt;=Membros!J$2,A468&lt;=MAX(Membros!$E$2:$E$5)),Membros!K$2,0))+IF(AND(Membros!$F$3="Sim",A468&lt;=MAX(Membros!$E$2:$E$5)),Membros!K$3,IF(AND(A468&gt;=Membros!J$3,A468&lt;=MAX(Membros!$E$2:$E$5)),Membros!K$3,0)))*IF(AND(COUNTIFS(Tabela3[Tipo],"Provedor",Tabela3[Simulação Seguro],"Sim")=2,A468&gt;=MAX(IF(Tabela3[Tipo]="Dependente",Tabela3[Expectativa de Vida (Data)]))),0,1)</f>
        <v>10000</v>
      </c>
      <c r="S468" s="18">
        <f t="shared" si="62"/>
        <v>10000</v>
      </c>
      <c r="U468" s="18">
        <f t="shared" ca="1" si="65"/>
        <v>29669826.034724128</v>
      </c>
      <c r="V468" s="18">
        <f>SUMIF(Imóveis!E:E,Dados!A:A,Imóveis!Z:Z)-SUMIF(Imóveis!E:E,Dados!A:A,Imóveis!Y:Y)</f>
        <v>0</v>
      </c>
      <c r="W468" s="18">
        <f>-SUMIF(Projetos!N:N,A468,Projetos!F:F)</f>
        <v>0</v>
      </c>
      <c r="X468" s="18">
        <f t="shared" si="59"/>
        <v>-27000</v>
      </c>
      <c r="Y468" s="26">
        <f ca="1">(U468*((Indicadores_Economicos!D$2+1)^(1/12)-1))</f>
        <v>97131.28982079745</v>
      </c>
      <c r="Z468" s="18">
        <f t="shared" ca="1" si="63"/>
        <v>29739957.324544925</v>
      </c>
      <c r="AA468" s="18">
        <f ca="1">Auxiliar_Projetos!E468</f>
        <v>1.7933165823088909E-9</v>
      </c>
      <c r="AB468" s="18">
        <f ca="1">Auxiliar_Projetos!K468</f>
        <v>1.3794742940837616E-9</v>
      </c>
      <c r="AC468" s="18">
        <f ca="1">IF(Z468-AA468-AB468&gt;Investimentos!$C$14,Investimentos!$C$14,IF(Z468-AA468-AB468&lt;Investimentos!$C$14,Z468-AA468-AB468,0))</f>
        <v>300000</v>
      </c>
      <c r="AD468" s="18">
        <f t="shared" ca="1" si="64"/>
        <v>29439957.324544925</v>
      </c>
      <c r="AE468" s="18"/>
    </row>
    <row r="469" spans="1:31" x14ac:dyDescent="0.2">
      <c r="A469" s="4">
        <v>59871</v>
      </c>
      <c r="B469" s="5" t="str">
        <f t="shared" si="60"/>
        <v>dezembro</v>
      </c>
      <c r="C469" s="5" t="str">
        <f t="shared" si="58"/>
        <v>2063</v>
      </c>
      <c r="D469" s="5">
        <f>SUMIFS(Despesas!$F:$F,Despesas!$J:$J,"&lt;="&amp;$A469,Despesas!$L:$L,"&gt;="&amp;$A469,Despesas!$C:$C,D$1,Despesas!$M:$M,"Mensal")+SUMIFS(Despesas!$F:$F,Despesas!$J:$J,"&lt;="&amp;$A469,Despesas!$L:$L,"&gt;="&amp;$A469,Despesas!$C:$C,D$1,Despesas!$M:$M,$B469)</f>
        <v>23000</v>
      </c>
      <c r="E469" s="18">
        <f>SUMIFS(Despesas!$F:$F,Despesas!$J:$J,"&lt;="&amp;$A469,Despesas!$L:$L,"&gt;="&amp;$A469,Despesas!$C:$C,E$1,Despesas!$M:$M,"Mensal")+SUMIFS(Despesas!$F:$F,Despesas!$J:$J,"&lt;="&amp;$A469,Despesas!$L:$L,"&gt;="&amp;$A469,Despesas!$C:$C,E$1,Despesas!$M:$M,$B469)</f>
        <v>0</v>
      </c>
      <c r="F469" s="5">
        <f>SUMIFS(Despesas!$F:$F,Despesas!$J:$J,"&lt;="&amp;$A469,Despesas!$L:$L,"&gt;="&amp;$A469,Despesas!$C:$C,F$1,Despesas!$M:$M,"Mensal")+SUMIFS(Despesas!$F:$F,Despesas!$J:$J,"&lt;="&amp;$A469,Despesas!$L:$L,"&gt;="&amp;$A469,Despesas!$C:$C,F$1,Despesas!$M:$M,$B469)</f>
        <v>13000</v>
      </c>
      <c r="G469" s="5">
        <f ca="1">SUMIFS(Despesas!$F:$F,Despesas!$J:$J,"&lt;="&amp;$A469,Despesas!$L:$L,"&gt;="&amp;$A469,Despesas!$C:$C,G$1,Despesas!$M:$M,"Mensal")+SUMIFS(Despesas!$F:$F,Despesas!$J:$J,"&lt;="&amp;$A469,Despesas!$L:$L,"&gt;="&amp;$A469,Despesas!$C:$C,G$1,Despesas!$M:$M,$B469)</f>
        <v>55757</v>
      </c>
      <c r="H469" s="18">
        <f>SUMIFS(Despesas!$F:$F,Despesas!$J:$J,"&lt;="&amp;$A469,Despesas!$L:$L,"&gt;="&amp;$A469,Despesas!$C:$C,H$1,Despesas!$M:$M,"Mensal")+SUMIFS(Despesas!$F:$F,Despesas!$J:$J,"&lt;="&amp;$A469,Despesas!$L:$L,"&gt;="&amp;$A469,Despesas!$C:$C,H$1,Despesas!$M:$M,$B469)</f>
        <v>1000</v>
      </c>
      <c r="I469" s="18">
        <f>IF(Imóveis!$F$2="PRICE",IF(AND(Dados!$A469&gt;=Imóveis!$Q$2,Dados!$A469&lt;=Imóveis!$T$2),Imóveis!$U$2,0),IF((IF(AND(Dados!$A469&gt;=Imóveis!$Q$2,Dados!$A469&lt;=Imóveis!$T$2),Imóveis!$S$2-(DATEDIF(Imóveis!$Q$2,Dados!$A469,"m")),0))=0,0,((Imóveis!$N$2/Imóveis!$S$2)+((Imóveis!$N$2-((Imóveis!$S$2-(IF(AND(Dados!$A469&gt;=Imóveis!$Q$2,Dados!$A469&lt;=Imóveis!$T$2),Imóveis!$S$2-(DATEDIF(Imóveis!$Q$2,Dados!$A469,"m")),)))*(Imóveis!$N$2/Imóveis!$S$2)))*Imóveis!$P$2))))*IF(AND(Imóveis!$E$2&gt;0,Dados!$A469&gt;Imóveis!$E$2),0,1)</f>
        <v>0</v>
      </c>
      <c r="J469" s="18">
        <f>IF(Imóveis!$F$3="PRICE",IF(AND(Dados!$A469&gt;=Imóveis!$Q$3,Dados!$A469&lt;=Imóveis!$T$3),Imóveis!$U$3,0),IF((IF(AND(Dados!$A469&gt;=Imóveis!$Q$3,Dados!$A469&lt;=Imóveis!$T$3),Imóveis!$S$3-(DATEDIF(Imóveis!$Q$3,Dados!$A469,"m")),0))=0,0,((Imóveis!$N$3/Imóveis!$S$3)+((Imóveis!$N$3-((Imóveis!$S$3-(IF(AND(Dados!$A469&gt;=Imóveis!$Q$3,Dados!$A469&lt;=Imóveis!$T$3),Imóveis!$S$3-(DATEDIF(Imóveis!$Q$3,Dados!$A469,"m")),)))*(Imóveis!$N$3/Imóveis!$S$3)))*Imóveis!$P$3))))*IF(AND(Imóveis!$E$3&gt;0,Dados!$A469&gt;Imóveis!$E$3),0,1)</f>
        <v>0</v>
      </c>
      <c r="K469" s="18">
        <f>IF(Imóveis!$F$4="PRICE",IF(AND(Dados!$A469&gt;=Imóveis!$Q$4,Dados!$A469&lt;=Imóveis!$T$4),Imóveis!$U$4,0),IF((IF(AND(Dados!$A469&gt;=Imóveis!$Q$4,Dados!$A469&lt;=Imóveis!$T$4),Imóveis!$S$4-(DATEDIF(Imóveis!$Q$4,Dados!$A469,"m")),0))=0,0,((Imóveis!$N$4/Imóveis!$S$4)+((Imóveis!$N$4-((Imóveis!$S$4-(IF(AND(Dados!$A469&gt;=Imóveis!$Q$4,Dados!$A469&lt;=Imóveis!$T$4),Imóveis!$S$4-(DATEDIF(Imóveis!$Q$4,Dados!$A469,"m")),)))*(Imóveis!$N$4/Imóveis!$S$4)))*Imóveis!$P$4))))*IF(AND(Imóveis!$E$4&gt;0,Dados!$A469&gt;Imóveis!$E$4),0,1)</f>
        <v>0</v>
      </c>
      <c r="L469" s="18">
        <f>IF(Imóveis!$F$5="PRICE",IF(AND(Dados!$A469&gt;=Imóveis!$Q$5,Dados!$A469&lt;=Imóveis!$T$5),Imóveis!$U$5,0),IF((IF(AND(Dados!$A469&gt;=Imóveis!$Q$5,Dados!$A469&lt;=Imóveis!$T$5),Imóveis!$S$5-(DATEDIF(Imóveis!$Q$5,Dados!$A469,"m")),0))=0,0,((Imóveis!$N$5/Imóveis!$S$5)+((Imóveis!$N$5-((Imóveis!$S$5-(IF(AND(Dados!$A469 &gt;=Imóveis!$Q$5,Dados!$A469&lt;=Imóveis!$T$5),Imóveis!$S$5-(DATEDIF(Imóveis!$Q$5,Dados!$A469,"m")),)))*(Imóveis!$N$5/Imóveis!$S$5)))*Imóveis!$P$5))))*IF(AND(Imóveis!$E$5&gt;0,Dados!$A469&gt;Imóveis!$E$5),0,1)*Imóveis!$I$5</f>
        <v>0</v>
      </c>
      <c r="M469" s="18">
        <f>IF(Imóveis!$F$6="PRICE",IF(AND(Dados!$A469&gt;=Imóveis!$Q$6,Dados!$A469&lt;=Imóveis!$T$6),Imóveis!$U$6,0),IF((IF(AND(Dados!$A469&gt;=Imóveis!$Q$6,Dados!$A469&lt;=Imóveis!$T$6),Imóveis!$S$6-(DATEDIF(Imóveis!$Q$6,Dados!$A469,"m")),0))=0,0,((Imóveis!$N$6/Imóveis!$S$6)+((Imóveis!$N$6-((Imóveis!$S$6-(IF(AND(Dados!$A469&gt;=Imóveis!$Q$6,Dados!$A469&lt;=Imóveis!$T$6),Imóveis!$S$6-(DATEDIF(Imóveis!$Q$6,Dados!$A469,"m")),)))*(Imóveis!$N$6/Imóveis!$S$6)))*Imóveis!$P$6))))*IF(AND(Imóveis!$E$6&gt;0,Dados!$A469&gt;Imóveis!$E$6),0,1)*Imóveis!$I$6</f>
        <v>0</v>
      </c>
      <c r="N469" s="18">
        <f t="shared" ca="1" si="61"/>
        <v>92757</v>
      </c>
      <c r="O469" s="18">
        <f>SUMIFS(Receitas!$F:$F,Receitas!$J:$J,"&lt;="&amp;$A469,Receitas!$L:$L,"&gt;="&amp;$A469,Receitas!$C:$C,O$1,Receitas!$M:$M,"Mensal")+SUMIFS(Receitas!$F:$F,Receitas!$J:$J,"&lt;="&amp;$A469,Receitas!$L:$L,"&gt;="&amp;$A469,Receitas!$C:$C,O$1,Receitas!$M:$M,$B469)</f>
        <v>0</v>
      </c>
      <c r="P469" s="18">
        <f>SUMIFS(Receitas!$F:$F,Receitas!$J:$J,"&lt;="&amp;$A469,Receitas!$L:$L,"&gt;="&amp;$A469,Receitas!$C:$C,P$1,Receitas!$M:$M,"Mensal")+SUMIFS(Receitas!$F:$F,Receitas!$J:$J,"&lt;="&amp;$A469,Receitas!$L:$L,"&gt;="&amp;$A469,Receitas!$C:$C,P$1,Receitas!$M:$M,$B469)</f>
        <v>0</v>
      </c>
      <c r="Q469" s="18">
        <f>SUMIFS(Receitas!$F:$F,Receitas!$J:$J,"&lt;="&amp;$A469,Receitas!$L:$L,"&gt;="&amp;$A469,Receitas!$C:$C,Q$1,Receitas!$M:$M,"Mensal")+SUMIFS(Receitas!$F:$F,Receitas!$J:$J,"&lt;="&amp;$A469,Receitas!$L:$L,"&gt;="&amp;$A469,Receitas!$C:$C,Q$1,Receitas!$M:$M,$B469)</f>
        <v>0</v>
      </c>
      <c r="R469" s="18" cm="1">
        <f t="array" ref="R469">(IF(AND(Membros!$F$2="Sim",A469&lt;=MAX(Membros!$E$2:$E$5)),Membros!K$2,IF(AND(A469&gt;=Membros!J$2,A469&lt;=MAX(Membros!$E$2:$E$5)),Membros!K$2,0))+IF(AND(Membros!$F$3="Sim",A469&lt;=MAX(Membros!$E$2:$E$5)),Membros!K$3,IF(AND(A469&gt;=Membros!J$3,A469&lt;=MAX(Membros!$E$2:$E$5)),Membros!K$3,0)))*IF(AND(COUNTIFS(Tabela3[Tipo],"Provedor",Tabela3[Simulação Seguro],"Sim")=2,A469&gt;=MAX(IF(Tabela3[Tipo]="Dependente",Tabela3[Expectativa de Vida (Data)]))),0,1)</f>
        <v>10000</v>
      </c>
      <c r="S469" s="18">
        <f t="shared" si="62"/>
        <v>10000</v>
      </c>
      <c r="U469" s="18">
        <f t="shared" ca="1" si="65"/>
        <v>29739957.324544925</v>
      </c>
      <c r="V469" s="18">
        <f>SUMIF(Imóveis!E:E,Dados!A:A,Imóveis!Z:Z)-SUMIF(Imóveis!E:E,Dados!A:A,Imóveis!Y:Y)</f>
        <v>0</v>
      </c>
      <c r="W469" s="18">
        <f>-SUMIF(Projetos!N:N,A469,Projetos!F:F)</f>
        <v>0</v>
      </c>
      <c r="X469" s="18">
        <f t="shared" ca="1" si="59"/>
        <v>-82757</v>
      </c>
      <c r="Y469" s="26">
        <f ca="1">(U469*((Indicadores_Economicos!D$2+1)^(1/12)-1))</f>
        <v>97360.881414260715</v>
      </c>
      <c r="Z469" s="18">
        <f t="shared" ca="1" si="63"/>
        <v>29754561.205959186</v>
      </c>
      <c r="AA469" s="18">
        <f ca="1">Auxiliar_Projetos!E469</f>
        <v>1.7991874341464726E-9</v>
      </c>
      <c r="AB469" s="18">
        <f ca="1">Auxiliar_Projetos!K469</f>
        <v>1.3839903339588243E-9</v>
      </c>
      <c r="AC469" s="18">
        <f ca="1">IF(Z469-AA469-AB469&gt;Investimentos!$C$14,Investimentos!$C$14,IF(Z469-AA469-AB469&lt;Investimentos!$C$14,Z469-AA469-AB469,0))</f>
        <v>300000</v>
      </c>
      <c r="AD469" s="18">
        <f t="shared" ca="1" si="64"/>
        <v>29454561.205959186</v>
      </c>
      <c r="AE469" s="18"/>
    </row>
    <row r="470" spans="1:31" x14ac:dyDescent="0.2">
      <c r="A470" s="4">
        <v>59902</v>
      </c>
      <c r="B470" s="5" t="str">
        <f t="shared" si="60"/>
        <v>janeiro</v>
      </c>
      <c r="C470" s="5" t="str">
        <f t="shared" si="58"/>
        <v>2064</v>
      </c>
      <c r="D470" s="5">
        <f>SUMIFS(Despesas!$F:$F,Despesas!$J:$J,"&lt;="&amp;$A470,Despesas!$L:$L,"&gt;="&amp;$A470,Despesas!$C:$C,D$1,Despesas!$M:$M,"Mensal")+SUMIFS(Despesas!$F:$F,Despesas!$J:$J,"&lt;="&amp;$A470,Despesas!$L:$L,"&gt;="&amp;$A470,Despesas!$C:$C,D$1,Despesas!$M:$M,$B470)</f>
        <v>23000</v>
      </c>
      <c r="E470" s="18">
        <f>SUMIFS(Despesas!$F:$F,Despesas!$J:$J,"&lt;="&amp;$A470,Despesas!$L:$L,"&gt;="&amp;$A470,Despesas!$C:$C,E$1,Despesas!$M:$M,"Mensal")+SUMIFS(Despesas!$F:$F,Despesas!$J:$J,"&lt;="&amp;$A470,Despesas!$L:$L,"&gt;="&amp;$A470,Despesas!$C:$C,E$1,Despesas!$M:$M,$B470)</f>
        <v>0</v>
      </c>
      <c r="F470" s="5">
        <f>SUMIFS(Despesas!$F:$F,Despesas!$J:$J,"&lt;="&amp;$A470,Despesas!$L:$L,"&gt;="&amp;$A470,Despesas!$C:$C,F$1,Despesas!$M:$M,"Mensal")+SUMIFS(Despesas!$F:$F,Despesas!$J:$J,"&lt;="&amp;$A470,Despesas!$L:$L,"&gt;="&amp;$A470,Despesas!$C:$C,F$1,Despesas!$M:$M,$B470)</f>
        <v>13000</v>
      </c>
      <c r="G470" s="5">
        <f>SUMIFS(Despesas!$F:$F,Despesas!$J:$J,"&lt;="&amp;$A470,Despesas!$L:$L,"&gt;="&amp;$A470,Despesas!$C:$C,G$1,Despesas!$M:$M,"Mensal")+SUMIFS(Despesas!$F:$F,Despesas!$J:$J,"&lt;="&amp;$A470,Despesas!$L:$L,"&gt;="&amp;$A470,Despesas!$C:$C,G$1,Despesas!$M:$M,$B470)</f>
        <v>0</v>
      </c>
      <c r="H470" s="18">
        <f>SUMIFS(Despesas!$F:$F,Despesas!$J:$J,"&lt;="&amp;$A470,Despesas!$L:$L,"&gt;="&amp;$A470,Despesas!$C:$C,H$1,Despesas!$M:$M,"Mensal")+SUMIFS(Despesas!$F:$F,Despesas!$J:$J,"&lt;="&amp;$A470,Despesas!$L:$L,"&gt;="&amp;$A470,Despesas!$C:$C,H$1,Despesas!$M:$M,$B470)</f>
        <v>1000</v>
      </c>
      <c r="I470" s="18">
        <f>IF(Imóveis!$F$2="PRICE",IF(AND(Dados!$A470&gt;=Imóveis!$Q$2,Dados!$A470&lt;=Imóveis!$T$2),Imóveis!$U$2,0),IF((IF(AND(Dados!$A470&gt;=Imóveis!$Q$2,Dados!$A470&lt;=Imóveis!$T$2),Imóveis!$S$2-(DATEDIF(Imóveis!$Q$2,Dados!$A470,"m")),0))=0,0,((Imóveis!$N$2/Imóveis!$S$2)+((Imóveis!$N$2-((Imóveis!$S$2-(IF(AND(Dados!$A470&gt;=Imóveis!$Q$2,Dados!$A470&lt;=Imóveis!$T$2),Imóveis!$S$2-(DATEDIF(Imóveis!$Q$2,Dados!$A470,"m")),)))*(Imóveis!$N$2/Imóveis!$S$2)))*Imóveis!$P$2))))*IF(AND(Imóveis!$E$2&gt;0,Dados!$A470&gt;Imóveis!$E$2),0,1)</f>
        <v>0</v>
      </c>
      <c r="J470" s="18">
        <f>IF(Imóveis!$F$3="PRICE",IF(AND(Dados!$A470&gt;=Imóveis!$Q$3,Dados!$A470&lt;=Imóveis!$T$3),Imóveis!$U$3,0),IF((IF(AND(Dados!$A470&gt;=Imóveis!$Q$3,Dados!$A470&lt;=Imóveis!$T$3),Imóveis!$S$3-(DATEDIF(Imóveis!$Q$3,Dados!$A470,"m")),0))=0,0,((Imóveis!$N$3/Imóveis!$S$3)+((Imóveis!$N$3-((Imóveis!$S$3-(IF(AND(Dados!$A470&gt;=Imóveis!$Q$3,Dados!$A470&lt;=Imóveis!$T$3),Imóveis!$S$3-(DATEDIF(Imóveis!$Q$3,Dados!$A470,"m")),)))*(Imóveis!$N$3/Imóveis!$S$3)))*Imóveis!$P$3))))*IF(AND(Imóveis!$E$3&gt;0,Dados!$A470&gt;Imóveis!$E$3),0,1)</f>
        <v>0</v>
      </c>
      <c r="K470" s="18">
        <f>IF(Imóveis!$F$4="PRICE",IF(AND(Dados!$A470&gt;=Imóveis!$Q$4,Dados!$A470&lt;=Imóveis!$T$4),Imóveis!$U$4,0),IF((IF(AND(Dados!$A470&gt;=Imóveis!$Q$4,Dados!$A470&lt;=Imóveis!$T$4),Imóveis!$S$4-(DATEDIF(Imóveis!$Q$4,Dados!$A470,"m")),0))=0,0,((Imóveis!$N$4/Imóveis!$S$4)+((Imóveis!$N$4-((Imóveis!$S$4-(IF(AND(Dados!$A470&gt;=Imóveis!$Q$4,Dados!$A470&lt;=Imóveis!$T$4),Imóveis!$S$4-(DATEDIF(Imóveis!$Q$4,Dados!$A470,"m")),)))*(Imóveis!$N$4/Imóveis!$S$4)))*Imóveis!$P$4))))*IF(AND(Imóveis!$E$4&gt;0,Dados!$A470&gt;Imóveis!$E$4),0,1)</f>
        <v>0</v>
      </c>
      <c r="L470" s="18">
        <f>IF(Imóveis!$F$5="PRICE",IF(AND(Dados!$A470&gt;=Imóveis!$Q$5,Dados!$A470&lt;=Imóveis!$T$5),Imóveis!$U$5,0),IF((IF(AND(Dados!$A470&gt;=Imóveis!$Q$5,Dados!$A470&lt;=Imóveis!$T$5),Imóveis!$S$5-(DATEDIF(Imóveis!$Q$5,Dados!$A470,"m")),0))=0,0,((Imóveis!$N$5/Imóveis!$S$5)+((Imóveis!$N$5-((Imóveis!$S$5-(IF(AND(Dados!$A470 &gt;=Imóveis!$Q$5,Dados!$A470&lt;=Imóveis!$T$5),Imóveis!$S$5-(DATEDIF(Imóveis!$Q$5,Dados!$A470,"m")),)))*(Imóveis!$N$5/Imóveis!$S$5)))*Imóveis!$P$5))))*IF(AND(Imóveis!$E$5&gt;0,Dados!$A470&gt;Imóveis!$E$5),0,1)*Imóveis!$I$5</f>
        <v>0</v>
      </c>
      <c r="M470" s="18">
        <f>IF(Imóveis!$F$6="PRICE",IF(AND(Dados!$A470&gt;=Imóveis!$Q$6,Dados!$A470&lt;=Imóveis!$T$6),Imóveis!$U$6,0),IF((IF(AND(Dados!$A470&gt;=Imóveis!$Q$6,Dados!$A470&lt;=Imóveis!$T$6),Imóveis!$S$6-(DATEDIF(Imóveis!$Q$6,Dados!$A470,"m")),0))=0,0,((Imóveis!$N$6/Imóveis!$S$6)+((Imóveis!$N$6-((Imóveis!$S$6-(IF(AND(Dados!$A470&gt;=Imóveis!$Q$6,Dados!$A470&lt;=Imóveis!$T$6),Imóveis!$S$6-(DATEDIF(Imóveis!$Q$6,Dados!$A470,"m")),)))*(Imóveis!$N$6/Imóveis!$S$6)))*Imóveis!$P$6))))*IF(AND(Imóveis!$E$6&gt;0,Dados!$A470&gt;Imóveis!$E$6),0,1)*Imóveis!$I$6</f>
        <v>0</v>
      </c>
      <c r="N470" s="18">
        <f t="shared" si="61"/>
        <v>37000</v>
      </c>
      <c r="O470" s="18">
        <f>SUMIFS(Receitas!$F:$F,Receitas!$J:$J,"&lt;="&amp;$A470,Receitas!$L:$L,"&gt;="&amp;$A470,Receitas!$C:$C,O$1,Receitas!$M:$M,"Mensal")+SUMIFS(Receitas!$F:$F,Receitas!$J:$J,"&lt;="&amp;$A470,Receitas!$L:$L,"&gt;="&amp;$A470,Receitas!$C:$C,O$1,Receitas!$M:$M,$B470)</f>
        <v>0</v>
      </c>
      <c r="P470" s="18">
        <f>SUMIFS(Receitas!$F:$F,Receitas!$J:$J,"&lt;="&amp;$A470,Receitas!$L:$L,"&gt;="&amp;$A470,Receitas!$C:$C,P$1,Receitas!$M:$M,"Mensal")+SUMIFS(Receitas!$F:$F,Receitas!$J:$J,"&lt;="&amp;$A470,Receitas!$L:$L,"&gt;="&amp;$A470,Receitas!$C:$C,P$1,Receitas!$M:$M,$B470)</f>
        <v>0</v>
      </c>
      <c r="Q470" s="18">
        <f>SUMIFS(Receitas!$F:$F,Receitas!$J:$J,"&lt;="&amp;$A470,Receitas!$L:$L,"&gt;="&amp;$A470,Receitas!$C:$C,Q$1,Receitas!$M:$M,"Mensal")+SUMIFS(Receitas!$F:$F,Receitas!$J:$J,"&lt;="&amp;$A470,Receitas!$L:$L,"&gt;="&amp;$A470,Receitas!$C:$C,Q$1,Receitas!$M:$M,$B470)</f>
        <v>0</v>
      </c>
      <c r="R470" s="18" cm="1">
        <f t="array" ref="R470">(IF(AND(Membros!$F$2="Sim",A470&lt;=MAX(Membros!$E$2:$E$5)),Membros!K$2,IF(AND(A470&gt;=Membros!J$2,A470&lt;=MAX(Membros!$E$2:$E$5)),Membros!K$2,0))+IF(AND(Membros!$F$3="Sim",A470&lt;=MAX(Membros!$E$2:$E$5)),Membros!K$3,IF(AND(A470&gt;=Membros!J$3,A470&lt;=MAX(Membros!$E$2:$E$5)),Membros!K$3,0)))*IF(AND(COUNTIFS(Tabela3[Tipo],"Provedor",Tabela3[Simulação Seguro],"Sim")=2,A470&gt;=MAX(IF(Tabela3[Tipo]="Dependente",Tabela3[Expectativa de Vida (Data)]))),0,1)</f>
        <v>10000</v>
      </c>
      <c r="S470" s="18">
        <f t="shared" si="62"/>
        <v>10000</v>
      </c>
      <c r="U470" s="18">
        <f t="shared" ca="1" si="65"/>
        <v>29754561.205959186</v>
      </c>
      <c r="V470" s="18">
        <f>SUMIF(Imóveis!E:E,Dados!A:A,Imóveis!Z:Z)-SUMIF(Imóveis!E:E,Dados!A:A,Imóveis!Y:Y)</f>
        <v>0</v>
      </c>
      <c r="W470" s="18">
        <f>-SUMIF(Projetos!N:N,A470,Projetos!F:F)</f>
        <v>0</v>
      </c>
      <c r="X470" s="18">
        <f t="shared" si="59"/>
        <v>-27000</v>
      </c>
      <c r="Y470" s="26">
        <f ca="1">(U470*((Indicadores_Economicos!D$2+1)^(1/12)-1))</f>
        <v>97408.690721821098</v>
      </c>
      <c r="Z470" s="18">
        <f t="shared" ca="1" si="63"/>
        <v>29824969.896681007</v>
      </c>
      <c r="AA470" s="18">
        <f ca="1">Auxiliar_Projetos!E470</f>
        <v>1.8050775056252703E-9</v>
      </c>
      <c r="AB470" s="18">
        <f ca="1">Auxiliar_Projetos!K470</f>
        <v>1.388521158173284E-9</v>
      </c>
      <c r="AC470" s="18">
        <f ca="1">IF(Z470-AA470-AB470&gt;Investimentos!$C$14,Investimentos!$C$14,IF(Z470-AA470-AB470&lt;Investimentos!$C$14,Z470-AA470-AB470,0))</f>
        <v>300000</v>
      </c>
      <c r="AD470" s="18">
        <f t="shared" ca="1" si="64"/>
        <v>29524969.896681007</v>
      </c>
      <c r="AE470" s="18"/>
    </row>
    <row r="471" spans="1:31" x14ac:dyDescent="0.2">
      <c r="A471" s="4">
        <v>59933</v>
      </c>
      <c r="B471" s="5" t="str">
        <f t="shared" si="60"/>
        <v>fevereiro</v>
      </c>
      <c r="C471" s="5" t="str">
        <f t="shared" si="58"/>
        <v>2064</v>
      </c>
      <c r="D471" s="5">
        <f>SUMIFS(Despesas!$F:$F,Despesas!$J:$J,"&lt;="&amp;$A471,Despesas!$L:$L,"&gt;="&amp;$A471,Despesas!$C:$C,D$1,Despesas!$M:$M,"Mensal")+SUMIFS(Despesas!$F:$F,Despesas!$J:$J,"&lt;="&amp;$A471,Despesas!$L:$L,"&gt;="&amp;$A471,Despesas!$C:$C,D$1,Despesas!$M:$M,$B471)</f>
        <v>23000</v>
      </c>
      <c r="E471" s="18">
        <f>SUMIFS(Despesas!$F:$F,Despesas!$J:$J,"&lt;="&amp;$A471,Despesas!$L:$L,"&gt;="&amp;$A471,Despesas!$C:$C,E$1,Despesas!$M:$M,"Mensal")+SUMIFS(Despesas!$F:$F,Despesas!$J:$J,"&lt;="&amp;$A471,Despesas!$L:$L,"&gt;="&amp;$A471,Despesas!$C:$C,E$1,Despesas!$M:$M,$B471)</f>
        <v>0</v>
      </c>
      <c r="F471" s="5">
        <f>SUMIFS(Despesas!$F:$F,Despesas!$J:$J,"&lt;="&amp;$A471,Despesas!$L:$L,"&gt;="&amp;$A471,Despesas!$C:$C,F$1,Despesas!$M:$M,"Mensal")+SUMIFS(Despesas!$F:$F,Despesas!$J:$J,"&lt;="&amp;$A471,Despesas!$L:$L,"&gt;="&amp;$A471,Despesas!$C:$C,F$1,Despesas!$M:$M,$B471)</f>
        <v>13000</v>
      </c>
      <c r="G471" s="5">
        <f>SUMIFS(Despesas!$F:$F,Despesas!$J:$J,"&lt;="&amp;$A471,Despesas!$L:$L,"&gt;="&amp;$A471,Despesas!$C:$C,G$1,Despesas!$M:$M,"Mensal")+SUMIFS(Despesas!$F:$F,Despesas!$J:$J,"&lt;="&amp;$A471,Despesas!$L:$L,"&gt;="&amp;$A471,Despesas!$C:$C,G$1,Despesas!$M:$M,$B471)</f>
        <v>0</v>
      </c>
      <c r="H471" s="18">
        <f>SUMIFS(Despesas!$F:$F,Despesas!$J:$J,"&lt;="&amp;$A471,Despesas!$L:$L,"&gt;="&amp;$A471,Despesas!$C:$C,H$1,Despesas!$M:$M,"Mensal")+SUMIFS(Despesas!$F:$F,Despesas!$J:$J,"&lt;="&amp;$A471,Despesas!$L:$L,"&gt;="&amp;$A471,Despesas!$C:$C,H$1,Despesas!$M:$M,$B471)</f>
        <v>2200</v>
      </c>
      <c r="I471" s="18">
        <f>IF(Imóveis!$F$2="PRICE",IF(AND(Dados!$A471&gt;=Imóveis!$Q$2,Dados!$A471&lt;=Imóveis!$T$2),Imóveis!$U$2,0),IF((IF(AND(Dados!$A471&gt;=Imóveis!$Q$2,Dados!$A471&lt;=Imóveis!$T$2),Imóveis!$S$2-(DATEDIF(Imóveis!$Q$2,Dados!$A471,"m")),0))=0,0,((Imóveis!$N$2/Imóveis!$S$2)+((Imóveis!$N$2-((Imóveis!$S$2-(IF(AND(Dados!$A471&gt;=Imóveis!$Q$2,Dados!$A471&lt;=Imóveis!$T$2),Imóveis!$S$2-(DATEDIF(Imóveis!$Q$2,Dados!$A471,"m")),)))*(Imóveis!$N$2/Imóveis!$S$2)))*Imóveis!$P$2))))*IF(AND(Imóveis!$E$2&gt;0,Dados!$A471&gt;Imóveis!$E$2),0,1)</f>
        <v>0</v>
      </c>
      <c r="J471" s="18">
        <f>IF(Imóveis!$F$3="PRICE",IF(AND(Dados!$A471&gt;=Imóveis!$Q$3,Dados!$A471&lt;=Imóveis!$T$3),Imóveis!$U$3,0),IF((IF(AND(Dados!$A471&gt;=Imóveis!$Q$3,Dados!$A471&lt;=Imóveis!$T$3),Imóveis!$S$3-(DATEDIF(Imóveis!$Q$3,Dados!$A471,"m")),0))=0,0,((Imóveis!$N$3/Imóveis!$S$3)+((Imóveis!$N$3-((Imóveis!$S$3-(IF(AND(Dados!$A471&gt;=Imóveis!$Q$3,Dados!$A471&lt;=Imóveis!$T$3),Imóveis!$S$3-(DATEDIF(Imóveis!$Q$3,Dados!$A471,"m")),)))*(Imóveis!$N$3/Imóveis!$S$3)))*Imóveis!$P$3))))*IF(AND(Imóveis!$E$3&gt;0,Dados!$A471&gt;Imóveis!$E$3),0,1)</f>
        <v>0</v>
      </c>
      <c r="K471" s="18">
        <f>IF(Imóveis!$F$4="PRICE",IF(AND(Dados!$A471&gt;=Imóveis!$Q$4,Dados!$A471&lt;=Imóveis!$T$4),Imóveis!$U$4,0),IF((IF(AND(Dados!$A471&gt;=Imóveis!$Q$4,Dados!$A471&lt;=Imóveis!$T$4),Imóveis!$S$4-(DATEDIF(Imóveis!$Q$4,Dados!$A471,"m")),0))=0,0,((Imóveis!$N$4/Imóveis!$S$4)+((Imóveis!$N$4-((Imóveis!$S$4-(IF(AND(Dados!$A471&gt;=Imóveis!$Q$4,Dados!$A471&lt;=Imóveis!$T$4),Imóveis!$S$4-(DATEDIF(Imóveis!$Q$4,Dados!$A471,"m")),)))*(Imóveis!$N$4/Imóveis!$S$4)))*Imóveis!$P$4))))*IF(AND(Imóveis!$E$4&gt;0,Dados!$A471&gt;Imóveis!$E$4),0,1)</f>
        <v>0</v>
      </c>
      <c r="L471" s="18">
        <f>IF(Imóveis!$F$5="PRICE",IF(AND(Dados!$A471&gt;=Imóveis!$Q$5,Dados!$A471&lt;=Imóveis!$T$5),Imóveis!$U$5,0),IF((IF(AND(Dados!$A471&gt;=Imóveis!$Q$5,Dados!$A471&lt;=Imóveis!$T$5),Imóveis!$S$5-(DATEDIF(Imóveis!$Q$5,Dados!$A471,"m")),0))=0,0,((Imóveis!$N$5/Imóveis!$S$5)+((Imóveis!$N$5-((Imóveis!$S$5-(IF(AND(Dados!$A471 &gt;=Imóveis!$Q$5,Dados!$A471&lt;=Imóveis!$T$5),Imóveis!$S$5-(DATEDIF(Imóveis!$Q$5,Dados!$A471,"m")),)))*(Imóveis!$N$5/Imóveis!$S$5)))*Imóveis!$P$5))))*IF(AND(Imóveis!$E$5&gt;0,Dados!$A471&gt;Imóveis!$E$5),0,1)*Imóveis!$I$5</f>
        <v>0</v>
      </c>
      <c r="M471" s="18">
        <f>IF(Imóveis!$F$6="PRICE",IF(AND(Dados!$A471&gt;=Imóveis!$Q$6,Dados!$A471&lt;=Imóveis!$T$6),Imóveis!$U$6,0),IF((IF(AND(Dados!$A471&gt;=Imóveis!$Q$6,Dados!$A471&lt;=Imóveis!$T$6),Imóveis!$S$6-(DATEDIF(Imóveis!$Q$6,Dados!$A471,"m")),0))=0,0,((Imóveis!$N$6/Imóveis!$S$6)+((Imóveis!$N$6-((Imóveis!$S$6-(IF(AND(Dados!$A471&gt;=Imóveis!$Q$6,Dados!$A471&lt;=Imóveis!$T$6),Imóveis!$S$6-(DATEDIF(Imóveis!$Q$6,Dados!$A471,"m")),)))*(Imóveis!$N$6/Imóveis!$S$6)))*Imóveis!$P$6))))*IF(AND(Imóveis!$E$6&gt;0,Dados!$A471&gt;Imóveis!$E$6),0,1)*Imóveis!$I$6</f>
        <v>0</v>
      </c>
      <c r="N471" s="18">
        <f t="shared" si="61"/>
        <v>38200</v>
      </c>
      <c r="O471" s="18">
        <f>SUMIFS(Receitas!$F:$F,Receitas!$J:$J,"&lt;="&amp;$A471,Receitas!$L:$L,"&gt;="&amp;$A471,Receitas!$C:$C,O$1,Receitas!$M:$M,"Mensal")+SUMIFS(Receitas!$F:$F,Receitas!$J:$J,"&lt;="&amp;$A471,Receitas!$L:$L,"&gt;="&amp;$A471,Receitas!$C:$C,O$1,Receitas!$M:$M,$B471)</f>
        <v>0</v>
      </c>
      <c r="P471" s="18">
        <f>SUMIFS(Receitas!$F:$F,Receitas!$J:$J,"&lt;="&amp;$A471,Receitas!$L:$L,"&gt;="&amp;$A471,Receitas!$C:$C,P$1,Receitas!$M:$M,"Mensal")+SUMIFS(Receitas!$F:$F,Receitas!$J:$J,"&lt;="&amp;$A471,Receitas!$L:$L,"&gt;="&amp;$A471,Receitas!$C:$C,P$1,Receitas!$M:$M,$B471)</f>
        <v>0</v>
      </c>
      <c r="Q471" s="18">
        <f>SUMIFS(Receitas!$F:$F,Receitas!$J:$J,"&lt;="&amp;$A471,Receitas!$L:$L,"&gt;="&amp;$A471,Receitas!$C:$C,Q$1,Receitas!$M:$M,"Mensal")+SUMIFS(Receitas!$F:$F,Receitas!$J:$J,"&lt;="&amp;$A471,Receitas!$L:$L,"&gt;="&amp;$A471,Receitas!$C:$C,Q$1,Receitas!$M:$M,$B471)</f>
        <v>0</v>
      </c>
      <c r="R471" s="18" cm="1">
        <f t="array" ref="R471">(IF(AND(Membros!$F$2="Sim",A471&lt;=MAX(Membros!$E$2:$E$5)),Membros!K$2,IF(AND(A471&gt;=Membros!J$2,A471&lt;=MAX(Membros!$E$2:$E$5)),Membros!K$2,0))+IF(AND(Membros!$F$3="Sim",A471&lt;=MAX(Membros!$E$2:$E$5)),Membros!K$3,IF(AND(A471&gt;=Membros!J$3,A471&lt;=MAX(Membros!$E$2:$E$5)),Membros!K$3,0)))*IF(AND(COUNTIFS(Tabela3[Tipo],"Provedor",Tabela3[Simulação Seguro],"Sim")=2,A471&gt;=MAX(IF(Tabela3[Tipo]="Dependente",Tabela3[Expectativa de Vida (Data)]))),0,1)</f>
        <v>10000</v>
      </c>
      <c r="S471" s="18">
        <f t="shared" si="62"/>
        <v>10000</v>
      </c>
      <c r="U471" s="18">
        <f t="shared" ca="1" si="65"/>
        <v>29824969.896681007</v>
      </c>
      <c r="V471" s="18">
        <f>SUMIF(Imóveis!E:E,Dados!A:A,Imóveis!Z:Z)-SUMIF(Imóveis!E:E,Dados!A:A,Imóveis!Y:Y)</f>
        <v>0</v>
      </c>
      <c r="W471" s="18">
        <f>-SUMIF(Projetos!N:N,A471,Projetos!F:F)</f>
        <v>0</v>
      </c>
      <c r="X471" s="18">
        <f t="shared" si="59"/>
        <v>-28200</v>
      </c>
      <c r="Y471" s="26">
        <f ca="1">(U471*((Indicadores_Economicos!D$2+1)^(1/12)-1))</f>
        <v>97639.190453649659</v>
      </c>
      <c r="Z471" s="18">
        <f t="shared" ca="1" si="63"/>
        <v>29894409.087134656</v>
      </c>
      <c r="AA471" s="18">
        <f ca="1">Auxiliar_Projetos!E471</f>
        <v>1.8109868596653881E-9</v>
      </c>
      <c r="AB471" s="18">
        <f ca="1">Auxiliar_Projetos!K471</f>
        <v>1.3930668151272208E-9</v>
      </c>
      <c r="AC471" s="18">
        <f ca="1">IF(Z471-AA471-AB471&gt;Investimentos!$C$14,Investimentos!$C$14,IF(Z471-AA471-AB471&lt;Investimentos!$C$14,Z471-AA471-AB471,0))</f>
        <v>300000</v>
      </c>
      <c r="AD471" s="18">
        <f t="shared" ca="1" si="64"/>
        <v>29594409.087134656</v>
      </c>
      <c r="AE471" s="18"/>
    </row>
    <row r="472" spans="1:31" x14ac:dyDescent="0.2">
      <c r="A472" s="4">
        <v>59962</v>
      </c>
      <c r="B472" s="5" t="str">
        <f t="shared" si="60"/>
        <v>março</v>
      </c>
      <c r="C472" s="5" t="str">
        <f t="shared" ref="C472:C535" si="66">TEXT(A472,"AAAA")</f>
        <v>2064</v>
      </c>
      <c r="D472" s="5">
        <f>SUMIFS(Despesas!$F:$F,Despesas!$J:$J,"&lt;="&amp;$A472,Despesas!$L:$L,"&gt;="&amp;$A472,Despesas!$C:$C,D$1,Despesas!$M:$M,"Mensal")+SUMIFS(Despesas!$F:$F,Despesas!$J:$J,"&lt;="&amp;$A472,Despesas!$L:$L,"&gt;="&amp;$A472,Despesas!$C:$C,D$1,Despesas!$M:$M,$B472)</f>
        <v>23000</v>
      </c>
      <c r="E472" s="18">
        <f>SUMIFS(Despesas!$F:$F,Despesas!$J:$J,"&lt;="&amp;$A472,Despesas!$L:$L,"&gt;="&amp;$A472,Despesas!$C:$C,E$1,Despesas!$M:$M,"Mensal")+SUMIFS(Despesas!$F:$F,Despesas!$J:$J,"&lt;="&amp;$A472,Despesas!$L:$L,"&gt;="&amp;$A472,Despesas!$C:$C,E$1,Despesas!$M:$M,$B472)</f>
        <v>0</v>
      </c>
      <c r="F472" s="5">
        <f>SUMIFS(Despesas!$F:$F,Despesas!$J:$J,"&lt;="&amp;$A472,Despesas!$L:$L,"&gt;="&amp;$A472,Despesas!$C:$C,F$1,Despesas!$M:$M,"Mensal")+SUMIFS(Despesas!$F:$F,Despesas!$J:$J,"&lt;="&amp;$A472,Despesas!$L:$L,"&gt;="&amp;$A472,Despesas!$C:$C,F$1,Despesas!$M:$M,$B472)</f>
        <v>13000</v>
      </c>
      <c r="G472" s="5">
        <f>SUMIFS(Despesas!$F:$F,Despesas!$J:$J,"&lt;="&amp;$A472,Despesas!$L:$L,"&gt;="&amp;$A472,Despesas!$C:$C,G$1,Despesas!$M:$M,"Mensal")+SUMIFS(Despesas!$F:$F,Despesas!$J:$J,"&lt;="&amp;$A472,Despesas!$L:$L,"&gt;="&amp;$A472,Despesas!$C:$C,G$1,Despesas!$M:$M,$B472)</f>
        <v>0</v>
      </c>
      <c r="H472" s="18">
        <f>SUMIFS(Despesas!$F:$F,Despesas!$J:$J,"&lt;="&amp;$A472,Despesas!$L:$L,"&gt;="&amp;$A472,Despesas!$C:$C,H$1,Despesas!$M:$M,"Mensal")+SUMIFS(Despesas!$F:$F,Despesas!$J:$J,"&lt;="&amp;$A472,Despesas!$L:$L,"&gt;="&amp;$A472,Despesas!$C:$C,H$1,Despesas!$M:$M,$B472)</f>
        <v>1000</v>
      </c>
      <c r="I472" s="18">
        <f>IF(Imóveis!$F$2="PRICE",IF(AND(Dados!$A472&gt;=Imóveis!$Q$2,Dados!$A472&lt;=Imóveis!$T$2),Imóveis!$U$2,0),IF((IF(AND(Dados!$A472&gt;=Imóveis!$Q$2,Dados!$A472&lt;=Imóveis!$T$2),Imóveis!$S$2-(DATEDIF(Imóveis!$Q$2,Dados!$A472,"m")),0))=0,0,((Imóveis!$N$2/Imóveis!$S$2)+((Imóveis!$N$2-((Imóveis!$S$2-(IF(AND(Dados!$A472&gt;=Imóveis!$Q$2,Dados!$A472&lt;=Imóveis!$T$2),Imóveis!$S$2-(DATEDIF(Imóveis!$Q$2,Dados!$A472,"m")),)))*(Imóveis!$N$2/Imóveis!$S$2)))*Imóveis!$P$2))))*IF(AND(Imóveis!$E$2&gt;0,Dados!$A472&gt;Imóveis!$E$2),0,1)</f>
        <v>0</v>
      </c>
      <c r="J472" s="18">
        <f>IF(Imóveis!$F$3="PRICE",IF(AND(Dados!$A472&gt;=Imóveis!$Q$3,Dados!$A472&lt;=Imóveis!$T$3),Imóveis!$U$3,0),IF((IF(AND(Dados!$A472&gt;=Imóveis!$Q$3,Dados!$A472&lt;=Imóveis!$T$3),Imóveis!$S$3-(DATEDIF(Imóveis!$Q$3,Dados!$A472,"m")),0))=0,0,((Imóveis!$N$3/Imóveis!$S$3)+((Imóveis!$N$3-((Imóveis!$S$3-(IF(AND(Dados!$A472&gt;=Imóveis!$Q$3,Dados!$A472&lt;=Imóveis!$T$3),Imóveis!$S$3-(DATEDIF(Imóveis!$Q$3,Dados!$A472,"m")),)))*(Imóveis!$N$3/Imóveis!$S$3)))*Imóveis!$P$3))))*IF(AND(Imóveis!$E$3&gt;0,Dados!$A472&gt;Imóveis!$E$3),0,1)</f>
        <v>0</v>
      </c>
      <c r="K472" s="18">
        <f>IF(Imóveis!$F$4="PRICE",IF(AND(Dados!$A472&gt;=Imóveis!$Q$4,Dados!$A472&lt;=Imóveis!$T$4),Imóveis!$U$4,0),IF((IF(AND(Dados!$A472&gt;=Imóveis!$Q$4,Dados!$A472&lt;=Imóveis!$T$4),Imóveis!$S$4-(DATEDIF(Imóveis!$Q$4,Dados!$A472,"m")),0))=0,0,((Imóveis!$N$4/Imóveis!$S$4)+((Imóveis!$N$4-((Imóveis!$S$4-(IF(AND(Dados!$A472&gt;=Imóveis!$Q$4,Dados!$A472&lt;=Imóveis!$T$4),Imóveis!$S$4-(DATEDIF(Imóveis!$Q$4,Dados!$A472,"m")),)))*(Imóveis!$N$4/Imóveis!$S$4)))*Imóveis!$P$4))))*IF(AND(Imóveis!$E$4&gt;0,Dados!$A472&gt;Imóveis!$E$4),0,1)</f>
        <v>0</v>
      </c>
      <c r="L472" s="18">
        <f>IF(Imóveis!$F$5="PRICE",IF(AND(Dados!$A472&gt;=Imóveis!$Q$5,Dados!$A472&lt;=Imóveis!$T$5),Imóveis!$U$5,0),IF((IF(AND(Dados!$A472&gt;=Imóveis!$Q$5,Dados!$A472&lt;=Imóveis!$T$5),Imóveis!$S$5-(DATEDIF(Imóveis!$Q$5,Dados!$A472,"m")),0))=0,0,((Imóveis!$N$5/Imóveis!$S$5)+((Imóveis!$N$5-((Imóveis!$S$5-(IF(AND(Dados!$A472 &gt;=Imóveis!$Q$5,Dados!$A472&lt;=Imóveis!$T$5),Imóveis!$S$5-(DATEDIF(Imóveis!$Q$5,Dados!$A472,"m")),)))*(Imóveis!$N$5/Imóveis!$S$5)))*Imóveis!$P$5))))*IF(AND(Imóveis!$E$5&gt;0,Dados!$A472&gt;Imóveis!$E$5),0,1)*Imóveis!$I$5</f>
        <v>0</v>
      </c>
      <c r="M472" s="18">
        <f>IF(Imóveis!$F$6="PRICE",IF(AND(Dados!$A472&gt;=Imóveis!$Q$6,Dados!$A472&lt;=Imóveis!$T$6),Imóveis!$U$6,0),IF((IF(AND(Dados!$A472&gt;=Imóveis!$Q$6,Dados!$A472&lt;=Imóveis!$T$6),Imóveis!$S$6-(DATEDIF(Imóveis!$Q$6,Dados!$A472,"m")),0))=0,0,((Imóveis!$N$6/Imóveis!$S$6)+((Imóveis!$N$6-((Imóveis!$S$6-(IF(AND(Dados!$A472&gt;=Imóveis!$Q$6,Dados!$A472&lt;=Imóveis!$T$6),Imóveis!$S$6-(DATEDIF(Imóveis!$Q$6,Dados!$A472,"m")),)))*(Imóveis!$N$6/Imóveis!$S$6)))*Imóveis!$P$6))))*IF(AND(Imóveis!$E$6&gt;0,Dados!$A472&gt;Imóveis!$E$6),0,1)*Imóveis!$I$6</f>
        <v>0</v>
      </c>
      <c r="N472" s="18">
        <f t="shared" si="61"/>
        <v>37000</v>
      </c>
      <c r="O472" s="18">
        <f>SUMIFS(Receitas!$F:$F,Receitas!$J:$J,"&lt;="&amp;$A472,Receitas!$L:$L,"&gt;="&amp;$A472,Receitas!$C:$C,O$1,Receitas!$M:$M,"Mensal")+SUMIFS(Receitas!$F:$F,Receitas!$J:$J,"&lt;="&amp;$A472,Receitas!$L:$L,"&gt;="&amp;$A472,Receitas!$C:$C,O$1,Receitas!$M:$M,$B472)</f>
        <v>0</v>
      </c>
      <c r="P472" s="18">
        <f>SUMIFS(Receitas!$F:$F,Receitas!$J:$J,"&lt;="&amp;$A472,Receitas!$L:$L,"&gt;="&amp;$A472,Receitas!$C:$C,P$1,Receitas!$M:$M,"Mensal")+SUMIFS(Receitas!$F:$F,Receitas!$J:$J,"&lt;="&amp;$A472,Receitas!$L:$L,"&gt;="&amp;$A472,Receitas!$C:$C,P$1,Receitas!$M:$M,$B472)</f>
        <v>0</v>
      </c>
      <c r="Q472" s="18">
        <f>SUMIFS(Receitas!$F:$F,Receitas!$J:$J,"&lt;="&amp;$A472,Receitas!$L:$L,"&gt;="&amp;$A472,Receitas!$C:$C,Q$1,Receitas!$M:$M,"Mensal")+SUMIFS(Receitas!$F:$F,Receitas!$J:$J,"&lt;="&amp;$A472,Receitas!$L:$L,"&gt;="&amp;$A472,Receitas!$C:$C,Q$1,Receitas!$M:$M,$B472)</f>
        <v>0</v>
      </c>
      <c r="R472" s="18" cm="1">
        <f t="array" ref="R472">(IF(AND(Membros!$F$2="Sim",A472&lt;=MAX(Membros!$E$2:$E$5)),Membros!K$2,IF(AND(A472&gt;=Membros!J$2,A472&lt;=MAX(Membros!$E$2:$E$5)),Membros!K$2,0))+IF(AND(Membros!$F$3="Sim",A472&lt;=MAX(Membros!$E$2:$E$5)),Membros!K$3,IF(AND(A472&gt;=Membros!J$3,A472&lt;=MAX(Membros!$E$2:$E$5)),Membros!K$3,0)))*IF(AND(COUNTIFS(Tabela3[Tipo],"Provedor",Tabela3[Simulação Seguro],"Sim")=2,A472&gt;=MAX(IF(Tabela3[Tipo]="Dependente",Tabela3[Expectativa de Vida (Data)]))),0,1)</f>
        <v>10000</v>
      </c>
      <c r="S472" s="18">
        <f t="shared" si="62"/>
        <v>10000</v>
      </c>
      <c r="U472" s="18">
        <f t="shared" ca="1" si="65"/>
        <v>29894409.087134656</v>
      </c>
      <c r="V472" s="18">
        <f>SUMIF(Imóveis!E:E,Dados!A:A,Imóveis!Z:Z)-SUMIF(Imóveis!E:E,Dados!A:A,Imóveis!Y:Y)</f>
        <v>0</v>
      </c>
      <c r="W472" s="18">
        <f>-SUMIF(Projetos!N:N,A472,Projetos!F:F)</f>
        <v>0</v>
      </c>
      <c r="X472" s="18">
        <f t="shared" si="59"/>
        <v>-27000</v>
      </c>
      <c r="Y472" s="26">
        <f ca="1">(U472*((Indicadores_Economicos!D$2+1)^(1/12)-1))</f>
        <v>97866.516293881461</v>
      </c>
      <c r="Z472" s="18">
        <f t="shared" ca="1" si="63"/>
        <v>29965275.603428535</v>
      </c>
      <c r="AA472" s="18">
        <f ca="1">Auxiliar_Projetos!E472</f>
        <v>1.8169155593929142E-9</v>
      </c>
      <c r="AB472" s="18">
        <f ca="1">Auxiliar_Projetos!K472</f>
        <v>1.397627353379164E-9</v>
      </c>
      <c r="AC472" s="18">
        <f ca="1">IF(Z472-AA472-AB472&gt;Investimentos!$C$14,Investimentos!$C$14,IF(Z472-AA472-AB472&lt;Investimentos!$C$14,Z472-AA472-AB472,0))</f>
        <v>300000</v>
      </c>
      <c r="AD472" s="18">
        <f t="shared" ca="1" si="64"/>
        <v>29665275.603428535</v>
      </c>
      <c r="AE472" s="18"/>
    </row>
    <row r="473" spans="1:31" x14ac:dyDescent="0.2">
      <c r="A473" s="4">
        <v>59993</v>
      </c>
      <c r="B473" s="5" t="str">
        <f t="shared" si="60"/>
        <v>abril</v>
      </c>
      <c r="C473" s="5" t="str">
        <f t="shared" si="66"/>
        <v>2064</v>
      </c>
      <c r="D473" s="5">
        <f>SUMIFS(Despesas!$F:$F,Despesas!$J:$J,"&lt;="&amp;$A473,Despesas!$L:$L,"&gt;="&amp;$A473,Despesas!$C:$C,D$1,Despesas!$M:$M,"Mensal")+SUMIFS(Despesas!$F:$F,Despesas!$J:$J,"&lt;="&amp;$A473,Despesas!$L:$L,"&gt;="&amp;$A473,Despesas!$C:$C,D$1,Despesas!$M:$M,$B473)</f>
        <v>23000</v>
      </c>
      <c r="E473" s="18">
        <f>SUMIFS(Despesas!$F:$F,Despesas!$J:$J,"&lt;="&amp;$A473,Despesas!$L:$L,"&gt;="&amp;$A473,Despesas!$C:$C,E$1,Despesas!$M:$M,"Mensal")+SUMIFS(Despesas!$F:$F,Despesas!$J:$J,"&lt;="&amp;$A473,Despesas!$L:$L,"&gt;="&amp;$A473,Despesas!$C:$C,E$1,Despesas!$M:$M,$B473)</f>
        <v>0</v>
      </c>
      <c r="F473" s="5">
        <f>SUMIFS(Despesas!$F:$F,Despesas!$J:$J,"&lt;="&amp;$A473,Despesas!$L:$L,"&gt;="&amp;$A473,Despesas!$C:$C,F$1,Despesas!$M:$M,"Mensal")+SUMIFS(Despesas!$F:$F,Despesas!$J:$J,"&lt;="&amp;$A473,Despesas!$L:$L,"&gt;="&amp;$A473,Despesas!$C:$C,F$1,Despesas!$M:$M,$B473)</f>
        <v>13000</v>
      </c>
      <c r="G473" s="5">
        <f>SUMIFS(Despesas!$F:$F,Despesas!$J:$J,"&lt;="&amp;$A473,Despesas!$L:$L,"&gt;="&amp;$A473,Despesas!$C:$C,G$1,Despesas!$M:$M,"Mensal")+SUMIFS(Despesas!$F:$F,Despesas!$J:$J,"&lt;="&amp;$A473,Despesas!$L:$L,"&gt;="&amp;$A473,Despesas!$C:$C,G$1,Despesas!$M:$M,$B473)</f>
        <v>0</v>
      </c>
      <c r="H473" s="18">
        <f>SUMIFS(Despesas!$F:$F,Despesas!$J:$J,"&lt;="&amp;$A473,Despesas!$L:$L,"&gt;="&amp;$A473,Despesas!$C:$C,H$1,Despesas!$M:$M,"Mensal")+SUMIFS(Despesas!$F:$F,Despesas!$J:$J,"&lt;="&amp;$A473,Despesas!$L:$L,"&gt;="&amp;$A473,Despesas!$C:$C,H$1,Despesas!$M:$M,$B473)</f>
        <v>1000</v>
      </c>
      <c r="I473" s="18">
        <f>IF(Imóveis!$F$2="PRICE",IF(AND(Dados!$A473&gt;=Imóveis!$Q$2,Dados!$A473&lt;=Imóveis!$T$2),Imóveis!$U$2,0),IF((IF(AND(Dados!$A473&gt;=Imóveis!$Q$2,Dados!$A473&lt;=Imóveis!$T$2),Imóveis!$S$2-(DATEDIF(Imóveis!$Q$2,Dados!$A473,"m")),0))=0,0,((Imóveis!$N$2/Imóveis!$S$2)+((Imóveis!$N$2-((Imóveis!$S$2-(IF(AND(Dados!$A473&gt;=Imóveis!$Q$2,Dados!$A473&lt;=Imóveis!$T$2),Imóveis!$S$2-(DATEDIF(Imóveis!$Q$2,Dados!$A473,"m")),)))*(Imóveis!$N$2/Imóveis!$S$2)))*Imóveis!$P$2))))*IF(AND(Imóveis!$E$2&gt;0,Dados!$A473&gt;Imóveis!$E$2),0,1)</f>
        <v>0</v>
      </c>
      <c r="J473" s="18">
        <f>IF(Imóveis!$F$3="PRICE",IF(AND(Dados!$A473&gt;=Imóveis!$Q$3,Dados!$A473&lt;=Imóveis!$T$3),Imóveis!$U$3,0),IF((IF(AND(Dados!$A473&gt;=Imóveis!$Q$3,Dados!$A473&lt;=Imóveis!$T$3),Imóveis!$S$3-(DATEDIF(Imóveis!$Q$3,Dados!$A473,"m")),0))=0,0,((Imóveis!$N$3/Imóveis!$S$3)+((Imóveis!$N$3-((Imóveis!$S$3-(IF(AND(Dados!$A473&gt;=Imóveis!$Q$3,Dados!$A473&lt;=Imóveis!$T$3),Imóveis!$S$3-(DATEDIF(Imóveis!$Q$3,Dados!$A473,"m")),)))*(Imóveis!$N$3/Imóveis!$S$3)))*Imóveis!$P$3))))*IF(AND(Imóveis!$E$3&gt;0,Dados!$A473&gt;Imóveis!$E$3),0,1)</f>
        <v>0</v>
      </c>
      <c r="K473" s="18">
        <f>IF(Imóveis!$F$4="PRICE",IF(AND(Dados!$A473&gt;=Imóveis!$Q$4,Dados!$A473&lt;=Imóveis!$T$4),Imóveis!$U$4,0),IF((IF(AND(Dados!$A473&gt;=Imóveis!$Q$4,Dados!$A473&lt;=Imóveis!$T$4),Imóveis!$S$4-(DATEDIF(Imóveis!$Q$4,Dados!$A473,"m")),0))=0,0,((Imóveis!$N$4/Imóveis!$S$4)+((Imóveis!$N$4-((Imóveis!$S$4-(IF(AND(Dados!$A473&gt;=Imóveis!$Q$4,Dados!$A473&lt;=Imóveis!$T$4),Imóveis!$S$4-(DATEDIF(Imóveis!$Q$4,Dados!$A473,"m")),)))*(Imóveis!$N$4/Imóveis!$S$4)))*Imóveis!$P$4))))*IF(AND(Imóveis!$E$4&gt;0,Dados!$A473&gt;Imóveis!$E$4),0,1)</f>
        <v>0</v>
      </c>
      <c r="L473" s="18">
        <f>IF(Imóveis!$F$5="PRICE",IF(AND(Dados!$A473&gt;=Imóveis!$Q$5,Dados!$A473&lt;=Imóveis!$T$5),Imóveis!$U$5,0),IF((IF(AND(Dados!$A473&gt;=Imóveis!$Q$5,Dados!$A473&lt;=Imóveis!$T$5),Imóveis!$S$5-(DATEDIF(Imóveis!$Q$5,Dados!$A473,"m")),0))=0,0,((Imóveis!$N$5/Imóveis!$S$5)+((Imóveis!$N$5-((Imóveis!$S$5-(IF(AND(Dados!$A473 &gt;=Imóveis!$Q$5,Dados!$A473&lt;=Imóveis!$T$5),Imóveis!$S$5-(DATEDIF(Imóveis!$Q$5,Dados!$A473,"m")),)))*(Imóveis!$N$5/Imóveis!$S$5)))*Imóveis!$P$5))))*IF(AND(Imóveis!$E$5&gt;0,Dados!$A473&gt;Imóveis!$E$5),0,1)*Imóveis!$I$5</f>
        <v>0</v>
      </c>
      <c r="M473" s="18">
        <f>IF(Imóveis!$F$6="PRICE",IF(AND(Dados!$A473&gt;=Imóveis!$Q$6,Dados!$A473&lt;=Imóveis!$T$6),Imóveis!$U$6,0),IF((IF(AND(Dados!$A473&gt;=Imóveis!$Q$6,Dados!$A473&lt;=Imóveis!$T$6),Imóveis!$S$6-(DATEDIF(Imóveis!$Q$6,Dados!$A473,"m")),0))=0,0,((Imóveis!$N$6/Imóveis!$S$6)+((Imóveis!$N$6-((Imóveis!$S$6-(IF(AND(Dados!$A473&gt;=Imóveis!$Q$6,Dados!$A473&lt;=Imóveis!$T$6),Imóveis!$S$6-(DATEDIF(Imóveis!$Q$6,Dados!$A473,"m")),)))*(Imóveis!$N$6/Imóveis!$S$6)))*Imóveis!$P$6))))*IF(AND(Imóveis!$E$6&gt;0,Dados!$A473&gt;Imóveis!$E$6),0,1)*Imóveis!$I$6</f>
        <v>0</v>
      </c>
      <c r="N473" s="18">
        <f t="shared" si="61"/>
        <v>37000</v>
      </c>
      <c r="O473" s="18">
        <f>SUMIFS(Receitas!$F:$F,Receitas!$J:$J,"&lt;="&amp;$A473,Receitas!$L:$L,"&gt;="&amp;$A473,Receitas!$C:$C,O$1,Receitas!$M:$M,"Mensal")+SUMIFS(Receitas!$F:$F,Receitas!$J:$J,"&lt;="&amp;$A473,Receitas!$L:$L,"&gt;="&amp;$A473,Receitas!$C:$C,O$1,Receitas!$M:$M,$B473)</f>
        <v>0</v>
      </c>
      <c r="P473" s="18">
        <f>SUMIFS(Receitas!$F:$F,Receitas!$J:$J,"&lt;="&amp;$A473,Receitas!$L:$L,"&gt;="&amp;$A473,Receitas!$C:$C,P$1,Receitas!$M:$M,"Mensal")+SUMIFS(Receitas!$F:$F,Receitas!$J:$J,"&lt;="&amp;$A473,Receitas!$L:$L,"&gt;="&amp;$A473,Receitas!$C:$C,P$1,Receitas!$M:$M,$B473)</f>
        <v>0</v>
      </c>
      <c r="Q473" s="18">
        <f>SUMIFS(Receitas!$F:$F,Receitas!$J:$J,"&lt;="&amp;$A473,Receitas!$L:$L,"&gt;="&amp;$A473,Receitas!$C:$C,Q$1,Receitas!$M:$M,"Mensal")+SUMIFS(Receitas!$F:$F,Receitas!$J:$J,"&lt;="&amp;$A473,Receitas!$L:$L,"&gt;="&amp;$A473,Receitas!$C:$C,Q$1,Receitas!$M:$M,$B473)</f>
        <v>0</v>
      </c>
      <c r="R473" s="18" cm="1">
        <f t="array" ref="R473">(IF(AND(Membros!$F$2="Sim",A473&lt;=MAX(Membros!$E$2:$E$5)),Membros!K$2,IF(AND(A473&gt;=Membros!J$2,A473&lt;=MAX(Membros!$E$2:$E$5)),Membros!K$2,0))+IF(AND(Membros!$F$3="Sim",A473&lt;=MAX(Membros!$E$2:$E$5)),Membros!K$3,IF(AND(A473&gt;=Membros!J$3,A473&lt;=MAX(Membros!$E$2:$E$5)),Membros!K$3,0)))*IF(AND(COUNTIFS(Tabela3[Tipo],"Provedor",Tabela3[Simulação Seguro],"Sim")=2,A473&gt;=MAX(IF(Tabela3[Tipo]="Dependente",Tabela3[Expectativa de Vida (Data)]))),0,1)</f>
        <v>10000</v>
      </c>
      <c r="S473" s="18">
        <f t="shared" si="62"/>
        <v>10000</v>
      </c>
      <c r="U473" s="18">
        <f t="shared" ca="1" si="65"/>
        <v>29965275.603428535</v>
      </c>
      <c r="V473" s="18">
        <f>SUMIF(Imóveis!E:E,Dados!A:A,Imóveis!Z:Z)-SUMIF(Imóveis!E:E,Dados!A:A,Imóveis!Y:Y)</f>
        <v>0</v>
      </c>
      <c r="W473" s="18">
        <f>-SUMIF(Projetos!N:N,A473,Projetos!F:F)</f>
        <v>0</v>
      </c>
      <c r="X473" s="18">
        <f t="shared" si="59"/>
        <v>-27000</v>
      </c>
      <c r="Y473" s="26">
        <f ca="1">(U473*((Indicadores_Economicos!D$2+1)^(1/12)-1))</f>
        <v>98098.514827498584</v>
      </c>
      <c r="Z473" s="18">
        <f t="shared" ca="1" si="63"/>
        <v>30036374.118256032</v>
      </c>
      <c r="AA473" s="18">
        <f ca="1">Auxiliar_Projetos!E473</f>
        <v>1.822863668140595E-9</v>
      </c>
      <c r="AB473" s="18">
        <f ca="1">Auxiliar_Projetos!K473</f>
        <v>1.4022028216466107E-9</v>
      </c>
      <c r="AC473" s="18">
        <f ca="1">IF(Z473-AA473-AB473&gt;Investimentos!$C$14,Investimentos!$C$14,IF(Z473-AA473-AB473&lt;Investimentos!$C$14,Z473-AA473-AB473,0))</f>
        <v>300000</v>
      </c>
      <c r="AD473" s="18">
        <f t="shared" ca="1" si="64"/>
        <v>29736374.118256032</v>
      </c>
      <c r="AE473" s="18"/>
    </row>
    <row r="474" spans="1:31" x14ac:dyDescent="0.2">
      <c r="A474" s="4">
        <v>60023</v>
      </c>
      <c r="B474" s="5" t="str">
        <f t="shared" si="60"/>
        <v>maio</v>
      </c>
      <c r="C474" s="5" t="str">
        <f t="shared" si="66"/>
        <v>2064</v>
      </c>
      <c r="D474" s="5">
        <f>SUMIFS(Despesas!$F:$F,Despesas!$J:$J,"&lt;="&amp;$A474,Despesas!$L:$L,"&gt;="&amp;$A474,Despesas!$C:$C,D$1,Despesas!$M:$M,"Mensal")+SUMIFS(Despesas!$F:$F,Despesas!$J:$J,"&lt;="&amp;$A474,Despesas!$L:$L,"&gt;="&amp;$A474,Despesas!$C:$C,D$1,Despesas!$M:$M,$B474)</f>
        <v>23000</v>
      </c>
      <c r="E474" s="18">
        <f>SUMIFS(Despesas!$F:$F,Despesas!$J:$J,"&lt;="&amp;$A474,Despesas!$L:$L,"&gt;="&amp;$A474,Despesas!$C:$C,E$1,Despesas!$M:$M,"Mensal")+SUMIFS(Despesas!$F:$F,Despesas!$J:$J,"&lt;="&amp;$A474,Despesas!$L:$L,"&gt;="&amp;$A474,Despesas!$C:$C,E$1,Despesas!$M:$M,$B474)</f>
        <v>0</v>
      </c>
      <c r="F474" s="5">
        <f>SUMIFS(Despesas!$F:$F,Despesas!$J:$J,"&lt;="&amp;$A474,Despesas!$L:$L,"&gt;="&amp;$A474,Despesas!$C:$C,F$1,Despesas!$M:$M,"Mensal")+SUMIFS(Despesas!$F:$F,Despesas!$J:$J,"&lt;="&amp;$A474,Despesas!$L:$L,"&gt;="&amp;$A474,Despesas!$C:$C,F$1,Despesas!$M:$M,$B474)</f>
        <v>13000</v>
      </c>
      <c r="G474" s="5">
        <f>SUMIFS(Despesas!$F:$F,Despesas!$J:$J,"&lt;="&amp;$A474,Despesas!$L:$L,"&gt;="&amp;$A474,Despesas!$C:$C,G$1,Despesas!$M:$M,"Mensal")+SUMIFS(Despesas!$F:$F,Despesas!$J:$J,"&lt;="&amp;$A474,Despesas!$L:$L,"&gt;="&amp;$A474,Despesas!$C:$C,G$1,Despesas!$M:$M,$B474)</f>
        <v>0</v>
      </c>
      <c r="H474" s="18">
        <f>SUMIFS(Despesas!$F:$F,Despesas!$J:$J,"&lt;="&amp;$A474,Despesas!$L:$L,"&gt;="&amp;$A474,Despesas!$C:$C,H$1,Despesas!$M:$M,"Mensal")+SUMIFS(Despesas!$F:$F,Despesas!$J:$J,"&lt;="&amp;$A474,Despesas!$L:$L,"&gt;="&amp;$A474,Despesas!$C:$C,H$1,Despesas!$M:$M,$B474)</f>
        <v>1000</v>
      </c>
      <c r="I474" s="18">
        <f>IF(Imóveis!$F$2="PRICE",IF(AND(Dados!$A474&gt;=Imóveis!$Q$2,Dados!$A474&lt;=Imóveis!$T$2),Imóveis!$U$2,0),IF((IF(AND(Dados!$A474&gt;=Imóveis!$Q$2,Dados!$A474&lt;=Imóveis!$T$2),Imóveis!$S$2-(DATEDIF(Imóveis!$Q$2,Dados!$A474,"m")),0))=0,0,((Imóveis!$N$2/Imóveis!$S$2)+((Imóveis!$N$2-((Imóveis!$S$2-(IF(AND(Dados!$A474&gt;=Imóveis!$Q$2,Dados!$A474&lt;=Imóveis!$T$2),Imóveis!$S$2-(DATEDIF(Imóveis!$Q$2,Dados!$A474,"m")),)))*(Imóveis!$N$2/Imóveis!$S$2)))*Imóveis!$P$2))))*IF(AND(Imóveis!$E$2&gt;0,Dados!$A474&gt;Imóveis!$E$2),0,1)</f>
        <v>0</v>
      </c>
      <c r="J474" s="18">
        <f>IF(Imóveis!$F$3="PRICE",IF(AND(Dados!$A474&gt;=Imóveis!$Q$3,Dados!$A474&lt;=Imóveis!$T$3),Imóveis!$U$3,0),IF((IF(AND(Dados!$A474&gt;=Imóveis!$Q$3,Dados!$A474&lt;=Imóveis!$T$3),Imóveis!$S$3-(DATEDIF(Imóveis!$Q$3,Dados!$A474,"m")),0))=0,0,((Imóveis!$N$3/Imóveis!$S$3)+((Imóveis!$N$3-((Imóveis!$S$3-(IF(AND(Dados!$A474&gt;=Imóveis!$Q$3,Dados!$A474&lt;=Imóveis!$T$3),Imóveis!$S$3-(DATEDIF(Imóveis!$Q$3,Dados!$A474,"m")),)))*(Imóveis!$N$3/Imóveis!$S$3)))*Imóveis!$P$3))))*IF(AND(Imóveis!$E$3&gt;0,Dados!$A474&gt;Imóveis!$E$3),0,1)</f>
        <v>0</v>
      </c>
      <c r="K474" s="18">
        <f>IF(Imóveis!$F$4="PRICE",IF(AND(Dados!$A474&gt;=Imóveis!$Q$4,Dados!$A474&lt;=Imóveis!$T$4),Imóveis!$U$4,0),IF((IF(AND(Dados!$A474&gt;=Imóveis!$Q$4,Dados!$A474&lt;=Imóveis!$T$4),Imóveis!$S$4-(DATEDIF(Imóveis!$Q$4,Dados!$A474,"m")),0))=0,0,((Imóveis!$N$4/Imóveis!$S$4)+((Imóveis!$N$4-((Imóveis!$S$4-(IF(AND(Dados!$A474&gt;=Imóveis!$Q$4,Dados!$A474&lt;=Imóveis!$T$4),Imóveis!$S$4-(DATEDIF(Imóveis!$Q$4,Dados!$A474,"m")),)))*(Imóveis!$N$4/Imóveis!$S$4)))*Imóveis!$P$4))))*IF(AND(Imóveis!$E$4&gt;0,Dados!$A474&gt;Imóveis!$E$4),0,1)</f>
        <v>0</v>
      </c>
      <c r="L474" s="18">
        <f>IF(Imóveis!$F$5="PRICE",IF(AND(Dados!$A474&gt;=Imóveis!$Q$5,Dados!$A474&lt;=Imóveis!$T$5),Imóveis!$U$5,0),IF((IF(AND(Dados!$A474&gt;=Imóveis!$Q$5,Dados!$A474&lt;=Imóveis!$T$5),Imóveis!$S$5-(DATEDIF(Imóveis!$Q$5,Dados!$A474,"m")),0))=0,0,((Imóveis!$N$5/Imóveis!$S$5)+((Imóveis!$N$5-((Imóveis!$S$5-(IF(AND(Dados!$A474 &gt;=Imóveis!$Q$5,Dados!$A474&lt;=Imóveis!$T$5),Imóveis!$S$5-(DATEDIF(Imóveis!$Q$5,Dados!$A474,"m")),)))*(Imóveis!$N$5/Imóveis!$S$5)))*Imóveis!$P$5))))*IF(AND(Imóveis!$E$5&gt;0,Dados!$A474&gt;Imóveis!$E$5),0,1)*Imóveis!$I$5</f>
        <v>0</v>
      </c>
      <c r="M474" s="18">
        <f>IF(Imóveis!$F$6="PRICE",IF(AND(Dados!$A474&gt;=Imóveis!$Q$6,Dados!$A474&lt;=Imóveis!$T$6),Imóveis!$U$6,0),IF((IF(AND(Dados!$A474&gt;=Imóveis!$Q$6,Dados!$A474&lt;=Imóveis!$T$6),Imóveis!$S$6-(DATEDIF(Imóveis!$Q$6,Dados!$A474,"m")),0))=0,0,((Imóveis!$N$6/Imóveis!$S$6)+((Imóveis!$N$6-((Imóveis!$S$6-(IF(AND(Dados!$A474&gt;=Imóveis!$Q$6,Dados!$A474&lt;=Imóveis!$T$6),Imóveis!$S$6-(DATEDIF(Imóveis!$Q$6,Dados!$A474,"m")),)))*(Imóveis!$N$6/Imóveis!$S$6)))*Imóveis!$P$6))))*IF(AND(Imóveis!$E$6&gt;0,Dados!$A474&gt;Imóveis!$E$6),0,1)*Imóveis!$I$6</f>
        <v>0</v>
      </c>
      <c r="N474" s="18">
        <f t="shared" si="61"/>
        <v>37000</v>
      </c>
      <c r="O474" s="18">
        <f>SUMIFS(Receitas!$F:$F,Receitas!$J:$J,"&lt;="&amp;$A474,Receitas!$L:$L,"&gt;="&amp;$A474,Receitas!$C:$C,O$1,Receitas!$M:$M,"Mensal")+SUMIFS(Receitas!$F:$F,Receitas!$J:$J,"&lt;="&amp;$A474,Receitas!$L:$L,"&gt;="&amp;$A474,Receitas!$C:$C,O$1,Receitas!$M:$M,$B474)</f>
        <v>0</v>
      </c>
      <c r="P474" s="18">
        <f>SUMIFS(Receitas!$F:$F,Receitas!$J:$J,"&lt;="&amp;$A474,Receitas!$L:$L,"&gt;="&amp;$A474,Receitas!$C:$C,P$1,Receitas!$M:$M,"Mensal")+SUMIFS(Receitas!$F:$F,Receitas!$J:$J,"&lt;="&amp;$A474,Receitas!$L:$L,"&gt;="&amp;$A474,Receitas!$C:$C,P$1,Receitas!$M:$M,$B474)</f>
        <v>0</v>
      </c>
      <c r="Q474" s="18">
        <f>SUMIFS(Receitas!$F:$F,Receitas!$J:$J,"&lt;="&amp;$A474,Receitas!$L:$L,"&gt;="&amp;$A474,Receitas!$C:$C,Q$1,Receitas!$M:$M,"Mensal")+SUMIFS(Receitas!$F:$F,Receitas!$J:$J,"&lt;="&amp;$A474,Receitas!$L:$L,"&gt;="&amp;$A474,Receitas!$C:$C,Q$1,Receitas!$M:$M,$B474)</f>
        <v>0</v>
      </c>
      <c r="R474" s="18" cm="1">
        <f t="array" ref="R474">(IF(AND(Membros!$F$2="Sim",A474&lt;=MAX(Membros!$E$2:$E$5)),Membros!K$2,IF(AND(A474&gt;=Membros!J$2,A474&lt;=MAX(Membros!$E$2:$E$5)),Membros!K$2,0))+IF(AND(Membros!$F$3="Sim",A474&lt;=MAX(Membros!$E$2:$E$5)),Membros!K$3,IF(AND(A474&gt;=Membros!J$3,A474&lt;=MAX(Membros!$E$2:$E$5)),Membros!K$3,0)))*IF(AND(COUNTIFS(Tabela3[Tipo],"Provedor",Tabela3[Simulação Seguro],"Sim")=2,A474&gt;=MAX(IF(Tabela3[Tipo]="Dependente",Tabela3[Expectativa de Vida (Data)]))),0,1)</f>
        <v>10000</v>
      </c>
      <c r="S474" s="18">
        <f t="shared" si="62"/>
        <v>10000</v>
      </c>
      <c r="U474" s="18">
        <f t="shared" ca="1" si="65"/>
        <v>30036374.118256032</v>
      </c>
      <c r="V474" s="18">
        <f>SUMIF(Imóveis!E:E,Dados!A:A,Imóveis!Z:Z)-SUMIF(Imóveis!E:E,Dados!A:A,Imóveis!Y:Y)</f>
        <v>0</v>
      </c>
      <c r="W474" s="18">
        <f>-SUMIF(Projetos!N:N,A474,Projetos!F:F)</f>
        <v>0</v>
      </c>
      <c r="X474" s="18">
        <f t="shared" si="59"/>
        <v>-27000</v>
      </c>
      <c r="Y474" s="26">
        <f ca="1">(U474*((Indicadores_Economicos!D$2+1)^(1/12)-1))</f>
        <v>98331.272863944614</v>
      </c>
      <c r="Z474" s="18">
        <f t="shared" ca="1" si="63"/>
        <v>30107705.391119976</v>
      </c>
      <c r="AA474" s="18">
        <f ca="1">Auxiliar_Projetos!E474</f>
        <v>1.828831249448512E-9</v>
      </c>
      <c r="AB474" s="18">
        <f ca="1">Auxiliar_Projetos!K474</f>
        <v>1.4067932688065467E-9</v>
      </c>
      <c r="AC474" s="18">
        <f ca="1">IF(Z474-AA474-AB474&gt;Investimentos!$C$14,Investimentos!$C$14,IF(Z474-AA474-AB474&lt;Investimentos!$C$14,Z474-AA474-AB474,0))</f>
        <v>300000</v>
      </c>
      <c r="AD474" s="18">
        <f t="shared" ca="1" si="64"/>
        <v>29807705.391119976</v>
      </c>
      <c r="AE474" s="18"/>
    </row>
    <row r="475" spans="1:31" x14ac:dyDescent="0.2">
      <c r="A475" s="4">
        <v>60054</v>
      </c>
      <c r="B475" s="5" t="str">
        <f t="shared" si="60"/>
        <v>junho</v>
      </c>
      <c r="C475" s="5" t="str">
        <f t="shared" si="66"/>
        <v>2064</v>
      </c>
      <c r="D475" s="5">
        <f>SUMIFS(Despesas!$F:$F,Despesas!$J:$J,"&lt;="&amp;$A475,Despesas!$L:$L,"&gt;="&amp;$A475,Despesas!$C:$C,D$1,Despesas!$M:$M,"Mensal")+SUMIFS(Despesas!$F:$F,Despesas!$J:$J,"&lt;="&amp;$A475,Despesas!$L:$L,"&gt;="&amp;$A475,Despesas!$C:$C,D$1,Despesas!$M:$M,$B475)</f>
        <v>23000</v>
      </c>
      <c r="E475" s="18">
        <f>SUMIFS(Despesas!$F:$F,Despesas!$J:$J,"&lt;="&amp;$A475,Despesas!$L:$L,"&gt;="&amp;$A475,Despesas!$C:$C,E$1,Despesas!$M:$M,"Mensal")+SUMIFS(Despesas!$F:$F,Despesas!$J:$J,"&lt;="&amp;$A475,Despesas!$L:$L,"&gt;="&amp;$A475,Despesas!$C:$C,E$1,Despesas!$M:$M,$B475)</f>
        <v>0</v>
      </c>
      <c r="F475" s="5">
        <f>SUMIFS(Despesas!$F:$F,Despesas!$J:$J,"&lt;="&amp;$A475,Despesas!$L:$L,"&gt;="&amp;$A475,Despesas!$C:$C,F$1,Despesas!$M:$M,"Mensal")+SUMIFS(Despesas!$F:$F,Despesas!$J:$J,"&lt;="&amp;$A475,Despesas!$L:$L,"&gt;="&amp;$A475,Despesas!$C:$C,F$1,Despesas!$M:$M,$B475)</f>
        <v>13000</v>
      </c>
      <c r="G475" s="5">
        <f>SUMIFS(Despesas!$F:$F,Despesas!$J:$J,"&lt;="&amp;$A475,Despesas!$L:$L,"&gt;="&amp;$A475,Despesas!$C:$C,G$1,Despesas!$M:$M,"Mensal")+SUMIFS(Despesas!$F:$F,Despesas!$J:$J,"&lt;="&amp;$A475,Despesas!$L:$L,"&gt;="&amp;$A475,Despesas!$C:$C,G$1,Despesas!$M:$M,$B475)</f>
        <v>0</v>
      </c>
      <c r="H475" s="18">
        <f>SUMIFS(Despesas!$F:$F,Despesas!$J:$J,"&lt;="&amp;$A475,Despesas!$L:$L,"&gt;="&amp;$A475,Despesas!$C:$C,H$1,Despesas!$M:$M,"Mensal")+SUMIFS(Despesas!$F:$F,Despesas!$J:$J,"&lt;="&amp;$A475,Despesas!$L:$L,"&gt;="&amp;$A475,Despesas!$C:$C,H$1,Despesas!$M:$M,$B475)</f>
        <v>1000</v>
      </c>
      <c r="I475" s="18">
        <f>IF(Imóveis!$F$2="PRICE",IF(AND(Dados!$A475&gt;=Imóveis!$Q$2,Dados!$A475&lt;=Imóveis!$T$2),Imóveis!$U$2,0),IF((IF(AND(Dados!$A475&gt;=Imóveis!$Q$2,Dados!$A475&lt;=Imóveis!$T$2),Imóveis!$S$2-(DATEDIF(Imóveis!$Q$2,Dados!$A475,"m")),0))=0,0,((Imóveis!$N$2/Imóveis!$S$2)+((Imóveis!$N$2-((Imóveis!$S$2-(IF(AND(Dados!$A475&gt;=Imóveis!$Q$2,Dados!$A475&lt;=Imóveis!$T$2),Imóveis!$S$2-(DATEDIF(Imóveis!$Q$2,Dados!$A475,"m")),)))*(Imóveis!$N$2/Imóveis!$S$2)))*Imóveis!$P$2))))*IF(AND(Imóveis!$E$2&gt;0,Dados!$A475&gt;Imóveis!$E$2),0,1)</f>
        <v>0</v>
      </c>
      <c r="J475" s="18">
        <f>IF(Imóveis!$F$3="PRICE",IF(AND(Dados!$A475&gt;=Imóveis!$Q$3,Dados!$A475&lt;=Imóveis!$T$3),Imóveis!$U$3,0),IF((IF(AND(Dados!$A475&gt;=Imóveis!$Q$3,Dados!$A475&lt;=Imóveis!$T$3),Imóveis!$S$3-(DATEDIF(Imóveis!$Q$3,Dados!$A475,"m")),0))=0,0,((Imóveis!$N$3/Imóveis!$S$3)+((Imóveis!$N$3-((Imóveis!$S$3-(IF(AND(Dados!$A475&gt;=Imóveis!$Q$3,Dados!$A475&lt;=Imóveis!$T$3),Imóveis!$S$3-(DATEDIF(Imóveis!$Q$3,Dados!$A475,"m")),)))*(Imóveis!$N$3/Imóveis!$S$3)))*Imóveis!$P$3))))*IF(AND(Imóveis!$E$3&gt;0,Dados!$A475&gt;Imóveis!$E$3),0,1)</f>
        <v>0</v>
      </c>
      <c r="K475" s="18">
        <f>IF(Imóveis!$F$4="PRICE",IF(AND(Dados!$A475&gt;=Imóveis!$Q$4,Dados!$A475&lt;=Imóveis!$T$4),Imóveis!$U$4,0),IF((IF(AND(Dados!$A475&gt;=Imóveis!$Q$4,Dados!$A475&lt;=Imóveis!$T$4),Imóveis!$S$4-(DATEDIF(Imóveis!$Q$4,Dados!$A475,"m")),0))=0,0,((Imóveis!$N$4/Imóveis!$S$4)+((Imóveis!$N$4-((Imóveis!$S$4-(IF(AND(Dados!$A475&gt;=Imóveis!$Q$4,Dados!$A475&lt;=Imóveis!$T$4),Imóveis!$S$4-(DATEDIF(Imóveis!$Q$4,Dados!$A475,"m")),)))*(Imóveis!$N$4/Imóveis!$S$4)))*Imóveis!$P$4))))*IF(AND(Imóveis!$E$4&gt;0,Dados!$A475&gt;Imóveis!$E$4),0,1)</f>
        <v>0</v>
      </c>
      <c r="L475" s="18">
        <f>IF(Imóveis!$F$5="PRICE",IF(AND(Dados!$A475&gt;=Imóveis!$Q$5,Dados!$A475&lt;=Imóveis!$T$5),Imóveis!$U$5,0),IF((IF(AND(Dados!$A475&gt;=Imóveis!$Q$5,Dados!$A475&lt;=Imóveis!$T$5),Imóveis!$S$5-(DATEDIF(Imóveis!$Q$5,Dados!$A475,"m")),0))=0,0,((Imóveis!$N$5/Imóveis!$S$5)+((Imóveis!$N$5-((Imóveis!$S$5-(IF(AND(Dados!$A475 &gt;=Imóveis!$Q$5,Dados!$A475&lt;=Imóveis!$T$5),Imóveis!$S$5-(DATEDIF(Imóveis!$Q$5,Dados!$A475,"m")),)))*(Imóveis!$N$5/Imóveis!$S$5)))*Imóveis!$P$5))))*IF(AND(Imóveis!$E$5&gt;0,Dados!$A475&gt;Imóveis!$E$5),0,1)*Imóveis!$I$5</f>
        <v>0</v>
      </c>
      <c r="M475" s="18">
        <f>IF(Imóveis!$F$6="PRICE",IF(AND(Dados!$A475&gt;=Imóveis!$Q$6,Dados!$A475&lt;=Imóveis!$T$6),Imóveis!$U$6,0),IF((IF(AND(Dados!$A475&gt;=Imóveis!$Q$6,Dados!$A475&lt;=Imóveis!$T$6),Imóveis!$S$6-(DATEDIF(Imóveis!$Q$6,Dados!$A475,"m")),0))=0,0,((Imóveis!$N$6/Imóveis!$S$6)+((Imóveis!$N$6-((Imóveis!$S$6-(IF(AND(Dados!$A475&gt;=Imóveis!$Q$6,Dados!$A475&lt;=Imóveis!$T$6),Imóveis!$S$6-(DATEDIF(Imóveis!$Q$6,Dados!$A475,"m")),)))*(Imóveis!$N$6/Imóveis!$S$6)))*Imóveis!$P$6))))*IF(AND(Imóveis!$E$6&gt;0,Dados!$A475&gt;Imóveis!$E$6),0,1)*Imóveis!$I$6</f>
        <v>0</v>
      </c>
      <c r="N475" s="18">
        <f t="shared" si="61"/>
        <v>37000</v>
      </c>
      <c r="O475" s="18">
        <f>SUMIFS(Receitas!$F:$F,Receitas!$J:$J,"&lt;="&amp;$A475,Receitas!$L:$L,"&gt;="&amp;$A475,Receitas!$C:$C,O$1,Receitas!$M:$M,"Mensal")+SUMIFS(Receitas!$F:$F,Receitas!$J:$J,"&lt;="&amp;$A475,Receitas!$L:$L,"&gt;="&amp;$A475,Receitas!$C:$C,O$1,Receitas!$M:$M,$B475)</f>
        <v>0</v>
      </c>
      <c r="P475" s="18">
        <f>SUMIFS(Receitas!$F:$F,Receitas!$J:$J,"&lt;="&amp;$A475,Receitas!$L:$L,"&gt;="&amp;$A475,Receitas!$C:$C,P$1,Receitas!$M:$M,"Mensal")+SUMIFS(Receitas!$F:$F,Receitas!$J:$J,"&lt;="&amp;$A475,Receitas!$L:$L,"&gt;="&amp;$A475,Receitas!$C:$C,P$1,Receitas!$M:$M,$B475)</f>
        <v>0</v>
      </c>
      <c r="Q475" s="18">
        <f>SUMIFS(Receitas!$F:$F,Receitas!$J:$J,"&lt;="&amp;$A475,Receitas!$L:$L,"&gt;="&amp;$A475,Receitas!$C:$C,Q$1,Receitas!$M:$M,"Mensal")+SUMIFS(Receitas!$F:$F,Receitas!$J:$J,"&lt;="&amp;$A475,Receitas!$L:$L,"&gt;="&amp;$A475,Receitas!$C:$C,Q$1,Receitas!$M:$M,$B475)</f>
        <v>0</v>
      </c>
      <c r="R475" s="18" cm="1">
        <f t="array" ref="R475">(IF(AND(Membros!$F$2="Sim",A475&lt;=MAX(Membros!$E$2:$E$5)),Membros!K$2,IF(AND(A475&gt;=Membros!J$2,A475&lt;=MAX(Membros!$E$2:$E$5)),Membros!K$2,0))+IF(AND(Membros!$F$3="Sim",A475&lt;=MAX(Membros!$E$2:$E$5)),Membros!K$3,IF(AND(A475&gt;=Membros!J$3,A475&lt;=MAX(Membros!$E$2:$E$5)),Membros!K$3,0)))*IF(AND(COUNTIFS(Tabela3[Tipo],"Provedor",Tabela3[Simulação Seguro],"Sim")=2,A475&gt;=MAX(IF(Tabela3[Tipo]="Dependente",Tabela3[Expectativa de Vida (Data)]))),0,1)</f>
        <v>10000</v>
      </c>
      <c r="S475" s="18">
        <f t="shared" si="62"/>
        <v>10000</v>
      </c>
      <c r="U475" s="18">
        <f t="shared" ca="1" si="65"/>
        <v>30107705.391119976</v>
      </c>
      <c r="V475" s="18">
        <f>SUMIF(Imóveis!E:E,Dados!A:A,Imóveis!Z:Z)-SUMIF(Imóveis!E:E,Dados!A:A,Imóveis!Y:Y)</f>
        <v>0</v>
      </c>
      <c r="W475" s="18">
        <f>-SUMIF(Projetos!N:N,A475,Projetos!F:F)</f>
        <v>0</v>
      </c>
      <c r="X475" s="18">
        <f t="shared" si="59"/>
        <v>-27000</v>
      </c>
      <c r="Y475" s="26">
        <f ca="1">(U475*((Indicadores_Economicos!D$2+1)^(1/12)-1))</f>
        <v>98564.792889634191</v>
      </c>
      <c r="Z475" s="18">
        <f t="shared" ca="1" si="63"/>
        <v>30179270.184009612</v>
      </c>
      <c r="AA475" s="18">
        <f ca="1">Auxiliar_Projetos!E475</f>
        <v>1.8348183670647602E-9</v>
      </c>
      <c r="AB475" s="18">
        <f ca="1">Auxiliar_Projetos!K475</f>
        <v>1.4113987438959682E-9</v>
      </c>
      <c r="AC475" s="18">
        <f ca="1">IF(Z475-AA475-AB475&gt;Investimentos!$C$14,Investimentos!$C$14,IF(Z475-AA475-AB475&lt;Investimentos!$C$14,Z475-AA475-AB475,0))</f>
        <v>300000</v>
      </c>
      <c r="AD475" s="18">
        <f t="shared" ca="1" si="64"/>
        <v>29879270.184009612</v>
      </c>
      <c r="AE475" s="18"/>
    </row>
    <row r="476" spans="1:31" x14ac:dyDescent="0.2">
      <c r="A476" s="4">
        <v>60084</v>
      </c>
      <c r="B476" s="5" t="str">
        <f t="shared" si="60"/>
        <v>julho</v>
      </c>
      <c r="C476" s="5" t="str">
        <f t="shared" si="66"/>
        <v>2064</v>
      </c>
      <c r="D476" s="5">
        <f>SUMIFS(Despesas!$F:$F,Despesas!$J:$J,"&lt;="&amp;$A476,Despesas!$L:$L,"&gt;="&amp;$A476,Despesas!$C:$C,D$1,Despesas!$M:$M,"Mensal")+SUMIFS(Despesas!$F:$F,Despesas!$J:$J,"&lt;="&amp;$A476,Despesas!$L:$L,"&gt;="&amp;$A476,Despesas!$C:$C,D$1,Despesas!$M:$M,$B476)</f>
        <v>23000</v>
      </c>
      <c r="E476" s="18">
        <f>SUMIFS(Despesas!$F:$F,Despesas!$J:$J,"&lt;="&amp;$A476,Despesas!$L:$L,"&gt;="&amp;$A476,Despesas!$C:$C,E$1,Despesas!$M:$M,"Mensal")+SUMIFS(Despesas!$F:$F,Despesas!$J:$J,"&lt;="&amp;$A476,Despesas!$L:$L,"&gt;="&amp;$A476,Despesas!$C:$C,E$1,Despesas!$M:$M,$B476)</f>
        <v>0</v>
      </c>
      <c r="F476" s="5">
        <f>SUMIFS(Despesas!$F:$F,Despesas!$J:$J,"&lt;="&amp;$A476,Despesas!$L:$L,"&gt;="&amp;$A476,Despesas!$C:$C,F$1,Despesas!$M:$M,"Mensal")+SUMIFS(Despesas!$F:$F,Despesas!$J:$J,"&lt;="&amp;$A476,Despesas!$L:$L,"&gt;="&amp;$A476,Despesas!$C:$C,F$1,Despesas!$M:$M,$B476)</f>
        <v>13000</v>
      </c>
      <c r="G476" s="5">
        <f ca="1">SUMIFS(Despesas!$F:$F,Despesas!$J:$J,"&lt;="&amp;$A476,Despesas!$L:$L,"&gt;="&amp;$A476,Despesas!$C:$C,G$1,Despesas!$M:$M,"Mensal")+SUMIFS(Despesas!$F:$F,Despesas!$J:$J,"&lt;="&amp;$A476,Despesas!$L:$L,"&gt;="&amp;$A476,Despesas!$C:$C,G$1,Despesas!$M:$M,$B476)</f>
        <v>55757</v>
      </c>
      <c r="H476" s="18">
        <f>SUMIFS(Despesas!$F:$F,Despesas!$J:$J,"&lt;="&amp;$A476,Despesas!$L:$L,"&gt;="&amp;$A476,Despesas!$C:$C,H$1,Despesas!$M:$M,"Mensal")+SUMIFS(Despesas!$F:$F,Despesas!$J:$J,"&lt;="&amp;$A476,Despesas!$L:$L,"&gt;="&amp;$A476,Despesas!$C:$C,H$1,Despesas!$M:$M,$B476)</f>
        <v>1000</v>
      </c>
      <c r="I476" s="18">
        <f>IF(Imóveis!$F$2="PRICE",IF(AND(Dados!$A476&gt;=Imóveis!$Q$2,Dados!$A476&lt;=Imóveis!$T$2),Imóveis!$U$2,0),IF((IF(AND(Dados!$A476&gt;=Imóveis!$Q$2,Dados!$A476&lt;=Imóveis!$T$2),Imóveis!$S$2-(DATEDIF(Imóveis!$Q$2,Dados!$A476,"m")),0))=0,0,((Imóveis!$N$2/Imóveis!$S$2)+((Imóveis!$N$2-((Imóveis!$S$2-(IF(AND(Dados!$A476&gt;=Imóveis!$Q$2,Dados!$A476&lt;=Imóveis!$T$2),Imóveis!$S$2-(DATEDIF(Imóveis!$Q$2,Dados!$A476,"m")),)))*(Imóveis!$N$2/Imóveis!$S$2)))*Imóveis!$P$2))))*IF(AND(Imóveis!$E$2&gt;0,Dados!$A476&gt;Imóveis!$E$2),0,1)</f>
        <v>0</v>
      </c>
      <c r="J476" s="18">
        <f>IF(Imóveis!$F$3="PRICE",IF(AND(Dados!$A476&gt;=Imóveis!$Q$3,Dados!$A476&lt;=Imóveis!$T$3),Imóveis!$U$3,0),IF((IF(AND(Dados!$A476&gt;=Imóveis!$Q$3,Dados!$A476&lt;=Imóveis!$T$3),Imóveis!$S$3-(DATEDIF(Imóveis!$Q$3,Dados!$A476,"m")),0))=0,0,((Imóveis!$N$3/Imóveis!$S$3)+((Imóveis!$N$3-((Imóveis!$S$3-(IF(AND(Dados!$A476&gt;=Imóveis!$Q$3,Dados!$A476&lt;=Imóveis!$T$3),Imóveis!$S$3-(DATEDIF(Imóveis!$Q$3,Dados!$A476,"m")),)))*(Imóveis!$N$3/Imóveis!$S$3)))*Imóveis!$P$3))))*IF(AND(Imóveis!$E$3&gt;0,Dados!$A476&gt;Imóveis!$E$3),0,1)</f>
        <v>0</v>
      </c>
      <c r="K476" s="18">
        <f>IF(Imóveis!$F$4="PRICE",IF(AND(Dados!$A476&gt;=Imóveis!$Q$4,Dados!$A476&lt;=Imóveis!$T$4),Imóveis!$U$4,0),IF((IF(AND(Dados!$A476&gt;=Imóveis!$Q$4,Dados!$A476&lt;=Imóveis!$T$4),Imóveis!$S$4-(DATEDIF(Imóveis!$Q$4,Dados!$A476,"m")),0))=0,0,((Imóveis!$N$4/Imóveis!$S$4)+((Imóveis!$N$4-((Imóveis!$S$4-(IF(AND(Dados!$A476&gt;=Imóveis!$Q$4,Dados!$A476&lt;=Imóveis!$T$4),Imóveis!$S$4-(DATEDIF(Imóveis!$Q$4,Dados!$A476,"m")),)))*(Imóveis!$N$4/Imóveis!$S$4)))*Imóveis!$P$4))))*IF(AND(Imóveis!$E$4&gt;0,Dados!$A476&gt;Imóveis!$E$4),0,1)</f>
        <v>0</v>
      </c>
      <c r="L476" s="18">
        <f>IF(Imóveis!$F$5="PRICE",IF(AND(Dados!$A476&gt;=Imóveis!$Q$5,Dados!$A476&lt;=Imóveis!$T$5),Imóveis!$U$5,0),IF((IF(AND(Dados!$A476&gt;=Imóveis!$Q$5,Dados!$A476&lt;=Imóveis!$T$5),Imóveis!$S$5-(DATEDIF(Imóveis!$Q$5,Dados!$A476,"m")),0))=0,0,((Imóveis!$N$5/Imóveis!$S$5)+((Imóveis!$N$5-((Imóveis!$S$5-(IF(AND(Dados!$A476 &gt;=Imóveis!$Q$5,Dados!$A476&lt;=Imóveis!$T$5),Imóveis!$S$5-(DATEDIF(Imóveis!$Q$5,Dados!$A476,"m")),)))*(Imóveis!$N$5/Imóveis!$S$5)))*Imóveis!$P$5))))*IF(AND(Imóveis!$E$5&gt;0,Dados!$A476&gt;Imóveis!$E$5),0,1)*Imóveis!$I$5</f>
        <v>0</v>
      </c>
      <c r="M476" s="18">
        <f>IF(Imóveis!$F$6="PRICE",IF(AND(Dados!$A476&gt;=Imóveis!$Q$6,Dados!$A476&lt;=Imóveis!$T$6),Imóveis!$U$6,0),IF((IF(AND(Dados!$A476&gt;=Imóveis!$Q$6,Dados!$A476&lt;=Imóveis!$T$6),Imóveis!$S$6-(DATEDIF(Imóveis!$Q$6,Dados!$A476,"m")),0))=0,0,((Imóveis!$N$6/Imóveis!$S$6)+((Imóveis!$N$6-((Imóveis!$S$6-(IF(AND(Dados!$A476&gt;=Imóveis!$Q$6,Dados!$A476&lt;=Imóveis!$T$6),Imóveis!$S$6-(DATEDIF(Imóveis!$Q$6,Dados!$A476,"m")),)))*(Imóveis!$N$6/Imóveis!$S$6)))*Imóveis!$P$6))))*IF(AND(Imóveis!$E$6&gt;0,Dados!$A476&gt;Imóveis!$E$6),0,1)*Imóveis!$I$6</f>
        <v>0</v>
      </c>
      <c r="N476" s="18">
        <f t="shared" ca="1" si="61"/>
        <v>92757</v>
      </c>
      <c r="O476" s="18">
        <f>SUMIFS(Receitas!$F:$F,Receitas!$J:$J,"&lt;="&amp;$A476,Receitas!$L:$L,"&gt;="&amp;$A476,Receitas!$C:$C,O$1,Receitas!$M:$M,"Mensal")+SUMIFS(Receitas!$F:$F,Receitas!$J:$J,"&lt;="&amp;$A476,Receitas!$L:$L,"&gt;="&amp;$A476,Receitas!$C:$C,O$1,Receitas!$M:$M,$B476)</f>
        <v>0</v>
      </c>
      <c r="P476" s="18">
        <f>SUMIFS(Receitas!$F:$F,Receitas!$J:$J,"&lt;="&amp;$A476,Receitas!$L:$L,"&gt;="&amp;$A476,Receitas!$C:$C,P$1,Receitas!$M:$M,"Mensal")+SUMIFS(Receitas!$F:$F,Receitas!$J:$J,"&lt;="&amp;$A476,Receitas!$L:$L,"&gt;="&amp;$A476,Receitas!$C:$C,P$1,Receitas!$M:$M,$B476)</f>
        <v>0</v>
      </c>
      <c r="Q476" s="18">
        <f>SUMIFS(Receitas!$F:$F,Receitas!$J:$J,"&lt;="&amp;$A476,Receitas!$L:$L,"&gt;="&amp;$A476,Receitas!$C:$C,Q$1,Receitas!$M:$M,"Mensal")+SUMIFS(Receitas!$F:$F,Receitas!$J:$J,"&lt;="&amp;$A476,Receitas!$L:$L,"&gt;="&amp;$A476,Receitas!$C:$C,Q$1,Receitas!$M:$M,$B476)</f>
        <v>0</v>
      </c>
      <c r="R476" s="18" cm="1">
        <f t="array" ref="R476">(IF(AND(Membros!$F$2="Sim",A476&lt;=MAX(Membros!$E$2:$E$5)),Membros!K$2,IF(AND(A476&gt;=Membros!J$2,A476&lt;=MAX(Membros!$E$2:$E$5)),Membros!K$2,0))+IF(AND(Membros!$F$3="Sim",A476&lt;=MAX(Membros!$E$2:$E$5)),Membros!K$3,IF(AND(A476&gt;=Membros!J$3,A476&lt;=MAX(Membros!$E$2:$E$5)),Membros!K$3,0)))*IF(AND(COUNTIFS(Tabela3[Tipo],"Provedor",Tabela3[Simulação Seguro],"Sim")=2,A476&gt;=MAX(IF(Tabela3[Tipo]="Dependente",Tabela3[Expectativa de Vida (Data)]))),0,1)</f>
        <v>10000</v>
      </c>
      <c r="S476" s="18">
        <f t="shared" si="62"/>
        <v>10000</v>
      </c>
      <c r="U476" s="18">
        <f t="shared" ca="1" si="65"/>
        <v>30179270.184009612</v>
      </c>
      <c r="V476" s="18">
        <f>SUMIF(Imóveis!E:E,Dados!A:A,Imóveis!Z:Z)-SUMIF(Imóveis!E:E,Dados!A:A,Imóveis!Y:Y)</f>
        <v>0</v>
      </c>
      <c r="W476" s="18">
        <f>-SUMIF(Projetos!N:N,A476,Projetos!F:F)</f>
        <v>0</v>
      </c>
      <c r="X476" s="18">
        <f t="shared" ca="1" si="59"/>
        <v>-82757</v>
      </c>
      <c r="Y476" s="26">
        <f ca="1">(U476*((Indicadores_Economicos!D$2+1)^(1/12)-1))</f>
        <v>98799.077399121816</v>
      </c>
      <c r="Z476" s="18">
        <f t="shared" ca="1" si="63"/>
        <v>30195312.261408735</v>
      </c>
      <c r="AA476" s="18">
        <f ca="1">Auxiliar_Projetos!E476</f>
        <v>1.8408250849461293E-9</v>
      </c>
      <c r="AB476" s="18">
        <f ca="1">Auxiliar_Projetos!K476</f>
        <v>1.416019296112406E-9</v>
      </c>
      <c r="AC476" s="18">
        <f ca="1">IF(Z476-AA476-AB476&gt;Investimentos!$C$14,Investimentos!$C$14,IF(Z476-AA476-AB476&lt;Investimentos!$C$14,Z476-AA476-AB476,0))</f>
        <v>300000</v>
      </c>
      <c r="AD476" s="18">
        <f t="shared" ca="1" si="64"/>
        <v>29895312.261408735</v>
      </c>
      <c r="AE476" s="18"/>
    </row>
    <row r="477" spans="1:31" x14ac:dyDescent="0.2">
      <c r="A477" s="4">
        <v>60115</v>
      </c>
      <c r="B477" s="5" t="str">
        <f t="shared" si="60"/>
        <v>agosto</v>
      </c>
      <c r="C477" s="5" t="str">
        <f t="shared" si="66"/>
        <v>2064</v>
      </c>
      <c r="D477" s="5">
        <f>SUMIFS(Despesas!$F:$F,Despesas!$J:$J,"&lt;="&amp;$A477,Despesas!$L:$L,"&gt;="&amp;$A477,Despesas!$C:$C,D$1,Despesas!$M:$M,"Mensal")+SUMIFS(Despesas!$F:$F,Despesas!$J:$J,"&lt;="&amp;$A477,Despesas!$L:$L,"&gt;="&amp;$A477,Despesas!$C:$C,D$1,Despesas!$M:$M,$B477)</f>
        <v>23000</v>
      </c>
      <c r="E477" s="18">
        <f>SUMIFS(Despesas!$F:$F,Despesas!$J:$J,"&lt;="&amp;$A477,Despesas!$L:$L,"&gt;="&amp;$A477,Despesas!$C:$C,E$1,Despesas!$M:$M,"Mensal")+SUMIFS(Despesas!$F:$F,Despesas!$J:$J,"&lt;="&amp;$A477,Despesas!$L:$L,"&gt;="&amp;$A477,Despesas!$C:$C,E$1,Despesas!$M:$M,$B477)</f>
        <v>0</v>
      </c>
      <c r="F477" s="5">
        <f>SUMIFS(Despesas!$F:$F,Despesas!$J:$J,"&lt;="&amp;$A477,Despesas!$L:$L,"&gt;="&amp;$A477,Despesas!$C:$C,F$1,Despesas!$M:$M,"Mensal")+SUMIFS(Despesas!$F:$F,Despesas!$J:$J,"&lt;="&amp;$A477,Despesas!$L:$L,"&gt;="&amp;$A477,Despesas!$C:$C,F$1,Despesas!$M:$M,$B477)</f>
        <v>13000</v>
      </c>
      <c r="G477" s="5">
        <f>SUMIFS(Despesas!$F:$F,Despesas!$J:$J,"&lt;="&amp;$A477,Despesas!$L:$L,"&gt;="&amp;$A477,Despesas!$C:$C,G$1,Despesas!$M:$M,"Mensal")+SUMIFS(Despesas!$F:$F,Despesas!$J:$J,"&lt;="&amp;$A477,Despesas!$L:$L,"&gt;="&amp;$A477,Despesas!$C:$C,G$1,Despesas!$M:$M,$B477)</f>
        <v>0</v>
      </c>
      <c r="H477" s="18">
        <f>SUMIFS(Despesas!$F:$F,Despesas!$J:$J,"&lt;="&amp;$A477,Despesas!$L:$L,"&gt;="&amp;$A477,Despesas!$C:$C,H$1,Despesas!$M:$M,"Mensal")+SUMIFS(Despesas!$F:$F,Despesas!$J:$J,"&lt;="&amp;$A477,Despesas!$L:$L,"&gt;="&amp;$A477,Despesas!$C:$C,H$1,Despesas!$M:$M,$B477)</f>
        <v>1000</v>
      </c>
      <c r="I477" s="18">
        <f>IF(Imóveis!$F$2="PRICE",IF(AND(Dados!$A477&gt;=Imóveis!$Q$2,Dados!$A477&lt;=Imóveis!$T$2),Imóveis!$U$2,0),IF((IF(AND(Dados!$A477&gt;=Imóveis!$Q$2,Dados!$A477&lt;=Imóveis!$T$2),Imóveis!$S$2-(DATEDIF(Imóveis!$Q$2,Dados!$A477,"m")),0))=0,0,((Imóveis!$N$2/Imóveis!$S$2)+((Imóveis!$N$2-((Imóveis!$S$2-(IF(AND(Dados!$A477&gt;=Imóveis!$Q$2,Dados!$A477&lt;=Imóveis!$T$2),Imóveis!$S$2-(DATEDIF(Imóveis!$Q$2,Dados!$A477,"m")),)))*(Imóveis!$N$2/Imóveis!$S$2)))*Imóveis!$P$2))))*IF(AND(Imóveis!$E$2&gt;0,Dados!$A477&gt;Imóveis!$E$2),0,1)</f>
        <v>0</v>
      </c>
      <c r="J477" s="18">
        <f>IF(Imóveis!$F$3="PRICE",IF(AND(Dados!$A477&gt;=Imóveis!$Q$3,Dados!$A477&lt;=Imóveis!$T$3),Imóveis!$U$3,0),IF((IF(AND(Dados!$A477&gt;=Imóveis!$Q$3,Dados!$A477&lt;=Imóveis!$T$3),Imóveis!$S$3-(DATEDIF(Imóveis!$Q$3,Dados!$A477,"m")),0))=0,0,((Imóveis!$N$3/Imóveis!$S$3)+((Imóveis!$N$3-((Imóveis!$S$3-(IF(AND(Dados!$A477&gt;=Imóveis!$Q$3,Dados!$A477&lt;=Imóveis!$T$3),Imóveis!$S$3-(DATEDIF(Imóveis!$Q$3,Dados!$A477,"m")),)))*(Imóveis!$N$3/Imóveis!$S$3)))*Imóveis!$P$3))))*IF(AND(Imóveis!$E$3&gt;0,Dados!$A477&gt;Imóveis!$E$3),0,1)</f>
        <v>0</v>
      </c>
      <c r="K477" s="18">
        <f>IF(Imóveis!$F$4="PRICE",IF(AND(Dados!$A477&gt;=Imóveis!$Q$4,Dados!$A477&lt;=Imóveis!$T$4),Imóveis!$U$4,0),IF((IF(AND(Dados!$A477&gt;=Imóveis!$Q$4,Dados!$A477&lt;=Imóveis!$T$4),Imóveis!$S$4-(DATEDIF(Imóveis!$Q$4,Dados!$A477,"m")),0))=0,0,((Imóveis!$N$4/Imóveis!$S$4)+((Imóveis!$N$4-((Imóveis!$S$4-(IF(AND(Dados!$A477&gt;=Imóveis!$Q$4,Dados!$A477&lt;=Imóveis!$T$4),Imóveis!$S$4-(DATEDIF(Imóveis!$Q$4,Dados!$A477,"m")),)))*(Imóveis!$N$4/Imóveis!$S$4)))*Imóveis!$P$4))))*IF(AND(Imóveis!$E$4&gt;0,Dados!$A477&gt;Imóveis!$E$4),0,1)</f>
        <v>0</v>
      </c>
      <c r="L477" s="18">
        <f>IF(Imóveis!$F$5="PRICE",IF(AND(Dados!$A477&gt;=Imóveis!$Q$5,Dados!$A477&lt;=Imóveis!$T$5),Imóveis!$U$5,0),IF((IF(AND(Dados!$A477&gt;=Imóveis!$Q$5,Dados!$A477&lt;=Imóveis!$T$5),Imóveis!$S$5-(DATEDIF(Imóveis!$Q$5,Dados!$A477,"m")),0))=0,0,((Imóveis!$N$5/Imóveis!$S$5)+((Imóveis!$N$5-((Imóveis!$S$5-(IF(AND(Dados!$A477 &gt;=Imóveis!$Q$5,Dados!$A477&lt;=Imóveis!$T$5),Imóveis!$S$5-(DATEDIF(Imóveis!$Q$5,Dados!$A477,"m")),)))*(Imóveis!$N$5/Imóveis!$S$5)))*Imóveis!$P$5))))*IF(AND(Imóveis!$E$5&gt;0,Dados!$A477&gt;Imóveis!$E$5),0,1)*Imóveis!$I$5</f>
        <v>0</v>
      </c>
      <c r="M477" s="18">
        <f>IF(Imóveis!$F$6="PRICE",IF(AND(Dados!$A477&gt;=Imóveis!$Q$6,Dados!$A477&lt;=Imóveis!$T$6),Imóveis!$U$6,0),IF((IF(AND(Dados!$A477&gt;=Imóveis!$Q$6,Dados!$A477&lt;=Imóveis!$T$6),Imóveis!$S$6-(DATEDIF(Imóveis!$Q$6,Dados!$A477,"m")),0))=0,0,((Imóveis!$N$6/Imóveis!$S$6)+((Imóveis!$N$6-((Imóveis!$S$6-(IF(AND(Dados!$A477&gt;=Imóveis!$Q$6,Dados!$A477&lt;=Imóveis!$T$6),Imóveis!$S$6-(DATEDIF(Imóveis!$Q$6,Dados!$A477,"m")),)))*(Imóveis!$N$6/Imóveis!$S$6)))*Imóveis!$P$6))))*IF(AND(Imóveis!$E$6&gt;0,Dados!$A477&gt;Imóveis!$E$6),0,1)*Imóveis!$I$6</f>
        <v>0</v>
      </c>
      <c r="N477" s="18">
        <f t="shared" si="61"/>
        <v>37000</v>
      </c>
      <c r="O477" s="18">
        <f>SUMIFS(Receitas!$F:$F,Receitas!$J:$J,"&lt;="&amp;$A477,Receitas!$L:$L,"&gt;="&amp;$A477,Receitas!$C:$C,O$1,Receitas!$M:$M,"Mensal")+SUMIFS(Receitas!$F:$F,Receitas!$J:$J,"&lt;="&amp;$A477,Receitas!$L:$L,"&gt;="&amp;$A477,Receitas!$C:$C,O$1,Receitas!$M:$M,$B477)</f>
        <v>0</v>
      </c>
      <c r="P477" s="18">
        <f>SUMIFS(Receitas!$F:$F,Receitas!$J:$J,"&lt;="&amp;$A477,Receitas!$L:$L,"&gt;="&amp;$A477,Receitas!$C:$C,P$1,Receitas!$M:$M,"Mensal")+SUMIFS(Receitas!$F:$F,Receitas!$J:$J,"&lt;="&amp;$A477,Receitas!$L:$L,"&gt;="&amp;$A477,Receitas!$C:$C,P$1,Receitas!$M:$M,$B477)</f>
        <v>0</v>
      </c>
      <c r="Q477" s="18">
        <f>SUMIFS(Receitas!$F:$F,Receitas!$J:$J,"&lt;="&amp;$A477,Receitas!$L:$L,"&gt;="&amp;$A477,Receitas!$C:$C,Q$1,Receitas!$M:$M,"Mensal")+SUMIFS(Receitas!$F:$F,Receitas!$J:$J,"&lt;="&amp;$A477,Receitas!$L:$L,"&gt;="&amp;$A477,Receitas!$C:$C,Q$1,Receitas!$M:$M,$B477)</f>
        <v>0</v>
      </c>
      <c r="R477" s="18" cm="1">
        <f t="array" ref="R477">(IF(AND(Membros!$F$2="Sim",A477&lt;=MAX(Membros!$E$2:$E$5)),Membros!K$2,IF(AND(A477&gt;=Membros!J$2,A477&lt;=MAX(Membros!$E$2:$E$5)),Membros!K$2,0))+IF(AND(Membros!$F$3="Sim",A477&lt;=MAX(Membros!$E$2:$E$5)),Membros!K$3,IF(AND(A477&gt;=Membros!J$3,A477&lt;=MAX(Membros!$E$2:$E$5)),Membros!K$3,0)))*IF(AND(COUNTIFS(Tabela3[Tipo],"Provedor",Tabela3[Simulação Seguro],"Sim")=2,A477&gt;=MAX(IF(Tabela3[Tipo]="Dependente",Tabela3[Expectativa de Vida (Data)]))),0,1)</f>
        <v>10000</v>
      </c>
      <c r="S477" s="18">
        <f t="shared" si="62"/>
        <v>10000</v>
      </c>
      <c r="U477" s="18">
        <f t="shared" ca="1" si="65"/>
        <v>30195312.261408735</v>
      </c>
      <c r="V477" s="18">
        <f>SUMIF(Imóveis!E:E,Dados!A:A,Imóveis!Z:Z)-SUMIF(Imóveis!E:E,Dados!A:A,Imóveis!Y:Y)</f>
        <v>0</v>
      </c>
      <c r="W477" s="18">
        <f>-SUMIF(Projetos!N:N,A477,Projetos!F:F)</f>
        <v>0</v>
      </c>
      <c r="X477" s="18">
        <f t="shared" si="59"/>
        <v>-27000</v>
      </c>
      <c r="Y477" s="26">
        <f ca="1">(U477*((Indicadores_Economicos!D$2+1)^(1/12)-1))</f>
        <v>98851.594986092445</v>
      </c>
      <c r="Z477" s="18">
        <f t="shared" ca="1" si="63"/>
        <v>30267163.856394827</v>
      </c>
      <c r="AA477" s="18">
        <f ca="1">Auxiliar_Projetos!E477</f>
        <v>1.8468514672587872E-9</v>
      </c>
      <c r="AB477" s="18">
        <f ca="1">Auxiliar_Projetos!K477</f>
        <v>1.4206549748144506E-9</v>
      </c>
      <c r="AC477" s="18">
        <f ca="1">IF(Z477-AA477-AB477&gt;Investimentos!$C$14,Investimentos!$C$14,IF(Z477-AA477-AB477&lt;Investimentos!$C$14,Z477-AA477-AB477,0))</f>
        <v>300000</v>
      </c>
      <c r="AD477" s="18">
        <f t="shared" ca="1" si="64"/>
        <v>29967163.856394827</v>
      </c>
      <c r="AE477" s="18"/>
    </row>
    <row r="478" spans="1:31" x14ac:dyDescent="0.2">
      <c r="A478" s="4">
        <v>60146</v>
      </c>
      <c r="B478" s="5" t="str">
        <f t="shared" si="60"/>
        <v>setembro</v>
      </c>
      <c r="C478" s="5" t="str">
        <f t="shared" si="66"/>
        <v>2064</v>
      </c>
      <c r="D478" s="5">
        <f>SUMIFS(Despesas!$F:$F,Despesas!$J:$J,"&lt;="&amp;$A478,Despesas!$L:$L,"&gt;="&amp;$A478,Despesas!$C:$C,D$1,Despesas!$M:$M,"Mensal")+SUMIFS(Despesas!$F:$F,Despesas!$J:$J,"&lt;="&amp;$A478,Despesas!$L:$L,"&gt;="&amp;$A478,Despesas!$C:$C,D$1,Despesas!$M:$M,$B478)</f>
        <v>23000</v>
      </c>
      <c r="E478" s="18">
        <f>SUMIFS(Despesas!$F:$F,Despesas!$J:$J,"&lt;="&amp;$A478,Despesas!$L:$L,"&gt;="&amp;$A478,Despesas!$C:$C,E$1,Despesas!$M:$M,"Mensal")+SUMIFS(Despesas!$F:$F,Despesas!$J:$J,"&lt;="&amp;$A478,Despesas!$L:$L,"&gt;="&amp;$A478,Despesas!$C:$C,E$1,Despesas!$M:$M,$B478)</f>
        <v>0</v>
      </c>
      <c r="F478" s="5">
        <f>SUMIFS(Despesas!$F:$F,Despesas!$J:$J,"&lt;="&amp;$A478,Despesas!$L:$L,"&gt;="&amp;$A478,Despesas!$C:$C,F$1,Despesas!$M:$M,"Mensal")+SUMIFS(Despesas!$F:$F,Despesas!$J:$J,"&lt;="&amp;$A478,Despesas!$L:$L,"&gt;="&amp;$A478,Despesas!$C:$C,F$1,Despesas!$M:$M,$B478)</f>
        <v>13000</v>
      </c>
      <c r="G478" s="5">
        <f>SUMIFS(Despesas!$F:$F,Despesas!$J:$J,"&lt;="&amp;$A478,Despesas!$L:$L,"&gt;="&amp;$A478,Despesas!$C:$C,G$1,Despesas!$M:$M,"Mensal")+SUMIFS(Despesas!$F:$F,Despesas!$J:$J,"&lt;="&amp;$A478,Despesas!$L:$L,"&gt;="&amp;$A478,Despesas!$C:$C,G$1,Despesas!$M:$M,$B478)</f>
        <v>0</v>
      </c>
      <c r="H478" s="18">
        <f>SUMIFS(Despesas!$F:$F,Despesas!$J:$J,"&lt;="&amp;$A478,Despesas!$L:$L,"&gt;="&amp;$A478,Despesas!$C:$C,H$1,Despesas!$M:$M,"Mensal")+SUMIFS(Despesas!$F:$F,Despesas!$J:$J,"&lt;="&amp;$A478,Despesas!$L:$L,"&gt;="&amp;$A478,Despesas!$C:$C,H$1,Despesas!$M:$M,$B478)</f>
        <v>1000</v>
      </c>
      <c r="I478" s="18">
        <f>IF(Imóveis!$F$2="PRICE",IF(AND(Dados!$A478&gt;=Imóveis!$Q$2,Dados!$A478&lt;=Imóveis!$T$2),Imóveis!$U$2,0),IF((IF(AND(Dados!$A478&gt;=Imóveis!$Q$2,Dados!$A478&lt;=Imóveis!$T$2),Imóveis!$S$2-(DATEDIF(Imóveis!$Q$2,Dados!$A478,"m")),0))=0,0,((Imóveis!$N$2/Imóveis!$S$2)+((Imóveis!$N$2-((Imóveis!$S$2-(IF(AND(Dados!$A478&gt;=Imóveis!$Q$2,Dados!$A478&lt;=Imóveis!$T$2),Imóveis!$S$2-(DATEDIF(Imóveis!$Q$2,Dados!$A478,"m")),)))*(Imóveis!$N$2/Imóveis!$S$2)))*Imóveis!$P$2))))*IF(AND(Imóveis!$E$2&gt;0,Dados!$A478&gt;Imóveis!$E$2),0,1)</f>
        <v>0</v>
      </c>
      <c r="J478" s="18">
        <f>IF(Imóveis!$F$3="PRICE",IF(AND(Dados!$A478&gt;=Imóveis!$Q$3,Dados!$A478&lt;=Imóveis!$T$3),Imóveis!$U$3,0),IF((IF(AND(Dados!$A478&gt;=Imóveis!$Q$3,Dados!$A478&lt;=Imóveis!$T$3),Imóveis!$S$3-(DATEDIF(Imóveis!$Q$3,Dados!$A478,"m")),0))=0,0,((Imóveis!$N$3/Imóveis!$S$3)+((Imóveis!$N$3-((Imóveis!$S$3-(IF(AND(Dados!$A478&gt;=Imóveis!$Q$3,Dados!$A478&lt;=Imóveis!$T$3),Imóveis!$S$3-(DATEDIF(Imóveis!$Q$3,Dados!$A478,"m")),)))*(Imóveis!$N$3/Imóveis!$S$3)))*Imóveis!$P$3))))*IF(AND(Imóveis!$E$3&gt;0,Dados!$A478&gt;Imóveis!$E$3),0,1)</f>
        <v>0</v>
      </c>
      <c r="K478" s="18">
        <f>IF(Imóveis!$F$4="PRICE",IF(AND(Dados!$A478&gt;=Imóveis!$Q$4,Dados!$A478&lt;=Imóveis!$T$4),Imóveis!$U$4,0),IF((IF(AND(Dados!$A478&gt;=Imóveis!$Q$4,Dados!$A478&lt;=Imóveis!$T$4),Imóveis!$S$4-(DATEDIF(Imóveis!$Q$4,Dados!$A478,"m")),0))=0,0,((Imóveis!$N$4/Imóveis!$S$4)+((Imóveis!$N$4-((Imóveis!$S$4-(IF(AND(Dados!$A478&gt;=Imóveis!$Q$4,Dados!$A478&lt;=Imóveis!$T$4),Imóveis!$S$4-(DATEDIF(Imóveis!$Q$4,Dados!$A478,"m")),)))*(Imóveis!$N$4/Imóveis!$S$4)))*Imóveis!$P$4))))*IF(AND(Imóveis!$E$4&gt;0,Dados!$A478&gt;Imóveis!$E$4),0,1)</f>
        <v>0</v>
      </c>
      <c r="L478" s="18">
        <f>IF(Imóveis!$F$5="PRICE",IF(AND(Dados!$A478&gt;=Imóveis!$Q$5,Dados!$A478&lt;=Imóveis!$T$5),Imóveis!$U$5,0),IF((IF(AND(Dados!$A478&gt;=Imóveis!$Q$5,Dados!$A478&lt;=Imóveis!$T$5),Imóveis!$S$5-(DATEDIF(Imóveis!$Q$5,Dados!$A478,"m")),0))=0,0,((Imóveis!$N$5/Imóveis!$S$5)+((Imóveis!$N$5-((Imóveis!$S$5-(IF(AND(Dados!$A478 &gt;=Imóveis!$Q$5,Dados!$A478&lt;=Imóveis!$T$5),Imóveis!$S$5-(DATEDIF(Imóveis!$Q$5,Dados!$A478,"m")),)))*(Imóveis!$N$5/Imóveis!$S$5)))*Imóveis!$P$5))))*IF(AND(Imóveis!$E$5&gt;0,Dados!$A478&gt;Imóveis!$E$5),0,1)*Imóveis!$I$5</f>
        <v>0</v>
      </c>
      <c r="M478" s="18">
        <f>IF(Imóveis!$F$6="PRICE",IF(AND(Dados!$A478&gt;=Imóveis!$Q$6,Dados!$A478&lt;=Imóveis!$T$6),Imóveis!$U$6,0),IF((IF(AND(Dados!$A478&gt;=Imóveis!$Q$6,Dados!$A478&lt;=Imóveis!$T$6),Imóveis!$S$6-(DATEDIF(Imóveis!$Q$6,Dados!$A478,"m")),0))=0,0,((Imóveis!$N$6/Imóveis!$S$6)+((Imóveis!$N$6-((Imóveis!$S$6-(IF(AND(Dados!$A478&gt;=Imóveis!$Q$6,Dados!$A478&lt;=Imóveis!$T$6),Imóveis!$S$6-(DATEDIF(Imóveis!$Q$6,Dados!$A478,"m")),)))*(Imóveis!$N$6/Imóveis!$S$6)))*Imóveis!$P$6))))*IF(AND(Imóveis!$E$6&gt;0,Dados!$A478&gt;Imóveis!$E$6),0,1)*Imóveis!$I$6</f>
        <v>0</v>
      </c>
      <c r="N478" s="18">
        <f t="shared" si="61"/>
        <v>37000</v>
      </c>
      <c r="O478" s="18">
        <f>SUMIFS(Receitas!$F:$F,Receitas!$J:$J,"&lt;="&amp;$A478,Receitas!$L:$L,"&gt;="&amp;$A478,Receitas!$C:$C,O$1,Receitas!$M:$M,"Mensal")+SUMIFS(Receitas!$F:$F,Receitas!$J:$J,"&lt;="&amp;$A478,Receitas!$L:$L,"&gt;="&amp;$A478,Receitas!$C:$C,O$1,Receitas!$M:$M,$B478)</f>
        <v>0</v>
      </c>
      <c r="P478" s="18">
        <f>SUMIFS(Receitas!$F:$F,Receitas!$J:$J,"&lt;="&amp;$A478,Receitas!$L:$L,"&gt;="&amp;$A478,Receitas!$C:$C,P$1,Receitas!$M:$M,"Mensal")+SUMIFS(Receitas!$F:$F,Receitas!$J:$J,"&lt;="&amp;$A478,Receitas!$L:$L,"&gt;="&amp;$A478,Receitas!$C:$C,P$1,Receitas!$M:$M,$B478)</f>
        <v>0</v>
      </c>
      <c r="Q478" s="18">
        <f>SUMIFS(Receitas!$F:$F,Receitas!$J:$J,"&lt;="&amp;$A478,Receitas!$L:$L,"&gt;="&amp;$A478,Receitas!$C:$C,Q$1,Receitas!$M:$M,"Mensal")+SUMIFS(Receitas!$F:$F,Receitas!$J:$J,"&lt;="&amp;$A478,Receitas!$L:$L,"&gt;="&amp;$A478,Receitas!$C:$C,Q$1,Receitas!$M:$M,$B478)</f>
        <v>0</v>
      </c>
      <c r="R478" s="18" cm="1">
        <f t="array" ref="R478">(IF(AND(Membros!$F$2="Sim",A478&lt;=MAX(Membros!$E$2:$E$5)),Membros!K$2,IF(AND(A478&gt;=Membros!J$2,A478&lt;=MAX(Membros!$E$2:$E$5)),Membros!K$2,0))+IF(AND(Membros!$F$3="Sim",A478&lt;=MAX(Membros!$E$2:$E$5)),Membros!K$3,IF(AND(A478&gt;=Membros!J$3,A478&lt;=MAX(Membros!$E$2:$E$5)),Membros!K$3,0)))*IF(AND(COUNTIFS(Tabela3[Tipo],"Provedor",Tabela3[Simulação Seguro],"Sim")=2,A478&gt;=MAX(IF(Tabela3[Tipo]="Dependente",Tabela3[Expectativa de Vida (Data)]))),0,1)</f>
        <v>10000</v>
      </c>
      <c r="S478" s="18">
        <f t="shared" si="62"/>
        <v>10000</v>
      </c>
      <c r="U478" s="18">
        <f t="shared" ca="1" si="65"/>
        <v>30267163.856394827</v>
      </c>
      <c r="V478" s="18">
        <f>SUMIF(Imóveis!E:E,Dados!A:A,Imóveis!Z:Z)-SUMIF(Imóveis!E:E,Dados!A:A,Imóveis!Y:Y)</f>
        <v>0</v>
      </c>
      <c r="W478" s="18">
        <f>-SUMIF(Projetos!N:N,A478,Projetos!F:F)</f>
        <v>0</v>
      </c>
      <c r="X478" s="18">
        <f t="shared" si="59"/>
        <v>-27000</v>
      </c>
      <c r="Y478" s="26">
        <f ca="1">(U478*((Indicadores_Economicos!D$2+1)^(1/12)-1))</f>
        <v>99086.818411012864</v>
      </c>
      <c r="Z478" s="18">
        <f t="shared" ca="1" si="63"/>
        <v>30339250.674805839</v>
      </c>
      <c r="AA478" s="18">
        <f ca="1">Auxiliar_Projetos!E478</f>
        <v>1.8528975783789647E-9</v>
      </c>
      <c r="AB478" s="18">
        <f ca="1">Auxiliar_Projetos!K478</f>
        <v>1.4253058295222794E-9</v>
      </c>
      <c r="AC478" s="18">
        <f ca="1">IF(Z478-AA478-AB478&gt;Investimentos!$C$14,Investimentos!$C$14,IF(Z478-AA478-AB478&lt;Investimentos!$C$14,Z478-AA478-AB478,0))</f>
        <v>300000</v>
      </c>
      <c r="AD478" s="18">
        <f t="shared" ca="1" si="64"/>
        <v>30039250.674805839</v>
      </c>
      <c r="AE478" s="18"/>
    </row>
    <row r="479" spans="1:31" x14ac:dyDescent="0.2">
      <c r="A479" s="4">
        <v>60176</v>
      </c>
      <c r="B479" s="5" t="str">
        <f t="shared" si="60"/>
        <v>outubro</v>
      </c>
      <c r="C479" s="5" t="str">
        <f t="shared" si="66"/>
        <v>2064</v>
      </c>
      <c r="D479" s="5">
        <f>SUMIFS(Despesas!$F:$F,Despesas!$J:$J,"&lt;="&amp;$A479,Despesas!$L:$L,"&gt;="&amp;$A479,Despesas!$C:$C,D$1,Despesas!$M:$M,"Mensal")+SUMIFS(Despesas!$F:$F,Despesas!$J:$J,"&lt;="&amp;$A479,Despesas!$L:$L,"&gt;="&amp;$A479,Despesas!$C:$C,D$1,Despesas!$M:$M,$B479)</f>
        <v>23000</v>
      </c>
      <c r="E479" s="18">
        <f>SUMIFS(Despesas!$F:$F,Despesas!$J:$J,"&lt;="&amp;$A479,Despesas!$L:$L,"&gt;="&amp;$A479,Despesas!$C:$C,E$1,Despesas!$M:$M,"Mensal")+SUMIFS(Despesas!$F:$F,Despesas!$J:$J,"&lt;="&amp;$A479,Despesas!$L:$L,"&gt;="&amp;$A479,Despesas!$C:$C,E$1,Despesas!$M:$M,$B479)</f>
        <v>0</v>
      </c>
      <c r="F479" s="5">
        <f>SUMIFS(Despesas!$F:$F,Despesas!$J:$J,"&lt;="&amp;$A479,Despesas!$L:$L,"&gt;="&amp;$A479,Despesas!$C:$C,F$1,Despesas!$M:$M,"Mensal")+SUMIFS(Despesas!$F:$F,Despesas!$J:$J,"&lt;="&amp;$A479,Despesas!$L:$L,"&gt;="&amp;$A479,Despesas!$C:$C,F$1,Despesas!$M:$M,$B479)</f>
        <v>13000</v>
      </c>
      <c r="G479" s="5">
        <f>SUMIFS(Despesas!$F:$F,Despesas!$J:$J,"&lt;="&amp;$A479,Despesas!$L:$L,"&gt;="&amp;$A479,Despesas!$C:$C,G$1,Despesas!$M:$M,"Mensal")+SUMIFS(Despesas!$F:$F,Despesas!$J:$J,"&lt;="&amp;$A479,Despesas!$L:$L,"&gt;="&amp;$A479,Despesas!$C:$C,G$1,Despesas!$M:$M,$B479)</f>
        <v>0</v>
      </c>
      <c r="H479" s="18">
        <f>SUMIFS(Despesas!$F:$F,Despesas!$J:$J,"&lt;="&amp;$A479,Despesas!$L:$L,"&gt;="&amp;$A479,Despesas!$C:$C,H$1,Despesas!$M:$M,"Mensal")+SUMIFS(Despesas!$F:$F,Despesas!$J:$J,"&lt;="&amp;$A479,Despesas!$L:$L,"&gt;="&amp;$A479,Despesas!$C:$C,H$1,Despesas!$M:$M,$B479)</f>
        <v>1000</v>
      </c>
      <c r="I479" s="18">
        <f>IF(Imóveis!$F$2="PRICE",IF(AND(Dados!$A479&gt;=Imóveis!$Q$2,Dados!$A479&lt;=Imóveis!$T$2),Imóveis!$U$2,0),IF((IF(AND(Dados!$A479&gt;=Imóveis!$Q$2,Dados!$A479&lt;=Imóveis!$T$2),Imóveis!$S$2-(DATEDIF(Imóveis!$Q$2,Dados!$A479,"m")),0))=0,0,((Imóveis!$N$2/Imóveis!$S$2)+((Imóveis!$N$2-((Imóveis!$S$2-(IF(AND(Dados!$A479&gt;=Imóveis!$Q$2,Dados!$A479&lt;=Imóveis!$T$2),Imóveis!$S$2-(DATEDIF(Imóveis!$Q$2,Dados!$A479,"m")),)))*(Imóveis!$N$2/Imóveis!$S$2)))*Imóveis!$P$2))))*IF(AND(Imóveis!$E$2&gt;0,Dados!$A479&gt;Imóveis!$E$2),0,1)</f>
        <v>0</v>
      </c>
      <c r="J479" s="18">
        <f>IF(Imóveis!$F$3="PRICE",IF(AND(Dados!$A479&gt;=Imóveis!$Q$3,Dados!$A479&lt;=Imóveis!$T$3),Imóveis!$U$3,0),IF((IF(AND(Dados!$A479&gt;=Imóveis!$Q$3,Dados!$A479&lt;=Imóveis!$T$3),Imóveis!$S$3-(DATEDIF(Imóveis!$Q$3,Dados!$A479,"m")),0))=0,0,((Imóveis!$N$3/Imóveis!$S$3)+((Imóveis!$N$3-((Imóveis!$S$3-(IF(AND(Dados!$A479&gt;=Imóveis!$Q$3,Dados!$A479&lt;=Imóveis!$T$3),Imóveis!$S$3-(DATEDIF(Imóveis!$Q$3,Dados!$A479,"m")),)))*(Imóveis!$N$3/Imóveis!$S$3)))*Imóveis!$P$3))))*IF(AND(Imóveis!$E$3&gt;0,Dados!$A479&gt;Imóveis!$E$3),0,1)</f>
        <v>0</v>
      </c>
      <c r="K479" s="18">
        <f>IF(Imóveis!$F$4="PRICE",IF(AND(Dados!$A479&gt;=Imóveis!$Q$4,Dados!$A479&lt;=Imóveis!$T$4),Imóveis!$U$4,0),IF((IF(AND(Dados!$A479&gt;=Imóveis!$Q$4,Dados!$A479&lt;=Imóveis!$T$4),Imóveis!$S$4-(DATEDIF(Imóveis!$Q$4,Dados!$A479,"m")),0))=0,0,((Imóveis!$N$4/Imóveis!$S$4)+((Imóveis!$N$4-((Imóveis!$S$4-(IF(AND(Dados!$A479&gt;=Imóveis!$Q$4,Dados!$A479&lt;=Imóveis!$T$4),Imóveis!$S$4-(DATEDIF(Imóveis!$Q$4,Dados!$A479,"m")),)))*(Imóveis!$N$4/Imóveis!$S$4)))*Imóveis!$P$4))))*IF(AND(Imóveis!$E$4&gt;0,Dados!$A479&gt;Imóveis!$E$4),0,1)</f>
        <v>0</v>
      </c>
      <c r="L479" s="18">
        <f>IF(Imóveis!$F$5="PRICE",IF(AND(Dados!$A479&gt;=Imóveis!$Q$5,Dados!$A479&lt;=Imóveis!$T$5),Imóveis!$U$5,0),IF((IF(AND(Dados!$A479&gt;=Imóveis!$Q$5,Dados!$A479&lt;=Imóveis!$T$5),Imóveis!$S$5-(DATEDIF(Imóveis!$Q$5,Dados!$A479,"m")),0))=0,0,((Imóveis!$N$5/Imóveis!$S$5)+((Imóveis!$N$5-((Imóveis!$S$5-(IF(AND(Dados!$A479 &gt;=Imóveis!$Q$5,Dados!$A479&lt;=Imóveis!$T$5),Imóveis!$S$5-(DATEDIF(Imóveis!$Q$5,Dados!$A479,"m")),)))*(Imóveis!$N$5/Imóveis!$S$5)))*Imóveis!$P$5))))*IF(AND(Imóveis!$E$5&gt;0,Dados!$A479&gt;Imóveis!$E$5),0,1)*Imóveis!$I$5</f>
        <v>0</v>
      </c>
      <c r="M479" s="18">
        <f>IF(Imóveis!$F$6="PRICE",IF(AND(Dados!$A479&gt;=Imóveis!$Q$6,Dados!$A479&lt;=Imóveis!$T$6),Imóveis!$U$6,0),IF((IF(AND(Dados!$A479&gt;=Imóveis!$Q$6,Dados!$A479&lt;=Imóveis!$T$6),Imóveis!$S$6-(DATEDIF(Imóveis!$Q$6,Dados!$A479,"m")),0))=0,0,((Imóveis!$N$6/Imóveis!$S$6)+((Imóveis!$N$6-((Imóveis!$S$6-(IF(AND(Dados!$A479&gt;=Imóveis!$Q$6,Dados!$A479&lt;=Imóveis!$T$6),Imóveis!$S$6-(DATEDIF(Imóveis!$Q$6,Dados!$A479,"m")),)))*(Imóveis!$N$6/Imóveis!$S$6)))*Imóveis!$P$6))))*IF(AND(Imóveis!$E$6&gt;0,Dados!$A479&gt;Imóveis!$E$6),0,1)*Imóveis!$I$6</f>
        <v>0</v>
      </c>
      <c r="N479" s="18">
        <f t="shared" si="61"/>
        <v>37000</v>
      </c>
      <c r="O479" s="18">
        <f>SUMIFS(Receitas!$F:$F,Receitas!$J:$J,"&lt;="&amp;$A479,Receitas!$L:$L,"&gt;="&amp;$A479,Receitas!$C:$C,O$1,Receitas!$M:$M,"Mensal")+SUMIFS(Receitas!$F:$F,Receitas!$J:$J,"&lt;="&amp;$A479,Receitas!$L:$L,"&gt;="&amp;$A479,Receitas!$C:$C,O$1,Receitas!$M:$M,$B479)</f>
        <v>0</v>
      </c>
      <c r="P479" s="18">
        <f>SUMIFS(Receitas!$F:$F,Receitas!$J:$J,"&lt;="&amp;$A479,Receitas!$L:$L,"&gt;="&amp;$A479,Receitas!$C:$C,P$1,Receitas!$M:$M,"Mensal")+SUMIFS(Receitas!$F:$F,Receitas!$J:$J,"&lt;="&amp;$A479,Receitas!$L:$L,"&gt;="&amp;$A479,Receitas!$C:$C,P$1,Receitas!$M:$M,$B479)</f>
        <v>0</v>
      </c>
      <c r="Q479" s="18">
        <f>SUMIFS(Receitas!$F:$F,Receitas!$J:$J,"&lt;="&amp;$A479,Receitas!$L:$L,"&gt;="&amp;$A479,Receitas!$C:$C,Q$1,Receitas!$M:$M,"Mensal")+SUMIFS(Receitas!$F:$F,Receitas!$J:$J,"&lt;="&amp;$A479,Receitas!$L:$L,"&gt;="&amp;$A479,Receitas!$C:$C,Q$1,Receitas!$M:$M,$B479)</f>
        <v>0</v>
      </c>
      <c r="R479" s="18" cm="1">
        <f t="array" ref="R479">(IF(AND(Membros!$F$2="Sim",A479&lt;=MAX(Membros!$E$2:$E$5)),Membros!K$2,IF(AND(A479&gt;=Membros!J$2,A479&lt;=MAX(Membros!$E$2:$E$5)),Membros!K$2,0))+IF(AND(Membros!$F$3="Sim",A479&lt;=MAX(Membros!$E$2:$E$5)),Membros!K$3,IF(AND(A479&gt;=Membros!J$3,A479&lt;=MAX(Membros!$E$2:$E$5)),Membros!K$3,0)))*IF(AND(COUNTIFS(Tabela3[Tipo],"Provedor",Tabela3[Simulação Seguro],"Sim")=2,A479&gt;=MAX(IF(Tabela3[Tipo]="Dependente",Tabela3[Expectativa de Vida (Data)]))),0,1)</f>
        <v>10000</v>
      </c>
      <c r="S479" s="18">
        <f t="shared" si="62"/>
        <v>10000</v>
      </c>
      <c r="U479" s="18">
        <f t="shared" ca="1" si="65"/>
        <v>30339250.674805839</v>
      </c>
      <c r="V479" s="18">
        <f>SUMIF(Imóveis!E:E,Dados!A:A,Imóveis!Z:Z)-SUMIF(Imóveis!E:E,Dados!A:A,Imóveis!Y:Y)</f>
        <v>0</v>
      </c>
      <c r="W479" s="18">
        <f>-SUMIF(Projetos!N:N,A479,Projetos!F:F)</f>
        <v>0</v>
      </c>
      <c r="X479" s="18">
        <f t="shared" si="59"/>
        <v>-27000</v>
      </c>
      <c r="Y479" s="26">
        <f ca="1">(U479*((Indicadores_Economicos!D$2+1)^(1/12)-1))</f>
        <v>99322.811896217128</v>
      </c>
      <c r="Z479" s="18">
        <f t="shared" ca="1" si="63"/>
        <v>30411573.486702055</v>
      </c>
      <c r="AA479" s="18">
        <f ca="1">Auxiliar_Projetos!E479</f>
        <v>1.858963482893644E-9</v>
      </c>
      <c r="AB479" s="18">
        <f ca="1">Auxiliar_Projetos!K479</f>
        <v>1.4299719099181865E-9</v>
      </c>
      <c r="AC479" s="18">
        <f ca="1">IF(Z479-AA479-AB479&gt;Investimentos!$C$14,Investimentos!$C$14,IF(Z479-AA479-AB479&lt;Investimentos!$C$14,Z479-AA479-AB479,0))</f>
        <v>300000</v>
      </c>
      <c r="AD479" s="18">
        <f t="shared" ca="1" si="64"/>
        <v>30111573.486702055</v>
      </c>
      <c r="AE479" s="18"/>
    </row>
    <row r="480" spans="1:31" x14ac:dyDescent="0.2">
      <c r="A480" s="4">
        <v>60207</v>
      </c>
      <c r="B480" s="5" t="str">
        <f t="shared" si="60"/>
        <v>novembro</v>
      </c>
      <c r="C480" s="5" t="str">
        <f t="shared" si="66"/>
        <v>2064</v>
      </c>
      <c r="D480" s="5">
        <f>SUMIFS(Despesas!$F:$F,Despesas!$J:$J,"&lt;="&amp;$A480,Despesas!$L:$L,"&gt;="&amp;$A480,Despesas!$C:$C,D$1,Despesas!$M:$M,"Mensal")+SUMIFS(Despesas!$F:$F,Despesas!$J:$J,"&lt;="&amp;$A480,Despesas!$L:$L,"&gt;="&amp;$A480,Despesas!$C:$C,D$1,Despesas!$M:$M,$B480)</f>
        <v>23000</v>
      </c>
      <c r="E480" s="18">
        <f>SUMIFS(Despesas!$F:$F,Despesas!$J:$J,"&lt;="&amp;$A480,Despesas!$L:$L,"&gt;="&amp;$A480,Despesas!$C:$C,E$1,Despesas!$M:$M,"Mensal")+SUMIFS(Despesas!$F:$F,Despesas!$J:$J,"&lt;="&amp;$A480,Despesas!$L:$L,"&gt;="&amp;$A480,Despesas!$C:$C,E$1,Despesas!$M:$M,$B480)</f>
        <v>0</v>
      </c>
      <c r="F480" s="5">
        <f>SUMIFS(Despesas!$F:$F,Despesas!$J:$J,"&lt;="&amp;$A480,Despesas!$L:$L,"&gt;="&amp;$A480,Despesas!$C:$C,F$1,Despesas!$M:$M,"Mensal")+SUMIFS(Despesas!$F:$F,Despesas!$J:$J,"&lt;="&amp;$A480,Despesas!$L:$L,"&gt;="&amp;$A480,Despesas!$C:$C,F$1,Despesas!$M:$M,$B480)</f>
        <v>13000</v>
      </c>
      <c r="G480" s="5">
        <f>SUMIFS(Despesas!$F:$F,Despesas!$J:$J,"&lt;="&amp;$A480,Despesas!$L:$L,"&gt;="&amp;$A480,Despesas!$C:$C,G$1,Despesas!$M:$M,"Mensal")+SUMIFS(Despesas!$F:$F,Despesas!$J:$J,"&lt;="&amp;$A480,Despesas!$L:$L,"&gt;="&amp;$A480,Despesas!$C:$C,G$1,Despesas!$M:$M,$B480)</f>
        <v>0</v>
      </c>
      <c r="H480" s="18">
        <f>SUMIFS(Despesas!$F:$F,Despesas!$J:$J,"&lt;="&amp;$A480,Despesas!$L:$L,"&gt;="&amp;$A480,Despesas!$C:$C,H$1,Despesas!$M:$M,"Mensal")+SUMIFS(Despesas!$F:$F,Despesas!$J:$J,"&lt;="&amp;$A480,Despesas!$L:$L,"&gt;="&amp;$A480,Despesas!$C:$C,H$1,Despesas!$M:$M,$B480)</f>
        <v>1000</v>
      </c>
      <c r="I480" s="18">
        <f>IF(Imóveis!$F$2="PRICE",IF(AND(Dados!$A480&gt;=Imóveis!$Q$2,Dados!$A480&lt;=Imóveis!$T$2),Imóveis!$U$2,0),IF((IF(AND(Dados!$A480&gt;=Imóveis!$Q$2,Dados!$A480&lt;=Imóveis!$T$2),Imóveis!$S$2-(DATEDIF(Imóveis!$Q$2,Dados!$A480,"m")),0))=0,0,((Imóveis!$N$2/Imóveis!$S$2)+((Imóveis!$N$2-((Imóveis!$S$2-(IF(AND(Dados!$A480&gt;=Imóveis!$Q$2,Dados!$A480&lt;=Imóveis!$T$2),Imóveis!$S$2-(DATEDIF(Imóveis!$Q$2,Dados!$A480,"m")),)))*(Imóveis!$N$2/Imóveis!$S$2)))*Imóveis!$P$2))))*IF(AND(Imóveis!$E$2&gt;0,Dados!$A480&gt;Imóveis!$E$2),0,1)</f>
        <v>0</v>
      </c>
      <c r="J480" s="18">
        <f>IF(Imóveis!$F$3="PRICE",IF(AND(Dados!$A480&gt;=Imóveis!$Q$3,Dados!$A480&lt;=Imóveis!$T$3),Imóveis!$U$3,0),IF((IF(AND(Dados!$A480&gt;=Imóveis!$Q$3,Dados!$A480&lt;=Imóveis!$T$3),Imóveis!$S$3-(DATEDIF(Imóveis!$Q$3,Dados!$A480,"m")),0))=0,0,((Imóveis!$N$3/Imóveis!$S$3)+((Imóveis!$N$3-((Imóveis!$S$3-(IF(AND(Dados!$A480&gt;=Imóveis!$Q$3,Dados!$A480&lt;=Imóveis!$T$3),Imóveis!$S$3-(DATEDIF(Imóveis!$Q$3,Dados!$A480,"m")),)))*(Imóveis!$N$3/Imóveis!$S$3)))*Imóveis!$P$3))))*IF(AND(Imóveis!$E$3&gt;0,Dados!$A480&gt;Imóveis!$E$3),0,1)</f>
        <v>0</v>
      </c>
      <c r="K480" s="18">
        <f>IF(Imóveis!$F$4="PRICE",IF(AND(Dados!$A480&gt;=Imóveis!$Q$4,Dados!$A480&lt;=Imóveis!$T$4),Imóveis!$U$4,0),IF((IF(AND(Dados!$A480&gt;=Imóveis!$Q$4,Dados!$A480&lt;=Imóveis!$T$4),Imóveis!$S$4-(DATEDIF(Imóveis!$Q$4,Dados!$A480,"m")),0))=0,0,((Imóveis!$N$4/Imóveis!$S$4)+((Imóveis!$N$4-((Imóveis!$S$4-(IF(AND(Dados!$A480&gt;=Imóveis!$Q$4,Dados!$A480&lt;=Imóveis!$T$4),Imóveis!$S$4-(DATEDIF(Imóveis!$Q$4,Dados!$A480,"m")),)))*(Imóveis!$N$4/Imóveis!$S$4)))*Imóveis!$P$4))))*IF(AND(Imóveis!$E$4&gt;0,Dados!$A480&gt;Imóveis!$E$4),0,1)</f>
        <v>0</v>
      </c>
      <c r="L480" s="18">
        <f>IF(Imóveis!$F$5="PRICE",IF(AND(Dados!$A480&gt;=Imóveis!$Q$5,Dados!$A480&lt;=Imóveis!$T$5),Imóveis!$U$5,0),IF((IF(AND(Dados!$A480&gt;=Imóveis!$Q$5,Dados!$A480&lt;=Imóveis!$T$5),Imóveis!$S$5-(DATEDIF(Imóveis!$Q$5,Dados!$A480,"m")),0))=0,0,((Imóveis!$N$5/Imóveis!$S$5)+((Imóveis!$N$5-((Imóveis!$S$5-(IF(AND(Dados!$A480 &gt;=Imóveis!$Q$5,Dados!$A480&lt;=Imóveis!$T$5),Imóveis!$S$5-(DATEDIF(Imóveis!$Q$5,Dados!$A480,"m")),)))*(Imóveis!$N$5/Imóveis!$S$5)))*Imóveis!$P$5))))*IF(AND(Imóveis!$E$5&gt;0,Dados!$A480&gt;Imóveis!$E$5),0,1)*Imóveis!$I$5</f>
        <v>0</v>
      </c>
      <c r="M480" s="18">
        <f>IF(Imóveis!$F$6="PRICE",IF(AND(Dados!$A480&gt;=Imóveis!$Q$6,Dados!$A480&lt;=Imóveis!$T$6),Imóveis!$U$6,0),IF((IF(AND(Dados!$A480&gt;=Imóveis!$Q$6,Dados!$A480&lt;=Imóveis!$T$6),Imóveis!$S$6-(DATEDIF(Imóveis!$Q$6,Dados!$A480,"m")),0))=0,0,((Imóveis!$N$6/Imóveis!$S$6)+((Imóveis!$N$6-((Imóveis!$S$6-(IF(AND(Dados!$A480&gt;=Imóveis!$Q$6,Dados!$A480&lt;=Imóveis!$T$6),Imóveis!$S$6-(DATEDIF(Imóveis!$Q$6,Dados!$A480,"m")),)))*(Imóveis!$N$6/Imóveis!$S$6)))*Imóveis!$P$6))))*IF(AND(Imóveis!$E$6&gt;0,Dados!$A480&gt;Imóveis!$E$6),0,1)*Imóveis!$I$6</f>
        <v>0</v>
      </c>
      <c r="N480" s="18">
        <f t="shared" si="61"/>
        <v>37000</v>
      </c>
      <c r="O480" s="18">
        <f>SUMIFS(Receitas!$F:$F,Receitas!$J:$J,"&lt;="&amp;$A480,Receitas!$L:$L,"&gt;="&amp;$A480,Receitas!$C:$C,O$1,Receitas!$M:$M,"Mensal")+SUMIFS(Receitas!$F:$F,Receitas!$J:$J,"&lt;="&amp;$A480,Receitas!$L:$L,"&gt;="&amp;$A480,Receitas!$C:$C,O$1,Receitas!$M:$M,$B480)</f>
        <v>0</v>
      </c>
      <c r="P480" s="18">
        <f>SUMIFS(Receitas!$F:$F,Receitas!$J:$J,"&lt;="&amp;$A480,Receitas!$L:$L,"&gt;="&amp;$A480,Receitas!$C:$C,P$1,Receitas!$M:$M,"Mensal")+SUMIFS(Receitas!$F:$F,Receitas!$J:$J,"&lt;="&amp;$A480,Receitas!$L:$L,"&gt;="&amp;$A480,Receitas!$C:$C,P$1,Receitas!$M:$M,$B480)</f>
        <v>0</v>
      </c>
      <c r="Q480" s="18">
        <f>SUMIFS(Receitas!$F:$F,Receitas!$J:$J,"&lt;="&amp;$A480,Receitas!$L:$L,"&gt;="&amp;$A480,Receitas!$C:$C,Q$1,Receitas!$M:$M,"Mensal")+SUMIFS(Receitas!$F:$F,Receitas!$J:$J,"&lt;="&amp;$A480,Receitas!$L:$L,"&gt;="&amp;$A480,Receitas!$C:$C,Q$1,Receitas!$M:$M,$B480)</f>
        <v>0</v>
      </c>
      <c r="R480" s="18" cm="1">
        <f t="array" ref="R480">(IF(AND(Membros!$F$2="Sim",A480&lt;=MAX(Membros!$E$2:$E$5)),Membros!K$2,IF(AND(A480&gt;=Membros!J$2,A480&lt;=MAX(Membros!$E$2:$E$5)),Membros!K$2,0))+IF(AND(Membros!$F$3="Sim",A480&lt;=MAX(Membros!$E$2:$E$5)),Membros!K$3,IF(AND(A480&gt;=Membros!J$3,A480&lt;=MAX(Membros!$E$2:$E$5)),Membros!K$3,0)))*IF(AND(COUNTIFS(Tabela3[Tipo],"Provedor",Tabela3[Simulação Seguro],"Sim")=2,A480&gt;=MAX(IF(Tabela3[Tipo]="Dependente",Tabela3[Expectativa de Vida (Data)]))),0,1)</f>
        <v>10000</v>
      </c>
      <c r="S480" s="18">
        <f t="shared" si="62"/>
        <v>10000</v>
      </c>
      <c r="U480" s="18">
        <f t="shared" ca="1" si="65"/>
        <v>30411573.486702055</v>
      </c>
      <c r="V480" s="18">
        <f>SUMIF(Imóveis!E:E,Dados!A:A,Imóveis!Z:Z)-SUMIF(Imóveis!E:E,Dados!A:A,Imóveis!Y:Y)</f>
        <v>0</v>
      </c>
      <c r="W480" s="18">
        <f>-SUMIF(Projetos!N:N,A480,Projetos!F:F)</f>
        <v>0</v>
      </c>
      <c r="X480" s="18">
        <f t="shared" si="59"/>
        <v>-27000</v>
      </c>
      <c r="Y480" s="26">
        <f ca="1">(U480*((Indicadores_Economicos!D$2+1)^(1/12)-1))</f>
        <v>99559.577962682262</v>
      </c>
      <c r="Z480" s="18">
        <f t="shared" ca="1" si="63"/>
        <v>30484133.064664736</v>
      </c>
      <c r="AA480" s="18">
        <f ca="1">Auxiliar_Projetos!E480</f>
        <v>1.8650492456012479E-9</v>
      </c>
      <c r="AB480" s="18">
        <f ca="1">Auxiliar_Projetos!K480</f>
        <v>1.4346532658471125E-9</v>
      </c>
      <c r="AC480" s="18">
        <f ca="1">IF(Z480-AA480-AB480&gt;Investimentos!$C$14,Investimentos!$C$14,IF(Z480-AA480-AB480&lt;Investimentos!$C$14,Z480-AA480-AB480,0))</f>
        <v>300000</v>
      </c>
      <c r="AD480" s="18">
        <f t="shared" ca="1" si="64"/>
        <v>30184133.064664733</v>
      </c>
      <c r="AE480" s="18"/>
    </row>
    <row r="481" spans="1:31" x14ac:dyDescent="0.2">
      <c r="A481" s="4">
        <v>60237</v>
      </c>
      <c r="B481" s="5" t="str">
        <f t="shared" si="60"/>
        <v>dezembro</v>
      </c>
      <c r="C481" s="5" t="str">
        <f t="shared" si="66"/>
        <v>2064</v>
      </c>
      <c r="D481" s="5">
        <f>SUMIFS(Despesas!$F:$F,Despesas!$J:$J,"&lt;="&amp;$A481,Despesas!$L:$L,"&gt;="&amp;$A481,Despesas!$C:$C,D$1,Despesas!$M:$M,"Mensal")+SUMIFS(Despesas!$F:$F,Despesas!$J:$J,"&lt;="&amp;$A481,Despesas!$L:$L,"&gt;="&amp;$A481,Despesas!$C:$C,D$1,Despesas!$M:$M,$B481)</f>
        <v>23000</v>
      </c>
      <c r="E481" s="18">
        <f>SUMIFS(Despesas!$F:$F,Despesas!$J:$J,"&lt;="&amp;$A481,Despesas!$L:$L,"&gt;="&amp;$A481,Despesas!$C:$C,E$1,Despesas!$M:$M,"Mensal")+SUMIFS(Despesas!$F:$F,Despesas!$J:$J,"&lt;="&amp;$A481,Despesas!$L:$L,"&gt;="&amp;$A481,Despesas!$C:$C,E$1,Despesas!$M:$M,$B481)</f>
        <v>0</v>
      </c>
      <c r="F481" s="5">
        <f>SUMIFS(Despesas!$F:$F,Despesas!$J:$J,"&lt;="&amp;$A481,Despesas!$L:$L,"&gt;="&amp;$A481,Despesas!$C:$C,F$1,Despesas!$M:$M,"Mensal")+SUMIFS(Despesas!$F:$F,Despesas!$J:$J,"&lt;="&amp;$A481,Despesas!$L:$L,"&gt;="&amp;$A481,Despesas!$C:$C,F$1,Despesas!$M:$M,$B481)</f>
        <v>13000</v>
      </c>
      <c r="G481" s="5">
        <f ca="1">SUMIFS(Despesas!$F:$F,Despesas!$J:$J,"&lt;="&amp;$A481,Despesas!$L:$L,"&gt;="&amp;$A481,Despesas!$C:$C,G$1,Despesas!$M:$M,"Mensal")+SUMIFS(Despesas!$F:$F,Despesas!$J:$J,"&lt;="&amp;$A481,Despesas!$L:$L,"&gt;="&amp;$A481,Despesas!$C:$C,G$1,Despesas!$M:$M,$B481)</f>
        <v>55757</v>
      </c>
      <c r="H481" s="18">
        <f>SUMIFS(Despesas!$F:$F,Despesas!$J:$J,"&lt;="&amp;$A481,Despesas!$L:$L,"&gt;="&amp;$A481,Despesas!$C:$C,H$1,Despesas!$M:$M,"Mensal")+SUMIFS(Despesas!$F:$F,Despesas!$J:$J,"&lt;="&amp;$A481,Despesas!$L:$L,"&gt;="&amp;$A481,Despesas!$C:$C,H$1,Despesas!$M:$M,$B481)</f>
        <v>1000</v>
      </c>
      <c r="I481" s="18">
        <f>IF(Imóveis!$F$2="PRICE",IF(AND(Dados!$A481&gt;=Imóveis!$Q$2,Dados!$A481&lt;=Imóveis!$T$2),Imóveis!$U$2,0),IF((IF(AND(Dados!$A481&gt;=Imóveis!$Q$2,Dados!$A481&lt;=Imóveis!$T$2),Imóveis!$S$2-(DATEDIF(Imóveis!$Q$2,Dados!$A481,"m")),0))=0,0,((Imóveis!$N$2/Imóveis!$S$2)+((Imóveis!$N$2-((Imóveis!$S$2-(IF(AND(Dados!$A481&gt;=Imóveis!$Q$2,Dados!$A481&lt;=Imóveis!$T$2),Imóveis!$S$2-(DATEDIF(Imóveis!$Q$2,Dados!$A481,"m")),)))*(Imóveis!$N$2/Imóveis!$S$2)))*Imóveis!$P$2))))*IF(AND(Imóveis!$E$2&gt;0,Dados!$A481&gt;Imóveis!$E$2),0,1)</f>
        <v>0</v>
      </c>
      <c r="J481" s="18">
        <f>IF(Imóveis!$F$3="PRICE",IF(AND(Dados!$A481&gt;=Imóveis!$Q$3,Dados!$A481&lt;=Imóveis!$T$3),Imóveis!$U$3,0),IF((IF(AND(Dados!$A481&gt;=Imóveis!$Q$3,Dados!$A481&lt;=Imóveis!$T$3),Imóveis!$S$3-(DATEDIF(Imóveis!$Q$3,Dados!$A481,"m")),0))=0,0,((Imóveis!$N$3/Imóveis!$S$3)+((Imóveis!$N$3-((Imóveis!$S$3-(IF(AND(Dados!$A481&gt;=Imóveis!$Q$3,Dados!$A481&lt;=Imóveis!$T$3),Imóveis!$S$3-(DATEDIF(Imóveis!$Q$3,Dados!$A481,"m")),)))*(Imóveis!$N$3/Imóveis!$S$3)))*Imóveis!$P$3))))*IF(AND(Imóveis!$E$3&gt;0,Dados!$A481&gt;Imóveis!$E$3),0,1)</f>
        <v>0</v>
      </c>
      <c r="K481" s="18">
        <f>IF(Imóveis!$F$4="PRICE",IF(AND(Dados!$A481&gt;=Imóveis!$Q$4,Dados!$A481&lt;=Imóveis!$T$4),Imóveis!$U$4,0),IF((IF(AND(Dados!$A481&gt;=Imóveis!$Q$4,Dados!$A481&lt;=Imóveis!$T$4),Imóveis!$S$4-(DATEDIF(Imóveis!$Q$4,Dados!$A481,"m")),0))=0,0,((Imóveis!$N$4/Imóveis!$S$4)+((Imóveis!$N$4-((Imóveis!$S$4-(IF(AND(Dados!$A481&gt;=Imóveis!$Q$4,Dados!$A481&lt;=Imóveis!$T$4),Imóveis!$S$4-(DATEDIF(Imóveis!$Q$4,Dados!$A481,"m")),)))*(Imóveis!$N$4/Imóveis!$S$4)))*Imóveis!$P$4))))*IF(AND(Imóveis!$E$4&gt;0,Dados!$A481&gt;Imóveis!$E$4),0,1)</f>
        <v>0</v>
      </c>
      <c r="L481" s="18">
        <f>IF(Imóveis!$F$5="PRICE",IF(AND(Dados!$A481&gt;=Imóveis!$Q$5,Dados!$A481&lt;=Imóveis!$T$5),Imóveis!$U$5,0),IF((IF(AND(Dados!$A481&gt;=Imóveis!$Q$5,Dados!$A481&lt;=Imóveis!$T$5),Imóveis!$S$5-(DATEDIF(Imóveis!$Q$5,Dados!$A481,"m")),0))=0,0,((Imóveis!$N$5/Imóveis!$S$5)+((Imóveis!$N$5-((Imóveis!$S$5-(IF(AND(Dados!$A481 &gt;=Imóveis!$Q$5,Dados!$A481&lt;=Imóveis!$T$5),Imóveis!$S$5-(DATEDIF(Imóveis!$Q$5,Dados!$A481,"m")),)))*(Imóveis!$N$5/Imóveis!$S$5)))*Imóveis!$P$5))))*IF(AND(Imóveis!$E$5&gt;0,Dados!$A481&gt;Imóveis!$E$5),0,1)*Imóveis!$I$5</f>
        <v>0</v>
      </c>
      <c r="M481" s="18">
        <f>IF(Imóveis!$F$6="PRICE",IF(AND(Dados!$A481&gt;=Imóveis!$Q$6,Dados!$A481&lt;=Imóveis!$T$6),Imóveis!$U$6,0),IF((IF(AND(Dados!$A481&gt;=Imóveis!$Q$6,Dados!$A481&lt;=Imóveis!$T$6),Imóveis!$S$6-(DATEDIF(Imóveis!$Q$6,Dados!$A481,"m")),0))=0,0,((Imóveis!$N$6/Imóveis!$S$6)+((Imóveis!$N$6-((Imóveis!$S$6-(IF(AND(Dados!$A481&gt;=Imóveis!$Q$6,Dados!$A481&lt;=Imóveis!$T$6),Imóveis!$S$6-(DATEDIF(Imóveis!$Q$6,Dados!$A481,"m")),)))*(Imóveis!$N$6/Imóveis!$S$6)))*Imóveis!$P$6))))*IF(AND(Imóveis!$E$6&gt;0,Dados!$A481&gt;Imóveis!$E$6),0,1)*Imóveis!$I$6</f>
        <v>0</v>
      </c>
      <c r="N481" s="18">
        <f t="shared" ca="1" si="61"/>
        <v>92757</v>
      </c>
      <c r="O481" s="18">
        <f>SUMIFS(Receitas!$F:$F,Receitas!$J:$J,"&lt;="&amp;$A481,Receitas!$L:$L,"&gt;="&amp;$A481,Receitas!$C:$C,O$1,Receitas!$M:$M,"Mensal")+SUMIFS(Receitas!$F:$F,Receitas!$J:$J,"&lt;="&amp;$A481,Receitas!$L:$L,"&gt;="&amp;$A481,Receitas!$C:$C,O$1,Receitas!$M:$M,$B481)</f>
        <v>0</v>
      </c>
      <c r="P481" s="18">
        <f>SUMIFS(Receitas!$F:$F,Receitas!$J:$J,"&lt;="&amp;$A481,Receitas!$L:$L,"&gt;="&amp;$A481,Receitas!$C:$C,P$1,Receitas!$M:$M,"Mensal")+SUMIFS(Receitas!$F:$F,Receitas!$J:$J,"&lt;="&amp;$A481,Receitas!$L:$L,"&gt;="&amp;$A481,Receitas!$C:$C,P$1,Receitas!$M:$M,$B481)</f>
        <v>0</v>
      </c>
      <c r="Q481" s="18">
        <f>SUMIFS(Receitas!$F:$F,Receitas!$J:$J,"&lt;="&amp;$A481,Receitas!$L:$L,"&gt;="&amp;$A481,Receitas!$C:$C,Q$1,Receitas!$M:$M,"Mensal")+SUMIFS(Receitas!$F:$F,Receitas!$J:$J,"&lt;="&amp;$A481,Receitas!$L:$L,"&gt;="&amp;$A481,Receitas!$C:$C,Q$1,Receitas!$M:$M,$B481)</f>
        <v>0</v>
      </c>
      <c r="R481" s="18" cm="1">
        <f t="array" ref="R481">(IF(AND(Membros!$F$2="Sim",A481&lt;=MAX(Membros!$E$2:$E$5)),Membros!K$2,IF(AND(A481&gt;=Membros!J$2,A481&lt;=MAX(Membros!$E$2:$E$5)),Membros!K$2,0))+IF(AND(Membros!$F$3="Sim",A481&lt;=MAX(Membros!$E$2:$E$5)),Membros!K$3,IF(AND(A481&gt;=Membros!J$3,A481&lt;=MAX(Membros!$E$2:$E$5)),Membros!K$3,0)))*IF(AND(COUNTIFS(Tabela3[Tipo],"Provedor",Tabela3[Simulação Seguro],"Sim")=2,A481&gt;=MAX(IF(Tabela3[Tipo]="Dependente",Tabela3[Expectativa de Vida (Data)]))),0,1)</f>
        <v>10000</v>
      </c>
      <c r="S481" s="18">
        <f t="shared" si="62"/>
        <v>10000</v>
      </c>
      <c r="U481" s="18">
        <f t="shared" ca="1" si="65"/>
        <v>30484133.064664736</v>
      </c>
      <c r="V481" s="18">
        <f>SUMIF(Imóveis!E:E,Dados!A:A,Imóveis!Z:Z)-SUMIF(Imóveis!E:E,Dados!A:A,Imóveis!Y:Y)</f>
        <v>0</v>
      </c>
      <c r="W481" s="18">
        <f>-SUMIF(Projetos!N:N,A481,Projetos!F:F)</f>
        <v>0</v>
      </c>
      <c r="X481" s="18">
        <f t="shared" ca="1" si="59"/>
        <v>-82757</v>
      </c>
      <c r="Y481" s="26">
        <f ca="1">(U481*((Indicadores_Economicos!D$2+1)^(1/12)-1))</f>
        <v>99797.119139638264</v>
      </c>
      <c r="Z481" s="18">
        <f t="shared" ca="1" si="63"/>
        <v>30501173.183804374</v>
      </c>
      <c r="AA481" s="18">
        <f ca="1">Auxiliar_Projetos!E481</f>
        <v>1.871154931512333E-9</v>
      </c>
      <c r="AB481" s="18">
        <f ca="1">Auxiliar_Projetos!K481</f>
        <v>1.4393499473171778E-9</v>
      </c>
      <c r="AC481" s="18">
        <f ca="1">IF(Z481-AA481-AB481&gt;Investimentos!$C$14,Investimentos!$C$14,IF(Z481-AA481-AB481&lt;Investimentos!$C$14,Z481-AA481-AB481,0))</f>
        <v>300000</v>
      </c>
      <c r="AD481" s="18">
        <f t="shared" ca="1" si="64"/>
        <v>30201173.18380437</v>
      </c>
      <c r="AE481" s="18"/>
    </row>
    <row r="482" spans="1:31" x14ac:dyDescent="0.2">
      <c r="A482" s="4">
        <v>60268</v>
      </c>
      <c r="B482" s="5" t="str">
        <f t="shared" si="60"/>
        <v>janeiro</v>
      </c>
      <c r="C482" s="5" t="str">
        <f t="shared" si="66"/>
        <v>2065</v>
      </c>
      <c r="D482" s="5">
        <f>SUMIFS(Despesas!$F:$F,Despesas!$J:$J,"&lt;="&amp;$A482,Despesas!$L:$L,"&gt;="&amp;$A482,Despesas!$C:$C,D$1,Despesas!$M:$M,"Mensal")+SUMIFS(Despesas!$F:$F,Despesas!$J:$J,"&lt;="&amp;$A482,Despesas!$L:$L,"&gt;="&amp;$A482,Despesas!$C:$C,D$1,Despesas!$M:$M,$B482)</f>
        <v>23000</v>
      </c>
      <c r="E482" s="18">
        <f>SUMIFS(Despesas!$F:$F,Despesas!$J:$J,"&lt;="&amp;$A482,Despesas!$L:$L,"&gt;="&amp;$A482,Despesas!$C:$C,E$1,Despesas!$M:$M,"Mensal")+SUMIFS(Despesas!$F:$F,Despesas!$J:$J,"&lt;="&amp;$A482,Despesas!$L:$L,"&gt;="&amp;$A482,Despesas!$C:$C,E$1,Despesas!$M:$M,$B482)</f>
        <v>0</v>
      </c>
      <c r="F482" s="5">
        <f>SUMIFS(Despesas!$F:$F,Despesas!$J:$J,"&lt;="&amp;$A482,Despesas!$L:$L,"&gt;="&amp;$A482,Despesas!$C:$C,F$1,Despesas!$M:$M,"Mensal")+SUMIFS(Despesas!$F:$F,Despesas!$J:$J,"&lt;="&amp;$A482,Despesas!$L:$L,"&gt;="&amp;$A482,Despesas!$C:$C,F$1,Despesas!$M:$M,$B482)</f>
        <v>13000</v>
      </c>
      <c r="G482" s="5">
        <f>SUMIFS(Despesas!$F:$F,Despesas!$J:$J,"&lt;="&amp;$A482,Despesas!$L:$L,"&gt;="&amp;$A482,Despesas!$C:$C,G$1,Despesas!$M:$M,"Mensal")+SUMIFS(Despesas!$F:$F,Despesas!$J:$J,"&lt;="&amp;$A482,Despesas!$L:$L,"&gt;="&amp;$A482,Despesas!$C:$C,G$1,Despesas!$M:$M,$B482)</f>
        <v>0</v>
      </c>
      <c r="H482" s="18">
        <f>SUMIFS(Despesas!$F:$F,Despesas!$J:$J,"&lt;="&amp;$A482,Despesas!$L:$L,"&gt;="&amp;$A482,Despesas!$C:$C,H$1,Despesas!$M:$M,"Mensal")+SUMIFS(Despesas!$F:$F,Despesas!$J:$J,"&lt;="&amp;$A482,Despesas!$L:$L,"&gt;="&amp;$A482,Despesas!$C:$C,H$1,Despesas!$M:$M,$B482)</f>
        <v>1000</v>
      </c>
      <c r="I482" s="18">
        <f>IF(Imóveis!$F$2="PRICE",IF(AND(Dados!$A482&gt;=Imóveis!$Q$2,Dados!$A482&lt;=Imóveis!$T$2),Imóveis!$U$2,0),IF((IF(AND(Dados!$A482&gt;=Imóveis!$Q$2,Dados!$A482&lt;=Imóveis!$T$2),Imóveis!$S$2-(DATEDIF(Imóveis!$Q$2,Dados!$A482,"m")),0))=0,0,((Imóveis!$N$2/Imóveis!$S$2)+((Imóveis!$N$2-((Imóveis!$S$2-(IF(AND(Dados!$A482&gt;=Imóveis!$Q$2,Dados!$A482&lt;=Imóveis!$T$2),Imóveis!$S$2-(DATEDIF(Imóveis!$Q$2,Dados!$A482,"m")),)))*(Imóveis!$N$2/Imóveis!$S$2)))*Imóveis!$P$2))))*IF(AND(Imóveis!$E$2&gt;0,Dados!$A482&gt;Imóveis!$E$2),0,1)</f>
        <v>0</v>
      </c>
      <c r="J482" s="18">
        <f>IF(Imóveis!$F$3="PRICE",IF(AND(Dados!$A482&gt;=Imóveis!$Q$3,Dados!$A482&lt;=Imóveis!$T$3),Imóveis!$U$3,0),IF((IF(AND(Dados!$A482&gt;=Imóveis!$Q$3,Dados!$A482&lt;=Imóveis!$T$3),Imóveis!$S$3-(DATEDIF(Imóveis!$Q$3,Dados!$A482,"m")),0))=0,0,((Imóveis!$N$3/Imóveis!$S$3)+((Imóveis!$N$3-((Imóveis!$S$3-(IF(AND(Dados!$A482&gt;=Imóveis!$Q$3,Dados!$A482&lt;=Imóveis!$T$3),Imóveis!$S$3-(DATEDIF(Imóveis!$Q$3,Dados!$A482,"m")),)))*(Imóveis!$N$3/Imóveis!$S$3)))*Imóveis!$P$3))))*IF(AND(Imóveis!$E$3&gt;0,Dados!$A482&gt;Imóveis!$E$3),0,1)</f>
        <v>0</v>
      </c>
      <c r="K482" s="18">
        <f>IF(Imóveis!$F$4="PRICE",IF(AND(Dados!$A482&gt;=Imóveis!$Q$4,Dados!$A482&lt;=Imóveis!$T$4),Imóveis!$U$4,0),IF((IF(AND(Dados!$A482&gt;=Imóveis!$Q$4,Dados!$A482&lt;=Imóveis!$T$4),Imóveis!$S$4-(DATEDIF(Imóveis!$Q$4,Dados!$A482,"m")),0))=0,0,((Imóveis!$N$4/Imóveis!$S$4)+((Imóveis!$N$4-((Imóveis!$S$4-(IF(AND(Dados!$A482&gt;=Imóveis!$Q$4,Dados!$A482&lt;=Imóveis!$T$4),Imóveis!$S$4-(DATEDIF(Imóveis!$Q$4,Dados!$A482,"m")),)))*(Imóveis!$N$4/Imóveis!$S$4)))*Imóveis!$P$4))))*IF(AND(Imóveis!$E$4&gt;0,Dados!$A482&gt;Imóveis!$E$4),0,1)</f>
        <v>0</v>
      </c>
      <c r="L482" s="18">
        <f>IF(Imóveis!$F$5="PRICE",IF(AND(Dados!$A482&gt;=Imóveis!$Q$5,Dados!$A482&lt;=Imóveis!$T$5),Imóveis!$U$5,0),IF((IF(AND(Dados!$A482&gt;=Imóveis!$Q$5,Dados!$A482&lt;=Imóveis!$T$5),Imóveis!$S$5-(DATEDIF(Imóveis!$Q$5,Dados!$A482,"m")),0))=0,0,((Imóveis!$N$5/Imóveis!$S$5)+((Imóveis!$N$5-((Imóveis!$S$5-(IF(AND(Dados!$A482 &gt;=Imóveis!$Q$5,Dados!$A482&lt;=Imóveis!$T$5),Imóveis!$S$5-(DATEDIF(Imóveis!$Q$5,Dados!$A482,"m")),)))*(Imóveis!$N$5/Imóveis!$S$5)))*Imóveis!$P$5))))*IF(AND(Imóveis!$E$5&gt;0,Dados!$A482&gt;Imóveis!$E$5),0,1)*Imóveis!$I$5</f>
        <v>0</v>
      </c>
      <c r="M482" s="18">
        <f>IF(Imóveis!$F$6="PRICE",IF(AND(Dados!$A482&gt;=Imóveis!$Q$6,Dados!$A482&lt;=Imóveis!$T$6),Imóveis!$U$6,0),IF((IF(AND(Dados!$A482&gt;=Imóveis!$Q$6,Dados!$A482&lt;=Imóveis!$T$6),Imóveis!$S$6-(DATEDIF(Imóveis!$Q$6,Dados!$A482,"m")),0))=0,0,((Imóveis!$N$6/Imóveis!$S$6)+((Imóveis!$N$6-((Imóveis!$S$6-(IF(AND(Dados!$A482&gt;=Imóveis!$Q$6,Dados!$A482&lt;=Imóveis!$T$6),Imóveis!$S$6-(DATEDIF(Imóveis!$Q$6,Dados!$A482,"m")),)))*(Imóveis!$N$6/Imóveis!$S$6)))*Imóveis!$P$6))))*IF(AND(Imóveis!$E$6&gt;0,Dados!$A482&gt;Imóveis!$E$6),0,1)*Imóveis!$I$6</f>
        <v>0</v>
      </c>
      <c r="N482" s="18">
        <f t="shared" si="61"/>
        <v>37000</v>
      </c>
      <c r="O482" s="18">
        <f>SUMIFS(Receitas!$F:$F,Receitas!$J:$J,"&lt;="&amp;$A482,Receitas!$L:$L,"&gt;="&amp;$A482,Receitas!$C:$C,O$1,Receitas!$M:$M,"Mensal")+SUMIFS(Receitas!$F:$F,Receitas!$J:$J,"&lt;="&amp;$A482,Receitas!$L:$L,"&gt;="&amp;$A482,Receitas!$C:$C,O$1,Receitas!$M:$M,$B482)</f>
        <v>0</v>
      </c>
      <c r="P482" s="18">
        <f>SUMIFS(Receitas!$F:$F,Receitas!$J:$J,"&lt;="&amp;$A482,Receitas!$L:$L,"&gt;="&amp;$A482,Receitas!$C:$C,P$1,Receitas!$M:$M,"Mensal")+SUMIFS(Receitas!$F:$F,Receitas!$J:$J,"&lt;="&amp;$A482,Receitas!$L:$L,"&gt;="&amp;$A482,Receitas!$C:$C,P$1,Receitas!$M:$M,$B482)</f>
        <v>0</v>
      </c>
      <c r="Q482" s="18">
        <f>SUMIFS(Receitas!$F:$F,Receitas!$J:$J,"&lt;="&amp;$A482,Receitas!$L:$L,"&gt;="&amp;$A482,Receitas!$C:$C,Q$1,Receitas!$M:$M,"Mensal")+SUMIFS(Receitas!$F:$F,Receitas!$J:$J,"&lt;="&amp;$A482,Receitas!$L:$L,"&gt;="&amp;$A482,Receitas!$C:$C,Q$1,Receitas!$M:$M,$B482)</f>
        <v>0</v>
      </c>
      <c r="R482" s="18" cm="1">
        <f t="array" ref="R482">(IF(AND(Membros!$F$2="Sim",A482&lt;=MAX(Membros!$E$2:$E$5)),Membros!K$2,IF(AND(A482&gt;=Membros!J$2,A482&lt;=MAX(Membros!$E$2:$E$5)),Membros!K$2,0))+IF(AND(Membros!$F$3="Sim",A482&lt;=MAX(Membros!$E$2:$E$5)),Membros!K$3,IF(AND(A482&gt;=Membros!J$3,A482&lt;=MAX(Membros!$E$2:$E$5)),Membros!K$3,0)))*IF(AND(COUNTIFS(Tabela3[Tipo],"Provedor",Tabela3[Simulação Seguro],"Sim")=2,A482&gt;=MAX(IF(Tabela3[Tipo]="Dependente",Tabela3[Expectativa de Vida (Data)]))),0,1)</f>
        <v>10000</v>
      </c>
      <c r="S482" s="18">
        <f t="shared" si="62"/>
        <v>10000</v>
      </c>
      <c r="U482" s="18">
        <f t="shared" ca="1" si="65"/>
        <v>30501173.183804374</v>
      </c>
      <c r="V482" s="18">
        <f>SUMIF(Imóveis!E:E,Dados!A:A,Imóveis!Z:Z)-SUMIF(Imóveis!E:E,Dados!A:A,Imóveis!Y:Y)</f>
        <v>0</v>
      </c>
      <c r="W482" s="18">
        <f>-SUMIF(Projetos!N:N,A482,Projetos!F:F)</f>
        <v>0</v>
      </c>
      <c r="X482" s="18">
        <f t="shared" si="59"/>
        <v>-27000</v>
      </c>
      <c r="Y482" s="26">
        <f ca="1">(U482*((Indicadores_Economicos!D$2+1)^(1/12)-1))</f>
        <v>99852.904055559105</v>
      </c>
      <c r="Z482" s="18">
        <f t="shared" ca="1" si="63"/>
        <v>30574026.087859932</v>
      </c>
      <c r="AA482" s="18">
        <f ca="1">Auxiliar_Projetos!E482</f>
        <v>1.8772806058502826E-9</v>
      </c>
      <c r="AB482" s="18">
        <f ca="1">Auxiliar_Projetos!K482</f>
        <v>1.444062004500216E-9</v>
      </c>
      <c r="AC482" s="18">
        <f ca="1">IF(Z482-AA482-AB482&gt;Investimentos!$C$14,Investimentos!$C$14,IF(Z482-AA482-AB482&lt;Investimentos!$C$14,Z482-AA482-AB482,0))</f>
        <v>300000</v>
      </c>
      <c r="AD482" s="18">
        <f t="shared" ca="1" si="64"/>
        <v>30274026.087859929</v>
      </c>
      <c r="AE482" s="18"/>
    </row>
    <row r="483" spans="1:31" x14ac:dyDescent="0.2">
      <c r="A483" s="4">
        <v>60299</v>
      </c>
      <c r="B483" s="5" t="str">
        <f t="shared" si="60"/>
        <v>fevereiro</v>
      </c>
      <c r="C483" s="5" t="str">
        <f t="shared" si="66"/>
        <v>2065</v>
      </c>
      <c r="D483" s="5">
        <f>SUMIFS(Despesas!$F:$F,Despesas!$J:$J,"&lt;="&amp;$A483,Despesas!$L:$L,"&gt;="&amp;$A483,Despesas!$C:$C,D$1,Despesas!$M:$M,"Mensal")+SUMIFS(Despesas!$F:$F,Despesas!$J:$J,"&lt;="&amp;$A483,Despesas!$L:$L,"&gt;="&amp;$A483,Despesas!$C:$C,D$1,Despesas!$M:$M,$B483)</f>
        <v>23000</v>
      </c>
      <c r="E483" s="18">
        <f>SUMIFS(Despesas!$F:$F,Despesas!$J:$J,"&lt;="&amp;$A483,Despesas!$L:$L,"&gt;="&amp;$A483,Despesas!$C:$C,E$1,Despesas!$M:$M,"Mensal")+SUMIFS(Despesas!$F:$F,Despesas!$J:$J,"&lt;="&amp;$A483,Despesas!$L:$L,"&gt;="&amp;$A483,Despesas!$C:$C,E$1,Despesas!$M:$M,$B483)</f>
        <v>0</v>
      </c>
      <c r="F483" s="5">
        <f>SUMIFS(Despesas!$F:$F,Despesas!$J:$J,"&lt;="&amp;$A483,Despesas!$L:$L,"&gt;="&amp;$A483,Despesas!$C:$C,F$1,Despesas!$M:$M,"Mensal")+SUMIFS(Despesas!$F:$F,Despesas!$J:$J,"&lt;="&amp;$A483,Despesas!$L:$L,"&gt;="&amp;$A483,Despesas!$C:$C,F$1,Despesas!$M:$M,$B483)</f>
        <v>13000</v>
      </c>
      <c r="G483" s="5">
        <f>SUMIFS(Despesas!$F:$F,Despesas!$J:$J,"&lt;="&amp;$A483,Despesas!$L:$L,"&gt;="&amp;$A483,Despesas!$C:$C,G$1,Despesas!$M:$M,"Mensal")+SUMIFS(Despesas!$F:$F,Despesas!$J:$J,"&lt;="&amp;$A483,Despesas!$L:$L,"&gt;="&amp;$A483,Despesas!$C:$C,G$1,Despesas!$M:$M,$B483)</f>
        <v>0</v>
      </c>
      <c r="H483" s="18">
        <f>SUMIFS(Despesas!$F:$F,Despesas!$J:$J,"&lt;="&amp;$A483,Despesas!$L:$L,"&gt;="&amp;$A483,Despesas!$C:$C,H$1,Despesas!$M:$M,"Mensal")+SUMIFS(Despesas!$F:$F,Despesas!$J:$J,"&lt;="&amp;$A483,Despesas!$L:$L,"&gt;="&amp;$A483,Despesas!$C:$C,H$1,Despesas!$M:$M,$B483)</f>
        <v>2200</v>
      </c>
      <c r="I483" s="18">
        <f>IF(Imóveis!$F$2="PRICE",IF(AND(Dados!$A483&gt;=Imóveis!$Q$2,Dados!$A483&lt;=Imóveis!$T$2),Imóveis!$U$2,0),IF((IF(AND(Dados!$A483&gt;=Imóveis!$Q$2,Dados!$A483&lt;=Imóveis!$T$2),Imóveis!$S$2-(DATEDIF(Imóveis!$Q$2,Dados!$A483,"m")),0))=0,0,((Imóveis!$N$2/Imóveis!$S$2)+((Imóveis!$N$2-((Imóveis!$S$2-(IF(AND(Dados!$A483&gt;=Imóveis!$Q$2,Dados!$A483&lt;=Imóveis!$T$2),Imóveis!$S$2-(DATEDIF(Imóveis!$Q$2,Dados!$A483,"m")),)))*(Imóveis!$N$2/Imóveis!$S$2)))*Imóveis!$P$2))))*IF(AND(Imóveis!$E$2&gt;0,Dados!$A483&gt;Imóveis!$E$2),0,1)</f>
        <v>0</v>
      </c>
      <c r="J483" s="18">
        <f>IF(Imóveis!$F$3="PRICE",IF(AND(Dados!$A483&gt;=Imóveis!$Q$3,Dados!$A483&lt;=Imóveis!$T$3),Imóveis!$U$3,0),IF((IF(AND(Dados!$A483&gt;=Imóveis!$Q$3,Dados!$A483&lt;=Imóveis!$T$3),Imóveis!$S$3-(DATEDIF(Imóveis!$Q$3,Dados!$A483,"m")),0))=0,0,((Imóveis!$N$3/Imóveis!$S$3)+((Imóveis!$N$3-((Imóveis!$S$3-(IF(AND(Dados!$A483&gt;=Imóveis!$Q$3,Dados!$A483&lt;=Imóveis!$T$3),Imóveis!$S$3-(DATEDIF(Imóveis!$Q$3,Dados!$A483,"m")),)))*(Imóveis!$N$3/Imóveis!$S$3)))*Imóveis!$P$3))))*IF(AND(Imóveis!$E$3&gt;0,Dados!$A483&gt;Imóveis!$E$3),0,1)</f>
        <v>0</v>
      </c>
      <c r="K483" s="18">
        <f>IF(Imóveis!$F$4="PRICE",IF(AND(Dados!$A483&gt;=Imóveis!$Q$4,Dados!$A483&lt;=Imóveis!$T$4),Imóveis!$U$4,0),IF((IF(AND(Dados!$A483&gt;=Imóveis!$Q$4,Dados!$A483&lt;=Imóveis!$T$4),Imóveis!$S$4-(DATEDIF(Imóveis!$Q$4,Dados!$A483,"m")),0))=0,0,((Imóveis!$N$4/Imóveis!$S$4)+((Imóveis!$N$4-((Imóveis!$S$4-(IF(AND(Dados!$A483&gt;=Imóveis!$Q$4,Dados!$A483&lt;=Imóveis!$T$4),Imóveis!$S$4-(DATEDIF(Imóveis!$Q$4,Dados!$A483,"m")),)))*(Imóveis!$N$4/Imóveis!$S$4)))*Imóveis!$P$4))))*IF(AND(Imóveis!$E$4&gt;0,Dados!$A483&gt;Imóveis!$E$4),0,1)</f>
        <v>0</v>
      </c>
      <c r="L483" s="18">
        <f>IF(Imóveis!$F$5="PRICE",IF(AND(Dados!$A483&gt;=Imóveis!$Q$5,Dados!$A483&lt;=Imóveis!$T$5),Imóveis!$U$5,0),IF((IF(AND(Dados!$A483&gt;=Imóveis!$Q$5,Dados!$A483&lt;=Imóveis!$T$5),Imóveis!$S$5-(DATEDIF(Imóveis!$Q$5,Dados!$A483,"m")),0))=0,0,((Imóveis!$N$5/Imóveis!$S$5)+((Imóveis!$N$5-((Imóveis!$S$5-(IF(AND(Dados!$A483 &gt;=Imóveis!$Q$5,Dados!$A483&lt;=Imóveis!$T$5),Imóveis!$S$5-(DATEDIF(Imóveis!$Q$5,Dados!$A483,"m")),)))*(Imóveis!$N$5/Imóveis!$S$5)))*Imóveis!$P$5))))*IF(AND(Imóveis!$E$5&gt;0,Dados!$A483&gt;Imóveis!$E$5),0,1)*Imóveis!$I$5</f>
        <v>0</v>
      </c>
      <c r="M483" s="18">
        <f>IF(Imóveis!$F$6="PRICE",IF(AND(Dados!$A483&gt;=Imóveis!$Q$6,Dados!$A483&lt;=Imóveis!$T$6),Imóveis!$U$6,0),IF((IF(AND(Dados!$A483&gt;=Imóveis!$Q$6,Dados!$A483&lt;=Imóveis!$T$6),Imóveis!$S$6-(DATEDIF(Imóveis!$Q$6,Dados!$A483,"m")),0))=0,0,((Imóveis!$N$6/Imóveis!$S$6)+((Imóveis!$N$6-((Imóveis!$S$6-(IF(AND(Dados!$A483&gt;=Imóveis!$Q$6,Dados!$A483&lt;=Imóveis!$T$6),Imóveis!$S$6-(DATEDIF(Imóveis!$Q$6,Dados!$A483,"m")),)))*(Imóveis!$N$6/Imóveis!$S$6)))*Imóveis!$P$6))))*IF(AND(Imóveis!$E$6&gt;0,Dados!$A483&gt;Imóveis!$E$6),0,1)*Imóveis!$I$6</f>
        <v>0</v>
      </c>
      <c r="N483" s="18">
        <f t="shared" si="61"/>
        <v>38200</v>
      </c>
      <c r="O483" s="18">
        <f>SUMIFS(Receitas!$F:$F,Receitas!$J:$J,"&lt;="&amp;$A483,Receitas!$L:$L,"&gt;="&amp;$A483,Receitas!$C:$C,O$1,Receitas!$M:$M,"Mensal")+SUMIFS(Receitas!$F:$F,Receitas!$J:$J,"&lt;="&amp;$A483,Receitas!$L:$L,"&gt;="&amp;$A483,Receitas!$C:$C,O$1,Receitas!$M:$M,$B483)</f>
        <v>0</v>
      </c>
      <c r="P483" s="18">
        <f>SUMIFS(Receitas!$F:$F,Receitas!$J:$J,"&lt;="&amp;$A483,Receitas!$L:$L,"&gt;="&amp;$A483,Receitas!$C:$C,P$1,Receitas!$M:$M,"Mensal")+SUMIFS(Receitas!$F:$F,Receitas!$J:$J,"&lt;="&amp;$A483,Receitas!$L:$L,"&gt;="&amp;$A483,Receitas!$C:$C,P$1,Receitas!$M:$M,$B483)</f>
        <v>0</v>
      </c>
      <c r="Q483" s="18">
        <f>SUMIFS(Receitas!$F:$F,Receitas!$J:$J,"&lt;="&amp;$A483,Receitas!$L:$L,"&gt;="&amp;$A483,Receitas!$C:$C,Q$1,Receitas!$M:$M,"Mensal")+SUMIFS(Receitas!$F:$F,Receitas!$J:$J,"&lt;="&amp;$A483,Receitas!$L:$L,"&gt;="&amp;$A483,Receitas!$C:$C,Q$1,Receitas!$M:$M,$B483)</f>
        <v>0</v>
      </c>
      <c r="R483" s="18" cm="1">
        <f t="array" ref="R483">(IF(AND(Membros!$F$2="Sim",A483&lt;=MAX(Membros!$E$2:$E$5)),Membros!K$2,IF(AND(A483&gt;=Membros!J$2,A483&lt;=MAX(Membros!$E$2:$E$5)),Membros!K$2,0))+IF(AND(Membros!$F$3="Sim",A483&lt;=MAX(Membros!$E$2:$E$5)),Membros!K$3,IF(AND(A483&gt;=Membros!J$3,A483&lt;=MAX(Membros!$E$2:$E$5)),Membros!K$3,0)))*IF(AND(COUNTIFS(Tabela3[Tipo],"Provedor",Tabela3[Simulação Seguro],"Sim")=2,A483&gt;=MAX(IF(Tabela3[Tipo]="Dependente",Tabela3[Expectativa de Vida (Data)]))),0,1)</f>
        <v>10000</v>
      </c>
      <c r="S483" s="18">
        <f t="shared" si="62"/>
        <v>10000</v>
      </c>
      <c r="U483" s="18">
        <f t="shared" ca="1" si="65"/>
        <v>30574026.087859932</v>
      </c>
      <c r="V483" s="18">
        <f>SUMIF(Imóveis!E:E,Dados!A:A,Imóveis!Z:Z)-SUMIF(Imóveis!E:E,Dados!A:A,Imóveis!Y:Y)</f>
        <v>0</v>
      </c>
      <c r="W483" s="18">
        <f>-SUMIF(Projetos!N:N,A483,Projetos!F:F)</f>
        <v>0</v>
      </c>
      <c r="X483" s="18">
        <f t="shared" si="59"/>
        <v>-28200</v>
      </c>
      <c r="Y483" s="26">
        <f ca="1">(U483*((Indicadores_Economicos!D$2+1)^(1/12)-1))</f>
        <v>100091.4055058145</v>
      </c>
      <c r="Z483" s="18">
        <f t="shared" ca="1" si="63"/>
        <v>30645917.493365746</v>
      </c>
      <c r="AA483" s="18">
        <f ca="1">Auxiliar_Projetos!E483</f>
        <v>1.883426334052005E-9</v>
      </c>
      <c r="AB483" s="18">
        <f ca="1">Auxiliar_Projetos!K483</f>
        <v>1.4487894877323103E-9</v>
      </c>
      <c r="AC483" s="18">
        <f ca="1">IF(Z483-AA483-AB483&gt;Investimentos!$C$14,Investimentos!$C$14,IF(Z483-AA483-AB483&lt;Investimentos!$C$14,Z483-AA483-AB483,0))</f>
        <v>300000</v>
      </c>
      <c r="AD483" s="18">
        <f t="shared" ca="1" si="64"/>
        <v>30345917.493365742</v>
      </c>
      <c r="AE483" s="18"/>
    </row>
    <row r="484" spans="1:31" x14ac:dyDescent="0.2">
      <c r="A484" s="4">
        <v>60327</v>
      </c>
      <c r="B484" s="5" t="str">
        <f t="shared" si="60"/>
        <v>março</v>
      </c>
      <c r="C484" s="5" t="str">
        <f t="shared" si="66"/>
        <v>2065</v>
      </c>
      <c r="D484" s="5">
        <f>SUMIFS(Despesas!$F:$F,Despesas!$J:$J,"&lt;="&amp;$A484,Despesas!$L:$L,"&gt;="&amp;$A484,Despesas!$C:$C,D$1,Despesas!$M:$M,"Mensal")+SUMIFS(Despesas!$F:$F,Despesas!$J:$J,"&lt;="&amp;$A484,Despesas!$L:$L,"&gt;="&amp;$A484,Despesas!$C:$C,D$1,Despesas!$M:$M,$B484)</f>
        <v>23000</v>
      </c>
      <c r="E484" s="18">
        <f>SUMIFS(Despesas!$F:$F,Despesas!$J:$J,"&lt;="&amp;$A484,Despesas!$L:$L,"&gt;="&amp;$A484,Despesas!$C:$C,E$1,Despesas!$M:$M,"Mensal")+SUMIFS(Despesas!$F:$F,Despesas!$J:$J,"&lt;="&amp;$A484,Despesas!$L:$L,"&gt;="&amp;$A484,Despesas!$C:$C,E$1,Despesas!$M:$M,$B484)</f>
        <v>0</v>
      </c>
      <c r="F484" s="5">
        <f>SUMIFS(Despesas!$F:$F,Despesas!$J:$J,"&lt;="&amp;$A484,Despesas!$L:$L,"&gt;="&amp;$A484,Despesas!$C:$C,F$1,Despesas!$M:$M,"Mensal")+SUMIFS(Despesas!$F:$F,Despesas!$J:$J,"&lt;="&amp;$A484,Despesas!$L:$L,"&gt;="&amp;$A484,Despesas!$C:$C,F$1,Despesas!$M:$M,$B484)</f>
        <v>13000</v>
      </c>
      <c r="G484" s="5">
        <f>SUMIFS(Despesas!$F:$F,Despesas!$J:$J,"&lt;="&amp;$A484,Despesas!$L:$L,"&gt;="&amp;$A484,Despesas!$C:$C,G$1,Despesas!$M:$M,"Mensal")+SUMIFS(Despesas!$F:$F,Despesas!$J:$J,"&lt;="&amp;$A484,Despesas!$L:$L,"&gt;="&amp;$A484,Despesas!$C:$C,G$1,Despesas!$M:$M,$B484)</f>
        <v>0</v>
      </c>
      <c r="H484" s="18">
        <f>SUMIFS(Despesas!$F:$F,Despesas!$J:$J,"&lt;="&amp;$A484,Despesas!$L:$L,"&gt;="&amp;$A484,Despesas!$C:$C,H$1,Despesas!$M:$M,"Mensal")+SUMIFS(Despesas!$F:$F,Despesas!$J:$J,"&lt;="&amp;$A484,Despesas!$L:$L,"&gt;="&amp;$A484,Despesas!$C:$C,H$1,Despesas!$M:$M,$B484)</f>
        <v>1000</v>
      </c>
      <c r="I484" s="18">
        <f>IF(Imóveis!$F$2="PRICE",IF(AND(Dados!$A484&gt;=Imóveis!$Q$2,Dados!$A484&lt;=Imóveis!$T$2),Imóveis!$U$2,0),IF((IF(AND(Dados!$A484&gt;=Imóveis!$Q$2,Dados!$A484&lt;=Imóveis!$T$2),Imóveis!$S$2-(DATEDIF(Imóveis!$Q$2,Dados!$A484,"m")),0))=0,0,((Imóveis!$N$2/Imóveis!$S$2)+((Imóveis!$N$2-((Imóveis!$S$2-(IF(AND(Dados!$A484&gt;=Imóveis!$Q$2,Dados!$A484&lt;=Imóveis!$T$2),Imóveis!$S$2-(DATEDIF(Imóveis!$Q$2,Dados!$A484,"m")),)))*(Imóveis!$N$2/Imóveis!$S$2)))*Imóveis!$P$2))))*IF(AND(Imóveis!$E$2&gt;0,Dados!$A484&gt;Imóveis!$E$2),0,1)</f>
        <v>0</v>
      </c>
      <c r="J484" s="18">
        <f>IF(Imóveis!$F$3="PRICE",IF(AND(Dados!$A484&gt;=Imóveis!$Q$3,Dados!$A484&lt;=Imóveis!$T$3),Imóveis!$U$3,0),IF((IF(AND(Dados!$A484&gt;=Imóveis!$Q$3,Dados!$A484&lt;=Imóveis!$T$3),Imóveis!$S$3-(DATEDIF(Imóveis!$Q$3,Dados!$A484,"m")),0))=0,0,((Imóveis!$N$3/Imóveis!$S$3)+((Imóveis!$N$3-((Imóveis!$S$3-(IF(AND(Dados!$A484&gt;=Imóveis!$Q$3,Dados!$A484&lt;=Imóveis!$T$3),Imóveis!$S$3-(DATEDIF(Imóveis!$Q$3,Dados!$A484,"m")),)))*(Imóveis!$N$3/Imóveis!$S$3)))*Imóveis!$P$3))))*IF(AND(Imóveis!$E$3&gt;0,Dados!$A484&gt;Imóveis!$E$3),0,1)</f>
        <v>0</v>
      </c>
      <c r="K484" s="18">
        <f>IF(Imóveis!$F$4="PRICE",IF(AND(Dados!$A484&gt;=Imóveis!$Q$4,Dados!$A484&lt;=Imóveis!$T$4),Imóveis!$U$4,0),IF((IF(AND(Dados!$A484&gt;=Imóveis!$Q$4,Dados!$A484&lt;=Imóveis!$T$4),Imóveis!$S$4-(DATEDIF(Imóveis!$Q$4,Dados!$A484,"m")),0))=0,0,((Imóveis!$N$4/Imóveis!$S$4)+((Imóveis!$N$4-((Imóveis!$S$4-(IF(AND(Dados!$A484&gt;=Imóveis!$Q$4,Dados!$A484&lt;=Imóveis!$T$4),Imóveis!$S$4-(DATEDIF(Imóveis!$Q$4,Dados!$A484,"m")),)))*(Imóveis!$N$4/Imóveis!$S$4)))*Imóveis!$P$4))))*IF(AND(Imóveis!$E$4&gt;0,Dados!$A484&gt;Imóveis!$E$4),0,1)</f>
        <v>0</v>
      </c>
      <c r="L484" s="18">
        <f>IF(Imóveis!$F$5="PRICE",IF(AND(Dados!$A484&gt;=Imóveis!$Q$5,Dados!$A484&lt;=Imóveis!$T$5),Imóveis!$U$5,0),IF((IF(AND(Dados!$A484&gt;=Imóveis!$Q$5,Dados!$A484&lt;=Imóveis!$T$5),Imóveis!$S$5-(DATEDIF(Imóveis!$Q$5,Dados!$A484,"m")),0))=0,0,((Imóveis!$N$5/Imóveis!$S$5)+((Imóveis!$N$5-((Imóveis!$S$5-(IF(AND(Dados!$A484 &gt;=Imóveis!$Q$5,Dados!$A484&lt;=Imóveis!$T$5),Imóveis!$S$5-(DATEDIF(Imóveis!$Q$5,Dados!$A484,"m")),)))*(Imóveis!$N$5/Imóveis!$S$5)))*Imóveis!$P$5))))*IF(AND(Imóveis!$E$5&gt;0,Dados!$A484&gt;Imóveis!$E$5),0,1)*Imóveis!$I$5</f>
        <v>0</v>
      </c>
      <c r="M484" s="18">
        <f>IF(Imóveis!$F$6="PRICE",IF(AND(Dados!$A484&gt;=Imóveis!$Q$6,Dados!$A484&lt;=Imóveis!$T$6),Imóveis!$U$6,0),IF((IF(AND(Dados!$A484&gt;=Imóveis!$Q$6,Dados!$A484&lt;=Imóveis!$T$6),Imóveis!$S$6-(DATEDIF(Imóveis!$Q$6,Dados!$A484,"m")),0))=0,0,((Imóveis!$N$6/Imóveis!$S$6)+((Imóveis!$N$6-((Imóveis!$S$6-(IF(AND(Dados!$A484&gt;=Imóveis!$Q$6,Dados!$A484&lt;=Imóveis!$T$6),Imóveis!$S$6-(DATEDIF(Imóveis!$Q$6,Dados!$A484,"m")),)))*(Imóveis!$N$6/Imóveis!$S$6)))*Imóveis!$P$6))))*IF(AND(Imóveis!$E$6&gt;0,Dados!$A484&gt;Imóveis!$E$6),0,1)*Imóveis!$I$6</f>
        <v>0</v>
      </c>
      <c r="N484" s="18">
        <f t="shared" si="61"/>
        <v>37000</v>
      </c>
      <c r="O484" s="18">
        <f>SUMIFS(Receitas!$F:$F,Receitas!$J:$J,"&lt;="&amp;$A484,Receitas!$L:$L,"&gt;="&amp;$A484,Receitas!$C:$C,O$1,Receitas!$M:$M,"Mensal")+SUMIFS(Receitas!$F:$F,Receitas!$J:$J,"&lt;="&amp;$A484,Receitas!$L:$L,"&gt;="&amp;$A484,Receitas!$C:$C,O$1,Receitas!$M:$M,$B484)</f>
        <v>0</v>
      </c>
      <c r="P484" s="18">
        <f>SUMIFS(Receitas!$F:$F,Receitas!$J:$J,"&lt;="&amp;$A484,Receitas!$L:$L,"&gt;="&amp;$A484,Receitas!$C:$C,P$1,Receitas!$M:$M,"Mensal")+SUMIFS(Receitas!$F:$F,Receitas!$J:$J,"&lt;="&amp;$A484,Receitas!$L:$L,"&gt;="&amp;$A484,Receitas!$C:$C,P$1,Receitas!$M:$M,$B484)</f>
        <v>0</v>
      </c>
      <c r="Q484" s="18">
        <f>SUMIFS(Receitas!$F:$F,Receitas!$J:$J,"&lt;="&amp;$A484,Receitas!$L:$L,"&gt;="&amp;$A484,Receitas!$C:$C,Q$1,Receitas!$M:$M,"Mensal")+SUMIFS(Receitas!$F:$F,Receitas!$J:$J,"&lt;="&amp;$A484,Receitas!$L:$L,"&gt;="&amp;$A484,Receitas!$C:$C,Q$1,Receitas!$M:$M,$B484)</f>
        <v>0</v>
      </c>
      <c r="R484" s="18" cm="1">
        <f t="array" ref="R484">(IF(AND(Membros!$F$2="Sim",A484&lt;=MAX(Membros!$E$2:$E$5)),Membros!K$2,IF(AND(A484&gt;=Membros!J$2,A484&lt;=MAX(Membros!$E$2:$E$5)),Membros!K$2,0))+IF(AND(Membros!$F$3="Sim",A484&lt;=MAX(Membros!$E$2:$E$5)),Membros!K$3,IF(AND(A484&gt;=Membros!J$3,A484&lt;=MAX(Membros!$E$2:$E$5)),Membros!K$3,0)))*IF(AND(COUNTIFS(Tabela3[Tipo],"Provedor",Tabela3[Simulação Seguro],"Sim")=2,A484&gt;=MAX(IF(Tabela3[Tipo]="Dependente",Tabela3[Expectativa de Vida (Data)]))),0,1)</f>
        <v>10000</v>
      </c>
      <c r="S484" s="18">
        <f t="shared" si="62"/>
        <v>10000</v>
      </c>
      <c r="U484" s="18">
        <f t="shared" ca="1" si="65"/>
        <v>30645917.493365746</v>
      </c>
      <c r="V484" s="18">
        <f>SUMIF(Imóveis!E:E,Dados!A:A,Imóveis!Z:Z)-SUMIF(Imóveis!E:E,Dados!A:A,Imóveis!Y:Y)</f>
        <v>0</v>
      </c>
      <c r="W484" s="18">
        <f>-SUMIF(Projetos!N:N,A484,Projetos!F:F)</f>
        <v>0</v>
      </c>
      <c r="X484" s="18">
        <f t="shared" si="59"/>
        <v>-27000</v>
      </c>
      <c r="Y484" s="26">
        <f ca="1">(U484*((Indicadores_Economicos!D$2+1)^(1/12)-1))</f>
        <v>100326.75926001708</v>
      </c>
      <c r="Z484" s="18">
        <f t="shared" ca="1" si="63"/>
        <v>30719244.252625763</v>
      </c>
      <c r="AA484" s="18">
        <f ca="1">Auxiliar_Projetos!E484</f>
        <v>1.8895921817686322E-9</v>
      </c>
      <c r="AB484" s="18">
        <f ca="1">Auxiliar_Projetos!K484</f>
        <v>1.4535324475143312E-9</v>
      </c>
      <c r="AC484" s="18">
        <f ca="1">IF(Z484-AA484-AB484&gt;Investimentos!$C$14,Investimentos!$C$14,IF(Z484-AA484-AB484&lt;Investimentos!$C$14,Z484-AA484-AB484,0))</f>
        <v>300000</v>
      </c>
      <c r="AD484" s="18">
        <f t="shared" ca="1" si="64"/>
        <v>30419244.25262576</v>
      </c>
      <c r="AE484" s="18"/>
    </row>
    <row r="485" spans="1:31" x14ac:dyDescent="0.2">
      <c r="A485" s="4">
        <v>60358</v>
      </c>
      <c r="B485" s="5" t="str">
        <f t="shared" si="60"/>
        <v>abril</v>
      </c>
      <c r="C485" s="5" t="str">
        <f t="shared" si="66"/>
        <v>2065</v>
      </c>
      <c r="D485" s="5">
        <f>SUMIFS(Despesas!$F:$F,Despesas!$J:$J,"&lt;="&amp;$A485,Despesas!$L:$L,"&gt;="&amp;$A485,Despesas!$C:$C,D$1,Despesas!$M:$M,"Mensal")+SUMIFS(Despesas!$F:$F,Despesas!$J:$J,"&lt;="&amp;$A485,Despesas!$L:$L,"&gt;="&amp;$A485,Despesas!$C:$C,D$1,Despesas!$M:$M,$B485)</f>
        <v>23000</v>
      </c>
      <c r="E485" s="18">
        <f>SUMIFS(Despesas!$F:$F,Despesas!$J:$J,"&lt;="&amp;$A485,Despesas!$L:$L,"&gt;="&amp;$A485,Despesas!$C:$C,E$1,Despesas!$M:$M,"Mensal")+SUMIFS(Despesas!$F:$F,Despesas!$J:$J,"&lt;="&amp;$A485,Despesas!$L:$L,"&gt;="&amp;$A485,Despesas!$C:$C,E$1,Despesas!$M:$M,$B485)</f>
        <v>0</v>
      </c>
      <c r="F485" s="5">
        <f>SUMIFS(Despesas!$F:$F,Despesas!$J:$J,"&lt;="&amp;$A485,Despesas!$L:$L,"&gt;="&amp;$A485,Despesas!$C:$C,F$1,Despesas!$M:$M,"Mensal")+SUMIFS(Despesas!$F:$F,Despesas!$J:$J,"&lt;="&amp;$A485,Despesas!$L:$L,"&gt;="&amp;$A485,Despesas!$C:$C,F$1,Despesas!$M:$M,$B485)</f>
        <v>13000</v>
      </c>
      <c r="G485" s="5">
        <f>SUMIFS(Despesas!$F:$F,Despesas!$J:$J,"&lt;="&amp;$A485,Despesas!$L:$L,"&gt;="&amp;$A485,Despesas!$C:$C,G$1,Despesas!$M:$M,"Mensal")+SUMIFS(Despesas!$F:$F,Despesas!$J:$J,"&lt;="&amp;$A485,Despesas!$L:$L,"&gt;="&amp;$A485,Despesas!$C:$C,G$1,Despesas!$M:$M,$B485)</f>
        <v>0</v>
      </c>
      <c r="H485" s="18">
        <f>SUMIFS(Despesas!$F:$F,Despesas!$J:$J,"&lt;="&amp;$A485,Despesas!$L:$L,"&gt;="&amp;$A485,Despesas!$C:$C,H$1,Despesas!$M:$M,"Mensal")+SUMIFS(Despesas!$F:$F,Despesas!$J:$J,"&lt;="&amp;$A485,Despesas!$L:$L,"&gt;="&amp;$A485,Despesas!$C:$C,H$1,Despesas!$M:$M,$B485)</f>
        <v>1000</v>
      </c>
      <c r="I485" s="18">
        <f>IF(Imóveis!$F$2="PRICE",IF(AND(Dados!$A485&gt;=Imóveis!$Q$2,Dados!$A485&lt;=Imóveis!$T$2),Imóveis!$U$2,0),IF((IF(AND(Dados!$A485&gt;=Imóveis!$Q$2,Dados!$A485&lt;=Imóveis!$T$2),Imóveis!$S$2-(DATEDIF(Imóveis!$Q$2,Dados!$A485,"m")),0))=0,0,((Imóveis!$N$2/Imóveis!$S$2)+((Imóveis!$N$2-((Imóveis!$S$2-(IF(AND(Dados!$A485&gt;=Imóveis!$Q$2,Dados!$A485&lt;=Imóveis!$T$2),Imóveis!$S$2-(DATEDIF(Imóveis!$Q$2,Dados!$A485,"m")),)))*(Imóveis!$N$2/Imóveis!$S$2)))*Imóveis!$P$2))))*IF(AND(Imóveis!$E$2&gt;0,Dados!$A485&gt;Imóveis!$E$2),0,1)</f>
        <v>0</v>
      </c>
      <c r="J485" s="18">
        <f>IF(Imóveis!$F$3="PRICE",IF(AND(Dados!$A485&gt;=Imóveis!$Q$3,Dados!$A485&lt;=Imóveis!$T$3),Imóveis!$U$3,0),IF((IF(AND(Dados!$A485&gt;=Imóveis!$Q$3,Dados!$A485&lt;=Imóveis!$T$3),Imóveis!$S$3-(DATEDIF(Imóveis!$Q$3,Dados!$A485,"m")),0))=0,0,((Imóveis!$N$3/Imóveis!$S$3)+((Imóveis!$N$3-((Imóveis!$S$3-(IF(AND(Dados!$A485&gt;=Imóveis!$Q$3,Dados!$A485&lt;=Imóveis!$T$3),Imóveis!$S$3-(DATEDIF(Imóveis!$Q$3,Dados!$A485,"m")),)))*(Imóveis!$N$3/Imóveis!$S$3)))*Imóveis!$P$3))))*IF(AND(Imóveis!$E$3&gt;0,Dados!$A485&gt;Imóveis!$E$3),0,1)</f>
        <v>0</v>
      </c>
      <c r="K485" s="18">
        <f>IF(Imóveis!$F$4="PRICE",IF(AND(Dados!$A485&gt;=Imóveis!$Q$4,Dados!$A485&lt;=Imóveis!$T$4),Imóveis!$U$4,0),IF((IF(AND(Dados!$A485&gt;=Imóveis!$Q$4,Dados!$A485&lt;=Imóveis!$T$4),Imóveis!$S$4-(DATEDIF(Imóveis!$Q$4,Dados!$A485,"m")),0))=0,0,((Imóveis!$N$4/Imóveis!$S$4)+((Imóveis!$N$4-((Imóveis!$S$4-(IF(AND(Dados!$A485&gt;=Imóveis!$Q$4,Dados!$A485&lt;=Imóveis!$T$4),Imóveis!$S$4-(DATEDIF(Imóveis!$Q$4,Dados!$A485,"m")),)))*(Imóveis!$N$4/Imóveis!$S$4)))*Imóveis!$P$4))))*IF(AND(Imóveis!$E$4&gt;0,Dados!$A485&gt;Imóveis!$E$4),0,1)</f>
        <v>0</v>
      </c>
      <c r="L485" s="18">
        <f>IF(Imóveis!$F$5="PRICE",IF(AND(Dados!$A485&gt;=Imóveis!$Q$5,Dados!$A485&lt;=Imóveis!$T$5),Imóveis!$U$5,0),IF((IF(AND(Dados!$A485&gt;=Imóveis!$Q$5,Dados!$A485&lt;=Imóveis!$T$5),Imóveis!$S$5-(DATEDIF(Imóveis!$Q$5,Dados!$A485,"m")),0))=0,0,((Imóveis!$N$5/Imóveis!$S$5)+((Imóveis!$N$5-((Imóveis!$S$5-(IF(AND(Dados!$A485 &gt;=Imóveis!$Q$5,Dados!$A485&lt;=Imóveis!$T$5),Imóveis!$S$5-(DATEDIF(Imóveis!$Q$5,Dados!$A485,"m")),)))*(Imóveis!$N$5/Imóveis!$S$5)))*Imóveis!$P$5))))*IF(AND(Imóveis!$E$5&gt;0,Dados!$A485&gt;Imóveis!$E$5),0,1)*Imóveis!$I$5</f>
        <v>0</v>
      </c>
      <c r="M485" s="18">
        <f>IF(Imóveis!$F$6="PRICE",IF(AND(Dados!$A485&gt;=Imóveis!$Q$6,Dados!$A485&lt;=Imóveis!$T$6),Imóveis!$U$6,0),IF((IF(AND(Dados!$A485&gt;=Imóveis!$Q$6,Dados!$A485&lt;=Imóveis!$T$6),Imóveis!$S$6-(DATEDIF(Imóveis!$Q$6,Dados!$A485,"m")),0))=0,0,((Imóveis!$N$6/Imóveis!$S$6)+((Imóveis!$N$6-((Imóveis!$S$6-(IF(AND(Dados!$A485&gt;=Imóveis!$Q$6,Dados!$A485&lt;=Imóveis!$T$6),Imóveis!$S$6-(DATEDIF(Imóveis!$Q$6,Dados!$A485,"m")),)))*(Imóveis!$N$6/Imóveis!$S$6)))*Imóveis!$P$6))))*IF(AND(Imóveis!$E$6&gt;0,Dados!$A485&gt;Imóveis!$E$6),0,1)*Imóveis!$I$6</f>
        <v>0</v>
      </c>
      <c r="N485" s="18">
        <f t="shared" si="61"/>
        <v>37000</v>
      </c>
      <c r="O485" s="18">
        <f>SUMIFS(Receitas!$F:$F,Receitas!$J:$J,"&lt;="&amp;$A485,Receitas!$L:$L,"&gt;="&amp;$A485,Receitas!$C:$C,O$1,Receitas!$M:$M,"Mensal")+SUMIFS(Receitas!$F:$F,Receitas!$J:$J,"&lt;="&amp;$A485,Receitas!$L:$L,"&gt;="&amp;$A485,Receitas!$C:$C,O$1,Receitas!$M:$M,$B485)</f>
        <v>0</v>
      </c>
      <c r="P485" s="18">
        <f>SUMIFS(Receitas!$F:$F,Receitas!$J:$J,"&lt;="&amp;$A485,Receitas!$L:$L,"&gt;="&amp;$A485,Receitas!$C:$C,P$1,Receitas!$M:$M,"Mensal")+SUMIFS(Receitas!$F:$F,Receitas!$J:$J,"&lt;="&amp;$A485,Receitas!$L:$L,"&gt;="&amp;$A485,Receitas!$C:$C,P$1,Receitas!$M:$M,$B485)</f>
        <v>0</v>
      </c>
      <c r="Q485" s="18">
        <f>SUMIFS(Receitas!$F:$F,Receitas!$J:$J,"&lt;="&amp;$A485,Receitas!$L:$L,"&gt;="&amp;$A485,Receitas!$C:$C,Q$1,Receitas!$M:$M,"Mensal")+SUMIFS(Receitas!$F:$F,Receitas!$J:$J,"&lt;="&amp;$A485,Receitas!$L:$L,"&gt;="&amp;$A485,Receitas!$C:$C,Q$1,Receitas!$M:$M,$B485)</f>
        <v>0</v>
      </c>
      <c r="R485" s="18" cm="1">
        <f t="array" ref="R485">(IF(AND(Membros!$F$2="Sim",A485&lt;=MAX(Membros!$E$2:$E$5)),Membros!K$2,IF(AND(A485&gt;=Membros!J$2,A485&lt;=MAX(Membros!$E$2:$E$5)),Membros!K$2,0))+IF(AND(Membros!$F$3="Sim",A485&lt;=MAX(Membros!$E$2:$E$5)),Membros!K$3,IF(AND(A485&gt;=Membros!J$3,A485&lt;=MAX(Membros!$E$2:$E$5)),Membros!K$3,0)))*IF(AND(COUNTIFS(Tabela3[Tipo],"Provedor",Tabela3[Simulação Seguro],"Sim")=2,A485&gt;=MAX(IF(Tabela3[Tipo]="Dependente",Tabela3[Expectativa de Vida (Data)]))),0,1)</f>
        <v>10000</v>
      </c>
      <c r="S485" s="18">
        <f t="shared" si="62"/>
        <v>10000</v>
      </c>
      <c r="U485" s="18">
        <f t="shared" ca="1" si="65"/>
        <v>30719244.252625763</v>
      </c>
      <c r="V485" s="18">
        <f>SUMIF(Imóveis!E:E,Dados!A:A,Imóveis!Z:Z)-SUMIF(Imóveis!E:E,Dados!A:A,Imóveis!Y:Y)</f>
        <v>0</v>
      </c>
      <c r="W485" s="18">
        <f>-SUMIF(Projetos!N:N,A485,Projetos!F:F)</f>
        <v>0</v>
      </c>
      <c r="X485" s="18">
        <f t="shared" si="59"/>
        <v>-27000</v>
      </c>
      <c r="Y485" s="26">
        <f ca="1">(U485*((Indicadores_Economicos!D$2+1)^(1/12)-1))</f>
        <v>100566.81198890632</v>
      </c>
      <c r="Z485" s="18">
        <f t="shared" ca="1" si="63"/>
        <v>30792811.064614668</v>
      </c>
      <c r="AA485" s="18">
        <f ca="1">Auxiliar_Projetos!E485</f>
        <v>1.8957782148662203E-9</v>
      </c>
      <c r="AB485" s="18">
        <f ca="1">Auxiliar_Projetos!K485</f>
        <v>1.4582909345124757E-9</v>
      </c>
      <c r="AC485" s="18">
        <f ca="1">IF(Z485-AA485-AB485&gt;Investimentos!$C$14,Investimentos!$C$14,IF(Z485-AA485-AB485&lt;Investimentos!$C$14,Z485-AA485-AB485,0))</f>
        <v>300000</v>
      </c>
      <c r="AD485" s="18">
        <f t="shared" ca="1" si="64"/>
        <v>30492811.064614665</v>
      </c>
      <c r="AE485" s="18"/>
    </row>
    <row r="486" spans="1:31" x14ac:dyDescent="0.2">
      <c r="A486" s="4">
        <v>60388</v>
      </c>
      <c r="B486" s="5" t="str">
        <f t="shared" si="60"/>
        <v>maio</v>
      </c>
      <c r="C486" s="5" t="str">
        <f t="shared" si="66"/>
        <v>2065</v>
      </c>
      <c r="D486" s="5">
        <f>SUMIFS(Despesas!$F:$F,Despesas!$J:$J,"&lt;="&amp;$A486,Despesas!$L:$L,"&gt;="&amp;$A486,Despesas!$C:$C,D$1,Despesas!$M:$M,"Mensal")+SUMIFS(Despesas!$F:$F,Despesas!$J:$J,"&lt;="&amp;$A486,Despesas!$L:$L,"&gt;="&amp;$A486,Despesas!$C:$C,D$1,Despesas!$M:$M,$B486)</f>
        <v>23000</v>
      </c>
      <c r="E486" s="18">
        <f>SUMIFS(Despesas!$F:$F,Despesas!$J:$J,"&lt;="&amp;$A486,Despesas!$L:$L,"&gt;="&amp;$A486,Despesas!$C:$C,E$1,Despesas!$M:$M,"Mensal")+SUMIFS(Despesas!$F:$F,Despesas!$J:$J,"&lt;="&amp;$A486,Despesas!$L:$L,"&gt;="&amp;$A486,Despesas!$C:$C,E$1,Despesas!$M:$M,$B486)</f>
        <v>0</v>
      </c>
      <c r="F486" s="5">
        <f>SUMIFS(Despesas!$F:$F,Despesas!$J:$J,"&lt;="&amp;$A486,Despesas!$L:$L,"&gt;="&amp;$A486,Despesas!$C:$C,F$1,Despesas!$M:$M,"Mensal")+SUMIFS(Despesas!$F:$F,Despesas!$J:$J,"&lt;="&amp;$A486,Despesas!$L:$L,"&gt;="&amp;$A486,Despesas!$C:$C,F$1,Despesas!$M:$M,$B486)</f>
        <v>13000</v>
      </c>
      <c r="G486" s="5">
        <f>SUMIFS(Despesas!$F:$F,Despesas!$J:$J,"&lt;="&amp;$A486,Despesas!$L:$L,"&gt;="&amp;$A486,Despesas!$C:$C,G$1,Despesas!$M:$M,"Mensal")+SUMIFS(Despesas!$F:$F,Despesas!$J:$J,"&lt;="&amp;$A486,Despesas!$L:$L,"&gt;="&amp;$A486,Despesas!$C:$C,G$1,Despesas!$M:$M,$B486)</f>
        <v>0</v>
      </c>
      <c r="H486" s="18">
        <f>SUMIFS(Despesas!$F:$F,Despesas!$J:$J,"&lt;="&amp;$A486,Despesas!$L:$L,"&gt;="&amp;$A486,Despesas!$C:$C,H$1,Despesas!$M:$M,"Mensal")+SUMIFS(Despesas!$F:$F,Despesas!$J:$J,"&lt;="&amp;$A486,Despesas!$L:$L,"&gt;="&amp;$A486,Despesas!$C:$C,H$1,Despesas!$M:$M,$B486)</f>
        <v>1000</v>
      </c>
      <c r="I486" s="18">
        <f>IF(Imóveis!$F$2="PRICE",IF(AND(Dados!$A486&gt;=Imóveis!$Q$2,Dados!$A486&lt;=Imóveis!$T$2),Imóveis!$U$2,0),IF((IF(AND(Dados!$A486&gt;=Imóveis!$Q$2,Dados!$A486&lt;=Imóveis!$T$2),Imóveis!$S$2-(DATEDIF(Imóveis!$Q$2,Dados!$A486,"m")),0))=0,0,((Imóveis!$N$2/Imóveis!$S$2)+((Imóveis!$N$2-((Imóveis!$S$2-(IF(AND(Dados!$A486&gt;=Imóveis!$Q$2,Dados!$A486&lt;=Imóveis!$T$2),Imóveis!$S$2-(DATEDIF(Imóveis!$Q$2,Dados!$A486,"m")),)))*(Imóveis!$N$2/Imóveis!$S$2)))*Imóveis!$P$2))))*IF(AND(Imóveis!$E$2&gt;0,Dados!$A486&gt;Imóveis!$E$2),0,1)</f>
        <v>0</v>
      </c>
      <c r="J486" s="18">
        <f>IF(Imóveis!$F$3="PRICE",IF(AND(Dados!$A486&gt;=Imóveis!$Q$3,Dados!$A486&lt;=Imóveis!$T$3),Imóveis!$U$3,0),IF((IF(AND(Dados!$A486&gt;=Imóveis!$Q$3,Dados!$A486&lt;=Imóveis!$T$3),Imóveis!$S$3-(DATEDIF(Imóveis!$Q$3,Dados!$A486,"m")),0))=0,0,((Imóveis!$N$3/Imóveis!$S$3)+((Imóveis!$N$3-((Imóveis!$S$3-(IF(AND(Dados!$A486&gt;=Imóveis!$Q$3,Dados!$A486&lt;=Imóveis!$T$3),Imóveis!$S$3-(DATEDIF(Imóveis!$Q$3,Dados!$A486,"m")),)))*(Imóveis!$N$3/Imóveis!$S$3)))*Imóveis!$P$3))))*IF(AND(Imóveis!$E$3&gt;0,Dados!$A486&gt;Imóveis!$E$3),0,1)</f>
        <v>0</v>
      </c>
      <c r="K486" s="18">
        <f>IF(Imóveis!$F$4="PRICE",IF(AND(Dados!$A486&gt;=Imóveis!$Q$4,Dados!$A486&lt;=Imóveis!$T$4),Imóveis!$U$4,0),IF((IF(AND(Dados!$A486&gt;=Imóveis!$Q$4,Dados!$A486&lt;=Imóveis!$T$4),Imóveis!$S$4-(DATEDIF(Imóveis!$Q$4,Dados!$A486,"m")),0))=0,0,((Imóveis!$N$4/Imóveis!$S$4)+((Imóveis!$N$4-((Imóveis!$S$4-(IF(AND(Dados!$A486&gt;=Imóveis!$Q$4,Dados!$A486&lt;=Imóveis!$T$4),Imóveis!$S$4-(DATEDIF(Imóveis!$Q$4,Dados!$A486,"m")),)))*(Imóveis!$N$4/Imóveis!$S$4)))*Imóveis!$P$4))))*IF(AND(Imóveis!$E$4&gt;0,Dados!$A486&gt;Imóveis!$E$4),0,1)</f>
        <v>0</v>
      </c>
      <c r="L486" s="18">
        <f>IF(Imóveis!$F$5="PRICE",IF(AND(Dados!$A486&gt;=Imóveis!$Q$5,Dados!$A486&lt;=Imóveis!$T$5),Imóveis!$U$5,0),IF((IF(AND(Dados!$A486&gt;=Imóveis!$Q$5,Dados!$A486&lt;=Imóveis!$T$5),Imóveis!$S$5-(DATEDIF(Imóveis!$Q$5,Dados!$A486,"m")),0))=0,0,((Imóveis!$N$5/Imóveis!$S$5)+((Imóveis!$N$5-((Imóveis!$S$5-(IF(AND(Dados!$A486 &gt;=Imóveis!$Q$5,Dados!$A486&lt;=Imóveis!$T$5),Imóveis!$S$5-(DATEDIF(Imóveis!$Q$5,Dados!$A486,"m")),)))*(Imóveis!$N$5/Imóveis!$S$5)))*Imóveis!$P$5))))*IF(AND(Imóveis!$E$5&gt;0,Dados!$A486&gt;Imóveis!$E$5),0,1)*Imóveis!$I$5</f>
        <v>0</v>
      </c>
      <c r="M486" s="18">
        <f>IF(Imóveis!$F$6="PRICE",IF(AND(Dados!$A486&gt;=Imóveis!$Q$6,Dados!$A486&lt;=Imóveis!$T$6),Imóveis!$U$6,0),IF((IF(AND(Dados!$A486&gt;=Imóveis!$Q$6,Dados!$A486&lt;=Imóveis!$T$6),Imóveis!$S$6-(DATEDIF(Imóveis!$Q$6,Dados!$A486,"m")),0))=0,0,((Imóveis!$N$6/Imóveis!$S$6)+((Imóveis!$N$6-((Imóveis!$S$6-(IF(AND(Dados!$A486&gt;=Imóveis!$Q$6,Dados!$A486&lt;=Imóveis!$T$6),Imóveis!$S$6-(DATEDIF(Imóveis!$Q$6,Dados!$A486,"m")),)))*(Imóveis!$N$6/Imóveis!$S$6)))*Imóveis!$P$6))))*IF(AND(Imóveis!$E$6&gt;0,Dados!$A486&gt;Imóveis!$E$6),0,1)*Imóveis!$I$6</f>
        <v>0</v>
      </c>
      <c r="N486" s="18">
        <f t="shared" si="61"/>
        <v>37000</v>
      </c>
      <c r="O486" s="18">
        <f>SUMIFS(Receitas!$F:$F,Receitas!$J:$J,"&lt;="&amp;$A486,Receitas!$L:$L,"&gt;="&amp;$A486,Receitas!$C:$C,O$1,Receitas!$M:$M,"Mensal")+SUMIFS(Receitas!$F:$F,Receitas!$J:$J,"&lt;="&amp;$A486,Receitas!$L:$L,"&gt;="&amp;$A486,Receitas!$C:$C,O$1,Receitas!$M:$M,$B486)</f>
        <v>0</v>
      </c>
      <c r="P486" s="18">
        <f>SUMIFS(Receitas!$F:$F,Receitas!$J:$J,"&lt;="&amp;$A486,Receitas!$L:$L,"&gt;="&amp;$A486,Receitas!$C:$C,P$1,Receitas!$M:$M,"Mensal")+SUMIFS(Receitas!$F:$F,Receitas!$J:$J,"&lt;="&amp;$A486,Receitas!$L:$L,"&gt;="&amp;$A486,Receitas!$C:$C,P$1,Receitas!$M:$M,$B486)</f>
        <v>0</v>
      </c>
      <c r="Q486" s="18">
        <f>SUMIFS(Receitas!$F:$F,Receitas!$J:$J,"&lt;="&amp;$A486,Receitas!$L:$L,"&gt;="&amp;$A486,Receitas!$C:$C,Q$1,Receitas!$M:$M,"Mensal")+SUMIFS(Receitas!$F:$F,Receitas!$J:$J,"&lt;="&amp;$A486,Receitas!$L:$L,"&gt;="&amp;$A486,Receitas!$C:$C,Q$1,Receitas!$M:$M,$B486)</f>
        <v>0</v>
      </c>
      <c r="R486" s="18" cm="1">
        <f t="array" ref="R486">(IF(AND(Membros!$F$2="Sim",A486&lt;=MAX(Membros!$E$2:$E$5)),Membros!K$2,IF(AND(A486&gt;=Membros!J$2,A486&lt;=MAX(Membros!$E$2:$E$5)),Membros!K$2,0))+IF(AND(Membros!$F$3="Sim",A486&lt;=MAX(Membros!$E$2:$E$5)),Membros!K$3,IF(AND(A486&gt;=Membros!J$3,A486&lt;=MAX(Membros!$E$2:$E$5)),Membros!K$3,0)))*IF(AND(COUNTIFS(Tabela3[Tipo],"Provedor",Tabela3[Simulação Seguro],"Sim")=2,A486&gt;=MAX(IF(Tabela3[Tipo]="Dependente",Tabela3[Expectativa de Vida (Data)]))),0,1)</f>
        <v>10000</v>
      </c>
      <c r="S486" s="18">
        <f t="shared" si="62"/>
        <v>10000</v>
      </c>
      <c r="U486" s="18">
        <f t="shared" ca="1" si="65"/>
        <v>30792811.064614668</v>
      </c>
      <c r="V486" s="18">
        <f>SUMIF(Imóveis!E:E,Dados!A:A,Imóveis!Z:Z)-SUMIF(Imóveis!E:E,Dados!A:A,Imóveis!Y:Y)</f>
        <v>0</v>
      </c>
      <c r="W486" s="18">
        <f>-SUMIF(Projetos!N:N,A486,Projetos!F:F)</f>
        <v>0</v>
      </c>
      <c r="X486" s="18">
        <f t="shared" si="59"/>
        <v>-27000</v>
      </c>
      <c r="Y486" s="26">
        <f ca="1">(U486*((Indicadores_Economicos!D$2+1)^(1/12)-1))</f>
        <v>100807.65058796394</v>
      </c>
      <c r="Z486" s="18">
        <f t="shared" ca="1" si="63"/>
        <v>30866618.715202633</v>
      </c>
      <c r="AA486" s="18">
        <f ca="1">Auxiliar_Projetos!E486</f>
        <v>1.9019844994264539E-9</v>
      </c>
      <c r="AB486" s="18">
        <f ca="1">Auxiliar_Projetos!K486</f>
        <v>1.4630649995588092E-9</v>
      </c>
      <c r="AC486" s="18">
        <f ca="1">IF(Z486-AA486-AB486&gt;Investimentos!$C$14,Investimentos!$C$14,IF(Z486-AA486-AB486&lt;Investimentos!$C$14,Z486-AA486-AB486,0))</f>
        <v>300000</v>
      </c>
      <c r="AD486" s="18">
        <f t="shared" ca="1" si="64"/>
        <v>30566618.71520263</v>
      </c>
      <c r="AE486" s="18"/>
    </row>
    <row r="487" spans="1:31" x14ac:dyDescent="0.2">
      <c r="A487" s="4">
        <v>60419</v>
      </c>
      <c r="B487" s="5" t="str">
        <f t="shared" si="60"/>
        <v>junho</v>
      </c>
      <c r="C487" s="5" t="str">
        <f t="shared" si="66"/>
        <v>2065</v>
      </c>
      <c r="D487" s="5">
        <f>SUMIFS(Despesas!$F:$F,Despesas!$J:$J,"&lt;="&amp;$A487,Despesas!$L:$L,"&gt;="&amp;$A487,Despesas!$C:$C,D$1,Despesas!$M:$M,"Mensal")+SUMIFS(Despesas!$F:$F,Despesas!$J:$J,"&lt;="&amp;$A487,Despesas!$L:$L,"&gt;="&amp;$A487,Despesas!$C:$C,D$1,Despesas!$M:$M,$B487)</f>
        <v>23000</v>
      </c>
      <c r="E487" s="18">
        <f>SUMIFS(Despesas!$F:$F,Despesas!$J:$J,"&lt;="&amp;$A487,Despesas!$L:$L,"&gt;="&amp;$A487,Despesas!$C:$C,E$1,Despesas!$M:$M,"Mensal")+SUMIFS(Despesas!$F:$F,Despesas!$J:$J,"&lt;="&amp;$A487,Despesas!$L:$L,"&gt;="&amp;$A487,Despesas!$C:$C,E$1,Despesas!$M:$M,$B487)</f>
        <v>0</v>
      </c>
      <c r="F487" s="5">
        <f>SUMIFS(Despesas!$F:$F,Despesas!$J:$J,"&lt;="&amp;$A487,Despesas!$L:$L,"&gt;="&amp;$A487,Despesas!$C:$C,F$1,Despesas!$M:$M,"Mensal")+SUMIFS(Despesas!$F:$F,Despesas!$J:$J,"&lt;="&amp;$A487,Despesas!$L:$L,"&gt;="&amp;$A487,Despesas!$C:$C,F$1,Despesas!$M:$M,$B487)</f>
        <v>13000</v>
      </c>
      <c r="G487" s="5">
        <f>SUMIFS(Despesas!$F:$F,Despesas!$J:$J,"&lt;="&amp;$A487,Despesas!$L:$L,"&gt;="&amp;$A487,Despesas!$C:$C,G$1,Despesas!$M:$M,"Mensal")+SUMIFS(Despesas!$F:$F,Despesas!$J:$J,"&lt;="&amp;$A487,Despesas!$L:$L,"&gt;="&amp;$A487,Despesas!$C:$C,G$1,Despesas!$M:$M,$B487)</f>
        <v>0</v>
      </c>
      <c r="H487" s="18">
        <f>SUMIFS(Despesas!$F:$F,Despesas!$J:$J,"&lt;="&amp;$A487,Despesas!$L:$L,"&gt;="&amp;$A487,Despesas!$C:$C,H$1,Despesas!$M:$M,"Mensal")+SUMIFS(Despesas!$F:$F,Despesas!$J:$J,"&lt;="&amp;$A487,Despesas!$L:$L,"&gt;="&amp;$A487,Despesas!$C:$C,H$1,Despesas!$M:$M,$B487)</f>
        <v>1000</v>
      </c>
      <c r="I487" s="18">
        <f>IF(Imóveis!$F$2="PRICE",IF(AND(Dados!$A487&gt;=Imóveis!$Q$2,Dados!$A487&lt;=Imóveis!$T$2),Imóveis!$U$2,0),IF((IF(AND(Dados!$A487&gt;=Imóveis!$Q$2,Dados!$A487&lt;=Imóveis!$T$2),Imóveis!$S$2-(DATEDIF(Imóveis!$Q$2,Dados!$A487,"m")),0))=0,0,((Imóveis!$N$2/Imóveis!$S$2)+((Imóveis!$N$2-((Imóveis!$S$2-(IF(AND(Dados!$A487&gt;=Imóveis!$Q$2,Dados!$A487&lt;=Imóveis!$T$2),Imóveis!$S$2-(DATEDIF(Imóveis!$Q$2,Dados!$A487,"m")),)))*(Imóveis!$N$2/Imóveis!$S$2)))*Imóveis!$P$2))))*IF(AND(Imóveis!$E$2&gt;0,Dados!$A487&gt;Imóveis!$E$2),0,1)</f>
        <v>0</v>
      </c>
      <c r="J487" s="18">
        <f>IF(Imóveis!$F$3="PRICE",IF(AND(Dados!$A487&gt;=Imóveis!$Q$3,Dados!$A487&lt;=Imóveis!$T$3),Imóveis!$U$3,0),IF((IF(AND(Dados!$A487&gt;=Imóveis!$Q$3,Dados!$A487&lt;=Imóveis!$T$3),Imóveis!$S$3-(DATEDIF(Imóveis!$Q$3,Dados!$A487,"m")),0))=0,0,((Imóveis!$N$3/Imóveis!$S$3)+((Imóveis!$N$3-((Imóveis!$S$3-(IF(AND(Dados!$A487&gt;=Imóveis!$Q$3,Dados!$A487&lt;=Imóveis!$T$3),Imóveis!$S$3-(DATEDIF(Imóveis!$Q$3,Dados!$A487,"m")),)))*(Imóveis!$N$3/Imóveis!$S$3)))*Imóveis!$P$3))))*IF(AND(Imóveis!$E$3&gt;0,Dados!$A487&gt;Imóveis!$E$3),0,1)</f>
        <v>0</v>
      </c>
      <c r="K487" s="18">
        <f>IF(Imóveis!$F$4="PRICE",IF(AND(Dados!$A487&gt;=Imóveis!$Q$4,Dados!$A487&lt;=Imóveis!$T$4),Imóveis!$U$4,0),IF((IF(AND(Dados!$A487&gt;=Imóveis!$Q$4,Dados!$A487&lt;=Imóveis!$T$4),Imóveis!$S$4-(DATEDIF(Imóveis!$Q$4,Dados!$A487,"m")),0))=0,0,((Imóveis!$N$4/Imóveis!$S$4)+((Imóveis!$N$4-((Imóveis!$S$4-(IF(AND(Dados!$A487&gt;=Imóveis!$Q$4,Dados!$A487&lt;=Imóveis!$T$4),Imóveis!$S$4-(DATEDIF(Imóveis!$Q$4,Dados!$A487,"m")),)))*(Imóveis!$N$4/Imóveis!$S$4)))*Imóveis!$P$4))))*IF(AND(Imóveis!$E$4&gt;0,Dados!$A487&gt;Imóveis!$E$4),0,1)</f>
        <v>0</v>
      </c>
      <c r="L487" s="18">
        <f>IF(Imóveis!$F$5="PRICE",IF(AND(Dados!$A487&gt;=Imóveis!$Q$5,Dados!$A487&lt;=Imóveis!$T$5),Imóveis!$U$5,0),IF((IF(AND(Dados!$A487&gt;=Imóveis!$Q$5,Dados!$A487&lt;=Imóveis!$T$5),Imóveis!$S$5-(DATEDIF(Imóveis!$Q$5,Dados!$A487,"m")),0))=0,0,((Imóveis!$N$5/Imóveis!$S$5)+((Imóveis!$N$5-((Imóveis!$S$5-(IF(AND(Dados!$A487 &gt;=Imóveis!$Q$5,Dados!$A487&lt;=Imóveis!$T$5),Imóveis!$S$5-(DATEDIF(Imóveis!$Q$5,Dados!$A487,"m")),)))*(Imóveis!$N$5/Imóveis!$S$5)))*Imóveis!$P$5))))*IF(AND(Imóveis!$E$5&gt;0,Dados!$A487&gt;Imóveis!$E$5),0,1)*Imóveis!$I$5</f>
        <v>0</v>
      </c>
      <c r="M487" s="18">
        <f>IF(Imóveis!$F$6="PRICE",IF(AND(Dados!$A487&gt;=Imóveis!$Q$6,Dados!$A487&lt;=Imóveis!$T$6),Imóveis!$U$6,0),IF((IF(AND(Dados!$A487&gt;=Imóveis!$Q$6,Dados!$A487&lt;=Imóveis!$T$6),Imóveis!$S$6-(DATEDIF(Imóveis!$Q$6,Dados!$A487,"m")),0))=0,0,((Imóveis!$N$6/Imóveis!$S$6)+((Imóveis!$N$6-((Imóveis!$S$6-(IF(AND(Dados!$A487&gt;=Imóveis!$Q$6,Dados!$A487&lt;=Imóveis!$T$6),Imóveis!$S$6-(DATEDIF(Imóveis!$Q$6,Dados!$A487,"m")),)))*(Imóveis!$N$6/Imóveis!$S$6)))*Imóveis!$P$6))))*IF(AND(Imóveis!$E$6&gt;0,Dados!$A487&gt;Imóveis!$E$6),0,1)*Imóveis!$I$6</f>
        <v>0</v>
      </c>
      <c r="N487" s="18">
        <f t="shared" si="61"/>
        <v>37000</v>
      </c>
      <c r="O487" s="18">
        <f>SUMIFS(Receitas!$F:$F,Receitas!$J:$J,"&lt;="&amp;$A487,Receitas!$L:$L,"&gt;="&amp;$A487,Receitas!$C:$C,O$1,Receitas!$M:$M,"Mensal")+SUMIFS(Receitas!$F:$F,Receitas!$J:$J,"&lt;="&amp;$A487,Receitas!$L:$L,"&gt;="&amp;$A487,Receitas!$C:$C,O$1,Receitas!$M:$M,$B487)</f>
        <v>0</v>
      </c>
      <c r="P487" s="18">
        <f>SUMIFS(Receitas!$F:$F,Receitas!$J:$J,"&lt;="&amp;$A487,Receitas!$L:$L,"&gt;="&amp;$A487,Receitas!$C:$C,P$1,Receitas!$M:$M,"Mensal")+SUMIFS(Receitas!$F:$F,Receitas!$J:$J,"&lt;="&amp;$A487,Receitas!$L:$L,"&gt;="&amp;$A487,Receitas!$C:$C,P$1,Receitas!$M:$M,$B487)</f>
        <v>0</v>
      </c>
      <c r="Q487" s="18">
        <f>SUMIFS(Receitas!$F:$F,Receitas!$J:$J,"&lt;="&amp;$A487,Receitas!$L:$L,"&gt;="&amp;$A487,Receitas!$C:$C,Q$1,Receitas!$M:$M,"Mensal")+SUMIFS(Receitas!$F:$F,Receitas!$J:$J,"&lt;="&amp;$A487,Receitas!$L:$L,"&gt;="&amp;$A487,Receitas!$C:$C,Q$1,Receitas!$M:$M,$B487)</f>
        <v>0</v>
      </c>
      <c r="R487" s="18" cm="1">
        <f t="array" ref="R487">(IF(AND(Membros!$F$2="Sim",A487&lt;=MAX(Membros!$E$2:$E$5)),Membros!K$2,IF(AND(A487&gt;=Membros!J$2,A487&lt;=MAX(Membros!$E$2:$E$5)),Membros!K$2,0))+IF(AND(Membros!$F$3="Sim",A487&lt;=MAX(Membros!$E$2:$E$5)),Membros!K$3,IF(AND(A487&gt;=Membros!J$3,A487&lt;=MAX(Membros!$E$2:$E$5)),Membros!K$3,0)))*IF(AND(COUNTIFS(Tabela3[Tipo],"Provedor",Tabela3[Simulação Seguro],"Sim")=2,A487&gt;=MAX(IF(Tabela3[Tipo]="Dependente",Tabela3[Expectativa de Vida (Data)]))),0,1)</f>
        <v>10000</v>
      </c>
      <c r="S487" s="18">
        <f t="shared" si="62"/>
        <v>10000</v>
      </c>
      <c r="U487" s="18">
        <f t="shared" ca="1" si="65"/>
        <v>30866618.715202633</v>
      </c>
      <c r="V487" s="18">
        <f>SUMIF(Imóveis!E:E,Dados!A:A,Imóveis!Z:Z)-SUMIF(Imóveis!E:E,Dados!A:A,Imóveis!Y:Y)</f>
        <v>0</v>
      </c>
      <c r="W487" s="18">
        <f>-SUMIF(Projetos!N:N,A487,Projetos!F:F)</f>
        <v>0</v>
      </c>
      <c r="X487" s="18">
        <f t="shared" si="59"/>
        <v>-27000</v>
      </c>
      <c r="Y487" s="26">
        <f ca="1">(U487*((Indicadores_Economicos!D$2+1)^(1/12)-1))</f>
        <v>101049.2776299244</v>
      </c>
      <c r="Z487" s="18">
        <f t="shared" ca="1" si="63"/>
        <v>30940667.992832556</v>
      </c>
      <c r="AA487" s="18">
        <f ca="1">Auxiliar_Projetos!E487</f>
        <v>1.9082111017473519E-9</v>
      </c>
      <c r="AB487" s="18">
        <f ca="1">Auxiliar_Projetos!K487</f>
        <v>1.4678546936518077E-9</v>
      </c>
      <c r="AC487" s="18">
        <f ca="1">IF(Z487-AA487-AB487&gt;Investimentos!$C$14,Investimentos!$C$14,IF(Z487-AA487-AB487&lt;Investimentos!$C$14,Z487-AA487-AB487,0))</f>
        <v>300000</v>
      </c>
      <c r="AD487" s="18">
        <f t="shared" ca="1" si="64"/>
        <v>30640667.992832553</v>
      </c>
      <c r="AE487" s="18"/>
    </row>
    <row r="488" spans="1:31" x14ac:dyDescent="0.2">
      <c r="A488" s="4">
        <v>60449</v>
      </c>
      <c r="B488" s="5" t="str">
        <f t="shared" si="60"/>
        <v>julho</v>
      </c>
      <c r="C488" s="5" t="str">
        <f t="shared" si="66"/>
        <v>2065</v>
      </c>
      <c r="D488" s="5">
        <f>SUMIFS(Despesas!$F:$F,Despesas!$J:$J,"&lt;="&amp;$A488,Despesas!$L:$L,"&gt;="&amp;$A488,Despesas!$C:$C,D$1,Despesas!$M:$M,"Mensal")+SUMIFS(Despesas!$F:$F,Despesas!$J:$J,"&lt;="&amp;$A488,Despesas!$L:$L,"&gt;="&amp;$A488,Despesas!$C:$C,D$1,Despesas!$M:$M,$B488)</f>
        <v>23000</v>
      </c>
      <c r="E488" s="18">
        <f>SUMIFS(Despesas!$F:$F,Despesas!$J:$J,"&lt;="&amp;$A488,Despesas!$L:$L,"&gt;="&amp;$A488,Despesas!$C:$C,E$1,Despesas!$M:$M,"Mensal")+SUMIFS(Despesas!$F:$F,Despesas!$J:$J,"&lt;="&amp;$A488,Despesas!$L:$L,"&gt;="&amp;$A488,Despesas!$C:$C,E$1,Despesas!$M:$M,$B488)</f>
        <v>0</v>
      </c>
      <c r="F488" s="5">
        <f>SUMIFS(Despesas!$F:$F,Despesas!$J:$J,"&lt;="&amp;$A488,Despesas!$L:$L,"&gt;="&amp;$A488,Despesas!$C:$C,F$1,Despesas!$M:$M,"Mensal")+SUMIFS(Despesas!$F:$F,Despesas!$J:$J,"&lt;="&amp;$A488,Despesas!$L:$L,"&gt;="&amp;$A488,Despesas!$C:$C,F$1,Despesas!$M:$M,$B488)</f>
        <v>13000</v>
      </c>
      <c r="G488" s="5">
        <f ca="1">SUMIFS(Despesas!$F:$F,Despesas!$J:$J,"&lt;="&amp;$A488,Despesas!$L:$L,"&gt;="&amp;$A488,Despesas!$C:$C,G$1,Despesas!$M:$M,"Mensal")+SUMIFS(Despesas!$F:$F,Despesas!$J:$J,"&lt;="&amp;$A488,Despesas!$L:$L,"&gt;="&amp;$A488,Despesas!$C:$C,G$1,Despesas!$M:$M,$B488)</f>
        <v>55757</v>
      </c>
      <c r="H488" s="18">
        <f>SUMIFS(Despesas!$F:$F,Despesas!$J:$J,"&lt;="&amp;$A488,Despesas!$L:$L,"&gt;="&amp;$A488,Despesas!$C:$C,H$1,Despesas!$M:$M,"Mensal")+SUMIFS(Despesas!$F:$F,Despesas!$J:$J,"&lt;="&amp;$A488,Despesas!$L:$L,"&gt;="&amp;$A488,Despesas!$C:$C,H$1,Despesas!$M:$M,$B488)</f>
        <v>1000</v>
      </c>
      <c r="I488" s="18">
        <f>IF(Imóveis!$F$2="PRICE",IF(AND(Dados!$A488&gt;=Imóveis!$Q$2,Dados!$A488&lt;=Imóveis!$T$2),Imóveis!$U$2,0),IF((IF(AND(Dados!$A488&gt;=Imóveis!$Q$2,Dados!$A488&lt;=Imóveis!$T$2),Imóveis!$S$2-(DATEDIF(Imóveis!$Q$2,Dados!$A488,"m")),0))=0,0,((Imóveis!$N$2/Imóveis!$S$2)+((Imóveis!$N$2-((Imóveis!$S$2-(IF(AND(Dados!$A488&gt;=Imóveis!$Q$2,Dados!$A488&lt;=Imóveis!$T$2),Imóveis!$S$2-(DATEDIF(Imóveis!$Q$2,Dados!$A488,"m")),)))*(Imóveis!$N$2/Imóveis!$S$2)))*Imóveis!$P$2))))*IF(AND(Imóveis!$E$2&gt;0,Dados!$A488&gt;Imóveis!$E$2),0,1)</f>
        <v>0</v>
      </c>
      <c r="J488" s="18">
        <f>IF(Imóveis!$F$3="PRICE",IF(AND(Dados!$A488&gt;=Imóveis!$Q$3,Dados!$A488&lt;=Imóveis!$T$3),Imóveis!$U$3,0),IF((IF(AND(Dados!$A488&gt;=Imóveis!$Q$3,Dados!$A488&lt;=Imóveis!$T$3),Imóveis!$S$3-(DATEDIF(Imóveis!$Q$3,Dados!$A488,"m")),0))=0,0,((Imóveis!$N$3/Imóveis!$S$3)+((Imóveis!$N$3-((Imóveis!$S$3-(IF(AND(Dados!$A488&gt;=Imóveis!$Q$3,Dados!$A488&lt;=Imóveis!$T$3),Imóveis!$S$3-(DATEDIF(Imóveis!$Q$3,Dados!$A488,"m")),)))*(Imóveis!$N$3/Imóveis!$S$3)))*Imóveis!$P$3))))*IF(AND(Imóveis!$E$3&gt;0,Dados!$A488&gt;Imóveis!$E$3),0,1)</f>
        <v>0</v>
      </c>
      <c r="K488" s="18">
        <f>IF(Imóveis!$F$4="PRICE",IF(AND(Dados!$A488&gt;=Imóveis!$Q$4,Dados!$A488&lt;=Imóveis!$T$4),Imóveis!$U$4,0),IF((IF(AND(Dados!$A488&gt;=Imóveis!$Q$4,Dados!$A488&lt;=Imóveis!$T$4),Imóveis!$S$4-(DATEDIF(Imóveis!$Q$4,Dados!$A488,"m")),0))=0,0,((Imóveis!$N$4/Imóveis!$S$4)+((Imóveis!$N$4-((Imóveis!$S$4-(IF(AND(Dados!$A488&gt;=Imóveis!$Q$4,Dados!$A488&lt;=Imóveis!$T$4),Imóveis!$S$4-(DATEDIF(Imóveis!$Q$4,Dados!$A488,"m")),)))*(Imóveis!$N$4/Imóveis!$S$4)))*Imóveis!$P$4))))*IF(AND(Imóveis!$E$4&gt;0,Dados!$A488&gt;Imóveis!$E$4),0,1)</f>
        <v>0</v>
      </c>
      <c r="L488" s="18">
        <f>IF(Imóveis!$F$5="PRICE",IF(AND(Dados!$A488&gt;=Imóveis!$Q$5,Dados!$A488&lt;=Imóveis!$T$5),Imóveis!$U$5,0),IF((IF(AND(Dados!$A488&gt;=Imóveis!$Q$5,Dados!$A488&lt;=Imóveis!$T$5),Imóveis!$S$5-(DATEDIF(Imóveis!$Q$5,Dados!$A488,"m")),0))=0,0,((Imóveis!$N$5/Imóveis!$S$5)+((Imóveis!$N$5-((Imóveis!$S$5-(IF(AND(Dados!$A488 &gt;=Imóveis!$Q$5,Dados!$A488&lt;=Imóveis!$T$5),Imóveis!$S$5-(DATEDIF(Imóveis!$Q$5,Dados!$A488,"m")),)))*(Imóveis!$N$5/Imóveis!$S$5)))*Imóveis!$P$5))))*IF(AND(Imóveis!$E$5&gt;0,Dados!$A488&gt;Imóveis!$E$5),0,1)*Imóveis!$I$5</f>
        <v>0</v>
      </c>
      <c r="M488" s="18">
        <f>IF(Imóveis!$F$6="PRICE",IF(AND(Dados!$A488&gt;=Imóveis!$Q$6,Dados!$A488&lt;=Imóveis!$T$6),Imóveis!$U$6,0),IF((IF(AND(Dados!$A488&gt;=Imóveis!$Q$6,Dados!$A488&lt;=Imóveis!$T$6),Imóveis!$S$6-(DATEDIF(Imóveis!$Q$6,Dados!$A488,"m")),0))=0,0,((Imóveis!$N$6/Imóveis!$S$6)+((Imóveis!$N$6-((Imóveis!$S$6-(IF(AND(Dados!$A488&gt;=Imóveis!$Q$6,Dados!$A488&lt;=Imóveis!$T$6),Imóveis!$S$6-(DATEDIF(Imóveis!$Q$6,Dados!$A488,"m")),)))*(Imóveis!$N$6/Imóveis!$S$6)))*Imóveis!$P$6))))*IF(AND(Imóveis!$E$6&gt;0,Dados!$A488&gt;Imóveis!$E$6),0,1)*Imóveis!$I$6</f>
        <v>0</v>
      </c>
      <c r="N488" s="18">
        <f t="shared" ca="1" si="61"/>
        <v>92757</v>
      </c>
      <c r="O488" s="18">
        <f>SUMIFS(Receitas!$F:$F,Receitas!$J:$J,"&lt;="&amp;$A488,Receitas!$L:$L,"&gt;="&amp;$A488,Receitas!$C:$C,O$1,Receitas!$M:$M,"Mensal")+SUMIFS(Receitas!$F:$F,Receitas!$J:$J,"&lt;="&amp;$A488,Receitas!$L:$L,"&gt;="&amp;$A488,Receitas!$C:$C,O$1,Receitas!$M:$M,$B488)</f>
        <v>0</v>
      </c>
      <c r="P488" s="18">
        <f>SUMIFS(Receitas!$F:$F,Receitas!$J:$J,"&lt;="&amp;$A488,Receitas!$L:$L,"&gt;="&amp;$A488,Receitas!$C:$C,P$1,Receitas!$M:$M,"Mensal")+SUMIFS(Receitas!$F:$F,Receitas!$J:$J,"&lt;="&amp;$A488,Receitas!$L:$L,"&gt;="&amp;$A488,Receitas!$C:$C,P$1,Receitas!$M:$M,$B488)</f>
        <v>0</v>
      </c>
      <c r="Q488" s="18">
        <f>SUMIFS(Receitas!$F:$F,Receitas!$J:$J,"&lt;="&amp;$A488,Receitas!$L:$L,"&gt;="&amp;$A488,Receitas!$C:$C,Q$1,Receitas!$M:$M,"Mensal")+SUMIFS(Receitas!$F:$F,Receitas!$J:$J,"&lt;="&amp;$A488,Receitas!$L:$L,"&gt;="&amp;$A488,Receitas!$C:$C,Q$1,Receitas!$M:$M,$B488)</f>
        <v>0</v>
      </c>
      <c r="R488" s="18" cm="1">
        <f t="array" ref="R488">(IF(AND(Membros!$F$2="Sim",A488&lt;=MAX(Membros!$E$2:$E$5)),Membros!K$2,IF(AND(A488&gt;=Membros!J$2,A488&lt;=MAX(Membros!$E$2:$E$5)),Membros!K$2,0))+IF(AND(Membros!$F$3="Sim",A488&lt;=MAX(Membros!$E$2:$E$5)),Membros!K$3,IF(AND(A488&gt;=Membros!J$3,A488&lt;=MAX(Membros!$E$2:$E$5)),Membros!K$3,0)))*IF(AND(COUNTIFS(Tabela3[Tipo],"Provedor",Tabela3[Simulação Seguro],"Sim")=2,A488&gt;=MAX(IF(Tabela3[Tipo]="Dependente",Tabela3[Expectativa de Vida (Data)]))),0,1)</f>
        <v>10000</v>
      </c>
      <c r="S488" s="18">
        <f t="shared" si="62"/>
        <v>10000</v>
      </c>
      <c r="U488" s="18">
        <f t="shared" ca="1" si="65"/>
        <v>30940667.992832556</v>
      </c>
      <c r="V488" s="18">
        <f>SUMIF(Imóveis!E:E,Dados!A:A,Imóveis!Z:Z)-SUMIF(Imóveis!E:E,Dados!A:A,Imóveis!Y:Y)</f>
        <v>0</v>
      </c>
      <c r="W488" s="18">
        <f>-SUMIF(Projetos!N:N,A488,Projetos!F:F)</f>
        <v>0</v>
      </c>
      <c r="X488" s="18">
        <f t="shared" ca="1" si="59"/>
        <v>-82757</v>
      </c>
      <c r="Y488" s="26">
        <f ca="1">(U488*((Indicadores_Economicos!D$2+1)^(1/12)-1))</f>
        <v>101291.69569594458</v>
      </c>
      <c r="Z488" s="18">
        <f t="shared" ca="1" si="63"/>
        <v>30959202.6885285</v>
      </c>
      <c r="AA488" s="18">
        <f ca="1">Auxiliar_Projetos!E488</f>
        <v>1.9144580883439757E-9</v>
      </c>
      <c r="AB488" s="18">
        <f ca="1">Auxiliar_Projetos!K488</f>
        <v>1.472660067956903E-9</v>
      </c>
      <c r="AC488" s="18">
        <f ca="1">IF(Z488-AA488-AB488&gt;Investimentos!$C$14,Investimentos!$C$14,IF(Z488-AA488-AB488&lt;Investimentos!$C$14,Z488-AA488-AB488,0))</f>
        <v>300000</v>
      </c>
      <c r="AD488" s="18">
        <f t="shared" ca="1" si="64"/>
        <v>30659202.688528497</v>
      </c>
      <c r="AE488" s="18"/>
    </row>
    <row r="489" spans="1:31" x14ac:dyDescent="0.2">
      <c r="A489" s="4">
        <v>60480</v>
      </c>
      <c r="B489" s="5" t="str">
        <f t="shared" si="60"/>
        <v>agosto</v>
      </c>
      <c r="C489" s="5" t="str">
        <f t="shared" si="66"/>
        <v>2065</v>
      </c>
      <c r="D489" s="5">
        <f>SUMIFS(Despesas!$F:$F,Despesas!$J:$J,"&lt;="&amp;$A489,Despesas!$L:$L,"&gt;="&amp;$A489,Despesas!$C:$C,D$1,Despesas!$M:$M,"Mensal")+SUMIFS(Despesas!$F:$F,Despesas!$J:$J,"&lt;="&amp;$A489,Despesas!$L:$L,"&gt;="&amp;$A489,Despesas!$C:$C,D$1,Despesas!$M:$M,$B489)</f>
        <v>23000</v>
      </c>
      <c r="E489" s="18">
        <f>SUMIFS(Despesas!$F:$F,Despesas!$J:$J,"&lt;="&amp;$A489,Despesas!$L:$L,"&gt;="&amp;$A489,Despesas!$C:$C,E$1,Despesas!$M:$M,"Mensal")+SUMIFS(Despesas!$F:$F,Despesas!$J:$J,"&lt;="&amp;$A489,Despesas!$L:$L,"&gt;="&amp;$A489,Despesas!$C:$C,E$1,Despesas!$M:$M,$B489)</f>
        <v>0</v>
      </c>
      <c r="F489" s="5">
        <f>SUMIFS(Despesas!$F:$F,Despesas!$J:$J,"&lt;="&amp;$A489,Despesas!$L:$L,"&gt;="&amp;$A489,Despesas!$C:$C,F$1,Despesas!$M:$M,"Mensal")+SUMIFS(Despesas!$F:$F,Despesas!$J:$J,"&lt;="&amp;$A489,Despesas!$L:$L,"&gt;="&amp;$A489,Despesas!$C:$C,F$1,Despesas!$M:$M,$B489)</f>
        <v>13000</v>
      </c>
      <c r="G489" s="5">
        <f>SUMIFS(Despesas!$F:$F,Despesas!$J:$J,"&lt;="&amp;$A489,Despesas!$L:$L,"&gt;="&amp;$A489,Despesas!$C:$C,G$1,Despesas!$M:$M,"Mensal")+SUMIFS(Despesas!$F:$F,Despesas!$J:$J,"&lt;="&amp;$A489,Despesas!$L:$L,"&gt;="&amp;$A489,Despesas!$C:$C,G$1,Despesas!$M:$M,$B489)</f>
        <v>0</v>
      </c>
      <c r="H489" s="18">
        <f>SUMIFS(Despesas!$F:$F,Despesas!$J:$J,"&lt;="&amp;$A489,Despesas!$L:$L,"&gt;="&amp;$A489,Despesas!$C:$C,H$1,Despesas!$M:$M,"Mensal")+SUMIFS(Despesas!$F:$F,Despesas!$J:$J,"&lt;="&amp;$A489,Despesas!$L:$L,"&gt;="&amp;$A489,Despesas!$C:$C,H$1,Despesas!$M:$M,$B489)</f>
        <v>1000</v>
      </c>
      <c r="I489" s="18">
        <f>IF(Imóveis!$F$2="PRICE",IF(AND(Dados!$A489&gt;=Imóveis!$Q$2,Dados!$A489&lt;=Imóveis!$T$2),Imóveis!$U$2,0),IF((IF(AND(Dados!$A489&gt;=Imóveis!$Q$2,Dados!$A489&lt;=Imóveis!$T$2),Imóveis!$S$2-(DATEDIF(Imóveis!$Q$2,Dados!$A489,"m")),0))=0,0,((Imóveis!$N$2/Imóveis!$S$2)+((Imóveis!$N$2-((Imóveis!$S$2-(IF(AND(Dados!$A489&gt;=Imóveis!$Q$2,Dados!$A489&lt;=Imóveis!$T$2),Imóveis!$S$2-(DATEDIF(Imóveis!$Q$2,Dados!$A489,"m")),)))*(Imóveis!$N$2/Imóveis!$S$2)))*Imóveis!$P$2))))*IF(AND(Imóveis!$E$2&gt;0,Dados!$A489&gt;Imóveis!$E$2),0,1)</f>
        <v>0</v>
      </c>
      <c r="J489" s="18">
        <f>IF(Imóveis!$F$3="PRICE",IF(AND(Dados!$A489&gt;=Imóveis!$Q$3,Dados!$A489&lt;=Imóveis!$T$3),Imóveis!$U$3,0),IF((IF(AND(Dados!$A489&gt;=Imóveis!$Q$3,Dados!$A489&lt;=Imóveis!$T$3),Imóveis!$S$3-(DATEDIF(Imóveis!$Q$3,Dados!$A489,"m")),0))=0,0,((Imóveis!$N$3/Imóveis!$S$3)+((Imóveis!$N$3-((Imóveis!$S$3-(IF(AND(Dados!$A489&gt;=Imóveis!$Q$3,Dados!$A489&lt;=Imóveis!$T$3),Imóveis!$S$3-(DATEDIF(Imóveis!$Q$3,Dados!$A489,"m")),)))*(Imóveis!$N$3/Imóveis!$S$3)))*Imóveis!$P$3))))*IF(AND(Imóveis!$E$3&gt;0,Dados!$A489&gt;Imóveis!$E$3),0,1)</f>
        <v>0</v>
      </c>
      <c r="K489" s="18">
        <f>IF(Imóveis!$F$4="PRICE",IF(AND(Dados!$A489&gt;=Imóveis!$Q$4,Dados!$A489&lt;=Imóveis!$T$4),Imóveis!$U$4,0),IF((IF(AND(Dados!$A489&gt;=Imóveis!$Q$4,Dados!$A489&lt;=Imóveis!$T$4),Imóveis!$S$4-(DATEDIF(Imóveis!$Q$4,Dados!$A489,"m")),0))=0,0,((Imóveis!$N$4/Imóveis!$S$4)+((Imóveis!$N$4-((Imóveis!$S$4-(IF(AND(Dados!$A489&gt;=Imóveis!$Q$4,Dados!$A489&lt;=Imóveis!$T$4),Imóveis!$S$4-(DATEDIF(Imóveis!$Q$4,Dados!$A489,"m")),)))*(Imóveis!$N$4/Imóveis!$S$4)))*Imóveis!$P$4))))*IF(AND(Imóveis!$E$4&gt;0,Dados!$A489&gt;Imóveis!$E$4),0,1)</f>
        <v>0</v>
      </c>
      <c r="L489" s="18">
        <f>IF(Imóveis!$F$5="PRICE",IF(AND(Dados!$A489&gt;=Imóveis!$Q$5,Dados!$A489&lt;=Imóveis!$T$5),Imóveis!$U$5,0),IF((IF(AND(Dados!$A489&gt;=Imóveis!$Q$5,Dados!$A489&lt;=Imóveis!$T$5),Imóveis!$S$5-(DATEDIF(Imóveis!$Q$5,Dados!$A489,"m")),0))=0,0,((Imóveis!$N$5/Imóveis!$S$5)+((Imóveis!$N$5-((Imóveis!$S$5-(IF(AND(Dados!$A489 &gt;=Imóveis!$Q$5,Dados!$A489&lt;=Imóveis!$T$5),Imóveis!$S$5-(DATEDIF(Imóveis!$Q$5,Dados!$A489,"m")),)))*(Imóveis!$N$5/Imóveis!$S$5)))*Imóveis!$P$5))))*IF(AND(Imóveis!$E$5&gt;0,Dados!$A489&gt;Imóveis!$E$5),0,1)*Imóveis!$I$5</f>
        <v>0</v>
      </c>
      <c r="M489" s="18">
        <f>IF(Imóveis!$F$6="PRICE",IF(AND(Dados!$A489&gt;=Imóveis!$Q$6,Dados!$A489&lt;=Imóveis!$T$6),Imóveis!$U$6,0),IF((IF(AND(Dados!$A489&gt;=Imóveis!$Q$6,Dados!$A489&lt;=Imóveis!$T$6),Imóveis!$S$6-(DATEDIF(Imóveis!$Q$6,Dados!$A489,"m")),0))=0,0,((Imóveis!$N$6/Imóveis!$S$6)+((Imóveis!$N$6-((Imóveis!$S$6-(IF(AND(Dados!$A489&gt;=Imóveis!$Q$6,Dados!$A489&lt;=Imóveis!$T$6),Imóveis!$S$6-(DATEDIF(Imóveis!$Q$6,Dados!$A489,"m")),)))*(Imóveis!$N$6/Imóveis!$S$6)))*Imóveis!$P$6))))*IF(AND(Imóveis!$E$6&gt;0,Dados!$A489&gt;Imóveis!$E$6),0,1)*Imóveis!$I$6</f>
        <v>0</v>
      </c>
      <c r="N489" s="18">
        <f t="shared" si="61"/>
        <v>37000</v>
      </c>
      <c r="O489" s="18">
        <f>SUMIFS(Receitas!$F:$F,Receitas!$J:$J,"&lt;="&amp;$A489,Receitas!$L:$L,"&gt;="&amp;$A489,Receitas!$C:$C,O$1,Receitas!$M:$M,"Mensal")+SUMIFS(Receitas!$F:$F,Receitas!$J:$J,"&lt;="&amp;$A489,Receitas!$L:$L,"&gt;="&amp;$A489,Receitas!$C:$C,O$1,Receitas!$M:$M,$B489)</f>
        <v>0</v>
      </c>
      <c r="P489" s="18">
        <f>SUMIFS(Receitas!$F:$F,Receitas!$J:$J,"&lt;="&amp;$A489,Receitas!$L:$L,"&gt;="&amp;$A489,Receitas!$C:$C,P$1,Receitas!$M:$M,"Mensal")+SUMIFS(Receitas!$F:$F,Receitas!$J:$J,"&lt;="&amp;$A489,Receitas!$L:$L,"&gt;="&amp;$A489,Receitas!$C:$C,P$1,Receitas!$M:$M,$B489)</f>
        <v>0</v>
      </c>
      <c r="Q489" s="18">
        <f>SUMIFS(Receitas!$F:$F,Receitas!$J:$J,"&lt;="&amp;$A489,Receitas!$L:$L,"&gt;="&amp;$A489,Receitas!$C:$C,Q$1,Receitas!$M:$M,"Mensal")+SUMIFS(Receitas!$F:$F,Receitas!$J:$J,"&lt;="&amp;$A489,Receitas!$L:$L,"&gt;="&amp;$A489,Receitas!$C:$C,Q$1,Receitas!$M:$M,$B489)</f>
        <v>0</v>
      </c>
      <c r="R489" s="18" cm="1">
        <f t="array" ref="R489">(IF(AND(Membros!$F$2="Sim",A489&lt;=MAX(Membros!$E$2:$E$5)),Membros!K$2,IF(AND(A489&gt;=Membros!J$2,A489&lt;=MAX(Membros!$E$2:$E$5)),Membros!K$2,0))+IF(AND(Membros!$F$3="Sim",A489&lt;=MAX(Membros!$E$2:$E$5)),Membros!K$3,IF(AND(A489&gt;=Membros!J$3,A489&lt;=MAX(Membros!$E$2:$E$5)),Membros!K$3,0)))*IF(AND(COUNTIFS(Tabela3[Tipo],"Provedor",Tabela3[Simulação Seguro],"Sim")=2,A489&gt;=MAX(IF(Tabela3[Tipo]="Dependente",Tabela3[Expectativa de Vida (Data)]))),0,1)</f>
        <v>10000</v>
      </c>
      <c r="S489" s="18">
        <f t="shared" si="62"/>
        <v>10000</v>
      </c>
      <c r="U489" s="18">
        <f t="shared" ca="1" si="65"/>
        <v>30959202.6885285</v>
      </c>
      <c r="V489" s="18">
        <f>SUMIF(Imóveis!E:E,Dados!A:A,Imóveis!Z:Z)-SUMIF(Imóveis!E:E,Dados!A:A,Imóveis!Y:Y)</f>
        <v>0</v>
      </c>
      <c r="W489" s="18">
        <f>-SUMIF(Projetos!N:N,A489,Projetos!F:F)</f>
        <v>0</v>
      </c>
      <c r="X489" s="18">
        <f t="shared" si="59"/>
        <v>-27000</v>
      </c>
      <c r="Y489" s="26">
        <f ca="1">(U489*((Indicadores_Economicos!D$2+1)^(1/12)-1))</f>
        <v>101352.37346659534</v>
      </c>
      <c r="Z489" s="18">
        <f t="shared" ca="1" si="63"/>
        <v>31033555.061995097</v>
      </c>
      <c r="AA489" s="18">
        <f ca="1">Auxiliar_Projetos!E489</f>
        <v>1.9207255259491398E-9</v>
      </c>
      <c r="AB489" s="18">
        <f ca="1">Auxiliar_Projetos!K489</f>
        <v>1.4774811738070293E-9</v>
      </c>
      <c r="AC489" s="18">
        <f ca="1">IF(Z489-AA489-AB489&gt;Investimentos!$C$14,Investimentos!$C$14,IF(Z489-AA489-AB489&lt;Investimentos!$C$14,Z489-AA489-AB489,0))</f>
        <v>300000</v>
      </c>
      <c r="AD489" s="18">
        <f t="shared" ca="1" si="64"/>
        <v>30733555.061995093</v>
      </c>
      <c r="AE489" s="18"/>
    </row>
    <row r="490" spans="1:31" x14ac:dyDescent="0.2">
      <c r="A490" s="4">
        <v>60511</v>
      </c>
      <c r="B490" s="5" t="str">
        <f t="shared" si="60"/>
        <v>setembro</v>
      </c>
      <c r="C490" s="5" t="str">
        <f t="shared" si="66"/>
        <v>2065</v>
      </c>
      <c r="D490" s="5">
        <f>SUMIFS(Despesas!$F:$F,Despesas!$J:$J,"&lt;="&amp;$A490,Despesas!$L:$L,"&gt;="&amp;$A490,Despesas!$C:$C,D$1,Despesas!$M:$M,"Mensal")+SUMIFS(Despesas!$F:$F,Despesas!$J:$J,"&lt;="&amp;$A490,Despesas!$L:$L,"&gt;="&amp;$A490,Despesas!$C:$C,D$1,Despesas!$M:$M,$B490)</f>
        <v>23000</v>
      </c>
      <c r="E490" s="18">
        <f>SUMIFS(Despesas!$F:$F,Despesas!$J:$J,"&lt;="&amp;$A490,Despesas!$L:$L,"&gt;="&amp;$A490,Despesas!$C:$C,E$1,Despesas!$M:$M,"Mensal")+SUMIFS(Despesas!$F:$F,Despesas!$J:$J,"&lt;="&amp;$A490,Despesas!$L:$L,"&gt;="&amp;$A490,Despesas!$C:$C,E$1,Despesas!$M:$M,$B490)</f>
        <v>0</v>
      </c>
      <c r="F490" s="5">
        <f>SUMIFS(Despesas!$F:$F,Despesas!$J:$J,"&lt;="&amp;$A490,Despesas!$L:$L,"&gt;="&amp;$A490,Despesas!$C:$C,F$1,Despesas!$M:$M,"Mensal")+SUMIFS(Despesas!$F:$F,Despesas!$J:$J,"&lt;="&amp;$A490,Despesas!$L:$L,"&gt;="&amp;$A490,Despesas!$C:$C,F$1,Despesas!$M:$M,$B490)</f>
        <v>13000</v>
      </c>
      <c r="G490" s="5">
        <f>SUMIFS(Despesas!$F:$F,Despesas!$J:$J,"&lt;="&amp;$A490,Despesas!$L:$L,"&gt;="&amp;$A490,Despesas!$C:$C,G$1,Despesas!$M:$M,"Mensal")+SUMIFS(Despesas!$F:$F,Despesas!$J:$J,"&lt;="&amp;$A490,Despesas!$L:$L,"&gt;="&amp;$A490,Despesas!$C:$C,G$1,Despesas!$M:$M,$B490)</f>
        <v>0</v>
      </c>
      <c r="H490" s="18">
        <f>SUMIFS(Despesas!$F:$F,Despesas!$J:$J,"&lt;="&amp;$A490,Despesas!$L:$L,"&gt;="&amp;$A490,Despesas!$C:$C,H$1,Despesas!$M:$M,"Mensal")+SUMIFS(Despesas!$F:$F,Despesas!$J:$J,"&lt;="&amp;$A490,Despesas!$L:$L,"&gt;="&amp;$A490,Despesas!$C:$C,H$1,Despesas!$M:$M,$B490)</f>
        <v>1000</v>
      </c>
      <c r="I490" s="18">
        <f>IF(Imóveis!$F$2="PRICE",IF(AND(Dados!$A490&gt;=Imóveis!$Q$2,Dados!$A490&lt;=Imóveis!$T$2),Imóveis!$U$2,0),IF((IF(AND(Dados!$A490&gt;=Imóveis!$Q$2,Dados!$A490&lt;=Imóveis!$T$2),Imóveis!$S$2-(DATEDIF(Imóveis!$Q$2,Dados!$A490,"m")),0))=0,0,((Imóveis!$N$2/Imóveis!$S$2)+((Imóveis!$N$2-((Imóveis!$S$2-(IF(AND(Dados!$A490&gt;=Imóveis!$Q$2,Dados!$A490&lt;=Imóveis!$T$2),Imóveis!$S$2-(DATEDIF(Imóveis!$Q$2,Dados!$A490,"m")),)))*(Imóveis!$N$2/Imóveis!$S$2)))*Imóveis!$P$2))))*IF(AND(Imóveis!$E$2&gt;0,Dados!$A490&gt;Imóveis!$E$2),0,1)</f>
        <v>0</v>
      </c>
      <c r="J490" s="18">
        <f>IF(Imóveis!$F$3="PRICE",IF(AND(Dados!$A490&gt;=Imóveis!$Q$3,Dados!$A490&lt;=Imóveis!$T$3),Imóveis!$U$3,0),IF((IF(AND(Dados!$A490&gt;=Imóveis!$Q$3,Dados!$A490&lt;=Imóveis!$T$3),Imóveis!$S$3-(DATEDIF(Imóveis!$Q$3,Dados!$A490,"m")),0))=0,0,((Imóveis!$N$3/Imóveis!$S$3)+((Imóveis!$N$3-((Imóveis!$S$3-(IF(AND(Dados!$A490&gt;=Imóveis!$Q$3,Dados!$A490&lt;=Imóveis!$T$3),Imóveis!$S$3-(DATEDIF(Imóveis!$Q$3,Dados!$A490,"m")),)))*(Imóveis!$N$3/Imóveis!$S$3)))*Imóveis!$P$3))))*IF(AND(Imóveis!$E$3&gt;0,Dados!$A490&gt;Imóveis!$E$3),0,1)</f>
        <v>0</v>
      </c>
      <c r="K490" s="18">
        <f>IF(Imóveis!$F$4="PRICE",IF(AND(Dados!$A490&gt;=Imóveis!$Q$4,Dados!$A490&lt;=Imóveis!$T$4),Imóveis!$U$4,0),IF((IF(AND(Dados!$A490&gt;=Imóveis!$Q$4,Dados!$A490&lt;=Imóveis!$T$4),Imóveis!$S$4-(DATEDIF(Imóveis!$Q$4,Dados!$A490,"m")),0))=0,0,((Imóveis!$N$4/Imóveis!$S$4)+((Imóveis!$N$4-((Imóveis!$S$4-(IF(AND(Dados!$A490&gt;=Imóveis!$Q$4,Dados!$A490&lt;=Imóveis!$T$4),Imóveis!$S$4-(DATEDIF(Imóveis!$Q$4,Dados!$A490,"m")),)))*(Imóveis!$N$4/Imóveis!$S$4)))*Imóveis!$P$4))))*IF(AND(Imóveis!$E$4&gt;0,Dados!$A490&gt;Imóveis!$E$4),0,1)</f>
        <v>0</v>
      </c>
      <c r="L490" s="18">
        <f>IF(Imóveis!$F$5="PRICE",IF(AND(Dados!$A490&gt;=Imóveis!$Q$5,Dados!$A490&lt;=Imóveis!$T$5),Imóveis!$U$5,0),IF((IF(AND(Dados!$A490&gt;=Imóveis!$Q$5,Dados!$A490&lt;=Imóveis!$T$5),Imóveis!$S$5-(DATEDIF(Imóveis!$Q$5,Dados!$A490,"m")),0))=0,0,((Imóveis!$N$5/Imóveis!$S$5)+((Imóveis!$N$5-((Imóveis!$S$5-(IF(AND(Dados!$A490 &gt;=Imóveis!$Q$5,Dados!$A490&lt;=Imóveis!$T$5),Imóveis!$S$5-(DATEDIF(Imóveis!$Q$5,Dados!$A490,"m")),)))*(Imóveis!$N$5/Imóveis!$S$5)))*Imóveis!$P$5))))*IF(AND(Imóveis!$E$5&gt;0,Dados!$A490&gt;Imóveis!$E$5),0,1)*Imóveis!$I$5</f>
        <v>0</v>
      </c>
      <c r="M490" s="18">
        <f>IF(Imóveis!$F$6="PRICE",IF(AND(Dados!$A490&gt;=Imóveis!$Q$6,Dados!$A490&lt;=Imóveis!$T$6),Imóveis!$U$6,0),IF((IF(AND(Dados!$A490&gt;=Imóveis!$Q$6,Dados!$A490&lt;=Imóveis!$T$6),Imóveis!$S$6-(DATEDIF(Imóveis!$Q$6,Dados!$A490,"m")),0))=0,0,((Imóveis!$N$6/Imóveis!$S$6)+((Imóveis!$N$6-((Imóveis!$S$6-(IF(AND(Dados!$A490&gt;=Imóveis!$Q$6,Dados!$A490&lt;=Imóveis!$T$6),Imóveis!$S$6-(DATEDIF(Imóveis!$Q$6,Dados!$A490,"m")),)))*(Imóveis!$N$6/Imóveis!$S$6)))*Imóveis!$P$6))))*IF(AND(Imóveis!$E$6&gt;0,Dados!$A490&gt;Imóveis!$E$6),0,1)*Imóveis!$I$6</f>
        <v>0</v>
      </c>
      <c r="N490" s="18">
        <f t="shared" si="61"/>
        <v>37000</v>
      </c>
      <c r="O490" s="18">
        <f>SUMIFS(Receitas!$F:$F,Receitas!$J:$J,"&lt;="&amp;$A490,Receitas!$L:$L,"&gt;="&amp;$A490,Receitas!$C:$C,O$1,Receitas!$M:$M,"Mensal")+SUMIFS(Receitas!$F:$F,Receitas!$J:$J,"&lt;="&amp;$A490,Receitas!$L:$L,"&gt;="&amp;$A490,Receitas!$C:$C,O$1,Receitas!$M:$M,$B490)</f>
        <v>0</v>
      </c>
      <c r="P490" s="18">
        <f>SUMIFS(Receitas!$F:$F,Receitas!$J:$J,"&lt;="&amp;$A490,Receitas!$L:$L,"&gt;="&amp;$A490,Receitas!$C:$C,P$1,Receitas!$M:$M,"Mensal")+SUMIFS(Receitas!$F:$F,Receitas!$J:$J,"&lt;="&amp;$A490,Receitas!$L:$L,"&gt;="&amp;$A490,Receitas!$C:$C,P$1,Receitas!$M:$M,$B490)</f>
        <v>0</v>
      </c>
      <c r="Q490" s="18">
        <f>SUMIFS(Receitas!$F:$F,Receitas!$J:$J,"&lt;="&amp;$A490,Receitas!$L:$L,"&gt;="&amp;$A490,Receitas!$C:$C,Q$1,Receitas!$M:$M,"Mensal")+SUMIFS(Receitas!$F:$F,Receitas!$J:$J,"&lt;="&amp;$A490,Receitas!$L:$L,"&gt;="&amp;$A490,Receitas!$C:$C,Q$1,Receitas!$M:$M,$B490)</f>
        <v>0</v>
      </c>
      <c r="R490" s="18" cm="1">
        <f t="array" ref="R490">(IF(AND(Membros!$F$2="Sim",A490&lt;=MAX(Membros!$E$2:$E$5)),Membros!K$2,IF(AND(A490&gt;=Membros!J$2,A490&lt;=MAX(Membros!$E$2:$E$5)),Membros!K$2,0))+IF(AND(Membros!$F$3="Sim",A490&lt;=MAX(Membros!$E$2:$E$5)),Membros!K$3,IF(AND(A490&gt;=Membros!J$3,A490&lt;=MAX(Membros!$E$2:$E$5)),Membros!K$3,0)))*IF(AND(COUNTIFS(Tabela3[Tipo],"Provedor",Tabela3[Simulação Seguro],"Sim")=2,A490&gt;=MAX(IF(Tabela3[Tipo]="Dependente",Tabela3[Expectativa de Vida (Data)]))),0,1)</f>
        <v>10000</v>
      </c>
      <c r="S490" s="18">
        <f t="shared" si="62"/>
        <v>10000</v>
      </c>
      <c r="U490" s="18">
        <f t="shared" ca="1" si="65"/>
        <v>31033555.061995097</v>
      </c>
      <c r="V490" s="18">
        <f>SUMIF(Imóveis!E:E,Dados!A:A,Imóveis!Z:Z)-SUMIF(Imóveis!E:E,Dados!A:A,Imóveis!Y:Y)</f>
        <v>0</v>
      </c>
      <c r="W490" s="18">
        <f>-SUMIF(Projetos!N:N,A490,Projetos!F:F)</f>
        <v>0</v>
      </c>
      <c r="X490" s="18">
        <f t="shared" si="59"/>
        <v>-27000</v>
      </c>
      <c r="Y490" s="26">
        <f ca="1">(U490*((Indicadores_Economicos!D$2+1)^(1/12)-1))</f>
        <v>101595.78378951385</v>
      </c>
      <c r="Z490" s="18">
        <f t="shared" ca="1" si="63"/>
        <v>31108150.845784612</v>
      </c>
      <c r="AA490" s="18">
        <f ca="1">Auxiliar_Projetos!E490</f>
        <v>1.9270134815141245E-9</v>
      </c>
      <c r="AB490" s="18">
        <f ca="1">Auxiliar_Projetos!K490</f>
        <v>1.4823180627031714E-9</v>
      </c>
      <c r="AC490" s="18">
        <f ca="1">IF(Z490-AA490-AB490&gt;Investimentos!$C$14,Investimentos!$C$14,IF(Z490-AA490-AB490&lt;Investimentos!$C$14,Z490-AA490-AB490,0))</f>
        <v>300000</v>
      </c>
      <c r="AD490" s="18">
        <f t="shared" ca="1" si="64"/>
        <v>30808150.845784608</v>
      </c>
      <c r="AE490" s="18"/>
    </row>
    <row r="491" spans="1:31" x14ac:dyDescent="0.2">
      <c r="A491" s="4">
        <v>60541</v>
      </c>
      <c r="B491" s="5" t="str">
        <f t="shared" si="60"/>
        <v>outubro</v>
      </c>
      <c r="C491" s="5" t="str">
        <f t="shared" si="66"/>
        <v>2065</v>
      </c>
      <c r="D491" s="5">
        <f>SUMIFS(Despesas!$F:$F,Despesas!$J:$J,"&lt;="&amp;$A491,Despesas!$L:$L,"&gt;="&amp;$A491,Despesas!$C:$C,D$1,Despesas!$M:$M,"Mensal")+SUMIFS(Despesas!$F:$F,Despesas!$J:$J,"&lt;="&amp;$A491,Despesas!$L:$L,"&gt;="&amp;$A491,Despesas!$C:$C,D$1,Despesas!$M:$M,$B491)</f>
        <v>23000</v>
      </c>
      <c r="E491" s="18">
        <f>SUMIFS(Despesas!$F:$F,Despesas!$J:$J,"&lt;="&amp;$A491,Despesas!$L:$L,"&gt;="&amp;$A491,Despesas!$C:$C,E$1,Despesas!$M:$M,"Mensal")+SUMIFS(Despesas!$F:$F,Despesas!$J:$J,"&lt;="&amp;$A491,Despesas!$L:$L,"&gt;="&amp;$A491,Despesas!$C:$C,E$1,Despesas!$M:$M,$B491)</f>
        <v>0</v>
      </c>
      <c r="F491" s="5">
        <f>SUMIFS(Despesas!$F:$F,Despesas!$J:$J,"&lt;="&amp;$A491,Despesas!$L:$L,"&gt;="&amp;$A491,Despesas!$C:$C,F$1,Despesas!$M:$M,"Mensal")+SUMIFS(Despesas!$F:$F,Despesas!$J:$J,"&lt;="&amp;$A491,Despesas!$L:$L,"&gt;="&amp;$A491,Despesas!$C:$C,F$1,Despesas!$M:$M,$B491)</f>
        <v>13000</v>
      </c>
      <c r="G491" s="5">
        <f>SUMIFS(Despesas!$F:$F,Despesas!$J:$J,"&lt;="&amp;$A491,Despesas!$L:$L,"&gt;="&amp;$A491,Despesas!$C:$C,G$1,Despesas!$M:$M,"Mensal")+SUMIFS(Despesas!$F:$F,Despesas!$J:$J,"&lt;="&amp;$A491,Despesas!$L:$L,"&gt;="&amp;$A491,Despesas!$C:$C,G$1,Despesas!$M:$M,$B491)</f>
        <v>0</v>
      </c>
      <c r="H491" s="18">
        <f>SUMIFS(Despesas!$F:$F,Despesas!$J:$J,"&lt;="&amp;$A491,Despesas!$L:$L,"&gt;="&amp;$A491,Despesas!$C:$C,H$1,Despesas!$M:$M,"Mensal")+SUMIFS(Despesas!$F:$F,Despesas!$J:$J,"&lt;="&amp;$A491,Despesas!$L:$L,"&gt;="&amp;$A491,Despesas!$C:$C,H$1,Despesas!$M:$M,$B491)</f>
        <v>1000</v>
      </c>
      <c r="I491" s="18">
        <f>IF(Imóveis!$F$2="PRICE",IF(AND(Dados!$A491&gt;=Imóveis!$Q$2,Dados!$A491&lt;=Imóveis!$T$2),Imóveis!$U$2,0),IF((IF(AND(Dados!$A491&gt;=Imóveis!$Q$2,Dados!$A491&lt;=Imóveis!$T$2),Imóveis!$S$2-(DATEDIF(Imóveis!$Q$2,Dados!$A491,"m")),0))=0,0,((Imóveis!$N$2/Imóveis!$S$2)+((Imóveis!$N$2-((Imóveis!$S$2-(IF(AND(Dados!$A491&gt;=Imóveis!$Q$2,Dados!$A491&lt;=Imóveis!$T$2),Imóveis!$S$2-(DATEDIF(Imóveis!$Q$2,Dados!$A491,"m")),)))*(Imóveis!$N$2/Imóveis!$S$2)))*Imóveis!$P$2))))*IF(AND(Imóveis!$E$2&gt;0,Dados!$A491&gt;Imóveis!$E$2),0,1)</f>
        <v>0</v>
      </c>
      <c r="J491" s="18">
        <f>IF(Imóveis!$F$3="PRICE",IF(AND(Dados!$A491&gt;=Imóveis!$Q$3,Dados!$A491&lt;=Imóveis!$T$3),Imóveis!$U$3,0),IF((IF(AND(Dados!$A491&gt;=Imóveis!$Q$3,Dados!$A491&lt;=Imóveis!$T$3),Imóveis!$S$3-(DATEDIF(Imóveis!$Q$3,Dados!$A491,"m")),0))=0,0,((Imóveis!$N$3/Imóveis!$S$3)+((Imóveis!$N$3-((Imóveis!$S$3-(IF(AND(Dados!$A491&gt;=Imóveis!$Q$3,Dados!$A491&lt;=Imóveis!$T$3),Imóveis!$S$3-(DATEDIF(Imóveis!$Q$3,Dados!$A491,"m")),)))*(Imóveis!$N$3/Imóveis!$S$3)))*Imóveis!$P$3))))*IF(AND(Imóveis!$E$3&gt;0,Dados!$A491&gt;Imóveis!$E$3),0,1)</f>
        <v>0</v>
      </c>
      <c r="K491" s="18">
        <f>IF(Imóveis!$F$4="PRICE",IF(AND(Dados!$A491&gt;=Imóveis!$Q$4,Dados!$A491&lt;=Imóveis!$T$4),Imóveis!$U$4,0),IF((IF(AND(Dados!$A491&gt;=Imóveis!$Q$4,Dados!$A491&lt;=Imóveis!$T$4),Imóveis!$S$4-(DATEDIF(Imóveis!$Q$4,Dados!$A491,"m")),0))=0,0,((Imóveis!$N$4/Imóveis!$S$4)+((Imóveis!$N$4-((Imóveis!$S$4-(IF(AND(Dados!$A491&gt;=Imóveis!$Q$4,Dados!$A491&lt;=Imóveis!$T$4),Imóveis!$S$4-(DATEDIF(Imóveis!$Q$4,Dados!$A491,"m")),)))*(Imóveis!$N$4/Imóveis!$S$4)))*Imóveis!$P$4))))*IF(AND(Imóveis!$E$4&gt;0,Dados!$A491&gt;Imóveis!$E$4),0,1)</f>
        <v>0</v>
      </c>
      <c r="L491" s="18">
        <f>IF(Imóveis!$F$5="PRICE",IF(AND(Dados!$A491&gt;=Imóveis!$Q$5,Dados!$A491&lt;=Imóveis!$T$5),Imóveis!$U$5,0),IF((IF(AND(Dados!$A491&gt;=Imóveis!$Q$5,Dados!$A491&lt;=Imóveis!$T$5),Imóveis!$S$5-(DATEDIF(Imóveis!$Q$5,Dados!$A491,"m")),0))=0,0,((Imóveis!$N$5/Imóveis!$S$5)+((Imóveis!$N$5-((Imóveis!$S$5-(IF(AND(Dados!$A491 &gt;=Imóveis!$Q$5,Dados!$A491&lt;=Imóveis!$T$5),Imóveis!$S$5-(DATEDIF(Imóveis!$Q$5,Dados!$A491,"m")),)))*(Imóveis!$N$5/Imóveis!$S$5)))*Imóveis!$P$5))))*IF(AND(Imóveis!$E$5&gt;0,Dados!$A491&gt;Imóveis!$E$5),0,1)*Imóveis!$I$5</f>
        <v>0</v>
      </c>
      <c r="M491" s="18">
        <f>IF(Imóveis!$F$6="PRICE",IF(AND(Dados!$A491&gt;=Imóveis!$Q$6,Dados!$A491&lt;=Imóveis!$T$6),Imóveis!$U$6,0),IF((IF(AND(Dados!$A491&gt;=Imóveis!$Q$6,Dados!$A491&lt;=Imóveis!$T$6),Imóveis!$S$6-(DATEDIF(Imóveis!$Q$6,Dados!$A491,"m")),0))=0,0,((Imóveis!$N$6/Imóveis!$S$6)+((Imóveis!$N$6-((Imóveis!$S$6-(IF(AND(Dados!$A491&gt;=Imóveis!$Q$6,Dados!$A491&lt;=Imóveis!$T$6),Imóveis!$S$6-(DATEDIF(Imóveis!$Q$6,Dados!$A491,"m")),)))*(Imóveis!$N$6/Imóveis!$S$6)))*Imóveis!$P$6))))*IF(AND(Imóveis!$E$6&gt;0,Dados!$A491&gt;Imóveis!$E$6),0,1)*Imóveis!$I$6</f>
        <v>0</v>
      </c>
      <c r="N491" s="18">
        <f t="shared" si="61"/>
        <v>37000</v>
      </c>
      <c r="O491" s="18">
        <f>SUMIFS(Receitas!$F:$F,Receitas!$J:$J,"&lt;="&amp;$A491,Receitas!$L:$L,"&gt;="&amp;$A491,Receitas!$C:$C,O$1,Receitas!$M:$M,"Mensal")+SUMIFS(Receitas!$F:$F,Receitas!$J:$J,"&lt;="&amp;$A491,Receitas!$L:$L,"&gt;="&amp;$A491,Receitas!$C:$C,O$1,Receitas!$M:$M,$B491)</f>
        <v>0</v>
      </c>
      <c r="P491" s="18">
        <f>SUMIFS(Receitas!$F:$F,Receitas!$J:$J,"&lt;="&amp;$A491,Receitas!$L:$L,"&gt;="&amp;$A491,Receitas!$C:$C,P$1,Receitas!$M:$M,"Mensal")+SUMIFS(Receitas!$F:$F,Receitas!$J:$J,"&lt;="&amp;$A491,Receitas!$L:$L,"&gt;="&amp;$A491,Receitas!$C:$C,P$1,Receitas!$M:$M,$B491)</f>
        <v>0</v>
      </c>
      <c r="Q491" s="18">
        <f>SUMIFS(Receitas!$F:$F,Receitas!$J:$J,"&lt;="&amp;$A491,Receitas!$L:$L,"&gt;="&amp;$A491,Receitas!$C:$C,Q$1,Receitas!$M:$M,"Mensal")+SUMIFS(Receitas!$F:$F,Receitas!$J:$J,"&lt;="&amp;$A491,Receitas!$L:$L,"&gt;="&amp;$A491,Receitas!$C:$C,Q$1,Receitas!$M:$M,$B491)</f>
        <v>0</v>
      </c>
      <c r="R491" s="18" cm="1">
        <f t="array" ref="R491">(IF(AND(Membros!$F$2="Sim",A491&lt;=MAX(Membros!$E$2:$E$5)),Membros!K$2,IF(AND(A491&gt;=Membros!J$2,A491&lt;=MAX(Membros!$E$2:$E$5)),Membros!K$2,0))+IF(AND(Membros!$F$3="Sim",A491&lt;=MAX(Membros!$E$2:$E$5)),Membros!K$3,IF(AND(A491&gt;=Membros!J$3,A491&lt;=MAX(Membros!$E$2:$E$5)),Membros!K$3,0)))*IF(AND(COUNTIFS(Tabela3[Tipo],"Provedor",Tabela3[Simulação Seguro],"Sim")=2,A491&gt;=MAX(IF(Tabela3[Tipo]="Dependente",Tabela3[Expectativa de Vida (Data)]))),0,1)</f>
        <v>10000</v>
      </c>
      <c r="S491" s="18">
        <f t="shared" si="62"/>
        <v>10000</v>
      </c>
      <c r="U491" s="18">
        <f t="shared" ca="1" si="65"/>
        <v>31108150.845784612</v>
      </c>
      <c r="V491" s="18">
        <f>SUMIF(Imóveis!E:E,Dados!A:A,Imóveis!Z:Z)-SUMIF(Imóveis!E:E,Dados!A:A,Imóveis!Y:Y)</f>
        <v>0</v>
      </c>
      <c r="W491" s="18">
        <f>-SUMIF(Projetos!N:N,A491,Projetos!F:F)</f>
        <v>0</v>
      </c>
      <c r="X491" s="18">
        <f t="shared" si="59"/>
        <v>-27000</v>
      </c>
      <c r="Y491" s="26">
        <f ca="1">(U491*((Indicadores_Economicos!D$2+1)^(1/12)-1))</f>
        <v>101839.99097448989</v>
      </c>
      <c r="Z491" s="18">
        <f t="shared" ca="1" si="63"/>
        <v>31182990.836759102</v>
      </c>
      <c r="AA491" s="18">
        <f ca="1">Auxiliar_Projetos!E491</f>
        <v>1.9333220222093907E-9</v>
      </c>
      <c r="AB491" s="18">
        <f ca="1">Auxiliar_Projetos!K491</f>
        <v>1.4871707863149149E-9</v>
      </c>
      <c r="AC491" s="18">
        <f ca="1">IF(Z491-AA491-AB491&gt;Investimentos!$C$14,Investimentos!$C$14,IF(Z491-AA491-AB491&lt;Investimentos!$C$14,Z491-AA491-AB491,0))</f>
        <v>300000</v>
      </c>
      <c r="AD491" s="18">
        <f t="shared" ca="1" si="64"/>
        <v>30882990.836759098</v>
      </c>
      <c r="AE491" s="18"/>
    </row>
    <row r="492" spans="1:31" x14ac:dyDescent="0.2">
      <c r="A492" s="4">
        <v>60572</v>
      </c>
      <c r="B492" s="5" t="str">
        <f t="shared" si="60"/>
        <v>novembro</v>
      </c>
      <c r="C492" s="5" t="str">
        <f t="shared" si="66"/>
        <v>2065</v>
      </c>
      <c r="D492" s="5">
        <f>SUMIFS(Despesas!$F:$F,Despesas!$J:$J,"&lt;="&amp;$A492,Despesas!$L:$L,"&gt;="&amp;$A492,Despesas!$C:$C,D$1,Despesas!$M:$M,"Mensal")+SUMIFS(Despesas!$F:$F,Despesas!$J:$J,"&lt;="&amp;$A492,Despesas!$L:$L,"&gt;="&amp;$A492,Despesas!$C:$C,D$1,Despesas!$M:$M,$B492)</f>
        <v>23000</v>
      </c>
      <c r="E492" s="18">
        <f>SUMIFS(Despesas!$F:$F,Despesas!$J:$J,"&lt;="&amp;$A492,Despesas!$L:$L,"&gt;="&amp;$A492,Despesas!$C:$C,E$1,Despesas!$M:$M,"Mensal")+SUMIFS(Despesas!$F:$F,Despesas!$J:$J,"&lt;="&amp;$A492,Despesas!$L:$L,"&gt;="&amp;$A492,Despesas!$C:$C,E$1,Despesas!$M:$M,$B492)</f>
        <v>0</v>
      </c>
      <c r="F492" s="5">
        <f>SUMIFS(Despesas!$F:$F,Despesas!$J:$J,"&lt;="&amp;$A492,Despesas!$L:$L,"&gt;="&amp;$A492,Despesas!$C:$C,F$1,Despesas!$M:$M,"Mensal")+SUMIFS(Despesas!$F:$F,Despesas!$J:$J,"&lt;="&amp;$A492,Despesas!$L:$L,"&gt;="&amp;$A492,Despesas!$C:$C,F$1,Despesas!$M:$M,$B492)</f>
        <v>13000</v>
      </c>
      <c r="G492" s="5">
        <f>SUMIFS(Despesas!$F:$F,Despesas!$J:$J,"&lt;="&amp;$A492,Despesas!$L:$L,"&gt;="&amp;$A492,Despesas!$C:$C,G$1,Despesas!$M:$M,"Mensal")+SUMIFS(Despesas!$F:$F,Despesas!$J:$J,"&lt;="&amp;$A492,Despesas!$L:$L,"&gt;="&amp;$A492,Despesas!$C:$C,G$1,Despesas!$M:$M,$B492)</f>
        <v>0</v>
      </c>
      <c r="H492" s="18">
        <f>SUMIFS(Despesas!$F:$F,Despesas!$J:$J,"&lt;="&amp;$A492,Despesas!$L:$L,"&gt;="&amp;$A492,Despesas!$C:$C,H$1,Despesas!$M:$M,"Mensal")+SUMIFS(Despesas!$F:$F,Despesas!$J:$J,"&lt;="&amp;$A492,Despesas!$L:$L,"&gt;="&amp;$A492,Despesas!$C:$C,H$1,Despesas!$M:$M,$B492)</f>
        <v>1000</v>
      </c>
      <c r="I492" s="18">
        <f>IF(Imóveis!$F$2="PRICE",IF(AND(Dados!$A492&gt;=Imóveis!$Q$2,Dados!$A492&lt;=Imóveis!$T$2),Imóveis!$U$2,0),IF((IF(AND(Dados!$A492&gt;=Imóveis!$Q$2,Dados!$A492&lt;=Imóveis!$T$2),Imóveis!$S$2-(DATEDIF(Imóveis!$Q$2,Dados!$A492,"m")),0))=0,0,((Imóveis!$N$2/Imóveis!$S$2)+((Imóveis!$N$2-((Imóveis!$S$2-(IF(AND(Dados!$A492&gt;=Imóveis!$Q$2,Dados!$A492&lt;=Imóveis!$T$2),Imóveis!$S$2-(DATEDIF(Imóveis!$Q$2,Dados!$A492,"m")),)))*(Imóveis!$N$2/Imóveis!$S$2)))*Imóveis!$P$2))))*IF(AND(Imóveis!$E$2&gt;0,Dados!$A492&gt;Imóveis!$E$2),0,1)</f>
        <v>0</v>
      </c>
      <c r="J492" s="18">
        <f>IF(Imóveis!$F$3="PRICE",IF(AND(Dados!$A492&gt;=Imóveis!$Q$3,Dados!$A492&lt;=Imóveis!$T$3),Imóveis!$U$3,0),IF((IF(AND(Dados!$A492&gt;=Imóveis!$Q$3,Dados!$A492&lt;=Imóveis!$T$3),Imóveis!$S$3-(DATEDIF(Imóveis!$Q$3,Dados!$A492,"m")),0))=0,0,((Imóveis!$N$3/Imóveis!$S$3)+((Imóveis!$N$3-((Imóveis!$S$3-(IF(AND(Dados!$A492&gt;=Imóveis!$Q$3,Dados!$A492&lt;=Imóveis!$T$3),Imóveis!$S$3-(DATEDIF(Imóveis!$Q$3,Dados!$A492,"m")),)))*(Imóveis!$N$3/Imóveis!$S$3)))*Imóveis!$P$3))))*IF(AND(Imóveis!$E$3&gt;0,Dados!$A492&gt;Imóveis!$E$3),0,1)</f>
        <v>0</v>
      </c>
      <c r="K492" s="18">
        <f>IF(Imóveis!$F$4="PRICE",IF(AND(Dados!$A492&gt;=Imóveis!$Q$4,Dados!$A492&lt;=Imóveis!$T$4),Imóveis!$U$4,0),IF((IF(AND(Dados!$A492&gt;=Imóveis!$Q$4,Dados!$A492&lt;=Imóveis!$T$4),Imóveis!$S$4-(DATEDIF(Imóveis!$Q$4,Dados!$A492,"m")),0))=0,0,((Imóveis!$N$4/Imóveis!$S$4)+((Imóveis!$N$4-((Imóveis!$S$4-(IF(AND(Dados!$A492&gt;=Imóveis!$Q$4,Dados!$A492&lt;=Imóveis!$T$4),Imóveis!$S$4-(DATEDIF(Imóveis!$Q$4,Dados!$A492,"m")),)))*(Imóveis!$N$4/Imóveis!$S$4)))*Imóveis!$P$4))))*IF(AND(Imóveis!$E$4&gt;0,Dados!$A492&gt;Imóveis!$E$4),0,1)</f>
        <v>0</v>
      </c>
      <c r="L492" s="18">
        <f>IF(Imóveis!$F$5="PRICE",IF(AND(Dados!$A492&gt;=Imóveis!$Q$5,Dados!$A492&lt;=Imóveis!$T$5),Imóveis!$U$5,0),IF((IF(AND(Dados!$A492&gt;=Imóveis!$Q$5,Dados!$A492&lt;=Imóveis!$T$5),Imóveis!$S$5-(DATEDIF(Imóveis!$Q$5,Dados!$A492,"m")),0))=0,0,((Imóveis!$N$5/Imóveis!$S$5)+((Imóveis!$N$5-((Imóveis!$S$5-(IF(AND(Dados!$A492 &gt;=Imóveis!$Q$5,Dados!$A492&lt;=Imóveis!$T$5),Imóveis!$S$5-(DATEDIF(Imóveis!$Q$5,Dados!$A492,"m")),)))*(Imóveis!$N$5/Imóveis!$S$5)))*Imóveis!$P$5))))*IF(AND(Imóveis!$E$5&gt;0,Dados!$A492&gt;Imóveis!$E$5),0,1)*Imóveis!$I$5</f>
        <v>0</v>
      </c>
      <c r="M492" s="18">
        <f>IF(Imóveis!$F$6="PRICE",IF(AND(Dados!$A492&gt;=Imóveis!$Q$6,Dados!$A492&lt;=Imóveis!$T$6),Imóveis!$U$6,0),IF((IF(AND(Dados!$A492&gt;=Imóveis!$Q$6,Dados!$A492&lt;=Imóveis!$T$6),Imóveis!$S$6-(DATEDIF(Imóveis!$Q$6,Dados!$A492,"m")),0))=0,0,((Imóveis!$N$6/Imóveis!$S$6)+((Imóveis!$N$6-((Imóveis!$S$6-(IF(AND(Dados!$A492&gt;=Imóveis!$Q$6,Dados!$A492&lt;=Imóveis!$T$6),Imóveis!$S$6-(DATEDIF(Imóveis!$Q$6,Dados!$A492,"m")),)))*(Imóveis!$N$6/Imóveis!$S$6)))*Imóveis!$P$6))))*IF(AND(Imóveis!$E$6&gt;0,Dados!$A492&gt;Imóveis!$E$6),0,1)*Imóveis!$I$6</f>
        <v>0</v>
      </c>
      <c r="N492" s="18">
        <f t="shared" si="61"/>
        <v>37000</v>
      </c>
      <c r="O492" s="18">
        <f>SUMIFS(Receitas!$F:$F,Receitas!$J:$J,"&lt;="&amp;$A492,Receitas!$L:$L,"&gt;="&amp;$A492,Receitas!$C:$C,O$1,Receitas!$M:$M,"Mensal")+SUMIFS(Receitas!$F:$F,Receitas!$J:$J,"&lt;="&amp;$A492,Receitas!$L:$L,"&gt;="&amp;$A492,Receitas!$C:$C,O$1,Receitas!$M:$M,$B492)</f>
        <v>0</v>
      </c>
      <c r="P492" s="18">
        <f>SUMIFS(Receitas!$F:$F,Receitas!$J:$J,"&lt;="&amp;$A492,Receitas!$L:$L,"&gt;="&amp;$A492,Receitas!$C:$C,P$1,Receitas!$M:$M,"Mensal")+SUMIFS(Receitas!$F:$F,Receitas!$J:$J,"&lt;="&amp;$A492,Receitas!$L:$L,"&gt;="&amp;$A492,Receitas!$C:$C,P$1,Receitas!$M:$M,$B492)</f>
        <v>0</v>
      </c>
      <c r="Q492" s="18">
        <f>SUMIFS(Receitas!$F:$F,Receitas!$J:$J,"&lt;="&amp;$A492,Receitas!$L:$L,"&gt;="&amp;$A492,Receitas!$C:$C,Q$1,Receitas!$M:$M,"Mensal")+SUMIFS(Receitas!$F:$F,Receitas!$J:$J,"&lt;="&amp;$A492,Receitas!$L:$L,"&gt;="&amp;$A492,Receitas!$C:$C,Q$1,Receitas!$M:$M,$B492)</f>
        <v>0</v>
      </c>
      <c r="R492" s="18" cm="1">
        <f t="array" ref="R492">(IF(AND(Membros!$F$2="Sim",A492&lt;=MAX(Membros!$E$2:$E$5)),Membros!K$2,IF(AND(A492&gt;=Membros!J$2,A492&lt;=MAX(Membros!$E$2:$E$5)),Membros!K$2,0))+IF(AND(Membros!$F$3="Sim",A492&lt;=MAX(Membros!$E$2:$E$5)),Membros!K$3,IF(AND(A492&gt;=Membros!J$3,A492&lt;=MAX(Membros!$E$2:$E$5)),Membros!K$3,0)))*IF(AND(COUNTIFS(Tabela3[Tipo],"Provedor",Tabela3[Simulação Seguro],"Sim")=2,A492&gt;=MAX(IF(Tabela3[Tipo]="Dependente",Tabela3[Expectativa de Vida (Data)]))),0,1)</f>
        <v>10000</v>
      </c>
      <c r="S492" s="18">
        <f t="shared" si="62"/>
        <v>10000</v>
      </c>
      <c r="U492" s="18">
        <f t="shared" ca="1" si="65"/>
        <v>31182990.836759102</v>
      </c>
      <c r="V492" s="18">
        <f>SUMIF(Imóveis!E:E,Dados!A:A,Imóveis!Z:Z)-SUMIF(Imóveis!E:E,Dados!A:A,Imóveis!Y:Y)</f>
        <v>0</v>
      </c>
      <c r="W492" s="18">
        <f>-SUMIF(Projetos!N:N,A492,Projetos!F:F)</f>
        <v>0</v>
      </c>
      <c r="X492" s="18">
        <f t="shared" si="59"/>
        <v>-27000</v>
      </c>
      <c r="Y492" s="26">
        <f ca="1">(U492*((Indicadores_Economicos!D$2+1)^(1/12)-1))</f>
        <v>102084.99763024249</v>
      </c>
      <c r="Z492" s="18">
        <f t="shared" ca="1" si="63"/>
        <v>31258075.834389344</v>
      </c>
      <c r="AA492" s="18">
        <f ca="1">Auxiliar_Projetos!E492</f>
        <v>1.9396512154252988E-9</v>
      </c>
      <c r="AB492" s="18">
        <f ca="1">Auxiliar_Projetos!K492</f>
        <v>1.4920393964809981E-9</v>
      </c>
      <c r="AC492" s="18">
        <f ca="1">IF(Z492-AA492-AB492&gt;Investimentos!$C$14,Investimentos!$C$14,IF(Z492-AA492-AB492&lt;Investimentos!$C$14,Z492-AA492-AB492,0))</f>
        <v>300000</v>
      </c>
      <c r="AD492" s="18">
        <f t="shared" ca="1" si="64"/>
        <v>30958075.83438934</v>
      </c>
      <c r="AE492" s="18"/>
    </row>
    <row r="493" spans="1:31" x14ac:dyDescent="0.2">
      <c r="A493" s="4">
        <v>60602</v>
      </c>
      <c r="B493" s="5" t="str">
        <f t="shared" si="60"/>
        <v>dezembro</v>
      </c>
      <c r="C493" s="5" t="str">
        <f t="shared" si="66"/>
        <v>2065</v>
      </c>
      <c r="D493" s="5">
        <f>SUMIFS(Despesas!$F:$F,Despesas!$J:$J,"&lt;="&amp;$A493,Despesas!$L:$L,"&gt;="&amp;$A493,Despesas!$C:$C,D$1,Despesas!$M:$M,"Mensal")+SUMIFS(Despesas!$F:$F,Despesas!$J:$J,"&lt;="&amp;$A493,Despesas!$L:$L,"&gt;="&amp;$A493,Despesas!$C:$C,D$1,Despesas!$M:$M,$B493)</f>
        <v>23000</v>
      </c>
      <c r="E493" s="18">
        <f>SUMIFS(Despesas!$F:$F,Despesas!$J:$J,"&lt;="&amp;$A493,Despesas!$L:$L,"&gt;="&amp;$A493,Despesas!$C:$C,E$1,Despesas!$M:$M,"Mensal")+SUMIFS(Despesas!$F:$F,Despesas!$J:$J,"&lt;="&amp;$A493,Despesas!$L:$L,"&gt;="&amp;$A493,Despesas!$C:$C,E$1,Despesas!$M:$M,$B493)</f>
        <v>0</v>
      </c>
      <c r="F493" s="5">
        <f>SUMIFS(Despesas!$F:$F,Despesas!$J:$J,"&lt;="&amp;$A493,Despesas!$L:$L,"&gt;="&amp;$A493,Despesas!$C:$C,F$1,Despesas!$M:$M,"Mensal")+SUMIFS(Despesas!$F:$F,Despesas!$J:$J,"&lt;="&amp;$A493,Despesas!$L:$L,"&gt;="&amp;$A493,Despesas!$C:$C,F$1,Despesas!$M:$M,$B493)</f>
        <v>13000</v>
      </c>
      <c r="G493" s="5">
        <f ca="1">SUMIFS(Despesas!$F:$F,Despesas!$J:$J,"&lt;="&amp;$A493,Despesas!$L:$L,"&gt;="&amp;$A493,Despesas!$C:$C,G$1,Despesas!$M:$M,"Mensal")+SUMIFS(Despesas!$F:$F,Despesas!$J:$J,"&lt;="&amp;$A493,Despesas!$L:$L,"&gt;="&amp;$A493,Despesas!$C:$C,G$1,Despesas!$M:$M,$B493)</f>
        <v>55757</v>
      </c>
      <c r="H493" s="18">
        <f>SUMIFS(Despesas!$F:$F,Despesas!$J:$J,"&lt;="&amp;$A493,Despesas!$L:$L,"&gt;="&amp;$A493,Despesas!$C:$C,H$1,Despesas!$M:$M,"Mensal")+SUMIFS(Despesas!$F:$F,Despesas!$J:$J,"&lt;="&amp;$A493,Despesas!$L:$L,"&gt;="&amp;$A493,Despesas!$C:$C,H$1,Despesas!$M:$M,$B493)</f>
        <v>1000</v>
      </c>
      <c r="I493" s="18">
        <f>IF(Imóveis!$F$2="PRICE",IF(AND(Dados!$A493&gt;=Imóveis!$Q$2,Dados!$A493&lt;=Imóveis!$T$2),Imóveis!$U$2,0),IF((IF(AND(Dados!$A493&gt;=Imóveis!$Q$2,Dados!$A493&lt;=Imóveis!$T$2),Imóveis!$S$2-(DATEDIF(Imóveis!$Q$2,Dados!$A493,"m")),0))=0,0,((Imóveis!$N$2/Imóveis!$S$2)+((Imóveis!$N$2-((Imóveis!$S$2-(IF(AND(Dados!$A493&gt;=Imóveis!$Q$2,Dados!$A493&lt;=Imóveis!$T$2),Imóveis!$S$2-(DATEDIF(Imóveis!$Q$2,Dados!$A493,"m")),)))*(Imóveis!$N$2/Imóveis!$S$2)))*Imóveis!$P$2))))*IF(AND(Imóveis!$E$2&gt;0,Dados!$A493&gt;Imóveis!$E$2),0,1)</f>
        <v>0</v>
      </c>
      <c r="J493" s="18">
        <f>IF(Imóveis!$F$3="PRICE",IF(AND(Dados!$A493&gt;=Imóveis!$Q$3,Dados!$A493&lt;=Imóveis!$T$3),Imóveis!$U$3,0),IF((IF(AND(Dados!$A493&gt;=Imóveis!$Q$3,Dados!$A493&lt;=Imóveis!$T$3),Imóveis!$S$3-(DATEDIF(Imóveis!$Q$3,Dados!$A493,"m")),0))=0,0,((Imóveis!$N$3/Imóveis!$S$3)+((Imóveis!$N$3-((Imóveis!$S$3-(IF(AND(Dados!$A493&gt;=Imóveis!$Q$3,Dados!$A493&lt;=Imóveis!$T$3),Imóveis!$S$3-(DATEDIF(Imóveis!$Q$3,Dados!$A493,"m")),)))*(Imóveis!$N$3/Imóveis!$S$3)))*Imóveis!$P$3))))*IF(AND(Imóveis!$E$3&gt;0,Dados!$A493&gt;Imóveis!$E$3),0,1)</f>
        <v>0</v>
      </c>
      <c r="K493" s="18">
        <f>IF(Imóveis!$F$4="PRICE",IF(AND(Dados!$A493&gt;=Imóveis!$Q$4,Dados!$A493&lt;=Imóveis!$T$4),Imóveis!$U$4,0),IF((IF(AND(Dados!$A493&gt;=Imóveis!$Q$4,Dados!$A493&lt;=Imóveis!$T$4),Imóveis!$S$4-(DATEDIF(Imóveis!$Q$4,Dados!$A493,"m")),0))=0,0,((Imóveis!$N$4/Imóveis!$S$4)+((Imóveis!$N$4-((Imóveis!$S$4-(IF(AND(Dados!$A493&gt;=Imóveis!$Q$4,Dados!$A493&lt;=Imóveis!$T$4),Imóveis!$S$4-(DATEDIF(Imóveis!$Q$4,Dados!$A493,"m")),)))*(Imóveis!$N$4/Imóveis!$S$4)))*Imóveis!$P$4))))*IF(AND(Imóveis!$E$4&gt;0,Dados!$A493&gt;Imóveis!$E$4),0,1)</f>
        <v>0</v>
      </c>
      <c r="L493" s="18">
        <f>IF(Imóveis!$F$5="PRICE",IF(AND(Dados!$A493&gt;=Imóveis!$Q$5,Dados!$A493&lt;=Imóveis!$T$5),Imóveis!$U$5,0),IF((IF(AND(Dados!$A493&gt;=Imóveis!$Q$5,Dados!$A493&lt;=Imóveis!$T$5),Imóveis!$S$5-(DATEDIF(Imóveis!$Q$5,Dados!$A493,"m")),0))=0,0,((Imóveis!$N$5/Imóveis!$S$5)+((Imóveis!$N$5-((Imóveis!$S$5-(IF(AND(Dados!$A493 &gt;=Imóveis!$Q$5,Dados!$A493&lt;=Imóveis!$T$5),Imóveis!$S$5-(DATEDIF(Imóveis!$Q$5,Dados!$A493,"m")),)))*(Imóveis!$N$5/Imóveis!$S$5)))*Imóveis!$P$5))))*IF(AND(Imóveis!$E$5&gt;0,Dados!$A493&gt;Imóveis!$E$5),0,1)*Imóveis!$I$5</f>
        <v>0</v>
      </c>
      <c r="M493" s="18">
        <f>IF(Imóveis!$F$6="PRICE",IF(AND(Dados!$A493&gt;=Imóveis!$Q$6,Dados!$A493&lt;=Imóveis!$T$6),Imóveis!$U$6,0),IF((IF(AND(Dados!$A493&gt;=Imóveis!$Q$6,Dados!$A493&lt;=Imóveis!$T$6),Imóveis!$S$6-(DATEDIF(Imóveis!$Q$6,Dados!$A493,"m")),0))=0,0,((Imóveis!$N$6/Imóveis!$S$6)+((Imóveis!$N$6-((Imóveis!$S$6-(IF(AND(Dados!$A493&gt;=Imóveis!$Q$6,Dados!$A493&lt;=Imóveis!$T$6),Imóveis!$S$6-(DATEDIF(Imóveis!$Q$6,Dados!$A493,"m")),)))*(Imóveis!$N$6/Imóveis!$S$6)))*Imóveis!$P$6))))*IF(AND(Imóveis!$E$6&gt;0,Dados!$A493&gt;Imóveis!$E$6),0,1)*Imóveis!$I$6</f>
        <v>0</v>
      </c>
      <c r="N493" s="18">
        <f t="shared" ca="1" si="61"/>
        <v>92757</v>
      </c>
      <c r="O493" s="18">
        <f>SUMIFS(Receitas!$F:$F,Receitas!$J:$J,"&lt;="&amp;$A493,Receitas!$L:$L,"&gt;="&amp;$A493,Receitas!$C:$C,O$1,Receitas!$M:$M,"Mensal")+SUMIFS(Receitas!$F:$F,Receitas!$J:$J,"&lt;="&amp;$A493,Receitas!$L:$L,"&gt;="&amp;$A493,Receitas!$C:$C,O$1,Receitas!$M:$M,$B493)</f>
        <v>0</v>
      </c>
      <c r="P493" s="18">
        <f>SUMIFS(Receitas!$F:$F,Receitas!$J:$J,"&lt;="&amp;$A493,Receitas!$L:$L,"&gt;="&amp;$A493,Receitas!$C:$C,P$1,Receitas!$M:$M,"Mensal")+SUMIFS(Receitas!$F:$F,Receitas!$J:$J,"&lt;="&amp;$A493,Receitas!$L:$L,"&gt;="&amp;$A493,Receitas!$C:$C,P$1,Receitas!$M:$M,$B493)</f>
        <v>0</v>
      </c>
      <c r="Q493" s="18">
        <f>SUMIFS(Receitas!$F:$F,Receitas!$J:$J,"&lt;="&amp;$A493,Receitas!$L:$L,"&gt;="&amp;$A493,Receitas!$C:$C,Q$1,Receitas!$M:$M,"Mensal")+SUMIFS(Receitas!$F:$F,Receitas!$J:$J,"&lt;="&amp;$A493,Receitas!$L:$L,"&gt;="&amp;$A493,Receitas!$C:$C,Q$1,Receitas!$M:$M,$B493)</f>
        <v>0</v>
      </c>
      <c r="R493" s="18" cm="1">
        <f t="array" ref="R493">(IF(AND(Membros!$F$2="Sim",A493&lt;=MAX(Membros!$E$2:$E$5)),Membros!K$2,IF(AND(A493&gt;=Membros!J$2,A493&lt;=MAX(Membros!$E$2:$E$5)),Membros!K$2,0))+IF(AND(Membros!$F$3="Sim",A493&lt;=MAX(Membros!$E$2:$E$5)),Membros!K$3,IF(AND(A493&gt;=Membros!J$3,A493&lt;=MAX(Membros!$E$2:$E$5)),Membros!K$3,0)))*IF(AND(COUNTIFS(Tabela3[Tipo],"Provedor",Tabela3[Simulação Seguro],"Sim")=2,A493&gt;=MAX(IF(Tabela3[Tipo]="Dependente",Tabela3[Expectativa de Vida (Data)]))),0,1)</f>
        <v>10000</v>
      </c>
      <c r="S493" s="18">
        <f t="shared" si="62"/>
        <v>10000</v>
      </c>
      <c r="U493" s="18">
        <f t="shared" ca="1" si="65"/>
        <v>31258075.834389344</v>
      </c>
      <c r="V493" s="18">
        <f>SUMIF(Imóveis!E:E,Dados!A:A,Imóveis!Z:Z)-SUMIF(Imóveis!E:E,Dados!A:A,Imóveis!Y:Y)</f>
        <v>0</v>
      </c>
      <c r="W493" s="18">
        <f>-SUMIF(Projetos!N:N,A493,Projetos!F:F)</f>
        <v>0</v>
      </c>
      <c r="X493" s="18">
        <f t="shared" ca="1" si="59"/>
        <v>-82757</v>
      </c>
      <c r="Y493" s="26">
        <f ca="1">(U493*((Indicadores_Economicos!D$2+1)^(1/12)-1))</f>
        <v>102330.80637403093</v>
      </c>
      <c r="Z493" s="18">
        <f t="shared" ca="1" si="63"/>
        <v>31277649.640763376</v>
      </c>
      <c r="AA493" s="18">
        <f ca="1">Auxiliar_Projetos!E493</f>
        <v>1.9460011287728271E-9</v>
      </c>
      <c r="AB493" s="18">
        <f ca="1">Auxiliar_Projetos!K493</f>
        <v>1.496923945209866E-9</v>
      </c>
      <c r="AC493" s="18">
        <f ca="1">IF(Z493-AA493-AB493&gt;Investimentos!$C$14,Investimentos!$C$14,IF(Z493-AA493-AB493&lt;Investimentos!$C$14,Z493-AA493-AB493,0))</f>
        <v>300000</v>
      </c>
      <c r="AD493" s="18">
        <f t="shared" ca="1" si="64"/>
        <v>30977649.640763372</v>
      </c>
      <c r="AE493" s="18"/>
    </row>
    <row r="494" spans="1:31" x14ac:dyDescent="0.2">
      <c r="A494" s="4">
        <v>60633</v>
      </c>
      <c r="B494" s="5" t="str">
        <f t="shared" si="60"/>
        <v>janeiro</v>
      </c>
      <c r="C494" s="5" t="str">
        <f t="shared" si="66"/>
        <v>2066</v>
      </c>
      <c r="D494" s="5">
        <f>SUMIFS(Despesas!$F:$F,Despesas!$J:$J,"&lt;="&amp;$A494,Despesas!$L:$L,"&gt;="&amp;$A494,Despesas!$C:$C,D$1,Despesas!$M:$M,"Mensal")+SUMIFS(Despesas!$F:$F,Despesas!$J:$J,"&lt;="&amp;$A494,Despesas!$L:$L,"&gt;="&amp;$A494,Despesas!$C:$C,D$1,Despesas!$M:$M,$B494)</f>
        <v>23000</v>
      </c>
      <c r="E494" s="18">
        <f>SUMIFS(Despesas!$F:$F,Despesas!$J:$J,"&lt;="&amp;$A494,Despesas!$L:$L,"&gt;="&amp;$A494,Despesas!$C:$C,E$1,Despesas!$M:$M,"Mensal")+SUMIFS(Despesas!$F:$F,Despesas!$J:$J,"&lt;="&amp;$A494,Despesas!$L:$L,"&gt;="&amp;$A494,Despesas!$C:$C,E$1,Despesas!$M:$M,$B494)</f>
        <v>0</v>
      </c>
      <c r="F494" s="5">
        <f>SUMIFS(Despesas!$F:$F,Despesas!$J:$J,"&lt;="&amp;$A494,Despesas!$L:$L,"&gt;="&amp;$A494,Despesas!$C:$C,F$1,Despesas!$M:$M,"Mensal")+SUMIFS(Despesas!$F:$F,Despesas!$J:$J,"&lt;="&amp;$A494,Despesas!$L:$L,"&gt;="&amp;$A494,Despesas!$C:$C,F$1,Despesas!$M:$M,$B494)</f>
        <v>13000</v>
      </c>
      <c r="G494" s="5">
        <f>SUMIFS(Despesas!$F:$F,Despesas!$J:$J,"&lt;="&amp;$A494,Despesas!$L:$L,"&gt;="&amp;$A494,Despesas!$C:$C,G$1,Despesas!$M:$M,"Mensal")+SUMIFS(Despesas!$F:$F,Despesas!$J:$J,"&lt;="&amp;$A494,Despesas!$L:$L,"&gt;="&amp;$A494,Despesas!$C:$C,G$1,Despesas!$M:$M,$B494)</f>
        <v>0</v>
      </c>
      <c r="H494" s="18">
        <f>SUMIFS(Despesas!$F:$F,Despesas!$J:$J,"&lt;="&amp;$A494,Despesas!$L:$L,"&gt;="&amp;$A494,Despesas!$C:$C,H$1,Despesas!$M:$M,"Mensal")+SUMIFS(Despesas!$F:$F,Despesas!$J:$J,"&lt;="&amp;$A494,Despesas!$L:$L,"&gt;="&amp;$A494,Despesas!$C:$C,H$1,Despesas!$M:$M,$B494)</f>
        <v>1000</v>
      </c>
      <c r="I494" s="18">
        <f>IF(Imóveis!$F$2="PRICE",IF(AND(Dados!$A494&gt;=Imóveis!$Q$2,Dados!$A494&lt;=Imóveis!$T$2),Imóveis!$U$2,0),IF((IF(AND(Dados!$A494&gt;=Imóveis!$Q$2,Dados!$A494&lt;=Imóveis!$T$2),Imóveis!$S$2-(DATEDIF(Imóveis!$Q$2,Dados!$A494,"m")),0))=0,0,((Imóveis!$N$2/Imóveis!$S$2)+((Imóveis!$N$2-((Imóveis!$S$2-(IF(AND(Dados!$A494&gt;=Imóveis!$Q$2,Dados!$A494&lt;=Imóveis!$T$2),Imóveis!$S$2-(DATEDIF(Imóveis!$Q$2,Dados!$A494,"m")),)))*(Imóveis!$N$2/Imóveis!$S$2)))*Imóveis!$P$2))))*IF(AND(Imóveis!$E$2&gt;0,Dados!$A494&gt;Imóveis!$E$2),0,1)</f>
        <v>0</v>
      </c>
      <c r="J494" s="18">
        <f>IF(Imóveis!$F$3="PRICE",IF(AND(Dados!$A494&gt;=Imóveis!$Q$3,Dados!$A494&lt;=Imóveis!$T$3),Imóveis!$U$3,0),IF((IF(AND(Dados!$A494&gt;=Imóveis!$Q$3,Dados!$A494&lt;=Imóveis!$T$3),Imóveis!$S$3-(DATEDIF(Imóveis!$Q$3,Dados!$A494,"m")),0))=0,0,((Imóveis!$N$3/Imóveis!$S$3)+((Imóveis!$N$3-((Imóveis!$S$3-(IF(AND(Dados!$A494&gt;=Imóveis!$Q$3,Dados!$A494&lt;=Imóveis!$T$3),Imóveis!$S$3-(DATEDIF(Imóveis!$Q$3,Dados!$A494,"m")),)))*(Imóveis!$N$3/Imóveis!$S$3)))*Imóveis!$P$3))))*IF(AND(Imóveis!$E$3&gt;0,Dados!$A494&gt;Imóveis!$E$3),0,1)</f>
        <v>0</v>
      </c>
      <c r="K494" s="18">
        <f>IF(Imóveis!$F$4="PRICE",IF(AND(Dados!$A494&gt;=Imóveis!$Q$4,Dados!$A494&lt;=Imóveis!$T$4),Imóveis!$U$4,0),IF((IF(AND(Dados!$A494&gt;=Imóveis!$Q$4,Dados!$A494&lt;=Imóveis!$T$4),Imóveis!$S$4-(DATEDIF(Imóveis!$Q$4,Dados!$A494,"m")),0))=0,0,((Imóveis!$N$4/Imóveis!$S$4)+((Imóveis!$N$4-((Imóveis!$S$4-(IF(AND(Dados!$A494&gt;=Imóveis!$Q$4,Dados!$A494&lt;=Imóveis!$T$4),Imóveis!$S$4-(DATEDIF(Imóveis!$Q$4,Dados!$A494,"m")),)))*(Imóveis!$N$4/Imóveis!$S$4)))*Imóveis!$P$4))))*IF(AND(Imóveis!$E$4&gt;0,Dados!$A494&gt;Imóveis!$E$4),0,1)</f>
        <v>0</v>
      </c>
      <c r="L494" s="18">
        <f>IF(Imóveis!$F$5="PRICE",IF(AND(Dados!$A494&gt;=Imóveis!$Q$5,Dados!$A494&lt;=Imóveis!$T$5),Imóveis!$U$5,0),IF((IF(AND(Dados!$A494&gt;=Imóveis!$Q$5,Dados!$A494&lt;=Imóveis!$T$5),Imóveis!$S$5-(DATEDIF(Imóveis!$Q$5,Dados!$A494,"m")),0))=0,0,((Imóveis!$N$5/Imóveis!$S$5)+((Imóveis!$N$5-((Imóveis!$S$5-(IF(AND(Dados!$A494 &gt;=Imóveis!$Q$5,Dados!$A494&lt;=Imóveis!$T$5),Imóveis!$S$5-(DATEDIF(Imóveis!$Q$5,Dados!$A494,"m")),)))*(Imóveis!$N$5/Imóveis!$S$5)))*Imóveis!$P$5))))*IF(AND(Imóveis!$E$5&gt;0,Dados!$A494&gt;Imóveis!$E$5),0,1)*Imóveis!$I$5</f>
        <v>0</v>
      </c>
      <c r="M494" s="18">
        <f>IF(Imóveis!$F$6="PRICE",IF(AND(Dados!$A494&gt;=Imóveis!$Q$6,Dados!$A494&lt;=Imóveis!$T$6),Imóveis!$U$6,0),IF((IF(AND(Dados!$A494&gt;=Imóveis!$Q$6,Dados!$A494&lt;=Imóveis!$T$6),Imóveis!$S$6-(DATEDIF(Imóveis!$Q$6,Dados!$A494,"m")),0))=0,0,((Imóveis!$N$6/Imóveis!$S$6)+((Imóveis!$N$6-((Imóveis!$S$6-(IF(AND(Dados!$A494&gt;=Imóveis!$Q$6,Dados!$A494&lt;=Imóveis!$T$6),Imóveis!$S$6-(DATEDIF(Imóveis!$Q$6,Dados!$A494,"m")),)))*(Imóveis!$N$6/Imóveis!$S$6)))*Imóveis!$P$6))))*IF(AND(Imóveis!$E$6&gt;0,Dados!$A494&gt;Imóveis!$E$6),0,1)*Imóveis!$I$6</f>
        <v>0</v>
      </c>
      <c r="N494" s="18">
        <f t="shared" si="61"/>
        <v>37000</v>
      </c>
      <c r="O494" s="18">
        <f>SUMIFS(Receitas!$F:$F,Receitas!$J:$J,"&lt;="&amp;$A494,Receitas!$L:$L,"&gt;="&amp;$A494,Receitas!$C:$C,O$1,Receitas!$M:$M,"Mensal")+SUMIFS(Receitas!$F:$F,Receitas!$J:$J,"&lt;="&amp;$A494,Receitas!$L:$L,"&gt;="&amp;$A494,Receitas!$C:$C,O$1,Receitas!$M:$M,$B494)</f>
        <v>0</v>
      </c>
      <c r="P494" s="18">
        <f>SUMIFS(Receitas!$F:$F,Receitas!$J:$J,"&lt;="&amp;$A494,Receitas!$L:$L,"&gt;="&amp;$A494,Receitas!$C:$C,P$1,Receitas!$M:$M,"Mensal")+SUMIFS(Receitas!$F:$F,Receitas!$J:$J,"&lt;="&amp;$A494,Receitas!$L:$L,"&gt;="&amp;$A494,Receitas!$C:$C,P$1,Receitas!$M:$M,$B494)</f>
        <v>0</v>
      </c>
      <c r="Q494" s="18">
        <f>SUMIFS(Receitas!$F:$F,Receitas!$J:$J,"&lt;="&amp;$A494,Receitas!$L:$L,"&gt;="&amp;$A494,Receitas!$C:$C,Q$1,Receitas!$M:$M,"Mensal")+SUMIFS(Receitas!$F:$F,Receitas!$J:$J,"&lt;="&amp;$A494,Receitas!$L:$L,"&gt;="&amp;$A494,Receitas!$C:$C,Q$1,Receitas!$M:$M,$B494)</f>
        <v>0</v>
      </c>
      <c r="R494" s="18" cm="1">
        <f t="array" ref="R494">(IF(AND(Membros!$F$2="Sim",A494&lt;=MAX(Membros!$E$2:$E$5)),Membros!K$2,IF(AND(A494&gt;=Membros!J$2,A494&lt;=MAX(Membros!$E$2:$E$5)),Membros!K$2,0))+IF(AND(Membros!$F$3="Sim",A494&lt;=MAX(Membros!$E$2:$E$5)),Membros!K$3,IF(AND(A494&gt;=Membros!J$3,A494&lt;=MAX(Membros!$E$2:$E$5)),Membros!K$3,0)))*IF(AND(COUNTIFS(Tabela3[Tipo],"Provedor",Tabela3[Simulação Seguro],"Sim")=2,A494&gt;=MAX(IF(Tabela3[Tipo]="Dependente",Tabela3[Expectativa de Vida (Data)]))),0,1)</f>
        <v>10000</v>
      </c>
      <c r="S494" s="18">
        <f t="shared" si="62"/>
        <v>10000</v>
      </c>
      <c r="U494" s="18">
        <f t="shared" ca="1" si="65"/>
        <v>31277649.640763376</v>
      </c>
      <c r="V494" s="18">
        <f>SUMIF(Imóveis!E:E,Dados!A:A,Imóveis!Z:Z)-SUMIF(Imóveis!E:E,Dados!A:A,Imóveis!Y:Y)</f>
        <v>0</v>
      </c>
      <c r="W494" s="18">
        <f>-SUMIF(Projetos!N:N,A494,Projetos!F:F)</f>
        <v>0</v>
      </c>
      <c r="X494" s="18">
        <f t="shared" si="59"/>
        <v>-27000</v>
      </c>
      <c r="Y494" s="26">
        <f ca="1">(U494*((Indicadores_Economicos!D$2+1)^(1/12)-1))</f>
        <v>102394.88592264664</v>
      </c>
      <c r="Z494" s="18">
        <f t="shared" ca="1" si="63"/>
        <v>31353044.526686024</v>
      </c>
      <c r="AA494" s="18">
        <f ca="1">Auxiliar_Projetos!E494</f>
        <v>1.9523718300842947E-9</v>
      </c>
      <c r="AB494" s="18">
        <f ca="1">Auxiliar_Projetos!K494</f>
        <v>1.5018244846802257E-9</v>
      </c>
      <c r="AC494" s="18">
        <f ca="1">IF(Z494-AA494-AB494&gt;Investimentos!$C$14,Investimentos!$C$14,IF(Z494-AA494-AB494&lt;Investimentos!$C$14,Z494-AA494-AB494,0))</f>
        <v>300000</v>
      </c>
      <c r="AD494" s="18">
        <f t="shared" ca="1" si="64"/>
        <v>31053044.52668602</v>
      </c>
      <c r="AE494" s="18"/>
    </row>
    <row r="495" spans="1:31" x14ac:dyDescent="0.2">
      <c r="A495" s="4">
        <v>60664</v>
      </c>
      <c r="B495" s="5" t="str">
        <f t="shared" si="60"/>
        <v>fevereiro</v>
      </c>
      <c r="C495" s="5" t="str">
        <f t="shared" si="66"/>
        <v>2066</v>
      </c>
      <c r="D495" s="5">
        <f>SUMIFS(Despesas!$F:$F,Despesas!$J:$J,"&lt;="&amp;$A495,Despesas!$L:$L,"&gt;="&amp;$A495,Despesas!$C:$C,D$1,Despesas!$M:$M,"Mensal")+SUMIFS(Despesas!$F:$F,Despesas!$J:$J,"&lt;="&amp;$A495,Despesas!$L:$L,"&gt;="&amp;$A495,Despesas!$C:$C,D$1,Despesas!$M:$M,$B495)</f>
        <v>23000</v>
      </c>
      <c r="E495" s="18">
        <f>SUMIFS(Despesas!$F:$F,Despesas!$J:$J,"&lt;="&amp;$A495,Despesas!$L:$L,"&gt;="&amp;$A495,Despesas!$C:$C,E$1,Despesas!$M:$M,"Mensal")+SUMIFS(Despesas!$F:$F,Despesas!$J:$J,"&lt;="&amp;$A495,Despesas!$L:$L,"&gt;="&amp;$A495,Despesas!$C:$C,E$1,Despesas!$M:$M,$B495)</f>
        <v>0</v>
      </c>
      <c r="F495" s="5">
        <f>SUMIFS(Despesas!$F:$F,Despesas!$J:$J,"&lt;="&amp;$A495,Despesas!$L:$L,"&gt;="&amp;$A495,Despesas!$C:$C,F$1,Despesas!$M:$M,"Mensal")+SUMIFS(Despesas!$F:$F,Despesas!$J:$J,"&lt;="&amp;$A495,Despesas!$L:$L,"&gt;="&amp;$A495,Despesas!$C:$C,F$1,Despesas!$M:$M,$B495)</f>
        <v>13000</v>
      </c>
      <c r="G495" s="5">
        <f>SUMIFS(Despesas!$F:$F,Despesas!$J:$J,"&lt;="&amp;$A495,Despesas!$L:$L,"&gt;="&amp;$A495,Despesas!$C:$C,G$1,Despesas!$M:$M,"Mensal")+SUMIFS(Despesas!$F:$F,Despesas!$J:$J,"&lt;="&amp;$A495,Despesas!$L:$L,"&gt;="&amp;$A495,Despesas!$C:$C,G$1,Despesas!$M:$M,$B495)</f>
        <v>0</v>
      </c>
      <c r="H495" s="18">
        <f>SUMIFS(Despesas!$F:$F,Despesas!$J:$J,"&lt;="&amp;$A495,Despesas!$L:$L,"&gt;="&amp;$A495,Despesas!$C:$C,H$1,Despesas!$M:$M,"Mensal")+SUMIFS(Despesas!$F:$F,Despesas!$J:$J,"&lt;="&amp;$A495,Despesas!$L:$L,"&gt;="&amp;$A495,Despesas!$C:$C,H$1,Despesas!$M:$M,$B495)</f>
        <v>2200</v>
      </c>
      <c r="I495" s="18">
        <f>IF(Imóveis!$F$2="PRICE",IF(AND(Dados!$A495&gt;=Imóveis!$Q$2,Dados!$A495&lt;=Imóveis!$T$2),Imóveis!$U$2,0),IF((IF(AND(Dados!$A495&gt;=Imóveis!$Q$2,Dados!$A495&lt;=Imóveis!$T$2),Imóveis!$S$2-(DATEDIF(Imóveis!$Q$2,Dados!$A495,"m")),0))=0,0,((Imóveis!$N$2/Imóveis!$S$2)+((Imóveis!$N$2-((Imóveis!$S$2-(IF(AND(Dados!$A495&gt;=Imóveis!$Q$2,Dados!$A495&lt;=Imóveis!$T$2),Imóveis!$S$2-(DATEDIF(Imóveis!$Q$2,Dados!$A495,"m")),)))*(Imóveis!$N$2/Imóveis!$S$2)))*Imóveis!$P$2))))*IF(AND(Imóveis!$E$2&gt;0,Dados!$A495&gt;Imóveis!$E$2),0,1)</f>
        <v>0</v>
      </c>
      <c r="J495" s="18">
        <f>IF(Imóveis!$F$3="PRICE",IF(AND(Dados!$A495&gt;=Imóveis!$Q$3,Dados!$A495&lt;=Imóveis!$T$3),Imóveis!$U$3,0),IF((IF(AND(Dados!$A495&gt;=Imóveis!$Q$3,Dados!$A495&lt;=Imóveis!$T$3),Imóveis!$S$3-(DATEDIF(Imóveis!$Q$3,Dados!$A495,"m")),0))=0,0,((Imóveis!$N$3/Imóveis!$S$3)+((Imóveis!$N$3-((Imóveis!$S$3-(IF(AND(Dados!$A495&gt;=Imóveis!$Q$3,Dados!$A495&lt;=Imóveis!$T$3),Imóveis!$S$3-(DATEDIF(Imóveis!$Q$3,Dados!$A495,"m")),)))*(Imóveis!$N$3/Imóveis!$S$3)))*Imóveis!$P$3))))*IF(AND(Imóveis!$E$3&gt;0,Dados!$A495&gt;Imóveis!$E$3),0,1)</f>
        <v>0</v>
      </c>
      <c r="K495" s="18">
        <f>IF(Imóveis!$F$4="PRICE",IF(AND(Dados!$A495&gt;=Imóveis!$Q$4,Dados!$A495&lt;=Imóveis!$T$4),Imóveis!$U$4,0),IF((IF(AND(Dados!$A495&gt;=Imóveis!$Q$4,Dados!$A495&lt;=Imóveis!$T$4),Imóveis!$S$4-(DATEDIF(Imóveis!$Q$4,Dados!$A495,"m")),0))=0,0,((Imóveis!$N$4/Imóveis!$S$4)+((Imóveis!$N$4-((Imóveis!$S$4-(IF(AND(Dados!$A495&gt;=Imóveis!$Q$4,Dados!$A495&lt;=Imóveis!$T$4),Imóveis!$S$4-(DATEDIF(Imóveis!$Q$4,Dados!$A495,"m")),)))*(Imóveis!$N$4/Imóveis!$S$4)))*Imóveis!$P$4))))*IF(AND(Imóveis!$E$4&gt;0,Dados!$A495&gt;Imóveis!$E$4),0,1)</f>
        <v>0</v>
      </c>
      <c r="L495" s="18">
        <f>IF(Imóveis!$F$5="PRICE",IF(AND(Dados!$A495&gt;=Imóveis!$Q$5,Dados!$A495&lt;=Imóveis!$T$5),Imóveis!$U$5,0),IF((IF(AND(Dados!$A495&gt;=Imóveis!$Q$5,Dados!$A495&lt;=Imóveis!$T$5),Imóveis!$S$5-(DATEDIF(Imóveis!$Q$5,Dados!$A495,"m")),0))=0,0,((Imóveis!$N$5/Imóveis!$S$5)+((Imóveis!$N$5-((Imóveis!$S$5-(IF(AND(Dados!$A495 &gt;=Imóveis!$Q$5,Dados!$A495&lt;=Imóveis!$T$5),Imóveis!$S$5-(DATEDIF(Imóveis!$Q$5,Dados!$A495,"m")),)))*(Imóveis!$N$5/Imóveis!$S$5)))*Imóveis!$P$5))))*IF(AND(Imóveis!$E$5&gt;0,Dados!$A495&gt;Imóveis!$E$5),0,1)*Imóveis!$I$5</f>
        <v>0</v>
      </c>
      <c r="M495" s="18">
        <f>IF(Imóveis!$F$6="PRICE",IF(AND(Dados!$A495&gt;=Imóveis!$Q$6,Dados!$A495&lt;=Imóveis!$T$6),Imóveis!$U$6,0),IF((IF(AND(Dados!$A495&gt;=Imóveis!$Q$6,Dados!$A495&lt;=Imóveis!$T$6),Imóveis!$S$6-(DATEDIF(Imóveis!$Q$6,Dados!$A495,"m")),0))=0,0,((Imóveis!$N$6/Imóveis!$S$6)+((Imóveis!$N$6-((Imóveis!$S$6-(IF(AND(Dados!$A495&gt;=Imóveis!$Q$6,Dados!$A495&lt;=Imóveis!$T$6),Imóveis!$S$6-(DATEDIF(Imóveis!$Q$6,Dados!$A495,"m")),)))*(Imóveis!$N$6/Imóveis!$S$6)))*Imóveis!$P$6))))*IF(AND(Imóveis!$E$6&gt;0,Dados!$A495&gt;Imóveis!$E$6),0,1)*Imóveis!$I$6</f>
        <v>0</v>
      </c>
      <c r="N495" s="18">
        <f t="shared" si="61"/>
        <v>38200</v>
      </c>
      <c r="O495" s="18">
        <f>SUMIFS(Receitas!$F:$F,Receitas!$J:$J,"&lt;="&amp;$A495,Receitas!$L:$L,"&gt;="&amp;$A495,Receitas!$C:$C,O$1,Receitas!$M:$M,"Mensal")+SUMIFS(Receitas!$F:$F,Receitas!$J:$J,"&lt;="&amp;$A495,Receitas!$L:$L,"&gt;="&amp;$A495,Receitas!$C:$C,O$1,Receitas!$M:$M,$B495)</f>
        <v>0</v>
      </c>
      <c r="P495" s="18">
        <f>SUMIFS(Receitas!$F:$F,Receitas!$J:$J,"&lt;="&amp;$A495,Receitas!$L:$L,"&gt;="&amp;$A495,Receitas!$C:$C,P$1,Receitas!$M:$M,"Mensal")+SUMIFS(Receitas!$F:$F,Receitas!$J:$J,"&lt;="&amp;$A495,Receitas!$L:$L,"&gt;="&amp;$A495,Receitas!$C:$C,P$1,Receitas!$M:$M,$B495)</f>
        <v>0</v>
      </c>
      <c r="Q495" s="18">
        <f>SUMIFS(Receitas!$F:$F,Receitas!$J:$J,"&lt;="&amp;$A495,Receitas!$L:$L,"&gt;="&amp;$A495,Receitas!$C:$C,Q$1,Receitas!$M:$M,"Mensal")+SUMIFS(Receitas!$F:$F,Receitas!$J:$J,"&lt;="&amp;$A495,Receitas!$L:$L,"&gt;="&amp;$A495,Receitas!$C:$C,Q$1,Receitas!$M:$M,$B495)</f>
        <v>0</v>
      </c>
      <c r="R495" s="18" cm="1">
        <f t="array" ref="R495">(IF(AND(Membros!$F$2="Sim",A495&lt;=MAX(Membros!$E$2:$E$5)),Membros!K$2,IF(AND(A495&gt;=Membros!J$2,A495&lt;=MAX(Membros!$E$2:$E$5)),Membros!K$2,0))+IF(AND(Membros!$F$3="Sim",A495&lt;=MAX(Membros!$E$2:$E$5)),Membros!K$3,IF(AND(A495&gt;=Membros!J$3,A495&lt;=MAX(Membros!$E$2:$E$5)),Membros!K$3,0)))*IF(AND(COUNTIFS(Tabela3[Tipo],"Provedor",Tabela3[Simulação Seguro],"Sim")=2,A495&gt;=MAX(IF(Tabela3[Tipo]="Dependente",Tabela3[Expectativa de Vida (Data)]))),0,1)</f>
        <v>10000</v>
      </c>
      <c r="S495" s="18">
        <f t="shared" si="62"/>
        <v>10000</v>
      </c>
      <c r="U495" s="18">
        <f t="shared" ca="1" si="65"/>
        <v>31353044.526686024</v>
      </c>
      <c r="V495" s="18">
        <f>SUMIF(Imóveis!E:E,Dados!A:A,Imóveis!Z:Z)-SUMIF(Imóveis!E:E,Dados!A:A,Imóveis!Y:Y)</f>
        <v>0</v>
      </c>
      <c r="W495" s="18">
        <f>-SUMIF(Projetos!N:N,A495,Projetos!F:F)</f>
        <v>0</v>
      </c>
      <c r="X495" s="18">
        <f t="shared" si="59"/>
        <v>-28200</v>
      </c>
      <c r="Y495" s="26">
        <f ca="1">(U495*((Indicadores_Economicos!D$2+1)^(1/12)-1))</f>
        <v>102641.70916006598</v>
      </c>
      <c r="Z495" s="18">
        <f t="shared" ca="1" si="63"/>
        <v>31427486.235846091</v>
      </c>
      <c r="AA495" s="18">
        <f ca="1">Auxiliar_Projetos!E495</f>
        <v>1.9587633874140861E-9</v>
      </c>
      <c r="AB495" s="18">
        <f ca="1">Auxiliar_Projetos!K495</f>
        <v>1.5067410672416038E-9</v>
      </c>
      <c r="AC495" s="18">
        <f ca="1">IF(Z495-AA495-AB495&gt;Investimentos!$C$14,Investimentos!$C$14,IF(Z495-AA495-AB495&lt;Investimentos!$C$14,Z495-AA495-AB495,0))</f>
        <v>300000</v>
      </c>
      <c r="AD495" s="18">
        <f t="shared" ca="1" si="64"/>
        <v>31127486.235846087</v>
      </c>
      <c r="AE495" s="18"/>
    </row>
    <row r="496" spans="1:31" x14ac:dyDescent="0.2">
      <c r="A496" s="4">
        <v>60692</v>
      </c>
      <c r="B496" s="5" t="str">
        <f t="shared" si="60"/>
        <v>março</v>
      </c>
      <c r="C496" s="5" t="str">
        <f t="shared" si="66"/>
        <v>2066</v>
      </c>
      <c r="D496" s="5">
        <f>SUMIFS(Despesas!$F:$F,Despesas!$J:$J,"&lt;="&amp;$A496,Despesas!$L:$L,"&gt;="&amp;$A496,Despesas!$C:$C,D$1,Despesas!$M:$M,"Mensal")+SUMIFS(Despesas!$F:$F,Despesas!$J:$J,"&lt;="&amp;$A496,Despesas!$L:$L,"&gt;="&amp;$A496,Despesas!$C:$C,D$1,Despesas!$M:$M,$B496)</f>
        <v>23000</v>
      </c>
      <c r="E496" s="18">
        <f>SUMIFS(Despesas!$F:$F,Despesas!$J:$J,"&lt;="&amp;$A496,Despesas!$L:$L,"&gt;="&amp;$A496,Despesas!$C:$C,E$1,Despesas!$M:$M,"Mensal")+SUMIFS(Despesas!$F:$F,Despesas!$J:$J,"&lt;="&amp;$A496,Despesas!$L:$L,"&gt;="&amp;$A496,Despesas!$C:$C,E$1,Despesas!$M:$M,$B496)</f>
        <v>0</v>
      </c>
      <c r="F496" s="5">
        <f>SUMIFS(Despesas!$F:$F,Despesas!$J:$J,"&lt;="&amp;$A496,Despesas!$L:$L,"&gt;="&amp;$A496,Despesas!$C:$C,F$1,Despesas!$M:$M,"Mensal")+SUMIFS(Despesas!$F:$F,Despesas!$J:$J,"&lt;="&amp;$A496,Despesas!$L:$L,"&gt;="&amp;$A496,Despesas!$C:$C,F$1,Despesas!$M:$M,$B496)</f>
        <v>13000</v>
      </c>
      <c r="G496" s="5">
        <f>SUMIFS(Despesas!$F:$F,Despesas!$J:$J,"&lt;="&amp;$A496,Despesas!$L:$L,"&gt;="&amp;$A496,Despesas!$C:$C,G$1,Despesas!$M:$M,"Mensal")+SUMIFS(Despesas!$F:$F,Despesas!$J:$J,"&lt;="&amp;$A496,Despesas!$L:$L,"&gt;="&amp;$A496,Despesas!$C:$C,G$1,Despesas!$M:$M,$B496)</f>
        <v>0</v>
      </c>
      <c r="H496" s="18">
        <f>SUMIFS(Despesas!$F:$F,Despesas!$J:$J,"&lt;="&amp;$A496,Despesas!$L:$L,"&gt;="&amp;$A496,Despesas!$C:$C,H$1,Despesas!$M:$M,"Mensal")+SUMIFS(Despesas!$F:$F,Despesas!$J:$J,"&lt;="&amp;$A496,Despesas!$L:$L,"&gt;="&amp;$A496,Despesas!$C:$C,H$1,Despesas!$M:$M,$B496)</f>
        <v>1000</v>
      </c>
      <c r="I496" s="18">
        <f>IF(Imóveis!$F$2="PRICE",IF(AND(Dados!$A496&gt;=Imóveis!$Q$2,Dados!$A496&lt;=Imóveis!$T$2),Imóveis!$U$2,0),IF((IF(AND(Dados!$A496&gt;=Imóveis!$Q$2,Dados!$A496&lt;=Imóveis!$T$2),Imóveis!$S$2-(DATEDIF(Imóveis!$Q$2,Dados!$A496,"m")),0))=0,0,((Imóveis!$N$2/Imóveis!$S$2)+((Imóveis!$N$2-((Imóveis!$S$2-(IF(AND(Dados!$A496&gt;=Imóveis!$Q$2,Dados!$A496&lt;=Imóveis!$T$2),Imóveis!$S$2-(DATEDIF(Imóveis!$Q$2,Dados!$A496,"m")),)))*(Imóveis!$N$2/Imóveis!$S$2)))*Imóveis!$P$2))))*IF(AND(Imóveis!$E$2&gt;0,Dados!$A496&gt;Imóveis!$E$2),0,1)</f>
        <v>0</v>
      </c>
      <c r="J496" s="18">
        <f>IF(Imóveis!$F$3="PRICE",IF(AND(Dados!$A496&gt;=Imóveis!$Q$3,Dados!$A496&lt;=Imóveis!$T$3),Imóveis!$U$3,0),IF((IF(AND(Dados!$A496&gt;=Imóveis!$Q$3,Dados!$A496&lt;=Imóveis!$T$3),Imóveis!$S$3-(DATEDIF(Imóveis!$Q$3,Dados!$A496,"m")),0))=0,0,((Imóveis!$N$3/Imóveis!$S$3)+((Imóveis!$N$3-((Imóveis!$S$3-(IF(AND(Dados!$A496&gt;=Imóveis!$Q$3,Dados!$A496&lt;=Imóveis!$T$3),Imóveis!$S$3-(DATEDIF(Imóveis!$Q$3,Dados!$A496,"m")),)))*(Imóveis!$N$3/Imóveis!$S$3)))*Imóveis!$P$3))))*IF(AND(Imóveis!$E$3&gt;0,Dados!$A496&gt;Imóveis!$E$3),0,1)</f>
        <v>0</v>
      </c>
      <c r="K496" s="18">
        <f>IF(Imóveis!$F$4="PRICE",IF(AND(Dados!$A496&gt;=Imóveis!$Q$4,Dados!$A496&lt;=Imóveis!$T$4),Imóveis!$U$4,0),IF((IF(AND(Dados!$A496&gt;=Imóveis!$Q$4,Dados!$A496&lt;=Imóveis!$T$4),Imóveis!$S$4-(DATEDIF(Imóveis!$Q$4,Dados!$A496,"m")),0))=0,0,((Imóveis!$N$4/Imóveis!$S$4)+((Imóveis!$N$4-((Imóveis!$S$4-(IF(AND(Dados!$A496&gt;=Imóveis!$Q$4,Dados!$A496&lt;=Imóveis!$T$4),Imóveis!$S$4-(DATEDIF(Imóveis!$Q$4,Dados!$A496,"m")),)))*(Imóveis!$N$4/Imóveis!$S$4)))*Imóveis!$P$4))))*IF(AND(Imóveis!$E$4&gt;0,Dados!$A496&gt;Imóveis!$E$4),0,1)</f>
        <v>0</v>
      </c>
      <c r="L496" s="18">
        <f>IF(Imóveis!$F$5="PRICE",IF(AND(Dados!$A496&gt;=Imóveis!$Q$5,Dados!$A496&lt;=Imóveis!$T$5),Imóveis!$U$5,0),IF((IF(AND(Dados!$A496&gt;=Imóveis!$Q$5,Dados!$A496&lt;=Imóveis!$T$5),Imóveis!$S$5-(DATEDIF(Imóveis!$Q$5,Dados!$A496,"m")),0))=0,0,((Imóveis!$N$5/Imóveis!$S$5)+((Imóveis!$N$5-((Imóveis!$S$5-(IF(AND(Dados!$A496 &gt;=Imóveis!$Q$5,Dados!$A496&lt;=Imóveis!$T$5),Imóveis!$S$5-(DATEDIF(Imóveis!$Q$5,Dados!$A496,"m")),)))*(Imóveis!$N$5/Imóveis!$S$5)))*Imóveis!$P$5))))*IF(AND(Imóveis!$E$5&gt;0,Dados!$A496&gt;Imóveis!$E$5),0,1)*Imóveis!$I$5</f>
        <v>0</v>
      </c>
      <c r="M496" s="18">
        <f>IF(Imóveis!$F$6="PRICE",IF(AND(Dados!$A496&gt;=Imóveis!$Q$6,Dados!$A496&lt;=Imóveis!$T$6),Imóveis!$U$6,0),IF((IF(AND(Dados!$A496&gt;=Imóveis!$Q$6,Dados!$A496&lt;=Imóveis!$T$6),Imóveis!$S$6-(DATEDIF(Imóveis!$Q$6,Dados!$A496,"m")),0))=0,0,((Imóveis!$N$6/Imóveis!$S$6)+((Imóveis!$N$6-((Imóveis!$S$6-(IF(AND(Dados!$A496&gt;=Imóveis!$Q$6,Dados!$A496&lt;=Imóveis!$T$6),Imóveis!$S$6-(DATEDIF(Imóveis!$Q$6,Dados!$A496,"m")),)))*(Imóveis!$N$6/Imóveis!$S$6)))*Imóveis!$P$6))))*IF(AND(Imóveis!$E$6&gt;0,Dados!$A496&gt;Imóveis!$E$6),0,1)*Imóveis!$I$6</f>
        <v>0</v>
      </c>
      <c r="N496" s="18">
        <f t="shared" si="61"/>
        <v>37000</v>
      </c>
      <c r="O496" s="18">
        <f>SUMIFS(Receitas!$F:$F,Receitas!$J:$J,"&lt;="&amp;$A496,Receitas!$L:$L,"&gt;="&amp;$A496,Receitas!$C:$C,O$1,Receitas!$M:$M,"Mensal")+SUMIFS(Receitas!$F:$F,Receitas!$J:$J,"&lt;="&amp;$A496,Receitas!$L:$L,"&gt;="&amp;$A496,Receitas!$C:$C,O$1,Receitas!$M:$M,$B496)</f>
        <v>0</v>
      </c>
      <c r="P496" s="18">
        <f>SUMIFS(Receitas!$F:$F,Receitas!$J:$J,"&lt;="&amp;$A496,Receitas!$L:$L,"&gt;="&amp;$A496,Receitas!$C:$C,P$1,Receitas!$M:$M,"Mensal")+SUMIFS(Receitas!$F:$F,Receitas!$J:$J,"&lt;="&amp;$A496,Receitas!$L:$L,"&gt;="&amp;$A496,Receitas!$C:$C,P$1,Receitas!$M:$M,$B496)</f>
        <v>0</v>
      </c>
      <c r="Q496" s="18">
        <f>SUMIFS(Receitas!$F:$F,Receitas!$J:$J,"&lt;="&amp;$A496,Receitas!$L:$L,"&gt;="&amp;$A496,Receitas!$C:$C,Q$1,Receitas!$M:$M,"Mensal")+SUMIFS(Receitas!$F:$F,Receitas!$J:$J,"&lt;="&amp;$A496,Receitas!$L:$L,"&gt;="&amp;$A496,Receitas!$C:$C,Q$1,Receitas!$M:$M,$B496)</f>
        <v>0</v>
      </c>
      <c r="R496" s="18" cm="1">
        <f t="array" ref="R496">(IF(AND(Membros!$F$2="Sim",A496&lt;=MAX(Membros!$E$2:$E$5)),Membros!K$2,IF(AND(A496&gt;=Membros!J$2,A496&lt;=MAX(Membros!$E$2:$E$5)),Membros!K$2,0))+IF(AND(Membros!$F$3="Sim",A496&lt;=MAX(Membros!$E$2:$E$5)),Membros!K$3,IF(AND(A496&gt;=Membros!J$3,A496&lt;=MAX(Membros!$E$2:$E$5)),Membros!K$3,0)))*IF(AND(COUNTIFS(Tabela3[Tipo],"Provedor",Tabela3[Simulação Seguro],"Sim")=2,A496&gt;=MAX(IF(Tabela3[Tipo]="Dependente",Tabela3[Expectativa de Vida (Data)]))),0,1)</f>
        <v>10000</v>
      </c>
      <c r="S496" s="18">
        <f t="shared" si="62"/>
        <v>10000</v>
      </c>
      <c r="U496" s="18">
        <f t="shared" ca="1" si="65"/>
        <v>31427486.235846091</v>
      </c>
      <c r="V496" s="18">
        <f>SUMIF(Imóveis!E:E,Dados!A:A,Imóveis!Z:Z)-SUMIF(Imóveis!E:E,Dados!A:A,Imóveis!Y:Y)</f>
        <v>0</v>
      </c>
      <c r="W496" s="18">
        <f>-SUMIF(Projetos!N:N,A496,Projetos!F:F)</f>
        <v>0</v>
      </c>
      <c r="X496" s="18">
        <f t="shared" si="59"/>
        <v>-27000</v>
      </c>
      <c r="Y496" s="26">
        <f ca="1">(U496*((Indicadores_Economicos!D$2+1)^(1/12)-1))</f>
        <v>102885.41194479816</v>
      </c>
      <c r="Z496" s="18">
        <f t="shared" ca="1" si="63"/>
        <v>31503371.64779089</v>
      </c>
      <c r="AA496" s="18">
        <f ca="1">Auxiliar_Projetos!E496</f>
        <v>1.9651758690393782E-9</v>
      </c>
      <c r="AB496" s="18">
        <f ca="1">Auxiliar_Projetos!K496</f>
        <v>1.5116737454149056E-9</v>
      </c>
      <c r="AC496" s="18">
        <f ca="1">IF(Z496-AA496-AB496&gt;Investimentos!$C$14,Investimentos!$C$14,IF(Z496-AA496-AB496&lt;Investimentos!$C$14,Z496-AA496-AB496,0))</f>
        <v>300000</v>
      </c>
      <c r="AD496" s="18">
        <f t="shared" ca="1" si="64"/>
        <v>31203371.647790886</v>
      </c>
      <c r="AE496" s="18"/>
    </row>
    <row r="497" spans="1:31" x14ac:dyDescent="0.2">
      <c r="A497" s="4">
        <v>60723</v>
      </c>
      <c r="B497" s="5" t="str">
        <f t="shared" si="60"/>
        <v>abril</v>
      </c>
      <c r="C497" s="5" t="str">
        <f t="shared" si="66"/>
        <v>2066</v>
      </c>
      <c r="D497" s="5">
        <f>SUMIFS(Despesas!$F:$F,Despesas!$J:$J,"&lt;="&amp;$A497,Despesas!$L:$L,"&gt;="&amp;$A497,Despesas!$C:$C,D$1,Despesas!$M:$M,"Mensal")+SUMIFS(Despesas!$F:$F,Despesas!$J:$J,"&lt;="&amp;$A497,Despesas!$L:$L,"&gt;="&amp;$A497,Despesas!$C:$C,D$1,Despesas!$M:$M,$B497)</f>
        <v>23000</v>
      </c>
      <c r="E497" s="18">
        <f>SUMIFS(Despesas!$F:$F,Despesas!$J:$J,"&lt;="&amp;$A497,Despesas!$L:$L,"&gt;="&amp;$A497,Despesas!$C:$C,E$1,Despesas!$M:$M,"Mensal")+SUMIFS(Despesas!$F:$F,Despesas!$J:$J,"&lt;="&amp;$A497,Despesas!$L:$L,"&gt;="&amp;$A497,Despesas!$C:$C,E$1,Despesas!$M:$M,$B497)</f>
        <v>0</v>
      </c>
      <c r="F497" s="5">
        <f>SUMIFS(Despesas!$F:$F,Despesas!$J:$J,"&lt;="&amp;$A497,Despesas!$L:$L,"&gt;="&amp;$A497,Despesas!$C:$C,F$1,Despesas!$M:$M,"Mensal")+SUMIFS(Despesas!$F:$F,Despesas!$J:$J,"&lt;="&amp;$A497,Despesas!$L:$L,"&gt;="&amp;$A497,Despesas!$C:$C,F$1,Despesas!$M:$M,$B497)</f>
        <v>13000</v>
      </c>
      <c r="G497" s="5">
        <f>SUMIFS(Despesas!$F:$F,Despesas!$J:$J,"&lt;="&amp;$A497,Despesas!$L:$L,"&gt;="&amp;$A497,Despesas!$C:$C,G$1,Despesas!$M:$M,"Mensal")+SUMIFS(Despesas!$F:$F,Despesas!$J:$J,"&lt;="&amp;$A497,Despesas!$L:$L,"&gt;="&amp;$A497,Despesas!$C:$C,G$1,Despesas!$M:$M,$B497)</f>
        <v>0</v>
      </c>
      <c r="H497" s="18">
        <f>SUMIFS(Despesas!$F:$F,Despesas!$J:$J,"&lt;="&amp;$A497,Despesas!$L:$L,"&gt;="&amp;$A497,Despesas!$C:$C,H$1,Despesas!$M:$M,"Mensal")+SUMIFS(Despesas!$F:$F,Despesas!$J:$J,"&lt;="&amp;$A497,Despesas!$L:$L,"&gt;="&amp;$A497,Despesas!$C:$C,H$1,Despesas!$M:$M,$B497)</f>
        <v>1000</v>
      </c>
      <c r="I497" s="18">
        <f>IF(Imóveis!$F$2="PRICE",IF(AND(Dados!$A497&gt;=Imóveis!$Q$2,Dados!$A497&lt;=Imóveis!$T$2),Imóveis!$U$2,0),IF((IF(AND(Dados!$A497&gt;=Imóveis!$Q$2,Dados!$A497&lt;=Imóveis!$T$2),Imóveis!$S$2-(DATEDIF(Imóveis!$Q$2,Dados!$A497,"m")),0))=0,0,((Imóveis!$N$2/Imóveis!$S$2)+((Imóveis!$N$2-((Imóveis!$S$2-(IF(AND(Dados!$A497&gt;=Imóveis!$Q$2,Dados!$A497&lt;=Imóveis!$T$2),Imóveis!$S$2-(DATEDIF(Imóveis!$Q$2,Dados!$A497,"m")),)))*(Imóveis!$N$2/Imóveis!$S$2)))*Imóveis!$P$2))))*IF(AND(Imóveis!$E$2&gt;0,Dados!$A497&gt;Imóveis!$E$2),0,1)</f>
        <v>0</v>
      </c>
      <c r="J497" s="18">
        <f>IF(Imóveis!$F$3="PRICE",IF(AND(Dados!$A497&gt;=Imóveis!$Q$3,Dados!$A497&lt;=Imóveis!$T$3),Imóveis!$U$3,0),IF((IF(AND(Dados!$A497&gt;=Imóveis!$Q$3,Dados!$A497&lt;=Imóveis!$T$3),Imóveis!$S$3-(DATEDIF(Imóveis!$Q$3,Dados!$A497,"m")),0))=0,0,((Imóveis!$N$3/Imóveis!$S$3)+((Imóveis!$N$3-((Imóveis!$S$3-(IF(AND(Dados!$A497&gt;=Imóveis!$Q$3,Dados!$A497&lt;=Imóveis!$T$3),Imóveis!$S$3-(DATEDIF(Imóveis!$Q$3,Dados!$A497,"m")),)))*(Imóveis!$N$3/Imóveis!$S$3)))*Imóveis!$P$3))))*IF(AND(Imóveis!$E$3&gt;0,Dados!$A497&gt;Imóveis!$E$3),0,1)</f>
        <v>0</v>
      </c>
      <c r="K497" s="18">
        <f>IF(Imóveis!$F$4="PRICE",IF(AND(Dados!$A497&gt;=Imóveis!$Q$4,Dados!$A497&lt;=Imóveis!$T$4),Imóveis!$U$4,0),IF((IF(AND(Dados!$A497&gt;=Imóveis!$Q$4,Dados!$A497&lt;=Imóveis!$T$4),Imóveis!$S$4-(DATEDIF(Imóveis!$Q$4,Dados!$A497,"m")),0))=0,0,((Imóveis!$N$4/Imóveis!$S$4)+((Imóveis!$N$4-((Imóveis!$S$4-(IF(AND(Dados!$A497&gt;=Imóveis!$Q$4,Dados!$A497&lt;=Imóveis!$T$4),Imóveis!$S$4-(DATEDIF(Imóveis!$Q$4,Dados!$A497,"m")),)))*(Imóveis!$N$4/Imóveis!$S$4)))*Imóveis!$P$4))))*IF(AND(Imóveis!$E$4&gt;0,Dados!$A497&gt;Imóveis!$E$4),0,1)</f>
        <v>0</v>
      </c>
      <c r="L497" s="18">
        <f>IF(Imóveis!$F$5="PRICE",IF(AND(Dados!$A497&gt;=Imóveis!$Q$5,Dados!$A497&lt;=Imóveis!$T$5),Imóveis!$U$5,0),IF((IF(AND(Dados!$A497&gt;=Imóveis!$Q$5,Dados!$A497&lt;=Imóveis!$T$5),Imóveis!$S$5-(DATEDIF(Imóveis!$Q$5,Dados!$A497,"m")),0))=0,0,((Imóveis!$N$5/Imóveis!$S$5)+((Imóveis!$N$5-((Imóveis!$S$5-(IF(AND(Dados!$A497 &gt;=Imóveis!$Q$5,Dados!$A497&lt;=Imóveis!$T$5),Imóveis!$S$5-(DATEDIF(Imóveis!$Q$5,Dados!$A497,"m")),)))*(Imóveis!$N$5/Imóveis!$S$5)))*Imóveis!$P$5))))*IF(AND(Imóveis!$E$5&gt;0,Dados!$A497&gt;Imóveis!$E$5),0,1)*Imóveis!$I$5</f>
        <v>0</v>
      </c>
      <c r="M497" s="18">
        <f>IF(Imóveis!$F$6="PRICE",IF(AND(Dados!$A497&gt;=Imóveis!$Q$6,Dados!$A497&lt;=Imóveis!$T$6),Imóveis!$U$6,0),IF((IF(AND(Dados!$A497&gt;=Imóveis!$Q$6,Dados!$A497&lt;=Imóveis!$T$6),Imóveis!$S$6-(DATEDIF(Imóveis!$Q$6,Dados!$A497,"m")),0))=0,0,((Imóveis!$N$6/Imóveis!$S$6)+((Imóveis!$N$6-((Imóveis!$S$6-(IF(AND(Dados!$A497&gt;=Imóveis!$Q$6,Dados!$A497&lt;=Imóveis!$T$6),Imóveis!$S$6-(DATEDIF(Imóveis!$Q$6,Dados!$A497,"m")),)))*(Imóveis!$N$6/Imóveis!$S$6)))*Imóveis!$P$6))))*IF(AND(Imóveis!$E$6&gt;0,Dados!$A497&gt;Imóveis!$E$6),0,1)*Imóveis!$I$6</f>
        <v>0</v>
      </c>
      <c r="N497" s="18">
        <f t="shared" si="61"/>
        <v>37000</v>
      </c>
      <c r="O497" s="18">
        <f>SUMIFS(Receitas!$F:$F,Receitas!$J:$J,"&lt;="&amp;$A497,Receitas!$L:$L,"&gt;="&amp;$A497,Receitas!$C:$C,O$1,Receitas!$M:$M,"Mensal")+SUMIFS(Receitas!$F:$F,Receitas!$J:$J,"&lt;="&amp;$A497,Receitas!$L:$L,"&gt;="&amp;$A497,Receitas!$C:$C,O$1,Receitas!$M:$M,$B497)</f>
        <v>0</v>
      </c>
      <c r="P497" s="18">
        <f>SUMIFS(Receitas!$F:$F,Receitas!$J:$J,"&lt;="&amp;$A497,Receitas!$L:$L,"&gt;="&amp;$A497,Receitas!$C:$C,P$1,Receitas!$M:$M,"Mensal")+SUMIFS(Receitas!$F:$F,Receitas!$J:$J,"&lt;="&amp;$A497,Receitas!$L:$L,"&gt;="&amp;$A497,Receitas!$C:$C,P$1,Receitas!$M:$M,$B497)</f>
        <v>0</v>
      </c>
      <c r="Q497" s="18">
        <f>SUMIFS(Receitas!$F:$F,Receitas!$J:$J,"&lt;="&amp;$A497,Receitas!$L:$L,"&gt;="&amp;$A497,Receitas!$C:$C,Q$1,Receitas!$M:$M,"Mensal")+SUMIFS(Receitas!$F:$F,Receitas!$J:$J,"&lt;="&amp;$A497,Receitas!$L:$L,"&gt;="&amp;$A497,Receitas!$C:$C,Q$1,Receitas!$M:$M,$B497)</f>
        <v>0</v>
      </c>
      <c r="R497" s="18" cm="1">
        <f t="array" ref="R497">(IF(AND(Membros!$F$2="Sim",A497&lt;=MAX(Membros!$E$2:$E$5)),Membros!K$2,IF(AND(A497&gt;=Membros!J$2,A497&lt;=MAX(Membros!$E$2:$E$5)),Membros!K$2,0))+IF(AND(Membros!$F$3="Sim",A497&lt;=MAX(Membros!$E$2:$E$5)),Membros!K$3,IF(AND(A497&gt;=Membros!J$3,A497&lt;=MAX(Membros!$E$2:$E$5)),Membros!K$3,0)))*IF(AND(COUNTIFS(Tabela3[Tipo],"Provedor",Tabela3[Simulação Seguro],"Sim")=2,A497&gt;=MAX(IF(Tabela3[Tipo]="Dependente",Tabela3[Expectativa de Vida (Data)]))),0,1)</f>
        <v>10000</v>
      </c>
      <c r="S497" s="18">
        <f t="shared" si="62"/>
        <v>10000</v>
      </c>
      <c r="U497" s="18">
        <f t="shared" ca="1" si="65"/>
        <v>31503371.64779089</v>
      </c>
      <c r="V497" s="18">
        <f>SUMIF(Imóveis!E:E,Dados!A:A,Imóveis!Z:Z)-SUMIF(Imóveis!E:E,Dados!A:A,Imóveis!Y:Y)</f>
        <v>0</v>
      </c>
      <c r="W497" s="18">
        <f>-SUMIF(Projetos!N:N,A497,Projetos!F:F)</f>
        <v>0</v>
      </c>
      <c r="X497" s="18">
        <f t="shared" si="59"/>
        <v>-27000</v>
      </c>
      <c r="Y497" s="26">
        <f ca="1">(U497*((Indicadores_Economicos!D$2+1)^(1/12)-1))</f>
        <v>103133.84103677041</v>
      </c>
      <c r="Z497" s="18">
        <f t="shared" ca="1" si="63"/>
        <v>31579505.488827661</v>
      </c>
      <c r="AA497" s="18">
        <f ca="1">Auxiliar_Projetos!E497</f>
        <v>1.9716093434608698E-9</v>
      </c>
      <c r="AB497" s="18">
        <f ca="1">Auxiliar_Projetos!K497</f>
        <v>1.5166225718929759E-9</v>
      </c>
      <c r="AC497" s="18">
        <f ca="1">IF(Z497-AA497-AB497&gt;Investimentos!$C$14,Investimentos!$C$14,IF(Z497-AA497-AB497&lt;Investimentos!$C$14,Z497-AA497-AB497,0))</f>
        <v>300000</v>
      </c>
      <c r="AD497" s="18">
        <f t="shared" ca="1" si="64"/>
        <v>31279505.488827657</v>
      </c>
      <c r="AE497" s="18"/>
    </row>
    <row r="498" spans="1:31" x14ac:dyDescent="0.2">
      <c r="A498" s="4">
        <v>60753</v>
      </c>
      <c r="B498" s="5" t="str">
        <f t="shared" si="60"/>
        <v>maio</v>
      </c>
      <c r="C498" s="5" t="str">
        <f t="shared" si="66"/>
        <v>2066</v>
      </c>
      <c r="D498" s="5">
        <f>SUMIFS(Despesas!$F:$F,Despesas!$J:$J,"&lt;="&amp;$A498,Despesas!$L:$L,"&gt;="&amp;$A498,Despesas!$C:$C,D$1,Despesas!$M:$M,"Mensal")+SUMIFS(Despesas!$F:$F,Despesas!$J:$J,"&lt;="&amp;$A498,Despesas!$L:$L,"&gt;="&amp;$A498,Despesas!$C:$C,D$1,Despesas!$M:$M,$B498)</f>
        <v>23000</v>
      </c>
      <c r="E498" s="18">
        <f>SUMIFS(Despesas!$F:$F,Despesas!$J:$J,"&lt;="&amp;$A498,Despesas!$L:$L,"&gt;="&amp;$A498,Despesas!$C:$C,E$1,Despesas!$M:$M,"Mensal")+SUMIFS(Despesas!$F:$F,Despesas!$J:$J,"&lt;="&amp;$A498,Despesas!$L:$L,"&gt;="&amp;$A498,Despesas!$C:$C,E$1,Despesas!$M:$M,$B498)</f>
        <v>0</v>
      </c>
      <c r="F498" s="5">
        <f>SUMIFS(Despesas!$F:$F,Despesas!$J:$J,"&lt;="&amp;$A498,Despesas!$L:$L,"&gt;="&amp;$A498,Despesas!$C:$C,F$1,Despesas!$M:$M,"Mensal")+SUMIFS(Despesas!$F:$F,Despesas!$J:$J,"&lt;="&amp;$A498,Despesas!$L:$L,"&gt;="&amp;$A498,Despesas!$C:$C,F$1,Despesas!$M:$M,$B498)</f>
        <v>13000</v>
      </c>
      <c r="G498" s="5">
        <f>SUMIFS(Despesas!$F:$F,Despesas!$J:$J,"&lt;="&amp;$A498,Despesas!$L:$L,"&gt;="&amp;$A498,Despesas!$C:$C,G$1,Despesas!$M:$M,"Mensal")+SUMIFS(Despesas!$F:$F,Despesas!$J:$J,"&lt;="&amp;$A498,Despesas!$L:$L,"&gt;="&amp;$A498,Despesas!$C:$C,G$1,Despesas!$M:$M,$B498)</f>
        <v>0</v>
      </c>
      <c r="H498" s="18">
        <f>SUMIFS(Despesas!$F:$F,Despesas!$J:$J,"&lt;="&amp;$A498,Despesas!$L:$L,"&gt;="&amp;$A498,Despesas!$C:$C,H$1,Despesas!$M:$M,"Mensal")+SUMIFS(Despesas!$F:$F,Despesas!$J:$J,"&lt;="&amp;$A498,Despesas!$L:$L,"&gt;="&amp;$A498,Despesas!$C:$C,H$1,Despesas!$M:$M,$B498)</f>
        <v>1000</v>
      </c>
      <c r="I498" s="18">
        <f>IF(Imóveis!$F$2="PRICE",IF(AND(Dados!$A498&gt;=Imóveis!$Q$2,Dados!$A498&lt;=Imóveis!$T$2),Imóveis!$U$2,0),IF((IF(AND(Dados!$A498&gt;=Imóveis!$Q$2,Dados!$A498&lt;=Imóveis!$T$2),Imóveis!$S$2-(DATEDIF(Imóveis!$Q$2,Dados!$A498,"m")),0))=0,0,((Imóveis!$N$2/Imóveis!$S$2)+((Imóveis!$N$2-((Imóveis!$S$2-(IF(AND(Dados!$A498&gt;=Imóveis!$Q$2,Dados!$A498&lt;=Imóveis!$T$2),Imóveis!$S$2-(DATEDIF(Imóveis!$Q$2,Dados!$A498,"m")),)))*(Imóveis!$N$2/Imóveis!$S$2)))*Imóveis!$P$2))))*IF(AND(Imóveis!$E$2&gt;0,Dados!$A498&gt;Imóveis!$E$2),0,1)</f>
        <v>0</v>
      </c>
      <c r="J498" s="18">
        <f>IF(Imóveis!$F$3="PRICE",IF(AND(Dados!$A498&gt;=Imóveis!$Q$3,Dados!$A498&lt;=Imóveis!$T$3),Imóveis!$U$3,0),IF((IF(AND(Dados!$A498&gt;=Imóveis!$Q$3,Dados!$A498&lt;=Imóveis!$T$3),Imóveis!$S$3-(DATEDIF(Imóveis!$Q$3,Dados!$A498,"m")),0))=0,0,((Imóveis!$N$3/Imóveis!$S$3)+((Imóveis!$N$3-((Imóveis!$S$3-(IF(AND(Dados!$A498&gt;=Imóveis!$Q$3,Dados!$A498&lt;=Imóveis!$T$3),Imóveis!$S$3-(DATEDIF(Imóveis!$Q$3,Dados!$A498,"m")),)))*(Imóveis!$N$3/Imóveis!$S$3)))*Imóveis!$P$3))))*IF(AND(Imóveis!$E$3&gt;0,Dados!$A498&gt;Imóveis!$E$3),0,1)</f>
        <v>0</v>
      </c>
      <c r="K498" s="18">
        <f>IF(Imóveis!$F$4="PRICE",IF(AND(Dados!$A498&gt;=Imóveis!$Q$4,Dados!$A498&lt;=Imóveis!$T$4),Imóveis!$U$4,0),IF((IF(AND(Dados!$A498&gt;=Imóveis!$Q$4,Dados!$A498&lt;=Imóveis!$T$4),Imóveis!$S$4-(DATEDIF(Imóveis!$Q$4,Dados!$A498,"m")),0))=0,0,((Imóveis!$N$4/Imóveis!$S$4)+((Imóveis!$N$4-((Imóveis!$S$4-(IF(AND(Dados!$A498&gt;=Imóveis!$Q$4,Dados!$A498&lt;=Imóveis!$T$4),Imóveis!$S$4-(DATEDIF(Imóveis!$Q$4,Dados!$A498,"m")),)))*(Imóveis!$N$4/Imóveis!$S$4)))*Imóveis!$P$4))))*IF(AND(Imóveis!$E$4&gt;0,Dados!$A498&gt;Imóveis!$E$4),0,1)</f>
        <v>0</v>
      </c>
      <c r="L498" s="18">
        <f>IF(Imóveis!$F$5="PRICE",IF(AND(Dados!$A498&gt;=Imóveis!$Q$5,Dados!$A498&lt;=Imóveis!$T$5),Imóveis!$U$5,0),IF((IF(AND(Dados!$A498&gt;=Imóveis!$Q$5,Dados!$A498&lt;=Imóveis!$T$5),Imóveis!$S$5-(DATEDIF(Imóveis!$Q$5,Dados!$A498,"m")),0))=0,0,((Imóveis!$N$5/Imóveis!$S$5)+((Imóveis!$N$5-((Imóveis!$S$5-(IF(AND(Dados!$A498 &gt;=Imóveis!$Q$5,Dados!$A498&lt;=Imóveis!$T$5),Imóveis!$S$5-(DATEDIF(Imóveis!$Q$5,Dados!$A498,"m")),)))*(Imóveis!$N$5/Imóveis!$S$5)))*Imóveis!$P$5))))*IF(AND(Imóveis!$E$5&gt;0,Dados!$A498&gt;Imóveis!$E$5),0,1)*Imóveis!$I$5</f>
        <v>0</v>
      </c>
      <c r="M498" s="18">
        <f>IF(Imóveis!$F$6="PRICE",IF(AND(Dados!$A498&gt;=Imóveis!$Q$6,Dados!$A498&lt;=Imóveis!$T$6),Imóveis!$U$6,0),IF((IF(AND(Dados!$A498&gt;=Imóveis!$Q$6,Dados!$A498&lt;=Imóveis!$T$6),Imóveis!$S$6-(DATEDIF(Imóveis!$Q$6,Dados!$A498,"m")),0))=0,0,((Imóveis!$N$6/Imóveis!$S$6)+((Imóveis!$N$6-((Imóveis!$S$6-(IF(AND(Dados!$A498&gt;=Imóveis!$Q$6,Dados!$A498&lt;=Imóveis!$T$6),Imóveis!$S$6-(DATEDIF(Imóveis!$Q$6,Dados!$A498,"m")),)))*(Imóveis!$N$6/Imóveis!$S$6)))*Imóveis!$P$6))))*IF(AND(Imóveis!$E$6&gt;0,Dados!$A498&gt;Imóveis!$E$6),0,1)*Imóveis!$I$6</f>
        <v>0</v>
      </c>
      <c r="N498" s="18">
        <f t="shared" si="61"/>
        <v>37000</v>
      </c>
      <c r="O498" s="18">
        <f>SUMIFS(Receitas!$F:$F,Receitas!$J:$J,"&lt;="&amp;$A498,Receitas!$L:$L,"&gt;="&amp;$A498,Receitas!$C:$C,O$1,Receitas!$M:$M,"Mensal")+SUMIFS(Receitas!$F:$F,Receitas!$J:$J,"&lt;="&amp;$A498,Receitas!$L:$L,"&gt;="&amp;$A498,Receitas!$C:$C,O$1,Receitas!$M:$M,$B498)</f>
        <v>0</v>
      </c>
      <c r="P498" s="18">
        <f>SUMIFS(Receitas!$F:$F,Receitas!$J:$J,"&lt;="&amp;$A498,Receitas!$L:$L,"&gt;="&amp;$A498,Receitas!$C:$C,P$1,Receitas!$M:$M,"Mensal")+SUMIFS(Receitas!$F:$F,Receitas!$J:$J,"&lt;="&amp;$A498,Receitas!$L:$L,"&gt;="&amp;$A498,Receitas!$C:$C,P$1,Receitas!$M:$M,$B498)</f>
        <v>0</v>
      </c>
      <c r="Q498" s="18">
        <f>SUMIFS(Receitas!$F:$F,Receitas!$J:$J,"&lt;="&amp;$A498,Receitas!$L:$L,"&gt;="&amp;$A498,Receitas!$C:$C,Q$1,Receitas!$M:$M,"Mensal")+SUMIFS(Receitas!$F:$F,Receitas!$J:$J,"&lt;="&amp;$A498,Receitas!$L:$L,"&gt;="&amp;$A498,Receitas!$C:$C,Q$1,Receitas!$M:$M,$B498)</f>
        <v>0</v>
      </c>
      <c r="R498" s="18" cm="1">
        <f t="array" ref="R498">(IF(AND(Membros!$F$2="Sim",A498&lt;=MAX(Membros!$E$2:$E$5)),Membros!K$2,IF(AND(A498&gt;=Membros!J$2,A498&lt;=MAX(Membros!$E$2:$E$5)),Membros!K$2,0))+IF(AND(Membros!$F$3="Sim",A498&lt;=MAX(Membros!$E$2:$E$5)),Membros!K$3,IF(AND(A498&gt;=Membros!J$3,A498&lt;=MAX(Membros!$E$2:$E$5)),Membros!K$3,0)))*IF(AND(COUNTIFS(Tabela3[Tipo],"Provedor",Tabela3[Simulação Seguro],"Sim")=2,A498&gt;=MAX(IF(Tabela3[Tipo]="Dependente",Tabela3[Expectativa de Vida (Data)]))),0,1)</f>
        <v>10000</v>
      </c>
      <c r="S498" s="18">
        <f t="shared" si="62"/>
        <v>10000</v>
      </c>
      <c r="U498" s="18">
        <f t="shared" ca="1" si="65"/>
        <v>31579505.488827661</v>
      </c>
      <c r="V498" s="18">
        <f>SUMIF(Imóveis!E:E,Dados!A:A,Imóveis!Z:Z)-SUMIF(Imóveis!E:E,Dados!A:A,Imóveis!Y:Y)</f>
        <v>0</v>
      </c>
      <c r="W498" s="18">
        <f>-SUMIF(Projetos!N:N,A498,Projetos!F:F)</f>
        <v>0</v>
      </c>
      <c r="X498" s="18">
        <f t="shared" si="59"/>
        <v>-27000</v>
      </c>
      <c r="Y498" s="26">
        <f ca="1">(U498*((Indicadores_Economicos!D$2+1)^(1/12)-1))</f>
        <v>103383.08342094409</v>
      </c>
      <c r="Z498" s="18">
        <f t="shared" ca="1" si="63"/>
        <v>31655888.572248604</v>
      </c>
      <c r="AA498" s="18">
        <f ca="1">Auxiliar_Projetos!E498</f>
        <v>1.9780638794035126E-9</v>
      </c>
      <c r="AB498" s="18">
        <f ca="1">Auxiliar_Projetos!K498</f>
        <v>1.5215875995411627E-9</v>
      </c>
      <c r="AC498" s="18">
        <f ca="1">IF(Z498-AA498-AB498&gt;Investimentos!$C$14,Investimentos!$C$14,IF(Z498-AA498-AB498&lt;Investimentos!$C$14,Z498-AA498-AB498,0))</f>
        <v>300000</v>
      </c>
      <c r="AD498" s="18">
        <f t="shared" ca="1" si="64"/>
        <v>31355888.5722486</v>
      </c>
      <c r="AE498" s="18"/>
    </row>
    <row r="499" spans="1:31" x14ac:dyDescent="0.2">
      <c r="A499" s="4">
        <v>60784</v>
      </c>
      <c r="B499" s="5" t="str">
        <f t="shared" si="60"/>
        <v>junho</v>
      </c>
      <c r="C499" s="5" t="str">
        <f t="shared" si="66"/>
        <v>2066</v>
      </c>
      <c r="D499" s="5">
        <f>SUMIFS(Despesas!$F:$F,Despesas!$J:$J,"&lt;="&amp;$A499,Despesas!$L:$L,"&gt;="&amp;$A499,Despesas!$C:$C,D$1,Despesas!$M:$M,"Mensal")+SUMIFS(Despesas!$F:$F,Despesas!$J:$J,"&lt;="&amp;$A499,Despesas!$L:$L,"&gt;="&amp;$A499,Despesas!$C:$C,D$1,Despesas!$M:$M,$B499)</f>
        <v>23000</v>
      </c>
      <c r="E499" s="18">
        <f>SUMIFS(Despesas!$F:$F,Despesas!$J:$J,"&lt;="&amp;$A499,Despesas!$L:$L,"&gt;="&amp;$A499,Despesas!$C:$C,E$1,Despesas!$M:$M,"Mensal")+SUMIFS(Despesas!$F:$F,Despesas!$J:$J,"&lt;="&amp;$A499,Despesas!$L:$L,"&gt;="&amp;$A499,Despesas!$C:$C,E$1,Despesas!$M:$M,$B499)</f>
        <v>0</v>
      </c>
      <c r="F499" s="5">
        <f>SUMIFS(Despesas!$F:$F,Despesas!$J:$J,"&lt;="&amp;$A499,Despesas!$L:$L,"&gt;="&amp;$A499,Despesas!$C:$C,F$1,Despesas!$M:$M,"Mensal")+SUMIFS(Despesas!$F:$F,Despesas!$J:$J,"&lt;="&amp;$A499,Despesas!$L:$L,"&gt;="&amp;$A499,Despesas!$C:$C,F$1,Despesas!$M:$M,$B499)</f>
        <v>13000</v>
      </c>
      <c r="G499" s="5">
        <f>SUMIFS(Despesas!$F:$F,Despesas!$J:$J,"&lt;="&amp;$A499,Despesas!$L:$L,"&gt;="&amp;$A499,Despesas!$C:$C,G$1,Despesas!$M:$M,"Mensal")+SUMIFS(Despesas!$F:$F,Despesas!$J:$J,"&lt;="&amp;$A499,Despesas!$L:$L,"&gt;="&amp;$A499,Despesas!$C:$C,G$1,Despesas!$M:$M,$B499)</f>
        <v>0</v>
      </c>
      <c r="H499" s="18">
        <f>SUMIFS(Despesas!$F:$F,Despesas!$J:$J,"&lt;="&amp;$A499,Despesas!$L:$L,"&gt;="&amp;$A499,Despesas!$C:$C,H$1,Despesas!$M:$M,"Mensal")+SUMIFS(Despesas!$F:$F,Despesas!$J:$J,"&lt;="&amp;$A499,Despesas!$L:$L,"&gt;="&amp;$A499,Despesas!$C:$C,H$1,Despesas!$M:$M,$B499)</f>
        <v>1000</v>
      </c>
      <c r="I499" s="18">
        <f>IF(Imóveis!$F$2="PRICE",IF(AND(Dados!$A499&gt;=Imóveis!$Q$2,Dados!$A499&lt;=Imóveis!$T$2),Imóveis!$U$2,0),IF((IF(AND(Dados!$A499&gt;=Imóveis!$Q$2,Dados!$A499&lt;=Imóveis!$T$2),Imóveis!$S$2-(DATEDIF(Imóveis!$Q$2,Dados!$A499,"m")),0))=0,0,((Imóveis!$N$2/Imóveis!$S$2)+((Imóveis!$N$2-((Imóveis!$S$2-(IF(AND(Dados!$A499&gt;=Imóveis!$Q$2,Dados!$A499&lt;=Imóveis!$T$2),Imóveis!$S$2-(DATEDIF(Imóveis!$Q$2,Dados!$A499,"m")),)))*(Imóveis!$N$2/Imóveis!$S$2)))*Imóveis!$P$2))))*IF(AND(Imóveis!$E$2&gt;0,Dados!$A499&gt;Imóveis!$E$2),0,1)</f>
        <v>0</v>
      </c>
      <c r="J499" s="18">
        <f>IF(Imóveis!$F$3="PRICE",IF(AND(Dados!$A499&gt;=Imóveis!$Q$3,Dados!$A499&lt;=Imóveis!$T$3),Imóveis!$U$3,0),IF((IF(AND(Dados!$A499&gt;=Imóveis!$Q$3,Dados!$A499&lt;=Imóveis!$T$3),Imóveis!$S$3-(DATEDIF(Imóveis!$Q$3,Dados!$A499,"m")),0))=0,0,((Imóveis!$N$3/Imóveis!$S$3)+((Imóveis!$N$3-((Imóveis!$S$3-(IF(AND(Dados!$A499&gt;=Imóveis!$Q$3,Dados!$A499&lt;=Imóveis!$T$3),Imóveis!$S$3-(DATEDIF(Imóveis!$Q$3,Dados!$A499,"m")),)))*(Imóveis!$N$3/Imóveis!$S$3)))*Imóveis!$P$3))))*IF(AND(Imóveis!$E$3&gt;0,Dados!$A499&gt;Imóveis!$E$3),0,1)</f>
        <v>0</v>
      </c>
      <c r="K499" s="18">
        <f>IF(Imóveis!$F$4="PRICE",IF(AND(Dados!$A499&gt;=Imóveis!$Q$4,Dados!$A499&lt;=Imóveis!$T$4),Imóveis!$U$4,0),IF((IF(AND(Dados!$A499&gt;=Imóveis!$Q$4,Dados!$A499&lt;=Imóveis!$T$4),Imóveis!$S$4-(DATEDIF(Imóveis!$Q$4,Dados!$A499,"m")),0))=0,0,((Imóveis!$N$4/Imóveis!$S$4)+((Imóveis!$N$4-((Imóveis!$S$4-(IF(AND(Dados!$A499&gt;=Imóveis!$Q$4,Dados!$A499&lt;=Imóveis!$T$4),Imóveis!$S$4-(DATEDIF(Imóveis!$Q$4,Dados!$A499,"m")),)))*(Imóveis!$N$4/Imóveis!$S$4)))*Imóveis!$P$4))))*IF(AND(Imóveis!$E$4&gt;0,Dados!$A499&gt;Imóveis!$E$4),0,1)</f>
        <v>0</v>
      </c>
      <c r="L499" s="18">
        <f>IF(Imóveis!$F$5="PRICE",IF(AND(Dados!$A499&gt;=Imóveis!$Q$5,Dados!$A499&lt;=Imóveis!$T$5),Imóveis!$U$5,0),IF((IF(AND(Dados!$A499&gt;=Imóveis!$Q$5,Dados!$A499&lt;=Imóveis!$T$5),Imóveis!$S$5-(DATEDIF(Imóveis!$Q$5,Dados!$A499,"m")),0))=0,0,((Imóveis!$N$5/Imóveis!$S$5)+((Imóveis!$N$5-((Imóveis!$S$5-(IF(AND(Dados!$A499 &gt;=Imóveis!$Q$5,Dados!$A499&lt;=Imóveis!$T$5),Imóveis!$S$5-(DATEDIF(Imóveis!$Q$5,Dados!$A499,"m")),)))*(Imóveis!$N$5/Imóveis!$S$5)))*Imóveis!$P$5))))*IF(AND(Imóveis!$E$5&gt;0,Dados!$A499&gt;Imóveis!$E$5),0,1)*Imóveis!$I$5</f>
        <v>0</v>
      </c>
      <c r="M499" s="18">
        <f>IF(Imóveis!$F$6="PRICE",IF(AND(Dados!$A499&gt;=Imóveis!$Q$6,Dados!$A499&lt;=Imóveis!$T$6),Imóveis!$U$6,0),IF((IF(AND(Dados!$A499&gt;=Imóveis!$Q$6,Dados!$A499&lt;=Imóveis!$T$6),Imóveis!$S$6-(DATEDIF(Imóveis!$Q$6,Dados!$A499,"m")),0))=0,0,((Imóveis!$N$6/Imóveis!$S$6)+((Imóveis!$N$6-((Imóveis!$S$6-(IF(AND(Dados!$A499&gt;=Imóveis!$Q$6,Dados!$A499&lt;=Imóveis!$T$6),Imóveis!$S$6-(DATEDIF(Imóveis!$Q$6,Dados!$A499,"m")),)))*(Imóveis!$N$6/Imóveis!$S$6)))*Imóveis!$P$6))))*IF(AND(Imóveis!$E$6&gt;0,Dados!$A499&gt;Imóveis!$E$6),0,1)*Imóveis!$I$6</f>
        <v>0</v>
      </c>
      <c r="N499" s="18">
        <f t="shared" si="61"/>
        <v>37000</v>
      </c>
      <c r="O499" s="18">
        <f>SUMIFS(Receitas!$F:$F,Receitas!$J:$J,"&lt;="&amp;$A499,Receitas!$L:$L,"&gt;="&amp;$A499,Receitas!$C:$C,O$1,Receitas!$M:$M,"Mensal")+SUMIFS(Receitas!$F:$F,Receitas!$J:$J,"&lt;="&amp;$A499,Receitas!$L:$L,"&gt;="&amp;$A499,Receitas!$C:$C,O$1,Receitas!$M:$M,$B499)</f>
        <v>0</v>
      </c>
      <c r="P499" s="18">
        <f>SUMIFS(Receitas!$F:$F,Receitas!$J:$J,"&lt;="&amp;$A499,Receitas!$L:$L,"&gt;="&amp;$A499,Receitas!$C:$C,P$1,Receitas!$M:$M,"Mensal")+SUMIFS(Receitas!$F:$F,Receitas!$J:$J,"&lt;="&amp;$A499,Receitas!$L:$L,"&gt;="&amp;$A499,Receitas!$C:$C,P$1,Receitas!$M:$M,$B499)</f>
        <v>0</v>
      </c>
      <c r="Q499" s="18">
        <f>SUMIFS(Receitas!$F:$F,Receitas!$J:$J,"&lt;="&amp;$A499,Receitas!$L:$L,"&gt;="&amp;$A499,Receitas!$C:$C,Q$1,Receitas!$M:$M,"Mensal")+SUMIFS(Receitas!$F:$F,Receitas!$J:$J,"&lt;="&amp;$A499,Receitas!$L:$L,"&gt;="&amp;$A499,Receitas!$C:$C,Q$1,Receitas!$M:$M,$B499)</f>
        <v>0</v>
      </c>
      <c r="R499" s="18" cm="1">
        <f t="array" ref="R499">(IF(AND(Membros!$F$2="Sim",A499&lt;=MAX(Membros!$E$2:$E$5)),Membros!K$2,IF(AND(A499&gt;=Membros!J$2,A499&lt;=MAX(Membros!$E$2:$E$5)),Membros!K$2,0))+IF(AND(Membros!$F$3="Sim",A499&lt;=MAX(Membros!$E$2:$E$5)),Membros!K$3,IF(AND(A499&gt;=Membros!J$3,A499&lt;=MAX(Membros!$E$2:$E$5)),Membros!K$3,0)))*IF(AND(COUNTIFS(Tabela3[Tipo],"Provedor",Tabela3[Simulação Seguro],"Sim")=2,A499&gt;=MAX(IF(Tabela3[Tipo]="Dependente",Tabela3[Expectativa de Vida (Data)]))),0,1)</f>
        <v>10000</v>
      </c>
      <c r="S499" s="18">
        <f t="shared" si="62"/>
        <v>10000</v>
      </c>
      <c r="U499" s="18">
        <f t="shared" ca="1" si="65"/>
        <v>31655888.572248604</v>
      </c>
      <c r="V499" s="18">
        <f>SUMIF(Imóveis!E:E,Dados!A:A,Imóveis!Z:Z)-SUMIF(Imóveis!E:E,Dados!A:A,Imóveis!Y:Y)</f>
        <v>0</v>
      </c>
      <c r="W499" s="18">
        <f>-SUMIF(Projetos!N:N,A499,Projetos!F:F)</f>
        <v>0</v>
      </c>
      <c r="X499" s="18">
        <f t="shared" si="59"/>
        <v>-27000</v>
      </c>
      <c r="Y499" s="26">
        <f ca="1">(U499*((Indicadores_Economicos!D$2+1)^(1/12)-1))</f>
        <v>103633.14175982625</v>
      </c>
      <c r="Z499" s="18">
        <f t="shared" ca="1" si="63"/>
        <v>31732521.714008432</v>
      </c>
      <c r="AA499" s="18">
        <f ca="1">Auxiliar_Projetos!E499</f>
        <v>1.9845395458172468E-9</v>
      </c>
      <c r="AB499" s="18">
        <f ca="1">Auxiliar_Projetos!K499</f>
        <v>1.5265688813978811E-9</v>
      </c>
      <c r="AC499" s="18">
        <f ca="1">IF(Z499-AA499-AB499&gt;Investimentos!$C$14,Investimentos!$C$14,IF(Z499-AA499-AB499&lt;Investimentos!$C$14,Z499-AA499-AB499,0))</f>
        <v>300000</v>
      </c>
      <c r="AD499" s="18">
        <f t="shared" ca="1" si="64"/>
        <v>31432521.714008428</v>
      </c>
      <c r="AE499" s="18"/>
    </row>
    <row r="500" spans="1:31" x14ac:dyDescent="0.2">
      <c r="A500" s="4">
        <v>60814</v>
      </c>
      <c r="B500" s="5" t="str">
        <f t="shared" si="60"/>
        <v>julho</v>
      </c>
      <c r="C500" s="5" t="str">
        <f t="shared" si="66"/>
        <v>2066</v>
      </c>
      <c r="D500" s="5">
        <f>SUMIFS(Despesas!$F:$F,Despesas!$J:$J,"&lt;="&amp;$A500,Despesas!$L:$L,"&gt;="&amp;$A500,Despesas!$C:$C,D$1,Despesas!$M:$M,"Mensal")+SUMIFS(Despesas!$F:$F,Despesas!$J:$J,"&lt;="&amp;$A500,Despesas!$L:$L,"&gt;="&amp;$A500,Despesas!$C:$C,D$1,Despesas!$M:$M,$B500)</f>
        <v>23000</v>
      </c>
      <c r="E500" s="18">
        <f>SUMIFS(Despesas!$F:$F,Despesas!$J:$J,"&lt;="&amp;$A500,Despesas!$L:$L,"&gt;="&amp;$A500,Despesas!$C:$C,E$1,Despesas!$M:$M,"Mensal")+SUMIFS(Despesas!$F:$F,Despesas!$J:$J,"&lt;="&amp;$A500,Despesas!$L:$L,"&gt;="&amp;$A500,Despesas!$C:$C,E$1,Despesas!$M:$M,$B500)</f>
        <v>0</v>
      </c>
      <c r="F500" s="5">
        <f>SUMIFS(Despesas!$F:$F,Despesas!$J:$J,"&lt;="&amp;$A500,Despesas!$L:$L,"&gt;="&amp;$A500,Despesas!$C:$C,F$1,Despesas!$M:$M,"Mensal")+SUMIFS(Despesas!$F:$F,Despesas!$J:$J,"&lt;="&amp;$A500,Despesas!$L:$L,"&gt;="&amp;$A500,Despesas!$C:$C,F$1,Despesas!$M:$M,$B500)</f>
        <v>13000</v>
      </c>
      <c r="G500" s="5">
        <f ca="1">SUMIFS(Despesas!$F:$F,Despesas!$J:$J,"&lt;="&amp;$A500,Despesas!$L:$L,"&gt;="&amp;$A500,Despesas!$C:$C,G$1,Despesas!$M:$M,"Mensal")+SUMIFS(Despesas!$F:$F,Despesas!$J:$J,"&lt;="&amp;$A500,Despesas!$L:$L,"&gt;="&amp;$A500,Despesas!$C:$C,G$1,Despesas!$M:$M,$B500)</f>
        <v>55757</v>
      </c>
      <c r="H500" s="18">
        <f>SUMIFS(Despesas!$F:$F,Despesas!$J:$J,"&lt;="&amp;$A500,Despesas!$L:$L,"&gt;="&amp;$A500,Despesas!$C:$C,H$1,Despesas!$M:$M,"Mensal")+SUMIFS(Despesas!$F:$F,Despesas!$J:$J,"&lt;="&amp;$A500,Despesas!$L:$L,"&gt;="&amp;$A500,Despesas!$C:$C,H$1,Despesas!$M:$M,$B500)</f>
        <v>1000</v>
      </c>
      <c r="I500" s="18">
        <f>IF(Imóveis!$F$2="PRICE",IF(AND(Dados!$A500&gt;=Imóveis!$Q$2,Dados!$A500&lt;=Imóveis!$T$2),Imóveis!$U$2,0),IF((IF(AND(Dados!$A500&gt;=Imóveis!$Q$2,Dados!$A500&lt;=Imóveis!$T$2),Imóveis!$S$2-(DATEDIF(Imóveis!$Q$2,Dados!$A500,"m")),0))=0,0,((Imóveis!$N$2/Imóveis!$S$2)+((Imóveis!$N$2-((Imóveis!$S$2-(IF(AND(Dados!$A500&gt;=Imóveis!$Q$2,Dados!$A500&lt;=Imóveis!$T$2),Imóveis!$S$2-(DATEDIF(Imóveis!$Q$2,Dados!$A500,"m")),)))*(Imóveis!$N$2/Imóveis!$S$2)))*Imóveis!$P$2))))*IF(AND(Imóveis!$E$2&gt;0,Dados!$A500&gt;Imóveis!$E$2),0,1)</f>
        <v>0</v>
      </c>
      <c r="J500" s="18">
        <f>IF(Imóveis!$F$3="PRICE",IF(AND(Dados!$A500&gt;=Imóveis!$Q$3,Dados!$A500&lt;=Imóveis!$T$3),Imóveis!$U$3,0),IF((IF(AND(Dados!$A500&gt;=Imóveis!$Q$3,Dados!$A500&lt;=Imóveis!$T$3),Imóveis!$S$3-(DATEDIF(Imóveis!$Q$3,Dados!$A500,"m")),0))=0,0,((Imóveis!$N$3/Imóveis!$S$3)+((Imóveis!$N$3-((Imóveis!$S$3-(IF(AND(Dados!$A500&gt;=Imóveis!$Q$3,Dados!$A500&lt;=Imóveis!$T$3),Imóveis!$S$3-(DATEDIF(Imóveis!$Q$3,Dados!$A500,"m")),)))*(Imóveis!$N$3/Imóveis!$S$3)))*Imóveis!$P$3))))*IF(AND(Imóveis!$E$3&gt;0,Dados!$A500&gt;Imóveis!$E$3),0,1)</f>
        <v>0</v>
      </c>
      <c r="K500" s="18">
        <f>IF(Imóveis!$F$4="PRICE",IF(AND(Dados!$A500&gt;=Imóveis!$Q$4,Dados!$A500&lt;=Imóveis!$T$4),Imóveis!$U$4,0),IF((IF(AND(Dados!$A500&gt;=Imóveis!$Q$4,Dados!$A500&lt;=Imóveis!$T$4),Imóveis!$S$4-(DATEDIF(Imóveis!$Q$4,Dados!$A500,"m")),0))=0,0,((Imóveis!$N$4/Imóveis!$S$4)+((Imóveis!$N$4-((Imóveis!$S$4-(IF(AND(Dados!$A500&gt;=Imóveis!$Q$4,Dados!$A500&lt;=Imóveis!$T$4),Imóveis!$S$4-(DATEDIF(Imóveis!$Q$4,Dados!$A500,"m")),)))*(Imóveis!$N$4/Imóveis!$S$4)))*Imóveis!$P$4))))*IF(AND(Imóveis!$E$4&gt;0,Dados!$A500&gt;Imóveis!$E$4),0,1)</f>
        <v>0</v>
      </c>
      <c r="L500" s="18">
        <f>IF(Imóveis!$F$5="PRICE",IF(AND(Dados!$A500&gt;=Imóveis!$Q$5,Dados!$A500&lt;=Imóveis!$T$5),Imóveis!$U$5,0),IF((IF(AND(Dados!$A500&gt;=Imóveis!$Q$5,Dados!$A500&lt;=Imóveis!$T$5),Imóveis!$S$5-(DATEDIF(Imóveis!$Q$5,Dados!$A500,"m")),0))=0,0,((Imóveis!$N$5/Imóveis!$S$5)+((Imóveis!$N$5-((Imóveis!$S$5-(IF(AND(Dados!$A500 &gt;=Imóveis!$Q$5,Dados!$A500&lt;=Imóveis!$T$5),Imóveis!$S$5-(DATEDIF(Imóveis!$Q$5,Dados!$A500,"m")),)))*(Imóveis!$N$5/Imóveis!$S$5)))*Imóveis!$P$5))))*IF(AND(Imóveis!$E$5&gt;0,Dados!$A500&gt;Imóveis!$E$5),0,1)*Imóveis!$I$5</f>
        <v>0</v>
      </c>
      <c r="M500" s="18">
        <f>IF(Imóveis!$F$6="PRICE",IF(AND(Dados!$A500&gt;=Imóveis!$Q$6,Dados!$A500&lt;=Imóveis!$T$6),Imóveis!$U$6,0),IF((IF(AND(Dados!$A500&gt;=Imóveis!$Q$6,Dados!$A500&lt;=Imóveis!$T$6),Imóveis!$S$6-(DATEDIF(Imóveis!$Q$6,Dados!$A500,"m")),0))=0,0,((Imóveis!$N$6/Imóveis!$S$6)+((Imóveis!$N$6-((Imóveis!$S$6-(IF(AND(Dados!$A500&gt;=Imóveis!$Q$6,Dados!$A500&lt;=Imóveis!$T$6),Imóveis!$S$6-(DATEDIF(Imóveis!$Q$6,Dados!$A500,"m")),)))*(Imóveis!$N$6/Imóveis!$S$6)))*Imóveis!$P$6))))*IF(AND(Imóveis!$E$6&gt;0,Dados!$A500&gt;Imóveis!$E$6),0,1)*Imóveis!$I$6</f>
        <v>0</v>
      </c>
      <c r="N500" s="18">
        <f t="shared" ca="1" si="61"/>
        <v>92757</v>
      </c>
      <c r="O500" s="18">
        <f>SUMIFS(Receitas!$F:$F,Receitas!$J:$J,"&lt;="&amp;$A500,Receitas!$L:$L,"&gt;="&amp;$A500,Receitas!$C:$C,O$1,Receitas!$M:$M,"Mensal")+SUMIFS(Receitas!$F:$F,Receitas!$J:$J,"&lt;="&amp;$A500,Receitas!$L:$L,"&gt;="&amp;$A500,Receitas!$C:$C,O$1,Receitas!$M:$M,$B500)</f>
        <v>0</v>
      </c>
      <c r="P500" s="18">
        <f>SUMIFS(Receitas!$F:$F,Receitas!$J:$J,"&lt;="&amp;$A500,Receitas!$L:$L,"&gt;="&amp;$A500,Receitas!$C:$C,P$1,Receitas!$M:$M,"Mensal")+SUMIFS(Receitas!$F:$F,Receitas!$J:$J,"&lt;="&amp;$A500,Receitas!$L:$L,"&gt;="&amp;$A500,Receitas!$C:$C,P$1,Receitas!$M:$M,$B500)</f>
        <v>0</v>
      </c>
      <c r="Q500" s="18">
        <f>SUMIFS(Receitas!$F:$F,Receitas!$J:$J,"&lt;="&amp;$A500,Receitas!$L:$L,"&gt;="&amp;$A500,Receitas!$C:$C,Q$1,Receitas!$M:$M,"Mensal")+SUMIFS(Receitas!$F:$F,Receitas!$J:$J,"&lt;="&amp;$A500,Receitas!$L:$L,"&gt;="&amp;$A500,Receitas!$C:$C,Q$1,Receitas!$M:$M,$B500)</f>
        <v>0</v>
      </c>
      <c r="R500" s="18" cm="1">
        <f t="array" ref="R500">(IF(AND(Membros!$F$2="Sim",A500&lt;=MAX(Membros!$E$2:$E$5)),Membros!K$2,IF(AND(A500&gt;=Membros!J$2,A500&lt;=MAX(Membros!$E$2:$E$5)),Membros!K$2,0))+IF(AND(Membros!$F$3="Sim",A500&lt;=MAX(Membros!$E$2:$E$5)),Membros!K$3,IF(AND(A500&gt;=Membros!J$3,A500&lt;=MAX(Membros!$E$2:$E$5)),Membros!K$3,0)))*IF(AND(COUNTIFS(Tabela3[Tipo],"Provedor",Tabela3[Simulação Seguro],"Sim")=2,A500&gt;=MAX(IF(Tabela3[Tipo]="Dependente",Tabela3[Expectativa de Vida (Data)]))),0,1)</f>
        <v>10000</v>
      </c>
      <c r="S500" s="18">
        <f t="shared" si="62"/>
        <v>10000</v>
      </c>
      <c r="U500" s="18">
        <f t="shared" ca="1" si="65"/>
        <v>31732521.714008432</v>
      </c>
      <c r="V500" s="18">
        <f>SUMIF(Imóveis!E:E,Dados!A:A,Imóveis!Z:Z)-SUMIF(Imóveis!E:E,Dados!A:A,Imóveis!Y:Y)</f>
        <v>0</v>
      </c>
      <c r="W500" s="18">
        <f>-SUMIF(Projetos!N:N,A500,Projetos!F:F)</f>
        <v>0</v>
      </c>
      <c r="X500" s="18">
        <f t="shared" ca="1" si="59"/>
        <v>-82757</v>
      </c>
      <c r="Y500" s="26">
        <f ca="1">(U500*((Indicadores_Economicos!D$2+1)^(1/12)-1))</f>
        <v>103884.01872464029</v>
      </c>
      <c r="Z500" s="18">
        <f t="shared" ca="1" si="63"/>
        <v>31753648.732733071</v>
      </c>
      <c r="AA500" s="18">
        <f ca="1">Auxiliar_Projetos!E500</f>
        <v>1.9910364118777357E-9</v>
      </c>
      <c r="AB500" s="18">
        <f ca="1">Auxiliar_Projetos!K500</f>
        <v>1.5315664706751803E-9</v>
      </c>
      <c r="AC500" s="18">
        <f ca="1">IF(Z500-AA500-AB500&gt;Investimentos!$C$14,Investimentos!$C$14,IF(Z500-AA500-AB500&lt;Investimentos!$C$14,Z500-AA500-AB500,0))</f>
        <v>300000</v>
      </c>
      <c r="AD500" s="18">
        <f t="shared" ca="1" si="64"/>
        <v>31453648.732733067</v>
      </c>
      <c r="AE500" s="18"/>
    </row>
    <row r="501" spans="1:31" x14ac:dyDescent="0.2">
      <c r="A501" s="4">
        <v>60845</v>
      </c>
      <c r="B501" s="5" t="str">
        <f t="shared" si="60"/>
        <v>agosto</v>
      </c>
      <c r="C501" s="5" t="str">
        <f t="shared" si="66"/>
        <v>2066</v>
      </c>
      <c r="D501" s="5">
        <f>SUMIFS(Despesas!$F:$F,Despesas!$J:$J,"&lt;="&amp;$A501,Despesas!$L:$L,"&gt;="&amp;$A501,Despesas!$C:$C,D$1,Despesas!$M:$M,"Mensal")+SUMIFS(Despesas!$F:$F,Despesas!$J:$J,"&lt;="&amp;$A501,Despesas!$L:$L,"&gt;="&amp;$A501,Despesas!$C:$C,D$1,Despesas!$M:$M,$B501)</f>
        <v>23000</v>
      </c>
      <c r="E501" s="18">
        <f>SUMIFS(Despesas!$F:$F,Despesas!$J:$J,"&lt;="&amp;$A501,Despesas!$L:$L,"&gt;="&amp;$A501,Despesas!$C:$C,E$1,Despesas!$M:$M,"Mensal")+SUMIFS(Despesas!$F:$F,Despesas!$J:$J,"&lt;="&amp;$A501,Despesas!$L:$L,"&gt;="&amp;$A501,Despesas!$C:$C,E$1,Despesas!$M:$M,$B501)</f>
        <v>0</v>
      </c>
      <c r="F501" s="5">
        <f>SUMIFS(Despesas!$F:$F,Despesas!$J:$J,"&lt;="&amp;$A501,Despesas!$L:$L,"&gt;="&amp;$A501,Despesas!$C:$C,F$1,Despesas!$M:$M,"Mensal")+SUMIFS(Despesas!$F:$F,Despesas!$J:$J,"&lt;="&amp;$A501,Despesas!$L:$L,"&gt;="&amp;$A501,Despesas!$C:$C,F$1,Despesas!$M:$M,$B501)</f>
        <v>13000</v>
      </c>
      <c r="G501" s="5">
        <f>SUMIFS(Despesas!$F:$F,Despesas!$J:$J,"&lt;="&amp;$A501,Despesas!$L:$L,"&gt;="&amp;$A501,Despesas!$C:$C,G$1,Despesas!$M:$M,"Mensal")+SUMIFS(Despesas!$F:$F,Despesas!$J:$J,"&lt;="&amp;$A501,Despesas!$L:$L,"&gt;="&amp;$A501,Despesas!$C:$C,G$1,Despesas!$M:$M,$B501)</f>
        <v>0</v>
      </c>
      <c r="H501" s="18">
        <f>SUMIFS(Despesas!$F:$F,Despesas!$J:$J,"&lt;="&amp;$A501,Despesas!$L:$L,"&gt;="&amp;$A501,Despesas!$C:$C,H$1,Despesas!$M:$M,"Mensal")+SUMIFS(Despesas!$F:$F,Despesas!$J:$J,"&lt;="&amp;$A501,Despesas!$L:$L,"&gt;="&amp;$A501,Despesas!$C:$C,H$1,Despesas!$M:$M,$B501)</f>
        <v>1000</v>
      </c>
      <c r="I501" s="18">
        <f>IF(Imóveis!$F$2="PRICE",IF(AND(Dados!$A501&gt;=Imóveis!$Q$2,Dados!$A501&lt;=Imóveis!$T$2),Imóveis!$U$2,0),IF((IF(AND(Dados!$A501&gt;=Imóveis!$Q$2,Dados!$A501&lt;=Imóveis!$T$2),Imóveis!$S$2-(DATEDIF(Imóveis!$Q$2,Dados!$A501,"m")),0))=0,0,((Imóveis!$N$2/Imóveis!$S$2)+((Imóveis!$N$2-((Imóveis!$S$2-(IF(AND(Dados!$A501&gt;=Imóveis!$Q$2,Dados!$A501&lt;=Imóveis!$T$2),Imóveis!$S$2-(DATEDIF(Imóveis!$Q$2,Dados!$A501,"m")),)))*(Imóveis!$N$2/Imóveis!$S$2)))*Imóveis!$P$2))))*IF(AND(Imóveis!$E$2&gt;0,Dados!$A501&gt;Imóveis!$E$2),0,1)</f>
        <v>0</v>
      </c>
      <c r="J501" s="18">
        <f>IF(Imóveis!$F$3="PRICE",IF(AND(Dados!$A501&gt;=Imóveis!$Q$3,Dados!$A501&lt;=Imóveis!$T$3),Imóveis!$U$3,0),IF((IF(AND(Dados!$A501&gt;=Imóveis!$Q$3,Dados!$A501&lt;=Imóveis!$T$3),Imóveis!$S$3-(DATEDIF(Imóveis!$Q$3,Dados!$A501,"m")),0))=0,0,((Imóveis!$N$3/Imóveis!$S$3)+((Imóveis!$N$3-((Imóveis!$S$3-(IF(AND(Dados!$A501&gt;=Imóveis!$Q$3,Dados!$A501&lt;=Imóveis!$T$3),Imóveis!$S$3-(DATEDIF(Imóveis!$Q$3,Dados!$A501,"m")),)))*(Imóveis!$N$3/Imóveis!$S$3)))*Imóveis!$P$3))))*IF(AND(Imóveis!$E$3&gt;0,Dados!$A501&gt;Imóveis!$E$3),0,1)</f>
        <v>0</v>
      </c>
      <c r="K501" s="18">
        <f>IF(Imóveis!$F$4="PRICE",IF(AND(Dados!$A501&gt;=Imóveis!$Q$4,Dados!$A501&lt;=Imóveis!$T$4),Imóveis!$U$4,0),IF((IF(AND(Dados!$A501&gt;=Imóveis!$Q$4,Dados!$A501&lt;=Imóveis!$T$4),Imóveis!$S$4-(DATEDIF(Imóveis!$Q$4,Dados!$A501,"m")),0))=0,0,((Imóveis!$N$4/Imóveis!$S$4)+((Imóveis!$N$4-((Imóveis!$S$4-(IF(AND(Dados!$A501&gt;=Imóveis!$Q$4,Dados!$A501&lt;=Imóveis!$T$4),Imóveis!$S$4-(DATEDIF(Imóveis!$Q$4,Dados!$A501,"m")),)))*(Imóveis!$N$4/Imóveis!$S$4)))*Imóveis!$P$4))))*IF(AND(Imóveis!$E$4&gt;0,Dados!$A501&gt;Imóveis!$E$4),0,1)</f>
        <v>0</v>
      </c>
      <c r="L501" s="18">
        <f>IF(Imóveis!$F$5="PRICE",IF(AND(Dados!$A501&gt;=Imóveis!$Q$5,Dados!$A501&lt;=Imóveis!$T$5),Imóveis!$U$5,0),IF((IF(AND(Dados!$A501&gt;=Imóveis!$Q$5,Dados!$A501&lt;=Imóveis!$T$5),Imóveis!$S$5-(DATEDIF(Imóveis!$Q$5,Dados!$A501,"m")),0))=0,0,((Imóveis!$N$5/Imóveis!$S$5)+((Imóveis!$N$5-((Imóveis!$S$5-(IF(AND(Dados!$A501 &gt;=Imóveis!$Q$5,Dados!$A501&lt;=Imóveis!$T$5),Imóveis!$S$5-(DATEDIF(Imóveis!$Q$5,Dados!$A501,"m")),)))*(Imóveis!$N$5/Imóveis!$S$5)))*Imóveis!$P$5))))*IF(AND(Imóveis!$E$5&gt;0,Dados!$A501&gt;Imóveis!$E$5),0,1)*Imóveis!$I$5</f>
        <v>0</v>
      </c>
      <c r="M501" s="18">
        <f>IF(Imóveis!$F$6="PRICE",IF(AND(Dados!$A501&gt;=Imóveis!$Q$6,Dados!$A501&lt;=Imóveis!$T$6),Imóveis!$U$6,0),IF((IF(AND(Dados!$A501&gt;=Imóveis!$Q$6,Dados!$A501&lt;=Imóveis!$T$6),Imóveis!$S$6-(DATEDIF(Imóveis!$Q$6,Dados!$A501,"m")),0))=0,0,((Imóveis!$N$6/Imóveis!$S$6)+((Imóveis!$N$6-((Imóveis!$S$6-(IF(AND(Dados!$A501&gt;=Imóveis!$Q$6,Dados!$A501&lt;=Imóveis!$T$6),Imóveis!$S$6-(DATEDIF(Imóveis!$Q$6,Dados!$A501,"m")),)))*(Imóveis!$N$6/Imóveis!$S$6)))*Imóveis!$P$6))))*IF(AND(Imóveis!$E$6&gt;0,Dados!$A501&gt;Imóveis!$E$6),0,1)*Imóveis!$I$6</f>
        <v>0</v>
      </c>
      <c r="N501" s="18">
        <f t="shared" si="61"/>
        <v>37000</v>
      </c>
      <c r="O501" s="18">
        <f>SUMIFS(Receitas!$F:$F,Receitas!$J:$J,"&lt;="&amp;$A501,Receitas!$L:$L,"&gt;="&amp;$A501,Receitas!$C:$C,O$1,Receitas!$M:$M,"Mensal")+SUMIFS(Receitas!$F:$F,Receitas!$J:$J,"&lt;="&amp;$A501,Receitas!$L:$L,"&gt;="&amp;$A501,Receitas!$C:$C,O$1,Receitas!$M:$M,$B501)</f>
        <v>0</v>
      </c>
      <c r="P501" s="18">
        <f>SUMIFS(Receitas!$F:$F,Receitas!$J:$J,"&lt;="&amp;$A501,Receitas!$L:$L,"&gt;="&amp;$A501,Receitas!$C:$C,P$1,Receitas!$M:$M,"Mensal")+SUMIFS(Receitas!$F:$F,Receitas!$J:$J,"&lt;="&amp;$A501,Receitas!$L:$L,"&gt;="&amp;$A501,Receitas!$C:$C,P$1,Receitas!$M:$M,$B501)</f>
        <v>0</v>
      </c>
      <c r="Q501" s="18">
        <f>SUMIFS(Receitas!$F:$F,Receitas!$J:$J,"&lt;="&amp;$A501,Receitas!$L:$L,"&gt;="&amp;$A501,Receitas!$C:$C,Q$1,Receitas!$M:$M,"Mensal")+SUMIFS(Receitas!$F:$F,Receitas!$J:$J,"&lt;="&amp;$A501,Receitas!$L:$L,"&gt;="&amp;$A501,Receitas!$C:$C,Q$1,Receitas!$M:$M,$B501)</f>
        <v>0</v>
      </c>
      <c r="R501" s="18" cm="1">
        <f t="array" ref="R501">(IF(AND(Membros!$F$2="Sim",A501&lt;=MAX(Membros!$E$2:$E$5)),Membros!K$2,IF(AND(A501&gt;=Membros!J$2,A501&lt;=MAX(Membros!$E$2:$E$5)),Membros!K$2,0))+IF(AND(Membros!$F$3="Sim",A501&lt;=MAX(Membros!$E$2:$E$5)),Membros!K$3,IF(AND(A501&gt;=Membros!J$3,A501&lt;=MAX(Membros!$E$2:$E$5)),Membros!K$3,0)))*IF(AND(COUNTIFS(Tabela3[Tipo],"Provedor",Tabela3[Simulação Seguro],"Sim")=2,A501&gt;=MAX(IF(Tabela3[Tipo]="Dependente",Tabela3[Expectativa de Vida (Data)]))),0,1)</f>
        <v>10000</v>
      </c>
      <c r="S501" s="18">
        <f t="shared" si="62"/>
        <v>10000</v>
      </c>
      <c r="U501" s="18">
        <f t="shared" ca="1" si="65"/>
        <v>31753648.732733071</v>
      </c>
      <c r="V501" s="18">
        <f>SUMIF(Imóveis!E:E,Dados!A:A,Imóveis!Z:Z)-SUMIF(Imóveis!E:E,Dados!A:A,Imóveis!Y:Y)</f>
        <v>0</v>
      </c>
      <c r="W501" s="18">
        <f>-SUMIF(Projetos!N:N,A501,Projetos!F:F)</f>
        <v>0</v>
      </c>
      <c r="X501" s="18">
        <f t="shared" si="59"/>
        <v>-27000</v>
      </c>
      <c r="Y501" s="26">
        <f ca="1">(U501*((Indicadores_Economicos!D$2+1)^(1/12)-1))</f>
        <v>103953.1830863184</v>
      </c>
      <c r="Z501" s="18">
        <f t="shared" ca="1" si="63"/>
        <v>31830601.915819388</v>
      </c>
      <c r="AA501" s="18">
        <f ca="1">Auxiliar_Projetos!E501</f>
        <v>1.9975545469871065E-9</v>
      </c>
      <c r="AB501" s="18">
        <f ca="1">Auxiliar_Projetos!K501</f>
        <v>1.5365804207593116E-9</v>
      </c>
      <c r="AC501" s="18">
        <f ca="1">IF(Z501-AA501-AB501&gt;Investimentos!$C$14,Investimentos!$C$14,IF(Z501-AA501-AB501&lt;Investimentos!$C$14,Z501-AA501-AB501,0))</f>
        <v>300000</v>
      </c>
      <c r="AD501" s="18">
        <f t="shared" ca="1" si="64"/>
        <v>31530601.915819384</v>
      </c>
      <c r="AE501" s="18"/>
    </row>
    <row r="502" spans="1:31" x14ac:dyDescent="0.2">
      <c r="A502" s="4">
        <v>60876</v>
      </c>
      <c r="B502" s="5" t="str">
        <f t="shared" si="60"/>
        <v>setembro</v>
      </c>
      <c r="C502" s="5" t="str">
        <f t="shared" si="66"/>
        <v>2066</v>
      </c>
      <c r="D502" s="5">
        <f>SUMIFS(Despesas!$F:$F,Despesas!$J:$J,"&lt;="&amp;$A502,Despesas!$L:$L,"&gt;="&amp;$A502,Despesas!$C:$C,D$1,Despesas!$M:$M,"Mensal")+SUMIFS(Despesas!$F:$F,Despesas!$J:$J,"&lt;="&amp;$A502,Despesas!$L:$L,"&gt;="&amp;$A502,Despesas!$C:$C,D$1,Despesas!$M:$M,$B502)</f>
        <v>23000</v>
      </c>
      <c r="E502" s="18">
        <f>SUMIFS(Despesas!$F:$F,Despesas!$J:$J,"&lt;="&amp;$A502,Despesas!$L:$L,"&gt;="&amp;$A502,Despesas!$C:$C,E$1,Despesas!$M:$M,"Mensal")+SUMIFS(Despesas!$F:$F,Despesas!$J:$J,"&lt;="&amp;$A502,Despesas!$L:$L,"&gt;="&amp;$A502,Despesas!$C:$C,E$1,Despesas!$M:$M,$B502)</f>
        <v>0</v>
      </c>
      <c r="F502" s="5">
        <f>SUMIFS(Despesas!$F:$F,Despesas!$J:$J,"&lt;="&amp;$A502,Despesas!$L:$L,"&gt;="&amp;$A502,Despesas!$C:$C,F$1,Despesas!$M:$M,"Mensal")+SUMIFS(Despesas!$F:$F,Despesas!$J:$J,"&lt;="&amp;$A502,Despesas!$L:$L,"&gt;="&amp;$A502,Despesas!$C:$C,F$1,Despesas!$M:$M,$B502)</f>
        <v>13000</v>
      </c>
      <c r="G502" s="5">
        <f>SUMIFS(Despesas!$F:$F,Despesas!$J:$J,"&lt;="&amp;$A502,Despesas!$L:$L,"&gt;="&amp;$A502,Despesas!$C:$C,G$1,Despesas!$M:$M,"Mensal")+SUMIFS(Despesas!$F:$F,Despesas!$J:$J,"&lt;="&amp;$A502,Despesas!$L:$L,"&gt;="&amp;$A502,Despesas!$C:$C,G$1,Despesas!$M:$M,$B502)</f>
        <v>0</v>
      </c>
      <c r="H502" s="18">
        <f>SUMIFS(Despesas!$F:$F,Despesas!$J:$J,"&lt;="&amp;$A502,Despesas!$L:$L,"&gt;="&amp;$A502,Despesas!$C:$C,H$1,Despesas!$M:$M,"Mensal")+SUMIFS(Despesas!$F:$F,Despesas!$J:$J,"&lt;="&amp;$A502,Despesas!$L:$L,"&gt;="&amp;$A502,Despesas!$C:$C,H$1,Despesas!$M:$M,$B502)</f>
        <v>1000</v>
      </c>
      <c r="I502" s="18">
        <f>IF(Imóveis!$F$2="PRICE",IF(AND(Dados!$A502&gt;=Imóveis!$Q$2,Dados!$A502&lt;=Imóveis!$T$2),Imóveis!$U$2,0),IF((IF(AND(Dados!$A502&gt;=Imóveis!$Q$2,Dados!$A502&lt;=Imóveis!$T$2),Imóveis!$S$2-(DATEDIF(Imóveis!$Q$2,Dados!$A502,"m")),0))=0,0,((Imóveis!$N$2/Imóveis!$S$2)+((Imóveis!$N$2-((Imóveis!$S$2-(IF(AND(Dados!$A502&gt;=Imóveis!$Q$2,Dados!$A502&lt;=Imóveis!$T$2),Imóveis!$S$2-(DATEDIF(Imóveis!$Q$2,Dados!$A502,"m")),)))*(Imóveis!$N$2/Imóveis!$S$2)))*Imóveis!$P$2))))*IF(AND(Imóveis!$E$2&gt;0,Dados!$A502&gt;Imóveis!$E$2),0,1)</f>
        <v>0</v>
      </c>
      <c r="J502" s="18">
        <f>IF(Imóveis!$F$3="PRICE",IF(AND(Dados!$A502&gt;=Imóveis!$Q$3,Dados!$A502&lt;=Imóveis!$T$3),Imóveis!$U$3,0),IF((IF(AND(Dados!$A502&gt;=Imóveis!$Q$3,Dados!$A502&lt;=Imóveis!$T$3),Imóveis!$S$3-(DATEDIF(Imóveis!$Q$3,Dados!$A502,"m")),0))=0,0,((Imóveis!$N$3/Imóveis!$S$3)+((Imóveis!$N$3-((Imóveis!$S$3-(IF(AND(Dados!$A502&gt;=Imóveis!$Q$3,Dados!$A502&lt;=Imóveis!$T$3),Imóveis!$S$3-(DATEDIF(Imóveis!$Q$3,Dados!$A502,"m")),)))*(Imóveis!$N$3/Imóveis!$S$3)))*Imóveis!$P$3))))*IF(AND(Imóveis!$E$3&gt;0,Dados!$A502&gt;Imóveis!$E$3),0,1)</f>
        <v>0</v>
      </c>
      <c r="K502" s="18">
        <f>IF(Imóveis!$F$4="PRICE",IF(AND(Dados!$A502&gt;=Imóveis!$Q$4,Dados!$A502&lt;=Imóveis!$T$4),Imóveis!$U$4,0),IF((IF(AND(Dados!$A502&gt;=Imóveis!$Q$4,Dados!$A502&lt;=Imóveis!$T$4),Imóveis!$S$4-(DATEDIF(Imóveis!$Q$4,Dados!$A502,"m")),0))=0,0,((Imóveis!$N$4/Imóveis!$S$4)+((Imóveis!$N$4-((Imóveis!$S$4-(IF(AND(Dados!$A502&gt;=Imóveis!$Q$4,Dados!$A502&lt;=Imóveis!$T$4),Imóveis!$S$4-(DATEDIF(Imóveis!$Q$4,Dados!$A502,"m")),)))*(Imóveis!$N$4/Imóveis!$S$4)))*Imóveis!$P$4))))*IF(AND(Imóveis!$E$4&gt;0,Dados!$A502&gt;Imóveis!$E$4),0,1)</f>
        <v>0</v>
      </c>
      <c r="L502" s="18">
        <f>IF(Imóveis!$F$5="PRICE",IF(AND(Dados!$A502&gt;=Imóveis!$Q$5,Dados!$A502&lt;=Imóveis!$T$5),Imóveis!$U$5,0),IF((IF(AND(Dados!$A502&gt;=Imóveis!$Q$5,Dados!$A502&lt;=Imóveis!$T$5),Imóveis!$S$5-(DATEDIF(Imóveis!$Q$5,Dados!$A502,"m")),0))=0,0,((Imóveis!$N$5/Imóveis!$S$5)+((Imóveis!$N$5-((Imóveis!$S$5-(IF(AND(Dados!$A502 &gt;=Imóveis!$Q$5,Dados!$A502&lt;=Imóveis!$T$5),Imóveis!$S$5-(DATEDIF(Imóveis!$Q$5,Dados!$A502,"m")),)))*(Imóveis!$N$5/Imóveis!$S$5)))*Imóveis!$P$5))))*IF(AND(Imóveis!$E$5&gt;0,Dados!$A502&gt;Imóveis!$E$5),0,1)*Imóveis!$I$5</f>
        <v>0</v>
      </c>
      <c r="M502" s="18">
        <f>IF(Imóveis!$F$6="PRICE",IF(AND(Dados!$A502&gt;=Imóveis!$Q$6,Dados!$A502&lt;=Imóveis!$T$6),Imóveis!$U$6,0),IF((IF(AND(Dados!$A502&gt;=Imóveis!$Q$6,Dados!$A502&lt;=Imóveis!$T$6),Imóveis!$S$6-(DATEDIF(Imóveis!$Q$6,Dados!$A502,"m")),0))=0,0,((Imóveis!$N$6/Imóveis!$S$6)+((Imóveis!$N$6-((Imóveis!$S$6-(IF(AND(Dados!$A502&gt;=Imóveis!$Q$6,Dados!$A502&lt;=Imóveis!$T$6),Imóveis!$S$6-(DATEDIF(Imóveis!$Q$6,Dados!$A502,"m")),)))*(Imóveis!$N$6/Imóveis!$S$6)))*Imóveis!$P$6))))*IF(AND(Imóveis!$E$6&gt;0,Dados!$A502&gt;Imóveis!$E$6),0,1)*Imóveis!$I$6</f>
        <v>0</v>
      </c>
      <c r="N502" s="18">
        <f t="shared" si="61"/>
        <v>37000</v>
      </c>
      <c r="O502" s="18">
        <f>SUMIFS(Receitas!$F:$F,Receitas!$J:$J,"&lt;="&amp;$A502,Receitas!$L:$L,"&gt;="&amp;$A502,Receitas!$C:$C,O$1,Receitas!$M:$M,"Mensal")+SUMIFS(Receitas!$F:$F,Receitas!$J:$J,"&lt;="&amp;$A502,Receitas!$L:$L,"&gt;="&amp;$A502,Receitas!$C:$C,O$1,Receitas!$M:$M,$B502)</f>
        <v>0</v>
      </c>
      <c r="P502" s="18">
        <f>SUMIFS(Receitas!$F:$F,Receitas!$J:$J,"&lt;="&amp;$A502,Receitas!$L:$L,"&gt;="&amp;$A502,Receitas!$C:$C,P$1,Receitas!$M:$M,"Mensal")+SUMIFS(Receitas!$F:$F,Receitas!$J:$J,"&lt;="&amp;$A502,Receitas!$L:$L,"&gt;="&amp;$A502,Receitas!$C:$C,P$1,Receitas!$M:$M,$B502)</f>
        <v>0</v>
      </c>
      <c r="Q502" s="18">
        <f>SUMIFS(Receitas!$F:$F,Receitas!$J:$J,"&lt;="&amp;$A502,Receitas!$L:$L,"&gt;="&amp;$A502,Receitas!$C:$C,Q$1,Receitas!$M:$M,"Mensal")+SUMIFS(Receitas!$F:$F,Receitas!$J:$J,"&lt;="&amp;$A502,Receitas!$L:$L,"&gt;="&amp;$A502,Receitas!$C:$C,Q$1,Receitas!$M:$M,$B502)</f>
        <v>0</v>
      </c>
      <c r="R502" s="18" cm="1">
        <f t="array" ref="R502">(IF(AND(Membros!$F$2="Sim",A502&lt;=MAX(Membros!$E$2:$E$5)),Membros!K$2,IF(AND(A502&gt;=Membros!J$2,A502&lt;=MAX(Membros!$E$2:$E$5)),Membros!K$2,0))+IF(AND(Membros!$F$3="Sim",A502&lt;=MAX(Membros!$E$2:$E$5)),Membros!K$3,IF(AND(A502&gt;=Membros!J$3,A502&lt;=MAX(Membros!$E$2:$E$5)),Membros!K$3,0)))*IF(AND(COUNTIFS(Tabela3[Tipo],"Provedor",Tabela3[Simulação Seguro],"Sim")=2,A502&gt;=MAX(IF(Tabela3[Tipo]="Dependente",Tabela3[Expectativa de Vida (Data)]))),0,1)</f>
        <v>10000</v>
      </c>
      <c r="S502" s="18">
        <f t="shared" si="62"/>
        <v>10000</v>
      </c>
      <c r="U502" s="18">
        <f t="shared" ca="1" si="65"/>
        <v>31830601.915819388</v>
      </c>
      <c r="V502" s="18">
        <f>SUMIF(Imóveis!E:E,Dados!A:A,Imóveis!Z:Z)-SUMIF(Imóveis!E:E,Dados!A:A,Imóveis!Y:Y)</f>
        <v>0</v>
      </c>
      <c r="W502" s="18">
        <f>-SUMIF(Projetos!N:N,A502,Projetos!F:F)</f>
        <v>0</v>
      </c>
      <c r="X502" s="18">
        <f t="shared" si="59"/>
        <v>-27000</v>
      </c>
      <c r="Y502" s="26">
        <f ca="1">(U502*((Indicadores_Economicos!D$2+1)^(1/12)-1))</f>
        <v>104205.10778315492</v>
      </c>
      <c r="Z502" s="18">
        <f t="shared" ca="1" si="63"/>
        <v>31907807.023602542</v>
      </c>
      <c r="AA502" s="18">
        <f ca="1">Auxiliar_Projetos!E502</f>
        <v>2.0040940207746906E-9</v>
      </c>
      <c r="AB502" s="18">
        <f ca="1">Auxiliar_Projetos!K502</f>
        <v>1.5416107852112993E-9</v>
      </c>
      <c r="AC502" s="18">
        <f ca="1">IF(Z502-AA502-AB502&gt;Investimentos!$C$14,Investimentos!$C$14,IF(Z502-AA502-AB502&lt;Investimentos!$C$14,Z502-AA502-AB502,0))</f>
        <v>300000</v>
      </c>
      <c r="AD502" s="18">
        <f t="shared" ca="1" si="64"/>
        <v>31607807.023602538</v>
      </c>
      <c r="AE502" s="18"/>
    </row>
    <row r="503" spans="1:31" x14ac:dyDescent="0.2">
      <c r="A503" s="4">
        <v>60906</v>
      </c>
      <c r="B503" s="5" t="str">
        <f t="shared" si="60"/>
        <v>outubro</v>
      </c>
      <c r="C503" s="5" t="str">
        <f t="shared" si="66"/>
        <v>2066</v>
      </c>
      <c r="D503" s="5">
        <f>SUMIFS(Despesas!$F:$F,Despesas!$J:$J,"&lt;="&amp;$A503,Despesas!$L:$L,"&gt;="&amp;$A503,Despesas!$C:$C,D$1,Despesas!$M:$M,"Mensal")+SUMIFS(Despesas!$F:$F,Despesas!$J:$J,"&lt;="&amp;$A503,Despesas!$L:$L,"&gt;="&amp;$A503,Despesas!$C:$C,D$1,Despesas!$M:$M,$B503)</f>
        <v>23000</v>
      </c>
      <c r="E503" s="18">
        <f>SUMIFS(Despesas!$F:$F,Despesas!$J:$J,"&lt;="&amp;$A503,Despesas!$L:$L,"&gt;="&amp;$A503,Despesas!$C:$C,E$1,Despesas!$M:$M,"Mensal")+SUMIFS(Despesas!$F:$F,Despesas!$J:$J,"&lt;="&amp;$A503,Despesas!$L:$L,"&gt;="&amp;$A503,Despesas!$C:$C,E$1,Despesas!$M:$M,$B503)</f>
        <v>0</v>
      </c>
      <c r="F503" s="5">
        <f>SUMIFS(Despesas!$F:$F,Despesas!$J:$J,"&lt;="&amp;$A503,Despesas!$L:$L,"&gt;="&amp;$A503,Despesas!$C:$C,F$1,Despesas!$M:$M,"Mensal")+SUMIFS(Despesas!$F:$F,Despesas!$J:$J,"&lt;="&amp;$A503,Despesas!$L:$L,"&gt;="&amp;$A503,Despesas!$C:$C,F$1,Despesas!$M:$M,$B503)</f>
        <v>13000</v>
      </c>
      <c r="G503" s="5">
        <f>SUMIFS(Despesas!$F:$F,Despesas!$J:$J,"&lt;="&amp;$A503,Despesas!$L:$L,"&gt;="&amp;$A503,Despesas!$C:$C,G$1,Despesas!$M:$M,"Mensal")+SUMIFS(Despesas!$F:$F,Despesas!$J:$J,"&lt;="&amp;$A503,Despesas!$L:$L,"&gt;="&amp;$A503,Despesas!$C:$C,G$1,Despesas!$M:$M,$B503)</f>
        <v>0</v>
      </c>
      <c r="H503" s="18">
        <f>SUMIFS(Despesas!$F:$F,Despesas!$J:$J,"&lt;="&amp;$A503,Despesas!$L:$L,"&gt;="&amp;$A503,Despesas!$C:$C,H$1,Despesas!$M:$M,"Mensal")+SUMIFS(Despesas!$F:$F,Despesas!$J:$J,"&lt;="&amp;$A503,Despesas!$L:$L,"&gt;="&amp;$A503,Despesas!$C:$C,H$1,Despesas!$M:$M,$B503)</f>
        <v>1000</v>
      </c>
      <c r="I503" s="18">
        <f>IF(Imóveis!$F$2="PRICE",IF(AND(Dados!$A503&gt;=Imóveis!$Q$2,Dados!$A503&lt;=Imóveis!$T$2),Imóveis!$U$2,0),IF((IF(AND(Dados!$A503&gt;=Imóveis!$Q$2,Dados!$A503&lt;=Imóveis!$T$2),Imóveis!$S$2-(DATEDIF(Imóveis!$Q$2,Dados!$A503,"m")),0))=0,0,((Imóveis!$N$2/Imóveis!$S$2)+((Imóveis!$N$2-((Imóveis!$S$2-(IF(AND(Dados!$A503&gt;=Imóveis!$Q$2,Dados!$A503&lt;=Imóveis!$T$2),Imóveis!$S$2-(DATEDIF(Imóveis!$Q$2,Dados!$A503,"m")),)))*(Imóveis!$N$2/Imóveis!$S$2)))*Imóveis!$P$2))))*IF(AND(Imóveis!$E$2&gt;0,Dados!$A503&gt;Imóveis!$E$2),0,1)</f>
        <v>0</v>
      </c>
      <c r="J503" s="18">
        <f>IF(Imóveis!$F$3="PRICE",IF(AND(Dados!$A503&gt;=Imóveis!$Q$3,Dados!$A503&lt;=Imóveis!$T$3),Imóveis!$U$3,0),IF((IF(AND(Dados!$A503&gt;=Imóveis!$Q$3,Dados!$A503&lt;=Imóveis!$T$3),Imóveis!$S$3-(DATEDIF(Imóveis!$Q$3,Dados!$A503,"m")),0))=0,0,((Imóveis!$N$3/Imóveis!$S$3)+((Imóveis!$N$3-((Imóveis!$S$3-(IF(AND(Dados!$A503&gt;=Imóveis!$Q$3,Dados!$A503&lt;=Imóveis!$T$3),Imóveis!$S$3-(DATEDIF(Imóveis!$Q$3,Dados!$A503,"m")),)))*(Imóveis!$N$3/Imóveis!$S$3)))*Imóveis!$P$3))))*IF(AND(Imóveis!$E$3&gt;0,Dados!$A503&gt;Imóveis!$E$3),0,1)</f>
        <v>0</v>
      </c>
      <c r="K503" s="18">
        <f>IF(Imóveis!$F$4="PRICE",IF(AND(Dados!$A503&gt;=Imóveis!$Q$4,Dados!$A503&lt;=Imóveis!$T$4),Imóveis!$U$4,0),IF((IF(AND(Dados!$A503&gt;=Imóveis!$Q$4,Dados!$A503&lt;=Imóveis!$T$4),Imóveis!$S$4-(DATEDIF(Imóveis!$Q$4,Dados!$A503,"m")),0))=0,0,((Imóveis!$N$4/Imóveis!$S$4)+((Imóveis!$N$4-((Imóveis!$S$4-(IF(AND(Dados!$A503&gt;=Imóveis!$Q$4,Dados!$A503&lt;=Imóveis!$T$4),Imóveis!$S$4-(DATEDIF(Imóveis!$Q$4,Dados!$A503,"m")),)))*(Imóveis!$N$4/Imóveis!$S$4)))*Imóveis!$P$4))))*IF(AND(Imóveis!$E$4&gt;0,Dados!$A503&gt;Imóveis!$E$4),0,1)</f>
        <v>0</v>
      </c>
      <c r="L503" s="18">
        <f>IF(Imóveis!$F$5="PRICE",IF(AND(Dados!$A503&gt;=Imóveis!$Q$5,Dados!$A503&lt;=Imóveis!$T$5),Imóveis!$U$5,0),IF((IF(AND(Dados!$A503&gt;=Imóveis!$Q$5,Dados!$A503&lt;=Imóveis!$T$5),Imóveis!$S$5-(DATEDIF(Imóveis!$Q$5,Dados!$A503,"m")),0))=0,0,((Imóveis!$N$5/Imóveis!$S$5)+((Imóveis!$N$5-((Imóveis!$S$5-(IF(AND(Dados!$A503 &gt;=Imóveis!$Q$5,Dados!$A503&lt;=Imóveis!$T$5),Imóveis!$S$5-(DATEDIF(Imóveis!$Q$5,Dados!$A503,"m")),)))*(Imóveis!$N$5/Imóveis!$S$5)))*Imóveis!$P$5))))*IF(AND(Imóveis!$E$5&gt;0,Dados!$A503&gt;Imóveis!$E$5),0,1)*Imóveis!$I$5</f>
        <v>0</v>
      </c>
      <c r="M503" s="18">
        <f>IF(Imóveis!$F$6="PRICE",IF(AND(Dados!$A503&gt;=Imóveis!$Q$6,Dados!$A503&lt;=Imóveis!$T$6),Imóveis!$U$6,0),IF((IF(AND(Dados!$A503&gt;=Imóveis!$Q$6,Dados!$A503&lt;=Imóveis!$T$6),Imóveis!$S$6-(DATEDIF(Imóveis!$Q$6,Dados!$A503,"m")),0))=0,0,((Imóveis!$N$6/Imóveis!$S$6)+((Imóveis!$N$6-((Imóveis!$S$6-(IF(AND(Dados!$A503&gt;=Imóveis!$Q$6,Dados!$A503&lt;=Imóveis!$T$6),Imóveis!$S$6-(DATEDIF(Imóveis!$Q$6,Dados!$A503,"m")),)))*(Imóveis!$N$6/Imóveis!$S$6)))*Imóveis!$P$6))))*IF(AND(Imóveis!$E$6&gt;0,Dados!$A503&gt;Imóveis!$E$6),0,1)*Imóveis!$I$6</f>
        <v>0</v>
      </c>
      <c r="N503" s="18">
        <f t="shared" si="61"/>
        <v>37000</v>
      </c>
      <c r="O503" s="18">
        <f>SUMIFS(Receitas!$F:$F,Receitas!$J:$J,"&lt;="&amp;$A503,Receitas!$L:$L,"&gt;="&amp;$A503,Receitas!$C:$C,O$1,Receitas!$M:$M,"Mensal")+SUMIFS(Receitas!$F:$F,Receitas!$J:$J,"&lt;="&amp;$A503,Receitas!$L:$L,"&gt;="&amp;$A503,Receitas!$C:$C,O$1,Receitas!$M:$M,$B503)</f>
        <v>0</v>
      </c>
      <c r="P503" s="18">
        <f>SUMIFS(Receitas!$F:$F,Receitas!$J:$J,"&lt;="&amp;$A503,Receitas!$L:$L,"&gt;="&amp;$A503,Receitas!$C:$C,P$1,Receitas!$M:$M,"Mensal")+SUMIFS(Receitas!$F:$F,Receitas!$J:$J,"&lt;="&amp;$A503,Receitas!$L:$L,"&gt;="&amp;$A503,Receitas!$C:$C,P$1,Receitas!$M:$M,$B503)</f>
        <v>0</v>
      </c>
      <c r="Q503" s="18">
        <f>SUMIFS(Receitas!$F:$F,Receitas!$J:$J,"&lt;="&amp;$A503,Receitas!$L:$L,"&gt;="&amp;$A503,Receitas!$C:$C,Q$1,Receitas!$M:$M,"Mensal")+SUMIFS(Receitas!$F:$F,Receitas!$J:$J,"&lt;="&amp;$A503,Receitas!$L:$L,"&gt;="&amp;$A503,Receitas!$C:$C,Q$1,Receitas!$M:$M,$B503)</f>
        <v>0</v>
      </c>
      <c r="R503" s="18" cm="1">
        <f t="array" ref="R503">(IF(AND(Membros!$F$2="Sim",A503&lt;=MAX(Membros!$E$2:$E$5)),Membros!K$2,IF(AND(A503&gt;=Membros!J$2,A503&lt;=MAX(Membros!$E$2:$E$5)),Membros!K$2,0))+IF(AND(Membros!$F$3="Sim",A503&lt;=MAX(Membros!$E$2:$E$5)),Membros!K$3,IF(AND(A503&gt;=Membros!J$3,A503&lt;=MAX(Membros!$E$2:$E$5)),Membros!K$3,0)))*IF(AND(COUNTIFS(Tabela3[Tipo],"Provedor",Tabela3[Simulação Seguro],"Sim")=2,A503&gt;=MAX(IF(Tabela3[Tipo]="Dependente",Tabela3[Expectativa de Vida (Data)]))),0,1)</f>
        <v>10000</v>
      </c>
      <c r="S503" s="18">
        <f t="shared" si="62"/>
        <v>10000</v>
      </c>
      <c r="U503" s="18">
        <f t="shared" ca="1" si="65"/>
        <v>31907807.023602542</v>
      </c>
      <c r="V503" s="18">
        <f>SUMIF(Imóveis!E:E,Dados!A:A,Imóveis!Z:Z)-SUMIF(Imóveis!E:E,Dados!A:A,Imóveis!Y:Y)</f>
        <v>0</v>
      </c>
      <c r="W503" s="18">
        <f>-SUMIF(Projetos!N:N,A503,Projetos!F:F)</f>
        <v>0</v>
      </c>
      <c r="X503" s="18">
        <f t="shared" si="59"/>
        <v>-27000</v>
      </c>
      <c r="Y503" s="26">
        <f ca="1">(U503*((Indicadores_Economicos!D$2+1)^(1/12)-1))</f>
        <v>104457.85721589357</v>
      </c>
      <c r="Z503" s="18">
        <f t="shared" ca="1" si="63"/>
        <v>31985264.880818434</v>
      </c>
      <c r="AA503" s="18">
        <f ca="1">Auxiliar_Projetos!E503</f>
        <v>2.0106549030977676E-9</v>
      </c>
      <c r="AB503" s="18">
        <f ca="1">Auxiliar_Projetos!K503</f>
        <v>1.5466576177675124E-9</v>
      </c>
      <c r="AC503" s="18">
        <f ca="1">IF(Z503-AA503-AB503&gt;Investimentos!$C$14,Investimentos!$C$14,IF(Z503-AA503-AB503&lt;Investimentos!$C$14,Z503-AA503-AB503,0))</f>
        <v>300000</v>
      </c>
      <c r="AD503" s="18">
        <f t="shared" ca="1" si="64"/>
        <v>31685264.88081843</v>
      </c>
      <c r="AE503" s="18"/>
    </row>
    <row r="504" spans="1:31" x14ac:dyDescent="0.2">
      <c r="A504" s="4">
        <v>60937</v>
      </c>
      <c r="B504" s="5" t="str">
        <f t="shared" si="60"/>
        <v>novembro</v>
      </c>
      <c r="C504" s="5" t="str">
        <f t="shared" si="66"/>
        <v>2066</v>
      </c>
      <c r="D504" s="5">
        <f>SUMIFS(Despesas!$F:$F,Despesas!$J:$J,"&lt;="&amp;$A504,Despesas!$L:$L,"&gt;="&amp;$A504,Despesas!$C:$C,D$1,Despesas!$M:$M,"Mensal")+SUMIFS(Despesas!$F:$F,Despesas!$J:$J,"&lt;="&amp;$A504,Despesas!$L:$L,"&gt;="&amp;$A504,Despesas!$C:$C,D$1,Despesas!$M:$M,$B504)</f>
        <v>23000</v>
      </c>
      <c r="E504" s="18">
        <f>SUMIFS(Despesas!$F:$F,Despesas!$J:$J,"&lt;="&amp;$A504,Despesas!$L:$L,"&gt;="&amp;$A504,Despesas!$C:$C,E$1,Despesas!$M:$M,"Mensal")+SUMIFS(Despesas!$F:$F,Despesas!$J:$J,"&lt;="&amp;$A504,Despesas!$L:$L,"&gt;="&amp;$A504,Despesas!$C:$C,E$1,Despesas!$M:$M,$B504)</f>
        <v>0</v>
      </c>
      <c r="F504" s="5">
        <f>SUMIFS(Despesas!$F:$F,Despesas!$J:$J,"&lt;="&amp;$A504,Despesas!$L:$L,"&gt;="&amp;$A504,Despesas!$C:$C,F$1,Despesas!$M:$M,"Mensal")+SUMIFS(Despesas!$F:$F,Despesas!$J:$J,"&lt;="&amp;$A504,Despesas!$L:$L,"&gt;="&amp;$A504,Despesas!$C:$C,F$1,Despesas!$M:$M,$B504)</f>
        <v>13000</v>
      </c>
      <c r="G504" s="5">
        <f>SUMIFS(Despesas!$F:$F,Despesas!$J:$J,"&lt;="&amp;$A504,Despesas!$L:$L,"&gt;="&amp;$A504,Despesas!$C:$C,G$1,Despesas!$M:$M,"Mensal")+SUMIFS(Despesas!$F:$F,Despesas!$J:$J,"&lt;="&amp;$A504,Despesas!$L:$L,"&gt;="&amp;$A504,Despesas!$C:$C,G$1,Despesas!$M:$M,$B504)</f>
        <v>0</v>
      </c>
      <c r="H504" s="18">
        <f>SUMIFS(Despesas!$F:$F,Despesas!$J:$J,"&lt;="&amp;$A504,Despesas!$L:$L,"&gt;="&amp;$A504,Despesas!$C:$C,H$1,Despesas!$M:$M,"Mensal")+SUMIFS(Despesas!$F:$F,Despesas!$J:$J,"&lt;="&amp;$A504,Despesas!$L:$L,"&gt;="&amp;$A504,Despesas!$C:$C,H$1,Despesas!$M:$M,$B504)</f>
        <v>1000</v>
      </c>
      <c r="I504" s="18">
        <f>IF(Imóveis!$F$2="PRICE",IF(AND(Dados!$A504&gt;=Imóveis!$Q$2,Dados!$A504&lt;=Imóveis!$T$2),Imóveis!$U$2,0),IF((IF(AND(Dados!$A504&gt;=Imóveis!$Q$2,Dados!$A504&lt;=Imóveis!$T$2),Imóveis!$S$2-(DATEDIF(Imóveis!$Q$2,Dados!$A504,"m")),0))=0,0,((Imóveis!$N$2/Imóveis!$S$2)+((Imóveis!$N$2-((Imóveis!$S$2-(IF(AND(Dados!$A504&gt;=Imóveis!$Q$2,Dados!$A504&lt;=Imóveis!$T$2),Imóveis!$S$2-(DATEDIF(Imóveis!$Q$2,Dados!$A504,"m")),)))*(Imóveis!$N$2/Imóveis!$S$2)))*Imóveis!$P$2))))*IF(AND(Imóveis!$E$2&gt;0,Dados!$A504&gt;Imóveis!$E$2),0,1)</f>
        <v>0</v>
      </c>
      <c r="J504" s="18">
        <f>IF(Imóveis!$F$3="PRICE",IF(AND(Dados!$A504&gt;=Imóveis!$Q$3,Dados!$A504&lt;=Imóveis!$T$3),Imóveis!$U$3,0),IF((IF(AND(Dados!$A504&gt;=Imóveis!$Q$3,Dados!$A504&lt;=Imóveis!$T$3),Imóveis!$S$3-(DATEDIF(Imóveis!$Q$3,Dados!$A504,"m")),0))=0,0,((Imóveis!$N$3/Imóveis!$S$3)+((Imóveis!$N$3-((Imóveis!$S$3-(IF(AND(Dados!$A504&gt;=Imóveis!$Q$3,Dados!$A504&lt;=Imóveis!$T$3),Imóveis!$S$3-(DATEDIF(Imóveis!$Q$3,Dados!$A504,"m")),)))*(Imóveis!$N$3/Imóveis!$S$3)))*Imóveis!$P$3))))*IF(AND(Imóveis!$E$3&gt;0,Dados!$A504&gt;Imóveis!$E$3),0,1)</f>
        <v>0</v>
      </c>
      <c r="K504" s="18">
        <f>IF(Imóveis!$F$4="PRICE",IF(AND(Dados!$A504&gt;=Imóveis!$Q$4,Dados!$A504&lt;=Imóveis!$T$4),Imóveis!$U$4,0),IF((IF(AND(Dados!$A504&gt;=Imóveis!$Q$4,Dados!$A504&lt;=Imóveis!$T$4),Imóveis!$S$4-(DATEDIF(Imóveis!$Q$4,Dados!$A504,"m")),0))=0,0,((Imóveis!$N$4/Imóveis!$S$4)+((Imóveis!$N$4-((Imóveis!$S$4-(IF(AND(Dados!$A504&gt;=Imóveis!$Q$4,Dados!$A504&lt;=Imóveis!$T$4),Imóveis!$S$4-(DATEDIF(Imóveis!$Q$4,Dados!$A504,"m")),)))*(Imóveis!$N$4/Imóveis!$S$4)))*Imóveis!$P$4))))*IF(AND(Imóveis!$E$4&gt;0,Dados!$A504&gt;Imóveis!$E$4),0,1)</f>
        <v>0</v>
      </c>
      <c r="L504" s="18">
        <f>IF(Imóveis!$F$5="PRICE",IF(AND(Dados!$A504&gt;=Imóveis!$Q$5,Dados!$A504&lt;=Imóveis!$T$5),Imóveis!$U$5,0),IF((IF(AND(Dados!$A504&gt;=Imóveis!$Q$5,Dados!$A504&lt;=Imóveis!$T$5),Imóveis!$S$5-(DATEDIF(Imóveis!$Q$5,Dados!$A504,"m")),0))=0,0,((Imóveis!$N$5/Imóveis!$S$5)+((Imóveis!$N$5-((Imóveis!$S$5-(IF(AND(Dados!$A504 &gt;=Imóveis!$Q$5,Dados!$A504&lt;=Imóveis!$T$5),Imóveis!$S$5-(DATEDIF(Imóveis!$Q$5,Dados!$A504,"m")),)))*(Imóveis!$N$5/Imóveis!$S$5)))*Imóveis!$P$5))))*IF(AND(Imóveis!$E$5&gt;0,Dados!$A504&gt;Imóveis!$E$5),0,1)*Imóveis!$I$5</f>
        <v>0</v>
      </c>
      <c r="M504" s="18">
        <f>IF(Imóveis!$F$6="PRICE",IF(AND(Dados!$A504&gt;=Imóveis!$Q$6,Dados!$A504&lt;=Imóveis!$T$6),Imóveis!$U$6,0),IF((IF(AND(Dados!$A504&gt;=Imóveis!$Q$6,Dados!$A504&lt;=Imóveis!$T$6),Imóveis!$S$6-(DATEDIF(Imóveis!$Q$6,Dados!$A504,"m")),0))=0,0,((Imóveis!$N$6/Imóveis!$S$6)+((Imóveis!$N$6-((Imóveis!$S$6-(IF(AND(Dados!$A504&gt;=Imóveis!$Q$6,Dados!$A504&lt;=Imóveis!$T$6),Imóveis!$S$6-(DATEDIF(Imóveis!$Q$6,Dados!$A504,"m")),)))*(Imóveis!$N$6/Imóveis!$S$6)))*Imóveis!$P$6))))*IF(AND(Imóveis!$E$6&gt;0,Dados!$A504&gt;Imóveis!$E$6),0,1)*Imóveis!$I$6</f>
        <v>0</v>
      </c>
      <c r="N504" s="18">
        <f t="shared" si="61"/>
        <v>37000</v>
      </c>
      <c r="O504" s="18">
        <f>SUMIFS(Receitas!$F:$F,Receitas!$J:$J,"&lt;="&amp;$A504,Receitas!$L:$L,"&gt;="&amp;$A504,Receitas!$C:$C,O$1,Receitas!$M:$M,"Mensal")+SUMIFS(Receitas!$F:$F,Receitas!$J:$J,"&lt;="&amp;$A504,Receitas!$L:$L,"&gt;="&amp;$A504,Receitas!$C:$C,O$1,Receitas!$M:$M,$B504)</f>
        <v>0</v>
      </c>
      <c r="P504" s="18">
        <f>SUMIFS(Receitas!$F:$F,Receitas!$J:$J,"&lt;="&amp;$A504,Receitas!$L:$L,"&gt;="&amp;$A504,Receitas!$C:$C,P$1,Receitas!$M:$M,"Mensal")+SUMIFS(Receitas!$F:$F,Receitas!$J:$J,"&lt;="&amp;$A504,Receitas!$L:$L,"&gt;="&amp;$A504,Receitas!$C:$C,P$1,Receitas!$M:$M,$B504)</f>
        <v>0</v>
      </c>
      <c r="Q504" s="18">
        <f>SUMIFS(Receitas!$F:$F,Receitas!$J:$J,"&lt;="&amp;$A504,Receitas!$L:$L,"&gt;="&amp;$A504,Receitas!$C:$C,Q$1,Receitas!$M:$M,"Mensal")+SUMIFS(Receitas!$F:$F,Receitas!$J:$J,"&lt;="&amp;$A504,Receitas!$L:$L,"&gt;="&amp;$A504,Receitas!$C:$C,Q$1,Receitas!$M:$M,$B504)</f>
        <v>0</v>
      </c>
      <c r="R504" s="18" cm="1">
        <f t="array" ref="R504">(IF(AND(Membros!$F$2="Sim",A504&lt;=MAX(Membros!$E$2:$E$5)),Membros!K$2,IF(AND(A504&gt;=Membros!J$2,A504&lt;=MAX(Membros!$E$2:$E$5)),Membros!K$2,0))+IF(AND(Membros!$F$3="Sim",A504&lt;=MAX(Membros!$E$2:$E$5)),Membros!K$3,IF(AND(A504&gt;=Membros!J$3,A504&lt;=MAX(Membros!$E$2:$E$5)),Membros!K$3,0)))*IF(AND(COUNTIFS(Tabela3[Tipo],"Provedor",Tabela3[Simulação Seguro],"Sim")=2,A504&gt;=MAX(IF(Tabela3[Tipo]="Dependente",Tabela3[Expectativa de Vida (Data)]))),0,1)</f>
        <v>10000</v>
      </c>
      <c r="S504" s="18">
        <f t="shared" si="62"/>
        <v>10000</v>
      </c>
      <c r="U504" s="18">
        <f t="shared" ca="1" si="65"/>
        <v>31985264.880818434</v>
      </c>
      <c r="V504" s="18">
        <f>SUMIF(Imóveis!E:E,Dados!A:A,Imóveis!Z:Z)-SUMIF(Imóveis!E:E,Dados!A:A,Imóveis!Y:Y)</f>
        <v>0</v>
      </c>
      <c r="W504" s="18">
        <f>-SUMIF(Projetos!N:N,A504,Projetos!F:F)</f>
        <v>0</v>
      </c>
      <c r="X504" s="18">
        <f t="shared" si="59"/>
        <v>-27000</v>
      </c>
      <c r="Y504" s="26">
        <f ca="1">(U504*((Indicadores_Economicos!D$2+1)^(1/12)-1))</f>
        <v>104711.43408450513</v>
      </c>
      <c r="Z504" s="18">
        <f t="shared" ca="1" si="63"/>
        <v>32062976.314902939</v>
      </c>
      <c r="AA504" s="18">
        <f ca="1">Auxiliar_Projetos!E504</f>
        <v>2.0172372640423119E-9</v>
      </c>
      <c r="AB504" s="18">
        <f ca="1">Auxiliar_Projetos!K504</f>
        <v>1.5517209723402388E-9</v>
      </c>
      <c r="AC504" s="18">
        <f ca="1">IF(Z504-AA504-AB504&gt;Investimentos!$C$14,Investimentos!$C$14,IF(Z504-AA504-AB504&lt;Investimentos!$C$14,Z504-AA504-AB504,0))</f>
        <v>300000</v>
      </c>
      <c r="AD504" s="18">
        <f t="shared" ca="1" si="64"/>
        <v>31762976.314902935</v>
      </c>
      <c r="AE504" s="18"/>
    </row>
    <row r="505" spans="1:31" x14ac:dyDescent="0.2">
      <c r="A505" s="4">
        <v>60967</v>
      </c>
      <c r="B505" s="5" t="str">
        <f t="shared" si="60"/>
        <v>dezembro</v>
      </c>
      <c r="C505" s="5" t="str">
        <f t="shared" si="66"/>
        <v>2066</v>
      </c>
      <c r="D505" s="5">
        <f>SUMIFS(Despesas!$F:$F,Despesas!$J:$J,"&lt;="&amp;$A505,Despesas!$L:$L,"&gt;="&amp;$A505,Despesas!$C:$C,D$1,Despesas!$M:$M,"Mensal")+SUMIFS(Despesas!$F:$F,Despesas!$J:$J,"&lt;="&amp;$A505,Despesas!$L:$L,"&gt;="&amp;$A505,Despesas!$C:$C,D$1,Despesas!$M:$M,$B505)</f>
        <v>23000</v>
      </c>
      <c r="E505" s="18">
        <f>SUMIFS(Despesas!$F:$F,Despesas!$J:$J,"&lt;="&amp;$A505,Despesas!$L:$L,"&gt;="&amp;$A505,Despesas!$C:$C,E$1,Despesas!$M:$M,"Mensal")+SUMIFS(Despesas!$F:$F,Despesas!$J:$J,"&lt;="&amp;$A505,Despesas!$L:$L,"&gt;="&amp;$A505,Despesas!$C:$C,E$1,Despesas!$M:$M,$B505)</f>
        <v>0</v>
      </c>
      <c r="F505" s="5">
        <f>SUMIFS(Despesas!$F:$F,Despesas!$J:$J,"&lt;="&amp;$A505,Despesas!$L:$L,"&gt;="&amp;$A505,Despesas!$C:$C,F$1,Despesas!$M:$M,"Mensal")+SUMIFS(Despesas!$F:$F,Despesas!$J:$J,"&lt;="&amp;$A505,Despesas!$L:$L,"&gt;="&amp;$A505,Despesas!$C:$C,F$1,Despesas!$M:$M,$B505)</f>
        <v>13000</v>
      </c>
      <c r="G505" s="5">
        <f ca="1">SUMIFS(Despesas!$F:$F,Despesas!$J:$J,"&lt;="&amp;$A505,Despesas!$L:$L,"&gt;="&amp;$A505,Despesas!$C:$C,G$1,Despesas!$M:$M,"Mensal")+SUMIFS(Despesas!$F:$F,Despesas!$J:$J,"&lt;="&amp;$A505,Despesas!$L:$L,"&gt;="&amp;$A505,Despesas!$C:$C,G$1,Despesas!$M:$M,$B505)</f>
        <v>55757</v>
      </c>
      <c r="H505" s="18">
        <f>SUMIFS(Despesas!$F:$F,Despesas!$J:$J,"&lt;="&amp;$A505,Despesas!$L:$L,"&gt;="&amp;$A505,Despesas!$C:$C,H$1,Despesas!$M:$M,"Mensal")+SUMIFS(Despesas!$F:$F,Despesas!$J:$J,"&lt;="&amp;$A505,Despesas!$L:$L,"&gt;="&amp;$A505,Despesas!$C:$C,H$1,Despesas!$M:$M,$B505)</f>
        <v>1000</v>
      </c>
      <c r="I505" s="18">
        <f>IF(Imóveis!$F$2="PRICE",IF(AND(Dados!$A505&gt;=Imóveis!$Q$2,Dados!$A505&lt;=Imóveis!$T$2),Imóveis!$U$2,0),IF((IF(AND(Dados!$A505&gt;=Imóveis!$Q$2,Dados!$A505&lt;=Imóveis!$T$2),Imóveis!$S$2-(DATEDIF(Imóveis!$Q$2,Dados!$A505,"m")),0))=0,0,((Imóveis!$N$2/Imóveis!$S$2)+((Imóveis!$N$2-((Imóveis!$S$2-(IF(AND(Dados!$A505&gt;=Imóveis!$Q$2,Dados!$A505&lt;=Imóveis!$T$2),Imóveis!$S$2-(DATEDIF(Imóveis!$Q$2,Dados!$A505,"m")),)))*(Imóveis!$N$2/Imóveis!$S$2)))*Imóveis!$P$2))))*IF(AND(Imóveis!$E$2&gt;0,Dados!$A505&gt;Imóveis!$E$2),0,1)</f>
        <v>0</v>
      </c>
      <c r="J505" s="18">
        <f>IF(Imóveis!$F$3="PRICE",IF(AND(Dados!$A505&gt;=Imóveis!$Q$3,Dados!$A505&lt;=Imóveis!$T$3),Imóveis!$U$3,0),IF((IF(AND(Dados!$A505&gt;=Imóveis!$Q$3,Dados!$A505&lt;=Imóveis!$T$3),Imóveis!$S$3-(DATEDIF(Imóveis!$Q$3,Dados!$A505,"m")),0))=0,0,((Imóveis!$N$3/Imóveis!$S$3)+((Imóveis!$N$3-((Imóveis!$S$3-(IF(AND(Dados!$A505&gt;=Imóveis!$Q$3,Dados!$A505&lt;=Imóveis!$T$3),Imóveis!$S$3-(DATEDIF(Imóveis!$Q$3,Dados!$A505,"m")),)))*(Imóveis!$N$3/Imóveis!$S$3)))*Imóveis!$P$3))))*IF(AND(Imóveis!$E$3&gt;0,Dados!$A505&gt;Imóveis!$E$3),0,1)</f>
        <v>0</v>
      </c>
      <c r="K505" s="18">
        <f>IF(Imóveis!$F$4="PRICE",IF(AND(Dados!$A505&gt;=Imóveis!$Q$4,Dados!$A505&lt;=Imóveis!$T$4),Imóveis!$U$4,0),IF((IF(AND(Dados!$A505&gt;=Imóveis!$Q$4,Dados!$A505&lt;=Imóveis!$T$4),Imóveis!$S$4-(DATEDIF(Imóveis!$Q$4,Dados!$A505,"m")),0))=0,0,((Imóveis!$N$4/Imóveis!$S$4)+((Imóveis!$N$4-((Imóveis!$S$4-(IF(AND(Dados!$A505&gt;=Imóveis!$Q$4,Dados!$A505&lt;=Imóveis!$T$4),Imóveis!$S$4-(DATEDIF(Imóveis!$Q$4,Dados!$A505,"m")),)))*(Imóveis!$N$4/Imóveis!$S$4)))*Imóveis!$P$4))))*IF(AND(Imóveis!$E$4&gt;0,Dados!$A505&gt;Imóveis!$E$4),0,1)</f>
        <v>0</v>
      </c>
      <c r="L505" s="18">
        <f>IF(Imóveis!$F$5="PRICE",IF(AND(Dados!$A505&gt;=Imóveis!$Q$5,Dados!$A505&lt;=Imóveis!$T$5),Imóveis!$U$5,0),IF((IF(AND(Dados!$A505&gt;=Imóveis!$Q$5,Dados!$A505&lt;=Imóveis!$T$5),Imóveis!$S$5-(DATEDIF(Imóveis!$Q$5,Dados!$A505,"m")),0))=0,0,((Imóveis!$N$5/Imóveis!$S$5)+((Imóveis!$N$5-((Imóveis!$S$5-(IF(AND(Dados!$A505 &gt;=Imóveis!$Q$5,Dados!$A505&lt;=Imóveis!$T$5),Imóveis!$S$5-(DATEDIF(Imóveis!$Q$5,Dados!$A505,"m")),)))*(Imóveis!$N$5/Imóveis!$S$5)))*Imóveis!$P$5))))*IF(AND(Imóveis!$E$5&gt;0,Dados!$A505&gt;Imóveis!$E$5),0,1)*Imóveis!$I$5</f>
        <v>0</v>
      </c>
      <c r="M505" s="18">
        <f>IF(Imóveis!$F$6="PRICE",IF(AND(Dados!$A505&gt;=Imóveis!$Q$6,Dados!$A505&lt;=Imóveis!$T$6),Imóveis!$U$6,0),IF((IF(AND(Dados!$A505&gt;=Imóveis!$Q$6,Dados!$A505&lt;=Imóveis!$T$6),Imóveis!$S$6-(DATEDIF(Imóveis!$Q$6,Dados!$A505,"m")),0))=0,0,((Imóveis!$N$6/Imóveis!$S$6)+((Imóveis!$N$6-((Imóveis!$S$6-(IF(AND(Dados!$A505&gt;=Imóveis!$Q$6,Dados!$A505&lt;=Imóveis!$T$6),Imóveis!$S$6-(DATEDIF(Imóveis!$Q$6,Dados!$A505,"m")),)))*(Imóveis!$N$6/Imóveis!$S$6)))*Imóveis!$P$6))))*IF(AND(Imóveis!$E$6&gt;0,Dados!$A505&gt;Imóveis!$E$6),0,1)*Imóveis!$I$6</f>
        <v>0</v>
      </c>
      <c r="N505" s="18">
        <f t="shared" ca="1" si="61"/>
        <v>92757</v>
      </c>
      <c r="O505" s="18">
        <f>SUMIFS(Receitas!$F:$F,Receitas!$J:$J,"&lt;="&amp;$A505,Receitas!$L:$L,"&gt;="&amp;$A505,Receitas!$C:$C,O$1,Receitas!$M:$M,"Mensal")+SUMIFS(Receitas!$F:$F,Receitas!$J:$J,"&lt;="&amp;$A505,Receitas!$L:$L,"&gt;="&amp;$A505,Receitas!$C:$C,O$1,Receitas!$M:$M,$B505)</f>
        <v>0</v>
      </c>
      <c r="P505" s="18">
        <f>SUMIFS(Receitas!$F:$F,Receitas!$J:$J,"&lt;="&amp;$A505,Receitas!$L:$L,"&gt;="&amp;$A505,Receitas!$C:$C,P$1,Receitas!$M:$M,"Mensal")+SUMIFS(Receitas!$F:$F,Receitas!$J:$J,"&lt;="&amp;$A505,Receitas!$L:$L,"&gt;="&amp;$A505,Receitas!$C:$C,P$1,Receitas!$M:$M,$B505)</f>
        <v>0</v>
      </c>
      <c r="Q505" s="18">
        <f>SUMIFS(Receitas!$F:$F,Receitas!$J:$J,"&lt;="&amp;$A505,Receitas!$L:$L,"&gt;="&amp;$A505,Receitas!$C:$C,Q$1,Receitas!$M:$M,"Mensal")+SUMIFS(Receitas!$F:$F,Receitas!$J:$J,"&lt;="&amp;$A505,Receitas!$L:$L,"&gt;="&amp;$A505,Receitas!$C:$C,Q$1,Receitas!$M:$M,$B505)</f>
        <v>0</v>
      </c>
      <c r="R505" s="18" cm="1">
        <f t="array" ref="R505">(IF(AND(Membros!$F$2="Sim",A505&lt;=MAX(Membros!$E$2:$E$5)),Membros!K$2,IF(AND(A505&gt;=Membros!J$2,A505&lt;=MAX(Membros!$E$2:$E$5)),Membros!K$2,0))+IF(AND(Membros!$F$3="Sim",A505&lt;=MAX(Membros!$E$2:$E$5)),Membros!K$3,IF(AND(A505&gt;=Membros!J$3,A505&lt;=MAX(Membros!$E$2:$E$5)),Membros!K$3,0)))*IF(AND(COUNTIFS(Tabela3[Tipo],"Provedor",Tabela3[Simulação Seguro],"Sim")=2,A505&gt;=MAX(IF(Tabela3[Tipo]="Dependente",Tabela3[Expectativa de Vida (Data)]))),0,1)</f>
        <v>10000</v>
      </c>
      <c r="S505" s="18">
        <f t="shared" si="62"/>
        <v>10000</v>
      </c>
      <c r="U505" s="18">
        <f t="shared" ca="1" si="65"/>
        <v>32062976.314902939</v>
      </c>
      <c r="V505" s="18">
        <f>SUMIF(Imóveis!E:E,Dados!A:A,Imóveis!Z:Z)-SUMIF(Imóveis!E:E,Dados!A:A,Imóveis!Y:Y)</f>
        <v>0</v>
      </c>
      <c r="W505" s="18">
        <f>-SUMIF(Projetos!N:N,A505,Projetos!F:F)</f>
        <v>0</v>
      </c>
      <c r="X505" s="18">
        <f t="shared" ca="1" si="59"/>
        <v>-82757</v>
      </c>
      <c r="Y505" s="26">
        <f ca="1">(U505*((Indicadores_Economicos!D$2+1)^(1/12)-1))</f>
        <v>104965.8410977993</v>
      </c>
      <c r="Z505" s="18">
        <f t="shared" ca="1" si="63"/>
        <v>32085185.156000737</v>
      </c>
      <c r="AA505" s="18">
        <f ca="1">Auxiliar_Projetos!E505</f>
        <v>2.0238411739237411E-9</v>
      </c>
      <c r="AB505" s="18">
        <f ca="1">Auxiliar_Projetos!K505</f>
        <v>1.5568009030182614E-9</v>
      </c>
      <c r="AC505" s="18">
        <f ca="1">IF(Z505-AA505-AB505&gt;Investimentos!$C$14,Investimentos!$C$14,IF(Z505-AA505-AB505&lt;Investimentos!$C$14,Z505-AA505-AB505,0))</f>
        <v>300000</v>
      </c>
      <c r="AD505" s="18">
        <f t="shared" ca="1" si="64"/>
        <v>31785185.156000733</v>
      </c>
      <c r="AE505" s="18"/>
    </row>
    <row r="506" spans="1:31" x14ac:dyDescent="0.2">
      <c r="A506" s="4">
        <v>60998</v>
      </c>
      <c r="B506" s="5" t="str">
        <f t="shared" si="60"/>
        <v>janeiro</v>
      </c>
      <c r="C506" s="5" t="str">
        <f t="shared" si="66"/>
        <v>2067</v>
      </c>
      <c r="D506" s="5">
        <f>SUMIFS(Despesas!$F:$F,Despesas!$J:$J,"&lt;="&amp;$A506,Despesas!$L:$L,"&gt;="&amp;$A506,Despesas!$C:$C,D$1,Despesas!$M:$M,"Mensal")+SUMIFS(Despesas!$F:$F,Despesas!$J:$J,"&lt;="&amp;$A506,Despesas!$L:$L,"&gt;="&amp;$A506,Despesas!$C:$C,D$1,Despesas!$M:$M,$B506)</f>
        <v>23000</v>
      </c>
      <c r="E506" s="18">
        <f>SUMIFS(Despesas!$F:$F,Despesas!$J:$J,"&lt;="&amp;$A506,Despesas!$L:$L,"&gt;="&amp;$A506,Despesas!$C:$C,E$1,Despesas!$M:$M,"Mensal")+SUMIFS(Despesas!$F:$F,Despesas!$J:$J,"&lt;="&amp;$A506,Despesas!$L:$L,"&gt;="&amp;$A506,Despesas!$C:$C,E$1,Despesas!$M:$M,$B506)</f>
        <v>0</v>
      </c>
      <c r="F506" s="5">
        <f>SUMIFS(Despesas!$F:$F,Despesas!$J:$J,"&lt;="&amp;$A506,Despesas!$L:$L,"&gt;="&amp;$A506,Despesas!$C:$C,F$1,Despesas!$M:$M,"Mensal")+SUMIFS(Despesas!$F:$F,Despesas!$J:$J,"&lt;="&amp;$A506,Despesas!$L:$L,"&gt;="&amp;$A506,Despesas!$C:$C,F$1,Despesas!$M:$M,$B506)</f>
        <v>13000</v>
      </c>
      <c r="G506" s="5">
        <f>SUMIFS(Despesas!$F:$F,Despesas!$J:$J,"&lt;="&amp;$A506,Despesas!$L:$L,"&gt;="&amp;$A506,Despesas!$C:$C,G$1,Despesas!$M:$M,"Mensal")+SUMIFS(Despesas!$F:$F,Despesas!$J:$J,"&lt;="&amp;$A506,Despesas!$L:$L,"&gt;="&amp;$A506,Despesas!$C:$C,G$1,Despesas!$M:$M,$B506)</f>
        <v>0</v>
      </c>
      <c r="H506" s="18">
        <f>SUMIFS(Despesas!$F:$F,Despesas!$J:$J,"&lt;="&amp;$A506,Despesas!$L:$L,"&gt;="&amp;$A506,Despesas!$C:$C,H$1,Despesas!$M:$M,"Mensal")+SUMIFS(Despesas!$F:$F,Despesas!$J:$J,"&lt;="&amp;$A506,Despesas!$L:$L,"&gt;="&amp;$A506,Despesas!$C:$C,H$1,Despesas!$M:$M,$B506)</f>
        <v>1000</v>
      </c>
      <c r="I506" s="18">
        <f>IF(Imóveis!$F$2="PRICE",IF(AND(Dados!$A506&gt;=Imóveis!$Q$2,Dados!$A506&lt;=Imóveis!$T$2),Imóveis!$U$2,0),IF((IF(AND(Dados!$A506&gt;=Imóveis!$Q$2,Dados!$A506&lt;=Imóveis!$T$2),Imóveis!$S$2-(DATEDIF(Imóveis!$Q$2,Dados!$A506,"m")),0))=0,0,((Imóveis!$N$2/Imóveis!$S$2)+((Imóveis!$N$2-((Imóveis!$S$2-(IF(AND(Dados!$A506&gt;=Imóveis!$Q$2,Dados!$A506&lt;=Imóveis!$T$2),Imóveis!$S$2-(DATEDIF(Imóveis!$Q$2,Dados!$A506,"m")),)))*(Imóveis!$N$2/Imóveis!$S$2)))*Imóveis!$P$2))))*IF(AND(Imóveis!$E$2&gt;0,Dados!$A506&gt;Imóveis!$E$2),0,1)</f>
        <v>0</v>
      </c>
      <c r="J506" s="18">
        <f>IF(Imóveis!$F$3="PRICE",IF(AND(Dados!$A506&gt;=Imóveis!$Q$3,Dados!$A506&lt;=Imóveis!$T$3),Imóveis!$U$3,0),IF((IF(AND(Dados!$A506&gt;=Imóveis!$Q$3,Dados!$A506&lt;=Imóveis!$T$3),Imóveis!$S$3-(DATEDIF(Imóveis!$Q$3,Dados!$A506,"m")),0))=0,0,((Imóveis!$N$3/Imóveis!$S$3)+((Imóveis!$N$3-((Imóveis!$S$3-(IF(AND(Dados!$A506&gt;=Imóveis!$Q$3,Dados!$A506&lt;=Imóveis!$T$3),Imóveis!$S$3-(DATEDIF(Imóveis!$Q$3,Dados!$A506,"m")),)))*(Imóveis!$N$3/Imóveis!$S$3)))*Imóveis!$P$3))))*IF(AND(Imóveis!$E$3&gt;0,Dados!$A506&gt;Imóveis!$E$3),0,1)</f>
        <v>0</v>
      </c>
      <c r="K506" s="18">
        <f>IF(Imóveis!$F$4="PRICE",IF(AND(Dados!$A506&gt;=Imóveis!$Q$4,Dados!$A506&lt;=Imóveis!$T$4),Imóveis!$U$4,0),IF((IF(AND(Dados!$A506&gt;=Imóveis!$Q$4,Dados!$A506&lt;=Imóveis!$T$4),Imóveis!$S$4-(DATEDIF(Imóveis!$Q$4,Dados!$A506,"m")),0))=0,0,((Imóveis!$N$4/Imóveis!$S$4)+((Imóveis!$N$4-((Imóveis!$S$4-(IF(AND(Dados!$A506&gt;=Imóveis!$Q$4,Dados!$A506&lt;=Imóveis!$T$4),Imóveis!$S$4-(DATEDIF(Imóveis!$Q$4,Dados!$A506,"m")),)))*(Imóveis!$N$4/Imóveis!$S$4)))*Imóveis!$P$4))))*IF(AND(Imóveis!$E$4&gt;0,Dados!$A506&gt;Imóveis!$E$4),0,1)</f>
        <v>0</v>
      </c>
      <c r="L506" s="18">
        <f>IF(Imóveis!$F$5="PRICE",IF(AND(Dados!$A506&gt;=Imóveis!$Q$5,Dados!$A506&lt;=Imóveis!$T$5),Imóveis!$U$5,0),IF((IF(AND(Dados!$A506&gt;=Imóveis!$Q$5,Dados!$A506&lt;=Imóveis!$T$5),Imóveis!$S$5-(DATEDIF(Imóveis!$Q$5,Dados!$A506,"m")),0))=0,0,((Imóveis!$N$5/Imóveis!$S$5)+((Imóveis!$N$5-((Imóveis!$S$5-(IF(AND(Dados!$A506 &gt;=Imóveis!$Q$5,Dados!$A506&lt;=Imóveis!$T$5),Imóveis!$S$5-(DATEDIF(Imóveis!$Q$5,Dados!$A506,"m")),)))*(Imóveis!$N$5/Imóveis!$S$5)))*Imóveis!$P$5))))*IF(AND(Imóveis!$E$5&gt;0,Dados!$A506&gt;Imóveis!$E$5),0,1)*Imóveis!$I$5</f>
        <v>0</v>
      </c>
      <c r="M506" s="18">
        <f>IF(Imóveis!$F$6="PRICE",IF(AND(Dados!$A506&gt;=Imóveis!$Q$6,Dados!$A506&lt;=Imóveis!$T$6),Imóveis!$U$6,0),IF((IF(AND(Dados!$A506&gt;=Imóveis!$Q$6,Dados!$A506&lt;=Imóveis!$T$6),Imóveis!$S$6-(DATEDIF(Imóveis!$Q$6,Dados!$A506,"m")),0))=0,0,((Imóveis!$N$6/Imóveis!$S$6)+((Imóveis!$N$6-((Imóveis!$S$6-(IF(AND(Dados!$A506&gt;=Imóveis!$Q$6,Dados!$A506&lt;=Imóveis!$T$6),Imóveis!$S$6-(DATEDIF(Imóveis!$Q$6,Dados!$A506,"m")),)))*(Imóveis!$N$6/Imóveis!$S$6)))*Imóveis!$P$6))))*IF(AND(Imóveis!$E$6&gt;0,Dados!$A506&gt;Imóveis!$E$6),0,1)*Imóveis!$I$6</f>
        <v>0</v>
      </c>
      <c r="N506" s="18">
        <f t="shared" si="61"/>
        <v>37000</v>
      </c>
      <c r="O506" s="18">
        <f>SUMIFS(Receitas!$F:$F,Receitas!$J:$J,"&lt;="&amp;$A506,Receitas!$L:$L,"&gt;="&amp;$A506,Receitas!$C:$C,O$1,Receitas!$M:$M,"Mensal")+SUMIFS(Receitas!$F:$F,Receitas!$J:$J,"&lt;="&amp;$A506,Receitas!$L:$L,"&gt;="&amp;$A506,Receitas!$C:$C,O$1,Receitas!$M:$M,$B506)</f>
        <v>0</v>
      </c>
      <c r="P506" s="18">
        <f>SUMIFS(Receitas!$F:$F,Receitas!$J:$J,"&lt;="&amp;$A506,Receitas!$L:$L,"&gt;="&amp;$A506,Receitas!$C:$C,P$1,Receitas!$M:$M,"Mensal")+SUMIFS(Receitas!$F:$F,Receitas!$J:$J,"&lt;="&amp;$A506,Receitas!$L:$L,"&gt;="&amp;$A506,Receitas!$C:$C,P$1,Receitas!$M:$M,$B506)</f>
        <v>0</v>
      </c>
      <c r="Q506" s="18">
        <f>SUMIFS(Receitas!$F:$F,Receitas!$J:$J,"&lt;="&amp;$A506,Receitas!$L:$L,"&gt;="&amp;$A506,Receitas!$C:$C,Q$1,Receitas!$M:$M,"Mensal")+SUMIFS(Receitas!$F:$F,Receitas!$J:$J,"&lt;="&amp;$A506,Receitas!$L:$L,"&gt;="&amp;$A506,Receitas!$C:$C,Q$1,Receitas!$M:$M,$B506)</f>
        <v>0</v>
      </c>
      <c r="R506" s="18" cm="1">
        <f t="array" ref="R506">(IF(AND(Membros!$F$2="Sim",A506&lt;=MAX(Membros!$E$2:$E$5)),Membros!K$2,IF(AND(A506&gt;=Membros!J$2,A506&lt;=MAX(Membros!$E$2:$E$5)),Membros!K$2,0))+IF(AND(Membros!$F$3="Sim",A506&lt;=MAX(Membros!$E$2:$E$5)),Membros!K$3,IF(AND(A506&gt;=Membros!J$3,A506&lt;=MAX(Membros!$E$2:$E$5)),Membros!K$3,0)))*IF(AND(COUNTIFS(Tabela3[Tipo],"Provedor",Tabela3[Simulação Seguro],"Sim")=2,A506&gt;=MAX(IF(Tabela3[Tipo]="Dependente",Tabela3[Expectativa de Vida (Data)]))),0,1)</f>
        <v>10000</v>
      </c>
      <c r="S506" s="18">
        <f t="shared" si="62"/>
        <v>10000</v>
      </c>
      <c r="U506" s="18">
        <f t="shared" ca="1" si="65"/>
        <v>32085185.156000737</v>
      </c>
      <c r="V506" s="18">
        <f>SUMIF(Imóveis!E:E,Dados!A:A,Imóveis!Z:Z)-SUMIF(Imóveis!E:E,Dados!A:A,Imóveis!Y:Y)</f>
        <v>0</v>
      </c>
      <c r="W506" s="18">
        <f>-SUMIF(Projetos!N:N,A506,Projetos!F:F)</f>
        <v>0</v>
      </c>
      <c r="X506" s="18">
        <f t="shared" si="59"/>
        <v>-27000</v>
      </c>
      <c r="Y506" s="26">
        <f ca="1">(U506*((Indicadores_Economicos!D$2+1)^(1/12)-1))</f>
        <v>105038.5470644177</v>
      </c>
      <c r="Z506" s="18">
        <f t="shared" ca="1" si="63"/>
        <v>32163223.703065153</v>
      </c>
      <c r="AA506" s="18">
        <f ca="1">Auxiliar_Projetos!E506</f>
        <v>2.0304667032876675E-9</v>
      </c>
      <c r="AB506" s="18">
        <f ca="1">Auxiliar_Projetos!K506</f>
        <v>1.5618974640674355E-9</v>
      </c>
      <c r="AC506" s="18">
        <f ca="1">IF(Z506-AA506-AB506&gt;Investimentos!$C$14,Investimentos!$C$14,IF(Z506-AA506-AB506&lt;Investimentos!$C$14,Z506-AA506-AB506,0))</f>
        <v>300000</v>
      </c>
      <c r="AD506" s="18">
        <f t="shared" ca="1" si="64"/>
        <v>31863223.703065149</v>
      </c>
      <c r="AE506" s="18"/>
    </row>
    <row r="507" spans="1:31" x14ac:dyDescent="0.2">
      <c r="A507" s="4">
        <v>61029</v>
      </c>
      <c r="B507" s="5" t="str">
        <f t="shared" si="60"/>
        <v>fevereiro</v>
      </c>
      <c r="C507" s="5" t="str">
        <f t="shared" si="66"/>
        <v>2067</v>
      </c>
      <c r="D507" s="5">
        <f>SUMIFS(Despesas!$F:$F,Despesas!$J:$J,"&lt;="&amp;$A507,Despesas!$L:$L,"&gt;="&amp;$A507,Despesas!$C:$C,D$1,Despesas!$M:$M,"Mensal")+SUMIFS(Despesas!$F:$F,Despesas!$J:$J,"&lt;="&amp;$A507,Despesas!$L:$L,"&gt;="&amp;$A507,Despesas!$C:$C,D$1,Despesas!$M:$M,$B507)</f>
        <v>23000</v>
      </c>
      <c r="E507" s="18">
        <f>SUMIFS(Despesas!$F:$F,Despesas!$J:$J,"&lt;="&amp;$A507,Despesas!$L:$L,"&gt;="&amp;$A507,Despesas!$C:$C,E$1,Despesas!$M:$M,"Mensal")+SUMIFS(Despesas!$F:$F,Despesas!$J:$J,"&lt;="&amp;$A507,Despesas!$L:$L,"&gt;="&amp;$A507,Despesas!$C:$C,E$1,Despesas!$M:$M,$B507)</f>
        <v>0</v>
      </c>
      <c r="F507" s="5">
        <f>SUMIFS(Despesas!$F:$F,Despesas!$J:$J,"&lt;="&amp;$A507,Despesas!$L:$L,"&gt;="&amp;$A507,Despesas!$C:$C,F$1,Despesas!$M:$M,"Mensal")+SUMIFS(Despesas!$F:$F,Despesas!$J:$J,"&lt;="&amp;$A507,Despesas!$L:$L,"&gt;="&amp;$A507,Despesas!$C:$C,F$1,Despesas!$M:$M,$B507)</f>
        <v>13000</v>
      </c>
      <c r="G507" s="5">
        <f>SUMIFS(Despesas!$F:$F,Despesas!$J:$J,"&lt;="&amp;$A507,Despesas!$L:$L,"&gt;="&amp;$A507,Despesas!$C:$C,G$1,Despesas!$M:$M,"Mensal")+SUMIFS(Despesas!$F:$F,Despesas!$J:$J,"&lt;="&amp;$A507,Despesas!$L:$L,"&gt;="&amp;$A507,Despesas!$C:$C,G$1,Despesas!$M:$M,$B507)</f>
        <v>0</v>
      </c>
      <c r="H507" s="18">
        <f>SUMIFS(Despesas!$F:$F,Despesas!$J:$J,"&lt;="&amp;$A507,Despesas!$L:$L,"&gt;="&amp;$A507,Despesas!$C:$C,H$1,Despesas!$M:$M,"Mensal")+SUMIFS(Despesas!$F:$F,Despesas!$J:$J,"&lt;="&amp;$A507,Despesas!$L:$L,"&gt;="&amp;$A507,Despesas!$C:$C,H$1,Despesas!$M:$M,$B507)</f>
        <v>2200</v>
      </c>
      <c r="I507" s="18">
        <f>IF(Imóveis!$F$2="PRICE",IF(AND(Dados!$A507&gt;=Imóveis!$Q$2,Dados!$A507&lt;=Imóveis!$T$2),Imóveis!$U$2,0),IF((IF(AND(Dados!$A507&gt;=Imóveis!$Q$2,Dados!$A507&lt;=Imóveis!$T$2),Imóveis!$S$2-(DATEDIF(Imóveis!$Q$2,Dados!$A507,"m")),0))=0,0,((Imóveis!$N$2/Imóveis!$S$2)+((Imóveis!$N$2-((Imóveis!$S$2-(IF(AND(Dados!$A507&gt;=Imóveis!$Q$2,Dados!$A507&lt;=Imóveis!$T$2),Imóveis!$S$2-(DATEDIF(Imóveis!$Q$2,Dados!$A507,"m")),)))*(Imóveis!$N$2/Imóveis!$S$2)))*Imóveis!$P$2))))*IF(AND(Imóveis!$E$2&gt;0,Dados!$A507&gt;Imóveis!$E$2),0,1)</f>
        <v>0</v>
      </c>
      <c r="J507" s="18">
        <f>IF(Imóveis!$F$3="PRICE",IF(AND(Dados!$A507&gt;=Imóveis!$Q$3,Dados!$A507&lt;=Imóveis!$T$3),Imóveis!$U$3,0),IF((IF(AND(Dados!$A507&gt;=Imóveis!$Q$3,Dados!$A507&lt;=Imóveis!$T$3),Imóveis!$S$3-(DATEDIF(Imóveis!$Q$3,Dados!$A507,"m")),0))=0,0,((Imóveis!$N$3/Imóveis!$S$3)+((Imóveis!$N$3-((Imóveis!$S$3-(IF(AND(Dados!$A507&gt;=Imóveis!$Q$3,Dados!$A507&lt;=Imóveis!$T$3),Imóveis!$S$3-(DATEDIF(Imóveis!$Q$3,Dados!$A507,"m")),)))*(Imóveis!$N$3/Imóveis!$S$3)))*Imóveis!$P$3))))*IF(AND(Imóveis!$E$3&gt;0,Dados!$A507&gt;Imóveis!$E$3),0,1)</f>
        <v>0</v>
      </c>
      <c r="K507" s="18">
        <f>IF(Imóveis!$F$4="PRICE",IF(AND(Dados!$A507&gt;=Imóveis!$Q$4,Dados!$A507&lt;=Imóveis!$T$4),Imóveis!$U$4,0),IF((IF(AND(Dados!$A507&gt;=Imóveis!$Q$4,Dados!$A507&lt;=Imóveis!$T$4),Imóveis!$S$4-(DATEDIF(Imóveis!$Q$4,Dados!$A507,"m")),0))=0,0,((Imóveis!$N$4/Imóveis!$S$4)+((Imóveis!$N$4-((Imóveis!$S$4-(IF(AND(Dados!$A507&gt;=Imóveis!$Q$4,Dados!$A507&lt;=Imóveis!$T$4),Imóveis!$S$4-(DATEDIF(Imóveis!$Q$4,Dados!$A507,"m")),)))*(Imóveis!$N$4/Imóveis!$S$4)))*Imóveis!$P$4))))*IF(AND(Imóveis!$E$4&gt;0,Dados!$A507&gt;Imóveis!$E$4),0,1)</f>
        <v>0</v>
      </c>
      <c r="L507" s="18">
        <f>IF(Imóveis!$F$5="PRICE",IF(AND(Dados!$A507&gt;=Imóveis!$Q$5,Dados!$A507&lt;=Imóveis!$T$5),Imóveis!$U$5,0),IF((IF(AND(Dados!$A507&gt;=Imóveis!$Q$5,Dados!$A507&lt;=Imóveis!$T$5),Imóveis!$S$5-(DATEDIF(Imóveis!$Q$5,Dados!$A507,"m")),0))=0,0,((Imóveis!$N$5/Imóveis!$S$5)+((Imóveis!$N$5-((Imóveis!$S$5-(IF(AND(Dados!$A507 &gt;=Imóveis!$Q$5,Dados!$A507&lt;=Imóveis!$T$5),Imóveis!$S$5-(DATEDIF(Imóveis!$Q$5,Dados!$A507,"m")),)))*(Imóveis!$N$5/Imóveis!$S$5)))*Imóveis!$P$5))))*IF(AND(Imóveis!$E$5&gt;0,Dados!$A507&gt;Imóveis!$E$5),0,1)*Imóveis!$I$5</f>
        <v>0</v>
      </c>
      <c r="M507" s="18">
        <f>IF(Imóveis!$F$6="PRICE",IF(AND(Dados!$A507&gt;=Imóveis!$Q$6,Dados!$A507&lt;=Imóveis!$T$6),Imóveis!$U$6,0),IF((IF(AND(Dados!$A507&gt;=Imóveis!$Q$6,Dados!$A507&lt;=Imóveis!$T$6),Imóveis!$S$6-(DATEDIF(Imóveis!$Q$6,Dados!$A507,"m")),0))=0,0,((Imóveis!$N$6/Imóveis!$S$6)+((Imóveis!$N$6-((Imóveis!$S$6-(IF(AND(Dados!$A507&gt;=Imóveis!$Q$6,Dados!$A507&lt;=Imóveis!$T$6),Imóveis!$S$6-(DATEDIF(Imóveis!$Q$6,Dados!$A507,"m")),)))*(Imóveis!$N$6/Imóveis!$S$6)))*Imóveis!$P$6))))*IF(AND(Imóveis!$E$6&gt;0,Dados!$A507&gt;Imóveis!$E$6),0,1)*Imóveis!$I$6</f>
        <v>0</v>
      </c>
      <c r="N507" s="18">
        <f t="shared" si="61"/>
        <v>38200</v>
      </c>
      <c r="O507" s="18">
        <f>SUMIFS(Receitas!$F:$F,Receitas!$J:$J,"&lt;="&amp;$A507,Receitas!$L:$L,"&gt;="&amp;$A507,Receitas!$C:$C,O$1,Receitas!$M:$M,"Mensal")+SUMIFS(Receitas!$F:$F,Receitas!$J:$J,"&lt;="&amp;$A507,Receitas!$L:$L,"&gt;="&amp;$A507,Receitas!$C:$C,O$1,Receitas!$M:$M,$B507)</f>
        <v>0</v>
      </c>
      <c r="P507" s="18">
        <f>SUMIFS(Receitas!$F:$F,Receitas!$J:$J,"&lt;="&amp;$A507,Receitas!$L:$L,"&gt;="&amp;$A507,Receitas!$C:$C,P$1,Receitas!$M:$M,"Mensal")+SUMIFS(Receitas!$F:$F,Receitas!$J:$J,"&lt;="&amp;$A507,Receitas!$L:$L,"&gt;="&amp;$A507,Receitas!$C:$C,P$1,Receitas!$M:$M,$B507)</f>
        <v>0</v>
      </c>
      <c r="Q507" s="18">
        <f>SUMIFS(Receitas!$F:$F,Receitas!$J:$J,"&lt;="&amp;$A507,Receitas!$L:$L,"&gt;="&amp;$A507,Receitas!$C:$C,Q$1,Receitas!$M:$M,"Mensal")+SUMIFS(Receitas!$F:$F,Receitas!$J:$J,"&lt;="&amp;$A507,Receitas!$L:$L,"&gt;="&amp;$A507,Receitas!$C:$C,Q$1,Receitas!$M:$M,$B507)</f>
        <v>0</v>
      </c>
      <c r="R507" s="18" cm="1">
        <f t="array" ref="R507">(IF(AND(Membros!$F$2="Sim",A507&lt;=MAX(Membros!$E$2:$E$5)),Membros!K$2,IF(AND(A507&gt;=Membros!J$2,A507&lt;=MAX(Membros!$E$2:$E$5)),Membros!K$2,0))+IF(AND(Membros!$F$3="Sim",A507&lt;=MAX(Membros!$E$2:$E$5)),Membros!K$3,IF(AND(A507&gt;=Membros!J$3,A507&lt;=MAX(Membros!$E$2:$E$5)),Membros!K$3,0)))*IF(AND(COUNTIFS(Tabela3[Tipo],"Provedor",Tabela3[Simulação Seguro],"Sim")=2,A507&gt;=MAX(IF(Tabela3[Tipo]="Dependente",Tabela3[Expectativa de Vida (Data)]))),0,1)</f>
        <v>10000</v>
      </c>
      <c r="S507" s="18">
        <f t="shared" si="62"/>
        <v>10000</v>
      </c>
      <c r="U507" s="18">
        <f t="shared" ca="1" si="65"/>
        <v>32163223.703065153</v>
      </c>
      <c r="V507" s="18">
        <f>SUMIF(Imóveis!E:E,Dados!A:A,Imóveis!Z:Z)-SUMIF(Imóveis!E:E,Dados!A:A,Imóveis!Y:Y)</f>
        <v>0</v>
      </c>
      <c r="W507" s="18">
        <f>-SUMIF(Projetos!N:N,A507,Projetos!F:F)</f>
        <v>0</v>
      </c>
      <c r="X507" s="18">
        <f t="shared" si="59"/>
        <v>-28200</v>
      </c>
      <c r="Y507" s="26">
        <f ca="1">(U507*((Indicadores_Economicos!D$2+1)^(1/12)-1))</f>
        <v>105294.02496048748</v>
      </c>
      <c r="Z507" s="18">
        <f t="shared" ca="1" si="63"/>
        <v>32240317.728025641</v>
      </c>
      <c r="AA507" s="18">
        <f ca="1">Auxiliar_Projetos!E507</f>
        <v>2.0371139229106508E-9</v>
      </c>
      <c r="AB507" s="18">
        <f ca="1">Auxiliar_Projetos!K507</f>
        <v>1.5670107099312685E-9</v>
      </c>
      <c r="AC507" s="18">
        <f ca="1">IF(Z507-AA507-AB507&gt;Investimentos!$C$14,Investimentos!$C$14,IF(Z507-AA507-AB507&lt;Investimentos!$C$14,Z507-AA507-AB507,0))</f>
        <v>300000</v>
      </c>
      <c r="AD507" s="18">
        <f t="shared" ca="1" si="64"/>
        <v>31940317.728025638</v>
      </c>
      <c r="AE507" s="18"/>
    </row>
    <row r="508" spans="1:31" x14ac:dyDescent="0.2">
      <c r="A508" s="4">
        <v>61057</v>
      </c>
      <c r="B508" s="5" t="str">
        <f t="shared" si="60"/>
        <v>março</v>
      </c>
      <c r="C508" s="5" t="str">
        <f t="shared" si="66"/>
        <v>2067</v>
      </c>
      <c r="D508" s="5">
        <f>SUMIFS(Despesas!$F:$F,Despesas!$J:$J,"&lt;="&amp;$A508,Despesas!$L:$L,"&gt;="&amp;$A508,Despesas!$C:$C,D$1,Despesas!$M:$M,"Mensal")+SUMIFS(Despesas!$F:$F,Despesas!$J:$J,"&lt;="&amp;$A508,Despesas!$L:$L,"&gt;="&amp;$A508,Despesas!$C:$C,D$1,Despesas!$M:$M,$B508)</f>
        <v>23000</v>
      </c>
      <c r="E508" s="18">
        <f>SUMIFS(Despesas!$F:$F,Despesas!$J:$J,"&lt;="&amp;$A508,Despesas!$L:$L,"&gt;="&amp;$A508,Despesas!$C:$C,E$1,Despesas!$M:$M,"Mensal")+SUMIFS(Despesas!$F:$F,Despesas!$J:$J,"&lt;="&amp;$A508,Despesas!$L:$L,"&gt;="&amp;$A508,Despesas!$C:$C,E$1,Despesas!$M:$M,$B508)</f>
        <v>0</v>
      </c>
      <c r="F508" s="5">
        <f>SUMIFS(Despesas!$F:$F,Despesas!$J:$J,"&lt;="&amp;$A508,Despesas!$L:$L,"&gt;="&amp;$A508,Despesas!$C:$C,F$1,Despesas!$M:$M,"Mensal")+SUMIFS(Despesas!$F:$F,Despesas!$J:$J,"&lt;="&amp;$A508,Despesas!$L:$L,"&gt;="&amp;$A508,Despesas!$C:$C,F$1,Despesas!$M:$M,$B508)</f>
        <v>13000</v>
      </c>
      <c r="G508" s="5">
        <f>SUMIFS(Despesas!$F:$F,Despesas!$J:$J,"&lt;="&amp;$A508,Despesas!$L:$L,"&gt;="&amp;$A508,Despesas!$C:$C,G$1,Despesas!$M:$M,"Mensal")+SUMIFS(Despesas!$F:$F,Despesas!$J:$J,"&lt;="&amp;$A508,Despesas!$L:$L,"&gt;="&amp;$A508,Despesas!$C:$C,G$1,Despesas!$M:$M,$B508)</f>
        <v>0</v>
      </c>
      <c r="H508" s="18">
        <f>SUMIFS(Despesas!$F:$F,Despesas!$J:$J,"&lt;="&amp;$A508,Despesas!$L:$L,"&gt;="&amp;$A508,Despesas!$C:$C,H$1,Despesas!$M:$M,"Mensal")+SUMIFS(Despesas!$F:$F,Despesas!$J:$J,"&lt;="&amp;$A508,Despesas!$L:$L,"&gt;="&amp;$A508,Despesas!$C:$C,H$1,Despesas!$M:$M,$B508)</f>
        <v>1000</v>
      </c>
      <c r="I508" s="18">
        <f>IF(Imóveis!$F$2="PRICE",IF(AND(Dados!$A508&gt;=Imóveis!$Q$2,Dados!$A508&lt;=Imóveis!$T$2),Imóveis!$U$2,0),IF((IF(AND(Dados!$A508&gt;=Imóveis!$Q$2,Dados!$A508&lt;=Imóveis!$T$2),Imóveis!$S$2-(DATEDIF(Imóveis!$Q$2,Dados!$A508,"m")),0))=0,0,((Imóveis!$N$2/Imóveis!$S$2)+((Imóveis!$N$2-((Imóveis!$S$2-(IF(AND(Dados!$A508&gt;=Imóveis!$Q$2,Dados!$A508&lt;=Imóveis!$T$2),Imóveis!$S$2-(DATEDIF(Imóveis!$Q$2,Dados!$A508,"m")),)))*(Imóveis!$N$2/Imóveis!$S$2)))*Imóveis!$P$2))))*IF(AND(Imóveis!$E$2&gt;0,Dados!$A508&gt;Imóveis!$E$2),0,1)</f>
        <v>0</v>
      </c>
      <c r="J508" s="18">
        <f>IF(Imóveis!$F$3="PRICE",IF(AND(Dados!$A508&gt;=Imóveis!$Q$3,Dados!$A508&lt;=Imóveis!$T$3),Imóveis!$U$3,0),IF((IF(AND(Dados!$A508&gt;=Imóveis!$Q$3,Dados!$A508&lt;=Imóveis!$T$3),Imóveis!$S$3-(DATEDIF(Imóveis!$Q$3,Dados!$A508,"m")),0))=0,0,((Imóveis!$N$3/Imóveis!$S$3)+((Imóveis!$N$3-((Imóveis!$S$3-(IF(AND(Dados!$A508&gt;=Imóveis!$Q$3,Dados!$A508&lt;=Imóveis!$T$3),Imóveis!$S$3-(DATEDIF(Imóveis!$Q$3,Dados!$A508,"m")),)))*(Imóveis!$N$3/Imóveis!$S$3)))*Imóveis!$P$3))))*IF(AND(Imóveis!$E$3&gt;0,Dados!$A508&gt;Imóveis!$E$3),0,1)</f>
        <v>0</v>
      </c>
      <c r="K508" s="18">
        <f>IF(Imóveis!$F$4="PRICE",IF(AND(Dados!$A508&gt;=Imóveis!$Q$4,Dados!$A508&lt;=Imóveis!$T$4),Imóveis!$U$4,0),IF((IF(AND(Dados!$A508&gt;=Imóveis!$Q$4,Dados!$A508&lt;=Imóveis!$T$4),Imóveis!$S$4-(DATEDIF(Imóveis!$Q$4,Dados!$A508,"m")),0))=0,0,((Imóveis!$N$4/Imóveis!$S$4)+((Imóveis!$N$4-((Imóveis!$S$4-(IF(AND(Dados!$A508&gt;=Imóveis!$Q$4,Dados!$A508&lt;=Imóveis!$T$4),Imóveis!$S$4-(DATEDIF(Imóveis!$Q$4,Dados!$A508,"m")),)))*(Imóveis!$N$4/Imóveis!$S$4)))*Imóveis!$P$4))))*IF(AND(Imóveis!$E$4&gt;0,Dados!$A508&gt;Imóveis!$E$4),0,1)</f>
        <v>0</v>
      </c>
      <c r="L508" s="18">
        <f>IF(Imóveis!$F$5="PRICE",IF(AND(Dados!$A508&gt;=Imóveis!$Q$5,Dados!$A508&lt;=Imóveis!$T$5),Imóveis!$U$5,0),IF((IF(AND(Dados!$A508&gt;=Imóveis!$Q$5,Dados!$A508&lt;=Imóveis!$T$5),Imóveis!$S$5-(DATEDIF(Imóveis!$Q$5,Dados!$A508,"m")),0))=0,0,((Imóveis!$N$5/Imóveis!$S$5)+((Imóveis!$N$5-((Imóveis!$S$5-(IF(AND(Dados!$A508 &gt;=Imóveis!$Q$5,Dados!$A508&lt;=Imóveis!$T$5),Imóveis!$S$5-(DATEDIF(Imóveis!$Q$5,Dados!$A508,"m")),)))*(Imóveis!$N$5/Imóveis!$S$5)))*Imóveis!$P$5))))*IF(AND(Imóveis!$E$5&gt;0,Dados!$A508&gt;Imóveis!$E$5),0,1)*Imóveis!$I$5</f>
        <v>0</v>
      </c>
      <c r="M508" s="18">
        <f>IF(Imóveis!$F$6="PRICE",IF(AND(Dados!$A508&gt;=Imóveis!$Q$6,Dados!$A508&lt;=Imóveis!$T$6),Imóveis!$U$6,0),IF((IF(AND(Dados!$A508&gt;=Imóveis!$Q$6,Dados!$A508&lt;=Imóveis!$T$6),Imóveis!$S$6-(DATEDIF(Imóveis!$Q$6,Dados!$A508,"m")),0))=0,0,((Imóveis!$N$6/Imóveis!$S$6)+((Imóveis!$N$6-((Imóveis!$S$6-(IF(AND(Dados!$A508&gt;=Imóveis!$Q$6,Dados!$A508&lt;=Imóveis!$T$6),Imóveis!$S$6-(DATEDIF(Imóveis!$Q$6,Dados!$A508,"m")),)))*(Imóveis!$N$6/Imóveis!$S$6)))*Imóveis!$P$6))))*IF(AND(Imóveis!$E$6&gt;0,Dados!$A508&gt;Imóveis!$E$6),0,1)*Imóveis!$I$6</f>
        <v>0</v>
      </c>
      <c r="N508" s="18">
        <f t="shared" si="61"/>
        <v>37000</v>
      </c>
      <c r="O508" s="18">
        <f>SUMIFS(Receitas!$F:$F,Receitas!$J:$J,"&lt;="&amp;$A508,Receitas!$L:$L,"&gt;="&amp;$A508,Receitas!$C:$C,O$1,Receitas!$M:$M,"Mensal")+SUMIFS(Receitas!$F:$F,Receitas!$J:$J,"&lt;="&amp;$A508,Receitas!$L:$L,"&gt;="&amp;$A508,Receitas!$C:$C,O$1,Receitas!$M:$M,$B508)</f>
        <v>0</v>
      </c>
      <c r="P508" s="18">
        <f>SUMIFS(Receitas!$F:$F,Receitas!$J:$J,"&lt;="&amp;$A508,Receitas!$L:$L,"&gt;="&amp;$A508,Receitas!$C:$C,P$1,Receitas!$M:$M,"Mensal")+SUMIFS(Receitas!$F:$F,Receitas!$J:$J,"&lt;="&amp;$A508,Receitas!$L:$L,"&gt;="&amp;$A508,Receitas!$C:$C,P$1,Receitas!$M:$M,$B508)</f>
        <v>0</v>
      </c>
      <c r="Q508" s="18">
        <f>SUMIFS(Receitas!$F:$F,Receitas!$J:$J,"&lt;="&amp;$A508,Receitas!$L:$L,"&gt;="&amp;$A508,Receitas!$C:$C,Q$1,Receitas!$M:$M,"Mensal")+SUMIFS(Receitas!$F:$F,Receitas!$J:$J,"&lt;="&amp;$A508,Receitas!$L:$L,"&gt;="&amp;$A508,Receitas!$C:$C,Q$1,Receitas!$M:$M,$B508)</f>
        <v>0</v>
      </c>
      <c r="R508" s="18" cm="1">
        <f t="array" ref="R508">(IF(AND(Membros!$F$2="Sim",A508&lt;=MAX(Membros!$E$2:$E$5)),Membros!K$2,IF(AND(A508&gt;=Membros!J$2,A508&lt;=MAX(Membros!$E$2:$E$5)),Membros!K$2,0))+IF(AND(Membros!$F$3="Sim",A508&lt;=MAX(Membros!$E$2:$E$5)),Membros!K$3,IF(AND(A508&gt;=Membros!J$3,A508&lt;=MAX(Membros!$E$2:$E$5)),Membros!K$3,0)))*IF(AND(COUNTIFS(Tabela3[Tipo],"Provedor",Tabela3[Simulação Seguro],"Sim")=2,A508&gt;=MAX(IF(Tabela3[Tipo]="Dependente",Tabela3[Expectativa de Vida (Data)]))),0,1)</f>
        <v>10000</v>
      </c>
      <c r="S508" s="18">
        <f t="shared" si="62"/>
        <v>10000</v>
      </c>
      <c r="U508" s="18">
        <f t="shared" ca="1" si="65"/>
        <v>32240317.728025641</v>
      </c>
      <c r="V508" s="18">
        <f>SUMIF(Imóveis!E:E,Dados!A:A,Imóveis!Z:Z)-SUMIF(Imóveis!E:E,Dados!A:A,Imóveis!Y:Y)</f>
        <v>0</v>
      </c>
      <c r="W508" s="18">
        <f>-SUMIF(Projetos!N:N,A508,Projetos!F:F)</f>
        <v>0</v>
      </c>
      <c r="X508" s="18">
        <f t="shared" si="59"/>
        <v>-27000</v>
      </c>
      <c r="Y508" s="26">
        <f ca="1">(U508*((Indicadores_Economicos!D$2+1)^(1/12)-1))</f>
        <v>105546.41073697046</v>
      </c>
      <c r="Z508" s="18">
        <f t="shared" ca="1" si="63"/>
        <v>32318864.138762612</v>
      </c>
      <c r="AA508" s="18">
        <f ca="1">Auxiliar_Projetos!E508</f>
        <v>2.0437829038009547E-9</v>
      </c>
      <c r="AB508" s="18">
        <f ca="1">Auxiliar_Projetos!K508</f>
        <v>1.5721406952315022E-9</v>
      </c>
      <c r="AC508" s="18">
        <f ca="1">IF(Z508-AA508-AB508&gt;Investimentos!$C$14,Investimentos!$C$14,IF(Z508-AA508-AB508&lt;Investimentos!$C$14,Z508-AA508-AB508,0))</f>
        <v>300000</v>
      </c>
      <c r="AD508" s="18">
        <f t="shared" ca="1" si="64"/>
        <v>32018864.138762608</v>
      </c>
      <c r="AE508" s="18"/>
    </row>
    <row r="509" spans="1:31" x14ac:dyDescent="0.2">
      <c r="A509" s="4">
        <v>61088</v>
      </c>
      <c r="B509" s="5" t="str">
        <f t="shared" si="60"/>
        <v>abril</v>
      </c>
      <c r="C509" s="5" t="str">
        <f t="shared" si="66"/>
        <v>2067</v>
      </c>
      <c r="D509" s="5">
        <f>SUMIFS(Despesas!$F:$F,Despesas!$J:$J,"&lt;="&amp;$A509,Despesas!$L:$L,"&gt;="&amp;$A509,Despesas!$C:$C,D$1,Despesas!$M:$M,"Mensal")+SUMIFS(Despesas!$F:$F,Despesas!$J:$J,"&lt;="&amp;$A509,Despesas!$L:$L,"&gt;="&amp;$A509,Despesas!$C:$C,D$1,Despesas!$M:$M,$B509)</f>
        <v>23000</v>
      </c>
      <c r="E509" s="18">
        <f>SUMIFS(Despesas!$F:$F,Despesas!$J:$J,"&lt;="&amp;$A509,Despesas!$L:$L,"&gt;="&amp;$A509,Despesas!$C:$C,E$1,Despesas!$M:$M,"Mensal")+SUMIFS(Despesas!$F:$F,Despesas!$J:$J,"&lt;="&amp;$A509,Despesas!$L:$L,"&gt;="&amp;$A509,Despesas!$C:$C,E$1,Despesas!$M:$M,$B509)</f>
        <v>0</v>
      </c>
      <c r="F509" s="5">
        <f>SUMIFS(Despesas!$F:$F,Despesas!$J:$J,"&lt;="&amp;$A509,Despesas!$L:$L,"&gt;="&amp;$A509,Despesas!$C:$C,F$1,Despesas!$M:$M,"Mensal")+SUMIFS(Despesas!$F:$F,Despesas!$J:$J,"&lt;="&amp;$A509,Despesas!$L:$L,"&gt;="&amp;$A509,Despesas!$C:$C,F$1,Despesas!$M:$M,$B509)</f>
        <v>13000</v>
      </c>
      <c r="G509" s="5">
        <f>SUMIFS(Despesas!$F:$F,Despesas!$J:$J,"&lt;="&amp;$A509,Despesas!$L:$L,"&gt;="&amp;$A509,Despesas!$C:$C,G$1,Despesas!$M:$M,"Mensal")+SUMIFS(Despesas!$F:$F,Despesas!$J:$J,"&lt;="&amp;$A509,Despesas!$L:$L,"&gt;="&amp;$A509,Despesas!$C:$C,G$1,Despesas!$M:$M,$B509)</f>
        <v>0</v>
      </c>
      <c r="H509" s="18">
        <f>SUMIFS(Despesas!$F:$F,Despesas!$J:$J,"&lt;="&amp;$A509,Despesas!$L:$L,"&gt;="&amp;$A509,Despesas!$C:$C,H$1,Despesas!$M:$M,"Mensal")+SUMIFS(Despesas!$F:$F,Despesas!$J:$J,"&lt;="&amp;$A509,Despesas!$L:$L,"&gt;="&amp;$A509,Despesas!$C:$C,H$1,Despesas!$M:$M,$B509)</f>
        <v>1000</v>
      </c>
      <c r="I509" s="18">
        <f>IF(Imóveis!$F$2="PRICE",IF(AND(Dados!$A509&gt;=Imóveis!$Q$2,Dados!$A509&lt;=Imóveis!$T$2),Imóveis!$U$2,0),IF((IF(AND(Dados!$A509&gt;=Imóveis!$Q$2,Dados!$A509&lt;=Imóveis!$T$2),Imóveis!$S$2-(DATEDIF(Imóveis!$Q$2,Dados!$A509,"m")),0))=0,0,((Imóveis!$N$2/Imóveis!$S$2)+((Imóveis!$N$2-((Imóveis!$S$2-(IF(AND(Dados!$A509&gt;=Imóveis!$Q$2,Dados!$A509&lt;=Imóveis!$T$2),Imóveis!$S$2-(DATEDIF(Imóveis!$Q$2,Dados!$A509,"m")),)))*(Imóveis!$N$2/Imóveis!$S$2)))*Imóveis!$P$2))))*IF(AND(Imóveis!$E$2&gt;0,Dados!$A509&gt;Imóveis!$E$2),0,1)</f>
        <v>0</v>
      </c>
      <c r="J509" s="18">
        <f>IF(Imóveis!$F$3="PRICE",IF(AND(Dados!$A509&gt;=Imóveis!$Q$3,Dados!$A509&lt;=Imóveis!$T$3),Imóveis!$U$3,0),IF((IF(AND(Dados!$A509&gt;=Imóveis!$Q$3,Dados!$A509&lt;=Imóveis!$T$3),Imóveis!$S$3-(DATEDIF(Imóveis!$Q$3,Dados!$A509,"m")),0))=0,0,((Imóveis!$N$3/Imóveis!$S$3)+((Imóveis!$N$3-((Imóveis!$S$3-(IF(AND(Dados!$A509&gt;=Imóveis!$Q$3,Dados!$A509&lt;=Imóveis!$T$3),Imóveis!$S$3-(DATEDIF(Imóveis!$Q$3,Dados!$A509,"m")),)))*(Imóveis!$N$3/Imóveis!$S$3)))*Imóveis!$P$3))))*IF(AND(Imóveis!$E$3&gt;0,Dados!$A509&gt;Imóveis!$E$3),0,1)</f>
        <v>0</v>
      </c>
      <c r="K509" s="18">
        <f>IF(Imóveis!$F$4="PRICE",IF(AND(Dados!$A509&gt;=Imóveis!$Q$4,Dados!$A509&lt;=Imóveis!$T$4),Imóveis!$U$4,0),IF((IF(AND(Dados!$A509&gt;=Imóveis!$Q$4,Dados!$A509&lt;=Imóveis!$T$4),Imóveis!$S$4-(DATEDIF(Imóveis!$Q$4,Dados!$A509,"m")),0))=0,0,((Imóveis!$N$4/Imóveis!$S$4)+((Imóveis!$N$4-((Imóveis!$S$4-(IF(AND(Dados!$A509&gt;=Imóveis!$Q$4,Dados!$A509&lt;=Imóveis!$T$4),Imóveis!$S$4-(DATEDIF(Imóveis!$Q$4,Dados!$A509,"m")),)))*(Imóveis!$N$4/Imóveis!$S$4)))*Imóveis!$P$4))))*IF(AND(Imóveis!$E$4&gt;0,Dados!$A509&gt;Imóveis!$E$4),0,1)</f>
        <v>0</v>
      </c>
      <c r="L509" s="18">
        <f>IF(Imóveis!$F$5="PRICE",IF(AND(Dados!$A509&gt;=Imóveis!$Q$5,Dados!$A509&lt;=Imóveis!$T$5),Imóveis!$U$5,0),IF((IF(AND(Dados!$A509&gt;=Imóveis!$Q$5,Dados!$A509&lt;=Imóveis!$T$5),Imóveis!$S$5-(DATEDIF(Imóveis!$Q$5,Dados!$A509,"m")),0))=0,0,((Imóveis!$N$5/Imóveis!$S$5)+((Imóveis!$N$5-((Imóveis!$S$5-(IF(AND(Dados!$A509 &gt;=Imóveis!$Q$5,Dados!$A509&lt;=Imóveis!$T$5),Imóveis!$S$5-(DATEDIF(Imóveis!$Q$5,Dados!$A509,"m")),)))*(Imóveis!$N$5/Imóveis!$S$5)))*Imóveis!$P$5))))*IF(AND(Imóveis!$E$5&gt;0,Dados!$A509&gt;Imóveis!$E$5),0,1)*Imóveis!$I$5</f>
        <v>0</v>
      </c>
      <c r="M509" s="18">
        <f>IF(Imóveis!$F$6="PRICE",IF(AND(Dados!$A509&gt;=Imóveis!$Q$6,Dados!$A509&lt;=Imóveis!$T$6),Imóveis!$U$6,0),IF((IF(AND(Dados!$A509&gt;=Imóveis!$Q$6,Dados!$A509&lt;=Imóveis!$T$6),Imóveis!$S$6-(DATEDIF(Imóveis!$Q$6,Dados!$A509,"m")),0))=0,0,((Imóveis!$N$6/Imóveis!$S$6)+((Imóveis!$N$6-((Imóveis!$S$6-(IF(AND(Dados!$A509&gt;=Imóveis!$Q$6,Dados!$A509&lt;=Imóveis!$T$6),Imóveis!$S$6-(DATEDIF(Imóveis!$Q$6,Dados!$A509,"m")),)))*(Imóveis!$N$6/Imóveis!$S$6)))*Imóveis!$P$6))))*IF(AND(Imóveis!$E$6&gt;0,Dados!$A509&gt;Imóveis!$E$6),0,1)*Imóveis!$I$6</f>
        <v>0</v>
      </c>
      <c r="N509" s="18">
        <f t="shared" si="61"/>
        <v>37000</v>
      </c>
      <c r="O509" s="18">
        <f>SUMIFS(Receitas!$F:$F,Receitas!$J:$J,"&lt;="&amp;$A509,Receitas!$L:$L,"&gt;="&amp;$A509,Receitas!$C:$C,O$1,Receitas!$M:$M,"Mensal")+SUMIFS(Receitas!$F:$F,Receitas!$J:$J,"&lt;="&amp;$A509,Receitas!$L:$L,"&gt;="&amp;$A509,Receitas!$C:$C,O$1,Receitas!$M:$M,$B509)</f>
        <v>0</v>
      </c>
      <c r="P509" s="18">
        <f>SUMIFS(Receitas!$F:$F,Receitas!$J:$J,"&lt;="&amp;$A509,Receitas!$L:$L,"&gt;="&amp;$A509,Receitas!$C:$C,P$1,Receitas!$M:$M,"Mensal")+SUMIFS(Receitas!$F:$F,Receitas!$J:$J,"&lt;="&amp;$A509,Receitas!$L:$L,"&gt;="&amp;$A509,Receitas!$C:$C,P$1,Receitas!$M:$M,$B509)</f>
        <v>0</v>
      </c>
      <c r="Q509" s="18">
        <f>SUMIFS(Receitas!$F:$F,Receitas!$J:$J,"&lt;="&amp;$A509,Receitas!$L:$L,"&gt;="&amp;$A509,Receitas!$C:$C,Q$1,Receitas!$M:$M,"Mensal")+SUMIFS(Receitas!$F:$F,Receitas!$J:$J,"&lt;="&amp;$A509,Receitas!$L:$L,"&gt;="&amp;$A509,Receitas!$C:$C,Q$1,Receitas!$M:$M,$B509)</f>
        <v>0</v>
      </c>
      <c r="R509" s="18" cm="1">
        <f t="array" ref="R509">(IF(AND(Membros!$F$2="Sim",A509&lt;=MAX(Membros!$E$2:$E$5)),Membros!K$2,IF(AND(A509&gt;=Membros!J$2,A509&lt;=MAX(Membros!$E$2:$E$5)),Membros!K$2,0))+IF(AND(Membros!$F$3="Sim",A509&lt;=MAX(Membros!$E$2:$E$5)),Membros!K$3,IF(AND(A509&gt;=Membros!J$3,A509&lt;=MAX(Membros!$E$2:$E$5)),Membros!K$3,0)))*IF(AND(COUNTIFS(Tabela3[Tipo],"Provedor",Tabela3[Simulação Seguro],"Sim")=2,A509&gt;=MAX(IF(Tabela3[Tipo]="Dependente",Tabela3[Expectativa de Vida (Data)]))),0,1)</f>
        <v>10000</v>
      </c>
      <c r="S509" s="18">
        <f t="shared" si="62"/>
        <v>10000</v>
      </c>
      <c r="U509" s="18">
        <f t="shared" ca="1" si="65"/>
        <v>32318864.138762612</v>
      </c>
      <c r="V509" s="18">
        <f>SUMIF(Imóveis!E:E,Dados!A:A,Imóveis!Z:Z)-SUMIF(Imóveis!E:E,Dados!A:A,Imóveis!Y:Y)</f>
        <v>0</v>
      </c>
      <c r="W509" s="18">
        <f>-SUMIF(Projetos!N:N,A509,Projetos!F:F)</f>
        <v>0</v>
      </c>
      <c r="X509" s="18">
        <f t="shared" si="59"/>
        <v>-27000</v>
      </c>
      <c r="Y509" s="26">
        <f ca="1">(U509*((Indicadores_Economicos!D$2+1)^(1/12)-1))</f>
        <v>105803.55124654902</v>
      </c>
      <c r="Z509" s="18">
        <f t="shared" ca="1" si="63"/>
        <v>32397667.690009162</v>
      </c>
      <c r="AA509" s="18">
        <f ca="1">Auxiliar_Projetos!E509</f>
        <v>2.0504737171993061E-9</v>
      </c>
      <c r="AB509" s="18">
        <f ca="1">Auxiliar_Projetos!K509</f>
        <v>1.5772874747686955E-9</v>
      </c>
      <c r="AC509" s="18">
        <f ca="1">IF(Z509-AA509-AB509&gt;Investimentos!$C$14,Investimentos!$C$14,IF(Z509-AA509-AB509&lt;Investimentos!$C$14,Z509-AA509-AB509,0))</f>
        <v>300000</v>
      </c>
      <c r="AD509" s="18">
        <f t="shared" ca="1" si="64"/>
        <v>32097667.690009158</v>
      </c>
      <c r="AE509" s="18"/>
    </row>
    <row r="510" spans="1:31" x14ac:dyDescent="0.2">
      <c r="A510" s="4">
        <v>61118</v>
      </c>
      <c r="B510" s="5" t="str">
        <f t="shared" si="60"/>
        <v>maio</v>
      </c>
      <c r="C510" s="5" t="str">
        <f t="shared" si="66"/>
        <v>2067</v>
      </c>
      <c r="D510" s="5">
        <f>SUMIFS(Despesas!$F:$F,Despesas!$J:$J,"&lt;="&amp;$A510,Despesas!$L:$L,"&gt;="&amp;$A510,Despesas!$C:$C,D$1,Despesas!$M:$M,"Mensal")+SUMIFS(Despesas!$F:$F,Despesas!$J:$J,"&lt;="&amp;$A510,Despesas!$L:$L,"&gt;="&amp;$A510,Despesas!$C:$C,D$1,Despesas!$M:$M,$B510)</f>
        <v>23000</v>
      </c>
      <c r="E510" s="18">
        <f>SUMIFS(Despesas!$F:$F,Despesas!$J:$J,"&lt;="&amp;$A510,Despesas!$L:$L,"&gt;="&amp;$A510,Despesas!$C:$C,E$1,Despesas!$M:$M,"Mensal")+SUMIFS(Despesas!$F:$F,Despesas!$J:$J,"&lt;="&amp;$A510,Despesas!$L:$L,"&gt;="&amp;$A510,Despesas!$C:$C,E$1,Despesas!$M:$M,$B510)</f>
        <v>0</v>
      </c>
      <c r="F510" s="5">
        <f>SUMIFS(Despesas!$F:$F,Despesas!$J:$J,"&lt;="&amp;$A510,Despesas!$L:$L,"&gt;="&amp;$A510,Despesas!$C:$C,F$1,Despesas!$M:$M,"Mensal")+SUMIFS(Despesas!$F:$F,Despesas!$J:$J,"&lt;="&amp;$A510,Despesas!$L:$L,"&gt;="&amp;$A510,Despesas!$C:$C,F$1,Despesas!$M:$M,$B510)</f>
        <v>13000</v>
      </c>
      <c r="G510" s="5">
        <f>SUMIFS(Despesas!$F:$F,Despesas!$J:$J,"&lt;="&amp;$A510,Despesas!$L:$L,"&gt;="&amp;$A510,Despesas!$C:$C,G$1,Despesas!$M:$M,"Mensal")+SUMIFS(Despesas!$F:$F,Despesas!$J:$J,"&lt;="&amp;$A510,Despesas!$L:$L,"&gt;="&amp;$A510,Despesas!$C:$C,G$1,Despesas!$M:$M,$B510)</f>
        <v>0</v>
      </c>
      <c r="H510" s="18">
        <f>SUMIFS(Despesas!$F:$F,Despesas!$J:$J,"&lt;="&amp;$A510,Despesas!$L:$L,"&gt;="&amp;$A510,Despesas!$C:$C,H$1,Despesas!$M:$M,"Mensal")+SUMIFS(Despesas!$F:$F,Despesas!$J:$J,"&lt;="&amp;$A510,Despesas!$L:$L,"&gt;="&amp;$A510,Despesas!$C:$C,H$1,Despesas!$M:$M,$B510)</f>
        <v>1000</v>
      </c>
      <c r="I510" s="18">
        <f>IF(Imóveis!$F$2="PRICE",IF(AND(Dados!$A510&gt;=Imóveis!$Q$2,Dados!$A510&lt;=Imóveis!$T$2),Imóveis!$U$2,0),IF((IF(AND(Dados!$A510&gt;=Imóveis!$Q$2,Dados!$A510&lt;=Imóveis!$T$2),Imóveis!$S$2-(DATEDIF(Imóveis!$Q$2,Dados!$A510,"m")),0))=0,0,((Imóveis!$N$2/Imóveis!$S$2)+((Imóveis!$N$2-((Imóveis!$S$2-(IF(AND(Dados!$A510&gt;=Imóveis!$Q$2,Dados!$A510&lt;=Imóveis!$T$2),Imóveis!$S$2-(DATEDIF(Imóveis!$Q$2,Dados!$A510,"m")),)))*(Imóveis!$N$2/Imóveis!$S$2)))*Imóveis!$P$2))))*IF(AND(Imóveis!$E$2&gt;0,Dados!$A510&gt;Imóveis!$E$2),0,1)</f>
        <v>0</v>
      </c>
      <c r="J510" s="18">
        <f>IF(Imóveis!$F$3="PRICE",IF(AND(Dados!$A510&gt;=Imóveis!$Q$3,Dados!$A510&lt;=Imóveis!$T$3),Imóveis!$U$3,0),IF((IF(AND(Dados!$A510&gt;=Imóveis!$Q$3,Dados!$A510&lt;=Imóveis!$T$3),Imóveis!$S$3-(DATEDIF(Imóveis!$Q$3,Dados!$A510,"m")),0))=0,0,((Imóveis!$N$3/Imóveis!$S$3)+((Imóveis!$N$3-((Imóveis!$S$3-(IF(AND(Dados!$A510&gt;=Imóveis!$Q$3,Dados!$A510&lt;=Imóveis!$T$3),Imóveis!$S$3-(DATEDIF(Imóveis!$Q$3,Dados!$A510,"m")),)))*(Imóveis!$N$3/Imóveis!$S$3)))*Imóveis!$P$3))))*IF(AND(Imóveis!$E$3&gt;0,Dados!$A510&gt;Imóveis!$E$3),0,1)</f>
        <v>0</v>
      </c>
      <c r="K510" s="18">
        <f>IF(Imóveis!$F$4="PRICE",IF(AND(Dados!$A510&gt;=Imóveis!$Q$4,Dados!$A510&lt;=Imóveis!$T$4),Imóveis!$U$4,0),IF((IF(AND(Dados!$A510&gt;=Imóveis!$Q$4,Dados!$A510&lt;=Imóveis!$T$4),Imóveis!$S$4-(DATEDIF(Imóveis!$Q$4,Dados!$A510,"m")),0))=0,0,((Imóveis!$N$4/Imóveis!$S$4)+((Imóveis!$N$4-((Imóveis!$S$4-(IF(AND(Dados!$A510&gt;=Imóveis!$Q$4,Dados!$A510&lt;=Imóveis!$T$4),Imóveis!$S$4-(DATEDIF(Imóveis!$Q$4,Dados!$A510,"m")),)))*(Imóveis!$N$4/Imóveis!$S$4)))*Imóveis!$P$4))))*IF(AND(Imóveis!$E$4&gt;0,Dados!$A510&gt;Imóveis!$E$4),0,1)</f>
        <v>0</v>
      </c>
      <c r="L510" s="18">
        <f>IF(Imóveis!$F$5="PRICE",IF(AND(Dados!$A510&gt;=Imóveis!$Q$5,Dados!$A510&lt;=Imóveis!$T$5),Imóveis!$U$5,0),IF((IF(AND(Dados!$A510&gt;=Imóveis!$Q$5,Dados!$A510&lt;=Imóveis!$T$5),Imóveis!$S$5-(DATEDIF(Imóveis!$Q$5,Dados!$A510,"m")),0))=0,0,((Imóveis!$N$5/Imóveis!$S$5)+((Imóveis!$N$5-((Imóveis!$S$5-(IF(AND(Dados!$A510 &gt;=Imóveis!$Q$5,Dados!$A510&lt;=Imóveis!$T$5),Imóveis!$S$5-(DATEDIF(Imóveis!$Q$5,Dados!$A510,"m")),)))*(Imóveis!$N$5/Imóveis!$S$5)))*Imóveis!$P$5))))*IF(AND(Imóveis!$E$5&gt;0,Dados!$A510&gt;Imóveis!$E$5),0,1)*Imóveis!$I$5</f>
        <v>0</v>
      </c>
      <c r="M510" s="18">
        <f>IF(Imóveis!$F$6="PRICE",IF(AND(Dados!$A510&gt;=Imóveis!$Q$6,Dados!$A510&lt;=Imóveis!$T$6),Imóveis!$U$6,0),IF((IF(AND(Dados!$A510&gt;=Imóveis!$Q$6,Dados!$A510&lt;=Imóveis!$T$6),Imóveis!$S$6-(DATEDIF(Imóveis!$Q$6,Dados!$A510,"m")),0))=0,0,((Imóveis!$N$6/Imóveis!$S$6)+((Imóveis!$N$6-((Imóveis!$S$6-(IF(AND(Dados!$A510&gt;=Imóveis!$Q$6,Dados!$A510&lt;=Imóveis!$T$6),Imóveis!$S$6-(DATEDIF(Imóveis!$Q$6,Dados!$A510,"m")),)))*(Imóveis!$N$6/Imóveis!$S$6)))*Imóveis!$P$6))))*IF(AND(Imóveis!$E$6&gt;0,Dados!$A510&gt;Imóveis!$E$6),0,1)*Imóveis!$I$6</f>
        <v>0</v>
      </c>
      <c r="N510" s="18">
        <f t="shared" si="61"/>
        <v>37000</v>
      </c>
      <c r="O510" s="18">
        <f>SUMIFS(Receitas!$F:$F,Receitas!$J:$J,"&lt;="&amp;$A510,Receitas!$L:$L,"&gt;="&amp;$A510,Receitas!$C:$C,O$1,Receitas!$M:$M,"Mensal")+SUMIFS(Receitas!$F:$F,Receitas!$J:$J,"&lt;="&amp;$A510,Receitas!$L:$L,"&gt;="&amp;$A510,Receitas!$C:$C,O$1,Receitas!$M:$M,$B510)</f>
        <v>0</v>
      </c>
      <c r="P510" s="18">
        <f>SUMIFS(Receitas!$F:$F,Receitas!$J:$J,"&lt;="&amp;$A510,Receitas!$L:$L,"&gt;="&amp;$A510,Receitas!$C:$C,P$1,Receitas!$M:$M,"Mensal")+SUMIFS(Receitas!$F:$F,Receitas!$J:$J,"&lt;="&amp;$A510,Receitas!$L:$L,"&gt;="&amp;$A510,Receitas!$C:$C,P$1,Receitas!$M:$M,$B510)</f>
        <v>0</v>
      </c>
      <c r="Q510" s="18">
        <f>SUMIFS(Receitas!$F:$F,Receitas!$J:$J,"&lt;="&amp;$A510,Receitas!$L:$L,"&gt;="&amp;$A510,Receitas!$C:$C,Q$1,Receitas!$M:$M,"Mensal")+SUMIFS(Receitas!$F:$F,Receitas!$J:$J,"&lt;="&amp;$A510,Receitas!$L:$L,"&gt;="&amp;$A510,Receitas!$C:$C,Q$1,Receitas!$M:$M,$B510)</f>
        <v>0</v>
      </c>
      <c r="R510" s="18" cm="1">
        <f t="array" ref="R510">(IF(AND(Membros!$F$2="Sim",A510&lt;=MAX(Membros!$E$2:$E$5)),Membros!K$2,IF(AND(A510&gt;=Membros!J$2,A510&lt;=MAX(Membros!$E$2:$E$5)),Membros!K$2,0))+IF(AND(Membros!$F$3="Sim",A510&lt;=MAX(Membros!$E$2:$E$5)),Membros!K$3,IF(AND(A510&gt;=Membros!J$3,A510&lt;=MAX(Membros!$E$2:$E$5)),Membros!K$3,0)))*IF(AND(COUNTIFS(Tabela3[Tipo],"Provedor",Tabela3[Simulação Seguro],"Sim")=2,A510&gt;=MAX(IF(Tabela3[Tipo]="Dependente",Tabela3[Expectativa de Vida (Data)]))),0,1)</f>
        <v>10000</v>
      </c>
      <c r="S510" s="18">
        <f t="shared" si="62"/>
        <v>10000</v>
      </c>
      <c r="U510" s="18">
        <f t="shared" ca="1" si="65"/>
        <v>32397667.690009162</v>
      </c>
      <c r="V510" s="18">
        <f>SUMIF(Imóveis!E:E,Dados!A:A,Imóveis!Z:Z)-SUMIF(Imóveis!E:E,Dados!A:A,Imóveis!Y:Y)</f>
        <v>0</v>
      </c>
      <c r="W510" s="18">
        <f>-SUMIF(Projetos!N:N,A510,Projetos!F:F)</f>
        <v>0</v>
      </c>
      <c r="X510" s="18">
        <f t="shared" si="59"/>
        <v>-27000</v>
      </c>
      <c r="Y510" s="26">
        <f ca="1">(U510*((Indicadores_Economicos!D$2+1)^(1/12)-1))</f>
        <v>106061.5335672434</v>
      </c>
      <c r="Z510" s="18">
        <f t="shared" ca="1" si="63"/>
        <v>32476729.223576404</v>
      </c>
      <c r="AA510" s="18">
        <f ca="1">Auxiliar_Projetos!E510</f>
        <v>2.0571864345796549E-9</v>
      </c>
      <c r="AB510" s="18">
        <f ca="1">Auxiliar_Projetos!K510</f>
        <v>1.5824511035228098E-9</v>
      </c>
      <c r="AC510" s="18">
        <f ca="1">IF(Z510-AA510-AB510&gt;Investimentos!$C$14,Investimentos!$C$14,IF(Z510-AA510-AB510&lt;Investimentos!$C$14,Z510-AA510-AB510,0))</f>
        <v>300000</v>
      </c>
      <c r="AD510" s="18">
        <f t="shared" ca="1" si="64"/>
        <v>32176729.2235764</v>
      </c>
      <c r="AE510" s="18"/>
    </row>
    <row r="511" spans="1:31" x14ac:dyDescent="0.2">
      <c r="A511" s="4">
        <v>61149</v>
      </c>
      <c r="B511" s="5" t="str">
        <f t="shared" si="60"/>
        <v>junho</v>
      </c>
      <c r="C511" s="5" t="str">
        <f t="shared" si="66"/>
        <v>2067</v>
      </c>
      <c r="D511" s="5">
        <f>SUMIFS(Despesas!$F:$F,Despesas!$J:$J,"&lt;="&amp;$A511,Despesas!$L:$L,"&gt;="&amp;$A511,Despesas!$C:$C,D$1,Despesas!$M:$M,"Mensal")+SUMIFS(Despesas!$F:$F,Despesas!$J:$J,"&lt;="&amp;$A511,Despesas!$L:$L,"&gt;="&amp;$A511,Despesas!$C:$C,D$1,Despesas!$M:$M,$B511)</f>
        <v>23000</v>
      </c>
      <c r="E511" s="18">
        <f>SUMIFS(Despesas!$F:$F,Despesas!$J:$J,"&lt;="&amp;$A511,Despesas!$L:$L,"&gt;="&amp;$A511,Despesas!$C:$C,E$1,Despesas!$M:$M,"Mensal")+SUMIFS(Despesas!$F:$F,Despesas!$J:$J,"&lt;="&amp;$A511,Despesas!$L:$L,"&gt;="&amp;$A511,Despesas!$C:$C,E$1,Despesas!$M:$M,$B511)</f>
        <v>0</v>
      </c>
      <c r="F511" s="5">
        <f>SUMIFS(Despesas!$F:$F,Despesas!$J:$J,"&lt;="&amp;$A511,Despesas!$L:$L,"&gt;="&amp;$A511,Despesas!$C:$C,F$1,Despesas!$M:$M,"Mensal")+SUMIFS(Despesas!$F:$F,Despesas!$J:$J,"&lt;="&amp;$A511,Despesas!$L:$L,"&gt;="&amp;$A511,Despesas!$C:$C,F$1,Despesas!$M:$M,$B511)</f>
        <v>13000</v>
      </c>
      <c r="G511" s="5">
        <f>SUMIFS(Despesas!$F:$F,Despesas!$J:$J,"&lt;="&amp;$A511,Despesas!$L:$L,"&gt;="&amp;$A511,Despesas!$C:$C,G$1,Despesas!$M:$M,"Mensal")+SUMIFS(Despesas!$F:$F,Despesas!$J:$J,"&lt;="&amp;$A511,Despesas!$L:$L,"&gt;="&amp;$A511,Despesas!$C:$C,G$1,Despesas!$M:$M,$B511)</f>
        <v>0</v>
      </c>
      <c r="H511" s="18">
        <f>SUMIFS(Despesas!$F:$F,Despesas!$J:$J,"&lt;="&amp;$A511,Despesas!$L:$L,"&gt;="&amp;$A511,Despesas!$C:$C,H$1,Despesas!$M:$M,"Mensal")+SUMIFS(Despesas!$F:$F,Despesas!$J:$J,"&lt;="&amp;$A511,Despesas!$L:$L,"&gt;="&amp;$A511,Despesas!$C:$C,H$1,Despesas!$M:$M,$B511)</f>
        <v>1000</v>
      </c>
      <c r="I511" s="18">
        <f>IF(Imóveis!$F$2="PRICE",IF(AND(Dados!$A511&gt;=Imóveis!$Q$2,Dados!$A511&lt;=Imóveis!$T$2),Imóveis!$U$2,0),IF((IF(AND(Dados!$A511&gt;=Imóveis!$Q$2,Dados!$A511&lt;=Imóveis!$T$2),Imóveis!$S$2-(DATEDIF(Imóveis!$Q$2,Dados!$A511,"m")),0))=0,0,((Imóveis!$N$2/Imóveis!$S$2)+((Imóveis!$N$2-((Imóveis!$S$2-(IF(AND(Dados!$A511&gt;=Imóveis!$Q$2,Dados!$A511&lt;=Imóveis!$T$2),Imóveis!$S$2-(DATEDIF(Imóveis!$Q$2,Dados!$A511,"m")),)))*(Imóveis!$N$2/Imóveis!$S$2)))*Imóveis!$P$2))))*IF(AND(Imóveis!$E$2&gt;0,Dados!$A511&gt;Imóveis!$E$2),0,1)</f>
        <v>0</v>
      </c>
      <c r="J511" s="18">
        <f>IF(Imóveis!$F$3="PRICE",IF(AND(Dados!$A511&gt;=Imóveis!$Q$3,Dados!$A511&lt;=Imóveis!$T$3),Imóveis!$U$3,0),IF((IF(AND(Dados!$A511&gt;=Imóveis!$Q$3,Dados!$A511&lt;=Imóveis!$T$3),Imóveis!$S$3-(DATEDIF(Imóveis!$Q$3,Dados!$A511,"m")),0))=0,0,((Imóveis!$N$3/Imóveis!$S$3)+((Imóveis!$N$3-((Imóveis!$S$3-(IF(AND(Dados!$A511&gt;=Imóveis!$Q$3,Dados!$A511&lt;=Imóveis!$T$3),Imóveis!$S$3-(DATEDIF(Imóveis!$Q$3,Dados!$A511,"m")),)))*(Imóveis!$N$3/Imóveis!$S$3)))*Imóveis!$P$3))))*IF(AND(Imóveis!$E$3&gt;0,Dados!$A511&gt;Imóveis!$E$3),0,1)</f>
        <v>0</v>
      </c>
      <c r="K511" s="18">
        <f>IF(Imóveis!$F$4="PRICE",IF(AND(Dados!$A511&gt;=Imóveis!$Q$4,Dados!$A511&lt;=Imóveis!$T$4),Imóveis!$U$4,0),IF((IF(AND(Dados!$A511&gt;=Imóveis!$Q$4,Dados!$A511&lt;=Imóveis!$T$4),Imóveis!$S$4-(DATEDIF(Imóveis!$Q$4,Dados!$A511,"m")),0))=0,0,((Imóveis!$N$4/Imóveis!$S$4)+((Imóveis!$N$4-((Imóveis!$S$4-(IF(AND(Dados!$A511&gt;=Imóveis!$Q$4,Dados!$A511&lt;=Imóveis!$T$4),Imóveis!$S$4-(DATEDIF(Imóveis!$Q$4,Dados!$A511,"m")),)))*(Imóveis!$N$4/Imóveis!$S$4)))*Imóveis!$P$4))))*IF(AND(Imóveis!$E$4&gt;0,Dados!$A511&gt;Imóveis!$E$4),0,1)</f>
        <v>0</v>
      </c>
      <c r="L511" s="18">
        <f>IF(Imóveis!$F$5="PRICE",IF(AND(Dados!$A511&gt;=Imóveis!$Q$5,Dados!$A511&lt;=Imóveis!$T$5),Imóveis!$U$5,0),IF((IF(AND(Dados!$A511&gt;=Imóveis!$Q$5,Dados!$A511&lt;=Imóveis!$T$5),Imóveis!$S$5-(DATEDIF(Imóveis!$Q$5,Dados!$A511,"m")),0))=0,0,((Imóveis!$N$5/Imóveis!$S$5)+((Imóveis!$N$5-((Imóveis!$S$5-(IF(AND(Dados!$A511 &gt;=Imóveis!$Q$5,Dados!$A511&lt;=Imóveis!$T$5),Imóveis!$S$5-(DATEDIF(Imóveis!$Q$5,Dados!$A511,"m")),)))*(Imóveis!$N$5/Imóveis!$S$5)))*Imóveis!$P$5))))*IF(AND(Imóveis!$E$5&gt;0,Dados!$A511&gt;Imóveis!$E$5),0,1)*Imóveis!$I$5</f>
        <v>0</v>
      </c>
      <c r="M511" s="18">
        <f>IF(Imóveis!$F$6="PRICE",IF(AND(Dados!$A511&gt;=Imóveis!$Q$6,Dados!$A511&lt;=Imóveis!$T$6),Imóveis!$U$6,0),IF((IF(AND(Dados!$A511&gt;=Imóveis!$Q$6,Dados!$A511&lt;=Imóveis!$T$6),Imóveis!$S$6-(DATEDIF(Imóveis!$Q$6,Dados!$A511,"m")),0))=0,0,((Imóveis!$N$6/Imóveis!$S$6)+((Imóveis!$N$6-((Imóveis!$S$6-(IF(AND(Dados!$A511&gt;=Imóveis!$Q$6,Dados!$A511&lt;=Imóveis!$T$6),Imóveis!$S$6-(DATEDIF(Imóveis!$Q$6,Dados!$A511,"m")),)))*(Imóveis!$N$6/Imóveis!$S$6)))*Imóveis!$P$6))))*IF(AND(Imóveis!$E$6&gt;0,Dados!$A511&gt;Imóveis!$E$6),0,1)*Imóveis!$I$6</f>
        <v>0</v>
      </c>
      <c r="N511" s="18">
        <f t="shared" si="61"/>
        <v>37000</v>
      </c>
      <c r="O511" s="18">
        <f>SUMIFS(Receitas!$F:$F,Receitas!$J:$J,"&lt;="&amp;$A511,Receitas!$L:$L,"&gt;="&amp;$A511,Receitas!$C:$C,O$1,Receitas!$M:$M,"Mensal")+SUMIFS(Receitas!$F:$F,Receitas!$J:$J,"&lt;="&amp;$A511,Receitas!$L:$L,"&gt;="&amp;$A511,Receitas!$C:$C,O$1,Receitas!$M:$M,$B511)</f>
        <v>0</v>
      </c>
      <c r="P511" s="18">
        <f>SUMIFS(Receitas!$F:$F,Receitas!$J:$J,"&lt;="&amp;$A511,Receitas!$L:$L,"&gt;="&amp;$A511,Receitas!$C:$C,P$1,Receitas!$M:$M,"Mensal")+SUMIFS(Receitas!$F:$F,Receitas!$J:$J,"&lt;="&amp;$A511,Receitas!$L:$L,"&gt;="&amp;$A511,Receitas!$C:$C,P$1,Receitas!$M:$M,$B511)</f>
        <v>0</v>
      </c>
      <c r="Q511" s="18">
        <f>SUMIFS(Receitas!$F:$F,Receitas!$J:$J,"&lt;="&amp;$A511,Receitas!$L:$L,"&gt;="&amp;$A511,Receitas!$C:$C,Q$1,Receitas!$M:$M,"Mensal")+SUMIFS(Receitas!$F:$F,Receitas!$J:$J,"&lt;="&amp;$A511,Receitas!$L:$L,"&gt;="&amp;$A511,Receitas!$C:$C,Q$1,Receitas!$M:$M,$B511)</f>
        <v>0</v>
      </c>
      <c r="R511" s="18" cm="1">
        <f t="array" ref="R511">(IF(AND(Membros!$F$2="Sim",A511&lt;=MAX(Membros!$E$2:$E$5)),Membros!K$2,IF(AND(A511&gt;=Membros!J$2,A511&lt;=MAX(Membros!$E$2:$E$5)),Membros!K$2,0))+IF(AND(Membros!$F$3="Sim",A511&lt;=MAX(Membros!$E$2:$E$5)),Membros!K$3,IF(AND(A511&gt;=Membros!J$3,A511&lt;=MAX(Membros!$E$2:$E$5)),Membros!K$3,0)))*IF(AND(COUNTIFS(Tabela3[Tipo],"Provedor",Tabela3[Simulação Seguro],"Sim")=2,A511&gt;=MAX(IF(Tabela3[Tipo]="Dependente",Tabela3[Expectativa de Vida (Data)]))),0,1)</f>
        <v>10000</v>
      </c>
      <c r="S511" s="18">
        <f t="shared" si="62"/>
        <v>10000</v>
      </c>
      <c r="U511" s="18">
        <f t="shared" ca="1" si="65"/>
        <v>32476729.223576404</v>
      </c>
      <c r="V511" s="18">
        <f>SUMIF(Imóveis!E:E,Dados!A:A,Imóveis!Z:Z)-SUMIF(Imóveis!E:E,Dados!A:A,Imóveis!Y:Y)</f>
        <v>0</v>
      </c>
      <c r="W511" s="18">
        <f>-SUMIF(Projetos!N:N,A511,Projetos!F:F)</f>
        <v>0</v>
      </c>
      <c r="X511" s="18">
        <f t="shared" si="59"/>
        <v>-27000</v>
      </c>
      <c r="Y511" s="26">
        <f ca="1">(U511*((Indicadores_Economicos!D$2+1)^(1/12)-1))</f>
        <v>106320.36045492414</v>
      </c>
      <c r="Z511" s="18">
        <f t="shared" ca="1" si="63"/>
        <v>32556049.584031329</v>
      </c>
      <c r="AA511" s="18">
        <f ca="1">Auxiliar_Projetos!E511</f>
        <v>2.0639211276499384E-9</v>
      </c>
      <c r="AB511" s="18">
        <f ca="1">Auxiliar_Projetos!K511</f>
        <v>1.5876316366537971E-9</v>
      </c>
      <c r="AC511" s="18">
        <f ca="1">IF(Z511-AA511-AB511&gt;Investimentos!$C$14,Investimentos!$C$14,IF(Z511-AA511-AB511&lt;Investimentos!$C$14,Z511-AA511-AB511,0))</f>
        <v>300000</v>
      </c>
      <c r="AD511" s="18">
        <f t="shared" ca="1" si="64"/>
        <v>32256049.584031325</v>
      </c>
      <c r="AE511" s="18"/>
    </row>
    <row r="512" spans="1:31" x14ac:dyDescent="0.2">
      <c r="A512" s="4">
        <v>61179</v>
      </c>
      <c r="B512" s="5" t="str">
        <f t="shared" si="60"/>
        <v>julho</v>
      </c>
      <c r="C512" s="5" t="str">
        <f t="shared" si="66"/>
        <v>2067</v>
      </c>
      <c r="D512" s="5">
        <f>SUMIFS(Despesas!$F:$F,Despesas!$J:$J,"&lt;="&amp;$A512,Despesas!$L:$L,"&gt;="&amp;$A512,Despesas!$C:$C,D$1,Despesas!$M:$M,"Mensal")+SUMIFS(Despesas!$F:$F,Despesas!$J:$J,"&lt;="&amp;$A512,Despesas!$L:$L,"&gt;="&amp;$A512,Despesas!$C:$C,D$1,Despesas!$M:$M,$B512)</f>
        <v>23000</v>
      </c>
      <c r="E512" s="18">
        <f>SUMIFS(Despesas!$F:$F,Despesas!$J:$J,"&lt;="&amp;$A512,Despesas!$L:$L,"&gt;="&amp;$A512,Despesas!$C:$C,E$1,Despesas!$M:$M,"Mensal")+SUMIFS(Despesas!$F:$F,Despesas!$J:$J,"&lt;="&amp;$A512,Despesas!$L:$L,"&gt;="&amp;$A512,Despesas!$C:$C,E$1,Despesas!$M:$M,$B512)</f>
        <v>0</v>
      </c>
      <c r="F512" s="5">
        <f>SUMIFS(Despesas!$F:$F,Despesas!$J:$J,"&lt;="&amp;$A512,Despesas!$L:$L,"&gt;="&amp;$A512,Despesas!$C:$C,F$1,Despesas!$M:$M,"Mensal")+SUMIFS(Despesas!$F:$F,Despesas!$J:$J,"&lt;="&amp;$A512,Despesas!$L:$L,"&gt;="&amp;$A512,Despesas!$C:$C,F$1,Despesas!$M:$M,$B512)</f>
        <v>13000</v>
      </c>
      <c r="G512" s="5">
        <f ca="1">SUMIFS(Despesas!$F:$F,Despesas!$J:$J,"&lt;="&amp;$A512,Despesas!$L:$L,"&gt;="&amp;$A512,Despesas!$C:$C,G$1,Despesas!$M:$M,"Mensal")+SUMIFS(Despesas!$F:$F,Despesas!$J:$J,"&lt;="&amp;$A512,Despesas!$L:$L,"&gt;="&amp;$A512,Despesas!$C:$C,G$1,Despesas!$M:$M,$B512)</f>
        <v>55757</v>
      </c>
      <c r="H512" s="18">
        <f>SUMIFS(Despesas!$F:$F,Despesas!$J:$J,"&lt;="&amp;$A512,Despesas!$L:$L,"&gt;="&amp;$A512,Despesas!$C:$C,H$1,Despesas!$M:$M,"Mensal")+SUMIFS(Despesas!$F:$F,Despesas!$J:$J,"&lt;="&amp;$A512,Despesas!$L:$L,"&gt;="&amp;$A512,Despesas!$C:$C,H$1,Despesas!$M:$M,$B512)</f>
        <v>1000</v>
      </c>
      <c r="I512" s="18">
        <f>IF(Imóveis!$F$2="PRICE",IF(AND(Dados!$A512&gt;=Imóveis!$Q$2,Dados!$A512&lt;=Imóveis!$T$2),Imóveis!$U$2,0),IF((IF(AND(Dados!$A512&gt;=Imóveis!$Q$2,Dados!$A512&lt;=Imóveis!$T$2),Imóveis!$S$2-(DATEDIF(Imóveis!$Q$2,Dados!$A512,"m")),0))=0,0,((Imóveis!$N$2/Imóveis!$S$2)+((Imóveis!$N$2-((Imóveis!$S$2-(IF(AND(Dados!$A512&gt;=Imóveis!$Q$2,Dados!$A512&lt;=Imóveis!$T$2),Imóveis!$S$2-(DATEDIF(Imóveis!$Q$2,Dados!$A512,"m")),)))*(Imóveis!$N$2/Imóveis!$S$2)))*Imóveis!$P$2))))*IF(AND(Imóveis!$E$2&gt;0,Dados!$A512&gt;Imóveis!$E$2),0,1)</f>
        <v>0</v>
      </c>
      <c r="J512" s="18">
        <f>IF(Imóveis!$F$3="PRICE",IF(AND(Dados!$A512&gt;=Imóveis!$Q$3,Dados!$A512&lt;=Imóveis!$T$3),Imóveis!$U$3,0),IF((IF(AND(Dados!$A512&gt;=Imóveis!$Q$3,Dados!$A512&lt;=Imóveis!$T$3),Imóveis!$S$3-(DATEDIF(Imóveis!$Q$3,Dados!$A512,"m")),0))=0,0,((Imóveis!$N$3/Imóveis!$S$3)+((Imóveis!$N$3-((Imóveis!$S$3-(IF(AND(Dados!$A512&gt;=Imóveis!$Q$3,Dados!$A512&lt;=Imóveis!$T$3),Imóveis!$S$3-(DATEDIF(Imóveis!$Q$3,Dados!$A512,"m")),)))*(Imóveis!$N$3/Imóveis!$S$3)))*Imóveis!$P$3))))*IF(AND(Imóveis!$E$3&gt;0,Dados!$A512&gt;Imóveis!$E$3),0,1)</f>
        <v>0</v>
      </c>
      <c r="K512" s="18">
        <f>IF(Imóveis!$F$4="PRICE",IF(AND(Dados!$A512&gt;=Imóveis!$Q$4,Dados!$A512&lt;=Imóveis!$T$4),Imóveis!$U$4,0),IF((IF(AND(Dados!$A512&gt;=Imóveis!$Q$4,Dados!$A512&lt;=Imóveis!$T$4),Imóveis!$S$4-(DATEDIF(Imóveis!$Q$4,Dados!$A512,"m")),0))=0,0,((Imóveis!$N$4/Imóveis!$S$4)+((Imóveis!$N$4-((Imóveis!$S$4-(IF(AND(Dados!$A512&gt;=Imóveis!$Q$4,Dados!$A512&lt;=Imóveis!$T$4),Imóveis!$S$4-(DATEDIF(Imóveis!$Q$4,Dados!$A512,"m")),)))*(Imóveis!$N$4/Imóveis!$S$4)))*Imóveis!$P$4))))*IF(AND(Imóveis!$E$4&gt;0,Dados!$A512&gt;Imóveis!$E$4),0,1)</f>
        <v>0</v>
      </c>
      <c r="L512" s="18">
        <f>IF(Imóveis!$F$5="PRICE",IF(AND(Dados!$A512&gt;=Imóveis!$Q$5,Dados!$A512&lt;=Imóveis!$T$5),Imóveis!$U$5,0),IF((IF(AND(Dados!$A512&gt;=Imóveis!$Q$5,Dados!$A512&lt;=Imóveis!$T$5),Imóveis!$S$5-(DATEDIF(Imóveis!$Q$5,Dados!$A512,"m")),0))=0,0,((Imóveis!$N$5/Imóveis!$S$5)+((Imóveis!$N$5-((Imóveis!$S$5-(IF(AND(Dados!$A512 &gt;=Imóveis!$Q$5,Dados!$A512&lt;=Imóveis!$T$5),Imóveis!$S$5-(DATEDIF(Imóveis!$Q$5,Dados!$A512,"m")),)))*(Imóveis!$N$5/Imóveis!$S$5)))*Imóveis!$P$5))))*IF(AND(Imóveis!$E$5&gt;0,Dados!$A512&gt;Imóveis!$E$5),0,1)*Imóveis!$I$5</f>
        <v>0</v>
      </c>
      <c r="M512" s="18">
        <f>IF(Imóveis!$F$6="PRICE",IF(AND(Dados!$A512&gt;=Imóveis!$Q$6,Dados!$A512&lt;=Imóveis!$T$6),Imóveis!$U$6,0),IF((IF(AND(Dados!$A512&gt;=Imóveis!$Q$6,Dados!$A512&lt;=Imóveis!$T$6),Imóveis!$S$6-(DATEDIF(Imóveis!$Q$6,Dados!$A512,"m")),0))=0,0,((Imóveis!$N$6/Imóveis!$S$6)+((Imóveis!$N$6-((Imóveis!$S$6-(IF(AND(Dados!$A512&gt;=Imóveis!$Q$6,Dados!$A512&lt;=Imóveis!$T$6),Imóveis!$S$6-(DATEDIF(Imóveis!$Q$6,Dados!$A512,"m")),)))*(Imóveis!$N$6/Imóveis!$S$6)))*Imóveis!$P$6))))*IF(AND(Imóveis!$E$6&gt;0,Dados!$A512&gt;Imóveis!$E$6),0,1)*Imóveis!$I$6</f>
        <v>0</v>
      </c>
      <c r="N512" s="18">
        <f t="shared" ca="1" si="61"/>
        <v>92757</v>
      </c>
      <c r="O512" s="18">
        <f>SUMIFS(Receitas!$F:$F,Receitas!$J:$J,"&lt;="&amp;$A512,Receitas!$L:$L,"&gt;="&amp;$A512,Receitas!$C:$C,O$1,Receitas!$M:$M,"Mensal")+SUMIFS(Receitas!$F:$F,Receitas!$J:$J,"&lt;="&amp;$A512,Receitas!$L:$L,"&gt;="&amp;$A512,Receitas!$C:$C,O$1,Receitas!$M:$M,$B512)</f>
        <v>0</v>
      </c>
      <c r="P512" s="18">
        <f>SUMIFS(Receitas!$F:$F,Receitas!$J:$J,"&lt;="&amp;$A512,Receitas!$L:$L,"&gt;="&amp;$A512,Receitas!$C:$C,P$1,Receitas!$M:$M,"Mensal")+SUMIFS(Receitas!$F:$F,Receitas!$J:$J,"&lt;="&amp;$A512,Receitas!$L:$L,"&gt;="&amp;$A512,Receitas!$C:$C,P$1,Receitas!$M:$M,$B512)</f>
        <v>0</v>
      </c>
      <c r="Q512" s="18">
        <f>SUMIFS(Receitas!$F:$F,Receitas!$J:$J,"&lt;="&amp;$A512,Receitas!$L:$L,"&gt;="&amp;$A512,Receitas!$C:$C,Q$1,Receitas!$M:$M,"Mensal")+SUMIFS(Receitas!$F:$F,Receitas!$J:$J,"&lt;="&amp;$A512,Receitas!$L:$L,"&gt;="&amp;$A512,Receitas!$C:$C,Q$1,Receitas!$M:$M,$B512)</f>
        <v>0</v>
      </c>
      <c r="R512" s="18" cm="1">
        <f t="array" ref="R512">(IF(AND(Membros!$F$2="Sim",A512&lt;=MAX(Membros!$E$2:$E$5)),Membros!K$2,IF(AND(A512&gt;=Membros!J$2,A512&lt;=MAX(Membros!$E$2:$E$5)),Membros!K$2,0))+IF(AND(Membros!$F$3="Sim",A512&lt;=MAX(Membros!$E$2:$E$5)),Membros!K$3,IF(AND(A512&gt;=Membros!J$3,A512&lt;=MAX(Membros!$E$2:$E$5)),Membros!K$3,0)))*IF(AND(COUNTIFS(Tabela3[Tipo],"Provedor",Tabela3[Simulação Seguro],"Sim")=2,A512&gt;=MAX(IF(Tabela3[Tipo]="Dependente",Tabela3[Expectativa de Vida (Data)]))),0,1)</f>
        <v>10000</v>
      </c>
      <c r="S512" s="18">
        <f t="shared" si="62"/>
        <v>10000</v>
      </c>
      <c r="U512" s="18">
        <f t="shared" ca="1" si="65"/>
        <v>32556049.584031329</v>
      </c>
      <c r="V512" s="18">
        <f>SUMIF(Imóveis!E:E,Dados!A:A,Imóveis!Z:Z)-SUMIF(Imóveis!E:E,Dados!A:A,Imóveis!Y:Y)</f>
        <v>0</v>
      </c>
      <c r="W512" s="18">
        <f>-SUMIF(Projetos!N:N,A512,Projetos!F:F)</f>
        <v>0</v>
      </c>
      <c r="X512" s="18">
        <f t="shared" ca="1" si="59"/>
        <v>-82757</v>
      </c>
      <c r="Y512" s="26">
        <f ca="1">(U512*((Indicadores_Economicos!D$2+1)^(1/12)-1))</f>
        <v>106580.03467448379</v>
      </c>
      <c r="Z512" s="18">
        <f t="shared" ca="1" si="63"/>
        <v>32579872.618705813</v>
      </c>
      <c r="AA512" s="18">
        <f ca="1">Auxiliar_Projetos!E512</f>
        <v>2.0706778683528468E-9</v>
      </c>
      <c r="AB512" s="18">
        <f ca="1">Auxiliar_Projetos!K512</f>
        <v>1.5928291295021883E-9</v>
      </c>
      <c r="AC512" s="18">
        <f ca="1">IF(Z512-AA512-AB512&gt;Investimentos!$C$14,Investimentos!$C$14,IF(Z512-AA512-AB512&lt;Investimentos!$C$14,Z512-AA512-AB512,0))</f>
        <v>300000</v>
      </c>
      <c r="AD512" s="18">
        <f t="shared" ca="1" si="64"/>
        <v>32279872.618705809</v>
      </c>
      <c r="AE512" s="18"/>
    </row>
    <row r="513" spans="1:31" x14ac:dyDescent="0.2">
      <c r="A513" s="4">
        <v>61210</v>
      </c>
      <c r="B513" s="5" t="str">
        <f t="shared" si="60"/>
        <v>agosto</v>
      </c>
      <c r="C513" s="5" t="str">
        <f t="shared" si="66"/>
        <v>2067</v>
      </c>
      <c r="D513" s="5">
        <f>SUMIFS(Despesas!$F:$F,Despesas!$J:$J,"&lt;="&amp;$A513,Despesas!$L:$L,"&gt;="&amp;$A513,Despesas!$C:$C,D$1,Despesas!$M:$M,"Mensal")+SUMIFS(Despesas!$F:$F,Despesas!$J:$J,"&lt;="&amp;$A513,Despesas!$L:$L,"&gt;="&amp;$A513,Despesas!$C:$C,D$1,Despesas!$M:$M,$B513)</f>
        <v>23000</v>
      </c>
      <c r="E513" s="18">
        <f>SUMIFS(Despesas!$F:$F,Despesas!$J:$J,"&lt;="&amp;$A513,Despesas!$L:$L,"&gt;="&amp;$A513,Despesas!$C:$C,E$1,Despesas!$M:$M,"Mensal")+SUMIFS(Despesas!$F:$F,Despesas!$J:$J,"&lt;="&amp;$A513,Despesas!$L:$L,"&gt;="&amp;$A513,Despesas!$C:$C,E$1,Despesas!$M:$M,$B513)</f>
        <v>0</v>
      </c>
      <c r="F513" s="5">
        <f>SUMIFS(Despesas!$F:$F,Despesas!$J:$J,"&lt;="&amp;$A513,Despesas!$L:$L,"&gt;="&amp;$A513,Despesas!$C:$C,F$1,Despesas!$M:$M,"Mensal")+SUMIFS(Despesas!$F:$F,Despesas!$J:$J,"&lt;="&amp;$A513,Despesas!$L:$L,"&gt;="&amp;$A513,Despesas!$C:$C,F$1,Despesas!$M:$M,$B513)</f>
        <v>13000</v>
      </c>
      <c r="G513" s="5">
        <f>SUMIFS(Despesas!$F:$F,Despesas!$J:$J,"&lt;="&amp;$A513,Despesas!$L:$L,"&gt;="&amp;$A513,Despesas!$C:$C,G$1,Despesas!$M:$M,"Mensal")+SUMIFS(Despesas!$F:$F,Despesas!$J:$J,"&lt;="&amp;$A513,Despesas!$L:$L,"&gt;="&amp;$A513,Despesas!$C:$C,G$1,Despesas!$M:$M,$B513)</f>
        <v>0</v>
      </c>
      <c r="H513" s="18">
        <f>SUMIFS(Despesas!$F:$F,Despesas!$J:$J,"&lt;="&amp;$A513,Despesas!$L:$L,"&gt;="&amp;$A513,Despesas!$C:$C,H$1,Despesas!$M:$M,"Mensal")+SUMIFS(Despesas!$F:$F,Despesas!$J:$J,"&lt;="&amp;$A513,Despesas!$L:$L,"&gt;="&amp;$A513,Despesas!$C:$C,H$1,Despesas!$M:$M,$B513)</f>
        <v>1000</v>
      </c>
      <c r="I513" s="18">
        <f>IF(Imóveis!$F$2="PRICE",IF(AND(Dados!$A513&gt;=Imóveis!$Q$2,Dados!$A513&lt;=Imóveis!$T$2),Imóveis!$U$2,0),IF((IF(AND(Dados!$A513&gt;=Imóveis!$Q$2,Dados!$A513&lt;=Imóveis!$T$2),Imóveis!$S$2-(DATEDIF(Imóveis!$Q$2,Dados!$A513,"m")),0))=0,0,((Imóveis!$N$2/Imóveis!$S$2)+((Imóveis!$N$2-((Imóveis!$S$2-(IF(AND(Dados!$A513&gt;=Imóveis!$Q$2,Dados!$A513&lt;=Imóveis!$T$2),Imóveis!$S$2-(DATEDIF(Imóveis!$Q$2,Dados!$A513,"m")),)))*(Imóveis!$N$2/Imóveis!$S$2)))*Imóveis!$P$2))))*IF(AND(Imóveis!$E$2&gt;0,Dados!$A513&gt;Imóveis!$E$2),0,1)</f>
        <v>0</v>
      </c>
      <c r="J513" s="18">
        <f>IF(Imóveis!$F$3="PRICE",IF(AND(Dados!$A513&gt;=Imóveis!$Q$3,Dados!$A513&lt;=Imóveis!$T$3),Imóveis!$U$3,0),IF((IF(AND(Dados!$A513&gt;=Imóveis!$Q$3,Dados!$A513&lt;=Imóveis!$T$3),Imóveis!$S$3-(DATEDIF(Imóveis!$Q$3,Dados!$A513,"m")),0))=0,0,((Imóveis!$N$3/Imóveis!$S$3)+((Imóveis!$N$3-((Imóveis!$S$3-(IF(AND(Dados!$A513&gt;=Imóveis!$Q$3,Dados!$A513&lt;=Imóveis!$T$3),Imóveis!$S$3-(DATEDIF(Imóveis!$Q$3,Dados!$A513,"m")),)))*(Imóveis!$N$3/Imóveis!$S$3)))*Imóveis!$P$3))))*IF(AND(Imóveis!$E$3&gt;0,Dados!$A513&gt;Imóveis!$E$3),0,1)</f>
        <v>0</v>
      </c>
      <c r="K513" s="18">
        <f>IF(Imóveis!$F$4="PRICE",IF(AND(Dados!$A513&gt;=Imóveis!$Q$4,Dados!$A513&lt;=Imóveis!$T$4),Imóveis!$U$4,0),IF((IF(AND(Dados!$A513&gt;=Imóveis!$Q$4,Dados!$A513&lt;=Imóveis!$T$4),Imóveis!$S$4-(DATEDIF(Imóveis!$Q$4,Dados!$A513,"m")),0))=0,0,((Imóveis!$N$4/Imóveis!$S$4)+((Imóveis!$N$4-((Imóveis!$S$4-(IF(AND(Dados!$A513&gt;=Imóveis!$Q$4,Dados!$A513&lt;=Imóveis!$T$4),Imóveis!$S$4-(DATEDIF(Imóveis!$Q$4,Dados!$A513,"m")),)))*(Imóveis!$N$4/Imóveis!$S$4)))*Imóveis!$P$4))))*IF(AND(Imóveis!$E$4&gt;0,Dados!$A513&gt;Imóveis!$E$4),0,1)</f>
        <v>0</v>
      </c>
      <c r="L513" s="18">
        <f>IF(Imóveis!$F$5="PRICE",IF(AND(Dados!$A513&gt;=Imóveis!$Q$5,Dados!$A513&lt;=Imóveis!$T$5),Imóveis!$U$5,0),IF((IF(AND(Dados!$A513&gt;=Imóveis!$Q$5,Dados!$A513&lt;=Imóveis!$T$5),Imóveis!$S$5-(DATEDIF(Imóveis!$Q$5,Dados!$A513,"m")),0))=0,0,((Imóveis!$N$5/Imóveis!$S$5)+((Imóveis!$N$5-((Imóveis!$S$5-(IF(AND(Dados!$A513 &gt;=Imóveis!$Q$5,Dados!$A513&lt;=Imóveis!$T$5),Imóveis!$S$5-(DATEDIF(Imóveis!$Q$5,Dados!$A513,"m")),)))*(Imóveis!$N$5/Imóveis!$S$5)))*Imóveis!$P$5))))*IF(AND(Imóveis!$E$5&gt;0,Dados!$A513&gt;Imóveis!$E$5),0,1)*Imóveis!$I$5</f>
        <v>0</v>
      </c>
      <c r="M513" s="18">
        <f>IF(Imóveis!$F$6="PRICE",IF(AND(Dados!$A513&gt;=Imóveis!$Q$6,Dados!$A513&lt;=Imóveis!$T$6),Imóveis!$U$6,0),IF((IF(AND(Dados!$A513&gt;=Imóveis!$Q$6,Dados!$A513&lt;=Imóveis!$T$6),Imóveis!$S$6-(DATEDIF(Imóveis!$Q$6,Dados!$A513,"m")),0))=0,0,((Imóveis!$N$6/Imóveis!$S$6)+((Imóveis!$N$6-((Imóveis!$S$6-(IF(AND(Dados!$A513&gt;=Imóveis!$Q$6,Dados!$A513&lt;=Imóveis!$T$6),Imóveis!$S$6-(DATEDIF(Imóveis!$Q$6,Dados!$A513,"m")),)))*(Imóveis!$N$6/Imóveis!$S$6)))*Imóveis!$P$6))))*IF(AND(Imóveis!$E$6&gt;0,Dados!$A513&gt;Imóveis!$E$6),0,1)*Imóveis!$I$6</f>
        <v>0</v>
      </c>
      <c r="N513" s="18">
        <f t="shared" si="61"/>
        <v>37000</v>
      </c>
      <c r="O513" s="18">
        <f>SUMIFS(Receitas!$F:$F,Receitas!$J:$J,"&lt;="&amp;$A513,Receitas!$L:$L,"&gt;="&amp;$A513,Receitas!$C:$C,O$1,Receitas!$M:$M,"Mensal")+SUMIFS(Receitas!$F:$F,Receitas!$J:$J,"&lt;="&amp;$A513,Receitas!$L:$L,"&gt;="&amp;$A513,Receitas!$C:$C,O$1,Receitas!$M:$M,$B513)</f>
        <v>0</v>
      </c>
      <c r="P513" s="18">
        <f>SUMIFS(Receitas!$F:$F,Receitas!$J:$J,"&lt;="&amp;$A513,Receitas!$L:$L,"&gt;="&amp;$A513,Receitas!$C:$C,P$1,Receitas!$M:$M,"Mensal")+SUMIFS(Receitas!$F:$F,Receitas!$J:$J,"&lt;="&amp;$A513,Receitas!$L:$L,"&gt;="&amp;$A513,Receitas!$C:$C,P$1,Receitas!$M:$M,$B513)</f>
        <v>0</v>
      </c>
      <c r="Q513" s="18">
        <f>SUMIFS(Receitas!$F:$F,Receitas!$J:$J,"&lt;="&amp;$A513,Receitas!$L:$L,"&gt;="&amp;$A513,Receitas!$C:$C,Q$1,Receitas!$M:$M,"Mensal")+SUMIFS(Receitas!$F:$F,Receitas!$J:$J,"&lt;="&amp;$A513,Receitas!$L:$L,"&gt;="&amp;$A513,Receitas!$C:$C,Q$1,Receitas!$M:$M,$B513)</f>
        <v>0</v>
      </c>
      <c r="R513" s="18" cm="1">
        <f t="array" ref="R513">(IF(AND(Membros!$F$2="Sim",A513&lt;=MAX(Membros!$E$2:$E$5)),Membros!K$2,IF(AND(A513&gt;=Membros!J$2,A513&lt;=MAX(Membros!$E$2:$E$5)),Membros!K$2,0))+IF(AND(Membros!$F$3="Sim",A513&lt;=MAX(Membros!$E$2:$E$5)),Membros!K$3,IF(AND(A513&gt;=Membros!J$3,A513&lt;=MAX(Membros!$E$2:$E$5)),Membros!K$3,0)))*IF(AND(COUNTIFS(Tabela3[Tipo],"Provedor",Tabela3[Simulação Seguro],"Sim")=2,A513&gt;=MAX(IF(Tabela3[Tipo]="Dependente",Tabela3[Expectativa de Vida (Data)]))),0,1)</f>
        <v>10000</v>
      </c>
      <c r="S513" s="18">
        <f t="shared" si="62"/>
        <v>10000</v>
      </c>
      <c r="U513" s="18">
        <f t="shared" ca="1" si="65"/>
        <v>32579872.618705813</v>
      </c>
      <c r="V513" s="18">
        <f>SUMIF(Imóveis!E:E,Dados!A:A,Imóveis!Z:Z)-SUMIF(Imóveis!E:E,Dados!A:A,Imóveis!Y:Y)</f>
        <v>0</v>
      </c>
      <c r="W513" s="18">
        <f>-SUMIF(Projetos!N:N,A513,Projetos!F:F)</f>
        <v>0</v>
      </c>
      <c r="X513" s="18">
        <f t="shared" si="59"/>
        <v>-27000</v>
      </c>
      <c r="Y513" s="26">
        <f ca="1">(U513*((Indicadores_Economicos!D$2+1)^(1/12)-1))</f>
        <v>106658.02509083034</v>
      </c>
      <c r="Z513" s="18">
        <f t="shared" ca="1" si="63"/>
        <v>32659530.643796641</v>
      </c>
      <c r="AA513" s="18">
        <f ca="1">Auxiliar_Projetos!E513</f>
        <v>2.0774567288665923E-9</v>
      </c>
      <c r="AB513" s="18">
        <f ca="1">Auxiliar_Projetos!K513</f>
        <v>1.5980436375896849E-9</v>
      </c>
      <c r="AC513" s="18">
        <f ca="1">IF(Z513-AA513-AB513&gt;Investimentos!$C$14,Investimentos!$C$14,IF(Z513-AA513-AB513&lt;Investimentos!$C$14,Z513-AA513-AB513,0))</f>
        <v>300000</v>
      </c>
      <c r="AD513" s="18">
        <f t="shared" ca="1" si="64"/>
        <v>32359530.643796638</v>
      </c>
      <c r="AE513" s="18"/>
    </row>
    <row r="514" spans="1:31" x14ac:dyDescent="0.2">
      <c r="A514" s="4">
        <v>61241</v>
      </c>
      <c r="B514" s="5" t="str">
        <f t="shared" si="60"/>
        <v>setembro</v>
      </c>
      <c r="C514" s="5" t="str">
        <f t="shared" si="66"/>
        <v>2067</v>
      </c>
      <c r="D514" s="5">
        <f>SUMIFS(Despesas!$F:$F,Despesas!$J:$J,"&lt;="&amp;$A514,Despesas!$L:$L,"&gt;="&amp;$A514,Despesas!$C:$C,D$1,Despesas!$M:$M,"Mensal")+SUMIFS(Despesas!$F:$F,Despesas!$J:$J,"&lt;="&amp;$A514,Despesas!$L:$L,"&gt;="&amp;$A514,Despesas!$C:$C,D$1,Despesas!$M:$M,$B514)</f>
        <v>23000</v>
      </c>
      <c r="E514" s="18">
        <f>SUMIFS(Despesas!$F:$F,Despesas!$J:$J,"&lt;="&amp;$A514,Despesas!$L:$L,"&gt;="&amp;$A514,Despesas!$C:$C,E$1,Despesas!$M:$M,"Mensal")+SUMIFS(Despesas!$F:$F,Despesas!$J:$J,"&lt;="&amp;$A514,Despesas!$L:$L,"&gt;="&amp;$A514,Despesas!$C:$C,E$1,Despesas!$M:$M,$B514)</f>
        <v>0</v>
      </c>
      <c r="F514" s="5">
        <f>SUMIFS(Despesas!$F:$F,Despesas!$J:$J,"&lt;="&amp;$A514,Despesas!$L:$L,"&gt;="&amp;$A514,Despesas!$C:$C,F$1,Despesas!$M:$M,"Mensal")+SUMIFS(Despesas!$F:$F,Despesas!$J:$J,"&lt;="&amp;$A514,Despesas!$L:$L,"&gt;="&amp;$A514,Despesas!$C:$C,F$1,Despesas!$M:$M,$B514)</f>
        <v>13000</v>
      </c>
      <c r="G514" s="5">
        <f>SUMIFS(Despesas!$F:$F,Despesas!$J:$J,"&lt;="&amp;$A514,Despesas!$L:$L,"&gt;="&amp;$A514,Despesas!$C:$C,G$1,Despesas!$M:$M,"Mensal")+SUMIFS(Despesas!$F:$F,Despesas!$J:$J,"&lt;="&amp;$A514,Despesas!$L:$L,"&gt;="&amp;$A514,Despesas!$C:$C,G$1,Despesas!$M:$M,$B514)</f>
        <v>0</v>
      </c>
      <c r="H514" s="18">
        <f>SUMIFS(Despesas!$F:$F,Despesas!$J:$J,"&lt;="&amp;$A514,Despesas!$L:$L,"&gt;="&amp;$A514,Despesas!$C:$C,H$1,Despesas!$M:$M,"Mensal")+SUMIFS(Despesas!$F:$F,Despesas!$J:$J,"&lt;="&amp;$A514,Despesas!$L:$L,"&gt;="&amp;$A514,Despesas!$C:$C,H$1,Despesas!$M:$M,$B514)</f>
        <v>1000</v>
      </c>
      <c r="I514" s="18">
        <f>IF(Imóveis!$F$2="PRICE",IF(AND(Dados!$A514&gt;=Imóveis!$Q$2,Dados!$A514&lt;=Imóveis!$T$2),Imóveis!$U$2,0),IF((IF(AND(Dados!$A514&gt;=Imóveis!$Q$2,Dados!$A514&lt;=Imóveis!$T$2),Imóveis!$S$2-(DATEDIF(Imóveis!$Q$2,Dados!$A514,"m")),0))=0,0,((Imóveis!$N$2/Imóveis!$S$2)+((Imóveis!$N$2-((Imóveis!$S$2-(IF(AND(Dados!$A514&gt;=Imóveis!$Q$2,Dados!$A514&lt;=Imóveis!$T$2),Imóveis!$S$2-(DATEDIF(Imóveis!$Q$2,Dados!$A514,"m")),)))*(Imóveis!$N$2/Imóveis!$S$2)))*Imóveis!$P$2))))*IF(AND(Imóveis!$E$2&gt;0,Dados!$A514&gt;Imóveis!$E$2),0,1)</f>
        <v>0</v>
      </c>
      <c r="J514" s="18">
        <f>IF(Imóveis!$F$3="PRICE",IF(AND(Dados!$A514&gt;=Imóveis!$Q$3,Dados!$A514&lt;=Imóveis!$T$3),Imóveis!$U$3,0),IF((IF(AND(Dados!$A514&gt;=Imóveis!$Q$3,Dados!$A514&lt;=Imóveis!$T$3),Imóveis!$S$3-(DATEDIF(Imóveis!$Q$3,Dados!$A514,"m")),0))=0,0,((Imóveis!$N$3/Imóveis!$S$3)+((Imóveis!$N$3-((Imóveis!$S$3-(IF(AND(Dados!$A514&gt;=Imóveis!$Q$3,Dados!$A514&lt;=Imóveis!$T$3),Imóveis!$S$3-(DATEDIF(Imóveis!$Q$3,Dados!$A514,"m")),)))*(Imóveis!$N$3/Imóveis!$S$3)))*Imóveis!$P$3))))*IF(AND(Imóveis!$E$3&gt;0,Dados!$A514&gt;Imóveis!$E$3),0,1)</f>
        <v>0</v>
      </c>
      <c r="K514" s="18">
        <f>IF(Imóveis!$F$4="PRICE",IF(AND(Dados!$A514&gt;=Imóveis!$Q$4,Dados!$A514&lt;=Imóveis!$T$4),Imóveis!$U$4,0),IF((IF(AND(Dados!$A514&gt;=Imóveis!$Q$4,Dados!$A514&lt;=Imóveis!$T$4),Imóveis!$S$4-(DATEDIF(Imóveis!$Q$4,Dados!$A514,"m")),0))=0,0,((Imóveis!$N$4/Imóveis!$S$4)+((Imóveis!$N$4-((Imóveis!$S$4-(IF(AND(Dados!$A514&gt;=Imóveis!$Q$4,Dados!$A514&lt;=Imóveis!$T$4),Imóveis!$S$4-(DATEDIF(Imóveis!$Q$4,Dados!$A514,"m")),)))*(Imóveis!$N$4/Imóveis!$S$4)))*Imóveis!$P$4))))*IF(AND(Imóveis!$E$4&gt;0,Dados!$A514&gt;Imóveis!$E$4),0,1)</f>
        <v>0</v>
      </c>
      <c r="L514" s="18">
        <f>IF(Imóveis!$F$5="PRICE",IF(AND(Dados!$A514&gt;=Imóveis!$Q$5,Dados!$A514&lt;=Imóveis!$T$5),Imóveis!$U$5,0),IF((IF(AND(Dados!$A514&gt;=Imóveis!$Q$5,Dados!$A514&lt;=Imóveis!$T$5),Imóveis!$S$5-(DATEDIF(Imóveis!$Q$5,Dados!$A514,"m")),0))=0,0,((Imóveis!$N$5/Imóveis!$S$5)+((Imóveis!$N$5-((Imóveis!$S$5-(IF(AND(Dados!$A514 &gt;=Imóveis!$Q$5,Dados!$A514&lt;=Imóveis!$T$5),Imóveis!$S$5-(DATEDIF(Imóveis!$Q$5,Dados!$A514,"m")),)))*(Imóveis!$N$5/Imóveis!$S$5)))*Imóveis!$P$5))))*IF(AND(Imóveis!$E$5&gt;0,Dados!$A514&gt;Imóveis!$E$5),0,1)*Imóveis!$I$5</f>
        <v>0</v>
      </c>
      <c r="M514" s="18">
        <f>IF(Imóveis!$F$6="PRICE",IF(AND(Dados!$A514&gt;=Imóveis!$Q$6,Dados!$A514&lt;=Imóveis!$T$6),Imóveis!$U$6,0),IF((IF(AND(Dados!$A514&gt;=Imóveis!$Q$6,Dados!$A514&lt;=Imóveis!$T$6),Imóveis!$S$6-(DATEDIF(Imóveis!$Q$6,Dados!$A514,"m")),0))=0,0,((Imóveis!$N$6/Imóveis!$S$6)+((Imóveis!$N$6-((Imóveis!$S$6-(IF(AND(Dados!$A514&gt;=Imóveis!$Q$6,Dados!$A514&lt;=Imóveis!$T$6),Imóveis!$S$6-(DATEDIF(Imóveis!$Q$6,Dados!$A514,"m")),)))*(Imóveis!$N$6/Imóveis!$S$6)))*Imóveis!$P$6))))*IF(AND(Imóveis!$E$6&gt;0,Dados!$A514&gt;Imóveis!$E$6),0,1)*Imóveis!$I$6</f>
        <v>0</v>
      </c>
      <c r="N514" s="18">
        <f t="shared" si="61"/>
        <v>37000</v>
      </c>
      <c r="O514" s="18">
        <f>SUMIFS(Receitas!$F:$F,Receitas!$J:$J,"&lt;="&amp;$A514,Receitas!$L:$L,"&gt;="&amp;$A514,Receitas!$C:$C,O$1,Receitas!$M:$M,"Mensal")+SUMIFS(Receitas!$F:$F,Receitas!$J:$J,"&lt;="&amp;$A514,Receitas!$L:$L,"&gt;="&amp;$A514,Receitas!$C:$C,O$1,Receitas!$M:$M,$B514)</f>
        <v>0</v>
      </c>
      <c r="P514" s="18">
        <f>SUMIFS(Receitas!$F:$F,Receitas!$J:$J,"&lt;="&amp;$A514,Receitas!$L:$L,"&gt;="&amp;$A514,Receitas!$C:$C,P$1,Receitas!$M:$M,"Mensal")+SUMIFS(Receitas!$F:$F,Receitas!$J:$J,"&lt;="&amp;$A514,Receitas!$L:$L,"&gt;="&amp;$A514,Receitas!$C:$C,P$1,Receitas!$M:$M,$B514)</f>
        <v>0</v>
      </c>
      <c r="Q514" s="18">
        <f>SUMIFS(Receitas!$F:$F,Receitas!$J:$J,"&lt;="&amp;$A514,Receitas!$L:$L,"&gt;="&amp;$A514,Receitas!$C:$C,Q$1,Receitas!$M:$M,"Mensal")+SUMIFS(Receitas!$F:$F,Receitas!$J:$J,"&lt;="&amp;$A514,Receitas!$L:$L,"&gt;="&amp;$A514,Receitas!$C:$C,Q$1,Receitas!$M:$M,$B514)</f>
        <v>0</v>
      </c>
      <c r="R514" s="18" cm="1">
        <f t="array" ref="R514">(IF(AND(Membros!$F$2="Sim",A514&lt;=MAX(Membros!$E$2:$E$5)),Membros!K$2,IF(AND(A514&gt;=Membros!J$2,A514&lt;=MAX(Membros!$E$2:$E$5)),Membros!K$2,0))+IF(AND(Membros!$F$3="Sim",A514&lt;=MAX(Membros!$E$2:$E$5)),Membros!K$3,IF(AND(A514&gt;=Membros!J$3,A514&lt;=MAX(Membros!$E$2:$E$5)),Membros!K$3,0)))*IF(AND(COUNTIFS(Tabela3[Tipo],"Provedor",Tabela3[Simulação Seguro],"Sim")=2,A514&gt;=MAX(IF(Tabela3[Tipo]="Dependente",Tabela3[Expectativa de Vida (Data)]))),0,1)</f>
        <v>10000</v>
      </c>
      <c r="S514" s="18">
        <f t="shared" si="62"/>
        <v>10000</v>
      </c>
      <c r="U514" s="18">
        <f t="shared" ca="1" si="65"/>
        <v>32659530.643796641</v>
      </c>
      <c r="V514" s="18">
        <f>SUMIF(Imóveis!E:E,Dados!A:A,Imóveis!Z:Z)-SUMIF(Imóveis!E:E,Dados!A:A,Imóveis!Y:Y)</f>
        <v>0</v>
      </c>
      <c r="W514" s="18">
        <f>-SUMIF(Projetos!N:N,A514,Projetos!F:F)</f>
        <v>0</v>
      </c>
      <c r="X514" s="18">
        <f t="shared" ref="X514:X577" si="67">(S514-N514)</f>
        <v>-27000</v>
      </c>
      <c r="Y514" s="26">
        <f ca="1">(U514*((Indicadores_Economicos!D$2+1)^(1/12)-1))</f>
        <v>106918.80473654158</v>
      </c>
      <c r="Z514" s="18">
        <f t="shared" ca="1" si="63"/>
        <v>32739449.448533185</v>
      </c>
      <c r="AA514" s="18">
        <f ca="1">Auxiliar_Projetos!E514</f>
        <v>2.0842577816056796E-9</v>
      </c>
      <c r="AB514" s="18">
        <f ca="1">Auxiliar_Projetos!K514</f>
        <v>1.6032752166197521E-9</v>
      </c>
      <c r="AC514" s="18">
        <f ca="1">IF(Z514-AA514-AB514&gt;Investimentos!$C$14,Investimentos!$C$14,IF(Z514-AA514-AB514&lt;Investimentos!$C$14,Z514-AA514-AB514,0))</f>
        <v>300000</v>
      </c>
      <c r="AD514" s="18">
        <f t="shared" ca="1" si="64"/>
        <v>32439449.448533181</v>
      </c>
      <c r="AE514" s="18"/>
    </row>
    <row r="515" spans="1:31" x14ac:dyDescent="0.2">
      <c r="A515" s="4">
        <v>61271</v>
      </c>
      <c r="B515" s="5" t="str">
        <f t="shared" ref="B515:B578" si="68">TEXT(A515,"MMMM")</f>
        <v>outubro</v>
      </c>
      <c r="C515" s="5" t="str">
        <f t="shared" si="66"/>
        <v>2067</v>
      </c>
      <c r="D515" s="5">
        <f>SUMIFS(Despesas!$F:$F,Despesas!$J:$J,"&lt;="&amp;$A515,Despesas!$L:$L,"&gt;="&amp;$A515,Despesas!$C:$C,D$1,Despesas!$M:$M,"Mensal")+SUMIFS(Despesas!$F:$F,Despesas!$J:$J,"&lt;="&amp;$A515,Despesas!$L:$L,"&gt;="&amp;$A515,Despesas!$C:$C,D$1,Despesas!$M:$M,$B515)</f>
        <v>23000</v>
      </c>
      <c r="E515" s="18">
        <f>SUMIFS(Despesas!$F:$F,Despesas!$J:$J,"&lt;="&amp;$A515,Despesas!$L:$L,"&gt;="&amp;$A515,Despesas!$C:$C,E$1,Despesas!$M:$M,"Mensal")+SUMIFS(Despesas!$F:$F,Despesas!$J:$J,"&lt;="&amp;$A515,Despesas!$L:$L,"&gt;="&amp;$A515,Despesas!$C:$C,E$1,Despesas!$M:$M,$B515)</f>
        <v>0</v>
      </c>
      <c r="F515" s="5">
        <f>SUMIFS(Despesas!$F:$F,Despesas!$J:$J,"&lt;="&amp;$A515,Despesas!$L:$L,"&gt;="&amp;$A515,Despesas!$C:$C,F$1,Despesas!$M:$M,"Mensal")+SUMIFS(Despesas!$F:$F,Despesas!$J:$J,"&lt;="&amp;$A515,Despesas!$L:$L,"&gt;="&amp;$A515,Despesas!$C:$C,F$1,Despesas!$M:$M,$B515)</f>
        <v>13000</v>
      </c>
      <c r="G515" s="5">
        <f>SUMIFS(Despesas!$F:$F,Despesas!$J:$J,"&lt;="&amp;$A515,Despesas!$L:$L,"&gt;="&amp;$A515,Despesas!$C:$C,G$1,Despesas!$M:$M,"Mensal")+SUMIFS(Despesas!$F:$F,Despesas!$J:$J,"&lt;="&amp;$A515,Despesas!$L:$L,"&gt;="&amp;$A515,Despesas!$C:$C,G$1,Despesas!$M:$M,$B515)</f>
        <v>0</v>
      </c>
      <c r="H515" s="18">
        <f>SUMIFS(Despesas!$F:$F,Despesas!$J:$J,"&lt;="&amp;$A515,Despesas!$L:$L,"&gt;="&amp;$A515,Despesas!$C:$C,H$1,Despesas!$M:$M,"Mensal")+SUMIFS(Despesas!$F:$F,Despesas!$J:$J,"&lt;="&amp;$A515,Despesas!$L:$L,"&gt;="&amp;$A515,Despesas!$C:$C,H$1,Despesas!$M:$M,$B515)</f>
        <v>1000</v>
      </c>
      <c r="I515" s="18">
        <f>IF(Imóveis!$F$2="PRICE",IF(AND(Dados!$A515&gt;=Imóveis!$Q$2,Dados!$A515&lt;=Imóveis!$T$2),Imóveis!$U$2,0),IF((IF(AND(Dados!$A515&gt;=Imóveis!$Q$2,Dados!$A515&lt;=Imóveis!$T$2),Imóveis!$S$2-(DATEDIF(Imóveis!$Q$2,Dados!$A515,"m")),0))=0,0,((Imóveis!$N$2/Imóveis!$S$2)+((Imóveis!$N$2-((Imóveis!$S$2-(IF(AND(Dados!$A515&gt;=Imóveis!$Q$2,Dados!$A515&lt;=Imóveis!$T$2),Imóveis!$S$2-(DATEDIF(Imóveis!$Q$2,Dados!$A515,"m")),)))*(Imóveis!$N$2/Imóveis!$S$2)))*Imóveis!$P$2))))*IF(AND(Imóveis!$E$2&gt;0,Dados!$A515&gt;Imóveis!$E$2),0,1)</f>
        <v>0</v>
      </c>
      <c r="J515" s="18">
        <f>IF(Imóveis!$F$3="PRICE",IF(AND(Dados!$A515&gt;=Imóveis!$Q$3,Dados!$A515&lt;=Imóveis!$T$3),Imóveis!$U$3,0),IF((IF(AND(Dados!$A515&gt;=Imóveis!$Q$3,Dados!$A515&lt;=Imóveis!$T$3),Imóveis!$S$3-(DATEDIF(Imóveis!$Q$3,Dados!$A515,"m")),0))=0,0,((Imóveis!$N$3/Imóveis!$S$3)+((Imóveis!$N$3-((Imóveis!$S$3-(IF(AND(Dados!$A515&gt;=Imóveis!$Q$3,Dados!$A515&lt;=Imóveis!$T$3),Imóveis!$S$3-(DATEDIF(Imóveis!$Q$3,Dados!$A515,"m")),)))*(Imóveis!$N$3/Imóveis!$S$3)))*Imóveis!$P$3))))*IF(AND(Imóveis!$E$3&gt;0,Dados!$A515&gt;Imóveis!$E$3),0,1)</f>
        <v>0</v>
      </c>
      <c r="K515" s="18">
        <f>IF(Imóveis!$F$4="PRICE",IF(AND(Dados!$A515&gt;=Imóveis!$Q$4,Dados!$A515&lt;=Imóveis!$T$4),Imóveis!$U$4,0),IF((IF(AND(Dados!$A515&gt;=Imóveis!$Q$4,Dados!$A515&lt;=Imóveis!$T$4),Imóveis!$S$4-(DATEDIF(Imóveis!$Q$4,Dados!$A515,"m")),0))=0,0,((Imóveis!$N$4/Imóveis!$S$4)+((Imóveis!$N$4-((Imóveis!$S$4-(IF(AND(Dados!$A515&gt;=Imóveis!$Q$4,Dados!$A515&lt;=Imóveis!$T$4),Imóveis!$S$4-(DATEDIF(Imóveis!$Q$4,Dados!$A515,"m")),)))*(Imóveis!$N$4/Imóveis!$S$4)))*Imóveis!$P$4))))*IF(AND(Imóveis!$E$4&gt;0,Dados!$A515&gt;Imóveis!$E$4),0,1)</f>
        <v>0</v>
      </c>
      <c r="L515" s="18">
        <f>IF(Imóveis!$F$5="PRICE",IF(AND(Dados!$A515&gt;=Imóveis!$Q$5,Dados!$A515&lt;=Imóveis!$T$5),Imóveis!$U$5,0),IF((IF(AND(Dados!$A515&gt;=Imóveis!$Q$5,Dados!$A515&lt;=Imóveis!$T$5),Imóveis!$S$5-(DATEDIF(Imóveis!$Q$5,Dados!$A515,"m")),0))=0,0,((Imóveis!$N$5/Imóveis!$S$5)+((Imóveis!$N$5-((Imóveis!$S$5-(IF(AND(Dados!$A515 &gt;=Imóveis!$Q$5,Dados!$A515&lt;=Imóveis!$T$5),Imóveis!$S$5-(DATEDIF(Imóveis!$Q$5,Dados!$A515,"m")),)))*(Imóveis!$N$5/Imóveis!$S$5)))*Imóveis!$P$5))))*IF(AND(Imóveis!$E$5&gt;0,Dados!$A515&gt;Imóveis!$E$5),0,1)*Imóveis!$I$5</f>
        <v>0</v>
      </c>
      <c r="M515" s="18">
        <f>IF(Imóveis!$F$6="PRICE",IF(AND(Dados!$A515&gt;=Imóveis!$Q$6,Dados!$A515&lt;=Imóveis!$T$6),Imóveis!$U$6,0),IF((IF(AND(Dados!$A515&gt;=Imóveis!$Q$6,Dados!$A515&lt;=Imóveis!$T$6),Imóveis!$S$6-(DATEDIF(Imóveis!$Q$6,Dados!$A515,"m")),0))=0,0,((Imóveis!$N$6/Imóveis!$S$6)+((Imóveis!$N$6-((Imóveis!$S$6-(IF(AND(Dados!$A515&gt;=Imóveis!$Q$6,Dados!$A515&lt;=Imóveis!$T$6),Imóveis!$S$6-(DATEDIF(Imóveis!$Q$6,Dados!$A515,"m")),)))*(Imóveis!$N$6/Imóveis!$S$6)))*Imóveis!$P$6))))*IF(AND(Imóveis!$E$6&gt;0,Dados!$A515&gt;Imóveis!$E$6),0,1)*Imóveis!$I$6</f>
        <v>0</v>
      </c>
      <c r="N515" s="18">
        <f t="shared" ref="N515:N578" si="69">SUM(D515:M515)</f>
        <v>37000</v>
      </c>
      <c r="O515" s="18">
        <f>SUMIFS(Receitas!$F:$F,Receitas!$J:$J,"&lt;="&amp;$A515,Receitas!$L:$L,"&gt;="&amp;$A515,Receitas!$C:$C,O$1,Receitas!$M:$M,"Mensal")+SUMIFS(Receitas!$F:$F,Receitas!$J:$J,"&lt;="&amp;$A515,Receitas!$L:$L,"&gt;="&amp;$A515,Receitas!$C:$C,O$1,Receitas!$M:$M,$B515)</f>
        <v>0</v>
      </c>
      <c r="P515" s="18">
        <f>SUMIFS(Receitas!$F:$F,Receitas!$J:$J,"&lt;="&amp;$A515,Receitas!$L:$L,"&gt;="&amp;$A515,Receitas!$C:$C,P$1,Receitas!$M:$M,"Mensal")+SUMIFS(Receitas!$F:$F,Receitas!$J:$J,"&lt;="&amp;$A515,Receitas!$L:$L,"&gt;="&amp;$A515,Receitas!$C:$C,P$1,Receitas!$M:$M,$B515)</f>
        <v>0</v>
      </c>
      <c r="Q515" s="18">
        <f>SUMIFS(Receitas!$F:$F,Receitas!$J:$J,"&lt;="&amp;$A515,Receitas!$L:$L,"&gt;="&amp;$A515,Receitas!$C:$C,Q$1,Receitas!$M:$M,"Mensal")+SUMIFS(Receitas!$F:$F,Receitas!$J:$J,"&lt;="&amp;$A515,Receitas!$L:$L,"&gt;="&amp;$A515,Receitas!$C:$C,Q$1,Receitas!$M:$M,$B515)</f>
        <v>0</v>
      </c>
      <c r="R515" s="18" cm="1">
        <f t="array" ref="R515">(IF(AND(Membros!$F$2="Sim",A515&lt;=MAX(Membros!$E$2:$E$5)),Membros!K$2,IF(AND(A515&gt;=Membros!J$2,A515&lt;=MAX(Membros!$E$2:$E$5)),Membros!K$2,0))+IF(AND(Membros!$F$3="Sim",A515&lt;=MAX(Membros!$E$2:$E$5)),Membros!K$3,IF(AND(A515&gt;=Membros!J$3,A515&lt;=MAX(Membros!$E$2:$E$5)),Membros!K$3,0)))*IF(AND(COUNTIFS(Tabela3[Tipo],"Provedor",Tabela3[Simulação Seguro],"Sim")=2,A515&gt;=MAX(IF(Tabela3[Tipo]="Dependente",Tabela3[Expectativa de Vida (Data)]))),0,1)</f>
        <v>10000</v>
      </c>
      <c r="S515" s="18">
        <f t="shared" ref="S515:S578" si="70">O515+P515+Q515+R515</f>
        <v>10000</v>
      </c>
      <c r="U515" s="18">
        <f t="shared" ca="1" si="65"/>
        <v>32739449.448533185</v>
      </c>
      <c r="V515" s="18">
        <f>SUMIF(Imóveis!E:E,Dados!A:A,Imóveis!Z:Z)-SUMIF(Imóveis!E:E,Dados!A:A,Imóveis!Y:Y)</f>
        <v>0</v>
      </c>
      <c r="W515" s="18">
        <f>-SUMIF(Projetos!N:N,A515,Projetos!F:F)</f>
        <v>0</v>
      </c>
      <c r="X515" s="18">
        <f t="shared" si="67"/>
        <v>-27000</v>
      </c>
      <c r="Y515" s="26">
        <f ca="1">(U515*((Indicadores_Economicos!D$2+1)^(1/12)-1))</f>
        <v>107180.4381069534</v>
      </c>
      <c r="Z515" s="18">
        <f t="shared" ref="Z515:Z578" ca="1" si="71">U515+V515+W515+X515+Y515</f>
        <v>32819629.886640139</v>
      </c>
      <c r="AA515" s="18">
        <f ca="1">Auxiliar_Projetos!E515</f>
        <v>2.0910810992216798E-9</v>
      </c>
      <c r="AB515" s="18">
        <f ca="1">Auxiliar_Projetos!K515</f>
        <v>1.6085239224782137E-9</v>
      </c>
      <c r="AC515" s="18">
        <f ca="1">IF(Z515-AA515-AB515&gt;Investimentos!$C$14,Investimentos!$C$14,IF(Z515-AA515-AB515&lt;Investimentos!$C$14,Z515-AA515-AB515,0))</f>
        <v>300000</v>
      </c>
      <c r="AD515" s="18">
        <f t="shared" ref="AD515:AD578" ca="1" si="72">Z515-AA515-AB515-AC515</f>
        <v>32519629.886640135</v>
      </c>
      <c r="AE515" s="18"/>
    </row>
    <row r="516" spans="1:31" x14ac:dyDescent="0.2">
      <c r="A516" s="4">
        <v>61302</v>
      </c>
      <c r="B516" s="5" t="str">
        <f t="shared" si="68"/>
        <v>novembro</v>
      </c>
      <c r="C516" s="5" t="str">
        <f t="shared" si="66"/>
        <v>2067</v>
      </c>
      <c r="D516" s="5">
        <f>SUMIFS(Despesas!$F:$F,Despesas!$J:$J,"&lt;="&amp;$A516,Despesas!$L:$L,"&gt;="&amp;$A516,Despesas!$C:$C,D$1,Despesas!$M:$M,"Mensal")+SUMIFS(Despesas!$F:$F,Despesas!$J:$J,"&lt;="&amp;$A516,Despesas!$L:$L,"&gt;="&amp;$A516,Despesas!$C:$C,D$1,Despesas!$M:$M,$B516)</f>
        <v>23000</v>
      </c>
      <c r="E516" s="18">
        <f>SUMIFS(Despesas!$F:$F,Despesas!$J:$J,"&lt;="&amp;$A516,Despesas!$L:$L,"&gt;="&amp;$A516,Despesas!$C:$C,E$1,Despesas!$M:$M,"Mensal")+SUMIFS(Despesas!$F:$F,Despesas!$J:$J,"&lt;="&amp;$A516,Despesas!$L:$L,"&gt;="&amp;$A516,Despesas!$C:$C,E$1,Despesas!$M:$M,$B516)</f>
        <v>0</v>
      </c>
      <c r="F516" s="5">
        <f>SUMIFS(Despesas!$F:$F,Despesas!$J:$J,"&lt;="&amp;$A516,Despesas!$L:$L,"&gt;="&amp;$A516,Despesas!$C:$C,F$1,Despesas!$M:$M,"Mensal")+SUMIFS(Despesas!$F:$F,Despesas!$J:$J,"&lt;="&amp;$A516,Despesas!$L:$L,"&gt;="&amp;$A516,Despesas!$C:$C,F$1,Despesas!$M:$M,$B516)</f>
        <v>13000</v>
      </c>
      <c r="G516" s="5">
        <f>SUMIFS(Despesas!$F:$F,Despesas!$J:$J,"&lt;="&amp;$A516,Despesas!$L:$L,"&gt;="&amp;$A516,Despesas!$C:$C,G$1,Despesas!$M:$M,"Mensal")+SUMIFS(Despesas!$F:$F,Despesas!$J:$J,"&lt;="&amp;$A516,Despesas!$L:$L,"&gt;="&amp;$A516,Despesas!$C:$C,G$1,Despesas!$M:$M,$B516)</f>
        <v>0</v>
      </c>
      <c r="H516" s="18">
        <f>SUMIFS(Despesas!$F:$F,Despesas!$J:$J,"&lt;="&amp;$A516,Despesas!$L:$L,"&gt;="&amp;$A516,Despesas!$C:$C,H$1,Despesas!$M:$M,"Mensal")+SUMIFS(Despesas!$F:$F,Despesas!$J:$J,"&lt;="&amp;$A516,Despesas!$L:$L,"&gt;="&amp;$A516,Despesas!$C:$C,H$1,Despesas!$M:$M,$B516)</f>
        <v>1000</v>
      </c>
      <c r="I516" s="18">
        <f>IF(Imóveis!$F$2="PRICE",IF(AND(Dados!$A516&gt;=Imóveis!$Q$2,Dados!$A516&lt;=Imóveis!$T$2),Imóveis!$U$2,0),IF((IF(AND(Dados!$A516&gt;=Imóveis!$Q$2,Dados!$A516&lt;=Imóveis!$T$2),Imóveis!$S$2-(DATEDIF(Imóveis!$Q$2,Dados!$A516,"m")),0))=0,0,((Imóveis!$N$2/Imóveis!$S$2)+((Imóveis!$N$2-((Imóveis!$S$2-(IF(AND(Dados!$A516&gt;=Imóveis!$Q$2,Dados!$A516&lt;=Imóveis!$T$2),Imóveis!$S$2-(DATEDIF(Imóveis!$Q$2,Dados!$A516,"m")),)))*(Imóveis!$N$2/Imóveis!$S$2)))*Imóveis!$P$2))))*IF(AND(Imóveis!$E$2&gt;0,Dados!$A516&gt;Imóveis!$E$2),0,1)</f>
        <v>0</v>
      </c>
      <c r="J516" s="18">
        <f>IF(Imóveis!$F$3="PRICE",IF(AND(Dados!$A516&gt;=Imóveis!$Q$3,Dados!$A516&lt;=Imóveis!$T$3),Imóveis!$U$3,0),IF((IF(AND(Dados!$A516&gt;=Imóveis!$Q$3,Dados!$A516&lt;=Imóveis!$T$3),Imóveis!$S$3-(DATEDIF(Imóveis!$Q$3,Dados!$A516,"m")),0))=0,0,((Imóveis!$N$3/Imóveis!$S$3)+((Imóveis!$N$3-((Imóveis!$S$3-(IF(AND(Dados!$A516&gt;=Imóveis!$Q$3,Dados!$A516&lt;=Imóveis!$T$3),Imóveis!$S$3-(DATEDIF(Imóveis!$Q$3,Dados!$A516,"m")),)))*(Imóveis!$N$3/Imóveis!$S$3)))*Imóveis!$P$3))))*IF(AND(Imóveis!$E$3&gt;0,Dados!$A516&gt;Imóveis!$E$3),0,1)</f>
        <v>0</v>
      </c>
      <c r="K516" s="18">
        <f>IF(Imóveis!$F$4="PRICE",IF(AND(Dados!$A516&gt;=Imóveis!$Q$4,Dados!$A516&lt;=Imóveis!$T$4),Imóveis!$U$4,0),IF((IF(AND(Dados!$A516&gt;=Imóveis!$Q$4,Dados!$A516&lt;=Imóveis!$T$4),Imóveis!$S$4-(DATEDIF(Imóveis!$Q$4,Dados!$A516,"m")),0))=0,0,((Imóveis!$N$4/Imóveis!$S$4)+((Imóveis!$N$4-((Imóveis!$S$4-(IF(AND(Dados!$A516&gt;=Imóveis!$Q$4,Dados!$A516&lt;=Imóveis!$T$4),Imóveis!$S$4-(DATEDIF(Imóveis!$Q$4,Dados!$A516,"m")),)))*(Imóveis!$N$4/Imóveis!$S$4)))*Imóveis!$P$4))))*IF(AND(Imóveis!$E$4&gt;0,Dados!$A516&gt;Imóveis!$E$4),0,1)</f>
        <v>0</v>
      </c>
      <c r="L516" s="18">
        <f>IF(Imóveis!$F$5="PRICE",IF(AND(Dados!$A516&gt;=Imóveis!$Q$5,Dados!$A516&lt;=Imóveis!$T$5),Imóveis!$U$5,0),IF((IF(AND(Dados!$A516&gt;=Imóveis!$Q$5,Dados!$A516&lt;=Imóveis!$T$5),Imóveis!$S$5-(DATEDIF(Imóveis!$Q$5,Dados!$A516,"m")),0))=0,0,((Imóveis!$N$5/Imóveis!$S$5)+((Imóveis!$N$5-((Imóveis!$S$5-(IF(AND(Dados!$A516 &gt;=Imóveis!$Q$5,Dados!$A516&lt;=Imóveis!$T$5),Imóveis!$S$5-(DATEDIF(Imóveis!$Q$5,Dados!$A516,"m")),)))*(Imóveis!$N$5/Imóveis!$S$5)))*Imóveis!$P$5))))*IF(AND(Imóveis!$E$5&gt;0,Dados!$A516&gt;Imóveis!$E$5),0,1)*Imóveis!$I$5</f>
        <v>0</v>
      </c>
      <c r="M516" s="18">
        <f>IF(Imóveis!$F$6="PRICE",IF(AND(Dados!$A516&gt;=Imóveis!$Q$6,Dados!$A516&lt;=Imóveis!$T$6),Imóveis!$U$6,0),IF((IF(AND(Dados!$A516&gt;=Imóveis!$Q$6,Dados!$A516&lt;=Imóveis!$T$6),Imóveis!$S$6-(DATEDIF(Imóveis!$Q$6,Dados!$A516,"m")),0))=0,0,((Imóveis!$N$6/Imóveis!$S$6)+((Imóveis!$N$6-((Imóveis!$S$6-(IF(AND(Dados!$A516&gt;=Imóveis!$Q$6,Dados!$A516&lt;=Imóveis!$T$6),Imóveis!$S$6-(DATEDIF(Imóveis!$Q$6,Dados!$A516,"m")),)))*(Imóveis!$N$6/Imóveis!$S$6)))*Imóveis!$P$6))))*IF(AND(Imóveis!$E$6&gt;0,Dados!$A516&gt;Imóveis!$E$6),0,1)*Imóveis!$I$6</f>
        <v>0</v>
      </c>
      <c r="N516" s="18">
        <f t="shared" si="69"/>
        <v>37000</v>
      </c>
      <c r="O516" s="18">
        <f>SUMIFS(Receitas!$F:$F,Receitas!$J:$J,"&lt;="&amp;$A516,Receitas!$L:$L,"&gt;="&amp;$A516,Receitas!$C:$C,O$1,Receitas!$M:$M,"Mensal")+SUMIFS(Receitas!$F:$F,Receitas!$J:$J,"&lt;="&amp;$A516,Receitas!$L:$L,"&gt;="&amp;$A516,Receitas!$C:$C,O$1,Receitas!$M:$M,$B516)</f>
        <v>0</v>
      </c>
      <c r="P516" s="18">
        <f>SUMIFS(Receitas!$F:$F,Receitas!$J:$J,"&lt;="&amp;$A516,Receitas!$L:$L,"&gt;="&amp;$A516,Receitas!$C:$C,P$1,Receitas!$M:$M,"Mensal")+SUMIFS(Receitas!$F:$F,Receitas!$J:$J,"&lt;="&amp;$A516,Receitas!$L:$L,"&gt;="&amp;$A516,Receitas!$C:$C,P$1,Receitas!$M:$M,$B516)</f>
        <v>0</v>
      </c>
      <c r="Q516" s="18">
        <f>SUMIFS(Receitas!$F:$F,Receitas!$J:$J,"&lt;="&amp;$A516,Receitas!$L:$L,"&gt;="&amp;$A516,Receitas!$C:$C,Q$1,Receitas!$M:$M,"Mensal")+SUMIFS(Receitas!$F:$F,Receitas!$J:$J,"&lt;="&amp;$A516,Receitas!$L:$L,"&gt;="&amp;$A516,Receitas!$C:$C,Q$1,Receitas!$M:$M,$B516)</f>
        <v>0</v>
      </c>
      <c r="R516" s="18" cm="1">
        <f t="array" ref="R516">(IF(AND(Membros!$F$2="Sim",A516&lt;=MAX(Membros!$E$2:$E$5)),Membros!K$2,IF(AND(A516&gt;=Membros!J$2,A516&lt;=MAX(Membros!$E$2:$E$5)),Membros!K$2,0))+IF(AND(Membros!$F$3="Sim",A516&lt;=MAX(Membros!$E$2:$E$5)),Membros!K$3,IF(AND(A516&gt;=Membros!J$3,A516&lt;=MAX(Membros!$E$2:$E$5)),Membros!K$3,0)))*IF(AND(COUNTIFS(Tabela3[Tipo],"Provedor",Tabela3[Simulação Seguro],"Sim")=2,A516&gt;=MAX(IF(Tabela3[Tipo]="Dependente",Tabela3[Expectativa de Vida (Data)]))),0,1)</f>
        <v>10000</v>
      </c>
      <c r="S516" s="18">
        <f t="shared" si="70"/>
        <v>10000</v>
      </c>
      <c r="U516" s="18">
        <f t="shared" ref="U516:U579" ca="1" si="73">Z515</f>
        <v>32819629.886640139</v>
      </c>
      <c r="V516" s="18">
        <f>SUMIF(Imóveis!E:E,Dados!A:A,Imóveis!Z:Z)-SUMIF(Imóveis!E:E,Dados!A:A,Imóveis!Y:Y)</f>
        <v>0</v>
      </c>
      <c r="W516" s="18">
        <f>-SUMIF(Projetos!N:N,A516,Projetos!F:F)</f>
        <v>0</v>
      </c>
      <c r="X516" s="18">
        <f t="shared" si="67"/>
        <v>-27000</v>
      </c>
      <c r="Y516" s="26">
        <f ca="1">(U516*((Indicadores_Economicos!D$2+1)^(1/12)-1))</f>
        <v>107442.92799693828</v>
      </c>
      <c r="Z516" s="18">
        <f t="shared" ca="1" si="71"/>
        <v>32900072.814637076</v>
      </c>
      <c r="AA516" s="18">
        <f ca="1">Auxiliar_Projetos!E516</f>
        <v>2.097926754604006E-9</v>
      </c>
      <c r="AB516" s="18">
        <f ca="1">Auxiliar_Projetos!K516</f>
        <v>1.6137898112338493E-9</v>
      </c>
      <c r="AC516" s="18">
        <f ca="1">IF(Z516-AA516-AB516&gt;Investimentos!$C$14,Investimentos!$C$14,IF(Z516-AA516-AB516&lt;Investimentos!$C$14,Z516-AA516-AB516,0))</f>
        <v>300000</v>
      </c>
      <c r="AD516" s="18">
        <f t="shared" ca="1" si="72"/>
        <v>32600072.814637072</v>
      </c>
      <c r="AE516" s="18"/>
    </row>
    <row r="517" spans="1:31" x14ac:dyDescent="0.2">
      <c r="A517" s="4">
        <v>61332</v>
      </c>
      <c r="B517" s="5" t="str">
        <f t="shared" si="68"/>
        <v>dezembro</v>
      </c>
      <c r="C517" s="5" t="str">
        <f t="shared" si="66"/>
        <v>2067</v>
      </c>
      <c r="D517" s="5">
        <f>SUMIFS(Despesas!$F:$F,Despesas!$J:$J,"&lt;="&amp;$A517,Despesas!$L:$L,"&gt;="&amp;$A517,Despesas!$C:$C,D$1,Despesas!$M:$M,"Mensal")+SUMIFS(Despesas!$F:$F,Despesas!$J:$J,"&lt;="&amp;$A517,Despesas!$L:$L,"&gt;="&amp;$A517,Despesas!$C:$C,D$1,Despesas!$M:$M,$B517)</f>
        <v>23000</v>
      </c>
      <c r="E517" s="18">
        <f>SUMIFS(Despesas!$F:$F,Despesas!$J:$J,"&lt;="&amp;$A517,Despesas!$L:$L,"&gt;="&amp;$A517,Despesas!$C:$C,E$1,Despesas!$M:$M,"Mensal")+SUMIFS(Despesas!$F:$F,Despesas!$J:$J,"&lt;="&amp;$A517,Despesas!$L:$L,"&gt;="&amp;$A517,Despesas!$C:$C,E$1,Despesas!$M:$M,$B517)</f>
        <v>0</v>
      </c>
      <c r="F517" s="5">
        <f>SUMIFS(Despesas!$F:$F,Despesas!$J:$J,"&lt;="&amp;$A517,Despesas!$L:$L,"&gt;="&amp;$A517,Despesas!$C:$C,F$1,Despesas!$M:$M,"Mensal")+SUMIFS(Despesas!$F:$F,Despesas!$J:$J,"&lt;="&amp;$A517,Despesas!$L:$L,"&gt;="&amp;$A517,Despesas!$C:$C,F$1,Despesas!$M:$M,$B517)</f>
        <v>13000</v>
      </c>
      <c r="G517" s="5">
        <f ca="1">SUMIFS(Despesas!$F:$F,Despesas!$J:$J,"&lt;="&amp;$A517,Despesas!$L:$L,"&gt;="&amp;$A517,Despesas!$C:$C,G$1,Despesas!$M:$M,"Mensal")+SUMIFS(Despesas!$F:$F,Despesas!$J:$J,"&lt;="&amp;$A517,Despesas!$L:$L,"&gt;="&amp;$A517,Despesas!$C:$C,G$1,Despesas!$M:$M,$B517)</f>
        <v>55757</v>
      </c>
      <c r="H517" s="18">
        <f>SUMIFS(Despesas!$F:$F,Despesas!$J:$J,"&lt;="&amp;$A517,Despesas!$L:$L,"&gt;="&amp;$A517,Despesas!$C:$C,H$1,Despesas!$M:$M,"Mensal")+SUMIFS(Despesas!$F:$F,Despesas!$J:$J,"&lt;="&amp;$A517,Despesas!$L:$L,"&gt;="&amp;$A517,Despesas!$C:$C,H$1,Despesas!$M:$M,$B517)</f>
        <v>1000</v>
      </c>
      <c r="I517" s="18">
        <f>IF(Imóveis!$F$2="PRICE",IF(AND(Dados!$A517&gt;=Imóveis!$Q$2,Dados!$A517&lt;=Imóveis!$T$2),Imóveis!$U$2,0),IF((IF(AND(Dados!$A517&gt;=Imóveis!$Q$2,Dados!$A517&lt;=Imóveis!$T$2),Imóveis!$S$2-(DATEDIF(Imóveis!$Q$2,Dados!$A517,"m")),0))=0,0,((Imóveis!$N$2/Imóveis!$S$2)+((Imóveis!$N$2-((Imóveis!$S$2-(IF(AND(Dados!$A517&gt;=Imóveis!$Q$2,Dados!$A517&lt;=Imóveis!$T$2),Imóveis!$S$2-(DATEDIF(Imóveis!$Q$2,Dados!$A517,"m")),)))*(Imóveis!$N$2/Imóveis!$S$2)))*Imóveis!$P$2))))*IF(AND(Imóveis!$E$2&gt;0,Dados!$A517&gt;Imóveis!$E$2),0,1)</f>
        <v>0</v>
      </c>
      <c r="J517" s="18">
        <f>IF(Imóveis!$F$3="PRICE",IF(AND(Dados!$A517&gt;=Imóveis!$Q$3,Dados!$A517&lt;=Imóveis!$T$3),Imóveis!$U$3,0),IF((IF(AND(Dados!$A517&gt;=Imóveis!$Q$3,Dados!$A517&lt;=Imóveis!$T$3),Imóveis!$S$3-(DATEDIF(Imóveis!$Q$3,Dados!$A517,"m")),0))=0,0,((Imóveis!$N$3/Imóveis!$S$3)+((Imóveis!$N$3-((Imóveis!$S$3-(IF(AND(Dados!$A517&gt;=Imóveis!$Q$3,Dados!$A517&lt;=Imóveis!$T$3),Imóveis!$S$3-(DATEDIF(Imóveis!$Q$3,Dados!$A517,"m")),)))*(Imóveis!$N$3/Imóveis!$S$3)))*Imóveis!$P$3))))*IF(AND(Imóveis!$E$3&gt;0,Dados!$A517&gt;Imóveis!$E$3),0,1)</f>
        <v>0</v>
      </c>
      <c r="K517" s="18">
        <f>IF(Imóveis!$F$4="PRICE",IF(AND(Dados!$A517&gt;=Imóveis!$Q$4,Dados!$A517&lt;=Imóveis!$T$4),Imóveis!$U$4,0),IF((IF(AND(Dados!$A517&gt;=Imóveis!$Q$4,Dados!$A517&lt;=Imóveis!$T$4),Imóveis!$S$4-(DATEDIF(Imóveis!$Q$4,Dados!$A517,"m")),0))=0,0,((Imóveis!$N$4/Imóveis!$S$4)+((Imóveis!$N$4-((Imóveis!$S$4-(IF(AND(Dados!$A517&gt;=Imóveis!$Q$4,Dados!$A517&lt;=Imóveis!$T$4),Imóveis!$S$4-(DATEDIF(Imóveis!$Q$4,Dados!$A517,"m")),)))*(Imóveis!$N$4/Imóveis!$S$4)))*Imóveis!$P$4))))*IF(AND(Imóveis!$E$4&gt;0,Dados!$A517&gt;Imóveis!$E$4),0,1)</f>
        <v>0</v>
      </c>
      <c r="L517" s="18">
        <f>IF(Imóveis!$F$5="PRICE",IF(AND(Dados!$A517&gt;=Imóveis!$Q$5,Dados!$A517&lt;=Imóveis!$T$5),Imóveis!$U$5,0),IF((IF(AND(Dados!$A517&gt;=Imóveis!$Q$5,Dados!$A517&lt;=Imóveis!$T$5),Imóveis!$S$5-(DATEDIF(Imóveis!$Q$5,Dados!$A517,"m")),0))=0,0,((Imóveis!$N$5/Imóveis!$S$5)+((Imóveis!$N$5-((Imóveis!$S$5-(IF(AND(Dados!$A517 &gt;=Imóveis!$Q$5,Dados!$A517&lt;=Imóveis!$T$5),Imóveis!$S$5-(DATEDIF(Imóveis!$Q$5,Dados!$A517,"m")),)))*(Imóveis!$N$5/Imóveis!$S$5)))*Imóveis!$P$5))))*IF(AND(Imóveis!$E$5&gt;0,Dados!$A517&gt;Imóveis!$E$5),0,1)*Imóveis!$I$5</f>
        <v>0</v>
      </c>
      <c r="M517" s="18">
        <f>IF(Imóveis!$F$6="PRICE",IF(AND(Dados!$A517&gt;=Imóveis!$Q$6,Dados!$A517&lt;=Imóveis!$T$6),Imóveis!$U$6,0),IF((IF(AND(Dados!$A517&gt;=Imóveis!$Q$6,Dados!$A517&lt;=Imóveis!$T$6),Imóveis!$S$6-(DATEDIF(Imóveis!$Q$6,Dados!$A517,"m")),0))=0,0,((Imóveis!$N$6/Imóveis!$S$6)+((Imóveis!$N$6-((Imóveis!$S$6-(IF(AND(Dados!$A517&gt;=Imóveis!$Q$6,Dados!$A517&lt;=Imóveis!$T$6),Imóveis!$S$6-(DATEDIF(Imóveis!$Q$6,Dados!$A517,"m")),)))*(Imóveis!$N$6/Imóveis!$S$6)))*Imóveis!$P$6))))*IF(AND(Imóveis!$E$6&gt;0,Dados!$A517&gt;Imóveis!$E$6),0,1)*Imóveis!$I$6</f>
        <v>0</v>
      </c>
      <c r="N517" s="18">
        <f t="shared" ca="1" si="69"/>
        <v>92757</v>
      </c>
      <c r="O517" s="18">
        <f>SUMIFS(Receitas!$F:$F,Receitas!$J:$J,"&lt;="&amp;$A517,Receitas!$L:$L,"&gt;="&amp;$A517,Receitas!$C:$C,O$1,Receitas!$M:$M,"Mensal")+SUMIFS(Receitas!$F:$F,Receitas!$J:$J,"&lt;="&amp;$A517,Receitas!$L:$L,"&gt;="&amp;$A517,Receitas!$C:$C,O$1,Receitas!$M:$M,$B517)</f>
        <v>0</v>
      </c>
      <c r="P517" s="18">
        <f>SUMIFS(Receitas!$F:$F,Receitas!$J:$J,"&lt;="&amp;$A517,Receitas!$L:$L,"&gt;="&amp;$A517,Receitas!$C:$C,P$1,Receitas!$M:$M,"Mensal")+SUMIFS(Receitas!$F:$F,Receitas!$J:$J,"&lt;="&amp;$A517,Receitas!$L:$L,"&gt;="&amp;$A517,Receitas!$C:$C,P$1,Receitas!$M:$M,$B517)</f>
        <v>0</v>
      </c>
      <c r="Q517" s="18">
        <f>SUMIFS(Receitas!$F:$F,Receitas!$J:$J,"&lt;="&amp;$A517,Receitas!$L:$L,"&gt;="&amp;$A517,Receitas!$C:$C,Q$1,Receitas!$M:$M,"Mensal")+SUMIFS(Receitas!$F:$F,Receitas!$J:$J,"&lt;="&amp;$A517,Receitas!$L:$L,"&gt;="&amp;$A517,Receitas!$C:$C,Q$1,Receitas!$M:$M,$B517)</f>
        <v>0</v>
      </c>
      <c r="R517" s="18" cm="1">
        <f t="array" ref="R517">(IF(AND(Membros!$F$2="Sim",A517&lt;=MAX(Membros!$E$2:$E$5)),Membros!K$2,IF(AND(A517&gt;=Membros!J$2,A517&lt;=MAX(Membros!$E$2:$E$5)),Membros!K$2,0))+IF(AND(Membros!$F$3="Sim",A517&lt;=MAX(Membros!$E$2:$E$5)),Membros!K$3,IF(AND(A517&gt;=Membros!J$3,A517&lt;=MAX(Membros!$E$2:$E$5)),Membros!K$3,0)))*IF(AND(COUNTIFS(Tabela3[Tipo],"Provedor",Tabela3[Simulação Seguro],"Sim")=2,A517&gt;=MAX(IF(Tabela3[Tipo]="Dependente",Tabela3[Expectativa de Vida (Data)]))),0,1)</f>
        <v>10000</v>
      </c>
      <c r="S517" s="18">
        <f t="shared" si="70"/>
        <v>10000</v>
      </c>
      <c r="U517" s="18">
        <f t="shared" ca="1" si="73"/>
        <v>32900072.814637076</v>
      </c>
      <c r="V517" s="18">
        <f>SUMIF(Imóveis!E:E,Dados!A:A,Imóveis!Z:Z)-SUMIF(Imóveis!E:E,Dados!A:A,Imóveis!Y:Y)</f>
        <v>0</v>
      </c>
      <c r="W517" s="18">
        <f>-SUMIF(Projetos!N:N,A517,Projetos!F:F)</f>
        <v>0</v>
      </c>
      <c r="X517" s="18">
        <f t="shared" ca="1" si="67"/>
        <v>-82757</v>
      </c>
      <c r="Y517" s="26">
        <f ca="1">(U517*((Indicadores_Economicos!D$2+1)^(1/12)-1))</f>
        <v>107706.27721051841</v>
      </c>
      <c r="Z517" s="18">
        <f t="shared" ca="1" si="71"/>
        <v>32925022.091847595</v>
      </c>
      <c r="AA517" s="18">
        <f ca="1">Auxiliar_Projetos!E517</f>
        <v>2.1047948208806927E-9</v>
      </c>
      <c r="AB517" s="18">
        <f ca="1">Auxiliar_Projetos!K517</f>
        <v>1.6190729391389928E-9</v>
      </c>
      <c r="AC517" s="18">
        <f ca="1">IF(Z517-AA517-AB517&gt;Investimentos!$C$14,Investimentos!$C$14,IF(Z517-AA517-AB517&lt;Investimentos!$C$14,Z517-AA517-AB517,0))</f>
        <v>300000</v>
      </c>
      <c r="AD517" s="18">
        <f t="shared" ca="1" si="72"/>
        <v>32625022.091847591</v>
      </c>
      <c r="AE517" s="18"/>
    </row>
    <row r="518" spans="1:31" x14ac:dyDescent="0.2">
      <c r="A518" s="4">
        <v>61363</v>
      </c>
      <c r="B518" s="5" t="str">
        <f t="shared" si="68"/>
        <v>janeiro</v>
      </c>
      <c r="C518" s="5" t="str">
        <f t="shared" si="66"/>
        <v>2068</v>
      </c>
      <c r="D518" s="5">
        <f>SUMIFS(Despesas!$F:$F,Despesas!$J:$J,"&lt;="&amp;$A518,Despesas!$L:$L,"&gt;="&amp;$A518,Despesas!$C:$C,D$1,Despesas!$M:$M,"Mensal")+SUMIFS(Despesas!$F:$F,Despesas!$J:$J,"&lt;="&amp;$A518,Despesas!$L:$L,"&gt;="&amp;$A518,Despesas!$C:$C,D$1,Despesas!$M:$M,$B518)</f>
        <v>23000</v>
      </c>
      <c r="E518" s="18">
        <f>SUMIFS(Despesas!$F:$F,Despesas!$J:$J,"&lt;="&amp;$A518,Despesas!$L:$L,"&gt;="&amp;$A518,Despesas!$C:$C,E$1,Despesas!$M:$M,"Mensal")+SUMIFS(Despesas!$F:$F,Despesas!$J:$J,"&lt;="&amp;$A518,Despesas!$L:$L,"&gt;="&amp;$A518,Despesas!$C:$C,E$1,Despesas!$M:$M,$B518)</f>
        <v>0</v>
      </c>
      <c r="F518" s="5">
        <f>SUMIFS(Despesas!$F:$F,Despesas!$J:$J,"&lt;="&amp;$A518,Despesas!$L:$L,"&gt;="&amp;$A518,Despesas!$C:$C,F$1,Despesas!$M:$M,"Mensal")+SUMIFS(Despesas!$F:$F,Despesas!$J:$J,"&lt;="&amp;$A518,Despesas!$L:$L,"&gt;="&amp;$A518,Despesas!$C:$C,F$1,Despesas!$M:$M,$B518)</f>
        <v>13000</v>
      </c>
      <c r="G518" s="5">
        <f>SUMIFS(Despesas!$F:$F,Despesas!$J:$J,"&lt;="&amp;$A518,Despesas!$L:$L,"&gt;="&amp;$A518,Despesas!$C:$C,G$1,Despesas!$M:$M,"Mensal")+SUMIFS(Despesas!$F:$F,Despesas!$J:$J,"&lt;="&amp;$A518,Despesas!$L:$L,"&gt;="&amp;$A518,Despesas!$C:$C,G$1,Despesas!$M:$M,$B518)</f>
        <v>0</v>
      </c>
      <c r="H518" s="18">
        <f>SUMIFS(Despesas!$F:$F,Despesas!$J:$J,"&lt;="&amp;$A518,Despesas!$L:$L,"&gt;="&amp;$A518,Despesas!$C:$C,H$1,Despesas!$M:$M,"Mensal")+SUMIFS(Despesas!$F:$F,Despesas!$J:$J,"&lt;="&amp;$A518,Despesas!$L:$L,"&gt;="&amp;$A518,Despesas!$C:$C,H$1,Despesas!$M:$M,$B518)</f>
        <v>1000</v>
      </c>
      <c r="I518" s="18">
        <f>IF(Imóveis!$F$2="PRICE",IF(AND(Dados!$A518&gt;=Imóveis!$Q$2,Dados!$A518&lt;=Imóveis!$T$2),Imóveis!$U$2,0),IF((IF(AND(Dados!$A518&gt;=Imóveis!$Q$2,Dados!$A518&lt;=Imóveis!$T$2),Imóveis!$S$2-(DATEDIF(Imóveis!$Q$2,Dados!$A518,"m")),0))=0,0,((Imóveis!$N$2/Imóveis!$S$2)+((Imóveis!$N$2-((Imóveis!$S$2-(IF(AND(Dados!$A518&gt;=Imóveis!$Q$2,Dados!$A518&lt;=Imóveis!$T$2),Imóveis!$S$2-(DATEDIF(Imóveis!$Q$2,Dados!$A518,"m")),)))*(Imóveis!$N$2/Imóveis!$S$2)))*Imóveis!$P$2))))*IF(AND(Imóveis!$E$2&gt;0,Dados!$A518&gt;Imóveis!$E$2),0,1)</f>
        <v>0</v>
      </c>
      <c r="J518" s="18">
        <f>IF(Imóveis!$F$3="PRICE",IF(AND(Dados!$A518&gt;=Imóveis!$Q$3,Dados!$A518&lt;=Imóveis!$T$3),Imóveis!$U$3,0),IF((IF(AND(Dados!$A518&gt;=Imóveis!$Q$3,Dados!$A518&lt;=Imóveis!$T$3),Imóveis!$S$3-(DATEDIF(Imóveis!$Q$3,Dados!$A518,"m")),0))=0,0,((Imóveis!$N$3/Imóveis!$S$3)+((Imóveis!$N$3-((Imóveis!$S$3-(IF(AND(Dados!$A518&gt;=Imóveis!$Q$3,Dados!$A518&lt;=Imóveis!$T$3),Imóveis!$S$3-(DATEDIF(Imóveis!$Q$3,Dados!$A518,"m")),)))*(Imóveis!$N$3/Imóveis!$S$3)))*Imóveis!$P$3))))*IF(AND(Imóveis!$E$3&gt;0,Dados!$A518&gt;Imóveis!$E$3),0,1)</f>
        <v>0</v>
      </c>
      <c r="K518" s="18">
        <f>IF(Imóveis!$F$4="PRICE",IF(AND(Dados!$A518&gt;=Imóveis!$Q$4,Dados!$A518&lt;=Imóveis!$T$4),Imóveis!$U$4,0),IF((IF(AND(Dados!$A518&gt;=Imóveis!$Q$4,Dados!$A518&lt;=Imóveis!$T$4),Imóveis!$S$4-(DATEDIF(Imóveis!$Q$4,Dados!$A518,"m")),0))=0,0,((Imóveis!$N$4/Imóveis!$S$4)+((Imóveis!$N$4-((Imóveis!$S$4-(IF(AND(Dados!$A518&gt;=Imóveis!$Q$4,Dados!$A518&lt;=Imóveis!$T$4),Imóveis!$S$4-(DATEDIF(Imóveis!$Q$4,Dados!$A518,"m")),)))*(Imóveis!$N$4/Imóveis!$S$4)))*Imóveis!$P$4))))*IF(AND(Imóveis!$E$4&gt;0,Dados!$A518&gt;Imóveis!$E$4),0,1)</f>
        <v>0</v>
      </c>
      <c r="L518" s="18">
        <f>IF(Imóveis!$F$5="PRICE",IF(AND(Dados!$A518&gt;=Imóveis!$Q$5,Dados!$A518&lt;=Imóveis!$T$5),Imóveis!$U$5,0),IF((IF(AND(Dados!$A518&gt;=Imóveis!$Q$5,Dados!$A518&lt;=Imóveis!$T$5),Imóveis!$S$5-(DATEDIF(Imóveis!$Q$5,Dados!$A518,"m")),0))=0,0,((Imóveis!$N$5/Imóveis!$S$5)+((Imóveis!$N$5-((Imóveis!$S$5-(IF(AND(Dados!$A518 &gt;=Imóveis!$Q$5,Dados!$A518&lt;=Imóveis!$T$5),Imóveis!$S$5-(DATEDIF(Imóveis!$Q$5,Dados!$A518,"m")),)))*(Imóveis!$N$5/Imóveis!$S$5)))*Imóveis!$P$5))))*IF(AND(Imóveis!$E$5&gt;0,Dados!$A518&gt;Imóveis!$E$5),0,1)*Imóveis!$I$5</f>
        <v>0</v>
      </c>
      <c r="M518" s="18">
        <f>IF(Imóveis!$F$6="PRICE",IF(AND(Dados!$A518&gt;=Imóveis!$Q$6,Dados!$A518&lt;=Imóveis!$T$6),Imóveis!$U$6,0),IF((IF(AND(Dados!$A518&gt;=Imóveis!$Q$6,Dados!$A518&lt;=Imóveis!$T$6),Imóveis!$S$6-(DATEDIF(Imóveis!$Q$6,Dados!$A518,"m")),0))=0,0,((Imóveis!$N$6/Imóveis!$S$6)+((Imóveis!$N$6-((Imóveis!$S$6-(IF(AND(Dados!$A518&gt;=Imóveis!$Q$6,Dados!$A518&lt;=Imóveis!$T$6),Imóveis!$S$6-(DATEDIF(Imóveis!$Q$6,Dados!$A518,"m")),)))*(Imóveis!$N$6/Imóveis!$S$6)))*Imóveis!$P$6))))*IF(AND(Imóveis!$E$6&gt;0,Dados!$A518&gt;Imóveis!$E$6),0,1)*Imóveis!$I$6</f>
        <v>0</v>
      </c>
      <c r="N518" s="18">
        <f t="shared" si="69"/>
        <v>37000</v>
      </c>
      <c r="O518" s="18">
        <f>SUMIFS(Receitas!$F:$F,Receitas!$J:$J,"&lt;="&amp;$A518,Receitas!$L:$L,"&gt;="&amp;$A518,Receitas!$C:$C,O$1,Receitas!$M:$M,"Mensal")+SUMIFS(Receitas!$F:$F,Receitas!$J:$J,"&lt;="&amp;$A518,Receitas!$L:$L,"&gt;="&amp;$A518,Receitas!$C:$C,O$1,Receitas!$M:$M,$B518)</f>
        <v>0</v>
      </c>
      <c r="P518" s="18">
        <f>SUMIFS(Receitas!$F:$F,Receitas!$J:$J,"&lt;="&amp;$A518,Receitas!$L:$L,"&gt;="&amp;$A518,Receitas!$C:$C,P$1,Receitas!$M:$M,"Mensal")+SUMIFS(Receitas!$F:$F,Receitas!$J:$J,"&lt;="&amp;$A518,Receitas!$L:$L,"&gt;="&amp;$A518,Receitas!$C:$C,P$1,Receitas!$M:$M,$B518)</f>
        <v>0</v>
      </c>
      <c r="Q518" s="18">
        <f>SUMIFS(Receitas!$F:$F,Receitas!$J:$J,"&lt;="&amp;$A518,Receitas!$L:$L,"&gt;="&amp;$A518,Receitas!$C:$C,Q$1,Receitas!$M:$M,"Mensal")+SUMIFS(Receitas!$F:$F,Receitas!$J:$J,"&lt;="&amp;$A518,Receitas!$L:$L,"&gt;="&amp;$A518,Receitas!$C:$C,Q$1,Receitas!$M:$M,$B518)</f>
        <v>0</v>
      </c>
      <c r="R518" s="18" cm="1">
        <f t="array" ref="R518">(IF(AND(Membros!$F$2="Sim",A518&lt;=MAX(Membros!$E$2:$E$5)),Membros!K$2,IF(AND(A518&gt;=Membros!J$2,A518&lt;=MAX(Membros!$E$2:$E$5)),Membros!K$2,0))+IF(AND(Membros!$F$3="Sim",A518&lt;=MAX(Membros!$E$2:$E$5)),Membros!K$3,IF(AND(A518&gt;=Membros!J$3,A518&lt;=MAX(Membros!$E$2:$E$5)),Membros!K$3,0)))*IF(AND(COUNTIFS(Tabela3[Tipo],"Provedor",Tabela3[Simulação Seguro],"Sim")=2,A518&gt;=MAX(IF(Tabela3[Tipo]="Dependente",Tabela3[Expectativa de Vida (Data)]))),0,1)</f>
        <v>10000</v>
      </c>
      <c r="S518" s="18">
        <f t="shared" si="70"/>
        <v>10000</v>
      </c>
      <c r="U518" s="18">
        <f t="shared" ca="1" si="73"/>
        <v>32925022.091847595</v>
      </c>
      <c r="V518" s="18">
        <f>SUMIF(Imóveis!E:E,Dados!A:A,Imóveis!Z:Z)-SUMIF(Imóveis!E:E,Dados!A:A,Imóveis!Y:Y)</f>
        <v>0</v>
      </c>
      <c r="W518" s="18">
        <f>-SUMIF(Projetos!N:N,A518,Projetos!F:F)</f>
        <v>0</v>
      </c>
      <c r="X518" s="18">
        <f t="shared" si="67"/>
        <v>-27000</v>
      </c>
      <c r="Y518" s="26">
        <f ca="1">(U518*((Indicadores_Economicos!D$2+1)^(1/12)-1))</f>
        <v>107787.95465185959</v>
      </c>
      <c r="Z518" s="18">
        <f t="shared" ca="1" si="71"/>
        <v>33005810.046499453</v>
      </c>
      <c r="AA518" s="18">
        <f ca="1">Auxiliar_Projetos!E518</f>
        <v>2.111685371419176E-9</v>
      </c>
      <c r="AB518" s="18">
        <f ca="1">Auxiliar_Projetos!K518</f>
        <v>1.6243733626301338E-9</v>
      </c>
      <c r="AC518" s="18">
        <f ca="1">IF(Z518-AA518-AB518&gt;Investimentos!$C$14,Investimentos!$C$14,IF(Z518-AA518-AB518&lt;Investimentos!$C$14,Z518-AA518-AB518,0))</f>
        <v>300000</v>
      </c>
      <c r="AD518" s="18">
        <f t="shared" ca="1" si="72"/>
        <v>32705810.04649945</v>
      </c>
      <c r="AE518" s="18"/>
    </row>
    <row r="519" spans="1:31" x14ac:dyDescent="0.2">
      <c r="A519" s="4">
        <v>61394</v>
      </c>
      <c r="B519" s="5" t="str">
        <f t="shared" si="68"/>
        <v>fevereiro</v>
      </c>
      <c r="C519" s="5" t="str">
        <f t="shared" si="66"/>
        <v>2068</v>
      </c>
      <c r="D519" s="5">
        <f>SUMIFS(Despesas!$F:$F,Despesas!$J:$J,"&lt;="&amp;$A519,Despesas!$L:$L,"&gt;="&amp;$A519,Despesas!$C:$C,D$1,Despesas!$M:$M,"Mensal")+SUMIFS(Despesas!$F:$F,Despesas!$J:$J,"&lt;="&amp;$A519,Despesas!$L:$L,"&gt;="&amp;$A519,Despesas!$C:$C,D$1,Despesas!$M:$M,$B519)</f>
        <v>23000</v>
      </c>
      <c r="E519" s="18">
        <f>SUMIFS(Despesas!$F:$F,Despesas!$J:$J,"&lt;="&amp;$A519,Despesas!$L:$L,"&gt;="&amp;$A519,Despesas!$C:$C,E$1,Despesas!$M:$M,"Mensal")+SUMIFS(Despesas!$F:$F,Despesas!$J:$J,"&lt;="&amp;$A519,Despesas!$L:$L,"&gt;="&amp;$A519,Despesas!$C:$C,E$1,Despesas!$M:$M,$B519)</f>
        <v>0</v>
      </c>
      <c r="F519" s="5">
        <f>SUMIFS(Despesas!$F:$F,Despesas!$J:$J,"&lt;="&amp;$A519,Despesas!$L:$L,"&gt;="&amp;$A519,Despesas!$C:$C,F$1,Despesas!$M:$M,"Mensal")+SUMIFS(Despesas!$F:$F,Despesas!$J:$J,"&lt;="&amp;$A519,Despesas!$L:$L,"&gt;="&amp;$A519,Despesas!$C:$C,F$1,Despesas!$M:$M,$B519)</f>
        <v>13000</v>
      </c>
      <c r="G519" s="5">
        <f>SUMIFS(Despesas!$F:$F,Despesas!$J:$J,"&lt;="&amp;$A519,Despesas!$L:$L,"&gt;="&amp;$A519,Despesas!$C:$C,G$1,Despesas!$M:$M,"Mensal")+SUMIFS(Despesas!$F:$F,Despesas!$J:$J,"&lt;="&amp;$A519,Despesas!$L:$L,"&gt;="&amp;$A519,Despesas!$C:$C,G$1,Despesas!$M:$M,$B519)</f>
        <v>0</v>
      </c>
      <c r="H519" s="18">
        <f>SUMIFS(Despesas!$F:$F,Despesas!$J:$J,"&lt;="&amp;$A519,Despesas!$L:$L,"&gt;="&amp;$A519,Despesas!$C:$C,H$1,Despesas!$M:$M,"Mensal")+SUMIFS(Despesas!$F:$F,Despesas!$J:$J,"&lt;="&amp;$A519,Despesas!$L:$L,"&gt;="&amp;$A519,Despesas!$C:$C,H$1,Despesas!$M:$M,$B519)</f>
        <v>2200</v>
      </c>
      <c r="I519" s="18">
        <f>IF(Imóveis!$F$2="PRICE",IF(AND(Dados!$A519&gt;=Imóveis!$Q$2,Dados!$A519&lt;=Imóveis!$T$2),Imóveis!$U$2,0),IF((IF(AND(Dados!$A519&gt;=Imóveis!$Q$2,Dados!$A519&lt;=Imóveis!$T$2),Imóveis!$S$2-(DATEDIF(Imóveis!$Q$2,Dados!$A519,"m")),0))=0,0,((Imóveis!$N$2/Imóveis!$S$2)+((Imóveis!$N$2-((Imóveis!$S$2-(IF(AND(Dados!$A519&gt;=Imóveis!$Q$2,Dados!$A519&lt;=Imóveis!$T$2),Imóveis!$S$2-(DATEDIF(Imóveis!$Q$2,Dados!$A519,"m")),)))*(Imóveis!$N$2/Imóveis!$S$2)))*Imóveis!$P$2))))*IF(AND(Imóveis!$E$2&gt;0,Dados!$A519&gt;Imóveis!$E$2),0,1)</f>
        <v>0</v>
      </c>
      <c r="J519" s="18">
        <f>IF(Imóveis!$F$3="PRICE",IF(AND(Dados!$A519&gt;=Imóveis!$Q$3,Dados!$A519&lt;=Imóveis!$T$3),Imóveis!$U$3,0),IF((IF(AND(Dados!$A519&gt;=Imóveis!$Q$3,Dados!$A519&lt;=Imóveis!$T$3),Imóveis!$S$3-(DATEDIF(Imóveis!$Q$3,Dados!$A519,"m")),0))=0,0,((Imóveis!$N$3/Imóveis!$S$3)+((Imóveis!$N$3-((Imóveis!$S$3-(IF(AND(Dados!$A519&gt;=Imóveis!$Q$3,Dados!$A519&lt;=Imóveis!$T$3),Imóveis!$S$3-(DATEDIF(Imóveis!$Q$3,Dados!$A519,"m")),)))*(Imóveis!$N$3/Imóveis!$S$3)))*Imóveis!$P$3))))*IF(AND(Imóveis!$E$3&gt;0,Dados!$A519&gt;Imóveis!$E$3),0,1)</f>
        <v>0</v>
      </c>
      <c r="K519" s="18">
        <f>IF(Imóveis!$F$4="PRICE",IF(AND(Dados!$A519&gt;=Imóveis!$Q$4,Dados!$A519&lt;=Imóveis!$T$4),Imóveis!$U$4,0),IF((IF(AND(Dados!$A519&gt;=Imóveis!$Q$4,Dados!$A519&lt;=Imóveis!$T$4),Imóveis!$S$4-(DATEDIF(Imóveis!$Q$4,Dados!$A519,"m")),0))=0,0,((Imóveis!$N$4/Imóveis!$S$4)+((Imóveis!$N$4-((Imóveis!$S$4-(IF(AND(Dados!$A519&gt;=Imóveis!$Q$4,Dados!$A519&lt;=Imóveis!$T$4),Imóveis!$S$4-(DATEDIF(Imóveis!$Q$4,Dados!$A519,"m")),)))*(Imóveis!$N$4/Imóveis!$S$4)))*Imóveis!$P$4))))*IF(AND(Imóveis!$E$4&gt;0,Dados!$A519&gt;Imóveis!$E$4),0,1)</f>
        <v>0</v>
      </c>
      <c r="L519" s="18">
        <f>IF(Imóveis!$F$5="PRICE",IF(AND(Dados!$A519&gt;=Imóveis!$Q$5,Dados!$A519&lt;=Imóveis!$T$5),Imóveis!$U$5,0),IF((IF(AND(Dados!$A519&gt;=Imóveis!$Q$5,Dados!$A519&lt;=Imóveis!$T$5),Imóveis!$S$5-(DATEDIF(Imóveis!$Q$5,Dados!$A519,"m")),0))=0,0,((Imóveis!$N$5/Imóveis!$S$5)+((Imóveis!$N$5-((Imóveis!$S$5-(IF(AND(Dados!$A519 &gt;=Imóveis!$Q$5,Dados!$A519&lt;=Imóveis!$T$5),Imóveis!$S$5-(DATEDIF(Imóveis!$Q$5,Dados!$A519,"m")),)))*(Imóveis!$N$5/Imóveis!$S$5)))*Imóveis!$P$5))))*IF(AND(Imóveis!$E$5&gt;0,Dados!$A519&gt;Imóveis!$E$5),0,1)*Imóveis!$I$5</f>
        <v>0</v>
      </c>
      <c r="M519" s="18">
        <f>IF(Imóveis!$F$6="PRICE",IF(AND(Dados!$A519&gt;=Imóveis!$Q$6,Dados!$A519&lt;=Imóveis!$T$6),Imóveis!$U$6,0),IF((IF(AND(Dados!$A519&gt;=Imóveis!$Q$6,Dados!$A519&lt;=Imóveis!$T$6),Imóveis!$S$6-(DATEDIF(Imóveis!$Q$6,Dados!$A519,"m")),0))=0,0,((Imóveis!$N$6/Imóveis!$S$6)+((Imóveis!$N$6-((Imóveis!$S$6-(IF(AND(Dados!$A519&gt;=Imóveis!$Q$6,Dados!$A519&lt;=Imóveis!$T$6),Imóveis!$S$6-(DATEDIF(Imóveis!$Q$6,Dados!$A519,"m")),)))*(Imóveis!$N$6/Imóveis!$S$6)))*Imóveis!$P$6))))*IF(AND(Imóveis!$E$6&gt;0,Dados!$A519&gt;Imóveis!$E$6),0,1)*Imóveis!$I$6</f>
        <v>0</v>
      </c>
      <c r="N519" s="18">
        <f t="shared" si="69"/>
        <v>38200</v>
      </c>
      <c r="O519" s="18">
        <f>SUMIFS(Receitas!$F:$F,Receitas!$J:$J,"&lt;="&amp;$A519,Receitas!$L:$L,"&gt;="&amp;$A519,Receitas!$C:$C,O$1,Receitas!$M:$M,"Mensal")+SUMIFS(Receitas!$F:$F,Receitas!$J:$J,"&lt;="&amp;$A519,Receitas!$L:$L,"&gt;="&amp;$A519,Receitas!$C:$C,O$1,Receitas!$M:$M,$B519)</f>
        <v>0</v>
      </c>
      <c r="P519" s="18">
        <f>SUMIFS(Receitas!$F:$F,Receitas!$J:$J,"&lt;="&amp;$A519,Receitas!$L:$L,"&gt;="&amp;$A519,Receitas!$C:$C,P$1,Receitas!$M:$M,"Mensal")+SUMIFS(Receitas!$F:$F,Receitas!$J:$J,"&lt;="&amp;$A519,Receitas!$L:$L,"&gt;="&amp;$A519,Receitas!$C:$C,P$1,Receitas!$M:$M,$B519)</f>
        <v>0</v>
      </c>
      <c r="Q519" s="18">
        <f>SUMIFS(Receitas!$F:$F,Receitas!$J:$J,"&lt;="&amp;$A519,Receitas!$L:$L,"&gt;="&amp;$A519,Receitas!$C:$C,Q$1,Receitas!$M:$M,"Mensal")+SUMIFS(Receitas!$F:$F,Receitas!$J:$J,"&lt;="&amp;$A519,Receitas!$L:$L,"&gt;="&amp;$A519,Receitas!$C:$C,Q$1,Receitas!$M:$M,$B519)</f>
        <v>0</v>
      </c>
      <c r="R519" s="18" cm="1">
        <f t="array" ref="R519">(IF(AND(Membros!$F$2="Sim",A519&lt;=MAX(Membros!$E$2:$E$5)),Membros!K$2,IF(AND(A519&gt;=Membros!J$2,A519&lt;=MAX(Membros!$E$2:$E$5)),Membros!K$2,0))+IF(AND(Membros!$F$3="Sim",A519&lt;=MAX(Membros!$E$2:$E$5)),Membros!K$3,IF(AND(A519&gt;=Membros!J$3,A519&lt;=MAX(Membros!$E$2:$E$5)),Membros!K$3,0)))*IF(AND(COUNTIFS(Tabela3[Tipo],"Provedor",Tabela3[Simulação Seguro],"Sim")=2,A519&gt;=MAX(IF(Tabela3[Tipo]="Dependente",Tabela3[Expectativa de Vida (Data)]))),0,1)</f>
        <v>10000</v>
      </c>
      <c r="S519" s="18">
        <f t="shared" si="70"/>
        <v>10000</v>
      </c>
      <c r="U519" s="18">
        <f t="shared" ca="1" si="73"/>
        <v>33005810.046499453</v>
      </c>
      <c r="V519" s="18">
        <f>SUMIF(Imóveis!E:E,Dados!A:A,Imóveis!Z:Z)-SUMIF(Imóveis!E:E,Dados!A:A,Imóveis!Y:Y)</f>
        <v>0</v>
      </c>
      <c r="W519" s="18">
        <f>-SUMIF(Projetos!N:N,A519,Projetos!F:F)</f>
        <v>0</v>
      </c>
      <c r="X519" s="18">
        <f t="shared" si="67"/>
        <v>-28200</v>
      </c>
      <c r="Y519" s="26">
        <f ca="1">(U519*((Indicadores_Economicos!D$2+1)^(1/12)-1))</f>
        <v>108052.43339292586</v>
      </c>
      <c r="Z519" s="18">
        <f t="shared" ca="1" si="71"/>
        <v>33085662.479892381</v>
      </c>
      <c r="AA519" s="18">
        <f ca="1">Auxiliar_Projetos!E519</f>
        <v>2.1185984798270783E-9</v>
      </c>
      <c r="AB519" s="18">
        <f ca="1">Auxiliar_Projetos!K519</f>
        <v>1.6296911383285204E-9</v>
      </c>
      <c r="AC519" s="18">
        <f ca="1">IF(Z519-AA519-AB519&gt;Investimentos!$C$14,Investimentos!$C$14,IF(Z519-AA519-AB519&lt;Investimentos!$C$14,Z519-AA519-AB519,0))</f>
        <v>300000</v>
      </c>
      <c r="AD519" s="18">
        <f t="shared" ca="1" si="72"/>
        <v>32785662.479892377</v>
      </c>
      <c r="AE519" s="18"/>
    </row>
    <row r="520" spans="1:31" x14ac:dyDescent="0.2">
      <c r="A520" s="4">
        <v>61423</v>
      </c>
      <c r="B520" s="5" t="str">
        <f t="shared" si="68"/>
        <v>março</v>
      </c>
      <c r="C520" s="5" t="str">
        <f t="shared" si="66"/>
        <v>2068</v>
      </c>
      <c r="D520" s="5">
        <f>SUMIFS(Despesas!$F:$F,Despesas!$J:$J,"&lt;="&amp;$A520,Despesas!$L:$L,"&gt;="&amp;$A520,Despesas!$C:$C,D$1,Despesas!$M:$M,"Mensal")+SUMIFS(Despesas!$F:$F,Despesas!$J:$J,"&lt;="&amp;$A520,Despesas!$L:$L,"&gt;="&amp;$A520,Despesas!$C:$C,D$1,Despesas!$M:$M,$B520)</f>
        <v>23000</v>
      </c>
      <c r="E520" s="18">
        <f>SUMIFS(Despesas!$F:$F,Despesas!$J:$J,"&lt;="&amp;$A520,Despesas!$L:$L,"&gt;="&amp;$A520,Despesas!$C:$C,E$1,Despesas!$M:$M,"Mensal")+SUMIFS(Despesas!$F:$F,Despesas!$J:$J,"&lt;="&amp;$A520,Despesas!$L:$L,"&gt;="&amp;$A520,Despesas!$C:$C,E$1,Despesas!$M:$M,$B520)</f>
        <v>0</v>
      </c>
      <c r="F520" s="5">
        <f>SUMIFS(Despesas!$F:$F,Despesas!$J:$J,"&lt;="&amp;$A520,Despesas!$L:$L,"&gt;="&amp;$A520,Despesas!$C:$C,F$1,Despesas!$M:$M,"Mensal")+SUMIFS(Despesas!$F:$F,Despesas!$J:$J,"&lt;="&amp;$A520,Despesas!$L:$L,"&gt;="&amp;$A520,Despesas!$C:$C,F$1,Despesas!$M:$M,$B520)</f>
        <v>13000</v>
      </c>
      <c r="G520" s="5">
        <f>SUMIFS(Despesas!$F:$F,Despesas!$J:$J,"&lt;="&amp;$A520,Despesas!$L:$L,"&gt;="&amp;$A520,Despesas!$C:$C,G$1,Despesas!$M:$M,"Mensal")+SUMIFS(Despesas!$F:$F,Despesas!$J:$J,"&lt;="&amp;$A520,Despesas!$L:$L,"&gt;="&amp;$A520,Despesas!$C:$C,G$1,Despesas!$M:$M,$B520)</f>
        <v>0</v>
      </c>
      <c r="H520" s="18">
        <f>SUMIFS(Despesas!$F:$F,Despesas!$J:$J,"&lt;="&amp;$A520,Despesas!$L:$L,"&gt;="&amp;$A520,Despesas!$C:$C,H$1,Despesas!$M:$M,"Mensal")+SUMIFS(Despesas!$F:$F,Despesas!$J:$J,"&lt;="&amp;$A520,Despesas!$L:$L,"&gt;="&amp;$A520,Despesas!$C:$C,H$1,Despesas!$M:$M,$B520)</f>
        <v>1000</v>
      </c>
      <c r="I520" s="18">
        <f>IF(Imóveis!$F$2="PRICE",IF(AND(Dados!$A520&gt;=Imóveis!$Q$2,Dados!$A520&lt;=Imóveis!$T$2),Imóveis!$U$2,0),IF((IF(AND(Dados!$A520&gt;=Imóveis!$Q$2,Dados!$A520&lt;=Imóveis!$T$2),Imóveis!$S$2-(DATEDIF(Imóveis!$Q$2,Dados!$A520,"m")),0))=0,0,((Imóveis!$N$2/Imóveis!$S$2)+((Imóveis!$N$2-((Imóveis!$S$2-(IF(AND(Dados!$A520&gt;=Imóveis!$Q$2,Dados!$A520&lt;=Imóveis!$T$2),Imóveis!$S$2-(DATEDIF(Imóveis!$Q$2,Dados!$A520,"m")),)))*(Imóveis!$N$2/Imóveis!$S$2)))*Imóveis!$P$2))))*IF(AND(Imóveis!$E$2&gt;0,Dados!$A520&gt;Imóveis!$E$2),0,1)</f>
        <v>0</v>
      </c>
      <c r="J520" s="18">
        <f>IF(Imóveis!$F$3="PRICE",IF(AND(Dados!$A520&gt;=Imóveis!$Q$3,Dados!$A520&lt;=Imóveis!$T$3),Imóveis!$U$3,0),IF((IF(AND(Dados!$A520&gt;=Imóveis!$Q$3,Dados!$A520&lt;=Imóveis!$T$3),Imóveis!$S$3-(DATEDIF(Imóveis!$Q$3,Dados!$A520,"m")),0))=0,0,((Imóveis!$N$3/Imóveis!$S$3)+((Imóveis!$N$3-((Imóveis!$S$3-(IF(AND(Dados!$A520&gt;=Imóveis!$Q$3,Dados!$A520&lt;=Imóveis!$T$3),Imóveis!$S$3-(DATEDIF(Imóveis!$Q$3,Dados!$A520,"m")),)))*(Imóveis!$N$3/Imóveis!$S$3)))*Imóveis!$P$3))))*IF(AND(Imóveis!$E$3&gt;0,Dados!$A520&gt;Imóveis!$E$3),0,1)</f>
        <v>0</v>
      </c>
      <c r="K520" s="18">
        <f>IF(Imóveis!$F$4="PRICE",IF(AND(Dados!$A520&gt;=Imóveis!$Q$4,Dados!$A520&lt;=Imóveis!$T$4),Imóveis!$U$4,0),IF((IF(AND(Dados!$A520&gt;=Imóveis!$Q$4,Dados!$A520&lt;=Imóveis!$T$4),Imóveis!$S$4-(DATEDIF(Imóveis!$Q$4,Dados!$A520,"m")),0))=0,0,((Imóveis!$N$4/Imóveis!$S$4)+((Imóveis!$N$4-((Imóveis!$S$4-(IF(AND(Dados!$A520&gt;=Imóveis!$Q$4,Dados!$A520&lt;=Imóveis!$T$4),Imóveis!$S$4-(DATEDIF(Imóveis!$Q$4,Dados!$A520,"m")),)))*(Imóveis!$N$4/Imóveis!$S$4)))*Imóveis!$P$4))))*IF(AND(Imóveis!$E$4&gt;0,Dados!$A520&gt;Imóveis!$E$4),0,1)</f>
        <v>0</v>
      </c>
      <c r="L520" s="18">
        <f>IF(Imóveis!$F$5="PRICE",IF(AND(Dados!$A520&gt;=Imóveis!$Q$5,Dados!$A520&lt;=Imóveis!$T$5),Imóveis!$U$5,0),IF((IF(AND(Dados!$A520&gt;=Imóveis!$Q$5,Dados!$A520&lt;=Imóveis!$T$5),Imóveis!$S$5-(DATEDIF(Imóveis!$Q$5,Dados!$A520,"m")),0))=0,0,((Imóveis!$N$5/Imóveis!$S$5)+((Imóveis!$N$5-((Imóveis!$S$5-(IF(AND(Dados!$A520 &gt;=Imóveis!$Q$5,Dados!$A520&lt;=Imóveis!$T$5),Imóveis!$S$5-(DATEDIF(Imóveis!$Q$5,Dados!$A520,"m")),)))*(Imóveis!$N$5/Imóveis!$S$5)))*Imóveis!$P$5))))*IF(AND(Imóveis!$E$5&gt;0,Dados!$A520&gt;Imóveis!$E$5),0,1)*Imóveis!$I$5</f>
        <v>0</v>
      </c>
      <c r="M520" s="18">
        <f>IF(Imóveis!$F$6="PRICE",IF(AND(Dados!$A520&gt;=Imóveis!$Q$6,Dados!$A520&lt;=Imóveis!$T$6),Imóveis!$U$6,0),IF((IF(AND(Dados!$A520&gt;=Imóveis!$Q$6,Dados!$A520&lt;=Imóveis!$T$6),Imóveis!$S$6-(DATEDIF(Imóveis!$Q$6,Dados!$A520,"m")),0))=0,0,((Imóveis!$N$6/Imóveis!$S$6)+((Imóveis!$N$6-((Imóveis!$S$6-(IF(AND(Dados!$A520&gt;=Imóveis!$Q$6,Dados!$A520&lt;=Imóveis!$T$6),Imóveis!$S$6-(DATEDIF(Imóveis!$Q$6,Dados!$A520,"m")),)))*(Imóveis!$N$6/Imóveis!$S$6)))*Imóveis!$P$6))))*IF(AND(Imóveis!$E$6&gt;0,Dados!$A520&gt;Imóveis!$E$6),0,1)*Imóveis!$I$6</f>
        <v>0</v>
      </c>
      <c r="N520" s="18">
        <f t="shared" si="69"/>
        <v>37000</v>
      </c>
      <c r="O520" s="18">
        <f>SUMIFS(Receitas!$F:$F,Receitas!$J:$J,"&lt;="&amp;$A520,Receitas!$L:$L,"&gt;="&amp;$A520,Receitas!$C:$C,O$1,Receitas!$M:$M,"Mensal")+SUMIFS(Receitas!$F:$F,Receitas!$J:$J,"&lt;="&amp;$A520,Receitas!$L:$L,"&gt;="&amp;$A520,Receitas!$C:$C,O$1,Receitas!$M:$M,$B520)</f>
        <v>0</v>
      </c>
      <c r="P520" s="18">
        <f>SUMIFS(Receitas!$F:$F,Receitas!$J:$J,"&lt;="&amp;$A520,Receitas!$L:$L,"&gt;="&amp;$A520,Receitas!$C:$C,P$1,Receitas!$M:$M,"Mensal")+SUMIFS(Receitas!$F:$F,Receitas!$J:$J,"&lt;="&amp;$A520,Receitas!$L:$L,"&gt;="&amp;$A520,Receitas!$C:$C,P$1,Receitas!$M:$M,$B520)</f>
        <v>0</v>
      </c>
      <c r="Q520" s="18">
        <f>SUMIFS(Receitas!$F:$F,Receitas!$J:$J,"&lt;="&amp;$A520,Receitas!$L:$L,"&gt;="&amp;$A520,Receitas!$C:$C,Q$1,Receitas!$M:$M,"Mensal")+SUMIFS(Receitas!$F:$F,Receitas!$J:$J,"&lt;="&amp;$A520,Receitas!$L:$L,"&gt;="&amp;$A520,Receitas!$C:$C,Q$1,Receitas!$M:$M,$B520)</f>
        <v>0</v>
      </c>
      <c r="R520" s="18" cm="1">
        <f t="array" ref="R520">(IF(AND(Membros!$F$2="Sim",A520&lt;=MAX(Membros!$E$2:$E$5)),Membros!K$2,IF(AND(A520&gt;=Membros!J$2,A520&lt;=MAX(Membros!$E$2:$E$5)),Membros!K$2,0))+IF(AND(Membros!$F$3="Sim",A520&lt;=MAX(Membros!$E$2:$E$5)),Membros!K$3,IF(AND(A520&gt;=Membros!J$3,A520&lt;=MAX(Membros!$E$2:$E$5)),Membros!K$3,0)))*IF(AND(COUNTIFS(Tabela3[Tipo],"Provedor",Tabela3[Simulação Seguro],"Sim")=2,A520&gt;=MAX(IF(Tabela3[Tipo]="Dependente",Tabela3[Expectativa de Vida (Data)]))),0,1)</f>
        <v>10000</v>
      </c>
      <c r="S520" s="18">
        <f t="shared" si="70"/>
        <v>10000</v>
      </c>
      <c r="U520" s="18">
        <f t="shared" ca="1" si="73"/>
        <v>33085662.479892381</v>
      </c>
      <c r="V520" s="18">
        <f>SUMIF(Imóveis!E:E,Dados!A:A,Imóveis!Z:Z)-SUMIF(Imóveis!E:E,Dados!A:A,Imóveis!Y:Y)</f>
        <v>0</v>
      </c>
      <c r="W520" s="18">
        <f>-SUMIF(Projetos!N:N,A520,Projetos!F:F)</f>
        <v>0</v>
      </c>
      <c r="X520" s="18">
        <f t="shared" si="67"/>
        <v>-27000</v>
      </c>
      <c r="Y520" s="26">
        <f ca="1">(U520*((Indicadores_Economicos!D$2+1)^(1/12)-1))</f>
        <v>108313.84948082968</v>
      </c>
      <c r="Z520" s="18">
        <f t="shared" ca="1" si="71"/>
        <v>33166976.329373211</v>
      </c>
      <c r="AA520" s="18">
        <f ca="1">Auxiliar_Projetos!E520</f>
        <v>2.1255342199529942E-9</v>
      </c>
      <c r="AB520" s="18">
        <f ca="1">Auxiliar_Projetos!K520</f>
        <v>1.6350263230407635E-9</v>
      </c>
      <c r="AC520" s="18">
        <f ca="1">IF(Z520-AA520-AB520&gt;Investimentos!$C$14,Investimentos!$C$14,IF(Z520-AA520-AB520&lt;Investimentos!$C$14,Z520-AA520-AB520,0))</f>
        <v>300000</v>
      </c>
      <c r="AD520" s="18">
        <f t="shared" ca="1" si="72"/>
        <v>32866976.329373207</v>
      </c>
      <c r="AE520" s="18"/>
    </row>
    <row r="521" spans="1:31" x14ac:dyDescent="0.2">
      <c r="A521" s="4">
        <v>61454</v>
      </c>
      <c r="B521" s="5" t="str">
        <f t="shared" si="68"/>
        <v>abril</v>
      </c>
      <c r="C521" s="5" t="str">
        <f t="shared" si="66"/>
        <v>2068</v>
      </c>
      <c r="D521" s="5">
        <f>SUMIFS(Despesas!$F:$F,Despesas!$J:$J,"&lt;="&amp;$A521,Despesas!$L:$L,"&gt;="&amp;$A521,Despesas!$C:$C,D$1,Despesas!$M:$M,"Mensal")+SUMIFS(Despesas!$F:$F,Despesas!$J:$J,"&lt;="&amp;$A521,Despesas!$L:$L,"&gt;="&amp;$A521,Despesas!$C:$C,D$1,Despesas!$M:$M,$B521)</f>
        <v>23000</v>
      </c>
      <c r="E521" s="18">
        <f>SUMIFS(Despesas!$F:$F,Despesas!$J:$J,"&lt;="&amp;$A521,Despesas!$L:$L,"&gt;="&amp;$A521,Despesas!$C:$C,E$1,Despesas!$M:$M,"Mensal")+SUMIFS(Despesas!$F:$F,Despesas!$J:$J,"&lt;="&amp;$A521,Despesas!$L:$L,"&gt;="&amp;$A521,Despesas!$C:$C,E$1,Despesas!$M:$M,$B521)</f>
        <v>0</v>
      </c>
      <c r="F521" s="5">
        <f>SUMIFS(Despesas!$F:$F,Despesas!$J:$J,"&lt;="&amp;$A521,Despesas!$L:$L,"&gt;="&amp;$A521,Despesas!$C:$C,F$1,Despesas!$M:$M,"Mensal")+SUMIFS(Despesas!$F:$F,Despesas!$J:$J,"&lt;="&amp;$A521,Despesas!$L:$L,"&gt;="&amp;$A521,Despesas!$C:$C,F$1,Despesas!$M:$M,$B521)</f>
        <v>13000</v>
      </c>
      <c r="G521" s="5">
        <f>SUMIFS(Despesas!$F:$F,Despesas!$J:$J,"&lt;="&amp;$A521,Despesas!$L:$L,"&gt;="&amp;$A521,Despesas!$C:$C,G$1,Despesas!$M:$M,"Mensal")+SUMIFS(Despesas!$F:$F,Despesas!$J:$J,"&lt;="&amp;$A521,Despesas!$L:$L,"&gt;="&amp;$A521,Despesas!$C:$C,G$1,Despesas!$M:$M,$B521)</f>
        <v>0</v>
      </c>
      <c r="H521" s="18">
        <f>SUMIFS(Despesas!$F:$F,Despesas!$J:$J,"&lt;="&amp;$A521,Despesas!$L:$L,"&gt;="&amp;$A521,Despesas!$C:$C,H$1,Despesas!$M:$M,"Mensal")+SUMIFS(Despesas!$F:$F,Despesas!$J:$J,"&lt;="&amp;$A521,Despesas!$L:$L,"&gt;="&amp;$A521,Despesas!$C:$C,H$1,Despesas!$M:$M,$B521)</f>
        <v>1000</v>
      </c>
      <c r="I521" s="18">
        <f>IF(Imóveis!$F$2="PRICE",IF(AND(Dados!$A521&gt;=Imóveis!$Q$2,Dados!$A521&lt;=Imóveis!$T$2),Imóveis!$U$2,0),IF((IF(AND(Dados!$A521&gt;=Imóveis!$Q$2,Dados!$A521&lt;=Imóveis!$T$2),Imóveis!$S$2-(DATEDIF(Imóveis!$Q$2,Dados!$A521,"m")),0))=0,0,((Imóveis!$N$2/Imóveis!$S$2)+((Imóveis!$N$2-((Imóveis!$S$2-(IF(AND(Dados!$A521&gt;=Imóveis!$Q$2,Dados!$A521&lt;=Imóveis!$T$2),Imóveis!$S$2-(DATEDIF(Imóveis!$Q$2,Dados!$A521,"m")),)))*(Imóveis!$N$2/Imóveis!$S$2)))*Imóveis!$P$2))))*IF(AND(Imóveis!$E$2&gt;0,Dados!$A521&gt;Imóveis!$E$2),0,1)</f>
        <v>0</v>
      </c>
      <c r="J521" s="18">
        <f>IF(Imóveis!$F$3="PRICE",IF(AND(Dados!$A521&gt;=Imóveis!$Q$3,Dados!$A521&lt;=Imóveis!$T$3),Imóveis!$U$3,0),IF((IF(AND(Dados!$A521&gt;=Imóveis!$Q$3,Dados!$A521&lt;=Imóveis!$T$3),Imóveis!$S$3-(DATEDIF(Imóveis!$Q$3,Dados!$A521,"m")),0))=0,0,((Imóveis!$N$3/Imóveis!$S$3)+((Imóveis!$N$3-((Imóveis!$S$3-(IF(AND(Dados!$A521&gt;=Imóveis!$Q$3,Dados!$A521&lt;=Imóveis!$T$3),Imóveis!$S$3-(DATEDIF(Imóveis!$Q$3,Dados!$A521,"m")),)))*(Imóveis!$N$3/Imóveis!$S$3)))*Imóveis!$P$3))))*IF(AND(Imóveis!$E$3&gt;0,Dados!$A521&gt;Imóveis!$E$3),0,1)</f>
        <v>0</v>
      </c>
      <c r="K521" s="18">
        <f>IF(Imóveis!$F$4="PRICE",IF(AND(Dados!$A521&gt;=Imóveis!$Q$4,Dados!$A521&lt;=Imóveis!$T$4),Imóveis!$U$4,0),IF((IF(AND(Dados!$A521&gt;=Imóveis!$Q$4,Dados!$A521&lt;=Imóveis!$T$4),Imóveis!$S$4-(DATEDIF(Imóveis!$Q$4,Dados!$A521,"m")),0))=0,0,((Imóveis!$N$4/Imóveis!$S$4)+((Imóveis!$N$4-((Imóveis!$S$4-(IF(AND(Dados!$A521&gt;=Imóveis!$Q$4,Dados!$A521&lt;=Imóveis!$T$4),Imóveis!$S$4-(DATEDIF(Imóveis!$Q$4,Dados!$A521,"m")),)))*(Imóveis!$N$4/Imóveis!$S$4)))*Imóveis!$P$4))))*IF(AND(Imóveis!$E$4&gt;0,Dados!$A521&gt;Imóveis!$E$4),0,1)</f>
        <v>0</v>
      </c>
      <c r="L521" s="18">
        <f>IF(Imóveis!$F$5="PRICE",IF(AND(Dados!$A521&gt;=Imóveis!$Q$5,Dados!$A521&lt;=Imóveis!$T$5),Imóveis!$U$5,0),IF((IF(AND(Dados!$A521&gt;=Imóveis!$Q$5,Dados!$A521&lt;=Imóveis!$T$5),Imóveis!$S$5-(DATEDIF(Imóveis!$Q$5,Dados!$A521,"m")),0))=0,0,((Imóveis!$N$5/Imóveis!$S$5)+((Imóveis!$N$5-((Imóveis!$S$5-(IF(AND(Dados!$A521 &gt;=Imóveis!$Q$5,Dados!$A521&lt;=Imóveis!$T$5),Imóveis!$S$5-(DATEDIF(Imóveis!$Q$5,Dados!$A521,"m")),)))*(Imóveis!$N$5/Imóveis!$S$5)))*Imóveis!$P$5))))*IF(AND(Imóveis!$E$5&gt;0,Dados!$A521&gt;Imóveis!$E$5),0,1)*Imóveis!$I$5</f>
        <v>0</v>
      </c>
      <c r="M521" s="18">
        <f>IF(Imóveis!$F$6="PRICE",IF(AND(Dados!$A521&gt;=Imóveis!$Q$6,Dados!$A521&lt;=Imóveis!$T$6),Imóveis!$U$6,0),IF((IF(AND(Dados!$A521&gt;=Imóveis!$Q$6,Dados!$A521&lt;=Imóveis!$T$6),Imóveis!$S$6-(DATEDIF(Imóveis!$Q$6,Dados!$A521,"m")),0))=0,0,((Imóveis!$N$6/Imóveis!$S$6)+((Imóveis!$N$6-((Imóveis!$S$6-(IF(AND(Dados!$A521&gt;=Imóveis!$Q$6,Dados!$A521&lt;=Imóveis!$T$6),Imóveis!$S$6-(DATEDIF(Imóveis!$Q$6,Dados!$A521,"m")),)))*(Imóveis!$N$6/Imóveis!$S$6)))*Imóveis!$P$6))))*IF(AND(Imóveis!$E$6&gt;0,Dados!$A521&gt;Imóveis!$E$6),0,1)*Imóveis!$I$6</f>
        <v>0</v>
      </c>
      <c r="N521" s="18">
        <f t="shared" si="69"/>
        <v>37000</v>
      </c>
      <c r="O521" s="18">
        <f>SUMIFS(Receitas!$F:$F,Receitas!$J:$J,"&lt;="&amp;$A521,Receitas!$L:$L,"&gt;="&amp;$A521,Receitas!$C:$C,O$1,Receitas!$M:$M,"Mensal")+SUMIFS(Receitas!$F:$F,Receitas!$J:$J,"&lt;="&amp;$A521,Receitas!$L:$L,"&gt;="&amp;$A521,Receitas!$C:$C,O$1,Receitas!$M:$M,$B521)</f>
        <v>0</v>
      </c>
      <c r="P521" s="18">
        <f>SUMIFS(Receitas!$F:$F,Receitas!$J:$J,"&lt;="&amp;$A521,Receitas!$L:$L,"&gt;="&amp;$A521,Receitas!$C:$C,P$1,Receitas!$M:$M,"Mensal")+SUMIFS(Receitas!$F:$F,Receitas!$J:$J,"&lt;="&amp;$A521,Receitas!$L:$L,"&gt;="&amp;$A521,Receitas!$C:$C,P$1,Receitas!$M:$M,$B521)</f>
        <v>0</v>
      </c>
      <c r="Q521" s="18">
        <f>SUMIFS(Receitas!$F:$F,Receitas!$J:$J,"&lt;="&amp;$A521,Receitas!$L:$L,"&gt;="&amp;$A521,Receitas!$C:$C,Q$1,Receitas!$M:$M,"Mensal")+SUMIFS(Receitas!$F:$F,Receitas!$J:$J,"&lt;="&amp;$A521,Receitas!$L:$L,"&gt;="&amp;$A521,Receitas!$C:$C,Q$1,Receitas!$M:$M,$B521)</f>
        <v>0</v>
      </c>
      <c r="R521" s="18" cm="1">
        <f t="array" ref="R521">(IF(AND(Membros!$F$2="Sim",A521&lt;=MAX(Membros!$E$2:$E$5)),Membros!K$2,IF(AND(A521&gt;=Membros!J$2,A521&lt;=MAX(Membros!$E$2:$E$5)),Membros!K$2,0))+IF(AND(Membros!$F$3="Sim",A521&lt;=MAX(Membros!$E$2:$E$5)),Membros!K$3,IF(AND(A521&gt;=Membros!J$3,A521&lt;=MAX(Membros!$E$2:$E$5)),Membros!K$3,0)))*IF(AND(COUNTIFS(Tabela3[Tipo],"Provedor",Tabela3[Simulação Seguro],"Sim")=2,A521&gt;=MAX(IF(Tabela3[Tipo]="Dependente",Tabela3[Expectativa de Vida (Data)]))),0,1)</f>
        <v>10000</v>
      </c>
      <c r="S521" s="18">
        <f t="shared" si="70"/>
        <v>10000</v>
      </c>
      <c r="U521" s="18">
        <f t="shared" ca="1" si="73"/>
        <v>33166976.329373211</v>
      </c>
      <c r="V521" s="18">
        <f>SUMIF(Imóveis!E:E,Dados!A:A,Imóveis!Z:Z)-SUMIF(Imóveis!E:E,Dados!A:A,Imóveis!Y:Y)</f>
        <v>0</v>
      </c>
      <c r="W521" s="18">
        <f>-SUMIF(Projetos!N:N,A521,Projetos!F:F)</f>
        <v>0</v>
      </c>
      <c r="X521" s="18">
        <f t="shared" si="67"/>
        <v>-27000</v>
      </c>
      <c r="Y521" s="26">
        <f ca="1">(U521*((Indicadores_Economicos!D$2+1)^(1/12)-1))</f>
        <v>108580.04986471881</v>
      </c>
      <c r="Z521" s="18">
        <f t="shared" ca="1" si="71"/>
        <v>33248556.379237931</v>
      </c>
      <c r="AA521" s="18">
        <f ca="1">Auxiliar_Projetos!E521</f>
        <v>2.1324926658872796E-9</v>
      </c>
      <c r="AB521" s="18">
        <f ca="1">Auxiliar_Projetos!K521</f>
        <v>1.6403789737594445E-9</v>
      </c>
      <c r="AC521" s="18">
        <f ca="1">IF(Z521-AA521-AB521&gt;Investimentos!$C$14,Investimentos!$C$14,IF(Z521-AA521-AB521&lt;Investimentos!$C$14,Z521-AA521-AB521,0))</f>
        <v>300000</v>
      </c>
      <c r="AD521" s="18">
        <f t="shared" ca="1" si="72"/>
        <v>32948556.379237927</v>
      </c>
      <c r="AE521" s="18"/>
    </row>
    <row r="522" spans="1:31" x14ac:dyDescent="0.2">
      <c r="A522" s="4">
        <v>61484</v>
      </c>
      <c r="B522" s="5" t="str">
        <f t="shared" si="68"/>
        <v>maio</v>
      </c>
      <c r="C522" s="5" t="str">
        <f t="shared" si="66"/>
        <v>2068</v>
      </c>
      <c r="D522" s="5">
        <f>SUMIFS(Despesas!$F:$F,Despesas!$J:$J,"&lt;="&amp;$A522,Despesas!$L:$L,"&gt;="&amp;$A522,Despesas!$C:$C,D$1,Despesas!$M:$M,"Mensal")+SUMIFS(Despesas!$F:$F,Despesas!$J:$J,"&lt;="&amp;$A522,Despesas!$L:$L,"&gt;="&amp;$A522,Despesas!$C:$C,D$1,Despesas!$M:$M,$B522)</f>
        <v>23000</v>
      </c>
      <c r="E522" s="18">
        <f>SUMIFS(Despesas!$F:$F,Despesas!$J:$J,"&lt;="&amp;$A522,Despesas!$L:$L,"&gt;="&amp;$A522,Despesas!$C:$C,E$1,Despesas!$M:$M,"Mensal")+SUMIFS(Despesas!$F:$F,Despesas!$J:$J,"&lt;="&amp;$A522,Despesas!$L:$L,"&gt;="&amp;$A522,Despesas!$C:$C,E$1,Despesas!$M:$M,$B522)</f>
        <v>0</v>
      </c>
      <c r="F522" s="5">
        <f>SUMIFS(Despesas!$F:$F,Despesas!$J:$J,"&lt;="&amp;$A522,Despesas!$L:$L,"&gt;="&amp;$A522,Despesas!$C:$C,F$1,Despesas!$M:$M,"Mensal")+SUMIFS(Despesas!$F:$F,Despesas!$J:$J,"&lt;="&amp;$A522,Despesas!$L:$L,"&gt;="&amp;$A522,Despesas!$C:$C,F$1,Despesas!$M:$M,$B522)</f>
        <v>13000</v>
      </c>
      <c r="G522" s="5">
        <f>SUMIFS(Despesas!$F:$F,Despesas!$J:$J,"&lt;="&amp;$A522,Despesas!$L:$L,"&gt;="&amp;$A522,Despesas!$C:$C,G$1,Despesas!$M:$M,"Mensal")+SUMIFS(Despesas!$F:$F,Despesas!$J:$J,"&lt;="&amp;$A522,Despesas!$L:$L,"&gt;="&amp;$A522,Despesas!$C:$C,G$1,Despesas!$M:$M,$B522)</f>
        <v>0</v>
      </c>
      <c r="H522" s="18">
        <f>SUMIFS(Despesas!$F:$F,Despesas!$J:$J,"&lt;="&amp;$A522,Despesas!$L:$L,"&gt;="&amp;$A522,Despesas!$C:$C,H$1,Despesas!$M:$M,"Mensal")+SUMIFS(Despesas!$F:$F,Despesas!$J:$J,"&lt;="&amp;$A522,Despesas!$L:$L,"&gt;="&amp;$A522,Despesas!$C:$C,H$1,Despesas!$M:$M,$B522)</f>
        <v>1000</v>
      </c>
      <c r="I522" s="18">
        <f>IF(Imóveis!$F$2="PRICE",IF(AND(Dados!$A522&gt;=Imóveis!$Q$2,Dados!$A522&lt;=Imóveis!$T$2),Imóveis!$U$2,0),IF((IF(AND(Dados!$A522&gt;=Imóveis!$Q$2,Dados!$A522&lt;=Imóveis!$T$2),Imóveis!$S$2-(DATEDIF(Imóveis!$Q$2,Dados!$A522,"m")),0))=0,0,((Imóveis!$N$2/Imóveis!$S$2)+((Imóveis!$N$2-((Imóveis!$S$2-(IF(AND(Dados!$A522&gt;=Imóveis!$Q$2,Dados!$A522&lt;=Imóveis!$T$2),Imóveis!$S$2-(DATEDIF(Imóveis!$Q$2,Dados!$A522,"m")),)))*(Imóveis!$N$2/Imóveis!$S$2)))*Imóveis!$P$2))))*IF(AND(Imóveis!$E$2&gt;0,Dados!$A522&gt;Imóveis!$E$2),0,1)</f>
        <v>0</v>
      </c>
      <c r="J522" s="18">
        <f>IF(Imóveis!$F$3="PRICE",IF(AND(Dados!$A522&gt;=Imóveis!$Q$3,Dados!$A522&lt;=Imóveis!$T$3),Imóveis!$U$3,0),IF((IF(AND(Dados!$A522&gt;=Imóveis!$Q$3,Dados!$A522&lt;=Imóveis!$T$3),Imóveis!$S$3-(DATEDIF(Imóveis!$Q$3,Dados!$A522,"m")),0))=0,0,((Imóveis!$N$3/Imóveis!$S$3)+((Imóveis!$N$3-((Imóveis!$S$3-(IF(AND(Dados!$A522&gt;=Imóveis!$Q$3,Dados!$A522&lt;=Imóveis!$T$3),Imóveis!$S$3-(DATEDIF(Imóveis!$Q$3,Dados!$A522,"m")),)))*(Imóveis!$N$3/Imóveis!$S$3)))*Imóveis!$P$3))))*IF(AND(Imóveis!$E$3&gt;0,Dados!$A522&gt;Imóveis!$E$3),0,1)</f>
        <v>0</v>
      </c>
      <c r="K522" s="18">
        <f>IF(Imóveis!$F$4="PRICE",IF(AND(Dados!$A522&gt;=Imóveis!$Q$4,Dados!$A522&lt;=Imóveis!$T$4),Imóveis!$U$4,0),IF((IF(AND(Dados!$A522&gt;=Imóveis!$Q$4,Dados!$A522&lt;=Imóveis!$T$4),Imóveis!$S$4-(DATEDIF(Imóveis!$Q$4,Dados!$A522,"m")),0))=0,0,((Imóveis!$N$4/Imóveis!$S$4)+((Imóveis!$N$4-((Imóveis!$S$4-(IF(AND(Dados!$A522&gt;=Imóveis!$Q$4,Dados!$A522&lt;=Imóveis!$T$4),Imóveis!$S$4-(DATEDIF(Imóveis!$Q$4,Dados!$A522,"m")),)))*(Imóveis!$N$4/Imóveis!$S$4)))*Imóveis!$P$4))))*IF(AND(Imóveis!$E$4&gt;0,Dados!$A522&gt;Imóveis!$E$4),0,1)</f>
        <v>0</v>
      </c>
      <c r="L522" s="18">
        <f>IF(Imóveis!$F$5="PRICE",IF(AND(Dados!$A522&gt;=Imóveis!$Q$5,Dados!$A522&lt;=Imóveis!$T$5),Imóveis!$U$5,0),IF((IF(AND(Dados!$A522&gt;=Imóveis!$Q$5,Dados!$A522&lt;=Imóveis!$T$5),Imóveis!$S$5-(DATEDIF(Imóveis!$Q$5,Dados!$A522,"m")),0))=0,0,((Imóveis!$N$5/Imóveis!$S$5)+((Imóveis!$N$5-((Imóveis!$S$5-(IF(AND(Dados!$A522 &gt;=Imóveis!$Q$5,Dados!$A522&lt;=Imóveis!$T$5),Imóveis!$S$5-(DATEDIF(Imóveis!$Q$5,Dados!$A522,"m")),)))*(Imóveis!$N$5/Imóveis!$S$5)))*Imóveis!$P$5))))*IF(AND(Imóveis!$E$5&gt;0,Dados!$A522&gt;Imóveis!$E$5),0,1)*Imóveis!$I$5</f>
        <v>0</v>
      </c>
      <c r="M522" s="18">
        <f>IF(Imóveis!$F$6="PRICE",IF(AND(Dados!$A522&gt;=Imóveis!$Q$6,Dados!$A522&lt;=Imóveis!$T$6),Imóveis!$U$6,0),IF((IF(AND(Dados!$A522&gt;=Imóveis!$Q$6,Dados!$A522&lt;=Imóveis!$T$6),Imóveis!$S$6-(DATEDIF(Imóveis!$Q$6,Dados!$A522,"m")),0))=0,0,((Imóveis!$N$6/Imóveis!$S$6)+((Imóveis!$N$6-((Imóveis!$S$6-(IF(AND(Dados!$A522&gt;=Imóveis!$Q$6,Dados!$A522&lt;=Imóveis!$T$6),Imóveis!$S$6-(DATEDIF(Imóveis!$Q$6,Dados!$A522,"m")),)))*(Imóveis!$N$6/Imóveis!$S$6)))*Imóveis!$P$6))))*IF(AND(Imóveis!$E$6&gt;0,Dados!$A522&gt;Imóveis!$E$6),0,1)*Imóveis!$I$6</f>
        <v>0</v>
      </c>
      <c r="N522" s="18">
        <f t="shared" si="69"/>
        <v>37000</v>
      </c>
      <c r="O522" s="18">
        <f>SUMIFS(Receitas!$F:$F,Receitas!$J:$J,"&lt;="&amp;$A522,Receitas!$L:$L,"&gt;="&amp;$A522,Receitas!$C:$C,O$1,Receitas!$M:$M,"Mensal")+SUMIFS(Receitas!$F:$F,Receitas!$J:$J,"&lt;="&amp;$A522,Receitas!$L:$L,"&gt;="&amp;$A522,Receitas!$C:$C,O$1,Receitas!$M:$M,$B522)</f>
        <v>0</v>
      </c>
      <c r="P522" s="18">
        <f>SUMIFS(Receitas!$F:$F,Receitas!$J:$J,"&lt;="&amp;$A522,Receitas!$L:$L,"&gt;="&amp;$A522,Receitas!$C:$C,P$1,Receitas!$M:$M,"Mensal")+SUMIFS(Receitas!$F:$F,Receitas!$J:$J,"&lt;="&amp;$A522,Receitas!$L:$L,"&gt;="&amp;$A522,Receitas!$C:$C,P$1,Receitas!$M:$M,$B522)</f>
        <v>0</v>
      </c>
      <c r="Q522" s="18">
        <f>SUMIFS(Receitas!$F:$F,Receitas!$J:$J,"&lt;="&amp;$A522,Receitas!$L:$L,"&gt;="&amp;$A522,Receitas!$C:$C,Q$1,Receitas!$M:$M,"Mensal")+SUMIFS(Receitas!$F:$F,Receitas!$J:$J,"&lt;="&amp;$A522,Receitas!$L:$L,"&gt;="&amp;$A522,Receitas!$C:$C,Q$1,Receitas!$M:$M,$B522)</f>
        <v>0</v>
      </c>
      <c r="R522" s="18" cm="1">
        <f t="array" ref="R522">(IF(AND(Membros!$F$2="Sim",A522&lt;=MAX(Membros!$E$2:$E$5)),Membros!K$2,IF(AND(A522&gt;=Membros!J$2,A522&lt;=MAX(Membros!$E$2:$E$5)),Membros!K$2,0))+IF(AND(Membros!$F$3="Sim",A522&lt;=MAX(Membros!$E$2:$E$5)),Membros!K$3,IF(AND(A522&gt;=Membros!J$3,A522&lt;=MAX(Membros!$E$2:$E$5)),Membros!K$3,0)))*IF(AND(COUNTIFS(Tabela3[Tipo],"Provedor",Tabela3[Simulação Seguro],"Sim")=2,A522&gt;=MAX(IF(Tabela3[Tipo]="Dependente",Tabela3[Expectativa de Vida (Data)]))),0,1)</f>
        <v>10000</v>
      </c>
      <c r="S522" s="18">
        <f t="shared" si="70"/>
        <v>10000</v>
      </c>
      <c r="U522" s="18">
        <f t="shared" ca="1" si="73"/>
        <v>33248556.379237931</v>
      </c>
      <c r="V522" s="18">
        <f>SUMIF(Imóveis!E:E,Dados!A:A,Imóveis!Z:Z)-SUMIF(Imóveis!E:E,Dados!A:A,Imóveis!Y:Y)</f>
        <v>0</v>
      </c>
      <c r="W522" s="18">
        <f>-SUMIF(Projetos!N:N,A522,Projetos!F:F)</f>
        <v>0</v>
      </c>
      <c r="X522" s="18">
        <f t="shared" si="67"/>
        <v>-27000</v>
      </c>
      <c r="Y522" s="26">
        <f ca="1">(U522*((Indicadores_Economicos!D$2+1)^(1/12)-1))</f>
        <v>108847.12171939471</v>
      </c>
      <c r="Z522" s="18">
        <f t="shared" ca="1" si="71"/>
        <v>33330403.500957325</v>
      </c>
      <c r="AA522" s="18">
        <f ca="1">Auxiliar_Projetos!E522</f>
        <v>2.1394738919628421E-9</v>
      </c>
      <c r="AB522" s="18">
        <f ca="1">Auxiliar_Projetos!K522</f>
        <v>1.6457491476637235E-9</v>
      </c>
      <c r="AC522" s="18">
        <f ca="1">IF(Z522-AA522-AB522&gt;Investimentos!$C$14,Investimentos!$C$14,IF(Z522-AA522-AB522&lt;Investimentos!$C$14,Z522-AA522-AB522,0))</f>
        <v>300000</v>
      </c>
      <c r="AD522" s="18">
        <f t="shared" ca="1" si="72"/>
        <v>33030403.500957321</v>
      </c>
      <c r="AE522" s="18"/>
    </row>
    <row r="523" spans="1:31" x14ac:dyDescent="0.2">
      <c r="A523" s="4">
        <v>61515</v>
      </c>
      <c r="B523" s="5" t="str">
        <f t="shared" si="68"/>
        <v>junho</v>
      </c>
      <c r="C523" s="5" t="str">
        <f t="shared" si="66"/>
        <v>2068</v>
      </c>
      <c r="D523" s="5">
        <f>SUMIFS(Despesas!$F:$F,Despesas!$J:$J,"&lt;="&amp;$A523,Despesas!$L:$L,"&gt;="&amp;$A523,Despesas!$C:$C,D$1,Despesas!$M:$M,"Mensal")+SUMIFS(Despesas!$F:$F,Despesas!$J:$J,"&lt;="&amp;$A523,Despesas!$L:$L,"&gt;="&amp;$A523,Despesas!$C:$C,D$1,Despesas!$M:$M,$B523)</f>
        <v>23000</v>
      </c>
      <c r="E523" s="18">
        <f>SUMIFS(Despesas!$F:$F,Despesas!$J:$J,"&lt;="&amp;$A523,Despesas!$L:$L,"&gt;="&amp;$A523,Despesas!$C:$C,E$1,Despesas!$M:$M,"Mensal")+SUMIFS(Despesas!$F:$F,Despesas!$J:$J,"&lt;="&amp;$A523,Despesas!$L:$L,"&gt;="&amp;$A523,Despesas!$C:$C,E$1,Despesas!$M:$M,$B523)</f>
        <v>0</v>
      </c>
      <c r="F523" s="5">
        <f>SUMIFS(Despesas!$F:$F,Despesas!$J:$J,"&lt;="&amp;$A523,Despesas!$L:$L,"&gt;="&amp;$A523,Despesas!$C:$C,F$1,Despesas!$M:$M,"Mensal")+SUMIFS(Despesas!$F:$F,Despesas!$J:$J,"&lt;="&amp;$A523,Despesas!$L:$L,"&gt;="&amp;$A523,Despesas!$C:$C,F$1,Despesas!$M:$M,$B523)</f>
        <v>13000</v>
      </c>
      <c r="G523" s="5">
        <f>SUMIFS(Despesas!$F:$F,Despesas!$J:$J,"&lt;="&amp;$A523,Despesas!$L:$L,"&gt;="&amp;$A523,Despesas!$C:$C,G$1,Despesas!$M:$M,"Mensal")+SUMIFS(Despesas!$F:$F,Despesas!$J:$J,"&lt;="&amp;$A523,Despesas!$L:$L,"&gt;="&amp;$A523,Despesas!$C:$C,G$1,Despesas!$M:$M,$B523)</f>
        <v>0</v>
      </c>
      <c r="H523" s="18">
        <f>SUMIFS(Despesas!$F:$F,Despesas!$J:$J,"&lt;="&amp;$A523,Despesas!$L:$L,"&gt;="&amp;$A523,Despesas!$C:$C,H$1,Despesas!$M:$M,"Mensal")+SUMIFS(Despesas!$F:$F,Despesas!$J:$J,"&lt;="&amp;$A523,Despesas!$L:$L,"&gt;="&amp;$A523,Despesas!$C:$C,H$1,Despesas!$M:$M,$B523)</f>
        <v>1000</v>
      </c>
      <c r="I523" s="18">
        <f>IF(Imóveis!$F$2="PRICE",IF(AND(Dados!$A523&gt;=Imóveis!$Q$2,Dados!$A523&lt;=Imóveis!$T$2),Imóveis!$U$2,0),IF((IF(AND(Dados!$A523&gt;=Imóveis!$Q$2,Dados!$A523&lt;=Imóveis!$T$2),Imóveis!$S$2-(DATEDIF(Imóveis!$Q$2,Dados!$A523,"m")),0))=0,0,((Imóveis!$N$2/Imóveis!$S$2)+((Imóveis!$N$2-((Imóveis!$S$2-(IF(AND(Dados!$A523&gt;=Imóveis!$Q$2,Dados!$A523&lt;=Imóveis!$T$2),Imóveis!$S$2-(DATEDIF(Imóveis!$Q$2,Dados!$A523,"m")),)))*(Imóveis!$N$2/Imóveis!$S$2)))*Imóveis!$P$2))))*IF(AND(Imóveis!$E$2&gt;0,Dados!$A523&gt;Imóveis!$E$2),0,1)</f>
        <v>0</v>
      </c>
      <c r="J523" s="18">
        <f>IF(Imóveis!$F$3="PRICE",IF(AND(Dados!$A523&gt;=Imóveis!$Q$3,Dados!$A523&lt;=Imóveis!$T$3),Imóveis!$U$3,0),IF((IF(AND(Dados!$A523&gt;=Imóveis!$Q$3,Dados!$A523&lt;=Imóveis!$T$3),Imóveis!$S$3-(DATEDIF(Imóveis!$Q$3,Dados!$A523,"m")),0))=0,0,((Imóveis!$N$3/Imóveis!$S$3)+((Imóveis!$N$3-((Imóveis!$S$3-(IF(AND(Dados!$A523&gt;=Imóveis!$Q$3,Dados!$A523&lt;=Imóveis!$T$3),Imóveis!$S$3-(DATEDIF(Imóveis!$Q$3,Dados!$A523,"m")),)))*(Imóveis!$N$3/Imóveis!$S$3)))*Imóveis!$P$3))))*IF(AND(Imóveis!$E$3&gt;0,Dados!$A523&gt;Imóveis!$E$3),0,1)</f>
        <v>0</v>
      </c>
      <c r="K523" s="18">
        <f>IF(Imóveis!$F$4="PRICE",IF(AND(Dados!$A523&gt;=Imóveis!$Q$4,Dados!$A523&lt;=Imóveis!$T$4),Imóveis!$U$4,0),IF((IF(AND(Dados!$A523&gt;=Imóveis!$Q$4,Dados!$A523&lt;=Imóveis!$T$4),Imóveis!$S$4-(DATEDIF(Imóveis!$Q$4,Dados!$A523,"m")),0))=0,0,((Imóveis!$N$4/Imóveis!$S$4)+((Imóveis!$N$4-((Imóveis!$S$4-(IF(AND(Dados!$A523&gt;=Imóveis!$Q$4,Dados!$A523&lt;=Imóveis!$T$4),Imóveis!$S$4-(DATEDIF(Imóveis!$Q$4,Dados!$A523,"m")),)))*(Imóveis!$N$4/Imóveis!$S$4)))*Imóveis!$P$4))))*IF(AND(Imóveis!$E$4&gt;0,Dados!$A523&gt;Imóveis!$E$4),0,1)</f>
        <v>0</v>
      </c>
      <c r="L523" s="18">
        <f>IF(Imóveis!$F$5="PRICE",IF(AND(Dados!$A523&gt;=Imóveis!$Q$5,Dados!$A523&lt;=Imóveis!$T$5),Imóveis!$U$5,0),IF((IF(AND(Dados!$A523&gt;=Imóveis!$Q$5,Dados!$A523&lt;=Imóveis!$T$5),Imóveis!$S$5-(DATEDIF(Imóveis!$Q$5,Dados!$A523,"m")),0))=0,0,((Imóveis!$N$5/Imóveis!$S$5)+((Imóveis!$N$5-((Imóveis!$S$5-(IF(AND(Dados!$A523 &gt;=Imóveis!$Q$5,Dados!$A523&lt;=Imóveis!$T$5),Imóveis!$S$5-(DATEDIF(Imóveis!$Q$5,Dados!$A523,"m")),)))*(Imóveis!$N$5/Imóveis!$S$5)))*Imóveis!$P$5))))*IF(AND(Imóveis!$E$5&gt;0,Dados!$A523&gt;Imóveis!$E$5),0,1)*Imóveis!$I$5</f>
        <v>0</v>
      </c>
      <c r="M523" s="18">
        <f>IF(Imóveis!$F$6="PRICE",IF(AND(Dados!$A523&gt;=Imóveis!$Q$6,Dados!$A523&lt;=Imóveis!$T$6),Imóveis!$U$6,0),IF((IF(AND(Dados!$A523&gt;=Imóveis!$Q$6,Dados!$A523&lt;=Imóveis!$T$6),Imóveis!$S$6-(DATEDIF(Imóveis!$Q$6,Dados!$A523,"m")),0))=0,0,((Imóveis!$N$6/Imóveis!$S$6)+((Imóveis!$N$6-((Imóveis!$S$6-(IF(AND(Dados!$A523&gt;=Imóveis!$Q$6,Dados!$A523&lt;=Imóveis!$T$6),Imóveis!$S$6-(DATEDIF(Imóveis!$Q$6,Dados!$A523,"m")),)))*(Imóveis!$N$6/Imóveis!$S$6)))*Imóveis!$P$6))))*IF(AND(Imóveis!$E$6&gt;0,Dados!$A523&gt;Imóveis!$E$6),0,1)*Imóveis!$I$6</f>
        <v>0</v>
      </c>
      <c r="N523" s="18">
        <f t="shared" si="69"/>
        <v>37000</v>
      </c>
      <c r="O523" s="18">
        <f>SUMIFS(Receitas!$F:$F,Receitas!$J:$J,"&lt;="&amp;$A523,Receitas!$L:$L,"&gt;="&amp;$A523,Receitas!$C:$C,O$1,Receitas!$M:$M,"Mensal")+SUMIFS(Receitas!$F:$F,Receitas!$J:$J,"&lt;="&amp;$A523,Receitas!$L:$L,"&gt;="&amp;$A523,Receitas!$C:$C,O$1,Receitas!$M:$M,$B523)</f>
        <v>0</v>
      </c>
      <c r="P523" s="18">
        <f>SUMIFS(Receitas!$F:$F,Receitas!$J:$J,"&lt;="&amp;$A523,Receitas!$L:$L,"&gt;="&amp;$A523,Receitas!$C:$C,P$1,Receitas!$M:$M,"Mensal")+SUMIFS(Receitas!$F:$F,Receitas!$J:$J,"&lt;="&amp;$A523,Receitas!$L:$L,"&gt;="&amp;$A523,Receitas!$C:$C,P$1,Receitas!$M:$M,$B523)</f>
        <v>0</v>
      </c>
      <c r="Q523" s="18">
        <f>SUMIFS(Receitas!$F:$F,Receitas!$J:$J,"&lt;="&amp;$A523,Receitas!$L:$L,"&gt;="&amp;$A523,Receitas!$C:$C,Q$1,Receitas!$M:$M,"Mensal")+SUMIFS(Receitas!$F:$F,Receitas!$J:$J,"&lt;="&amp;$A523,Receitas!$L:$L,"&gt;="&amp;$A523,Receitas!$C:$C,Q$1,Receitas!$M:$M,$B523)</f>
        <v>0</v>
      </c>
      <c r="R523" s="18" cm="1">
        <f t="array" ref="R523">(IF(AND(Membros!$F$2="Sim",A523&lt;=MAX(Membros!$E$2:$E$5)),Membros!K$2,IF(AND(A523&gt;=Membros!J$2,A523&lt;=MAX(Membros!$E$2:$E$5)),Membros!K$2,0))+IF(AND(Membros!$F$3="Sim",A523&lt;=MAX(Membros!$E$2:$E$5)),Membros!K$3,IF(AND(A523&gt;=Membros!J$3,A523&lt;=MAX(Membros!$E$2:$E$5)),Membros!K$3,0)))*IF(AND(COUNTIFS(Tabela3[Tipo],"Provedor",Tabela3[Simulação Seguro],"Sim")=2,A523&gt;=MAX(IF(Tabela3[Tipo]="Dependente",Tabela3[Expectativa de Vida (Data)]))),0,1)</f>
        <v>10000</v>
      </c>
      <c r="S523" s="18">
        <f t="shared" si="70"/>
        <v>10000</v>
      </c>
      <c r="U523" s="18">
        <f t="shared" ca="1" si="73"/>
        <v>33330403.500957325</v>
      </c>
      <c r="V523" s="18">
        <f>SUMIF(Imóveis!E:E,Dados!A:A,Imóveis!Z:Z)-SUMIF(Imóveis!E:E,Dados!A:A,Imóveis!Y:Y)</f>
        <v>0</v>
      </c>
      <c r="W523" s="18">
        <f>-SUMIF(Projetos!N:N,A523,Projetos!F:F)</f>
        <v>0</v>
      </c>
      <c r="X523" s="18">
        <f t="shared" si="67"/>
        <v>-27000</v>
      </c>
      <c r="Y523" s="26">
        <f ca="1">(U523*((Indicadores_Economicos!D$2+1)^(1/12)-1))</f>
        <v>109115.06789782597</v>
      </c>
      <c r="Z523" s="18">
        <f t="shared" ca="1" si="71"/>
        <v>33412518.568855152</v>
      </c>
      <c r="AA523" s="18">
        <f ca="1">Auxiliar_Projetos!E523</f>
        <v>2.1464779727559367E-9</v>
      </c>
      <c r="AB523" s="18">
        <f ca="1">Auxiliar_Projetos!K523</f>
        <v>1.6511369021199502E-9</v>
      </c>
      <c r="AC523" s="18">
        <f ca="1">IF(Z523-AA523-AB523&gt;Investimentos!$C$14,Investimentos!$C$14,IF(Z523-AA523-AB523&lt;Investimentos!$C$14,Z523-AA523-AB523,0))</f>
        <v>300000</v>
      </c>
      <c r="AD523" s="18">
        <f t="shared" ca="1" si="72"/>
        <v>33112518.568855148</v>
      </c>
      <c r="AE523" s="18"/>
    </row>
    <row r="524" spans="1:31" x14ac:dyDescent="0.2">
      <c r="A524" s="4">
        <v>61545</v>
      </c>
      <c r="B524" s="5" t="str">
        <f t="shared" si="68"/>
        <v>julho</v>
      </c>
      <c r="C524" s="5" t="str">
        <f t="shared" si="66"/>
        <v>2068</v>
      </c>
      <c r="D524" s="5">
        <f>SUMIFS(Despesas!$F:$F,Despesas!$J:$J,"&lt;="&amp;$A524,Despesas!$L:$L,"&gt;="&amp;$A524,Despesas!$C:$C,D$1,Despesas!$M:$M,"Mensal")+SUMIFS(Despesas!$F:$F,Despesas!$J:$J,"&lt;="&amp;$A524,Despesas!$L:$L,"&gt;="&amp;$A524,Despesas!$C:$C,D$1,Despesas!$M:$M,$B524)</f>
        <v>23000</v>
      </c>
      <c r="E524" s="18">
        <f>SUMIFS(Despesas!$F:$F,Despesas!$J:$J,"&lt;="&amp;$A524,Despesas!$L:$L,"&gt;="&amp;$A524,Despesas!$C:$C,E$1,Despesas!$M:$M,"Mensal")+SUMIFS(Despesas!$F:$F,Despesas!$J:$J,"&lt;="&amp;$A524,Despesas!$L:$L,"&gt;="&amp;$A524,Despesas!$C:$C,E$1,Despesas!$M:$M,$B524)</f>
        <v>0</v>
      </c>
      <c r="F524" s="5">
        <f>SUMIFS(Despesas!$F:$F,Despesas!$J:$J,"&lt;="&amp;$A524,Despesas!$L:$L,"&gt;="&amp;$A524,Despesas!$C:$C,F$1,Despesas!$M:$M,"Mensal")+SUMIFS(Despesas!$F:$F,Despesas!$J:$J,"&lt;="&amp;$A524,Despesas!$L:$L,"&gt;="&amp;$A524,Despesas!$C:$C,F$1,Despesas!$M:$M,$B524)</f>
        <v>13000</v>
      </c>
      <c r="G524" s="5">
        <f ca="1">SUMIFS(Despesas!$F:$F,Despesas!$J:$J,"&lt;="&amp;$A524,Despesas!$L:$L,"&gt;="&amp;$A524,Despesas!$C:$C,G$1,Despesas!$M:$M,"Mensal")+SUMIFS(Despesas!$F:$F,Despesas!$J:$J,"&lt;="&amp;$A524,Despesas!$L:$L,"&gt;="&amp;$A524,Despesas!$C:$C,G$1,Despesas!$M:$M,$B524)</f>
        <v>55757</v>
      </c>
      <c r="H524" s="18">
        <f>SUMIFS(Despesas!$F:$F,Despesas!$J:$J,"&lt;="&amp;$A524,Despesas!$L:$L,"&gt;="&amp;$A524,Despesas!$C:$C,H$1,Despesas!$M:$M,"Mensal")+SUMIFS(Despesas!$F:$F,Despesas!$J:$J,"&lt;="&amp;$A524,Despesas!$L:$L,"&gt;="&amp;$A524,Despesas!$C:$C,H$1,Despesas!$M:$M,$B524)</f>
        <v>1000</v>
      </c>
      <c r="I524" s="18">
        <f>IF(Imóveis!$F$2="PRICE",IF(AND(Dados!$A524&gt;=Imóveis!$Q$2,Dados!$A524&lt;=Imóveis!$T$2),Imóveis!$U$2,0),IF((IF(AND(Dados!$A524&gt;=Imóveis!$Q$2,Dados!$A524&lt;=Imóveis!$T$2),Imóveis!$S$2-(DATEDIF(Imóveis!$Q$2,Dados!$A524,"m")),0))=0,0,((Imóveis!$N$2/Imóveis!$S$2)+((Imóveis!$N$2-((Imóveis!$S$2-(IF(AND(Dados!$A524&gt;=Imóveis!$Q$2,Dados!$A524&lt;=Imóveis!$T$2),Imóveis!$S$2-(DATEDIF(Imóveis!$Q$2,Dados!$A524,"m")),)))*(Imóveis!$N$2/Imóveis!$S$2)))*Imóveis!$P$2))))*IF(AND(Imóveis!$E$2&gt;0,Dados!$A524&gt;Imóveis!$E$2),0,1)</f>
        <v>0</v>
      </c>
      <c r="J524" s="18">
        <f>IF(Imóveis!$F$3="PRICE",IF(AND(Dados!$A524&gt;=Imóveis!$Q$3,Dados!$A524&lt;=Imóveis!$T$3),Imóveis!$U$3,0),IF((IF(AND(Dados!$A524&gt;=Imóveis!$Q$3,Dados!$A524&lt;=Imóveis!$T$3),Imóveis!$S$3-(DATEDIF(Imóveis!$Q$3,Dados!$A524,"m")),0))=0,0,((Imóveis!$N$3/Imóveis!$S$3)+((Imóveis!$N$3-((Imóveis!$S$3-(IF(AND(Dados!$A524&gt;=Imóveis!$Q$3,Dados!$A524&lt;=Imóveis!$T$3),Imóveis!$S$3-(DATEDIF(Imóveis!$Q$3,Dados!$A524,"m")),)))*(Imóveis!$N$3/Imóveis!$S$3)))*Imóveis!$P$3))))*IF(AND(Imóveis!$E$3&gt;0,Dados!$A524&gt;Imóveis!$E$3),0,1)</f>
        <v>0</v>
      </c>
      <c r="K524" s="18">
        <f>IF(Imóveis!$F$4="PRICE",IF(AND(Dados!$A524&gt;=Imóveis!$Q$4,Dados!$A524&lt;=Imóveis!$T$4),Imóveis!$U$4,0),IF((IF(AND(Dados!$A524&gt;=Imóveis!$Q$4,Dados!$A524&lt;=Imóveis!$T$4),Imóveis!$S$4-(DATEDIF(Imóveis!$Q$4,Dados!$A524,"m")),0))=0,0,((Imóveis!$N$4/Imóveis!$S$4)+((Imóveis!$N$4-((Imóveis!$S$4-(IF(AND(Dados!$A524&gt;=Imóveis!$Q$4,Dados!$A524&lt;=Imóveis!$T$4),Imóveis!$S$4-(DATEDIF(Imóveis!$Q$4,Dados!$A524,"m")),)))*(Imóveis!$N$4/Imóveis!$S$4)))*Imóveis!$P$4))))*IF(AND(Imóveis!$E$4&gt;0,Dados!$A524&gt;Imóveis!$E$4),0,1)</f>
        <v>0</v>
      </c>
      <c r="L524" s="18">
        <f>IF(Imóveis!$F$5="PRICE",IF(AND(Dados!$A524&gt;=Imóveis!$Q$5,Dados!$A524&lt;=Imóveis!$T$5),Imóveis!$U$5,0),IF((IF(AND(Dados!$A524&gt;=Imóveis!$Q$5,Dados!$A524&lt;=Imóveis!$T$5),Imóveis!$S$5-(DATEDIF(Imóveis!$Q$5,Dados!$A524,"m")),0))=0,0,((Imóveis!$N$5/Imóveis!$S$5)+((Imóveis!$N$5-((Imóveis!$S$5-(IF(AND(Dados!$A524 &gt;=Imóveis!$Q$5,Dados!$A524&lt;=Imóveis!$T$5),Imóveis!$S$5-(DATEDIF(Imóveis!$Q$5,Dados!$A524,"m")),)))*(Imóveis!$N$5/Imóveis!$S$5)))*Imóveis!$P$5))))*IF(AND(Imóveis!$E$5&gt;0,Dados!$A524&gt;Imóveis!$E$5),0,1)*Imóveis!$I$5</f>
        <v>0</v>
      </c>
      <c r="M524" s="18">
        <f>IF(Imóveis!$F$6="PRICE",IF(AND(Dados!$A524&gt;=Imóveis!$Q$6,Dados!$A524&lt;=Imóveis!$T$6),Imóveis!$U$6,0),IF((IF(AND(Dados!$A524&gt;=Imóveis!$Q$6,Dados!$A524&lt;=Imóveis!$T$6),Imóveis!$S$6-(DATEDIF(Imóveis!$Q$6,Dados!$A524,"m")),0))=0,0,((Imóveis!$N$6/Imóveis!$S$6)+((Imóveis!$N$6-((Imóveis!$S$6-(IF(AND(Dados!$A524&gt;=Imóveis!$Q$6,Dados!$A524&lt;=Imóveis!$T$6),Imóveis!$S$6-(DATEDIF(Imóveis!$Q$6,Dados!$A524,"m")),)))*(Imóveis!$N$6/Imóveis!$S$6)))*Imóveis!$P$6))))*IF(AND(Imóveis!$E$6&gt;0,Dados!$A524&gt;Imóveis!$E$6),0,1)*Imóveis!$I$6</f>
        <v>0</v>
      </c>
      <c r="N524" s="18">
        <f t="shared" ca="1" si="69"/>
        <v>92757</v>
      </c>
      <c r="O524" s="18">
        <f>SUMIFS(Receitas!$F:$F,Receitas!$J:$J,"&lt;="&amp;$A524,Receitas!$L:$L,"&gt;="&amp;$A524,Receitas!$C:$C,O$1,Receitas!$M:$M,"Mensal")+SUMIFS(Receitas!$F:$F,Receitas!$J:$J,"&lt;="&amp;$A524,Receitas!$L:$L,"&gt;="&amp;$A524,Receitas!$C:$C,O$1,Receitas!$M:$M,$B524)</f>
        <v>0</v>
      </c>
      <c r="P524" s="18">
        <f>SUMIFS(Receitas!$F:$F,Receitas!$J:$J,"&lt;="&amp;$A524,Receitas!$L:$L,"&gt;="&amp;$A524,Receitas!$C:$C,P$1,Receitas!$M:$M,"Mensal")+SUMIFS(Receitas!$F:$F,Receitas!$J:$J,"&lt;="&amp;$A524,Receitas!$L:$L,"&gt;="&amp;$A524,Receitas!$C:$C,P$1,Receitas!$M:$M,$B524)</f>
        <v>0</v>
      </c>
      <c r="Q524" s="18">
        <f>SUMIFS(Receitas!$F:$F,Receitas!$J:$J,"&lt;="&amp;$A524,Receitas!$L:$L,"&gt;="&amp;$A524,Receitas!$C:$C,Q$1,Receitas!$M:$M,"Mensal")+SUMIFS(Receitas!$F:$F,Receitas!$J:$J,"&lt;="&amp;$A524,Receitas!$L:$L,"&gt;="&amp;$A524,Receitas!$C:$C,Q$1,Receitas!$M:$M,$B524)</f>
        <v>0</v>
      </c>
      <c r="R524" s="18" cm="1">
        <f t="array" ref="R524">(IF(AND(Membros!$F$2="Sim",A524&lt;=MAX(Membros!$E$2:$E$5)),Membros!K$2,IF(AND(A524&gt;=Membros!J$2,A524&lt;=MAX(Membros!$E$2:$E$5)),Membros!K$2,0))+IF(AND(Membros!$F$3="Sim",A524&lt;=MAX(Membros!$E$2:$E$5)),Membros!K$3,IF(AND(A524&gt;=Membros!J$3,A524&lt;=MAX(Membros!$E$2:$E$5)),Membros!K$3,0)))*IF(AND(COUNTIFS(Tabela3[Tipo],"Provedor",Tabela3[Simulação Seguro],"Sim")=2,A524&gt;=MAX(IF(Tabela3[Tipo]="Dependente",Tabela3[Expectativa de Vida (Data)]))),0,1)</f>
        <v>10000</v>
      </c>
      <c r="S524" s="18">
        <f t="shared" si="70"/>
        <v>10000</v>
      </c>
      <c r="U524" s="18">
        <f t="shared" ca="1" si="73"/>
        <v>33412518.568855152</v>
      </c>
      <c r="V524" s="18">
        <f>SUMIF(Imóveis!E:E,Dados!A:A,Imóveis!Z:Z)-SUMIF(Imóveis!E:E,Dados!A:A,Imóveis!Y:Y)</f>
        <v>0</v>
      </c>
      <c r="W524" s="18">
        <f>-SUMIF(Projetos!N:N,A524,Projetos!F:F)</f>
        <v>0</v>
      </c>
      <c r="X524" s="18">
        <f t="shared" ca="1" si="67"/>
        <v>-82757</v>
      </c>
      <c r="Y524" s="26">
        <f ca="1">(U524*((Indicadores_Economicos!D$2+1)^(1/12)-1))</f>
        <v>109383.89126232105</v>
      </c>
      <c r="Z524" s="18">
        <f t="shared" ca="1" si="71"/>
        <v>33439145.460117474</v>
      </c>
      <c r="AA524" s="18">
        <f ca="1">Auxiliar_Projetos!E524</f>
        <v>2.1535049830869614E-9</v>
      </c>
      <c r="AB524" s="18">
        <f ca="1">Auxiliar_Projetos!K524</f>
        <v>1.656542294682277E-9</v>
      </c>
      <c r="AC524" s="18">
        <f ca="1">IF(Z524-AA524-AB524&gt;Investimentos!$C$14,Investimentos!$C$14,IF(Z524-AA524-AB524&lt;Investimentos!$C$14,Z524-AA524-AB524,0))</f>
        <v>300000</v>
      </c>
      <c r="AD524" s="18">
        <f t="shared" ca="1" si="72"/>
        <v>33139145.46011747</v>
      </c>
      <c r="AE524" s="18"/>
    </row>
    <row r="525" spans="1:31" x14ac:dyDescent="0.2">
      <c r="A525" s="4">
        <v>61576</v>
      </c>
      <c r="B525" s="5" t="str">
        <f t="shared" si="68"/>
        <v>agosto</v>
      </c>
      <c r="C525" s="5" t="str">
        <f t="shared" si="66"/>
        <v>2068</v>
      </c>
      <c r="D525" s="5">
        <f>SUMIFS(Despesas!$F:$F,Despesas!$J:$J,"&lt;="&amp;$A525,Despesas!$L:$L,"&gt;="&amp;$A525,Despesas!$C:$C,D$1,Despesas!$M:$M,"Mensal")+SUMIFS(Despesas!$F:$F,Despesas!$J:$J,"&lt;="&amp;$A525,Despesas!$L:$L,"&gt;="&amp;$A525,Despesas!$C:$C,D$1,Despesas!$M:$M,$B525)</f>
        <v>23000</v>
      </c>
      <c r="E525" s="18">
        <f>SUMIFS(Despesas!$F:$F,Despesas!$J:$J,"&lt;="&amp;$A525,Despesas!$L:$L,"&gt;="&amp;$A525,Despesas!$C:$C,E$1,Despesas!$M:$M,"Mensal")+SUMIFS(Despesas!$F:$F,Despesas!$J:$J,"&lt;="&amp;$A525,Despesas!$L:$L,"&gt;="&amp;$A525,Despesas!$C:$C,E$1,Despesas!$M:$M,$B525)</f>
        <v>0</v>
      </c>
      <c r="F525" s="5">
        <f>SUMIFS(Despesas!$F:$F,Despesas!$J:$J,"&lt;="&amp;$A525,Despesas!$L:$L,"&gt;="&amp;$A525,Despesas!$C:$C,F$1,Despesas!$M:$M,"Mensal")+SUMIFS(Despesas!$F:$F,Despesas!$J:$J,"&lt;="&amp;$A525,Despesas!$L:$L,"&gt;="&amp;$A525,Despesas!$C:$C,F$1,Despesas!$M:$M,$B525)</f>
        <v>13000</v>
      </c>
      <c r="G525" s="5">
        <f>SUMIFS(Despesas!$F:$F,Despesas!$J:$J,"&lt;="&amp;$A525,Despesas!$L:$L,"&gt;="&amp;$A525,Despesas!$C:$C,G$1,Despesas!$M:$M,"Mensal")+SUMIFS(Despesas!$F:$F,Despesas!$J:$J,"&lt;="&amp;$A525,Despesas!$L:$L,"&gt;="&amp;$A525,Despesas!$C:$C,G$1,Despesas!$M:$M,$B525)</f>
        <v>0</v>
      </c>
      <c r="H525" s="18">
        <f>SUMIFS(Despesas!$F:$F,Despesas!$J:$J,"&lt;="&amp;$A525,Despesas!$L:$L,"&gt;="&amp;$A525,Despesas!$C:$C,H$1,Despesas!$M:$M,"Mensal")+SUMIFS(Despesas!$F:$F,Despesas!$J:$J,"&lt;="&amp;$A525,Despesas!$L:$L,"&gt;="&amp;$A525,Despesas!$C:$C,H$1,Despesas!$M:$M,$B525)</f>
        <v>1000</v>
      </c>
      <c r="I525" s="18">
        <f>IF(Imóveis!$F$2="PRICE",IF(AND(Dados!$A525&gt;=Imóveis!$Q$2,Dados!$A525&lt;=Imóveis!$T$2),Imóveis!$U$2,0),IF((IF(AND(Dados!$A525&gt;=Imóveis!$Q$2,Dados!$A525&lt;=Imóveis!$T$2),Imóveis!$S$2-(DATEDIF(Imóveis!$Q$2,Dados!$A525,"m")),0))=0,0,((Imóveis!$N$2/Imóveis!$S$2)+((Imóveis!$N$2-((Imóveis!$S$2-(IF(AND(Dados!$A525&gt;=Imóveis!$Q$2,Dados!$A525&lt;=Imóveis!$T$2),Imóveis!$S$2-(DATEDIF(Imóveis!$Q$2,Dados!$A525,"m")),)))*(Imóveis!$N$2/Imóveis!$S$2)))*Imóveis!$P$2))))*IF(AND(Imóveis!$E$2&gt;0,Dados!$A525&gt;Imóveis!$E$2),0,1)</f>
        <v>0</v>
      </c>
      <c r="J525" s="18">
        <f>IF(Imóveis!$F$3="PRICE",IF(AND(Dados!$A525&gt;=Imóveis!$Q$3,Dados!$A525&lt;=Imóveis!$T$3),Imóveis!$U$3,0),IF((IF(AND(Dados!$A525&gt;=Imóveis!$Q$3,Dados!$A525&lt;=Imóveis!$T$3),Imóveis!$S$3-(DATEDIF(Imóveis!$Q$3,Dados!$A525,"m")),0))=0,0,((Imóveis!$N$3/Imóveis!$S$3)+((Imóveis!$N$3-((Imóveis!$S$3-(IF(AND(Dados!$A525&gt;=Imóveis!$Q$3,Dados!$A525&lt;=Imóveis!$T$3),Imóveis!$S$3-(DATEDIF(Imóveis!$Q$3,Dados!$A525,"m")),)))*(Imóveis!$N$3/Imóveis!$S$3)))*Imóveis!$P$3))))*IF(AND(Imóveis!$E$3&gt;0,Dados!$A525&gt;Imóveis!$E$3),0,1)</f>
        <v>0</v>
      </c>
      <c r="K525" s="18">
        <f>IF(Imóveis!$F$4="PRICE",IF(AND(Dados!$A525&gt;=Imóveis!$Q$4,Dados!$A525&lt;=Imóveis!$T$4),Imóveis!$U$4,0),IF((IF(AND(Dados!$A525&gt;=Imóveis!$Q$4,Dados!$A525&lt;=Imóveis!$T$4),Imóveis!$S$4-(DATEDIF(Imóveis!$Q$4,Dados!$A525,"m")),0))=0,0,((Imóveis!$N$4/Imóveis!$S$4)+((Imóveis!$N$4-((Imóveis!$S$4-(IF(AND(Dados!$A525&gt;=Imóveis!$Q$4,Dados!$A525&lt;=Imóveis!$T$4),Imóveis!$S$4-(DATEDIF(Imóveis!$Q$4,Dados!$A525,"m")),)))*(Imóveis!$N$4/Imóveis!$S$4)))*Imóveis!$P$4))))*IF(AND(Imóveis!$E$4&gt;0,Dados!$A525&gt;Imóveis!$E$4),0,1)</f>
        <v>0</v>
      </c>
      <c r="L525" s="18">
        <f>IF(Imóveis!$F$5="PRICE",IF(AND(Dados!$A525&gt;=Imóveis!$Q$5,Dados!$A525&lt;=Imóveis!$T$5),Imóveis!$U$5,0),IF((IF(AND(Dados!$A525&gt;=Imóveis!$Q$5,Dados!$A525&lt;=Imóveis!$T$5),Imóveis!$S$5-(DATEDIF(Imóveis!$Q$5,Dados!$A525,"m")),0))=0,0,((Imóveis!$N$5/Imóveis!$S$5)+((Imóveis!$N$5-((Imóveis!$S$5-(IF(AND(Dados!$A525 &gt;=Imóveis!$Q$5,Dados!$A525&lt;=Imóveis!$T$5),Imóveis!$S$5-(DATEDIF(Imóveis!$Q$5,Dados!$A525,"m")),)))*(Imóveis!$N$5/Imóveis!$S$5)))*Imóveis!$P$5))))*IF(AND(Imóveis!$E$5&gt;0,Dados!$A525&gt;Imóveis!$E$5),0,1)*Imóveis!$I$5</f>
        <v>0</v>
      </c>
      <c r="M525" s="18">
        <f>IF(Imóveis!$F$6="PRICE",IF(AND(Dados!$A525&gt;=Imóveis!$Q$6,Dados!$A525&lt;=Imóveis!$T$6),Imóveis!$U$6,0),IF((IF(AND(Dados!$A525&gt;=Imóveis!$Q$6,Dados!$A525&lt;=Imóveis!$T$6),Imóveis!$S$6-(DATEDIF(Imóveis!$Q$6,Dados!$A525,"m")),0))=0,0,((Imóveis!$N$6/Imóveis!$S$6)+((Imóveis!$N$6-((Imóveis!$S$6-(IF(AND(Dados!$A525&gt;=Imóveis!$Q$6,Dados!$A525&lt;=Imóveis!$T$6),Imóveis!$S$6-(DATEDIF(Imóveis!$Q$6,Dados!$A525,"m")),)))*(Imóveis!$N$6/Imóveis!$S$6)))*Imóveis!$P$6))))*IF(AND(Imóveis!$E$6&gt;0,Dados!$A525&gt;Imóveis!$E$6),0,1)*Imóveis!$I$6</f>
        <v>0</v>
      </c>
      <c r="N525" s="18">
        <f t="shared" si="69"/>
        <v>37000</v>
      </c>
      <c r="O525" s="18">
        <f>SUMIFS(Receitas!$F:$F,Receitas!$J:$J,"&lt;="&amp;$A525,Receitas!$L:$L,"&gt;="&amp;$A525,Receitas!$C:$C,O$1,Receitas!$M:$M,"Mensal")+SUMIFS(Receitas!$F:$F,Receitas!$J:$J,"&lt;="&amp;$A525,Receitas!$L:$L,"&gt;="&amp;$A525,Receitas!$C:$C,O$1,Receitas!$M:$M,$B525)</f>
        <v>0</v>
      </c>
      <c r="P525" s="18">
        <f>SUMIFS(Receitas!$F:$F,Receitas!$J:$J,"&lt;="&amp;$A525,Receitas!$L:$L,"&gt;="&amp;$A525,Receitas!$C:$C,P$1,Receitas!$M:$M,"Mensal")+SUMIFS(Receitas!$F:$F,Receitas!$J:$J,"&lt;="&amp;$A525,Receitas!$L:$L,"&gt;="&amp;$A525,Receitas!$C:$C,P$1,Receitas!$M:$M,$B525)</f>
        <v>0</v>
      </c>
      <c r="Q525" s="18">
        <f>SUMIFS(Receitas!$F:$F,Receitas!$J:$J,"&lt;="&amp;$A525,Receitas!$L:$L,"&gt;="&amp;$A525,Receitas!$C:$C,Q$1,Receitas!$M:$M,"Mensal")+SUMIFS(Receitas!$F:$F,Receitas!$J:$J,"&lt;="&amp;$A525,Receitas!$L:$L,"&gt;="&amp;$A525,Receitas!$C:$C,Q$1,Receitas!$M:$M,$B525)</f>
        <v>0</v>
      </c>
      <c r="R525" s="18" cm="1">
        <f t="array" ref="R525">(IF(AND(Membros!$F$2="Sim",A525&lt;=MAX(Membros!$E$2:$E$5)),Membros!K$2,IF(AND(A525&gt;=Membros!J$2,A525&lt;=MAX(Membros!$E$2:$E$5)),Membros!K$2,0))+IF(AND(Membros!$F$3="Sim",A525&lt;=MAX(Membros!$E$2:$E$5)),Membros!K$3,IF(AND(A525&gt;=Membros!J$3,A525&lt;=MAX(Membros!$E$2:$E$5)),Membros!K$3,0)))*IF(AND(COUNTIFS(Tabela3[Tipo],"Provedor",Tabela3[Simulação Seguro],"Sim")=2,A525&gt;=MAX(IF(Tabela3[Tipo]="Dependente",Tabela3[Expectativa de Vida (Data)]))),0,1)</f>
        <v>10000</v>
      </c>
      <c r="S525" s="18">
        <f t="shared" si="70"/>
        <v>10000</v>
      </c>
      <c r="U525" s="18">
        <f t="shared" ca="1" si="73"/>
        <v>33439145.460117474</v>
      </c>
      <c r="V525" s="18">
        <f>SUMIF(Imóveis!E:E,Dados!A:A,Imóveis!Z:Z)-SUMIF(Imóveis!E:E,Dados!A:A,Imóveis!Y:Y)</f>
        <v>0</v>
      </c>
      <c r="W525" s="18">
        <f>-SUMIF(Projetos!N:N,A525,Projetos!F:F)</f>
        <v>0</v>
      </c>
      <c r="X525" s="18">
        <f t="shared" si="67"/>
        <v>-27000</v>
      </c>
      <c r="Y525" s="26">
        <f ca="1">(U525*((Indicadores_Economicos!D$2+1)^(1/12)-1))</f>
        <v>109471.0607755228</v>
      </c>
      <c r="Z525" s="18">
        <f t="shared" ca="1" si="71"/>
        <v>33521616.520892996</v>
      </c>
      <c r="AA525" s="18">
        <f ca="1">Auxiliar_Projetos!E525</f>
        <v>2.1605549980212569E-9</v>
      </c>
      <c r="AB525" s="18">
        <f ca="1">Auxiliar_Projetos!K525</f>
        <v>1.6619653830932734E-9</v>
      </c>
      <c r="AC525" s="18">
        <f ca="1">IF(Z525-AA525-AB525&gt;Investimentos!$C$14,Investimentos!$C$14,IF(Z525-AA525-AB525&lt;Investimentos!$C$14,Z525-AA525-AB525,0))</f>
        <v>300000</v>
      </c>
      <c r="AD525" s="18">
        <f t="shared" ca="1" si="72"/>
        <v>33221616.520892993</v>
      </c>
      <c r="AE525" s="18"/>
    </row>
    <row r="526" spans="1:31" x14ac:dyDescent="0.2">
      <c r="A526" s="4">
        <v>61607</v>
      </c>
      <c r="B526" s="5" t="str">
        <f t="shared" si="68"/>
        <v>setembro</v>
      </c>
      <c r="C526" s="5" t="str">
        <f t="shared" si="66"/>
        <v>2068</v>
      </c>
      <c r="D526" s="5">
        <f>SUMIFS(Despesas!$F:$F,Despesas!$J:$J,"&lt;="&amp;$A526,Despesas!$L:$L,"&gt;="&amp;$A526,Despesas!$C:$C,D$1,Despesas!$M:$M,"Mensal")+SUMIFS(Despesas!$F:$F,Despesas!$J:$J,"&lt;="&amp;$A526,Despesas!$L:$L,"&gt;="&amp;$A526,Despesas!$C:$C,D$1,Despesas!$M:$M,$B526)</f>
        <v>23000</v>
      </c>
      <c r="E526" s="18">
        <f>SUMIFS(Despesas!$F:$F,Despesas!$J:$J,"&lt;="&amp;$A526,Despesas!$L:$L,"&gt;="&amp;$A526,Despesas!$C:$C,E$1,Despesas!$M:$M,"Mensal")+SUMIFS(Despesas!$F:$F,Despesas!$J:$J,"&lt;="&amp;$A526,Despesas!$L:$L,"&gt;="&amp;$A526,Despesas!$C:$C,E$1,Despesas!$M:$M,$B526)</f>
        <v>0</v>
      </c>
      <c r="F526" s="5">
        <f>SUMIFS(Despesas!$F:$F,Despesas!$J:$J,"&lt;="&amp;$A526,Despesas!$L:$L,"&gt;="&amp;$A526,Despesas!$C:$C,F$1,Despesas!$M:$M,"Mensal")+SUMIFS(Despesas!$F:$F,Despesas!$J:$J,"&lt;="&amp;$A526,Despesas!$L:$L,"&gt;="&amp;$A526,Despesas!$C:$C,F$1,Despesas!$M:$M,$B526)</f>
        <v>13000</v>
      </c>
      <c r="G526" s="5">
        <f>SUMIFS(Despesas!$F:$F,Despesas!$J:$J,"&lt;="&amp;$A526,Despesas!$L:$L,"&gt;="&amp;$A526,Despesas!$C:$C,G$1,Despesas!$M:$M,"Mensal")+SUMIFS(Despesas!$F:$F,Despesas!$J:$J,"&lt;="&amp;$A526,Despesas!$L:$L,"&gt;="&amp;$A526,Despesas!$C:$C,G$1,Despesas!$M:$M,$B526)</f>
        <v>0</v>
      </c>
      <c r="H526" s="18">
        <f>SUMIFS(Despesas!$F:$F,Despesas!$J:$J,"&lt;="&amp;$A526,Despesas!$L:$L,"&gt;="&amp;$A526,Despesas!$C:$C,H$1,Despesas!$M:$M,"Mensal")+SUMIFS(Despesas!$F:$F,Despesas!$J:$J,"&lt;="&amp;$A526,Despesas!$L:$L,"&gt;="&amp;$A526,Despesas!$C:$C,H$1,Despesas!$M:$M,$B526)</f>
        <v>1000</v>
      </c>
      <c r="I526" s="18">
        <f>IF(Imóveis!$F$2="PRICE",IF(AND(Dados!$A526&gt;=Imóveis!$Q$2,Dados!$A526&lt;=Imóveis!$T$2),Imóveis!$U$2,0),IF((IF(AND(Dados!$A526&gt;=Imóveis!$Q$2,Dados!$A526&lt;=Imóveis!$T$2),Imóveis!$S$2-(DATEDIF(Imóveis!$Q$2,Dados!$A526,"m")),0))=0,0,((Imóveis!$N$2/Imóveis!$S$2)+((Imóveis!$N$2-((Imóveis!$S$2-(IF(AND(Dados!$A526&gt;=Imóveis!$Q$2,Dados!$A526&lt;=Imóveis!$T$2),Imóveis!$S$2-(DATEDIF(Imóveis!$Q$2,Dados!$A526,"m")),)))*(Imóveis!$N$2/Imóveis!$S$2)))*Imóveis!$P$2))))*IF(AND(Imóveis!$E$2&gt;0,Dados!$A526&gt;Imóveis!$E$2),0,1)</f>
        <v>0</v>
      </c>
      <c r="J526" s="18">
        <f>IF(Imóveis!$F$3="PRICE",IF(AND(Dados!$A526&gt;=Imóveis!$Q$3,Dados!$A526&lt;=Imóveis!$T$3),Imóveis!$U$3,0),IF((IF(AND(Dados!$A526&gt;=Imóveis!$Q$3,Dados!$A526&lt;=Imóveis!$T$3),Imóveis!$S$3-(DATEDIF(Imóveis!$Q$3,Dados!$A526,"m")),0))=0,0,((Imóveis!$N$3/Imóveis!$S$3)+((Imóveis!$N$3-((Imóveis!$S$3-(IF(AND(Dados!$A526&gt;=Imóveis!$Q$3,Dados!$A526&lt;=Imóveis!$T$3),Imóveis!$S$3-(DATEDIF(Imóveis!$Q$3,Dados!$A526,"m")),)))*(Imóveis!$N$3/Imóveis!$S$3)))*Imóveis!$P$3))))*IF(AND(Imóveis!$E$3&gt;0,Dados!$A526&gt;Imóveis!$E$3),0,1)</f>
        <v>0</v>
      </c>
      <c r="K526" s="18">
        <f>IF(Imóveis!$F$4="PRICE",IF(AND(Dados!$A526&gt;=Imóveis!$Q$4,Dados!$A526&lt;=Imóveis!$T$4),Imóveis!$U$4,0),IF((IF(AND(Dados!$A526&gt;=Imóveis!$Q$4,Dados!$A526&lt;=Imóveis!$T$4),Imóveis!$S$4-(DATEDIF(Imóveis!$Q$4,Dados!$A526,"m")),0))=0,0,((Imóveis!$N$4/Imóveis!$S$4)+((Imóveis!$N$4-((Imóveis!$S$4-(IF(AND(Dados!$A526&gt;=Imóveis!$Q$4,Dados!$A526&lt;=Imóveis!$T$4),Imóveis!$S$4-(DATEDIF(Imóveis!$Q$4,Dados!$A526,"m")),)))*(Imóveis!$N$4/Imóveis!$S$4)))*Imóveis!$P$4))))*IF(AND(Imóveis!$E$4&gt;0,Dados!$A526&gt;Imóveis!$E$4),0,1)</f>
        <v>0</v>
      </c>
      <c r="L526" s="18">
        <f>IF(Imóveis!$F$5="PRICE",IF(AND(Dados!$A526&gt;=Imóveis!$Q$5,Dados!$A526&lt;=Imóveis!$T$5),Imóveis!$U$5,0),IF((IF(AND(Dados!$A526&gt;=Imóveis!$Q$5,Dados!$A526&lt;=Imóveis!$T$5),Imóveis!$S$5-(DATEDIF(Imóveis!$Q$5,Dados!$A526,"m")),0))=0,0,((Imóveis!$N$5/Imóveis!$S$5)+((Imóveis!$N$5-((Imóveis!$S$5-(IF(AND(Dados!$A526 &gt;=Imóveis!$Q$5,Dados!$A526&lt;=Imóveis!$T$5),Imóveis!$S$5-(DATEDIF(Imóveis!$Q$5,Dados!$A526,"m")),)))*(Imóveis!$N$5/Imóveis!$S$5)))*Imóveis!$P$5))))*IF(AND(Imóveis!$E$5&gt;0,Dados!$A526&gt;Imóveis!$E$5),0,1)*Imóveis!$I$5</f>
        <v>0</v>
      </c>
      <c r="M526" s="18">
        <f>IF(Imóveis!$F$6="PRICE",IF(AND(Dados!$A526&gt;=Imóveis!$Q$6,Dados!$A526&lt;=Imóveis!$T$6),Imóveis!$U$6,0),IF((IF(AND(Dados!$A526&gt;=Imóveis!$Q$6,Dados!$A526&lt;=Imóveis!$T$6),Imóveis!$S$6-(DATEDIF(Imóveis!$Q$6,Dados!$A526,"m")),0))=0,0,((Imóveis!$N$6/Imóveis!$S$6)+((Imóveis!$N$6-((Imóveis!$S$6-(IF(AND(Dados!$A526&gt;=Imóveis!$Q$6,Dados!$A526&lt;=Imóveis!$T$6),Imóveis!$S$6-(DATEDIF(Imóveis!$Q$6,Dados!$A526,"m")),)))*(Imóveis!$N$6/Imóveis!$S$6)))*Imóveis!$P$6))))*IF(AND(Imóveis!$E$6&gt;0,Dados!$A526&gt;Imóveis!$E$6),0,1)*Imóveis!$I$6</f>
        <v>0</v>
      </c>
      <c r="N526" s="18">
        <f t="shared" si="69"/>
        <v>37000</v>
      </c>
      <c r="O526" s="18">
        <f>SUMIFS(Receitas!$F:$F,Receitas!$J:$J,"&lt;="&amp;$A526,Receitas!$L:$L,"&gt;="&amp;$A526,Receitas!$C:$C,O$1,Receitas!$M:$M,"Mensal")+SUMIFS(Receitas!$F:$F,Receitas!$J:$J,"&lt;="&amp;$A526,Receitas!$L:$L,"&gt;="&amp;$A526,Receitas!$C:$C,O$1,Receitas!$M:$M,$B526)</f>
        <v>0</v>
      </c>
      <c r="P526" s="18">
        <f>SUMIFS(Receitas!$F:$F,Receitas!$J:$J,"&lt;="&amp;$A526,Receitas!$L:$L,"&gt;="&amp;$A526,Receitas!$C:$C,P$1,Receitas!$M:$M,"Mensal")+SUMIFS(Receitas!$F:$F,Receitas!$J:$J,"&lt;="&amp;$A526,Receitas!$L:$L,"&gt;="&amp;$A526,Receitas!$C:$C,P$1,Receitas!$M:$M,$B526)</f>
        <v>0</v>
      </c>
      <c r="Q526" s="18">
        <f>SUMIFS(Receitas!$F:$F,Receitas!$J:$J,"&lt;="&amp;$A526,Receitas!$L:$L,"&gt;="&amp;$A526,Receitas!$C:$C,Q$1,Receitas!$M:$M,"Mensal")+SUMIFS(Receitas!$F:$F,Receitas!$J:$J,"&lt;="&amp;$A526,Receitas!$L:$L,"&gt;="&amp;$A526,Receitas!$C:$C,Q$1,Receitas!$M:$M,$B526)</f>
        <v>0</v>
      </c>
      <c r="R526" s="18" cm="1">
        <f t="array" ref="R526">(IF(AND(Membros!$F$2="Sim",A526&lt;=MAX(Membros!$E$2:$E$5)),Membros!K$2,IF(AND(A526&gt;=Membros!J$2,A526&lt;=MAX(Membros!$E$2:$E$5)),Membros!K$2,0))+IF(AND(Membros!$F$3="Sim",A526&lt;=MAX(Membros!$E$2:$E$5)),Membros!K$3,IF(AND(A526&gt;=Membros!J$3,A526&lt;=MAX(Membros!$E$2:$E$5)),Membros!K$3,0)))*IF(AND(COUNTIFS(Tabela3[Tipo],"Provedor",Tabela3[Simulação Seguro],"Sim")=2,A526&gt;=MAX(IF(Tabela3[Tipo]="Dependente",Tabela3[Expectativa de Vida (Data)]))),0,1)</f>
        <v>10000</v>
      </c>
      <c r="S526" s="18">
        <f t="shared" si="70"/>
        <v>10000</v>
      </c>
      <c r="U526" s="18">
        <f t="shared" ca="1" si="73"/>
        <v>33521616.520892996</v>
      </c>
      <c r="V526" s="18">
        <f>SUMIF(Imóveis!E:E,Dados!A:A,Imóveis!Z:Z)-SUMIF(Imóveis!E:E,Dados!A:A,Imóveis!Y:Y)</f>
        <v>0</v>
      </c>
      <c r="W526" s="18">
        <f>-SUMIF(Projetos!N:N,A526,Projetos!F:F)</f>
        <v>0</v>
      </c>
      <c r="X526" s="18">
        <f t="shared" si="67"/>
        <v>-27000</v>
      </c>
      <c r="Y526" s="26">
        <f ca="1">(U526*((Indicadores_Economicos!D$2+1)^(1/12)-1))</f>
        <v>109741.04956806377</v>
      </c>
      <c r="Z526" s="18">
        <f t="shared" ca="1" si="71"/>
        <v>33604357.570461057</v>
      </c>
      <c r="AA526" s="18">
        <f ca="1">Auxiliar_Projetos!E526</f>
        <v>2.167628092869908E-9</v>
      </c>
      <c r="AB526" s="18">
        <f ca="1">Auxiliar_Projetos!K526</f>
        <v>1.6674062252845433E-9</v>
      </c>
      <c r="AC526" s="18">
        <f ca="1">IF(Z526-AA526-AB526&gt;Investimentos!$C$14,Investimentos!$C$14,IF(Z526-AA526-AB526&lt;Investimentos!$C$14,Z526-AA526-AB526,0))</f>
        <v>300000</v>
      </c>
      <c r="AD526" s="18">
        <f t="shared" ca="1" si="72"/>
        <v>33304357.570461057</v>
      </c>
      <c r="AE526" s="18"/>
    </row>
    <row r="527" spans="1:31" x14ac:dyDescent="0.2">
      <c r="A527" s="4">
        <v>61637</v>
      </c>
      <c r="B527" s="5" t="str">
        <f t="shared" si="68"/>
        <v>outubro</v>
      </c>
      <c r="C527" s="5" t="str">
        <f t="shared" si="66"/>
        <v>2068</v>
      </c>
      <c r="D527" s="5">
        <f>SUMIFS(Despesas!$F:$F,Despesas!$J:$J,"&lt;="&amp;$A527,Despesas!$L:$L,"&gt;="&amp;$A527,Despesas!$C:$C,D$1,Despesas!$M:$M,"Mensal")+SUMIFS(Despesas!$F:$F,Despesas!$J:$J,"&lt;="&amp;$A527,Despesas!$L:$L,"&gt;="&amp;$A527,Despesas!$C:$C,D$1,Despesas!$M:$M,$B527)</f>
        <v>23000</v>
      </c>
      <c r="E527" s="18">
        <f>SUMIFS(Despesas!$F:$F,Despesas!$J:$J,"&lt;="&amp;$A527,Despesas!$L:$L,"&gt;="&amp;$A527,Despesas!$C:$C,E$1,Despesas!$M:$M,"Mensal")+SUMIFS(Despesas!$F:$F,Despesas!$J:$J,"&lt;="&amp;$A527,Despesas!$L:$L,"&gt;="&amp;$A527,Despesas!$C:$C,E$1,Despesas!$M:$M,$B527)</f>
        <v>0</v>
      </c>
      <c r="F527" s="5">
        <f>SUMIFS(Despesas!$F:$F,Despesas!$J:$J,"&lt;="&amp;$A527,Despesas!$L:$L,"&gt;="&amp;$A527,Despesas!$C:$C,F$1,Despesas!$M:$M,"Mensal")+SUMIFS(Despesas!$F:$F,Despesas!$J:$J,"&lt;="&amp;$A527,Despesas!$L:$L,"&gt;="&amp;$A527,Despesas!$C:$C,F$1,Despesas!$M:$M,$B527)</f>
        <v>13000</v>
      </c>
      <c r="G527" s="5">
        <f>SUMIFS(Despesas!$F:$F,Despesas!$J:$J,"&lt;="&amp;$A527,Despesas!$L:$L,"&gt;="&amp;$A527,Despesas!$C:$C,G$1,Despesas!$M:$M,"Mensal")+SUMIFS(Despesas!$F:$F,Despesas!$J:$J,"&lt;="&amp;$A527,Despesas!$L:$L,"&gt;="&amp;$A527,Despesas!$C:$C,G$1,Despesas!$M:$M,$B527)</f>
        <v>0</v>
      </c>
      <c r="H527" s="18">
        <f>SUMIFS(Despesas!$F:$F,Despesas!$J:$J,"&lt;="&amp;$A527,Despesas!$L:$L,"&gt;="&amp;$A527,Despesas!$C:$C,H$1,Despesas!$M:$M,"Mensal")+SUMIFS(Despesas!$F:$F,Despesas!$J:$J,"&lt;="&amp;$A527,Despesas!$L:$L,"&gt;="&amp;$A527,Despesas!$C:$C,H$1,Despesas!$M:$M,$B527)</f>
        <v>1000</v>
      </c>
      <c r="I527" s="18">
        <f>IF(Imóveis!$F$2="PRICE",IF(AND(Dados!$A527&gt;=Imóveis!$Q$2,Dados!$A527&lt;=Imóveis!$T$2),Imóveis!$U$2,0),IF((IF(AND(Dados!$A527&gt;=Imóveis!$Q$2,Dados!$A527&lt;=Imóveis!$T$2),Imóveis!$S$2-(DATEDIF(Imóveis!$Q$2,Dados!$A527,"m")),0))=0,0,((Imóveis!$N$2/Imóveis!$S$2)+((Imóveis!$N$2-((Imóveis!$S$2-(IF(AND(Dados!$A527&gt;=Imóveis!$Q$2,Dados!$A527&lt;=Imóveis!$T$2),Imóveis!$S$2-(DATEDIF(Imóveis!$Q$2,Dados!$A527,"m")),)))*(Imóveis!$N$2/Imóveis!$S$2)))*Imóveis!$P$2))))*IF(AND(Imóveis!$E$2&gt;0,Dados!$A527&gt;Imóveis!$E$2),0,1)</f>
        <v>0</v>
      </c>
      <c r="J527" s="18">
        <f>IF(Imóveis!$F$3="PRICE",IF(AND(Dados!$A527&gt;=Imóveis!$Q$3,Dados!$A527&lt;=Imóveis!$T$3),Imóveis!$U$3,0),IF((IF(AND(Dados!$A527&gt;=Imóveis!$Q$3,Dados!$A527&lt;=Imóveis!$T$3),Imóveis!$S$3-(DATEDIF(Imóveis!$Q$3,Dados!$A527,"m")),0))=0,0,((Imóveis!$N$3/Imóveis!$S$3)+((Imóveis!$N$3-((Imóveis!$S$3-(IF(AND(Dados!$A527&gt;=Imóveis!$Q$3,Dados!$A527&lt;=Imóveis!$T$3),Imóveis!$S$3-(DATEDIF(Imóveis!$Q$3,Dados!$A527,"m")),)))*(Imóveis!$N$3/Imóveis!$S$3)))*Imóveis!$P$3))))*IF(AND(Imóveis!$E$3&gt;0,Dados!$A527&gt;Imóveis!$E$3),0,1)</f>
        <v>0</v>
      </c>
      <c r="K527" s="18">
        <f>IF(Imóveis!$F$4="PRICE",IF(AND(Dados!$A527&gt;=Imóveis!$Q$4,Dados!$A527&lt;=Imóveis!$T$4),Imóveis!$U$4,0),IF((IF(AND(Dados!$A527&gt;=Imóveis!$Q$4,Dados!$A527&lt;=Imóveis!$T$4),Imóveis!$S$4-(DATEDIF(Imóveis!$Q$4,Dados!$A527,"m")),0))=0,0,((Imóveis!$N$4/Imóveis!$S$4)+((Imóveis!$N$4-((Imóveis!$S$4-(IF(AND(Dados!$A527&gt;=Imóveis!$Q$4,Dados!$A527&lt;=Imóveis!$T$4),Imóveis!$S$4-(DATEDIF(Imóveis!$Q$4,Dados!$A527,"m")),)))*(Imóveis!$N$4/Imóveis!$S$4)))*Imóveis!$P$4))))*IF(AND(Imóveis!$E$4&gt;0,Dados!$A527&gt;Imóveis!$E$4),0,1)</f>
        <v>0</v>
      </c>
      <c r="L527" s="18">
        <f>IF(Imóveis!$F$5="PRICE",IF(AND(Dados!$A527&gt;=Imóveis!$Q$5,Dados!$A527&lt;=Imóveis!$T$5),Imóveis!$U$5,0),IF((IF(AND(Dados!$A527&gt;=Imóveis!$Q$5,Dados!$A527&lt;=Imóveis!$T$5),Imóveis!$S$5-(DATEDIF(Imóveis!$Q$5,Dados!$A527,"m")),0))=0,0,((Imóveis!$N$5/Imóveis!$S$5)+((Imóveis!$N$5-((Imóveis!$S$5-(IF(AND(Dados!$A527 &gt;=Imóveis!$Q$5,Dados!$A527&lt;=Imóveis!$T$5),Imóveis!$S$5-(DATEDIF(Imóveis!$Q$5,Dados!$A527,"m")),)))*(Imóveis!$N$5/Imóveis!$S$5)))*Imóveis!$P$5))))*IF(AND(Imóveis!$E$5&gt;0,Dados!$A527&gt;Imóveis!$E$5),0,1)*Imóveis!$I$5</f>
        <v>0</v>
      </c>
      <c r="M527" s="18">
        <f>IF(Imóveis!$F$6="PRICE",IF(AND(Dados!$A527&gt;=Imóveis!$Q$6,Dados!$A527&lt;=Imóveis!$T$6),Imóveis!$U$6,0),IF((IF(AND(Dados!$A527&gt;=Imóveis!$Q$6,Dados!$A527&lt;=Imóveis!$T$6),Imóveis!$S$6-(DATEDIF(Imóveis!$Q$6,Dados!$A527,"m")),0))=0,0,((Imóveis!$N$6/Imóveis!$S$6)+((Imóveis!$N$6-((Imóveis!$S$6-(IF(AND(Dados!$A527&gt;=Imóveis!$Q$6,Dados!$A527&lt;=Imóveis!$T$6),Imóveis!$S$6-(DATEDIF(Imóveis!$Q$6,Dados!$A527,"m")),)))*(Imóveis!$N$6/Imóveis!$S$6)))*Imóveis!$P$6))))*IF(AND(Imóveis!$E$6&gt;0,Dados!$A527&gt;Imóveis!$E$6),0,1)*Imóveis!$I$6</f>
        <v>0</v>
      </c>
      <c r="N527" s="18">
        <f t="shared" si="69"/>
        <v>37000</v>
      </c>
      <c r="O527" s="18">
        <f>SUMIFS(Receitas!$F:$F,Receitas!$J:$J,"&lt;="&amp;$A527,Receitas!$L:$L,"&gt;="&amp;$A527,Receitas!$C:$C,O$1,Receitas!$M:$M,"Mensal")+SUMIFS(Receitas!$F:$F,Receitas!$J:$J,"&lt;="&amp;$A527,Receitas!$L:$L,"&gt;="&amp;$A527,Receitas!$C:$C,O$1,Receitas!$M:$M,$B527)</f>
        <v>0</v>
      </c>
      <c r="P527" s="18">
        <f>SUMIFS(Receitas!$F:$F,Receitas!$J:$J,"&lt;="&amp;$A527,Receitas!$L:$L,"&gt;="&amp;$A527,Receitas!$C:$C,P$1,Receitas!$M:$M,"Mensal")+SUMIFS(Receitas!$F:$F,Receitas!$J:$J,"&lt;="&amp;$A527,Receitas!$L:$L,"&gt;="&amp;$A527,Receitas!$C:$C,P$1,Receitas!$M:$M,$B527)</f>
        <v>0</v>
      </c>
      <c r="Q527" s="18">
        <f>SUMIFS(Receitas!$F:$F,Receitas!$J:$J,"&lt;="&amp;$A527,Receitas!$L:$L,"&gt;="&amp;$A527,Receitas!$C:$C,Q$1,Receitas!$M:$M,"Mensal")+SUMIFS(Receitas!$F:$F,Receitas!$J:$J,"&lt;="&amp;$A527,Receitas!$L:$L,"&gt;="&amp;$A527,Receitas!$C:$C,Q$1,Receitas!$M:$M,$B527)</f>
        <v>0</v>
      </c>
      <c r="R527" s="18" cm="1">
        <f t="array" ref="R527">(IF(AND(Membros!$F$2="Sim",A527&lt;=MAX(Membros!$E$2:$E$5)),Membros!K$2,IF(AND(A527&gt;=Membros!J$2,A527&lt;=MAX(Membros!$E$2:$E$5)),Membros!K$2,0))+IF(AND(Membros!$F$3="Sim",A527&lt;=MAX(Membros!$E$2:$E$5)),Membros!K$3,IF(AND(A527&gt;=Membros!J$3,A527&lt;=MAX(Membros!$E$2:$E$5)),Membros!K$3,0)))*IF(AND(COUNTIFS(Tabela3[Tipo],"Provedor",Tabela3[Simulação Seguro],"Sim")=2,A527&gt;=MAX(IF(Tabela3[Tipo]="Dependente",Tabela3[Expectativa de Vida (Data)]))),0,1)</f>
        <v>10000</v>
      </c>
      <c r="S527" s="18">
        <f t="shared" si="70"/>
        <v>10000</v>
      </c>
      <c r="U527" s="18">
        <f t="shared" ca="1" si="73"/>
        <v>33604357.570461057</v>
      </c>
      <c r="V527" s="18">
        <f>SUMIF(Imóveis!E:E,Dados!A:A,Imóveis!Z:Z)-SUMIF(Imóveis!E:E,Dados!A:A,Imóveis!Y:Y)</f>
        <v>0</v>
      </c>
      <c r="W527" s="18">
        <f>-SUMIF(Projetos!N:N,A527,Projetos!F:F)</f>
        <v>0</v>
      </c>
      <c r="X527" s="18">
        <f t="shared" si="67"/>
        <v>-27000</v>
      </c>
      <c r="Y527" s="26">
        <f ca="1">(U527*((Indicadores_Economicos!D$2+1)^(1/12)-1))</f>
        <v>110011.92223365563</v>
      </c>
      <c r="Z527" s="18">
        <f t="shared" ca="1" si="71"/>
        <v>33687369.492694713</v>
      </c>
      <c r="AA527" s="18">
        <f ca="1">Auxiliar_Projetos!E527</f>
        <v>2.1747243431905481E-9</v>
      </c>
      <c r="AB527" s="18">
        <f ca="1">Auxiliar_Projetos!K527</f>
        <v>1.6728648793773435E-9</v>
      </c>
      <c r="AC527" s="18">
        <f ca="1">IF(Z527-AA527-AB527&gt;Investimentos!$C$14,Investimentos!$C$14,IF(Z527-AA527-AB527&lt;Investimentos!$C$14,Z527-AA527-AB527,0))</f>
        <v>300000</v>
      </c>
      <c r="AD527" s="18">
        <f t="shared" ca="1" si="72"/>
        <v>33387369.492694713</v>
      </c>
      <c r="AE527" s="18"/>
    </row>
    <row r="528" spans="1:31" x14ac:dyDescent="0.2">
      <c r="A528" s="4">
        <v>61668</v>
      </c>
      <c r="B528" s="5" t="str">
        <f t="shared" si="68"/>
        <v>novembro</v>
      </c>
      <c r="C528" s="5" t="str">
        <f t="shared" si="66"/>
        <v>2068</v>
      </c>
      <c r="D528" s="5">
        <f>SUMIFS(Despesas!$F:$F,Despesas!$J:$J,"&lt;="&amp;$A528,Despesas!$L:$L,"&gt;="&amp;$A528,Despesas!$C:$C,D$1,Despesas!$M:$M,"Mensal")+SUMIFS(Despesas!$F:$F,Despesas!$J:$J,"&lt;="&amp;$A528,Despesas!$L:$L,"&gt;="&amp;$A528,Despesas!$C:$C,D$1,Despesas!$M:$M,$B528)</f>
        <v>23000</v>
      </c>
      <c r="E528" s="18">
        <f>SUMIFS(Despesas!$F:$F,Despesas!$J:$J,"&lt;="&amp;$A528,Despesas!$L:$L,"&gt;="&amp;$A528,Despesas!$C:$C,E$1,Despesas!$M:$M,"Mensal")+SUMIFS(Despesas!$F:$F,Despesas!$J:$J,"&lt;="&amp;$A528,Despesas!$L:$L,"&gt;="&amp;$A528,Despesas!$C:$C,E$1,Despesas!$M:$M,$B528)</f>
        <v>0</v>
      </c>
      <c r="F528" s="5">
        <f>SUMIFS(Despesas!$F:$F,Despesas!$J:$J,"&lt;="&amp;$A528,Despesas!$L:$L,"&gt;="&amp;$A528,Despesas!$C:$C,F$1,Despesas!$M:$M,"Mensal")+SUMIFS(Despesas!$F:$F,Despesas!$J:$J,"&lt;="&amp;$A528,Despesas!$L:$L,"&gt;="&amp;$A528,Despesas!$C:$C,F$1,Despesas!$M:$M,$B528)</f>
        <v>13000</v>
      </c>
      <c r="G528" s="5">
        <f>SUMIFS(Despesas!$F:$F,Despesas!$J:$J,"&lt;="&amp;$A528,Despesas!$L:$L,"&gt;="&amp;$A528,Despesas!$C:$C,G$1,Despesas!$M:$M,"Mensal")+SUMIFS(Despesas!$F:$F,Despesas!$J:$J,"&lt;="&amp;$A528,Despesas!$L:$L,"&gt;="&amp;$A528,Despesas!$C:$C,G$1,Despesas!$M:$M,$B528)</f>
        <v>0</v>
      </c>
      <c r="H528" s="18">
        <f>SUMIFS(Despesas!$F:$F,Despesas!$J:$J,"&lt;="&amp;$A528,Despesas!$L:$L,"&gt;="&amp;$A528,Despesas!$C:$C,H$1,Despesas!$M:$M,"Mensal")+SUMIFS(Despesas!$F:$F,Despesas!$J:$J,"&lt;="&amp;$A528,Despesas!$L:$L,"&gt;="&amp;$A528,Despesas!$C:$C,H$1,Despesas!$M:$M,$B528)</f>
        <v>1000</v>
      </c>
      <c r="I528" s="18">
        <f>IF(Imóveis!$F$2="PRICE",IF(AND(Dados!$A528&gt;=Imóveis!$Q$2,Dados!$A528&lt;=Imóveis!$T$2),Imóveis!$U$2,0),IF((IF(AND(Dados!$A528&gt;=Imóveis!$Q$2,Dados!$A528&lt;=Imóveis!$T$2),Imóveis!$S$2-(DATEDIF(Imóveis!$Q$2,Dados!$A528,"m")),0))=0,0,((Imóveis!$N$2/Imóveis!$S$2)+((Imóveis!$N$2-((Imóveis!$S$2-(IF(AND(Dados!$A528&gt;=Imóveis!$Q$2,Dados!$A528&lt;=Imóveis!$T$2),Imóveis!$S$2-(DATEDIF(Imóveis!$Q$2,Dados!$A528,"m")),)))*(Imóveis!$N$2/Imóveis!$S$2)))*Imóveis!$P$2))))*IF(AND(Imóveis!$E$2&gt;0,Dados!$A528&gt;Imóveis!$E$2),0,1)</f>
        <v>0</v>
      </c>
      <c r="J528" s="18">
        <f>IF(Imóveis!$F$3="PRICE",IF(AND(Dados!$A528&gt;=Imóveis!$Q$3,Dados!$A528&lt;=Imóveis!$T$3),Imóveis!$U$3,0),IF((IF(AND(Dados!$A528&gt;=Imóveis!$Q$3,Dados!$A528&lt;=Imóveis!$T$3),Imóveis!$S$3-(DATEDIF(Imóveis!$Q$3,Dados!$A528,"m")),0))=0,0,((Imóveis!$N$3/Imóveis!$S$3)+((Imóveis!$N$3-((Imóveis!$S$3-(IF(AND(Dados!$A528&gt;=Imóveis!$Q$3,Dados!$A528&lt;=Imóveis!$T$3),Imóveis!$S$3-(DATEDIF(Imóveis!$Q$3,Dados!$A528,"m")),)))*(Imóveis!$N$3/Imóveis!$S$3)))*Imóveis!$P$3))))*IF(AND(Imóveis!$E$3&gt;0,Dados!$A528&gt;Imóveis!$E$3),0,1)</f>
        <v>0</v>
      </c>
      <c r="K528" s="18">
        <f>IF(Imóveis!$F$4="PRICE",IF(AND(Dados!$A528&gt;=Imóveis!$Q$4,Dados!$A528&lt;=Imóveis!$T$4),Imóveis!$U$4,0),IF((IF(AND(Dados!$A528&gt;=Imóveis!$Q$4,Dados!$A528&lt;=Imóveis!$T$4),Imóveis!$S$4-(DATEDIF(Imóveis!$Q$4,Dados!$A528,"m")),0))=0,0,((Imóveis!$N$4/Imóveis!$S$4)+((Imóveis!$N$4-((Imóveis!$S$4-(IF(AND(Dados!$A528&gt;=Imóveis!$Q$4,Dados!$A528&lt;=Imóveis!$T$4),Imóveis!$S$4-(DATEDIF(Imóveis!$Q$4,Dados!$A528,"m")),)))*(Imóveis!$N$4/Imóveis!$S$4)))*Imóveis!$P$4))))*IF(AND(Imóveis!$E$4&gt;0,Dados!$A528&gt;Imóveis!$E$4),0,1)</f>
        <v>0</v>
      </c>
      <c r="L528" s="18">
        <f>IF(Imóveis!$F$5="PRICE",IF(AND(Dados!$A528&gt;=Imóveis!$Q$5,Dados!$A528&lt;=Imóveis!$T$5),Imóveis!$U$5,0),IF((IF(AND(Dados!$A528&gt;=Imóveis!$Q$5,Dados!$A528&lt;=Imóveis!$T$5),Imóveis!$S$5-(DATEDIF(Imóveis!$Q$5,Dados!$A528,"m")),0))=0,0,((Imóveis!$N$5/Imóveis!$S$5)+((Imóveis!$N$5-((Imóveis!$S$5-(IF(AND(Dados!$A528 &gt;=Imóveis!$Q$5,Dados!$A528&lt;=Imóveis!$T$5),Imóveis!$S$5-(DATEDIF(Imóveis!$Q$5,Dados!$A528,"m")),)))*(Imóveis!$N$5/Imóveis!$S$5)))*Imóveis!$P$5))))*IF(AND(Imóveis!$E$5&gt;0,Dados!$A528&gt;Imóveis!$E$5),0,1)*Imóveis!$I$5</f>
        <v>0</v>
      </c>
      <c r="M528" s="18">
        <f>IF(Imóveis!$F$6="PRICE",IF(AND(Dados!$A528&gt;=Imóveis!$Q$6,Dados!$A528&lt;=Imóveis!$T$6),Imóveis!$U$6,0),IF((IF(AND(Dados!$A528&gt;=Imóveis!$Q$6,Dados!$A528&lt;=Imóveis!$T$6),Imóveis!$S$6-(DATEDIF(Imóveis!$Q$6,Dados!$A528,"m")),0))=0,0,((Imóveis!$N$6/Imóveis!$S$6)+((Imóveis!$N$6-((Imóveis!$S$6-(IF(AND(Dados!$A528&gt;=Imóveis!$Q$6,Dados!$A528&lt;=Imóveis!$T$6),Imóveis!$S$6-(DATEDIF(Imóveis!$Q$6,Dados!$A528,"m")),)))*(Imóveis!$N$6/Imóveis!$S$6)))*Imóveis!$P$6))))*IF(AND(Imóveis!$E$6&gt;0,Dados!$A528&gt;Imóveis!$E$6),0,1)*Imóveis!$I$6</f>
        <v>0</v>
      </c>
      <c r="N528" s="18">
        <f t="shared" si="69"/>
        <v>37000</v>
      </c>
      <c r="O528" s="18">
        <f>SUMIFS(Receitas!$F:$F,Receitas!$J:$J,"&lt;="&amp;$A528,Receitas!$L:$L,"&gt;="&amp;$A528,Receitas!$C:$C,O$1,Receitas!$M:$M,"Mensal")+SUMIFS(Receitas!$F:$F,Receitas!$J:$J,"&lt;="&amp;$A528,Receitas!$L:$L,"&gt;="&amp;$A528,Receitas!$C:$C,O$1,Receitas!$M:$M,$B528)</f>
        <v>0</v>
      </c>
      <c r="P528" s="18">
        <f>SUMIFS(Receitas!$F:$F,Receitas!$J:$J,"&lt;="&amp;$A528,Receitas!$L:$L,"&gt;="&amp;$A528,Receitas!$C:$C,P$1,Receitas!$M:$M,"Mensal")+SUMIFS(Receitas!$F:$F,Receitas!$J:$J,"&lt;="&amp;$A528,Receitas!$L:$L,"&gt;="&amp;$A528,Receitas!$C:$C,P$1,Receitas!$M:$M,$B528)</f>
        <v>0</v>
      </c>
      <c r="Q528" s="18">
        <f>SUMIFS(Receitas!$F:$F,Receitas!$J:$J,"&lt;="&amp;$A528,Receitas!$L:$L,"&gt;="&amp;$A528,Receitas!$C:$C,Q$1,Receitas!$M:$M,"Mensal")+SUMIFS(Receitas!$F:$F,Receitas!$J:$J,"&lt;="&amp;$A528,Receitas!$L:$L,"&gt;="&amp;$A528,Receitas!$C:$C,Q$1,Receitas!$M:$M,$B528)</f>
        <v>0</v>
      </c>
      <c r="R528" s="18" cm="1">
        <f t="array" ref="R528">(IF(AND(Membros!$F$2="Sim",A528&lt;=MAX(Membros!$E$2:$E$5)),Membros!K$2,IF(AND(A528&gt;=Membros!J$2,A528&lt;=MAX(Membros!$E$2:$E$5)),Membros!K$2,0))+IF(AND(Membros!$F$3="Sim",A528&lt;=MAX(Membros!$E$2:$E$5)),Membros!K$3,IF(AND(A528&gt;=Membros!J$3,A528&lt;=MAX(Membros!$E$2:$E$5)),Membros!K$3,0)))*IF(AND(COUNTIFS(Tabela3[Tipo],"Provedor",Tabela3[Simulação Seguro],"Sim")=2,A528&gt;=MAX(IF(Tabela3[Tipo]="Dependente",Tabela3[Expectativa de Vida (Data)]))),0,1)</f>
        <v>10000</v>
      </c>
      <c r="S528" s="18">
        <f t="shared" si="70"/>
        <v>10000</v>
      </c>
      <c r="U528" s="18">
        <f t="shared" ca="1" si="73"/>
        <v>33687369.492694713</v>
      </c>
      <c r="V528" s="18">
        <f>SUMIF(Imóveis!E:E,Dados!A:A,Imóveis!Z:Z)-SUMIF(Imóveis!E:E,Dados!A:A,Imóveis!Y:Y)</f>
        <v>0</v>
      </c>
      <c r="W528" s="18">
        <f>-SUMIF(Projetos!N:N,A528,Projetos!F:F)</f>
        <v>0</v>
      </c>
      <c r="X528" s="18">
        <f t="shared" si="67"/>
        <v>-27000</v>
      </c>
      <c r="Y528" s="26">
        <f ca="1">(U528*((Indicadores_Economicos!D$2+1)^(1/12)-1))</f>
        <v>110283.68166586875</v>
      </c>
      <c r="Z528" s="18">
        <f t="shared" ca="1" si="71"/>
        <v>33770653.174360581</v>
      </c>
      <c r="AA528" s="18">
        <f ca="1">Auxiliar_Projetos!E528</f>
        <v>2.1818438247881673E-9</v>
      </c>
      <c r="AB528" s="18">
        <f ca="1">Auxiliar_Projetos!K528</f>
        <v>1.6783414036832045E-9</v>
      </c>
      <c r="AC528" s="18">
        <f ca="1">IF(Z528-AA528-AB528&gt;Investimentos!$C$14,Investimentos!$C$14,IF(Z528-AA528-AB528&lt;Investimentos!$C$14,Z528-AA528-AB528,0))</f>
        <v>300000</v>
      </c>
      <c r="AD528" s="18">
        <f t="shared" ca="1" si="72"/>
        <v>33470653.174360581</v>
      </c>
      <c r="AE528" s="18"/>
    </row>
    <row r="529" spans="1:31" x14ac:dyDescent="0.2">
      <c r="A529" s="4">
        <v>61698</v>
      </c>
      <c r="B529" s="5" t="str">
        <f t="shared" si="68"/>
        <v>dezembro</v>
      </c>
      <c r="C529" s="5" t="str">
        <f t="shared" si="66"/>
        <v>2068</v>
      </c>
      <c r="D529" s="5">
        <f>SUMIFS(Despesas!$F:$F,Despesas!$J:$J,"&lt;="&amp;$A529,Despesas!$L:$L,"&gt;="&amp;$A529,Despesas!$C:$C,D$1,Despesas!$M:$M,"Mensal")+SUMIFS(Despesas!$F:$F,Despesas!$J:$J,"&lt;="&amp;$A529,Despesas!$L:$L,"&gt;="&amp;$A529,Despesas!$C:$C,D$1,Despesas!$M:$M,$B529)</f>
        <v>23000</v>
      </c>
      <c r="E529" s="18">
        <f>SUMIFS(Despesas!$F:$F,Despesas!$J:$J,"&lt;="&amp;$A529,Despesas!$L:$L,"&gt;="&amp;$A529,Despesas!$C:$C,E$1,Despesas!$M:$M,"Mensal")+SUMIFS(Despesas!$F:$F,Despesas!$J:$J,"&lt;="&amp;$A529,Despesas!$L:$L,"&gt;="&amp;$A529,Despesas!$C:$C,E$1,Despesas!$M:$M,$B529)</f>
        <v>0</v>
      </c>
      <c r="F529" s="5">
        <f>SUMIFS(Despesas!$F:$F,Despesas!$J:$J,"&lt;="&amp;$A529,Despesas!$L:$L,"&gt;="&amp;$A529,Despesas!$C:$C,F$1,Despesas!$M:$M,"Mensal")+SUMIFS(Despesas!$F:$F,Despesas!$J:$J,"&lt;="&amp;$A529,Despesas!$L:$L,"&gt;="&amp;$A529,Despesas!$C:$C,F$1,Despesas!$M:$M,$B529)</f>
        <v>13000</v>
      </c>
      <c r="G529" s="5">
        <f ca="1">SUMIFS(Despesas!$F:$F,Despesas!$J:$J,"&lt;="&amp;$A529,Despesas!$L:$L,"&gt;="&amp;$A529,Despesas!$C:$C,G$1,Despesas!$M:$M,"Mensal")+SUMIFS(Despesas!$F:$F,Despesas!$J:$J,"&lt;="&amp;$A529,Despesas!$L:$L,"&gt;="&amp;$A529,Despesas!$C:$C,G$1,Despesas!$M:$M,$B529)</f>
        <v>55757</v>
      </c>
      <c r="H529" s="18">
        <f>SUMIFS(Despesas!$F:$F,Despesas!$J:$J,"&lt;="&amp;$A529,Despesas!$L:$L,"&gt;="&amp;$A529,Despesas!$C:$C,H$1,Despesas!$M:$M,"Mensal")+SUMIFS(Despesas!$F:$F,Despesas!$J:$J,"&lt;="&amp;$A529,Despesas!$L:$L,"&gt;="&amp;$A529,Despesas!$C:$C,H$1,Despesas!$M:$M,$B529)</f>
        <v>1000</v>
      </c>
      <c r="I529" s="18">
        <f>IF(Imóveis!$F$2="PRICE",IF(AND(Dados!$A529&gt;=Imóveis!$Q$2,Dados!$A529&lt;=Imóveis!$T$2),Imóveis!$U$2,0),IF((IF(AND(Dados!$A529&gt;=Imóveis!$Q$2,Dados!$A529&lt;=Imóveis!$T$2),Imóveis!$S$2-(DATEDIF(Imóveis!$Q$2,Dados!$A529,"m")),0))=0,0,((Imóveis!$N$2/Imóveis!$S$2)+((Imóveis!$N$2-((Imóveis!$S$2-(IF(AND(Dados!$A529&gt;=Imóveis!$Q$2,Dados!$A529&lt;=Imóveis!$T$2),Imóveis!$S$2-(DATEDIF(Imóveis!$Q$2,Dados!$A529,"m")),)))*(Imóveis!$N$2/Imóveis!$S$2)))*Imóveis!$P$2))))*IF(AND(Imóveis!$E$2&gt;0,Dados!$A529&gt;Imóveis!$E$2),0,1)</f>
        <v>0</v>
      </c>
      <c r="J529" s="18">
        <f>IF(Imóveis!$F$3="PRICE",IF(AND(Dados!$A529&gt;=Imóveis!$Q$3,Dados!$A529&lt;=Imóveis!$T$3),Imóveis!$U$3,0),IF((IF(AND(Dados!$A529&gt;=Imóveis!$Q$3,Dados!$A529&lt;=Imóveis!$T$3),Imóveis!$S$3-(DATEDIF(Imóveis!$Q$3,Dados!$A529,"m")),0))=0,0,((Imóveis!$N$3/Imóveis!$S$3)+((Imóveis!$N$3-((Imóveis!$S$3-(IF(AND(Dados!$A529&gt;=Imóveis!$Q$3,Dados!$A529&lt;=Imóveis!$T$3),Imóveis!$S$3-(DATEDIF(Imóveis!$Q$3,Dados!$A529,"m")),)))*(Imóveis!$N$3/Imóveis!$S$3)))*Imóveis!$P$3))))*IF(AND(Imóveis!$E$3&gt;0,Dados!$A529&gt;Imóveis!$E$3),0,1)</f>
        <v>0</v>
      </c>
      <c r="K529" s="18">
        <f>IF(Imóveis!$F$4="PRICE",IF(AND(Dados!$A529&gt;=Imóveis!$Q$4,Dados!$A529&lt;=Imóveis!$T$4),Imóveis!$U$4,0),IF((IF(AND(Dados!$A529&gt;=Imóveis!$Q$4,Dados!$A529&lt;=Imóveis!$T$4),Imóveis!$S$4-(DATEDIF(Imóveis!$Q$4,Dados!$A529,"m")),0))=0,0,((Imóveis!$N$4/Imóveis!$S$4)+((Imóveis!$N$4-((Imóveis!$S$4-(IF(AND(Dados!$A529&gt;=Imóveis!$Q$4,Dados!$A529&lt;=Imóveis!$T$4),Imóveis!$S$4-(DATEDIF(Imóveis!$Q$4,Dados!$A529,"m")),)))*(Imóveis!$N$4/Imóveis!$S$4)))*Imóveis!$P$4))))*IF(AND(Imóveis!$E$4&gt;0,Dados!$A529&gt;Imóveis!$E$4),0,1)</f>
        <v>0</v>
      </c>
      <c r="L529" s="18">
        <f>IF(Imóveis!$F$5="PRICE",IF(AND(Dados!$A529&gt;=Imóveis!$Q$5,Dados!$A529&lt;=Imóveis!$T$5),Imóveis!$U$5,0),IF((IF(AND(Dados!$A529&gt;=Imóveis!$Q$5,Dados!$A529&lt;=Imóveis!$T$5),Imóveis!$S$5-(DATEDIF(Imóveis!$Q$5,Dados!$A529,"m")),0))=0,0,((Imóveis!$N$5/Imóveis!$S$5)+((Imóveis!$N$5-((Imóveis!$S$5-(IF(AND(Dados!$A529 &gt;=Imóveis!$Q$5,Dados!$A529&lt;=Imóveis!$T$5),Imóveis!$S$5-(DATEDIF(Imóveis!$Q$5,Dados!$A529,"m")),)))*(Imóveis!$N$5/Imóveis!$S$5)))*Imóveis!$P$5))))*IF(AND(Imóveis!$E$5&gt;0,Dados!$A529&gt;Imóveis!$E$5),0,1)*Imóveis!$I$5</f>
        <v>0</v>
      </c>
      <c r="M529" s="18">
        <f>IF(Imóveis!$F$6="PRICE",IF(AND(Dados!$A529&gt;=Imóveis!$Q$6,Dados!$A529&lt;=Imóveis!$T$6),Imóveis!$U$6,0),IF((IF(AND(Dados!$A529&gt;=Imóveis!$Q$6,Dados!$A529&lt;=Imóveis!$T$6),Imóveis!$S$6-(DATEDIF(Imóveis!$Q$6,Dados!$A529,"m")),0))=0,0,((Imóveis!$N$6/Imóveis!$S$6)+((Imóveis!$N$6-((Imóveis!$S$6-(IF(AND(Dados!$A529&gt;=Imóveis!$Q$6,Dados!$A529&lt;=Imóveis!$T$6),Imóveis!$S$6-(DATEDIF(Imóveis!$Q$6,Dados!$A529,"m")),)))*(Imóveis!$N$6/Imóveis!$S$6)))*Imóveis!$P$6))))*IF(AND(Imóveis!$E$6&gt;0,Dados!$A529&gt;Imóveis!$E$6),0,1)*Imóveis!$I$6</f>
        <v>0</v>
      </c>
      <c r="N529" s="18">
        <f t="shared" ca="1" si="69"/>
        <v>92757</v>
      </c>
      <c r="O529" s="18">
        <f>SUMIFS(Receitas!$F:$F,Receitas!$J:$J,"&lt;="&amp;$A529,Receitas!$L:$L,"&gt;="&amp;$A529,Receitas!$C:$C,O$1,Receitas!$M:$M,"Mensal")+SUMIFS(Receitas!$F:$F,Receitas!$J:$J,"&lt;="&amp;$A529,Receitas!$L:$L,"&gt;="&amp;$A529,Receitas!$C:$C,O$1,Receitas!$M:$M,$B529)</f>
        <v>0</v>
      </c>
      <c r="P529" s="18">
        <f>SUMIFS(Receitas!$F:$F,Receitas!$J:$J,"&lt;="&amp;$A529,Receitas!$L:$L,"&gt;="&amp;$A529,Receitas!$C:$C,P$1,Receitas!$M:$M,"Mensal")+SUMIFS(Receitas!$F:$F,Receitas!$J:$J,"&lt;="&amp;$A529,Receitas!$L:$L,"&gt;="&amp;$A529,Receitas!$C:$C,P$1,Receitas!$M:$M,$B529)</f>
        <v>0</v>
      </c>
      <c r="Q529" s="18">
        <f>SUMIFS(Receitas!$F:$F,Receitas!$J:$J,"&lt;="&amp;$A529,Receitas!$L:$L,"&gt;="&amp;$A529,Receitas!$C:$C,Q$1,Receitas!$M:$M,"Mensal")+SUMIFS(Receitas!$F:$F,Receitas!$J:$J,"&lt;="&amp;$A529,Receitas!$L:$L,"&gt;="&amp;$A529,Receitas!$C:$C,Q$1,Receitas!$M:$M,$B529)</f>
        <v>0</v>
      </c>
      <c r="R529" s="18" cm="1">
        <f t="array" ref="R529">(IF(AND(Membros!$F$2="Sim",A529&lt;=MAX(Membros!$E$2:$E$5)),Membros!K$2,IF(AND(A529&gt;=Membros!J$2,A529&lt;=MAX(Membros!$E$2:$E$5)),Membros!K$2,0))+IF(AND(Membros!$F$3="Sim",A529&lt;=MAX(Membros!$E$2:$E$5)),Membros!K$3,IF(AND(A529&gt;=Membros!J$3,A529&lt;=MAX(Membros!$E$2:$E$5)),Membros!K$3,0)))*IF(AND(COUNTIFS(Tabela3[Tipo],"Provedor",Tabela3[Simulação Seguro],"Sim")=2,A529&gt;=MAX(IF(Tabela3[Tipo]="Dependente",Tabela3[Expectativa de Vida (Data)]))),0,1)</f>
        <v>10000</v>
      </c>
      <c r="S529" s="18">
        <f t="shared" si="70"/>
        <v>10000</v>
      </c>
      <c r="U529" s="18">
        <f t="shared" ca="1" si="73"/>
        <v>33770653.174360581</v>
      </c>
      <c r="V529" s="18">
        <f>SUMIF(Imóveis!E:E,Dados!A:A,Imóveis!Z:Z)-SUMIF(Imóveis!E:E,Dados!A:A,Imóveis!Y:Y)</f>
        <v>0</v>
      </c>
      <c r="W529" s="18">
        <f>-SUMIF(Projetos!N:N,A529,Projetos!F:F)</f>
        <v>0</v>
      </c>
      <c r="X529" s="18">
        <f t="shared" ca="1" si="67"/>
        <v>-82757</v>
      </c>
      <c r="Y529" s="26">
        <f ca="1">(U529*((Indicadores_Economicos!D$2+1)^(1/12)-1))</f>
        <v>110556.33076774629</v>
      </c>
      <c r="Z529" s="18">
        <f t="shared" ca="1" si="71"/>
        <v>33798452.505128324</v>
      </c>
      <c r="AA529" s="18">
        <f ca="1">Auxiliar_Projetos!E529</f>
        <v>2.1889866137159214E-9</v>
      </c>
      <c r="AB529" s="18">
        <f ca="1">Auxiliar_Projetos!K529</f>
        <v>1.6838358567045538E-9</v>
      </c>
      <c r="AC529" s="18">
        <f ca="1">IF(Z529-AA529-AB529&gt;Investimentos!$C$14,Investimentos!$C$14,IF(Z529-AA529-AB529&lt;Investimentos!$C$14,Z529-AA529-AB529,0))</f>
        <v>300000</v>
      </c>
      <c r="AD529" s="18">
        <f t="shared" ca="1" si="72"/>
        <v>33498452.505128324</v>
      </c>
      <c r="AE529" s="18"/>
    </row>
    <row r="530" spans="1:31" x14ac:dyDescent="0.2">
      <c r="A530" s="4">
        <v>61729</v>
      </c>
      <c r="B530" s="5" t="str">
        <f t="shared" si="68"/>
        <v>janeiro</v>
      </c>
      <c r="C530" s="5" t="str">
        <f t="shared" si="66"/>
        <v>2069</v>
      </c>
      <c r="D530" s="5">
        <f>SUMIFS(Despesas!$F:$F,Despesas!$J:$J,"&lt;="&amp;$A530,Despesas!$L:$L,"&gt;="&amp;$A530,Despesas!$C:$C,D$1,Despesas!$M:$M,"Mensal")+SUMIFS(Despesas!$F:$F,Despesas!$J:$J,"&lt;="&amp;$A530,Despesas!$L:$L,"&gt;="&amp;$A530,Despesas!$C:$C,D$1,Despesas!$M:$M,$B530)</f>
        <v>23000</v>
      </c>
      <c r="E530" s="18">
        <f>SUMIFS(Despesas!$F:$F,Despesas!$J:$J,"&lt;="&amp;$A530,Despesas!$L:$L,"&gt;="&amp;$A530,Despesas!$C:$C,E$1,Despesas!$M:$M,"Mensal")+SUMIFS(Despesas!$F:$F,Despesas!$J:$J,"&lt;="&amp;$A530,Despesas!$L:$L,"&gt;="&amp;$A530,Despesas!$C:$C,E$1,Despesas!$M:$M,$B530)</f>
        <v>0</v>
      </c>
      <c r="F530" s="5">
        <f>SUMIFS(Despesas!$F:$F,Despesas!$J:$J,"&lt;="&amp;$A530,Despesas!$L:$L,"&gt;="&amp;$A530,Despesas!$C:$C,F$1,Despesas!$M:$M,"Mensal")+SUMIFS(Despesas!$F:$F,Despesas!$J:$J,"&lt;="&amp;$A530,Despesas!$L:$L,"&gt;="&amp;$A530,Despesas!$C:$C,F$1,Despesas!$M:$M,$B530)</f>
        <v>13000</v>
      </c>
      <c r="G530" s="5">
        <f>SUMIFS(Despesas!$F:$F,Despesas!$J:$J,"&lt;="&amp;$A530,Despesas!$L:$L,"&gt;="&amp;$A530,Despesas!$C:$C,G$1,Despesas!$M:$M,"Mensal")+SUMIFS(Despesas!$F:$F,Despesas!$J:$J,"&lt;="&amp;$A530,Despesas!$L:$L,"&gt;="&amp;$A530,Despesas!$C:$C,G$1,Despesas!$M:$M,$B530)</f>
        <v>0</v>
      </c>
      <c r="H530" s="18">
        <f>SUMIFS(Despesas!$F:$F,Despesas!$J:$J,"&lt;="&amp;$A530,Despesas!$L:$L,"&gt;="&amp;$A530,Despesas!$C:$C,H$1,Despesas!$M:$M,"Mensal")+SUMIFS(Despesas!$F:$F,Despesas!$J:$J,"&lt;="&amp;$A530,Despesas!$L:$L,"&gt;="&amp;$A530,Despesas!$C:$C,H$1,Despesas!$M:$M,$B530)</f>
        <v>1000</v>
      </c>
      <c r="I530" s="18">
        <f>IF(Imóveis!$F$2="PRICE",IF(AND(Dados!$A530&gt;=Imóveis!$Q$2,Dados!$A530&lt;=Imóveis!$T$2),Imóveis!$U$2,0),IF((IF(AND(Dados!$A530&gt;=Imóveis!$Q$2,Dados!$A530&lt;=Imóveis!$T$2),Imóveis!$S$2-(DATEDIF(Imóveis!$Q$2,Dados!$A530,"m")),0))=0,0,((Imóveis!$N$2/Imóveis!$S$2)+((Imóveis!$N$2-((Imóveis!$S$2-(IF(AND(Dados!$A530&gt;=Imóveis!$Q$2,Dados!$A530&lt;=Imóveis!$T$2),Imóveis!$S$2-(DATEDIF(Imóveis!$Q$2,Dados!$A530,"m")),)))*(Imóveis!$N$2/Imóveis!$S$2)))*Imóveis!$P$2))))*IF(AND(Imóveis!$E$2&gt;0,Dados!$A530&gt;Imóveis!$E$2),0,1)</f>
        <v>0</v>
      </c>
      <c r="J530" s="18">
        <f>IF(Imóveis!$F$3="PRICE",IF(AND(Dados!$A530&gt;=Imóveis!$Q$3,Dados!$A530&lt;=Imóveis!$T$3),Imóveis!$U$3,0),IF((IF(AND(Dados!$A530&gt;=Imóveis!$Q$3,Dados!$A530&lt;=Imóveis!$T$3),Imóveis!$S$3-(DATEDIF(Imóveis!$Q$3,Dados!$A530,"m")),0))=0,0,((Imóveis!$N$3/Imóveis!$S$3)+((Imóveis!$N$3-((Imóveis!$S$3-(IF(AND(Dados!$A530&gt;=Imóveis!$Q$3,Dados!$A530&lt;=Imóveis!$T$3),Imóveis!$S$3-(DATEDIF(Imóveis!$Q$3,Dados!$A530,"m")),)))*(Imóveis!$N$3/Imóveis!$S$3)))*Imóveis!$P$3))))*IF(AND(Imóveis!$E$3&gt;0,Dados!$A530&gt;Imóveis!$E$3),0,1)</f>
        <v>0</v>
      </c>
      <c r="K530" s="18">
        <f>IF(Imóveis!$F$4="PRICE",IF(AND(Dados!$A530&gt;=Imóveis!$Q$4,Dados!$A530&lt;=Imóveis!$T$4),Imóveis!$U$4,0),IF((IF(AND(Dados!$A530&gt;=Imóveis!$Q$4,Dados!$A530&lt;=Imóveis!$T$4),Imóveis!$S$4-(DATEDIF(Imóveis!$Q$4,Dados!$A530,"m")),0))=0,0,((Imóveis!$N$4/Imóveis!$S$4)+((Imóveis!$N$4-((Imóveis!$S$4-(IF(AND(Dados!$A530&gt;=Imóveis!$Q$4,Dados!$A530&lt;=Imóveis!$T$4),Imóveis!$S$4-(DATEDIF(Imóveis!$Q$4,Dados!$A530,"m")),)))*(Imóveis!$N$4/Imóveis!$S$4)))*Imóveis!$P$4))))*IF(AND(Imóveis!$E$4&gt;0,Dados!$A530&gt;Imóveis!$E$4),0,1)</f>
        <v>0</v>
      </c>
      <c r="L530" s="18">
        <f>IF(Imóveis!$F$5="PRICE",IF(AND(Dados!$A530&gt;=Imóveis!$Q$5,Dados!$A530&lt;=Imóveis!$T$5),Imóveis!$U$5,0),IF((IF(AND(Dados!$A530&gt;=Imóveis!$Q$5,Dados!$A530&lt;=Imóveis!$T$5),Imóveis!$S$5-(DATEDIF(Imóveis!$Q$5,Dados!$A530,"m")),0))=0,0,((Imóveis!$N$5/Imóveis!$S$5)+((Imóveis!$N$5-((Imóveis!$S$5-(IF(AND(Dados!$A530 &gt;=Imóveis!$Q$5,Dados!$A530&lt;=Imóveis!$T$5),Imóveis!$S$5-(DATEDIF(Imóveis!$Q$5,Dados!$A530,"m")),)))*(Imóveis!$N$5/Imóveis!$S$5)))*Imóveis!$P$5))))*IF(AND(Imóveis!$E$5&gt;0,Dados!$A530&gt;Imóveis!$E$5),0,1)*Imóveis!$I$5</f>
        <v>0</v>
      </c>
      <c r="M530" s="18">
        <f>IF(Imóveis!$F$6="PRICE",IF(AND(Dados!$A530&gt;=Imóveis!$Q$6,Dados!$A530&lt;=Imóveis!$T$6),Imóveis!$U$6,0),IF((IF(AND(Dados!$A530&gt;=Imóveis!$Q$6,Dados!$A530&lt;=Imóveis!$T$6),Imóveis!$S$6-(DATEDIF(Imóveis!$Q$6,Dados!$A530,"m")),0))=0,0,((Imóveis!$N$6/Imóveis!$S$6)+((Imóveis!$N$6-((Imóveis!$S$6-(IF(AND(Dados!$A530&gt;=Imóveis!$Q$6,Dados!$A530&lt;=Imóveis!$T$6),Imóveis!$S$6-(DATEDIF(Imóveis!$Q$6,Dados!$A530,"m")),)))*(Imóveis!$N$6/Imóveis!$S$6)))*Imóveis!$P$6))))*IF(AND(Imóveis!$E$6&gt;0,Dados!$A530&gt;Imóveis!$E$6),0,1)*Imóveis!$I$6</f>
        <v>0</v>
      </c>
      <c r="N530" s="18">
        <f t="shared" si="69"/>
        <v>37000</v>
      </c>
      <c r="O530" s="18">
        <f>SUMIFS(Receitas!$F:$F,Receitas!$J:$J,"&lt;="&amp;$A530,Receitas!$L:$L,"&gt;="&amp;$A530,Receitas!$C:$C,O$1,Receitas!$M:$M,"Mensal")+SUMIFS(Receitas!$F:$F,Receitas!$J:$J,"&lt;="&amp;$A530,Receitas!$L:$L,"&gt;="&amp;$A530,Receitas!$C:$C,O$1,Receitas!$M:$M,$B530)</f>
        <v>0</v>
      </c>
      <c r="P530" s="18">
        <f>SUMIFS(Receitas!$F:$F,Receitas!$J:$J,"&lt;="&amp;$A530,Receitas!$L:$L,"&gt;="&amp;$A530,Receitas!$C:$C,P$1,Receitas!$M:$M,"Mensal")+SUMIFS(Receitas!$F:$F,Receitas!$J:$J,"&lt;="&amp;$A530,Receitas!$L:$L,"&gt;="&amp;$A530,Receitas!$C:$C,P$1,Receitas!$M:$M,$B530)</f>
        <v>0</v>
      </c>
      <c r="Q530" s="18">
        <f>SUMIFS(Receitas!$F:$F,Receitas!$J:$J,"&lt;="&amp;$A530,Receitas!$L:$L,"&gt;="&amp;$A530,Receitas!$C:$C,Q$1,Receitas!$M:$M,"Mensal")+SUMIFS(Receitas!$F:$F,Receitas!$J:$J,"&lt;="&amp;$A530,Receitas!$L:$L,"&gt;="&amp;$A530,Receitas!$C:$C,Q$1,Receitas!$M:$M,$B530)</f>
        <v>0</v>
      </c>
      <c r="R530" s="18" cm="1">
        <f t="array" ref="R530">(IF(AND(Membros!$F$2="Sim",A530&lt;=MAX(Membros!$E$2:$E$5)),Membros!K$2,IF(AND(A530&gt;=Membros!J$2,A530&lt;=MAX(Membros!$E$2:$E$5)),Membros!K$2,0))+IF(AND(Membros!$F$3="Sim",A530&lt;=MAX(Membros!$E$2:$E$5)),Membros!K$3,IF(AND(A530&gt;=Membros!J$3,A530&lt;=MAX(Membros!$E$2:$E$5)),Membros!K$3,0)))*IF(AND(COUNTIFS(Tabela3[Tipo],"Provedor",Tabela3[Simulação Seguro],"Sim")=2,A530&gt;=MAX(IF(Tabela3[Tipo]="Dependente",Tabela3[Expectativa de Vida (Data)]))),0,1)</f>
        <v>10000</v>
      </c>
      <c r="S530" s="18">
        <f t="shared" si="70"/>
        <v>10000</v>
      </c>
      <c r="U530" s="18">
        <f t="shared" ca="1" si="73"/>
        <v>33798452.505128324</v>
      </c>
      <c r="V530" s="18">
        <f>SUMIF(Imóveis!E:E,Dados!A:A,Imóveis!Z:Z)-SUMIF(Imóveis!E:E,Dados!A:A,Imóveis!Y:Y)</f>
        <v>0</v>
      </c>
      <c r="W530" s="18">
        <f>-SUMIF(Projetos!N:N,A530,Projetos!F:F)</f>
        <v>0</v>
      </c>
      <c r="X530" s="18">
        <f t="shared" si="67"/>
        <v>-27000</v>
      </c>
      <c r="Y530" s="26">
        <f ca="1">(U530*((Indicadores_Economicos!D$2+1)^(1/12)-1))</f>
        <v>110647.33854279916</v>
      </c>
      <c r="Z530" s="18">
        <f t="shared" ca="1" si="71"/>
        <v>33882099.843671121</v>
      </c>
      <c r="AA530" s="18">
        <f ca="1">Auxiliar_Projetos!E530</f>
        <v>2.1961527862759443E-9</v>
      </c>
      <c r="AB530" s="18">
        <f ca="1">Auxiliar_Projetos!K530</f>
        <v>1.6893482971353404E-9</v>
      </c>
      <c r="AC530" s="18">
        <f ca="1">IF(Z530-AA530-AB530&gt;Investimentos!$C$14,Investimentos!$C$14,IF(Z530-AA530-AB530&lt;Investimentos!$C$14,Z530-AA530-AB530,0))</f>
        <v>300000</v>
      </c>
      <c r="AD530" s="18">
        <f t="shared" ca="1" si="72"/>
        <v>33582099.843671121</v>
      </c>
      <c r="AE530" s="18"/>
    </row>
    <row r="531" spans="1:31" x14ac:dyDescent="0.2">
      <c r="A531" s="4">
        <v>61760</v>
      </c>
      <c r="B531" s="5" t="str">
        <f t="shared" si="68"/>
        <v>fevereiro</v>
      </c>
      <c r="C531" s="5" t="str">
        <f t="shared" si="66"/>
        <v>2069</v>
      </c>
      <c r="D531" s="5">
        <f>SUMIFS(Despesas!$F:$F,Despesas!$J:$J,"&lt;="&amp;$A531,Despesas!$L:$L,"&gt;="&amp;$A531,Despesas!$C:$C,D$1,Despesas!$M:$M,"Mensal")+SUMIFS(Despesas!$F:$F,Despesas!$J:$J,"&lt;="&amp;$A531,Despesas!$L:$L,"&gt;="&amp;$A531,Despesas!$C:$C,D$1,Despesas!$M:$M,$B531)</f>
        <v>23000</v>
      </c>
      <c r="E531" s="18">
        <f>SUMIFS(Despesas!$F:$F,Despesas!$J:$J,"&lt;="&amp;$A531,Despesas!$L:$L,"&gt;="&amp;$A531,Despesas!$C:$C,E$1,Despesas!$M:$M,"Mensal")+SUMIFS(Despesas!$F:$F,Despesas!$J:$J,"&lt;="&amp;$A531,Despesas!$L:$L,"&gt;="&amp;$A531,Despesas!$C:$C,E$1,Despesas!$M:$M,$B531)</f>
        <v>0</v>
      </c>
      <c r="F531" s="5">
        <f>SUMIFS(Despesas!$F:$F,Despesas!$J:$J,"&lt;="&amp;$A531,Despesas!$L:$L,"&gt;="&amp;$A531,Despesas!$C:$C,F$1,Despesas!$M:$M,"Mensal")+SUMIFS(Despesas!$F:$F,Despesas!$J:$J,"&lt;="&amp;$A531,Despesas!$L:$L,"&gt;="&amp;$A531,Despesas!$C:$C,F$1,Despesas!$M:$M,$B531)</f>
        <v>13000</v>
      </c>
      <c r="G531" s="5">
        <f>SUMIFS(Despesas!$F:$F,Despesas!$J:$J,"&lt;="&amp;$A531,Despesas!$L:$L,"&gt;="&amp;$A531,Despesas!$C:$C,G$1,Despesas!$M:$M,"Mensal")+SUMIFS(Despesas!$F:$F,Despesas!$J:$J,"&lt;="&amp;$A531,Despesas!$L:$L,"&gt;="&amp;$A531,Despesas!$C:$C,G$1,Despesas!$M:$M,$B531)</f>
        <v>0</v>
      </c>
      <c r="H531" s="18">
        <f>SUMIFS(Despesas!$F:$F,Despesas!$J:$J,"&lt;="&amp;$A531,Despesas!$L:$L,"&gt;="&amp;$A531,Despesas!$C:$C,H$1,Despesas!$M:$M,"Mensal")+SUMIFS(Despesas!$F:$F,Despesas!$J:$J,"&lt;="&amp;$A531,Despesas!$L:$L,"&gt;="&amp;$A531,Despesas!$C:$C,H$1,Despesas!$M:$M,$B531)</f>
        <v>2200</v>
      </c>
      <c r="I531" s="18">
        <f>IF(Imóveis!$F$2="PRICE",IF(AND(Dados!$A531&gt;=Imóveis!$Q$2,Dados!$A531&lt;=Imóveis!$T$2),Imóveis!$U$2,0),IF((IF(AND(Dados!$A531&gt;=Imóveis!$Q$2,Dados!$A531&lt;=Imóveis!$T$2),Imóveis!$S$2-(DATEDIF(Imóveis!$Q$2,Dados!$A531,"m")),0))=0,0,((Imóveis!$N$2/Imóveis!$S$2)+((Imóveis!$N$2-((Imóveis!$S$2-(IF(AND(Dados!$A531&gt;=Imóveis!$Q$2,Dados!$A531&lt;=Imóveis!$T$2),Imóveis!$S$2-(DATEDIF(Imóveis!$Q$2,Dados!$A531,"m")),)))*(Imóveis!$N$2/Imóveis!$S$2)))*Imóveis!$P$2))))*IF(AND(Imóveis!$E$2&gt;0,Dados!$A531&gt;Imóveis!$E$2),0,1)</f>
        <v>0</v>
      </c>
      <c r="J531" s="18">
        <f>IF(Imóveis!$F$3="PRICE",IF(AND(Dados!$A531&gt;=Imóveis!$Q$3,Dados!$A531&lt;=Imóveis!$T$3),Imóveis!$U$3,0),IF((IF(AND(Dados!$A531&gt;=Imóveis!$Q$3,Dados!$A531&lt;=Imóveis!$T$3),Imóveis!$S$3-(DATEDIF(Imóveis!$Q$3,Dados!$A531,"m")),0))=0,0,((Imóveis!$N$3/Imóveis!$S$3)+((Imóveis!$N$3-((Imóveis!$S$3-(IF(AND(Dados!$A531&gt;=Imóveis!$Q$3,Dados!$A531&lt;=Imóveis!$T$3),Imóveis!$S$3-(DATEDIF(Imóveis!$Q$3,Dados!$A531,"m")),)))*(Imóveis!$N$3/Imóveis!$S$3)))*Imóveis!$P$3))))*IF(AND(Imóveis!$E$3&gt;0,Dados!$A531&gt;Imóveis!$E$3),0,1)</f>
        <v>0</v>
      </c>
      <c r="K531" s="18">
        <f>IF(Imóveis!$F$4="PRICE",IF(AND(Dados!$A531&gt;=Imóveis!$Q$4,Dados!$A531&lt;=Imóveis!$T$4),Imóveis!$U$4,0),IF((IF(AND(Dados!$A531&gt;=Imóveis!$Q$4,Dados!$A531&lt;=Imóveis!$T$4),Imóveis!$S$4-(DATEDIF(Imóveis!$Q$4,Dados!$A531,"m")),0))=0,0,((Imóveis!$N$4/Imóveis!$S$4)+((Imóveis!$N$4-((Imóveis!$S$4-(IF(AND(Dados!$A531&gt;=Imóveis!$Q$4,Dados!$A531&lt;=Imóveis!$T$4),Imóveis!$S$4-(DATEDIF(Imóveis!$Q$4,Dados!$A531,"m")),)))*(Imóveis!$N$4/Imóveis!$S$4)))*Imóveis!$P$4))))*IF(AND(Imóveis!$E$4&gt;0,Dados!$A531&gt;Imóveis!$E$4),0,1)</f>
        <v>0</v>
      </c>
      <c r="L531" s="18">
        <f>IF(Imóveis!$F$5="PRICE",IF(AND(Dados!$A531&gt;=Imóveis!$Q$5,Dados!$A531&lt;=Imóveis!$T$5),Imóveis!$U$5,0),IF((IF(AND(Dados!$A531&gt;=Imóveis!$Q$5,Dados!$A531&lt;=Imóveis!$T$5),Imóveis!$S$5-(DATEDIF(Imóveis!$Q$5,Dados!$A531,"m")),0))=0,0,((Imóveis!$N$5/Imóveis!$S$5)+((Imóveis!$N$5-((Imóveis!$S$5-(IF(AND(Dados!$A531 &gt;=Imóveis!$Q$5,Dados!$A531&lt;=Imóveis!$T$5),Imóveis!$S$5-(DATEDIF(Imóveis!$Q$5,Dados!$A531,"m")),)))*(Imóveis!$N$5/Imóveis!$S$5)))*Imóveis!$P$5))))*IF(AND(Imóveis!$E$5&gt;0,Dados!$A531&gt;Imóveis!$E$5),0,1)*Imóveis!$I$5</f>
        <v>0</v>
      </c>
      <c r="M531" s="18">
        <f>IF(Imóveis!$F$6="PRICE",IF(AND(Dados!$A531&gt;=Imóveis!$Q$6,Dados!$A531&lt;=Imóveis!$T$6),Imóveis!$U$6,0),IF((IF(AND(Dados!$A531&gt;=Imóveis!$Q$6,Dados!$A531&lt;=Imóveis!$T$6),Imóveis!$S$6-(DATEDIF(Imóveis!$Q$6,Dados!$A531,"m")),0))=0,0,((Imóveis!$N$6/Imóveis!$S$6)+((Imóveis!$N$6-((Imóveis!$S$6-(IF(AND(Dados!$A531&gt;=Imóveis!$Q$6,Dados!$A531&lt;=Imóveis!$T$6),Imóveis!$S$6-(DATEDIF(Imóveis!$Q$6,Dados!$A531,"m")),)))*(Imóveis!$N$6/Imóveis!$S$6)))*Imóveis!$P$6))))*IF(AND(Imóveis!$E$6&gt;0,Dados!$A531&gt;Imóveis!$E$6),0,1)*Imóveis!$I$6</f>
        <v>0</v>
      </c>
      <c r="N531" s="18">
        <f t="shared" si="69"/>
        <v>38200</v>
      </c>
      <c r="O531" s="18">
        <f>SUMIFS(Receitas!$F:$F,Receitas!$J:$J,"&lt;="&amp;$A531,Receitas!$L:$L,"&gt;="&amp;$A531,Receitas!$C:$C,O$1,Receitas!$M:$M,"Mensal")+SUMIFS(Receitas!$F:$F,Receitas!$J:$J,"&lt;="&amp;$A531,Receitas!$L:$L,"&gt;="&amp;$A531,Receitas!$C:$C,O$1,Receitas!$M:$M,$B531)</f>
        <v>0</v>
      </c>
      <c r="P531" s="18">
        <f>SUMIFS(Receitas!$F:$F,Receitas!$J:$J,"&lt;="&amp;$A531,Receitas!$L:$L,"&gt;="&amp;$A531,Receitas!$C:$C,P$1,Receitas!$M:$M,"Mensal")+SUMIFS(Receitas!$F:$F,Receitas!$J:$J,"&lt;="&amp;$A531,Receitas!$L:$L,"&gt;="&amp;$A531,Receitas!$C:$C,P$1,Receitas!$M:$M,$B531)</f>
        <v>0</v>
      </c>
      <c r="Q531" s="18">
        <f>SUMIFS(Receitas!$F:$F,Receitas!$J:$J,"&lt;="&amp;$A531,Receitas!$L:$L,"&gt;="&amp;$A531,Receitas!$C:$C,Q$1,Receitas!$M:$M,"Mensal")+SUMIFS(Receitas!$F:$F,Receitas!$J:$J,"&lt;="&amp;$A531,Receitas!$L:$L,"&gt;="&amp;$A531,Receitas!$C:$C,Q$1,Receitas!$M:$M,$B531)</f>
        <v>0</v>
      </c>
      <c r="R531" s="18" cm="1">
        <f t="array" ref="R531">(IF(AND(Membros!$F$2="Sim",A531&lt;=MAX(Membros!$E$2:$E$5)),Membros!K$2,IF(AND(A531&gt;=Membros!J$2,A531&lt;=MAX(Membros!$E$2:$E$5)),Membros!K$2,0))+IF(AND(Membros!$F$3="Sim",A531&lt;=MAX(Membros!$E$2:$E$5)),Membros!K$3,IF(AND(A531&gt;=Membros!J$3,A531&lt;=MAX(Membros!$E$2:$E$5)),Membros!K$3,0)))*IF(AND(COUNTIFS(Tabela3[Tipo],"Provedor",Tabela3[Simulação Seguro],"Sim")=2,A531&gt;=MAX(IF(Tabela3[Tipo]="Dependente",Tabela3[Expectativa de Vida (Data)]))),0,1)</f>
        <v>10000</v>
      </c>
      <c r="S531" s="18">
        <f t="shared" si="70"/>
        <v>10000</v>
      </c>
      <c r="U531" s="18">
        <f t="shared" ca="1" si="73"/>
        <v>33882099.843671121</v>
      </c>
      <c r="V531" s="18">
        <f>SUMIF(Imóveis!E:E,Dados!A:A,Imóveis!Z:Z)-SUMIF(Imóveis!E:E,Dados!A:A,Imóveis!Y:Y)</f>
        <v>0</v>
      </c>
      <c r="W531" s="18">
        <f>-SUMIF(Projetos!N:N,A531,Projetos!F:F)</f>
        <v>0</v>
      </c>
      <c r="X531" s="18">
        <f t="shared" si="67"/>
        <v>-28200</v>
      </c>
      <c r="Y531" s="26">
        <f ca="1">(U531*((Indicadores_Economicos!D$2+1)^(1/12)-1))</f>
        <v>110921.17816266177</v>
      </c>
      <c r="Z531" s="18">
        <f t="shared" ca="1" si="71"/>
        <v>33964821.021833785</v>
      </c>
      <c r="AA531" s="18">
        <f ca="1">Auxiliar_Projetos!E531</f>
        <v>2.2033424190201628E-9</v>
      </c>
      <c r="AB531" s="18">
        <f ca="1">Auxiliar_Projetos!K531</f>
        <v>1.6948787838616623E-9</v>
      </c>
      <c r="AC531" s="18">
        <f ca="1">IF(Z531-AA531-AB531&gt;Investimentos!$C$14,Investimentos!$C$14,IF(Z531-AA531-AB531&lt;Investimentos!$C$14,Z531-AA531-AB531,0))</f>
        <v>300000</v>
      </c>
      <c r="AD531" s="18">
        <f t="shared" ca="1" si="72"/>
        <v>33664821.021833785</v>
      </c>
      <c r="AE531" s="18"/>
    </row>
    <row r="532" spans="1:31" x14ac:dyDescent="0.2">
      <c r="A532" s="4">
        <v>61788</v>
      </c>
      <c r="B532" s="5" t="str">
        <f t="shared" si="68"/>
        <v>março</v>
      </c>
      <c r="C532" s="5" t="str">
        <f t="shared" si="66"/>
        <v>2069</v>
      </c>
      <c r="D532" s="5">
        <f>SUMIFS(Despesas!$F:$F,Despesas!$J:$J,"&lt;="&amp;$A532,Despesas!$L:$L,"&gt;="&amp;$A532,Despesas!$C:$C,D$1,Despesas!$M:$M,"Mensal")+SUMIFS(Despesas!$F:$F,Despesas!$J:$J,"&lt;="&amp;$A532,Despesas!$L:$L,"&gt;="&amp;$A532,Despesas!$C:$C,D$1,Despesas!$M:$M,$B532)</f>
        <v>23000</v>
      </c>
      <c r="E532" s="18">
        <f>SUMIFS(Despesas!$F:$F,Despesas!$J:$J,"&lt;="&amp;$A532,Despesas!$L:$L,"&gt;="&amp;$A532,Despesas!$C:$C,E$1,Despesas!$M:$M,"Mensal")+SUMIFS(Despesas!$F:$F,Despesas!$J:$J,"&lt;="&amp;$A532,Despesas!$L:$L,"&gt;="&amp;$A532,Despesas!$C:$C,E$1,Despesas!$M:$M,$B532)</f>
        <v>0</v>
      </c>
      <c r="F532" s="5">
        <f>SUMIFS(Despesas!$F:$F,Despesas!$J:$J,"&lt;="&amp;$A532,Despesas!$L:$L,"&gt;="&amp;$A532,Despesas!$C:$C,F$1,Despesas!$M:$M,"Mensal")+SUMIFS(Despesas!$F:$F,Despesas!$J:$J,"&lt;="&amp;$A532,Despesas!$L:$L,"&gt;="&amp;$A532,Despesas!$C:$C,F$1,Despesas!$M:$M,$B532)</f>
        <v>13000</v>
      </c>
      <c r="G532" s="5">
        <f>SUMIFS(Despesas!$F:$F,Despesas!$J:$J,"&lt;="&amp;$A532,Despesas!$L:$L,"&gt;="&amp;$A532,Despesas!$C:$C,G$1,Despesas!$M:$M,"Mensal")+SUMIFS(Despesas!$F:$F,Despesas!$J:$J,"&lt;="&amp;$A532,Despesas!$L:$L,"&gt;="&amp;$A532,Despesas!$C:$C,G$1,Despesas!$M:$M,$B532)</f>
        <v>0</v>
      </c>
      <c r="H532" s="18">
        <f>SUMIFS(Despesas!$F:$F,Despesas!$J:$J,"&lt;="&amp;$A532,Despesas!$L:$L,"&gt;="&amp;$A532,Despesas!$C:$C,H$1,Despesas!$M:$M,"Mensal")+SUMIFS(Despesas!$F:$F,Despesas!$J:$J,"&lt;="&amp;$A532,Despesas!$L:$L,"&gt;="&amp;$A532,Despesas!$C:$C,H$1,Despesas!$M:$M,$B532)</f>
        <v>1000</v>
      </c>
      <c r="I532" s="18">
        <f>IF(Imóveis!$F$2="PRICE",IF(AND(Dados!$A532&gt;=Imóveis!$Q$2,Dados!$A532&lt;=Imóveis!$T$2),Imóveis!$U$2,0),IF((IF(AND(Dados!$A532&gt;=Imóveis!$Q$2,Dados!$A532&lt;=Imóveis!$T$2),Imóveis!$S$2-(DATEDIF(Imóveis!$Q$2,Dados!$A532,"m")),0))=0,0,((Imóveis!$N$2/Imóveis!$S$2)+((Imóveis!$N$2-((Imóveis!$S$2-(IF(AND(Dados!$A532&gt;=Imóveis!$Q$2,Dados!$A532&lt;=Imóveis!$T$2),Imóveis!$S$2-(DATEDIF(Imóveis!$Q$2,Dados!$A532,"m")),)))*(Imóveis!$N$2/Imóveis!$S$2)))*Imóveis!$P$2))))*IF(AND(Imóveis!$E$2&gt;0,Dados!$A532&gt;Imóveis!$E$2),0,1)</f>
        <v>0</v>
      </c>
      <c r="J532" s="18">
        <f>IF(Imóveis!$F$3="PRICE",IF(AND(Dados!$A532&gt;=Imóveis!$Q$3,Dados!$A532&lt;=Imóveis!$T$3),Imóveis!$U$3,0),IF((IF(AND(Dados!$A532&gt;=Imóveis!$Q$3,Dados!$A532&lt;=Imóveis!$T$3),Imóveis!$S$3-(DATEDIF(Imóveis!$Q$3,Dados!$A532,"m")),0))=0,0,((Imóveis!$N$3/Imóveis!$S$3)+((Imóveis!$N$3-((Imóveis!$S$3-(IF(AND(Dados!$A532&gt;=Imóveis!$Q$3,Dados!$A532&lt;=Imóveis!$T$3),Imóveis!$S$3-(DATEDIF(Imóveis!$Q$3,Dados!$A532,"m")),)))*(Imóveis!$N$3/Imóveis!$S$3)))*Imóveis!$P$3))))*IF(AND(Imóveis!$E$3&gt;0,Dados!$A532&gt;Imóveis!$E$3),0,1)</f>
        <v>0</v>
      </c>
      <c r="K532" s="18">
        <f>IF(Imóveis!$F$4="PRICE",IF(AND(Dados!$A532&gt;=Imóveis!$Q$4,Dados!$A532&lt;=Imóveis!$T$4),Imóveis!$U$4,0),IF((IF(AND(Dados!$A532&gt;=Imóveis!$Q$4,Dados!$A532&lt;=Imóveis!$T$4),Imóveis!$S$4-(DATEDIF(Imóveis!$Q$4,Dados!$A532,"m")),0))=0,0,((Imóveis!$N$4/Imóveis!$S$4)+((Imóveis!$N$4-((Imóveis!$S$4-(IF(AND(Dados!$A532&gt;=Imóveis!$Q$4,Dados!$A532&lt;=Imóveis!$T$4),Imóveis!$S$4-(DATEDIF(Imóveis!$Q$4,Dados!$A532,"m")),)))*(Imóveis!$N$4/Imóveis!$S$4)))*Imóveis!$P$4))))*IF(AND(Imóveis!$E$4&gt;0,Dados!$A532&gt;Imóveis!$E$4),0,1)</f>
        <v>0</v>
      </c>
      <c r="L532" s="18">
        <f>IF(Imóveis!$F$5="PRICE",IF(AND(Dados!$A532&gt;=Imóveis!$Q$5,Dados!$A532&lt;=Imóveis!$T$5),Imóveis!$U$5,0),IF((IF(AND(Dados!$A532&gt;=Imóveis!$Q$5,Dados!$A532&lt;=Imóveis!$T$5),Imóveis!$S$5-(DATEDIF(Imóveis!$Q$5,Dados!$A532,"m")),0))=0,0,((Imóveis!$N$5/Imóveis!$S$5)+((Imóveis!$N$5-((Imóveis!$S$5-(IF(AND(Dados!$A532 &gt;=Imóveis!$Q$5,Dados!$A532&lt;=Imóveis!$T$5),Imóveis!$S$5-(DATEDIF(Imóveis!$Q$5,Dados!$A532,"m")),)))*(Imóveis!$N$5/Imóveis!$S$5)))*Imóveis!$P$5))))*IF(AND(Imóveis!$E$5&gt;0,Dados!$A532&gt;Imóveis!$E$5),0,1)*Imóveis!$I$5</f>
        <v>0</v>
      </c>
      <c r="M532" s="18">
        <f>IF(Imóveis!$F$6="PRICE",IF(AND(Dados!$A532&gt;=Imóveis!$Q$6,Dados!$A532&lt;=Imóveis!$T$6),Imóveis!$U$6,0),IF((IF(AND(Dados!$A532&gt;=Imóveis!$Q$6,Dados!$A532&lt;=Imóveis!$T$6),Imóveis!$S$6-(DATEDIF(Imóveis!$Q$6,Dados!$A532,"m")),0))=0,0,((Imóveis!$N$6/Imóveis!$S$6)+((Imóveis!$N$6-((Imóveis!$S$6-(IF(AND(Dados!$A532&gt;=Imóveis!$Q$6,Dados!$A532&lt;=Imóveis!$T$6),Imóveis!$S$6-(DATEDIF(Imóveis!$Q$6,Dados!$A532,"m")),)))*(Imóveis!$N$6/Imóveis!$S$6)))*Imóveis!$P$6))))*IF(AND(Imóveis!$E$6&gt;0,Dados!$A532&gt;Imóveis!$E$6),0,1)*Imóveis!$I$6</f>
        <v>0</v>
      </c>
      <c r="N532" s="18">
        <f t="shared" si="69"/>
        <v>37000</v>
      </c>
      <c r="O532" s="18">
        <f>SUMIFS(Receitas!$F:$F,Receitas!$J:$J,"&lt;="&amp;$A532,Receitas!$L:$L,"&gt;="&amp;$A532,Receitas!$C:$C,O$1,Receitas!$M:$M,"Mensal")+SUMIFS(Receitas!$F:$F,Receitas!$J:$J,"&lt;="&amp;$A532,Receitas!$L:$L,"&gt;="&amp;$A532,Receitas!$C:$C,O$1,Receitas!$M:$M,$B532)</f>
        <v>0</v>
      </c>
      <c r="P532" s="18">
        <f>SUMIFS(Receitas!$F:$F,Receitas!$J:$J,"&lt;="&amp;$A532,Receitas!$L:$L,"&gt;="&amp;$A532,Receitas!$C:$C,P$1,Receitas!$M:$M,"Mensal")+SUMIFS(Receitas!$F:$F,Receitas!$J:$J,"&lt;="&amp;$A532,Receitas!$L:$L,"&gt;="&amp;$A532,Receitas!$C:$C,P$1,Receitas!$M:$M,$B532)</f>
        <v>0</v>
      </c>
      <c r="Q532" s="18">
        <f>SUMIFS(Receitas!$F:$F,Receitas!$J:$J,"&lt;="&amp;$A532,Receitas!$L:$L,"&gt;="&amp;$A532,Receitas!$C:$C,Q$1,Receitas!$M:$M,"Mensal")+SUMIFS(Receitas!$F:$F,Receitas!$J:$J,"&lt;="&amp;$A532,Receitas!$L:$L,"&gt;="&amp;$A532,Receitas!$C:$C,Q$1,Receitas!$M:$M,$B532)</f>
        <v>0</v>
      </c>
      <c r="R532" s="18" cm="1">
        <f t="array" ref="R532">(IF(AND(Membros!$F$2="Sim",A532&lt;=MAX(Membros!$E$2:$E$5)),Membros!K$2,IF(AND(A532&gt;=Membros!J$2,A532&lt;=MAX(Membros!$E$2:$E$5)),Membros!K$2,0))+IF(AND(Membros!$F$3="Sim",A532&lt;=MAX(Membros!$E$2:$E$5)),Membros!K$3,IF(AND(A532&gt;=Membros!J$3,A532&lt;=MAX(Membros!$E$2:$E$5)),Membros!K$3,0)))*IF(AND(COUNTIFS(Tabela3[Tipo],"Provedor",Tabela3[Simulação Seguro],"Sim")=2,A532&gt;=MAX(IF(Tabela3[Tipo]="Dependente",Tabela3[Expectativa de Vida (Data)]))),0,1)</f>
        <v>10000</v>
      </c>
      <c r="S532" s="18">
        <f t="shared" si="70"/>
        <v>10000</v>
      </c>
      <c r="U532" s="18">
        <f t="shared" ca="1" si="73"/>
        <v>33964821.021833785</v>
      </c>
      <c r="V532" s="18">
        <f>SUMIF(Imóveis!E:E,Dados!A:A,Imóveis!Z:Z)-SUMIF(Imóveis!E:E,Dados!A:A,Imóveis!Y:Y)</f>
        <v>0</v>
      </c>
      <c r="W532" s="18">
        <f>-SUMIF(Projetos!N:N,A532,Projetos!F:F)</f>
        <v>0</v>
      </c>
      <c r="X532" s="18">
        <f t="shared" si="67"/>
        <v>-27000</v>
      </c>
      <c r="Y532" s="26">
        <f ca="1">(U532*((Indicadores_Economicos!D$2+1)^(1/12)-1))</f>
        <v>111191.98577444325</v>
      </c>
      <c r="Z532" s="18">
        <f t="shared" ca="1" si="71"/>
        <v>34049013.007608227</v>
      </c>
      <c r="AA532" s="18">
        <f ca="1">Auxiliar_Projetos!E532</f>
        <v>2.2105555887511155E-9</v>
      </c>
      <c r="AB532" s="18">
        <f ca="1">Auxiliar_Projetos!K532</f>
        <v>1.7004273759623952E-9</v>
      </c>
      <c r="AC532" s="18">
        <f ca="1">IF(Z532-AA532-AB532&gt;Investimentos!$C$14,Investimentos!$C$14,IF(Z532-AA532-AB532&lt;Investimentos!$C$14,Z532-AA532-AB532,0))</f>
        <v>300000</v>
      </c>
      <c r="AD532" s="18">
        <f t="shared" ca="1" si="72"/>
        <v>33749013.007608227</v>
      </c>
      <c r="AE532" s="18"/>
    </row>
    <row r="533" spans="1:31" x14ac:dyDescent="0.2">
      <c r="A533" s="4">
        <v>61819</v>
      </c>
      <c r="B533" s="5" t="str">
        <f t="shared" si="68"/>
        <v>abril</v>
      </c>
      <c r="C533" s="5" t="str">
        <f t="shared" si="66"/>
        <v>2069</v>
      </c>
      <c r="D533" s="5">
        <f>SUMIFS(Despesas!$F:$F,Despesas!$J:$J,"&lt;="&amp;$A533,Despesas!$L:$L,"&gt;="&amp;$A533,Despesas!$C:$C,D$1,Despesas!$M:$M,"Mensal")+SUMIFS(Despesas!$F:$F,Despesas!$J:$J,"&lt;="&amp;$A533,Despesas!$L:$L,"&gt;="&amp;$A533,Despesas!$C:$C,D$1,Despesas!$M:$M,$B533)</f>
        <v>23000</v>
      </c>
      <c r="E533" s="18">
        <f>SUMIFS(Despesas!$F:$F,Despesas!$J:$J,"&lt;="&amp;$A533,Despesas!$L:$L,"&gt;="&amp;$A533,Despesas!$C:$C,E$1,Despesas!$M:$M,"Mensal")+SUMIFS(Despesas!$F:$F,Despesas!$J:$J,"&lt;="&amp;$A533,Despesas!$L:$L,"&gt;="&amp;$A533,Despesas!$C:$C,E$1,Despesas!$M:$M,$B533)</f>
        <v>0</v>
      </c>
      <c r="F533" s="5">
        <f>SUMIFS(Despesas!$F:$F,Despesas!$J:$J,"&lt;="&amp;$A533,Despesas!$L:$L,"&gt;="&amp;$A533,Despesas!$C:$C,F$1,Despesas!$M:$M,"Mensal")+SUMIFS(Despesas!$F:$F,Despesas!$J:$J,"&lt;="&amp;$A533,Despesas!$L:$L,"&gt;="&amp;$A533,Despesas!$C:$C,F$1,Despesas!$M:$M,$B533)</f>
        <v>13000</v>
      </c>
      <c r="G533" s="5">
        <f>SUMIFS(Despesas!$F:$F,Despesas!$J:$J,"&lt;="&amp;$A533,Despesas!$L:$L,"&gt;="&amp;$A533,Despesas!$C:$C,G$1,Despesas!$M:$M,"Mensal")+SUMIFS(Despesas!$F:$F,Despesas!$J:$J,"&lt;="&amp;$A533,Despesas!$L:$L,"&gt;="&amp;$A533,Despesas!$C:$C,G$1,Despesas!$M:$M,$B533)</f>
        <v>0</v>
      </c>
      <c r="H533" s="18">
        <f>SUMIFS(Despesas!$F:$F,Despesas!$J:$J,"&lt;="&amp;$A533,Despesas!$L:$L,"&gt;="&amp;$A533,Despesas!$C:$C,H$1,Despesas!$M:$M,"Mensal")+SUMIFS(Despesas!$F:$F,Despesas!$J:$J,"&lt;="&amp;$A533,Despesas!$L:$L,"&gt;="&amp;$A533,Despesas!$C:$C,H$1,Despesas!$M:$M,$B533)</f>
        <v>1000</v>
      </c>
      <c r="I533" s="18">
        <f>IF(Imóveis!$F$2="PRICE",IF(AND(Dados!$A533&gt;=Imóveis!$Q$2,Dados!$A533&lt;=Imóveis!$T$2),Imóveis!$U$2,0),IF((IF(AND(Dados!$A533&gt;=Imóveis!$Q$2,Dados!$A533&lt;=Imóveis!$T$2),Imóveis!$S$2-(DATEDIF(Imóveis!$Q$2,Dados!$A533,"m")),0))=0,0,((Imóveis!$N$2/Imóveis!$S$2)+((Imóveis!$N$2-((Imóveis!$S$2-(IF(AND(Dados!$A533&gt;=Imóveis!$Q$2,Dados!$A533&lt;=Imóveis!$T$2),Imóveis!$S$2-(DATEDIF(Imóveis!$Q$2,Dados!$A533,"m")),)))*(Imóveis!$N$2/Imóveis!$S$2)))*Imóveis!$P$2))))*IF(AND(Imóveis!$E$2&gt;0,Dados!$A533&gt;Imóveis!$E$2),0,1)</f>
        <v>0</v>
      </c>
      <c r="J533" s="18">
        <f>IF(Imóveis!$F$3="PRICE",IF(AND(Dados!$A533&gt;=Imóveis!$Q$3,Dados!$A533&lt;=Imóveis!$T$3),Imóveis!$U$3,0),IF((IF(AND(Dados!$A533&gt;=Imóveis!$Q$3,Dados!$A533&lt;=Imóveis!$T$3),Imóveis!$S$3-(DATEDIF(Imóveis!$Q$3,Dados!$A533,"m")),0))=0,0,((Imóveis!$N$3/Imóveis!$S$3)+((Imóveis!$N$3-((Imóveis!$S$3-(IF(AND(Dados!$A533&gt;=Imóveis!$Q$3,Dados!$A533&lt;=Imóveis!$T$3),Imóveis!$S$3-(DATEDIF(Imóveis!$Q$3,Dados!$A533,"m")),)))*(Imóveis!$N$3/Imóveis!$S$3)))*Imóveis!$P$3))))*IF(AND(Imóveis!$E$3&gt;0,Dados!$A533&gt;Imóveis!$E$3),0,1)</f>
        <v>0</v>
      </c>
      <c r="K533" s="18">
        <f>IF(Imóveis!$F$4="PRICE",IF(AND(Dados!$A533&gt;=Imóveis!$Q$4,Dados!$A533&lt;=Imóveis!$T$4),Imóveis!$U$4,0),IF((IF(AND(Dados!$A533&gt;=Imóveis!$Q$4,Dados!$A533&lt;=Imóveis!$T$4),Imóveis!$S$4-(DATEDIF(Imóveis!$Q$4,Dados!$A533,"m")),0))=0,0,((Imóveis!$N$4/Imóveis!$S$4)+((Imóveis!$N$4-((Imóveis!$S$4-(IF(AND(Dados!$A533&gt;=Imóveis!$Q$4,Dados!$A533&lt;=Imóveis!$T$4),Imóveis!$S$4-(DATEDIF(Imóveis!$Q$4,Dados!$A533,"m")),)))*(Imóveis!$N$4/Imóveis!$S$4)))*Imóveis!$P$4))))*IF(AND(Imóveis!$E$4&gt;0,Dados!$A533&gt;Imóveis!$E$4),0,1)</f>
        <v>0</v>
      </c>
      <c r="L533" s="18">
        <f>IF(Imóveis!$F$5="PRICE",IF(AND(Dados!$A533&gt;=Imóveis!$Q$5,Dados!$A533&lt;=Imóveis!$T$5),Imóveis!$U$5,0),IF((IF(AND(Dados!$A533&gt;=Imóveis!$Q$5,Dados!$A533&lt;=Imóveis!$T$5),Imóveis!$S$5-(DATEDIF(Imóveis!$Q$5,Dados!$A533,"m")),0))=0,0,((Imóveis!$N$5/Imóveis!$S$5)+((Imóveis!$N$5-((Imóveis!$S$5-(IF(AND(Dados!$A533 &gt;=Imóveis!$Q$5,Dados!$A533&lt;=Imóveis!$T$5),Imóveis!$S$5-(DATEDIF(Imóveis!$Q$5,Dados!$A533,"m")),)))*(Imóveis!$N$5/Imóveis!$S$5)))*Imóveis!$P$5))))*IF(AND(Imóveis!$E$5&gt;0,Dados!$A533&gt;Imóveis!$E$5),0,1)*Imóveis!$I$5</f>
        <v>0</v>
      </c>
      <c r="M533" s="18">
        <f>IF(Imóveis!$F$6="PRICE",IF(AND(Dados!$A533&gt;=Imóveis!$Q$6,Dados!$A533&lt;=Imóveis!$T$6),Imóveis!$U$6,0),IF((IF(AND(Dados!$A533&gt;=Imóveis!$Q$6,Dados!$A533&lt;=Imóveis!$T$6),Imóveis!$S$6-(DATEDIF(Imóveis!$Q$6,Dados!$A533,"m")),0))=0,0,((Imóveis!$N$6/Imóveis!$S$6)+((Imóveis!$N$6-((Imóveis!$S$6-(IF(AND(Dados!$A533&gt;=Imóveis!$Q$6,Dados!$A533&lt;=Imóveis!$T$6),Imóveis!$S$6-(DATEDIF(Imóveis!$Q$6,Dados!$A533,"m")),)))*(Imóveis!$N$6/Imóveis!$S$6)))*Imóveis!$P$6))))*IF(AND(Imóveis!$E$6&gt;0,Dados!$A533&gt;Imóveis!$E$6),0,1)*Imóveis!$I$6</f>
        <v>0</v>
      </c>
      <c r="N533" s="18">
        <f t="shared" si="69"/>
        <v>37000</v>
      </c>
      <c r="O533" s="18">
        <f>SUMIFS(Receitas!$F:$F,Receitas!$J:$J,"&lt;="&amp;$A533,Receitas!$L:$L,"&gt;="&amp;$A533,Receitas!$C:$C,O$1,Receitas!$M:$M,"Mensal")+SUMIFS(Receitas!$F:$F,Receitas!$J:$J,"&lt;="&amp;$A533,Receitas!$L:$L,"&gt;="&amp;$A533,Receitas!$C:$C,O$1,Receitas!$M:$M,$B533)</f>
        <v>0</v>
      </c>
      <c r="P533" s="18">
        <f>SUMIFS(Receitas!$F:$F,Receitas!$J:$J,"&lt;="&amp;$A533,Receitas!$L:$L,"&gt;="&amp;$A533,Receitas!$C:$C,P$1,Receitas!$M:$M,"Mensal")+SUMIFS(Receitas!$F:$F,Receitas!$J:$J,"&lt;="&amp;$A533,Receitas!$L:$L,"&gt;="&amp;$A533,Receitas!$C:$C,P$1,Receitas!$M:$M,$B533)</f>
        <v>0</v>
      </c>
      <c r="Q533" s="18">
        <f>SUMIFS(Receitas!$F:$F,Receitas!$J:$J,"&lt;="&amp;$A533,Receitas!$L:$L,"&gt;="&amp;$A533,Receitas!$C:$C,Q$1,Receitas!$M:$M,"Mensal")+SUMIFS(Receitas!$F:$F,Receitas!$J:$J,"&lt;="&amp;$A533,Receitas!$L:$L,"&gt;="&amp;$A533,Receitas!$C:$C,Q$1,Receitas!$M:$M,$B533)</f>
        <v>0</v>
      </c>
      <c r="R533" s="18" cm="1">
        <f t="array" ref="R533">(IF(AND(Membros!$F$2="Sim",A533&lt;=MAX(Membros!$E$2:$E$5)),Membros!K$2,IF(AND(A533&gt;=Membros!J$2,A533&lt;=MAX(Membros!$E$2:$E$5)),Membros!K$2,0))+IF(AND(Membros!$F$3="Sim",A533&lt;=MAX(Membros!$E$2:$E$5)),Membros!K$3,IF(AND(A533&gt;=Membros!J$3,A533&lt;=MAX(Membros!$E$2:$E$5)),Membros!K$3,0)))*IF(AND(COUNTIFS(Tabela3[Tipo],"Provedor",Tabela3[Simulação Seguro],"Sim")=2,A533&gt;=MAX(IF(Tabela3[Tipo]="Dependente",Tabela3[Expectativa de Vida (Data)]))),0,1)</f>
        <v>10000</v>
      </c>
      <c r="S533" s="18">
        <f t="shared" si="70"/>
        <v>10000</v>
      </c>
      <c r="U533" s="18">
        <f t="shared" ca="1" si="73"/>
        <v>34049013.007608227</v>
      </c>
      <c r="V533" s="18">
        <f>SUMIF(Imóveis!E:E,Dados!A:A,Imóveis!Z:Z)-SUMIF(Imóveis!E:E,Dados!A:A,Imóveis!Y:Y)</f>
        <v>0</v>
      </c>
      <c r="W533" s="18">
        <f>-SUMIF(Projetos!N:N,A533,Projetos!F:F)</f>
        <v>0</v>
      </c>
      <c r="X533" s="18">
        <f t="shared" si="67"/>
        <v>-27000</v>
      </c>
      <c r="Y533" s="26">
        <f ca="1">(U533*((Indicadores_Economicos!D$2+1)^(1/12)-1))</f>
        <v>111467.60842761537</v>
      </c>
      <c r="Z533" s="18">
        <f t="shared" ca="1" si="71"/>
        <v>34133480.616035841</v>
      </c>
      <c r="AA533" s="18">
        <f ca="1">Auxiliar_Projetos!E533</f>
        <v>2.2177923725227723E-9</v>
      </c>
      <c r="AB533" s="18">
        <f ca="1">Auxiliar_Projetos!K533</f>
        <v>1.7059941327098234E-9</v>
      </c>
      <c r="AC533" s="18">
        <f ca="1">IF(Z533-AA533-AB533&gt;Investimentos!$C$14,Investimentos!$C$14,IF(Z533-AA533-AB533&lt;Investimentos!$C$14,Z533-AA533-AB533,0))</f>
        <v>300000</v>
      </c>
      <c r="AD533" s="18">
        <f t="shared" ca="1" si="72"/>
        <v>33833480.616035841</v>
      </c>
      <c r="AE533" s="18"/>
    </row>
    <row r="534" spans="1:31" x14ac:dyDescent="0.2">
      <c r="A534" s="4">
        <v>61849</v>
      </c>
      <c r="B534" s="5" t="str">
        <f t="shared" si="68"/>
        <v>maio</v>
      </c>
      <c r="C534" s="5" t="str">
        <f t="shared" si="66"/>
        <v>2069</v>
      </c>
      <c r="D534" s="5">
        <f>SUMIFS(Despesas!$F:$F,Despesas!$J:$J,"&lt;="&amp;$A534,Despesas!$L:$L,"&gt;="&amp;$A534,Despesas!$C:$C,D$1,Despesas!$M:$M,"Mensal")+SUMIFS(Despesas!$F:$F,Despesas!$J:$J,"&lt;="&amp;$A534,Despesas!$L:$L,"&gt;="&amp;$A534,Despesas!$C:$C,D$1,Despesas!$M:$M,$B534)</f>
        <v>23000</v>
      </c>
      <c r="E534" s="18">
        <f>SUMIFS(Despesas!$F:$F,Despesas!$J:$J,"&lt;="&amp;$A534,Despesas!$L:$L,"&gt;="&amp;$A534,Despesas!$C:$C,E$1,Despesas!$M:$M,"Mensal")+SUMIFS(Despesas!$F:$F,Despesas!$J:$J,"&lt;="&amp;$A534,Despesas!$L:$L,"&gt;="&amp;$A534,Despesas!$C:$C,E$1,Despesas!$M:$M,$B534)</f>
        <v>0</v>
      </c>
      <c r="F534" s="5">
        <f>SUMIFS(Despesas!$F:$F,Despesas!$J:$J,"&lt;="&amp;$A534,Despesas!$L:$L,"&gt;="&amp;$A534,Despesas!$C:$C,F$1,Despesas!$M:$M,"Mensal")+SUMIFS(Despesas!$F:$F,Despesas!$J:$J,"&lt;="&amp;$A534,Despesas!$L:$L,"&gt;="&amp;$A534,Despesas!$C:$C,F$1,Despesas!$M:$M,$B534)</f>
        <v>13000</v>
      </c>
      <c r="G534" s="5">
        <f>SUMIFS(Despesas!$F:$F,Despesas!$J:$J,"&lt;="&amp;$A534,Despesas!$L:$L,"&gt;="&amp;$A534,Despesas!$C:$C,G$1,Despesas!$M:$M,"Mensal")+SUMIFS(Despesas!$F:$F,Despesas!$J:$J,"&lt;="&amp;$A534,Despesas!$L:$L,"&gt;="&amp;$A534,Despesas!$C:$C,G$1,Despesas!$M:$M,$B534)</f>
        <v>0</v>
      </c>
      <c r="H534" s="18">
        <f>SUMIFS(Despesas!$F:$F,Despesas!$J:$J,"&lt;="&amp;$A534,Despesas!$L:$L,"&gt;="&amp;$A534,Despesas!$C:$C,H$1,Despesas!$M:$M,"Mensal")+SUMIFS(Despesas!$F:$F,Despesas!$J:$J,"&lt;="&amp;$A534,Despesas!$L:$L,"&gt;="&amp;$A534,Despesas!$C:$C,H$1,Despesas!$M:$M,$B534)</f>
        <v>1000</v>
      </c>
      <c r="I534" s="18">
        <f>IF(Imóveis!$F$2="PRICE",IF(AND(Dados!$A534&gt;=Imóveis!$Q$2,Dados!$A534&lt;=Imóveis!$T$2),Imóveis!$U$2,0),IF((IF(AND(Dados!$A534&gt;=Imóveis!$Q$2,Dados!$A534&lt;=Imóveis!$T$2),Imóveis!$S$2-(DATEDIF(Imóveis!$Q$2,Dados!$A534,"m")),0))=0,0,((Imóveis!$N$2/Imóveis!$S$2)+((Imóveis!$N$2-((Imóveis!$S$2-(IF(AND(Dados!$A534&gt;=Imóveis!$Q$2,Dados!$A534&lt;=Imóveis!$T$2),Imóveis!$S$2-(DATEDIF(Imóveis!$Q$2,Dados!$A534,"m")),)))*(Imóveis!$N$2/Imóveis!$S$2)))*Imóveis!$P$2))))*IF(AND(Imóveis!$E$2&gt;0,Dados!$A534&gt;Imóveis!$E$2),0,1)</f>
        <v>0</v>
      </c>
      <c r="J534" s="18">
        <f>IF(Imóveis!$F$3="PRICE",IF(AND(Dados!$A534&gt;=Imóveis!$Q$3,Dados!$A534&lt;=Imóveis!$T$3),Imóveis!$U$3,0),IF((IF(AND(Dados!$A534&gt;=Imóveis!$Q$3,Dados!$A534&lt;=Imóveis!$T$3),Imóveis!$S$3-(DATEDIF(Imóveis!$Q$3,Dados!$A534,"m")),0))=0,0,((Imóveis!$N$3/Imóveis!$S$3)+((Imóveis!$N$3-((Imóveis!$S$3-(IF(AND(Dados!$A534&gt;=Imóveis!$Q$3,Dados!$A534&lt;=Imóveis!$T$3),Imóveis!$S$3-(DATEDIF(Imóveis!$Q$3,Dados!$A534,"m")),)))*(Imóveis!$N$3/Imóveis!$S$3)))*Imóveis!$P$3))))*IF(AND(Imóveis!$E$3&gt;0,Dados!$A534&gt;Imóveis!$E$3),0,1)</f>
        <v>0</v>
      </c>
      <c r="K534" s="18">
        <f>IF(Imóveis!$F$4="PRICE",IF(AND(Dados!$A534&gt;=Imóveis!$Q$4,Dados!$A534&lt;=Imóveis!$T$4),Imóveis!$U$4,0),IF((IF(AND(Dados!$A534&gt;=Imóveis!$Q$4,Dados!$A534&lt;=Imóveis!$T$4),Imóveis!$S$4-(DATEDIF(Imóveis!$Q$4,Dados!$A534,"m")),0))=0,0,((Imóveis!$N$4/Imóveis!$S$4)+((Imóveis!$N$4-((Imóveis!$S$4-(IF(AND(Dados!$A534&gt;=Imóveis!$Q$4,Dados!$A534&lt;=Imóveis!$T$4),Imóveis!$S$4-(DATEDIF(Imóveis!$Q$4,Dados!$A534,"m")),)))*(Imóveis!$N$4/Imóveis!$S$4)))*Imóveis!$P$4))))*IF(AND(Imóveis!$E$4&gt;0,Dados!$A534&gt;Imóveis!$E$4),0,1)</f>
        <v>0</v>
      </c>
      <c r="L534" s="18">
        <f>IF(Imóveis!$F$5="PRICE",IF(AND(Dados!$A534&gt;=Imóveis!$Q$5,Dados!$A534&lt;=Imóveis!$T$5),Imóveis!$U$5,0),IF((IF(AND(Dados!$A534&gt;=Imóveis!$Q$5,Dados!$A534&lt;=Imóveis!$T$5),Imóveis!$S$5-(DATEDIF(Imóveis!$Q$5,Dados!$A534,"m")),0))=0,0,((Imóveis!$N$5/Imóveis!$S$5)+((Imóveis!$N$5-((Imóveis!$S$5-(IF(AND(Dados!$A534 &gt;=Imóveis!$Q$5,Dados!$A534&lt;=Imóveis!$T$5),Imóveis!$S$5-(DATEDIF(Imóveis!$Q$5,Dados!$A534,"m")),)))*(Imóveis!$N$5/Imóveis!$S$5)))*Imóveis!$P$5))))*IF(AND(Imóveis!$E$5&gt;0,Dados!$A534&gt;Imóveis!$E$5),0,1)*Imóveis!$I$5</f>
        <v>0</v>
      </c>
      <c r="M534" s="18">
        <f>IF(Imóveis!$F$6="PRICE",IF(AND(Dados!$A534&gt;=Imóveis!$Q$6,Dados!$A534&lt;=Imóveis!$T$6),Imóveis!$U$6,0),IF((IF(AND(Dados!$A534&gt;=Imóveis!$Q$6,Dados!$A534&lt;=Imóveis!$T$6),Imóveis!$S$6-(DATEDIF(Imóveis!$Q$6,Dados!$A534,"m")),0))=0,0,((Imóveis!$N$6/Imóveis!$S$6)+((Imóveis!$N$6-((Imóveis!$S$6-(IF(AND(Dados!$A534&gt;=Imóveis!$Q$6,Dados!$A534&lt;=Imóveis!$T$6),Imóveis!$S$6-(DATEDIF(Imóveis!$Q$6,Dados!$A534,"m")),)))*(Imóveis!$N$6/Imóveis!$S$6)))*Imóveis!$P$6))))*IF(AND(Imóveis!$E$6&gt;0,Dados!$A534&gt;Imóveis!$E$6),0,1)*Imóveis!$I$6</f>
        <v>0</v>
      </c>
      <c r="N534" s="18">
        <f t="shared" si="69"/>
        <v>37000</v>
      </c>
      <c r="O534" s="18">
        <f>SUMIFS(Receitas!$F:$F,Receitas!$J:$J,"&lt;="&amp;$A534,Receitas!$L:$L,"&gt;="&amp;$A534,Receitas!$C:$C,O$1,Receitas!$M:$M,"Mensal")+SUMIFS(Receitas!$F:$F,Receitas!$J:$J,"&lt;="&amp;$A534,Receitas!$L:$L,"&gt;="&amp;$A534,Receitas!$C:$C,O$1,Receitas!$M:$M,$B534)</f>
        <v>0</v>
      </c>
      <c r="P534" s="18">
        <f>SUMIFS(Receitas!$F:$F,Receitas!$J:$J,"&lt;="&amp;$A534,Receitas!$L:$L,"&gt;="&amp;$A534,Receitas!$C:$C,P$1,Receitas!$M:$M,"Mensal")+SUMIFS(Receitas!$F:$F,Receitas!$J:$J,"&lt;="&amp;$A534,Receitas!$L:$L,"&gt;="&amp;$A534,Receitas!$C:$C,P$1,Receitas!$M:$M,$B534)</f>
        <v>0</v>
      </c>
      <c r="Q534" s="18">
        <f>SUMIFS(Receitas!$F:$F,Receitas!$J:$J,"&lt;="&amp;$A534,Receitas!$L:$L,"&gt;="&amp;$A534,Receitas!$C:$C,Q$1,Receitas!$M:$M,"Mensal")+SUMIFS(Receitas!$F:$F,Receitas!$J:$J,"&lt;="&amp;$A534,Receitas!$L:$L,"&gt;="&amp;$A534,Receitas!$C:$C,Q$1,Receitas!$M:$M,$B534)</f>
        <v>0</v>
      </c>
      <c r="R534" s="18" cm="1">
        <f t="array" ref="R534">(IF(AND(Membros!$F$2="Sim",A534&lt;=MAX(Membros!$E$2:$E$5)),Membros!K$2,IF(AND(A534&gt;=Membros!J$2,A534&lt;=MAX(Membros!$E$2:$E$5)),Membros!K$2,0))+IF(AND(Membros!$F$3="Sim",A534&lt;=MAX(Membros!$E$2:$E$5)),Membros!K$3,IF(AND(A534&gt;=Membros!J$3,A534&lt;=MAX(Membros!$E$2:$E$5)),Membros!K$3,0)))*IF(AND(COUNTIFS(Tabela3[Tipo],"Provedor",Tabela3[Simulação Seguro],"Sim")=2,A534&gt;=MAX(IF(Tabela3[Tipo]="Dependente",Tabela3[Expectativa de Vida (Data)]))),0,1)</f>
        <v>10000</v>
      </c>
      <c r="S534" s="18">
        <f t="shared" si="70"/>
        <v>10000</v>
      </c>
      <c r="U534" s="18">
        <f t="shared" ca="1" si="73"/>
        <v>34133480.616035841</v>
      </c>
      <c r="V534" s="18">
        <f>SUMIF(Imóveis!E:E,Dados!A:A,Imóveis!Z:Z)-SUMIF(Imóveis!E:E,Dados!A:A,Imóveis!Y:Y)</f>
        <v>0</v>
      </c>
      <c r="W534" s="18">
        <f>-SUMIF(Projetos!N:N,A534,Projetos!F:F)</f>
        <v>0</v>
      </c>
      <c r="X534" s="18">
        <f t="shared" si="67"/>
        <v>-27000</v>
      </c>
      <c r="Y534" s="26">
        <f ca="1">(U534*((Indicadores_Economicos!D$2+1)^(1/12)-1))</f>
        <v>111744.13339763205</v>
      </c>
      <c r="Z534" s="18">
        <f t="shared" ca="1" si="71"/>
        <v>34218224.749433473</v>
      </c>
      <c r="AA534" s="18">
        <f ca="1">Auxiliar_Projetos!E534</f>
        <v>2.2250528476413573E-9</v>
      </c>
      <c r="AB534" s="18">
        <f ca="1">Auxiliar_Projetos!K534</f>
        <v>1.7115791135702736E-9</v>
      </c>
      <c r="AC534" s="18">
        <f ca="1">IF(Z534-AA534-AB534&gt;Investimentos!$C$14,Investimentos!$C$14,IF(Z534-AA534-AB534&lt;Investimentos!$C$14,Z534-AA534-AB534,0))</f>
        <v>300000</v>
      </c>
      <c r="AD534" s="18">
        <f t="shared" ca="1" si="72"/>
        <v>33918224.749433473</v>
      </c>
      <c r="AE534" s="18"/>
    </row>
    <row r="535" spans="1:31" x14ac:dyDescent="0.2">
      <c r="A535" s="4">
        <v>61880</v>
      </c>
      <c r="B535" s="5" t="str">
        <f t="shared" si="68"/>
        <v>junho</v>
      </c>
      <c r="C535" s="5" t="str">
        <f t="shared" si="66"/>
        <v>2069</v>
      </c>
      <c r="D535" s="5">
        <f>SUMIFS(Despesas!$F:$F,Despesas!$J:$J,"&lt;="&amp;$A535,Despesas!$L:$L,"&gt;="&amp;$A535,Despesas!$C:$C,D$1,Despesas!$M:$M,"Mensal")+SUMIFS(Despesas!$F:$F,Despesas!$J:$J,"&lt;="&amp;$A535,Despesas!$L:$L,"&gt;="&amp;$A535,Despesas!$C:$C,D$1,Despesas!$M:$M,$B535)</f>
        <v>23000</v>
      </c>
      <c r="E535" s="18">
        <f>SUMIFS(Despesas!$F:$F,Despesas!$J:$J,"&lt;="&amp;$A535,Despesas!$L:$L,"&gt;="&amp;$A535,Despesas!$C:$C,E$1,Despesas!$M:$M,"Mensal")+SUMIFS(Despesas!$F:$F,Despesas!$J:$J,"&lt;="&amp;$A535,Despesas!$L:$L,"&gt;="&amp;$A535,Despesas!$C:$C,E$1,Despesas!$M:$M,$B535)</f>
        <v>0</v>
      </c>
      <c r="F535" s="5">
        <f>SUMIFS(Despesas!$F:$F,Despesas!$J:$J,"&lt;="&amp;$A535,Despesas!$L:$L,"&gt;="&amp;$A535,Despesas!$C:$C,F$1,Despesas!$M:$M,"Mensal")+SUMIFS(Despesas!$F:$F,Despesas!$J:$J,"&lt;="&amp;$A535,Despesas!$L:$L,"&gt;="&amp;$A535,Despesas!$C:$C,F$1,Despesas!$M:$M,$B535)</f>
        <v>13000</v>
      </c>
      <c r="G535" s="5">
        <f>SUMIFS(Despesas!$F:$F,Despesas!$J:$J,"&lt;="&amp;$A535,Despesas!$L:$L,"&gt;="&amp;$A535,Despesas!$C:$C,G$1,Despesas!$M:$M,"Mensal")+SUMIFS(Despesas!$F:$F,Despesas!$J:$J,"&lt;="&amp;$A535,Despesas!$L:$L,"&gt;="&amp;$A535,Despesas!$C:$C,G$1,Despesas!$M:$M,$B535)</f>
        <v>0</v>
      </c>
      <c r="H535" s="18">
        <f>SUMIFS(Despesas!$F:$F,Despesas!$J:$J,"&lt;="&amp;$A535,Despesas!$L:$L,"&gt;="&amp;$A535,Despesas!$C:$C,H$1,Despesas!$M:$M,"Mensal")+SUMIFS(Despesas!$F:$F,Despesas!$J:$J,"&lt;="&amp;$A535,Despesas!$L:$L,"&gt;="&amp;$A535,Despesas!$C:$C,H$1,Despesas!$M:$M,$B535)</f>
        <v>1000</v>
      </c>
      <c r="I535" s="18">
        <f>IF(Imóveis!$F$2="PRICE",IF(AND(Dados!$A535&gt;=Imóveis!$Q$2,Dados!$A535&lt;=Imóveis!$T$2),Imóveis!$U$2,0),IF((IF(AND(Dados!$A535&gt;=Imóveis!$Q$2,Dados!$A535&lt;=Imóveis!$T$2),Imóveis!$S$2-(DATEDIF(Imóveis!$Q$2,Dados!$A535,"m")),0))=0,0,((Imóveis!$N$2/Imóveis!$S$2)+((Imóveis!$N$2-((Imóveis!$S$2-(IF(AND(Dados!$A535&gt;=Imóveis!$Q$2,Dados!$A535&lt;=Imóveis!$T$2),Imóveis!$S$2-(DATEDIF(Imóveis!$Q$2,Dados!$A535,"m")),)))*(Imóveis!$N$2/Imóveis!$S$2)))*Imóveis!$P$2))))*IF(AND(Imóveis!$E$2&gt;0,Dados!$A535&gt;Imóveis!$E$2),0,1)</f>
        <v>0</v>
      </c>
      <c r="J535" s="18">
        <f>IF(Imóveis!$F$3="PRICE",IF(AND(Dados!$A535&gt;=Imóveis!$Q$3,Dados!$A535&lt;=Imóveis!$T$3),Imóveis!$U$3,0),IF((IF(AND(Dados!$A535&gt;=Imóveis!$Q$3,Dados!$A535&lt;=Imóveis!$T$3),Imóveis!$S$3-(DATEDIF(Imóveis!$Q$3,Dados!$A535,"m")),0))=0,0,((Imóveis!$N$3/Imóveis!$S$3)+((Imóveis!$N$3-((Imóveis!$S$3-(IF(AND(Dados!$A535&gt;=Imóveis!$Q$3,Dados!$A535&lt;=Imóveis!$T$3),Imóveis!$S$3-(DATEDIF(Imóveis!$Q$3,Dados!$A535,"m")),)))*(Imóveis!$N$3/Imóveis!$S$3)))*Imóveis!$P$3))))*IF(AND(Imóveis!$E$3&gt;0,Dados!$A535&gt;Imóveis!$E$3),0,1)</f>
        <v>0</v>
      </c>
      <c r="K535" s="18">
        <f>IF(Imóveis!$F$4="PRICE",IF(AND(Dados!$A535&gt;=Imóveis!$Q$4,Dados!$A535&lt;=Imóveis!$T$4),Imóveis!$U$4,0),IF((IF(AND(Dados!$A535&gt;=Imóveis!$Q$4,Dados!$A535&lt;=Imóveis!$T$4),Imóveis!$S$4-(DATEDIF(Imóveis!$Q$4,Dados!$A535,"m")),0))=0,0,((Imóveis!$N$4/Imóveis!$S$4)+((Imóveis!$N$4-((Imóveis!$S$4-(IF(AND(Dados!$A535&gt;=Imóveis!$Q$4,Dados!$A535&lt;=Imóveis!$T$4),Imóveis!$S$4-(DATEDIF(Imóveis!$Q$4,Dados!$A535,"m")),)))*(Imóveis!$N$4/Imóveis!$S$4)))*Imóveis!$P$4))))*IF(AND(Imóveis!$E$4&gt;0,Dados!$A535&gt;Imóveis!$E$4),0,1)</f>
        <v>0</v>
      </c>
      <c r="L535" s="18">
        <f>IF(Imóveis!$F$5="PRICE",IF(AND(Dados!$A535&gt;=Imóveis!$Q$5,Dados!$A535&lt;=Imóveis!$T$5),Imóveis!$U$5,0),IF((IF(AND(Dados!$A535&gt;=Imóveis!$Q$5,Dados!$A535&lt;=Imóveis!$T$5),Imóveis!$S$5-(DATEDIF(Imóveis!$Q$5,Dados!$A535,"m")),0))=0,0,((Imóveis!$N$5/Imóveis!$S$5)+((Imóveis!$N$5-((Imóveis!$S$5-(IF(AND(Dados!$A535 &gt;=Imóveis!$Q$5,Dados!$A535&lt;=Imóveis!$T$5),Imóveis!$S$5-(DATEDIF(Imóveis!$Q$5,Dados!$A535,"m")),)))*(Imóveis!$N$5/Imóveis!$S$5)))*Imóveis!$P$5))))*IF(AND(Imóveis!$E$5&gt;0,Dados!$A535&gt;Imóveis!$E$5),0,1)*Imóveis!$I$5</f>
        <v>0</v>
      </c>
      <c r="M535" s="18">
        <f>IF(Imóveis!$F$6="PRICE",IF(AND(Dados!$A535&gt;=Imóveis!$Q$6,Dados!$A535&lt;=Imóveis!$T$6),Imóveis!$U$6,0),IF((IF(AND(Dados!$A535&gt;=Imóveis!$Q$6,Dados!$A535&lt;=Imóveis!$T$6),Imóveis!$S$6-(DATEDIF(Imóveis!$Q$6,Dados!$A535,"m")),0))=0,0,((Imóveis!$N$6/Imóveis!$S$6)+((Imóveis!$N$6-((Imóveis!$S$6-(IF(AND(Dados!$A535&gt;=Imóveis!$Q$6,Dados!$A535&lt;=Imóveis!$T$6),Imóveis!$S$6-(DATEDIF(Imóveis!$Q$6,Dados!$A535,"m")),)))*(Imóveis!$N$6/Imóveis!$S$6)))*Imóveis!$P$6))))*IF(AND(Imóveis!$E$6&gt;0,Dados!$A535&gt;Imóveis!$E$6),0,1)*Imóveis!$I$6</f>
        <v>0</v>
      </c>
      <c r="N535" s="18">
        <f t="shared" si="69"/>
        <v>37000</v>
      </c>
      <c r="O535" s="18">
        <f>SUMIFS(Receitas!$F:$F,Receitas!$J:$J,"&lt;="&amp;$A535,Receitas!$L:$L,"&gt;="&amp;$A535,Receitas!$C:$C,O$1,Receitas!$M:$M,"Mensal")+SUMIFS(Receitas!$F:$F,Receitas!$J:$J,"&lt;="&amp;$A535,Receitas!$L:$L,"&gt;="&amp;$A535,Receitas!$C:$C,O$1,Receitas!$M:$M,$B535)</f>
        <v>0</v>
      </c>
      <c r="P535" s="18">
        <f>SUMIFS(Receitas!$F:$F,Receitas!$J:$J,"&lt;="&amp;$A535,Receitas!$L:$L,"&gt;="&amp;$A535,Receitas!$C:$C,P$1,Receitas!$M:$M,"Mensal")+SUMIFS(Receitas!$F:$F,Receitas!$J:$J,"&lt;="&amp;$A535,Receitas!$L:$L,"&gt;="&amp;$A535,Receitas!$C:$C,P$1,Receitas!$M:$M,$B535)</f>
        <v>0</v>
      </c>
      <c r="Q535" s="18">
        <f>SUMIFS(Receitas!$F:$F,Receitas!$J:$J,"&lt;="&amp;$A535,Receitas!$L:$L,"&gt;="&amp;$A535,Receitas!$C:$C,Q$1,Receitas!$M:$M,"Mensal")+SUMIFS(Receitas!$F:$F,Receitas!$J:$J,"&lt;="&amp;$A535,Receitas!$L:$L,"&gt;="&amp;$A535,Receitas!$C:$C,Q$1,Receitas!$M:$M,$B535)</f>
        <v>0</v>
      </c>
      <c r="R535" s="18" cm="1">
        <f t="array" ref="R535">(IF(AND(Membros!$F$2="Sim",A535&lt;=MAX(Membros!$E$2:$E$5)),Membros!K$2,IF(AND(A535&gt;=Membros!J$2,A535&lt;=MAX(Membros!$E$2:$E$5)),Membros!K$2,0))+IF(AND(Membros!$F$3="Sim",A535&lt;=MAX(Membros!$E$2:$E$5)),Membros!K$3,IF(AND(A535&gt;=Membros!J$3,A535&lt;=MAX(Membros!$E$2:$E$5)),Membros!K$3,0)))*IF(AND(COUNTIFS(Tabela3[Tipo],"Provedor",Tabela3[Simulação Seguro],"Sim")=2,A535&gt;=MAX(IF(Tabela3[Tipo]="Dependente",Tabela3[Expectativa de Vida (Data)]))),0,1)</f>
        <v>10000</v>
      </c>
      <c r="S535" s="18">
        <f t="shared" si="70"/>
        <v>10000</v>
      </c>
      <c r="U535" s="18">
        <f t="shared" ca="1" si="73"/>
        <v>34218224.749433473</v>
      </c>
      <c r="V535" s="18">
        <f>SUMIF(Imóveis!E:E,Dados!A:A,Imóveis!Z:Z)-SUMIF(Imóveis!E:E,Dados!A:A,Imóveis!Y:Y)</f>
        <v>0</v>
      </c>
      <c r="W535" s="18">
        <f>-SUMIF(Projetos!N:N,A535,Projetos!F:F)</f>
        <v>0</v>
      </c>
      <c r="X535" s="18">
        <f t="shared" si="67"/>
        <v>-27000</v>
      </c>
      <c r="Y535" s="26">
        <f ca="1">(U535*((Indicadores_Economicos!D$2+1)^(1/12)-1))</f>
        <v>112021.56363844384</v>
      </c>
      <c r="Z535" s="18">
        <f t="shared" ca="1" si="71"/>
        <v>34303246.313071914</v>
      </c>
      <c r="AA535" s="18">
        <f ca="1">Auxiliar_Projetos!E535</f>
        <v>2.2323370916661757E-9</v>
      </c>
      <c r="AB535" s="18">
        <f ca="1">Auxiliar_Projetos!K535</f>
        <v>1.7171823782047494E-9</v>
      </c>
      <c r="AC535" s="18">
        <f ca="1">IF(Z535-AA535-AB535&gt;Investimentos!$C$14,Investimentos!$C$14,IF(Z535-AA535-AB535&lt;Investimentos!$C$14,Z535-AA535-AB535,0))</f>
        <v>300000</v>
      </c>
      <c r="AD535" s="18">
        <f t="shared" ca="1" si="72"/>
        <v>34003246.313071914</v>
      </c>
      <c r="AE535" s="18"/>
    </row>
    <row r="536" spans="1:31" x14ac:dyDescent="0.2">
      <c r="A536" s="4">
        <v>61910</v>
      </c>
      <c r="B536" s="5" t="str">
        <f t="shared" si="68"/>
        <v>julho</v>
      </c>
      <c r="C536" s="5" t="str">
        <f t="shared" ref="C536:C599" si="74">TEXT(A536,"AAAA")</f>
        <v>2069</v>
      </c>
      <c r="D536" s="5">
        <f>SUMIFS(Despesas!$F:$F,Despesas!$J:$J,"&lt;="&amp;$A536,Despesas!$L:$L,"&gt;="&amp;$A536,Despesas!$C:$C,D$1,Despesas!$M:$M,"Mensal")+SUMIFS(Despesas!$F:$F,Despesas!$J:$J,"&lt;="&amp;$A536,Despesas!$L:$L,"&gt;="&amp;$A536,Despesas!$C:$C,D$1,Despesas!$M:$M,$B536)</f>
        <v>23000</v>
      </c>
      <c r="E536" s="18">
        <f>SUMIFS(Despesas!$F:$F,Despesas!$J:$J,"&lt;="&amp;$A536,Despesas!$L:$L,"&gt;="&amp;$A536,Despesas!$C:$C,E$1,Despesas!$M:$M,"Mensal")+SUMIFS(Despesas!$F:$F,Despesas!$J:$J,"&lt;="&amp;$A536,Despesas!$L:$L,"&gt;="&amp;$A536,Despesas!$C:$C,E$1,Despesas!$M:$M,$B536)</f>
        <v>0</v>
      </c>
      <c r="F536" s="5">
        <f>SUMIFS(Despesas!$F:$F,Despesas!$J:$J,"&lt;="&amp;$A536,Despesas!$L:$L,"&gt;="&amp;$A536,Despesas!$C:$C,F$1,Despesas!$M:$M,"Mensal")+SUMIFS(Despesas!$F:$F,Despesas!$J:$J,"&lt;="&amp;$A536,Despesas!$L:$L,"&gt;="&amp;$A536,Despesas!$C:$C,F$1,Despesas!$M:$M,$B536)</f>
        <v>13000</v>
      </c>
      <c r="G536" s="5">
        <f ca="1">SUMIFS(Despesas!$F:$F,Despesas!$J:$J,"&lt;="&amp;$A536,Despesas!$L:$L,"&gt;="&amp;$A536,Despesas!$C:$C,G$1,Despesas!$M:$M,"Mensal")+SUMIFS(Despesas!$F:$F,Despesas!$J:$J,"&lt;="&amp;$A536,Despesas!$L:$L,"&gt;="&amp;$A536,Despesas!$C:$C,G$1,Despesas!$M:$M,$B536)</f>
        <v>55757</v>
      </c>
      <c r="H536" s="18">
        <f>SUMIFS(Despesas!$F:$F,Despesas!$J:$J,"&lt;="&amp;$A536,Despesas!$L:$L,"&gt;="&amp;$A536,Despesas!$C:$C,H$1,Despesas!$M:$M,"Mensal")+SUMIFS(Despesas!$F:$F,Despesas!$J:$J,"&lt;="&amp;$A536,Despesas!$L:$L,"&gt;="&amp;$A536,Despesas!$C:$C,H$1,Despesas!$M:$M,$B536)</f>
        <v>1000</v>
      </c>
      <c r="I536" s="18">
        <f>IF(Imóveis!$F$2="PRICE",IF(AND(Dados!$A536&gt;=Imóveis!$Q$2,Dados!$A536&lt;=Imóveis!$T$2),Imóveis!$U$2,0),IF((IF(AND(Dados!$A536&gt;=Imóveis!$Q$2,Dados!$A536&lt;=Imóveis!$T$2),Imóveis!$S$2-(DATEDIF(Imóveis!$Q$2,Dados!$A536,"m")),0))=0,0,((Imóveis!$N$2/Imóveis!$S$2)+((Imóveis!$N$2-((Imóveis!$S$2-(IF(AND(Dados!$A536&gt;=Imóveis!$Q$2,Dados!$A536&lt;=Imóveis!$T$2),Imóveis!$S$2-(DATEDIF(Imóveis!$Q$2,Dados!$A536,"m")),)))*(Imóveis!$N$2/Imóveis!$S$2)))*Imóveis!$P$2))))*IF(AND(Imóveis!$E$2&gt;0,Dados!$A536&gt;Imóveis!$E$2),0,1)</f>
        <v>0</v>
      </c>
      <c r="J536" s="18">
        <f>IF(Imóveis!$F$3="PRICE",IF(AND(Dados!$A536&gt;=Imóveis!$Q$3,Dados!$A536&lt;=Imóveis!$T$3),Imóveis!$U$3,0),IF((IF(AND(Dados!$A536&gt;=Imóveis!$Q$3,Dados!$A536&lt;=Imóveis!$T$3),Imóveis!$S$3-(DATEDIF(Imóveis!$Q$3,Dados!$A536,"m")),0))=0,0,((Imóveis!$N$3/Imóveis!$S$3)+((Imóveis!$N$3-((Imóveis!$S$3-(IF(AND(Dados!$A536&gt;=Imóveis!$Q$3,Dados!$A536&lt;=Imóveis!$T$3),Imóveis!$S$3-(DATEDIF(Imóveis!$Q$3,Dados!$A536,"m")),)))*(Imóveis!$N$3/Imóveis!$S$3)))*Imóveis!$P$3))))*IF(AND(Imóveis!$E$3&gt;0,Dados!$A536&gt;Imóveis!$E$3),0,1)</f>
        <v>0</v>
      </c>
      <c r="K536" s="18">
        <f>IF(Imóveis!$F$4="PRICE",IF(AND(Dados!$A536&gt;=Imóveis!$Q$4,Dados!$A536&lt;=Imóveis!$T$4),Imóveis!$U$4,0),IF((IF(AND(Dados!$A536&gt;=Imóveis!$Q$4,Dados!$A536&lt;=Imóveis!$T$4),Imóveis!$S$4-(DATEDIF(Imóveis!$Q$4,Dados!$A536,"m")),0))=0,0,((Imóveis!$N$4/Imóveis!$S$4)+((Imóveis!$N$4-((Imóveis!$S$4-(IF(AND(Dados!$A536&gt;=Imóveis!$Q$4,Dados!$A536&lt;=Imóveis!$T$4),Imóveis!$S$4-(DATEDIF(Imóveis!$Q$4,Dados!$A536,"m")),)))*(Imóveis!$N$4/Imóveis!$S$4)))*Imóveis!$P$4))))*IF(AND(Imóveis!$E$4&gt;0,Dados!$A536&gt;Imóveis!$E$4),0,1)</f>
        <v>0</v>
      </c>
      <c r="L536" s="18">
        <f>IF(Imóveis!$F$5="PRICE",IF(AND(Dados!$A536&gt;=Imóveis!$Q$5,Dados!$A536&lt;=Imóveis!$T$5),Imóveis!$U$5,0),IF((IF(AND(Dados!$A536&gt;=Imóveis!$Q$5,Dados!$A536&lt;=Imóveis!$T$5),Imóveis!$S$5-(DATEDIF(Imóveis!$Q$5,Dados!$A536,"m")),0))=0,0,((Imóveis!$N$5/Imóveis!$S$5)+((Imóveis!$N$5-((Imóveis!$S$5-(IF(AND(Dados!$A536 &gt;=Imóveis!$Q$5,Dados!$A536&lt;=Imóveis!$T$5),Imóveis!$S$5-(DATEDIF(Imóveis!$Q$5,Dados!$A536,"m")),)))*(Imóveis!$N$5/Imóveis!$S$5)))*Imóveis!$P$5))))*IF(AND(Imóveis!$E$5&gt;0,Dados!$A536&gt;Imóveis!$E$5),0,1)*Imóveis!$I$5</f>
        <v>0</v>
      </c>
      <c r="M536" s="18">
        <f>IF(Imóveis!$F$6="PRICE",IF(AND(Dados!$A536&gt;=Imóveis!$Q$6,Dados!$A536&lt;=Imóveis!$T$6),Imóveis!$U$6,0),IF((IF(AND(Dados!$A536&gt;=Imóveis!$Q$6,Dados!$A536&lt;=Imóveis!$T$6),Imóveis!$S$6-(DATEDIF(Imóveis!$Q$6,Dados!$A536,"m")),0))=0,0,((Imóveis!$N$6/Imóveis!$S$6)+((Imóveis!$N$6-((Imóveis!$S$6-(IF(AND(Dados!$A536&gt;=Imóveis!$Q$6,Dados!$A536&lt;=Imóveis!$T$6),Imóveis!$S$6-(DATEDIF(Imóveis!$Q$6,Dados!$A536,"m")),)))*(Imóveis!$N$6/Imóveis!$S$6)))*Imóveis!$P$6))))*IF(AND(Imóveis!$E$6&gt;0,Dados!$A536&gt;Imóveis!$E$6),0,1)*Imóveis!$I$6</f>
        <v>0</v>
      </c>
      <c r="N536" s="18">
        <f t="shared" ca="1" si="69"/>
        <v>92757</v>
      </c>
      <c r="O536" s="18">
        <f>SUMIFS(Receitas!$F:$F,Receitas!$J:$J,"&lt;="&amp;$A536,Receitas!$L:$L,"&gt;="&amp;$A536,Receitas!$C:$C,O$1,Receitas!$M:$M,"Mensal")+SUMIFS(Receitas!$F:$F,Receitas!$J:$J,"&lt;="&amp;$A536,Receitas!$L:$L,"&gt;="&amp;$A536,Receitas!$C:$C,O$1,Receitas!$M:$M,$B536)</f>
        <v>0</v>
      </c>
      <c r="P536" s="18">
        <f>SUMIFS(Receitas!$F:$F,Receitas!$J:$J,"&lt;="&amp;$A536,Receitas!$L:$L,"&gt;="&amp;$A536,Receitas!$C:$C,P$1,Receitas!$M:$M,"Mensal")+SUMIFS(Receitas!$F:$F,Receitas!$J:$J,"&lt;="&amp;$A536,Receitas!$L:$L,"&gt;="&amp;$A536,Receitas!$C:$C,P$1,Receitas!$M:$M,$B536)</f>
        <v>0</v>
      </c>
      <c r="Q536" s="18">
        <f>SUMIFS(Receitas!$F:$F,Receitas!$J:$J,"&lt;="&amp;$A536,Receitas!$L:$L,"&gt;="&amp;$A536,Receitas!$C:$C,Q$1,Receitas!$M:$M,"Mensal")+SUMIFS(Receitas!$F:$F,Receitas!$J:$J,"&lt;="&amp;$A536,Receitas!$L:$L,"&gt;="&amp;$A536,Receitas!$C:$C,Q$1,Receitas!$M:$M,$B536)</f>
        <v>0</v>
      </c>
      <c r="R536" s="18" cm="1">
        <f t="array" ref="R536">(IF(AND(Membros!$F$2="Sim",A536&lt;=MAX(Membros!$E$2:$E$5)),Membros!K$2,IF(AND(A536&gt;=Membros!J$2,A536&lt;=MAX(Membros!$E$2:$E$5)),Membros!K$2,0))+IF(AND(Membros!$F$3="Sim",A536&lt;=MAX(Membros!$E$2:$E$5)),Membros!K$3,IF(AND(A536&gt;=Membros!J$3,A536&lt;=MAX(Membros!$E$2:$E$5)),Membros!K$3,0)))*IF(AND(COUNTIFS(Tabela3[Tipo],"Provedor",Tabela3[Simulação Seguro],"Sim")=2,A536&gt;=MAX(IF(Tabela3[Tipo]="Dependente",Tabela3[Expectativa de Vida (Data)]))),0,1)</f>
        <v>10000</v>
      </c>
      <c r="S536" s="18">
        <f t="shared" si="70"/>
        <v>10000</v>
      </c>
      <c r="U536" s="18">
        <f t="shared" ca="1" si="73"/>
        <v>34303246.313071914</v>
      </c>
      <c r="V536" s="18">
        <f>SUMIF(Imóveis!E:E,Dados!A:A,Imóveis!Z:Z)-SUMIF(Imóveis!E:E,Dados!A:A,Imóveis!Y:Y)</f>
        <v>0</v>
      </c>
      <c r="W536" s="18">
        <f>-SUMIF(Projetos!N:N,A536,Projetos!F:F)</f>
        <v>0</v>
      </c>
      <c r="X536" s="18">
        <f t="shared" ca="1" si="67"/>
        <v>-82757</v>
      </c>
      <c r="Y536" s="26">
        <f ca="1">(U536*((Indicadores_Economicos!D$2+1)^(1/12)-1))</f>
        <v>112299.90211367176</v>
      </c>
      <c r="Z536" s="18">
        <f t="shared" ca="1" si="71"/>
        <v>34332789.215185583</v>
      </c>
      <c r="AA536" s="18">
        <f ca="1">Auxiliar_Projetos!E536</f>
        <v>2.2396451824104414E-9</v>
      </c>
      <c r="AB536" s="18">
        <f ca="1">Auxiliar_Projetos!K536</f>
        <v>1.7228039864695692E-9</v>
      </c>
      <c r="AC536" s="18">
        <f ca="1">IF(Z536-AA536-AB536&gt;Investimentos!$C$14,Investimentos!$C$14,IF(Z536-AA536-AB536&lt;Investimentos!$C$14,Z536-AA536-AB536,0))</f>
        <v>300000</v>
      </c>
      <c r="AD536" s="18">
        <f t="shared" ca="1" si="72"/>
        <v>34032789.215185583</v>
      </c>
      <c r="AE536" s="18"/>
    </row>
    <row r="537" spans="1:31" x14ac:dyDescent="0.2">
      <c r="A537" s="4">
        <v>61941</v>
      </c>
      <c r="B537" s="5" t="str">
        <f t="shared" si="68"/>
        <v>agosto</v>
      </c>
      <c r="C537" s="5" t="str">
        <f t="shared" si="74"/>
        <v>2069</v>
      </c>
      <c r="D537" s="5">
        <f>SUMIFS(Despesas!$F:$F,Despesas!$J:$J,"&lt;="&amp;$A537,Despesas!$L:$L,"&gt;="&amp;$A537,Despesas!$C:$C,D$1,Despesas!$M:$M,"Mensal")+SUMIFS(Despesas!$F:$F,Despesas!$J:$J,"&lt;="&amp;$A537,Despesas!$L:$L,"&gt;="&amp;$A537,Despesas!$C:$C,D$1,Despesas!$M:$M,$B537)</f>
        <v>23000</v>
      </c>
      <c r="E537" s="18">
        <f>SUMIFS(Despesas!$F:$F,Despesas!$J:$J,"&lt;="&amp;$A537,Despesas!$L:$L,"&gt;="&amp;$A537,Despesas!$C:$C,E$1,Despesas!$M:$M,"Mensal")+SUMIFS(Despesas!$F:$F,Despesas!$J:$J,"&lt;="&amp;$A537,Despesas!$L:$L,"&gt;="&amp;$A537,Despesas!$C:$C,E$1,Despesas!$M:$M,$B537)</f>
        <v>0</v>
      </c>
      <c r="F537" s="5">
        <f>SUMIFS(Despesas!$F:$F,Despesas!$J:$J,"&lt;="&amp;$A537,Despesas!$L:$L,"&gt;="&amp;$A537,Despesas!$C:$C,F$1,Despesas!$M:$M,"Mensal")+SUMIFS(Despesas!$F:$F,Despesas!$J:$J,"&lt;="&amp;$A537,Despesas!$L:$L,"&gt;="&amp;$A537,Despesas!$C:$C,F$1,Despesas!$M:$M,$B537)</f>
        <v>13000</v>
      </c>
      <c r="G537" s="5">
        <f>SUMIFS(Despesas!$F:$F,Despesas!$J:$J,"&lt;="&amp;$A537,Despesas!$L:$L,"&gt;="&amp;$A537,Despesas!$C:$C,G$1,Despesas!$M:$M,"Mensal")+SUMIFS(Despesas!$F:$F,Despesas!$J:$J,"&lt;="&amp;$A537,Despesas!$L:$L,"&gt;="&amp;$A537,Despesas!$C:$C,G$1,Despesas!$M:$M,$B537)</f>
        <v>0</v>
      </c>
      <c r="H537" s="18">
        <f>SUMIFS(Despesas!$F:$F,Despesas!$J:$J,"&lt;="&amp;$A537,Despesas!$L:$L,"&gt;="&amp;$A537,Despesas!$C:$C,H$1,Despesas!$M:$M,"Mensal")+SUMIFS(Despesas!$F:$F,Despesas!$J:$J,"&lt;="&amp;$A537,Despesas!$L:$L,"&gt;="&amp;$A537,Despesas!$C:$C,H$1,Despesas!$M:$M,$B537)</f>
        <v>1000</v>
      </c>
      <c r="I537" s="18">
        <f>IF(Imóveis!$F$2="PRICE",IF(AND(Dados!$A537&gt;=Imóveis!$Q$2,Dados!$A537&lt;=Imóveis!$T$2),Imóveis!$U$2,0),IF((IF(AND(Dados!$A537&gt;=Imóveis!$Q$2,Dados!$A537&lt;=Imóveis!$T$2),Imóveis!$S$2-(DATEDIF(Imóveis!$Q$2,Dados!$A537,"m")),0))=0,0,((Imóveis!$N$2/Imóveis!$S$2)+((Imóveis!$N$2-((Imóveis!$S$2-(IF(AND(Dados!$A537&gt;=Imóveis!$Q$2,Dados!$A537&lt;=Imóveis!$T$2),Imóveis!$S$2-(DATEDIF(Imóveis!$Q$2,Dados!$A537,"m")),)))*(Imóveis!$N$2/Imóveis!$S$2)))*Imóveis!$P$2))))*IF(AND(Imóveis!$E$2&gt;0,Dados!$A537&gt;Imóveis!$E$2),0,1)</f>
        <v>0</v>
      </c>
      <c r="J537" s="18">
        <f>IF(Imóveis!$F$3="PRICE",IF(AND(Dados!$A537&gt;=Imóveis!$Q$3,Dados!$A537&lt;=Imóveis!$T$3),Imóveis!$U$3,0),IF((IF(AND(Dados!$A537&gt;=Imóveis!$Q$3,Dados!$A537&lt;=Imóveis!$T$3),Imóveis!$S$3-(DATEDIF(Imóveis!$Q$3,Dados!$A537,"m")),0))=0,0,((Imóveis!$N$3/Imóveis!$S$3)+((Imóveis!$N$3-((Imóveis!$S$3-(IF(AND(Dados!$A537&gt;=Imóveis!$Q$3,Dados!$A537&lt;=Imóveis!$T$3),Imóveis!$S$3-(DATEDIF(Imóveis!$Q$3,Dados!$A537,"m")),)))*(Imóveis!$N$3/Imóveis!$S$3)))*Imóveis!$P$3))))*IF(AND(Imóveis!$E$3&gt;0,Dados!$A537&gt;Imóveis!$E$3),0,1)</f>
        <v>0</v>
      </c>
      <c r="K537" s="18">
        <f>IF(Imóveis!$F$4="PRICE",IF(AND(Dados!$A537&gt;=Imóveis!$Q$4,Dados!$A537&lt;=Imóveis!$T$4),Imóveis!$U$4,0),IF((IF(AND(Dados!$A537&gt;=Imóveis!$Q$4,Dados!$A537&lt;=Imóveis!$T$4),Imóveis!$S$4-(DATEDIF(Imóveis!$Q$4,Dados!$A537,"m")),0))=0,0,((Imóveis!$N$4/Imóveis!$S$4)+((Imóveis!$N$4-((Imóveis!$S$4-(IF(AND(Dados!$A537&gt;=Imóveis!$Q$4,Dados!$A537&lt;=Imóveis!$T$4),Imóveis!$S$4-(DATEDIF(Imóveis!$Q$4,Dados!$A537,"m")),)))*(Imóveis!$N$4/Imóveis!$S$4)))*Imóveis!$P$4))))*IF(AND(Imóveis!$E$4&gt;0,Dados!$A537&gt;Imóveis!$E$4),0,1)</f>
        <v>0</v>
      </c>
      <c r="L537" s="18">
        <f>IF(Imóveis!$F$5="PRICE",IF(AND(Dados!$A537&gt;=Imóveis!$Q$5,Dados!$A537&lt;=Imóveis!$T$5),Imóveis!$U$5,0),IF((IF(AND(Dados!$A537&gt;=Imóveis!$Q$5,Dados!$A537&lt;=Imóveis!$T$5),Imóveis!$S$5-(DATEDIF(Imóveis!$Q$5,Dados!$A537,"m")),0))=0,0,((Imóveis!$N$5/Imóveis!$S$5)+((Imóveis!$N$5-((Imóveis!$S$5-(IF(AND(Dados!$A537 &gt;=Imóveis!$Q$5,Dados!$A537&lt;=Imóveis!$T$5),Imóveis!$S$5-(DATEDIF(Imóveis!$Q$5,Dados!$A537,"m")),)))*(Imóveis!$N$5/Imóveis!$S$5)))*Imóveis!$P$5))))*IF(AND(Imóveis!$E$5&gt;0,Dados!$A537&gt;Imóveis!$E$5),0,1)*Imóveis!$I$5</f>
        <v>0</v>
      </c>
      <c r="M537" s="18">
        <f>IF(Imóveis!$F$6="PRICE",IF(AND(Dados!$A537&gt;=Imóveis!$Q$6,Dados!$A537&lt;=Imóveis!$T$6),Imóveis!$U$6,0),IF((IF(AND(Dados!$A537&gt;=Imóveis!$Q$6,Dados!$A537&lt;=Imóveis!$T$6),Imóveis!$S$6-(DATEDIF(Imóveis!$Q$6,Dados!$A537,"m")),0))=0,0,((Imóveis!$N$6/Imóveis!$S$6)+((Imóveis!$N$6-((Imóveis!$S$6-(IF(AND(Dados!$A537&gt;=Imóveis!$Q$6,Dados!$A537&lt;=Imóveis!$T$6),Imóveis!$S$6-(DATEDIF(Imóveis!$Q$6,Dados!$A537,"m")),)))*(Imóveis!$N$6/Imóveis!$S$6)))*Imóveis!$P$6))))*IF(AND(Imóveis!$E$6&gt;0,Dados!$A537&gt;Imóveis!$E$6),0,1)*Imóveis!$I$6</f>
        <v>0</v>
      </c>
      <c r="N537" s="18">
        <f t="shared" si="69"/>
        <v>37000</v>
      </c>
      <c r="O537" s="18">
        <f>SUMIFS(Receitas!$F:$F,Receitas!$J:$J,"&lt;="&amp;$A537,Receitas!$L:$L,"&gt;="&amp;$A537,Receitas!$C:$C,O$1,Receitas!$M:$M,"Mensal")+SUMIFS(Receitas!$F:$F,Receitas!$J:$J,"&lt;="&amp;$A537,Receitas!$L:$L,"&gt;="&amp;$A537,Receitas!$C:$C,O$1,Receitas!$M:$M,$B537)</f>
        <v>0</v>
      </c>
      <c r="P537" s="18">
        <f>SUMIFS(Receitas!$F:$F,Receitas!$J:$J,"&lt;="&amp;$A537,Receitas!$L:$L,"&gt;="&amp;$A537,Receitas!$C:$C,P$1,Receitas!$M:$M,"Mensal")+SUMIFS(Receitas!$F:$F,Receitas!$J:$J,"&lt;="&amp;$A537,Receitas!$L:$L,"&gt;="&amp;$A537,Receitas!$C:$C,P$1,Receitas!$M:$M,$B537)</f>
        <v>0</v>
      </c>
      <c r="Q537" s="18">
        <f>SUMIFS(Receitas!$F:$F,Receitas!$J:$J,"&lt;="&amp;$A537,Receitas!$L:$L,"&gt;="&amp;$A537,Receitas!$C:$C,Q$1,Receitas!$M:$M,"Mensal")+SUMIFS(Receitas!$F:$F,Receitas!$J:$J,"&lt;="&amp;$A537,Receitas!$L:$L,"&gt;="&amp;$A537,Receitas!$C:$C,Q$1,Receitas!$M:$M,$B537)</f>
        <v>0</v>
      </c>
      <c r="R537" s="18" cm="1">
        <f t="array" ref="R537">(IF(AND(Membros!$F$2="Sim",A537&lt;=MAX(Membros!$E$2:$E$5)),Membros!K$2,IF(AND(A537&gt;=Membros!J$2,A537&lt;=MAX(Membros!$E$2:$E$5)),Membros!K$2,0))+IF(AND(Membros!$F$3="Sim",A537&lt;=MAX(Membros!$E$2:$E$5)),Membros!K$3,IF(AND(A537&gt;=Membros!J$3,A537&lt;=MAX(Membros!$E$2:$E$5)),Membros!K$3,0)))*IF(AND(COUNTIFS(Tabela3[Tipo],"Provedor",Tabela3[Simulação Seguro],"Sim")=2,A537&gt;=MAX(IF(Tabela3[Tipo]="Dependente",Tabela3[Expectativa de Vida (Data)]))),0,1)</f>
        <v>10000</v>
      </c>
      <c r="S537" s="18">
        <f t="shared" si="70"/>
        <v>10000</v>
      </c>
      <c r="U537" s="18">
        <f t="shared" ca="1" si="73"/>
        <v>34332789.215185583</v>
      </c>
      <c r="V537" s="18">
        <f>SUMIF(Imóveis!E:E,Dados!A:A,Imóveis!Z:Z)-SUMIF(Imóveis!E:E,Dados!A:A,Imóveis!Y:Y)</f>
        <v>0</v>
      </c>
      <c r="W537" s="18">
        <f>-SUMIF(Projetos!N:N,A537,Projetos!F:F)</f>
        <v>0</v>
      </c>
      <c r="X537" s="18">
        <f t="shared" si="67"/>
        <v>-27000</v>
      </c>
      <c r="Y537" s="26">
        <f ca="1">(U537*((Indicadores_Economicos!D$2+1)^(1/12)-1))</f>
        <v>112396.61788760289</v>
      </c>
      <c r="Z537" s="18">
        <f t="shared" ca="1" si="71"/>
        <v>34418185.833073184</v>
      </c>
      <c r="AA537" s="18">
        <f ca="1">Auxiliar_Projetos!E537</f>
        <v>2.2469771979421086E-9</v>
      </c>
      <c r="AB537" s="18">
        <f ca="1">Auxiliar_Projetos!K537</f>
        <v>1.7284439984170056E-9</v>
      </c>
      <c r="AC537" s="18">
        <f ca="1">IF(Z537-AA537-AB537&gt;Investimentos!$C$14,Investimentos!$C$14,IF(Z537-AA537-AB537&lt;Investimentos!$C$14,Z537-AA537-AB537,0))</f>
        <v>300000</v>
      </c>
      <c r="AD537" s="18">
        <f t="shared" ca="1" si="72"/>
        <v>34118185.833073184</v>
      </c>
      <c r="AE537" s="18"/>
    </row>
    <row r="538" spans="1:31" x14ac:dyDescent="0.2">
      <c r="A538" s="4">
        <v>61972</v>
      </c>
      <c r="B538" s="5" t="str">
        <f t="shared" si="68"/>
        <v>setembro</v>
      </c>
      <c r="C538" s="5" t="str">
        <f t="shared" si="74"/>
        <v>2069</v>
      </c>
      <c r="D538" s="5">
        <f>SUMIFS(Despesas!$F:$F,Despesas!$J:$J,"&lt;="&amp;$A538,Despesas!$L:$L,"&gt;="&amp;$A538,Despesas!$C:$C,D$1,Despesas!$M:$M,"Mensal")+SUMIFS(Despesas!$F:$F,Despesas!$J:$J,"&lt;="&amp;$A538,Despesas!$L:$L,"&gt;="&amp;$A538,Despesas!$C:$C,D$1,Despesas!$M:$M,$B538)</f>
        <v>23000</v>
      </c>
      <c r="E538" s="18">
        <f>SUMIFS(Despesas!$F:$F,Despesas!$J:$J,"&lt;="&amp;$A538,Despesas!$L:$L,"&gt;="&amp;$A538,Despesas!$C:$C,E$1,Despesas!$M:$M,"Mensal")+SUMIFS(Despesas!$F:$F,Despesas!$J:$J,"&lt;="&amp;$A538,Despesas!$L:$L,"&gt;="&amp;$A538,Despesas!$C:$C,E$1,Despesas!$M:$M,$B538)</f>
        <v>0</v>
      </c>
      <c r="F538" s="5">
        <f>SUMIFS(Despesas!$F:$F,Despesas!$J:$J,"&lt;="&amp;$A538,Despesas!$L:$L,"&gt;="&amp;$A538,Despesas!$C:$C,F$1,Despesas!$M:$M,"Mensal")+SUMIFS(Despesas!$F:$F,Despesas!$J:$J,"&lt;="&amp;$A538,Despesas!$L:$L,"&gt;="&amp;$A538,Despesas!$C:$C,F$1,Despesas!$M:$M,$B538)</f>
        <v>13000</v>
      </c>
      <c r="G538" s="5">
        <f>SUMIFS(Despesas!$F:$F,Despesas!$J:$J,"&lt;="&amp;$A538,Despesas!$L:$L,"&gt;="&amp;$A538,Despesas!$C:$C,G$1,Despesas!$M:$M,"Mensal")+SUMIFS(Despesas!$F:$F,Despesas!$J:$J,"&lt;="&amp;$A538,Despesas!$L:$L,"&gt;="&amp;$A538,Despesas!$C:$C,G$1,Despesas!$M:$M,$B538)</f>
        <v>0</v>
      </c>
      <c r="H538" s="18">
        <f>SUMIFS(Despesas!$F:$F,Despesas!$J:$J,"&lt;="&amp;$A538,Despesas!$L:$L,"&gt;="&amp;$A538,Despesas!$C:$C,H$1,Despesas!$M:$M,"Mensal")+SUMIFS(Despesas!$F:$F,Despesas!$J:$J,"&lt;="&amp;$A538,Despesas!$L:$L,"&gt;="&amp;$A538,Despesas!$C:$C,H$1,Despesas!$M:$M,$B538)</f>
        <v>1000</v>
      </c>
      <c r="I538" s="18">
        <f>IF(Imóveis!$F$2="PRICE",IF(AND(Dados!$A538&gt;=Imóveis!$Q$2,Dados!$A538&lt;=Imóveis!$T$2),Imóveis!$U$2,0),IF((IF(AND(Dados!$A538&gt;=Imóveis!$Q$2,Dados!$A538&lt;=Imóveis!$T$2),Imóveis!$S$2-(DATEDIF(Imóveis!$Q$2,Dados!$A538,"m")),0))=0,0,((Imóveis!$N$2/Imóveis!$S$2)+((Imóveis!$N$2-((Imóveis!$S$2-(IF(AND(Dados!$A538&gt;=Imóveis!$Q$2,Dados!$A538&lt;=Imóveis!$T$2),Imóveis!$S$2-(DATEDIF(Imóveis!$Q$2,Dados!$A538,"m")),)))*(Imóveis!$N$2/Imóveis!$S$2)))*Imóveis!$P$2))))*IF(AND(Imóveis!$E$2&gt;0,Dados!$A538&gt;Imóveis!$E$2),0,1)</f>
        <v>0</v>
      </c>
      <c r="J538" s="18">
        <f>IF(Imóveis!$F$3="PRICE",IF(AND(Dados!$A538&gt;=Imóveis!$Q$3,Dados!$A538&lt;=Imóveis!$T$3),Imóveis!$U$3,0),IF((IF(AND(Dados!$A538&gt;=Imóveis!$Q$3,Dados!$A538&lt;=Imóveis!$T$3),Imóveis!$S$3-(DATEDIF(Imóveis!$Q$3,Dados!$A538,"m")),0))=0,0,((Imóveis!$N$3/Imóveis!$S$3)+((Imóveis!$N$3-((Imóveis!$S$3-(IF(AND(Dados!$A538&gt;=Imóveis!$Q$3,Dados!$A538&lt;=Imóveis!$T$3),Imóveis!$S$3-(DATEDIF(Imóveis!$Q$3,Dados!$A538,"m")),)))*(Imóveis!$N$3/Imóveis!$S$3)))*Imóveis!$P$3))))*IF(AND(Imóveis!$E$3&gt;0,Dados!$A538&gt;Imóveis!$E$3),0,1)</f>
        <v>0</v>
      </c>
      <c r="K538" s="18">
        <f>IF(Imóveis!$F$4="PRICE",IF(AND(Dados!$A538&gt;=Imóveis!$Q$4,Dados!$A538&lt;=Imóveis!$T$4),Imóveis!$U$4,0),IF((IF(AND(Dados!$A538&gt;=Imóveis!$Q$4,Dados!$A538&lt;=Imóveis!$T$4),Imóveis!$S$4-(DATEDIF(Imóveis!$Q$4,Dados!$A538,"m")),0))=0,0,((Imóveis!$N$4/Imóveis!$S$4)+((Imóveis!$N$4-((Imóveis!$S$4-(IF(AND(Dados!$A538&gt;=Imóveis!$Q$4,Dados!$A538&lt;=Imóveis!$T$4),Imóveis!$S$4-(DATEDIF(Imóveis!$Q$4,Dados!$A538,"m")),)))*(Imóveis!$N$4/Imóveis!$S$4)))*Imóveis!$P$4))))*IF(AND(Imóveis!$E$4&gt;0,Dados!$A538&gt;Imóveis!$E$4),0,1)</f>
        <v>0</v>
      </c>
      <c r="L538" s="18">
        <f>IF(Imóveis!$F$5="PRICE",IF(AND(Dados!$A538&gt;=Imóveis!$Q$5,Dados!$A538&lt;=Imóveis!$T$5),Imóveis!$U$5,0),IF((IF(AND(Dados!$A538&gt;=Imóveis!$Q$5,Dados!$A538&lt;=Imóveis!$T$5),Imóveis!$S$5-(DATEDIF(Imóveis!$Q$5,Dados!$A538,"m")),0))=0,0,((Imóveis!$N$5/Imóveis!$S$5)+((Imóveis!$N$5-((Imóveis!$S$5-(IF(AND(Dados!$A538 &gt;=Imóveis!$Q$5,Dados!$A538&lt;=Imóveis!$T$5),Imóveis!$S$5-(DATEDIF(Imóveis!$Q$5,Dados!$A538,"m")),)))*(Imóveis!$N$5/Imóveis!$S$5)))*Imóveis!$P$5))))*IF(AND(Imóveis!$E$5&gt;0,Dados!$A538&gt;Imóveis!$E$5),0,1)*Imóveis!$I$5</f>
        <v>0</v>
      </c>
      <c r="M538" s="18">
        <f>IF(Imóveis!$F$6="PRICE",IF(AND(Dados!$A538&gt;=Imóveis!$Q$6,Dados!$A538&lt;=Imóveis!$T$6),Imóveis!$U$6,0),IF((IF(AND(Dados!$A538&gt;=Imóveis!$Q$6,Dados!$A538&lt;=Imóveis!$T$6),Imóveis!$S$6-(DATEDIF(Imóveis!$Q$6,Dados!$A538,"m")),0))=0,0,((Imóveis!$N$6/Imóveis!$S$6)+((Imóveis!$N$6-((Imóveis!$S$6-(IF(AND(Dados!$A538&gt;=Imóveis!$Q$6,Dados!$A538&lt;=Imóveis!$T$6),Imóveis!$S$6-(DATEDIF(Imóveis!$Q$6,Dados!$A538,"m")),)))*(Imóveis!$N$6/Imóveis!$S$6)))*Imóveis!$P$6))))*IF(AND(Imóveis!$E$6&gt;0,Dados!$A538&gt;Imóveis!$E$6),0,1)*Imóveis!$I$6</f>
        <v>0</v>
      </c>
      <c r="N538" s="18">
        <f t="shared" si="69"/>
        <v>37000</v>
      </c>
      <c r="O538" s="18">
        <f>SUMIFS(Receitas!$F:$F,Receitas!$J:$J,"&lt;="&amp;$A538,Receitas!$L:$L,"&gt;="&amp;$A538,Receitas!$C:$C,O$1,Receitas!$M:$M,"Mensal")+SUMIFS(Receitas!$F:$F,Receitas!$J:$J,"&lt;="&amp;$A538,Receitas!$L:$L,"&gt;="&amp;$A538,Receitas!$C:$C,O$1,Receitas!$M:$M,$B538)</f>
        <v>0</v>
      </c>
      <c r="P538" s="18">
        <f>SUMIFS(Receitas!$F:$F,Receitas!$J:$J,"&lt;="&amp;$A538,Receitas!$L:$L,"&gt;="&amp;$A538,Receitas!$C:$C,P$1,Receitas!$M:$M,"Mensal")+SUMIFS(Receitas!$F:$F,Receitas!$J:$J,"&lt;="&amp;$A538,Receitas!$L:$L,"&gt;="&amp;$A538,Receitas!$C:$C,P$1,Receitas!$M:$M,$B538)</f>
        <v>0</v>
      </c>
      <c r="Q538" s="18">
        <f>SUMIFS(Receitas!$F:$F,Receitas!$J:$J,"&lt;="&amp;$A538,Receitas!$L:$L,"&gt;="&amp;$A538,Receitas!$C:$C,Q$1,Receitas!$M:$M,"Mensal")+SUMIFS(Receitas!$F:$F,Receitas!$J:$J,"&lt;="&amp;$A538,Receitas!$L:$L,"&gt;="&amp;$A538,Receitas!$C:$C,Q$1,Receitas!$M:$M,$B538)</f>
        <v>0</v>
      </c>
      <c r="R538" s="18" cm="1">
        <f t="array" ref="R538">(IF(AND(Membros!$F$2="Sim",A538&lt;=MAX(Membros!$E$2:$E$5)),Membros!K$2,IF(AND(A538&gt;=Membros!J$2,A538&lt;=MAX(Membros!$E$2:$E$5)),Membros!K$2,0))+IF(AND(Membros!$F$3="Sim",A538&lt;=MAX(Membros!$E$2:$E$5)),Membros!K$3,IF(AND(A538&gt;=Membros!J$3,A538&lt;=MAX(Membros!$E$2:$E$5)),Membros!K$3,0)))*IF(AND(COUNTIFS(Tabela3[Tipo],"Provedor",Tabela3[Simulação Seguro],"Sim")=2,A538&gt;=MAX(IF(Tabela3[Tipo]="Dependente",Tabela3[Expectativa de Vida (Data)]))),0,1)</f>
        <v>10000</v>
      </c>
      <c r="S538" s="18">
        <f t="shared" si="70"/>
        <v>10000</v>
      </c>
      <c r="U538" s="18">
        <f t="shared" ca="1" si="73"/>
        <v>34418185.833073184</v>
      </c>
      <c r="V538" s="18">
        <f>SUMIF(Imóveis!E:E,Dados!A:A,Imóveis!Z:Z)-SUMIF(Imóveis!E:E,Dados!A:A,Imóveis!Y:Y)</f>
        <v>0</v>
      </c>
      <c r="W538" s="18">
        <f>-SUMIF(Projetos!N:N,A538,Projetos!F:F)</f>
        <v>0</v>
      </c>
      <c r="X538" s="18">
        <f t="shared" si="67"/>
        <v>-27000</v>
      </c>
      <c r="Y538" s="26">
        <f ca="1">(U538*((Indicadores_Economicos!D$2+1)^(1/12)-1))</f>
        <v>112676.18419284676</v>
      </c>
      <c r="Z538" s="18">
        <f t="shared" ca="1" si="71"/>
        <v>34503862.017266028</v>
      </c>
      <c r="AA538" s="18">
        <f ca="1">Auxiliar_Projetos!E538</f>
        <v>2.2543332165847055E-9</v>
      </c>
      <c r="AB538" s="18">
        <f ca="1">Auxiliar_Projetos!K538</f>
        <v>1.7341024742959262E-9</v>
      </c>
      <c r="AC538" s="18">
        <f ca="1">IF(Z538-AA538-AB538&gt;Investimentos!$C$14,Investimentos!$C$14,IF(Z538-AA538-AB538&lt;Investimentos!$C$14,Z538-AA538-AB538,0))</f>
        <v>300000</v>
      </c>
      <c r="AD538" s="18">
        <f t="shared" ca="1" si="72"/>
        <v>34203862.017266028</v>
      </c>
      <c r="AE538" s="18"/>
    </row>
    <row r="539" spans="1:31" x14ac:dyDescent="0.2">
      <c r="A539" s="4">
        <v>62002</v>
      </c>
      <c r="B539" s="5" t="str">
        <f t="shared" si="68"/>
        <v>outubro</v>
      </c>
      <c r="C539" s="5" t="str">
        <f t="shared" si="74"/>
        <v>2069</v>
      </c>
      <c r="D539" s="5">
        <f>SUMIFS(Despesas!$F:$F,Despesas!$J:$J,"&lt;="&amp;$A539,Despesas!$L:$L,"&gt;="&amp;$A539,Despesas!$C:$C,D$1,Despesas!$M:$M,"Mensal")+SUMIFS(Despesas!$F:$F,Despesas!$J:$J,"&lt;="&amp;$A539,Despesas!$L:$L,"&gt;="&amp;$A539,Despesas!$C:$C,D$1,Despesas!$M:$M,$B539)</f>
        <v>23000</v>
      </c>
      <c r="E539" s="18">
        <f>SUMIFS(Despesas!$F:$F,Despesas!$J:$J,"&lt;="&amp;$A539,Despesas!$L:$L,"&gt;="&amp;$A539,Despesas!$C:$C,E$1,Despesas!$M:$M,"Mensal")+SUMIFS(Despesas!$F:$F,Despesas!$J:$J,"&lt;="&amp;$A539,Despesas!$L:$L,"&gt;="&amp;$A539,Despesas!$C:$C,E$1,Despesas!$M:$M,$B539)</f>
        <v>0</v>
      </c>
      <c r="F539" s="5">
        <f>SUMIFS(Despesas!$F:$F,Despesas!$J:$J,"&lt;="&amp;$A539,Despesas!$L:$L,"&gt;="&amp;$A539,Despesas!$C:$C,F$1,Despesas!$M:$M,"Mensal")+SUMIFS(Despesas!$F:$F,Despesas!$J:$J,"&lt;="&amp;$A539,Despesas!$L:$L,"&gt;="&amp;$A539,Despesas!$C:$C,F$1,Despesas!$M:$M,$B539)</f>
        <v>13000</v>
      </c>
      <c r="G539" s="5">
        <f>SUMIFS(Despesas!$F:$F,Despesas!$J:$J,"&lt;="&amp;$A539,Despesas!$L:$L,"&gt;="&amp;$A539,Despesas!$C:$C,G$1,Despesas!$M:$M,"Mensal")+SUMIFS(Despesas!$F:$F,Despesas!$J:$J,"&lt;="&amp;$A539,Despesas!$L:$L,"&gt;="&amp;$A539,Despesas!$C:$C,G$1,Despesas!$M:$M,$B539)</f>
        <v>0</v>
      </c>
      <c r="H539" s="18">
        <f>SUMIFS(Despesas!$F:$F,Despesas!$J:$J,"&lt;="&amp;$A539,Despesas!$L:$L,"&gt;="&amp;$A539,Despesas!$C:$C,H$1,Despesas!$M:$M,"Mensal")+SUMIFS(Despesas!$F:$F,Despesas!$J:$J,"&lt;="&amp;$A539,Despesas!$L:$L,"&gt;="&amp;$A539,Despesas!$C:$C,H$1,Despesas!$M:$M,$B539)</f>
        <v>1000</v>
      </c>
      <c r="I539" s="18">
        <f>IF(Imóveis!$F$2="PRICE",IF(AND(Dados!$A539&gt;=Imóveis!$Q$2,Dados!$A539&lt;=Imóveis!$T$2),Imóveis!$U$2,0),IF((IF(AND(Dados!$A539&gt;=Imóveis!$Q$2,Dados!$A539&lt;=Imóveis!$T$2),Imóveis!$S$2-(DATEDIF(Imóveis!$Q$2,Dados!$A539,"m")),0))=0,0,((Imóveis!$N$2/Imóveis!$S$2)+((Imóveis!$N$2-((Imóveis!$S$2-(IF(AND(Dados!$A539&gt;=Imóveis!$Q$2,Dados!$A539&lt;=Imóveis!$T$2),Imóveis!$S$2-(DATEDIF(Imóveis!$Q$2,Dados!$A539,"m")),)))*(Imóveis!$N$2/Imóveis!$S$2)))*Imóveis!$P$2))))*IF(AND(Imóveis!$E$2&gt;0,Dados!$A539&gt;Imóveis!$E$2),0,1)</f>
        <v>0</v>
      </c>
      <c r="J539" s="18">
        <f>IF(Imóveis!$F$3="PRICE",IF(AND(Dados!$A539&gt;=Imóveis!$Q$3,Dados!$A539&lt;=Imóveis!$T$3),Imóveis!$U$3,0),IF((IF(AND(Dados!$A539&gt;=Imóveis!$Q$3,Dados!$A539&lt;=Imóveis!$T$3),Imóveis!$S$3-(DATEDIF(Imóveis!$Q$3,Dados!$A539,"m")),0))=0,0,((Imóveis!$N$3/Imóveis!$S$3)+((Imóveis!$N$3-((Imóveis!$S$3-(IF(AND(Dados!$A539&gt;=Imóveis!$Q$3,Dados!$A539&lt;=Imóveis!$T$3),Imóveis!$S$3-(DATEDIF(Imóveis!$Q$3,Dados!$A539,"m")),)))*(Imóveis!$N$3/Imóveis!$S$3)))*Imóveis!$P$3))))*IF(AND(Imóveis!$E$3&gt;0,Dados!$A539&gt;Imóveis!$E$3),0,1)</f>
        <v>0</v>
      </c>
      <c r="K539" s="18">
        <f>IF(Imóveis!$F$4="PRICE",IF(AND(Dados!$A539&gt;=Imóveis!$Q$4,Dados!$A539&lt;=Imóveis!$T$4),Imóveis!$U$4,0),IF((IF(AND(Dados!$A539&gt;=Imóveis!$Q$4,Dados!$A539&lt;=Imóveis!$T$4),Imóveis!$S$4-(DATEDIF(Imóveis!$Q$4,Dados!$A539,"m")),0))=0,0,((Imóveis!$N$4/Imóveis!$S$4)+((Imóveis!$N$4-((Imóveis!$S$4-(IF(AND(Dados!$A539&gt;=Imóveis!$Q$4,Dados!$A539&lt;=Imóveis!$T$4),Imóveis!$S$4-(DATEDIF(Imóveis!$Q$4,Dados!$A539,"m")),)))*(Imóveis!$N$4/Imóveis!$S$4)))*Imóveis!$P$4))))*IF(AND(Imóveis!$E$4&gt;0,Dados!$A539&gt;Imóveis!$E$4),0,1)</f>
        <v>0</v>
      </c>
      <c r="L539" s="18">
        <f>IF(Imóveis!$F$5="PRICE",IF(AND(Dados!$A539&gt;=Imóveis!$Q$5,Dados!$A539&lt;=Imóveis!$T$5),Imóveis!$U$5,0),IF((IF(AND(Dados!$A539&gt;=Imóveis!$Q$5,Dados!$A539&lt;=Imóveis!$T$5),Imóveis!$S$5-(DATEDIF(Imóveis!$Q$5,Dados!$A539,"m")),0))=0,0,((Imóveis!$N$5/Imóveis!$S$5)+((Imóveis!$N$5-((Imóveis!$S$5-(IF(AND(Dados!$A539 &gt;=Imóveis!$Q$5,Dados!$A539&lt;=Imóveis!$T$5),Imóveis!$S$5-(DATEDIF(Imóveis!$Q$5,Dados!$A539,"m")),)))*(Imóveis!$N$5/Imóveis!$S$5)))*Imóveis!$P$5))))*IF(AND(Imóveis!$E$5&gt;0,Dados!$A539&gt;Imóveis!$E$5),0,1)*Imóveis!$I$5</f>
        <v>0</v>
      </c>
      <c r="M539" s="18">
        <f>IF(Imóveis!$F$6="PRICE",IF(AND(Dados!$A539&gt;=Imóveis!$Q$6,Dados!$A539&lt;=Imóveis!$T$6),Imóveis!$U$6,0),IF((IF(AND(Dados!$A539&gt;=Imóveis!$Q$6,Dados!$A539&lt;=Imóveis!$T$6),Imóveis!$S$6-(DATEDIF(Imóveis!$Q$6,Dados!$A539,"m")),0))=0,0,((Imóveis!$N$6/Imóveis!$S$6)+((Imóveis!$N$6-((Imóveis!$S$6-(IF(AND(Dados!$A539&gt;=Imóveis!$Q$6,Dados!$A539&lt;=Imóveis!$T$6),Imóveis!$S$6-(DATEDIF(Imóveis!$Q$6,Dados!$A539,"m")),)))*(Imóveis!$N$6/Imóveis!$S$6)))*Imóveis!$P$6))))*IF(AND(Imóveis!$E$6&gt;0,Dados!$A539&gt;Imóveis!$E$6),0,1)*Imóveis!$I$6</f>
        <v>0</v>
      </c>
      <c r="N539" s="18">
        <f t="shared" si="69"/>
        <v>37000</v>
      </c>
      <c r="O539" s="18">
        <f>SUMIFS(Receitas!$F:$F,Receitas!$J:$J,"&lt;="&amp;$A539,Receitas!$L:$L,"&gt;="&amp;$A539,Receitas!$C:$C,O$1,Receitas!$M:$M,"Mensal")+SUMIFS(Receitas!$F:$F,Receitas!$J:$J,"&lt;="&amp;$A539,Receitas!$L:$L,"&gt;="&amp;$A539,Receitas!$C:$C,O$1,Receitas!$M:$M,$B539)</f>
        <v>0</v>
      </c>
      <c r="P539" s="18">
        <f>SUMIFS(Receitas!$F:$F,Receitas!$J:$J,"&lt;="&amp;$A539,Receitas!$L:$L,"&gt;="&amp;$A539,Receitas!$C:$C,P$1,Receitas!$M:$M,"Mensal")+SUMIFS(Receitas!$F:$F,Receitas!$J:$J,"&lt;="&amp;$A539,Receitas!$L:$L,"&gt;="&amp;$A539,Receitas!$C:$C,P$1,Receitas!$M:$M,$B539)</f>
        <v>0</v>
      </c>
      <c r="Q539" s="18">
        <f>SUMIFS(Receitas!$F:$F,Receitas!$J:$J,"&lt;="&amp;$A539,Receitas!$L:$L,"&gt;="&amp;$A539,Receitas!$C:$C,Q$1,Receitas!$M:$M,"Mensal")+SUMIFS(Receitas!$F:$F,Receitas!$J:$J,"&lt;="&amp;$A539,Receitas!$L:$L,"&gt;="&amp;$A539,Receitas!$C:$C,Q$1,Receitas!$M:$M,$B539)</f>
        <v>0</v>
      </c>
      <c r="R539" s="18" cm="1">
        <f t="array" ref="R539">(IF(AND(Membros!$F$2="Sim",A539&lt;=MAX(Membros!$E$2:$E$5)),Membros!K$2,IF(AND(A539&gt;=Membros!J$2,A539&lt;=MAX(Membros!$E$2:$E$5)),Membros!K$2,0))+IF(AND(Membros!$F$3="Sim",A539&lt;=MAX(Membros!$E$2:$E$5)),Membros!K$3,IF(AND(A539&gt;=Membros!J$3,A539&lt;=MAX(Membros!$E$2:$E$5)),Membros!K$3,0)))*IF(AND(COUNTIFS(Tabela3[Tipo],"Provedor",Tabela3[Simulação Seguro],"Sim")=2,A539&gt;=MAX(IF(Tabela3[Tipo]="Dependente",Tabela3[Expectativa de Vida (Data)]))),0,1)</f>
        <v>10000</v>
      </c>
      <c r="S539" s="18">
        <f t="shared" si="70"/>
        <v>10000</v>
      </c>
      <c r="U539" s="18">
        <f t="shared" ca="1" si="73"/>
        <v>34503862.017266028</v>
      </c>
      <c r="V539" s="18">
        <f>SUMIF(Imóveis!E:E,Dados!A:A,Imóveis!Z:Z)-SUMIF(Imóveis!E:E,Dados!A:A,Imóveis!Y:Y)</f>
        <v>0</v>
      </c>
      <c r="W539" s="18">
        <f>-SUMIF(Projetos!N:N,A539,Projetos!F:F)</f>
        <v>0</v>
      </c>
      <c r="X539" s="18">
        <f t="shared" si="67"/>
        <v>-27000</v>
      </c>
      <c r="Y539" s="26">
        <f ca="1">(U539*((Indicadores_Economicos!D$2+1)^(1/12)-1))</f>
        <v>112956.66572542589</v>
      </c>
      <c r="Z539" s="18">
        <f t="shared" ca="1" si="71"/>
        <v>34589818.682991453</v>
      </c>
      <c r="AA539" s="18">
        <f ca="1">Auxiliar_Projetos!E539</f>
        <v>2.2617133169181715E-9</v>
      </c>
      <c r="AB539" s="18">
        <f ca="1">Auxiliar_Projetos!K539</f>
        <v>1.7397794745524384E-9</v>
      </c>
      <c r="AC539" s="18">
        <f ca="1">IF(Z539-AA539-AB539&gt;Investimentos!$C$14,Investimentos!$C$14,IF(Z539-AA539-AB539&lt;Investimentos!$C$14,Z539-AA539-AB539,0))</f>
        <v>300000</v>
      </c>
      <c r="AD539" s="18">
        <f t="shared" ca="1" si="72"/>
        <v>34289818.682991453</v>
      </c>
      <c r="AE539" s="18"/>
    </row>
    <row r="540" spans="1:31" x14ac:dyDescent="0.2">
      <c r="A540" s="4">
        <v>62033</v>
      </c>
      <c r="B540" s="5" t="str">
        <f t="shared" si="68"/>
        <v>novembro</v>
      </c>
      <c r="C540" s="5" t="str">
        <f t="shared" si="74"/>
        <v>2069</v>
      </c>
      <c r="D540" s="5">
        <f>SUMIFS(Despesas!$F:$F,Despesas!$J:$J,"&lt;="&amp;$A540,Despesas!$L:$L,"&gt;="&amp;$A540,Despesas!$C:$C,D$1,Despesas!$M:$M,"Mensal")+SUMIFS(Despesas!$F:$F,Despesas!$J:$J,"&lt;="&amp;$A540,Despesas!$L:$L,"&gt;="&amp;$A540,Despesas!$C:$C,D$1,Despesas!$M:$M,$B540)</f>
        <v>23000</v>
      </c>
      <c r="E540" s="18">
        <f>SUMIFS(Despesas!$F:$F,Despesas!$J:$J,"&lt;="&amp;$A540,Despesas!$L:$L,"&gt;="&amp;$A540,Despesas!$C:$C,E$1,Despesas!$M:$M,"Mensal")+SUMIFS(Despesas!$F:$F,Despesas!$J:$J,"&lt;="&amp;$A540,Despesas!$L:$L,"&gt;="&amp;$A540,Despesas!$C:$C,E$1,Despesas!$M:$M,$B540)</f>
        <v>0</v>
      </c>
      <c r="F540" s="5">
        <f>SUMIFS(Despesas!$F:$F,Despesas!$J:$J,"&lt;="&amp;$A540,Despesas!$L:$L,"&gt;="&amp;$A540,Despesas!$C:$C,F$1,Despesas!$M:$M,"Mensal")+SUMIFS(Despesas!$F:$F,Despesas!$J:$J,"&lt;="&amp;$A540,Despesas!$L:$L,"&gt;="&amp;$A540,Despesas!$C:$C,F$1,Despesas!$M:$M,$B540)</f>
        <v>13000</v>
      </c>
      <c r="G540" s="5">
        <f>SUMIFS(Despesas!$F:$F,Despesas!$J:$J,"&lt;="&amp;$A540,Despesas!$L:$L,"&gt;="&amp;$A540,Despesas!$C:$C,G$1,Despesas!$M:$M,"Mensal")+SUMIFS(Despesas!$F:$F,Despesas!$J:$J,"&lt;="&amp;$A540,Despesas!$L:$L,"&gt;="&amp;$A540,Despesas!$C:$C,G$1,Despesas!$M:$M,$B540)</f>
        <v>0</v>
      </c>
      <c r="H540" s="18">
        <f>SUMIFS(Despesas!$F:$F,Despesas!$J:$J,"&lt;="&amp;$A540,Despesas!$L:$L,"&gt;="&amp;$A540,Despesas!$C:$C,H$1,Despesas!$M:$M,"Mensal")+SUMIFS(Despesas!$F:$F,Despesas!$J:$J,"&lt;="&amp;$A540,Despesas!$L:$L,"&gt;="&amp;$A540,Despesas!$C:$C,H$1,Despesas!$M:$M,$B540)</f>
        <v>1000</v>
      </c>
      <c r="I540" s="18">
        <f>IF(Imóveis!$F$2="PRICE",IF(AND(Dados!$A540&gt;=Imóveis!$Q$2,Dados!$A540&lt;=Imóveis!$T$2),Imóveis!$U$2,0),IF((IF(AND(Dados!$A540&gt;=Imóveis!$Q$2,Dados!$A540&lt;=Imóveis!$T$2),Imóveis!$S$2-(DATEDIF(Imóveis!$Q$2,Dados!$A540,"m")),0))=0,0,((Imóveis!$N$2/Imóveis!$S$2)+((Imóveis!$N$2-((Imóveis!$S$2-(IF(AND(Dados!$A540&gt;=Imóveis!$Q$2,Dados!$A540&lt;=Imóveis!$T$2),Imóveis!$S$2-(DATEDIF(Imóveis!$Q$2,Dados!$A540,"m")),)))*(Imóveis!$N$2/Imóveis!$S$2)))*Imóveis!$P$2))))*IF(AND(Imóveis!$E$2&gt;0,Dados!$A540&gt;Imóveis!$E$2),0,1)</f>
        <v>0</v>
      </c>
      <c r="J540" s="18">
        <f>IF(Imóveis!$F$3="PRICE",IF(AND(Dados!$A540&gt;=Imóveis!$Q$3,Dados!$A540&lt;=Imóveis!$T$3),Imóveis!$U$3,0),IF((IF(AND(Dados!$A540&gt;=Imóveis!$Q$3,Dados!$A540&lt;=Imóveis!$T$3),Imóveis!$S$3-(DATEDIF(Imóveis!$Q$3,Dados!$A540,"m")),0))=0,0,((Imóveis!$N$3/Imóveis!$S$3)+((Imóveis!$N$3-((Imóveis!$S$3-(IF(AND(Dados!$A540&gt;=Imóveis!$Q$3,Dados!$A540&lt;=Imóveis!$T$3),Imóveis!$S$3-(DATEDIF(Imóveis!$Q$3,Dados!$A540,"m")),)))*(Imóveis!$N$3/Imóveis!$S$3)))*Imóveis!$P$3))))*IF(AND(Imóveis!$E$3&gt;0,Dados!$A540&gt;Imóveis!$E$3),0,1)</f>
        <v>0</v>
      </c>
      <c r="K540" s="18">
        <f>IF(Imóveis!$F$4="PRICE",IF(AND(Dados!$A540&gt;=Imóveis!$Q$4,Dados!$A540&lt;=Imóveis!$T$4),Imóveis!$U$4,0),IF((IF(AND(Dados!$A540&gt;=Imóveis!$Q$4,Dados!$A540&lt;=Imóveis!$T$4),Imóveis!$S$4-(DATEDIF(Imóveis!$Q$4,Dados!$A540,"m")),0))=0,0,((Imóveis!$N$4/Imóveis!$S$4)+((Imóveis!$N$4-((Imóveis!$S$4-(IF(AND(Dados!$A540&gt;=Imóveis!$Q$4,Dados!$A540&lt;=Imóveis!$T$4),Imóveis!$S$4-(DATEDIF(Imóveis!$Q$4,Dados!$A540,"m")),)))*(Imóveis!$N$4/Imóveis!$S$4)))*Imóveis!$P$4))))*IF(AND(Imóveis!$E$4&gt;0,Dados!$A540&gt;Imóveis!$E$4),0,1)</f>
        <v>0</v>
      </c>
      <c r="L540" s="18">
        <f>IF(Imóveis!$F$5="PRICE",IF(AND(Dados!$A540&gt;=Imóveis!$Q$5,Dados!$A540&lt;=Imóveis!$T$5),Imóveis!$U$5,0),IF((IF(AND(Dados!$A540&gt;=Imóveis!$Q$5,Dados!$A540&lt;=Imóveis!$T$5),Imóveis!$S$5-(DATEDIF(Imóveis!$Q$5,Dados!$A540,"m")),0))=0,0,((Imóveis!$N$5/Imóveis!$S$5)+((Imóveis!$N$5-((Imóveis!$S$5-(IF(AND(Dados!$A540 &gt;=Imóveis!$Q$5,Dados!$A540&lt;=Imóveis!$T$5),Imóveis!$S$5-(DATEDIF(Imóveis!$Q$5,Dados!$A540,"m")),)))*(Imóveis!$N$5/Imóveis!$S$5)))*Imóveis!$P$5))))*IF(AND(Imóveis!$E$5&gt;0,Dados!$A540&gt;Imóveis!$E$5),0,1)*Imóveis!$I$5</f>
        <v>0</v>
      </c>
      <c r="M540" s="18">
        <f>IF(Imóveis!$F$6="PRICE",IF(AND(Dados!$A540&gt;=Imóveis!$Q$6,Dados!$A540&lt;=Imóveis!$T$6),Imóveis!$U$6,0),IF((IF(AND(Dados!$A540&gt;=Imóveis!$Q$6,Dados!$A540&lt;=Imóveis!$T$6),Imóveis!$S$6-(DATEDIF(Imóveis!$Q$6,Dados!$A540,"m")),0))=0,0,((Imóveis!$N$6/Imóveis!$S$6)+((Imóveis!$N$6-((Imóveis!$S$6-(IF(AND(Dados!$A540&gt;=Imóveis!$Q$6,Dados!$A540&lt;=Imóveis!$T$6),Imóveis!$S$6-(DATEDIF(Imóveis!$Q$6,Dados!$A540,"m")),)))*(Imóveis!$N$6/Imóveis!$S$6)))*Imóveis!$P$6))))*IF(AND(Imóveis!$E$6&gt;0,Dados!$A540&gt;Imóveis!$E$6),0,1)*Imóveis!$I$6</f>
        <v>0</v>
      </c>
      <c r="N540" s="18">
        <f t="shared" si="69"/>
        <v>37000</v>
      </c>
      <c r="O540" s="18">
        <f>SUMIFS(Receitas!$F:$F,Receitas!$J:$J,"&lt;="&amp;$A540,Receitas!$L:$L,"&gt;="&amp;$A540,Receitas!$C:$C,O$1,Receitas!$M:$M,"Mensal")+SUMIFS(Receitas!$F:$F,Receitas!$J:$J,"&lt;="&amp;$A540,Receitas!$L:$L,"&gt;="&amp;$A540,Receitas!$C:$C,O$1,Receitas!$M:$M,$B540)</f>
        <v>0</v>
      </c>
      <c r="P540" s="18">
        <f>SUMIFS(Receitas!$F:$F,Receitas!$J:$J,"&lt;="&amp;$A540,Receitas!$L:$L,"&gt;="&amp;$A540,Receitas!$C:$C,P$1,Receitas!$M:$M,"Mensal")+SUMIFS(Receitas!$F:$F,Receitas!$J:$J,"&lt;="&amp;$A540,Receitas!$L:$L,"&gt;="&amp;$A540,Receitas!$C:$C,P$1,Receitas!$M:$M,$B540)</f>
        <v>0</v>
      </c>
      <c r="Q540" s="18">
        <f>SUMIFS(Receitas!$F:$F,Receitas!$J:$J,"&lt;="&amp;$A540,Receitas!$L:$L,"&gt;="&amp;$A540,Receitas!$C:$C,Q$1,Receitas!$M:$M,"Mensal")+SUMIFS(Receitas!$F:$F,Receitas!$J:$J,"&lt;="&amp;$A540,Receitas!$L:$L,"&gt;="&amp;$A540,Receitas!$C:$C,Q$1,Receitas!$M:$M,$B540)</f>
        <v>0</v>
      </c>
      <c r="R540" s="18" cm="1">
        <f t="array" ref="R540">(IF(AND(Membros!$F$2="Sim",A540&lt;=MAX(Membros!$E$2:$E$5)),Membros!K$2,IF(AND(A540&gt;=Membros!J$2,A540&lt;=MAX(Membros!$E$2:$E$5)),Membros!K$2,0))+IF(AND(Membros!$F$3="Sim",A540&lt;=MAX(Membros!$E$2:$E$5)),Membros!K$3,IF(AND(A540&gt;=Membros!J$3,A540&lt;=MAX(Membros!$E$2:$E$5)),Membros!K$3,0)))*IF(AND(COUNTIFS(Tabela3[Tipo],"Provedor",Tabela3[Simulação Seguro],"Sim")=2,A540&gt;=MAX(IF(Tabela3[Tipo]="Dependente",Tabela3[Expectativa de Vida (Data)]))),0,1)</f>
        <v>10000</v>
      </c>
      <c r="S540" s="18">
        <f t="shared" si="70"/>
        <v>10000</v>
      </c>
      <c r="U540" s="18">
        <f t="shared" ca="1" si="73"/>
        <v>34589818.682991453</v>
      </c>
      <c r="V540" s="18">
        <f>SUMIF(Imóveis!E:E,Dados!A:A,Imóveis!Z:Z)-SUMIF(Imóveis!E:E,Dados!A:A,Imóveis!Y:Y)</f>
        <v>0</v>
      </c>
      <c r="W540" s="18">
        <f>-SUMIF(Projetos!N:N,A540,Projetos!F:F)</f>
        <v>0</v>
      </c>
      <c r="X540" s="18">
        <f t="shared" si="67"/>
        <v>-27000</v>
      </c>
      <c r="Y540" s="26">
        <f ca="1">(U540*((Indicadores_Economicos!D$2+1)^(1/12)-1))</f>
        <v>113238.06548155638</v>
      </c>
      <c r="Z540" s="18">
        <f t="shared" ca="1" si="71"/>
        <v>34676056.748473011</v>
      </c>
      <c r="AA540" s="18">
        <f ca="1">Auxiliar_Projetos!E540</f>
        <v>2.2691175777796955E-9</v>
      </c>
      <c r="AB540" s="18">
        <f ca="1">Auxiliar_Projetos!K540</f>
        <v>1.7454750598305338E-9</v>
      </c>
      <c r="AC540" s="18">
        <f ca="1">IF(Z540-AA540-AB540&gt;Investimentos!$C$14,Investimentos!$C$14,IF(Z540-AA540-AB540&lt;Investimentos!$C$14,Z540-AA540-AB540,0))</f>
        <v>300000</v>
      </c>
      <c r="AD540" s="18">
        <f t="shared" ca="1" si="72"/>
        <v>34376056.748473011</v>
      </c>
      <c r="AE540" s="18"/>
    </row>
    <row r="541" spans="1:31" x14ac:dyDescent="0.2">
      <c r="A541" s="4">
        <v>62063</v>
      </c>
      <c r="B541" s="5" t="str">
        <f t="shared" si="68"/>
        <v>dezembro</v>
      </c>
      <c r="C541" s="5" t="str">
        <f t="shared" si="74"/>
        <v>2069</v>
      </c>
      <c r="D541" s="5">
        <f>SUMIFS(Despesas!$F:$F,Despesas!$J:$J,"&lt;="&amp;$A541,Despesas!$L:$L,"&gt;="&amp;$A541,Despesas!$C:$C,D$1,Despesas!$M:$M,"Mensal")+SUMIFS(Despesas!$F:$F,Despesas!$J:$J,"&lt;="&amp;$A541,Despesas!$L:$L,"&gt;="&amp;$A541,Despesas!$C:$C,D$1,Despesas!$M:$M,$B541)</f>
        <v>23000</v>
      </c>
      <c r="E541" s="18">
        <f>SUMIFS(Despesas!$F:$F,Despesas!$J:$J,"&lt;="&amp;$A541,Despesas!$L:$L,"&gt;="&amp;$A541,Despesas!$C:$C,E$1,Despesas!$M:$M,"Mensal")+SUMIFS(Despesas!$F:$F,Despesas!$J:$J,"&lt;="&amp;$A541,Despesas!$L:$L,"&gt;="&amp;$A541,Despesas!$C:$C,E$1,Despesas!$M:$M,$B541)</f>
        <v>0</v>
      </c>
      <c r="F541" s="5">
        <f>SUMIFS(Despesas!$F:$F,Despesas!$J:$J,"&lt;="&amp;$A541,Despesas!$L:$L,"&gt;="&amp;$A541,Despesas!$C:$C,F$1,Despesas!$M:$M,"Mensal")+SUMIFS(Despesas!$F:$F,Despesas!$J:$J,"&lt;="&amp;$A541,Despesas!$L:$L,"&gt;="&amp;$A541,Despesas!$C:$C,F$1,Despesas!$M:$M,$B541)</f>
        <v>13000</v>
      </c>
      <c r="G541" s="5">
        <f ca="1">SUMIFS(Despesas!$F:$F,Despesas!$J:$J,"&lt;="&amp;$A541,Despesas!$L:$L,"&gt;="&amp;$A541,Despesas!$C:$C,G$1,Despesas!$M:$M,"Mensal")+SUMIFS(Despesas!$F:$F,Despesas!$J:$J,"&lt;="&amp;$A541,Despesas!$L:$L,"&gt;="&amp;$A541,Despesas!$C:$C,G$1,Despesas!$M:$M,$B541)</f>
        <v>55757</v>
      </c>
      <c r="H541" s="18">
        <f>SUMIFS(Despesas!$F:$F,Despesas!$J:$J,"&lt;="&amp;$A541,Despesas!$L:$L,"&gt;="&amp;$A541,Despesas!$C:$C,H$1,Despesas!$M:$M,"Mensal")+SUMIFS(Despesas!$F:$F,Despesas!$J:$J,"&lt;="&amp;$A541,Despesas!$L:$L,"&gt;="&amp;$A541,Despesas!$C:$C,H$1,Despesas!$M:$M,$B541)</f>
        <v>1000</v>
      </c>
      <c r="I541" s="18">
        <f>IF(Imóveis!$F$2="PRICE",IF(AND(Dados!$A541&gt;=Imóveis!$Q$2,Dados!$A541&lt;=Imóveis!$T$2),Imóveis!$U$2,0),IF((IF(AND(Dados!$A541&gt;=Imóveis!$Q$2,Dados!$A541&lt;=Imóveis!$T$2),Imóveis!$S$2-(DATEDIF(Imóveis!$Q$2,Dados!$A541,"m")),0))=0,0,((Imóveis!$N$2/Imóveis!$S$2)+((Imóveis!$N$2-((Imóveis!$S$2-(IF(AND(Dados!$A541&gt;=Imóveis!$Q$2,Dados!$A541&lt;=Imóveis!$T$2),Imóveis!$S$2-(DATEDIF(Imóveis!$Q$2,Dados!$A541,"m")),)))*(Imóveis!$N$2/Imóveis!$S$2)))*Imóveis!$P$2))))*IF(AND(Imóveis!$E$2&gt;0,Dados!$A541&gt;Imóveis!$E$2),0,1)</f>
        <v>0</v>
      </c>
      <c r="J541" s="18">
        <f>IF(Imóveis!$F$3="PRICE",IF(AND(Dados!$A541&gt;=Imóveis!$Q$3,Dados!$A541&lt;=Imóveis!$T$3),Imóveis!$U$3,0),IF((IF(AND(Dados!$A541&gt;=Imóveis!$Q$3,Dados!$A541&lt;=Imóveis!$T$3),Imóveis!$S$3-(DATEDIF(Imóveis!$Q$3,Dados!$A541,"m")),0))=0,0,((Imóveis!$N$3/Imóveis!$S$3)+((Imóveis!$N$3-((Imóveis!$S$3-(IF(AND(Dados!$A541&gt;=Imóveis!$Q$3,Dados!$A541&lt;=Imóveis!$T$3),Imóveis!$S$3-(DATEDIF(Imóveis!$Q$3,Dados!$A541,"m")),)))*(Imóveis!$N$3/Imóveis!$S$3)))*Imóveis!$P$3))))*IF(AND(Imóveis!$E$3&gt;0,Dados!$A541&gt;Imóveis!$E$3),0,1)</f>
        <v>0</v>
      </c>
      <c r="K541" s="18">
        <f>IF(Imóveis!$F$4="PRICE",IF(AND(Dados!$A541&gt;=Imóveis!$Q$4,Dados!$A541&lt;=Imóveis!$T$4),Imóveis!$U$4,0),IF((IF(AND(Dados!$A541&gt;=Imóveis!$Q$4,Dados!$A541&lt;=Imóveis!$T$4),Imóveis!$S$4-(DATEDIF(Imóveis!$Q$4,Dados!$A541,"m")),0))=0,0,((Imóveis!$N$4/Imóveis!$S$4)+((Imóveis!$N$4-((Imóveis!$S$4-(IF(AND(Dados!$A541&gt;=Imóveis!$Q$4,Dados!$A541&lt;=Imóveis!$T$4),Imóveis!$S$4-(DATEDIF(Imóveis!$Q$4,Dados!$A541,"m")),)))*(Imóveis!$N$4/Imóveis!$S$4)))*Imóveis!$P$4))))*IF(AND(Imóveis!$E$4&gt;0,Dados!$A541&gt;Imóveis!$E$4),0,1)</f>
        <v>0</v>
      </c>
      <c r="L541" s="18">
        <f>IF(Imóveis!$F$5="PRICE",IF(AND(Dados!$A541&gt;=Imóveis!$Q$5,Dados!$A541&lt;=Imóveis!$T$5),Imóveis!$U$5,0),IF((IF(AND(Dados!$A541&gt;=Imóveis!$Q$5,Dados!$A541&lt;=Imóveis!$T$5),Imóveis!$S$5-(DATEDIF(Imóveis!$Q$5,Dados!$A541,"m")),0))=0,0,((Imóveis!$N$5/Imóveis!$S$5)+((Imóveis!$N$5-((Imóveis!$S$5-(IF(AND(Dados!$A541 &gt;=Imóveis!$Q$5,Dados!$A541&lt;=Imóveis!$T$5),Imóveis!$S$5-(DATEDIF(Imóveis!$Q$5,Dados!$A541,"m")),)))*(Imóveis!$N$5/Imóveis!$S$5)))*Imóveis!$P$5))))*IF(AND(Imóveis!$E$5&gt;0,Dados!$A541&gt;Imóveis!$E$5),0,1)*Imóveis!$I$5</f>
        <v>0</v>
      </c>
      <c r="M541" s="18">
        <f>IF(Imóveis!$F$6="PRICE",IF(AND(Dados!$A541&gt;=Imóveis!$Q$6,Dados!$A541&lt;=Imóveis!$T$6),Imóveis!$U$6,0),IF((IF(AND(Dados!$A541&gt;=Imóveis!$Q$6,Dados!$A541&lt;=Imóveis!$T$6),Imóveis!$S$6-(DATEDIF(Imóveis!$Q$6,Dados!$A541,"m")),0))=0,0,((Imóveis!$N$6/Imóveis!$S$6)+((Imóveis!$N$6-((Imóveis!$S$6-(IF(AND(Dados!$A541&gt;=Imóveis!$Q$6,Dados!$A541&lt;=Imóveis!$T$6),Imóveis!$S$6-(DATEDIF(Imóveis!$Q$6,Dados!$A541,"m")),)))*(Imóveis!$N$6/Imóveis!$S$6)))*Imóveis!$P$6))))*IF(AND(Imóveis!$E$6&gt;0,Dados!$A541&gt;Imóveis!$E$6),0,1)*Imóveis!$I$6</f>
        <v>0</v>
      </c>
      <c r="N541" s="18">
        <f t="shared" ca="1" si="69"/>
        <v>92757</v>
      </c>
      <c r="O541" s="18">
        <f>SUMIFS(Receitas!$F:$F,Receitas!$J:$J,"&lt;="&amp;$A541,Receitas!$L:$L,"&gt;="&amp;$A541,Receitas!$C:$C,O$1,Receitas!$M:$M,"Mensal")+SUMIFS(Receitas!$F:$F,Receitas!$J:$J,"&lt;="&amp;$A541,Receitas!$L:$L,"&gt;="&amp;$A541,Receitas!$C:$C,O$1,Receitas!$M:$M,$B541)</f>
        <v>0</v>
      </c>
      <c r="P541" s="18">
        <f>SUMIFS(Receitas!$F:$F,Receitas!$J:$J,"&lt;="&amp;$A541,Receitas!$L:$L,"&gt;="&amp;$A541,Receitas!$C:$C,P$1,Receitas!$M:$M,"Mensal")+SUMIFS(Receitas!$F:$F,Receitas!$J:$J,"&lt;="&amp;$A541,Receitas!$L:$L,"&gt;="&amp;$A541,Receitas!$C:$C,P$1,Receitas!$M:$M,$B541)</f>
        <v>0</v>
      </c>
      <c r="Q541" s="18">
        <f>SUMIFS(Receitas!$F:$F,Receitas!$J:$J,"&lt;="&amp;$A541,Receitas!$L:$L,"&gt;="&amp;$A541,Receitas!$C:$C,Q$1,Receitas!$M:$M,"Mensal")+SUMIFS(Receitas!$F:$F,Receitas!$J:$J,"&lt;="&amp;$A541,Receitas!$L:$L,"&gt;="&amp;$A541,Receitas!$C:$C,Q$1,Receitas!$M:$M,$B541)</f>
        <v>0</v>
      </c>
      <c r="R541" s="18" cm="1">
        <f t="array" ref="R541">(IF(AND(Membros!$F$2="Sim",A541&lt;=MAX(Membros!$E$2:$E$5)),Membros!K$2,IF(AND(A541&gt;=Membros!J$2,A541&lt;=MAX(Membros!$E$2:$E$5)),Membros!K$2,0))+IF(AND(Membros!$F$3="Sim",A541&lt;=MAX(Membros!$E$2:$E$5)),Membros!K$3,IF(AND(A541&gt;=Membros!J$3,A541&lt;=MAX(Membros!$E$2:$E$5)),Membros!K$3,0)))*IF(AND(COUNTIFS(Tabela3[Tipo],"Provedor",Tabela3[Simulação Seguro],"Sim")=2,A541&gt;=MAX(IF(Tabela3[Tipo]="Dependente",Tabela3[Expectativa de Vida (Data)]))),0,1)</f>
        <v>10000</v>
      </c>
      <c r="S541" s="18">
        <f t="shared" si="70"/>
        <v>10000</v>
      </c>
      <c r="U541" s="18">
        <f t="shared" ca="1" si="73"/>
        <v>34676056.748473011</v>
      </c>
      <c r="V541" s="18">
        <f>SUMIF(Imóveis!E:E,Dados!A:A,Imóveis!Z:Z)-SUMIF(Imóveis!E:E,Dados!A:A,Imóveis!Y:Y)</f>
        <v>0</v>
      </c>
      <c r="W541" s="18">
        <f>-SUMIF(Projetos!N:N,A541,Projetos!F:F)</f>
        <v>0</v>
      </c>
      <c r="X541" s="18">
        <f t="shared" ca="1" si="67"/>
        <v>-82757</v>
      </c>
      <c r="Y541" s="26">
        <f ca="1">(U541*((Indicadores_Economicos!D$2+1)^(1/12)-1))</f>
        <v>113520.38646726323</v>
      </c>
      <c r="Z541" s="18">
        <f t="shared" ca="1" si="71"/>
        <v>34706820.134940274</v>
      </c>
      <c r="AA541" s="18">
        <f ca="1">Auxiliar_Projetos!E541</f>
        <v>2.2765460782645596E-9</v>
      </c>
      <c r="AB541" s="18">
        <f ca="1">Auxiliar_Projetos!K541</f>
        <v>1.7511892909727371E-9</v>
      </c>
      <c r="AC541" s="18">
        <f ca="1">IF(Z541-AA541-AB541&gt;Investimentos!$C$14,Investimentos!$C$14,IF(Z541-AA541-AB541&lt;Investimentos!$C$14,Z541-AA541-AB541,0))</f>
        <v>300000</v>
      </c>
      <c r="AD541" s="18">
        <f t="shared" ca="1" si="72"/>
        <v>34406820.134940274</v>
      </c>
      <c r="AE541" s="18"/>
    </row>
    <row r="542" spans="1:31" x14ac:dyDescent="0.2">
      <c r="A542" s="4">
        <v>62094</v>
      </c>
      <c r="B542" s="5" t="str">
        <f t="shared" si="68"/>
        <v>janeiro</v>
      </c>
      <c r="C542" s="5" t="str">
        <f t="shared" si="74"/>
        <v>2070</v>
      </c>
      <c r="D542" s="5">
        <f>SUMIFS(Despesas!$F:$F,Despesas!$J:$J,"&lt;="&amp;$A542,Despesas!$L:$L,"&gt;="&amp;$A542,Despesas!$C:$C,D$1,Despesas!$M:$M,"Mensal")+SUMIFS(Despesas!$F:$F,Despesas!$J:$J,"&lt;="&amp;$A542,Despesas!$L:$L,"&gt;="&amp;$A542,Despesas!$C:$C,D$1,Despesas!$M:$M,$B542)</f>
        <v>23000</v>
      </c>
      <c r="E542" s="18">
        <f>SUMIFS(Despesas!$F:$F,Despesas!$J:$J,"&lt;="&amp;$A542,Despesas!$L:$L,"&gt;="&amp;$A542,Despesas!$C:$C,E$1,Despesas!$M:$M,"Mensal")+SUMIFS(Despesas!$F:$F,Despesas!$J:$J,"&lt;="&amp;$A542,Despesas!$L:$L,"&gt;="&amp;$A542,Despesas!$C:$C,E$1,Despesas!$M:$M,$B542)</f>
        <v>0</v>
      </c>
      <c r="F542" s="5">
        <f>SUMIFS(Despesas!$F:$F,Despesas!$J:$J,"&lt;="&amp;$A542,Despesas!$L:$L,"&gt;="&amp;$A542,Despesas!$C:$C,F$1,Despesas!$M:$M,"Mensal")+SUMIFS(Despesas!$F:$F,Despesas!$J:$J,"&lt;="&amp;$A542,Despesas!$L:$L,"&gt;="&amp;$A542,Despesas!$C:$C,F$1,Despesas!$M:$M,$B542)</f>
        <v>13000</v>
      </c>
      <c r="G542" s="5">
        <f>SUMIFS(Despesas!$F:$F,Despesas!$J:$J,"&lt;="&amp;$A542,Despesas!$L:$L,"&gt;="&amp;$A542,Despesas!$C:$C,G$1,Despesas!$M:$M,"Mensal")+SUMIFS(Despesas!$F:$F,Despesas!$J:$J,"&lt;="&amp;$A542,Despesas!$L:$L,"&gt;="&amp;$A542,Despesas!$C:$C,G$1,Despesas!$M:$M,$B542)</f>
        <v>0</v>
      </c>
      <c r="H542" s="18">
        <f>SUMIFS(Despesas!$F:$F,Despesas!$J:$J,"&lt;="&amp;$A542,Despesas!$L:$L,"&gt;="&amp;$A542,Despesas!$C:$C,H$1,Despesas!$M:$M,"Mensal")+SUMIFS(Despesas!$F:$F,Despesas!$J:$J,"&lt;="&amp;$A542,Despesas!$L:$L,"&gt;="&amp;$A542,Despesas!$C:$C,H$1,Despesas!$M:$M,$B542)</f>
        <v>1000</v>
      </c>
      <c r="I542" s="18">
        <f>IF(Imóveis!$F$2="PRICE",IF(AND(Dados!$A542&gt;=Imóveis!$Q$2,Dados!$A542&lt;=Imóveis!$T$2),Imóveis!$U$2,0),IF((IF(AND(Dados!$A542&gt;=Imóveis!$Q$2,Dados!$A542&lt;=Imóveis!$T$2),Imóveis!$S$2-(DATEDIF(Imóveis!$Q$2,Dados!$A542,"m")),0))=0,0,((Imóveis!$N$2/Imóveis!$S$2)+((Imóveis!$N$2-((Imóveis!$S$2-(IF(AND(Dados!$A542&gt;=Imóveis!$Q$2,Dados!$A542&lt;=Imóveis!$T$2),Imóveis!$S$2-(DATEDIF(Imóveis!$Q$2,Dados!$A542,"m")),)))*(Imóveis!$N$2/Imóveis!$S$2)))*Imóveis!$P$2))))*IF(AND(Imóveis!$E$2&gt;0,Dados!$A542&gt;Imóveis!$E$2),0,1)</f>
        <v>0</v>
      </c>
      <c r="J542" s="18">
        <f>IF(Imóveis!$F$3="PRICE",IF(AND(Dados!$A542&gt;=Imóveis!$Q$3,Dados!$A542&lt;=Imóveis!$T$3),Imóveis!$U$3,0),IF((IF(AND(Dados!$A542&gt;=Imóveis!$Q$3,Dados!$A542&lt;=Imóveis!$T$3),Imóveis!$S$3-(DATEDIF(Imóveis!$Q$3,Dados!$A542,"m")),0))=0,0,((Imóveis!$N$3/Imóveis!$S$3)+((Imóveis!$N$3-((Imóveis!$S$3-(IF(AND(Dados!$A542&gt;=Imóveis!$Q$3,Dados!$A542&lt;=Imóveis!$T$3),Imóveis!$S$3-(DATEDIF(Imóveis!$Q$3,Dados!$A542,"m")),)))*(Imóveis!$N$3/Imóveis!$S$3)))*Imóveis!$P$3))))*IF(AND(Imóveis!$E$3&gt;0,Dados!$A542&gt;Imóveis!$E$3),0,1)</f>
        <v>0</v>
      </c>
      <c r="K542" s="18">
        <f>IF(Imóveis!$F$4="PRICE",IF(AND(Dados!$A542&gt;=Imóveis!$Q$4,Dados!$A542&lt;=Imóveis!$T$4),Imóveis!$U$4,0),IF((IF(AND(Dados!$A542&gt;=Imóveis!$Q$4,Dados!$A542&lt;=Imóveis!$T$4),Imóveis!$S$4-(DATEDIF(Imóveis!$Q$4,Dados!$A542,"m")),0))=0,0,((Imóveis!$N$4/Imóveis!$S$4)+((Imóveis!$N$4-((Imóveis!$S$4-(IF(AND(Dados!$A542&gt;=Imóveis!$Q$4,Dados!$A542&lt;=Imóveis!$T$4),Imóveis!$S$4-(DATEDIF(Imóveis!$Q$4,Dados!$A542,"m")),)))*(Imóveis!$N$4/Imóveis!$S$4)))*Imóveis!$P$4))))*IF(AND(Imóveis!$E$4&gt;0,Dados!$A542&gt;Imóveis!$E$4),0,1)</f>
        <v>0</v>
      </c>
      <c r="L542" s="18">
        <f>IF(Imóveis!$F$5="PRICE",IF(AND(Dados!$A542&gt;=Imóveis!$Q$5,Dados!$A542&lt;=Imóveis!$T$5),Imóveis!$U$5,0),IF((IF(AND(Dados!$A542&gt;=Imóveis!$Q$5,Dados!$A542&lt;=Imóveis!$T$5),Imóveis!$S$5-(DATEDIF(Imóveis!$Q$5,Dados!$A542,"m")),0))=0,0,((Imóveis!$N$5/Imóveis!$S$5)+((Imóveis!$N$5-((Imóveis!$S$5-(IF(AND(Dados!$A542 &gt;=Imóveis!$Q$5,Dados!$A542&lt;=Imóveis!$T$5),Imóveis!$S$5-(DATEDIF(Imóveis!$Q$5,Dados!$A542,"m")),)))*(Imóveis!$N$5/Imóveis!$S$5)))*Imóveis!$P$5))))*IF(AND(Imóveis!$E$5&gt;0,Dados!$A542&gt;Imóveis!$E$5),0,1)*Imóveis!$I$5</f>
        <v>0</v>
      </c>
      <c r="M542" s="18">
        <f>IF(Imóveis!$F$6="PRICE",IF(AND(Dados!$A542&gt;=Imóveis!$Q$6,Dados!$A542&lt;=Imóveis!$T$6),Imóveis!$U$6,0),IF((IF(AND(Dados!$A542&gt;=Imóveis!$Q$6,Dados!$A542&lt;=Imóveis!$T$6),Imóveis!$S$6-(DATEDIF(Imóveis!$Q$6,Dados!$A542,"m")),0))=0,0,((Imóveis!$N$6/Imóveis!$S$6)+((Imóveis!$N$6-((Imóveis!$S$6-(IF(AND(Dados!$A542&gt;=Imóveis!$Q$6,Dados!$A542&lt;=Imóveis!$T$6),Imóveis!$S$6-(DATEDIF(Imóveis!$Q$6,Dados!$A542,"m")),)))*(Imóveis!$N$6/Imóveis!$S$6)))*Imóveis!$P$6))))*IF(AND(Imóveis!$E$6&gt;0,Dados!$A542&gt;Imóveis!$E$6),0,1)*Imóveis!$I$6</f>
        <v>0</v>
      </c>
      <c r="N542" s="18">
        <f t="shared" si="69"/>
        <v>37000</v>
      </c>
      <c r="O542" s="18">
        <f>SUMIFS(Receitas!$F:$F,Receitas!$J:$J,"&lt;="&amp;$A542,Receitas!$L:$L,"&gt;="&amp;$A542,Receitas!$C:$C,O$1,Receitas!$M:$M,"Mensal")+SUMIFS(Receitas!$F:$F,Receitas!$J:$J,"&lt;="&amp;$A542,Receitas!$L:$L,"&gt;="&amp;$A542,Receitas!$C:$C,O$1,Receitas!$M:$M,$B542)</f>
        <v>0</v>
      </c>
      <c r="P542" s="18">
        <f>SUMIFS(Receitas!$F:$F,Receitas!$J:$J,"&lt;="&amp;$A542,Receitas!$L:$L,"&gt;="&amp;$A542,Receitas!$C:$C,P$1,Receitas!$M:$M,"Mensal")+SUMIFS(Receitas!$F:$F,Receitas!$J:$J,"&lt;="&amp;$A542,Receitas!$L:$L,"&gt;="&amp;$A542,Receitas!$C:$C,P$1,Receitas!$M:$M,$B542)</f>
        <v>0</v>
      </c>
      <c r="Q542" s="18">
        <f>SUMIFS(Receitas!$F:$F,Receitas!$J:$J,"&lt;="&amp;$A542,Receitas!$L:$L,"&gt;="&amp;$A542,Receitas!$C:$C,Q$1,Receitas!$M:$M,"Mensal")+SUMIFS(Receitas!$F:$F,Receitas!$J:$J,"&lt;="&amp;$A542,Receitas!$L:$L,"&gt;="&amp;$A542,Receitas!$C:$C,Q$1,Receitas!$M:$M,$B542)</f>
        <v>0</v>
      </c>
      <c r="R542" s="18" cm="1">
        <f t="array" ref="R542">(IF(AND(Membros!$F$2="Sim",A542&lt;=MAX(Membros!$E$2:$E$5)),Membros!K$2,IF(AND(A542&gt;=Membros!J$2,A542&lt;=MAX(Membros!$E$2:$E$5)),Membros!K$2,0))+IF(AND(Membros!$F$3="Sim",A542&lt;=MAX(Membros!$E$2:$E$5)),Membros!K$3,IF(AND(A542&gt;=Membros!J$3,A542&lt;=MAX(Membros!$E$2:$E$5)),Membros!K$3,0)))*IF(AND(COUNTIFS(Tabela3[Tipo],"Provedor",Tabela3[Simulação Seguro],"Sim")=2,A542&gt;=MAX(IF(Tabela3[Tipo]="Dependente",Tabela3[Expectativa de Vida (Data)]))),0,1)</f>
        <v>10000</v>
      </c>
      <c r="S542" s="18">
        <f t="shared" si="70"/>
        <v>10000</v>
      </c>
      <c r="U542" s="18">
        <f t="shared" ca="1" si="73"/>
        <v>34706820.134940274</v>
      </c>
      <c r="V542" s="18">
        <f>SUMIF(Imóveis!E:E,Dados!A:A,Imóveis!Z:Z)-SUMIF(Imóveis!E:E,Dados!A:A,Imóveis!Y:Y)</f>
        <v>0</v>
      </c>
      <c r="W542" s="18">
        <f>-SUMIF(Projetos!N:N,A542,Projetos!F:F)</f>
        <v>0</v>
      </c>
      <c r="X542" s="18">
        <f t="shared" si="67"/>
        <v>-27000</v>
      </c>
      <c r="Y542" s="26">
        <f ca="1">(U542*((Indicadores_Economicos!D$2+1)^(1/12)-1))</f>
        <v>113621.09778937628</v>
      </c>
      <c r="Z542" s="18">
        <f t="shared" ca="1" si="71"/>
        <v>34793441.232729651</v>
      </c>
      <c r="AA542" s="18">
        <f ca="1">Auxiliar_Projetos!E542</f>
        <v>2.2839988977269834E-9</v>
      </c>
      <c r="AB542" s="18">
        <f ca="1">Auxiliar_Projetos!K542</f>
        <v>1.7569222290207552E-9</v>
      </c>
      <c r="AC542" s="18">
        <f ca="1">IF(Z542-AA542-AB542&gt;Investimentos!$C$14,Investimentos!$C$14,IF(Z542-AA542-AB542&lt;Investimentos!$C$14,Z542-AA542-AB542,0))</f>
        <v>300000</v>
      </c>
      <c r="AD542" s="18">
        <f t="shared" ca="1" si="72"/>
        <v>34493441.232729651</v>
      </c>
      <c r="AE542" s="18"/>
    </row>
    <row r="543" spans="1:31" x14ac:dyDescent="0.2">
      <c r="A543" s="4">
        <v>62125</v>
      </c>
      <c r="B543" s="5" t="str">
        <f t="shared" si="68"/>
        <v>fevereiro</v>
      </c>
      <c r="C543" s="5" t="str">
        <f t="shared" si="74"/>
        <v>2070</v>
      </c>
      <c r="D543" s="5">
        <f>SUMIFS(Despesas!$F:$F,Despesas!$J:$J,"&lt;="&amp;$A543,Despesas!$L:$L,"&gt;="&amp;$A543,Despesas!$C:$C,D$1,Despesas!$M:$M,"Mensal")+SUMIFS(Despesas!$F:$F,Despesas!$J:$J,"&lt;="&amp;$A543,Despesas!$L:$L,"&gt;="&amp;$A543,Despesas!$C:$C,D$1,Despesas!$M:$M,$B543)</f>
        <v>23000</v>
      </c>
      <c r="E543" s="18">
        <f>SUMIFS(Despesas!$F:$F,Despesas!$J:$J,"&lt;="&amp;$A543,Despesas!$L:$L,"&gt;="&amp;$A543,Despesas!$C:$C,E$1,Despesas!$M:$M,"Mensal")+SUMIFS(Despesas!$F:$F,Despesas!$J:$J,"&lt;="&amp;$A543,Despesas!$L:$L,"&gt;="&amp;$A543,Despesas!$C:$C,E$1,Despesas!$M:$M,$B543)</f>
        <v>0</v>
      </c>
      <c r="F543" s="5">
        <f>SUMIFS(Despesas!$F:$F,Despesas!$J:$J,"&lt;="&amp;$A543,Despesas!$L:$L,"&gt;="&amp;$A543,Despesas!$C:$C,F$1,Despesas!$M:$M,"Mensal")+SUMIFS(Despesas!$F:$F,Despesas!$J:$J,"&lt;="&amp;$A543,Despesas!$L:$L,"&gt;="&amp;$A543,Despesas!$C:$C,F$1,Despesas!$M:$M,$B543)</f>
        <v>13000</v>
      </c>
      <c r="G543" s="5">
        <f>SUMIFS(Despesas!$F:$F,Despesas!$J:$J,"&lt;="&amp;$A543,Despesas!$L:$L,"&gt;="&amp;$A543,Despesas!$C:$C,G$1,Despesas!$M:$M,"Mensal")+SUMIFS(Despesas!$F:$F,Despesas!$J:$J,"&lt;="&amp;$A543,Despesas!$L:$L,"&gt;="&amp;$A543,Despesas!$C:$C,G$1,Despesas!$M:$M,$B543)</f>
        <v>0</v>
      </c>
      <c r="H543" s="18">
        <f>SUMIFS(Despesas!$F:$F,Despesas!$J:$J,"&lt;="&amp;$A543,Despesas!$L:$L,"&gt;="&amp;$A543,Despesas!$C:$C,H$1,Despesas!$M:$M,"Mensal")+SUMIFS(Despesas!$F:$F,Despesas!$J:$J,"&lt;="&amp;$A543,Despesas!$L:$L,"&gt;="&amp;$A543,Despesas!$C:$C,H$1,Despesas!$M:$M,$B543)</f>
        <v>2200</v>
      </c>
      <c r="I543" s="18">
        <f>IF(Imóveis!$F$2="PRICE",IF(AND(Dados!$A543&gt;=Imóveis!$Q$2,Dados!$A543&lt;=Imóveis!$T$2),Imóveis!$U$2,0),IF((IF(AND(Dados!$A543&gt;=Imóveis!$Q$2,Dados!$A543&lt;=Imóveis!$T$2),Imóveis!$S$2-(DATEDIF(Imóveis!$Q$2,Dados!$A543,"m")),0))=0,0,((Imóveis!$N$2/Imóveis!$S$2)+((Imóveis!$N$2-((Imóveis!$S$2-(IF(AND(Dados!$A543&gt;=Imóveis!$Q$2,Dados!$A543&lt;=Imóveis!$T$2),Imóveis!$S$2-(DATEDIF(Imóveis!$Q$2,Dados!$A543,"m")),)))*(Imóveis!$N$2/Imóveis!$S$2)))*Imóveis!$P$2))))*IF(AND(Imóveis!$E$2&gt;0,Dados!$A543&gt;Imóveis!$E$2),0,1)</f>
        <v>0</v>
      </c>
      <c r="J543" s="18">
        <f>IF(Imóveis!$F$3="PRICE",IF(AND(Dados!$A543&gt;=Imóveis!$Q$3,Dados!$A543&lt;=Imóveis!$T$3),Imóveis!$U$3,0),IF((IF(AND(Dados!$A543&gt;=Imóveis!$Q$3,Dados!$A543&lt;=Imóveis!$T$3),Imóveis!$S$3-(DATEDIF(Imóveis!$Q$3,Dados!$A543,"m")),0))=0,0,((Imóveis!$N$3/Imóveis!$S$3)+((Imóveis!$N$3-((Imóveis!$S$3-(IF(AND(Dados!$A543&gt;=Imóveis!$Q$3,Dados!$A543&lt;=Imóveis!$T$3),Imóveis!$S$3-(DATEDIF(Imóveis!$Q$3,Dados!$A543,"m")),)))*(Imóveis!$N$3/Imóveis!$S$3)))*Imóveis!$P$3))))*IF(AND(Imóveis!$E$3&gt;0,Dados!$A543&gt;Imóveis!$E$3),0,1)</f>
        <v>0</v>
      </c>
      <c r="K543" s="18">
        <f>IF(Imóveis!$F$4="PRICE",IF(AND(Dados!$A543&gt;=Imóveis!$Q$4,Dados!$A543&lt;=Imóveis!$T$4),Imóveis!$U$4,0),IF((IF(AND(Dados!$A543&gt;=Imóveis!$Q$4,Dados!$A543&lt;=Imóveis!$T$4),Imóveis!$S$4-(DATEDIF(Imóveis!$Q$4,Dados!$A543,"m")),0))=0,0,((Imóveis!$N$4/Imóveis!$S$4)+((Imóveis!$N$4-((Imóveis!$S$4-(IF(AND(Dados!$A543&gt;=Imóveis!$Q$4,Dados!$A543&lt;=Imóveis!$T$4),Imóveis!$S$4-(DATEDIF(Imóveis!$Q$4,Dados!$A543,"m")),)))*(Imóveis!$N$4/Imóveis!$S$4)))*Imóveis!$P$4))))*IF(AND(Imóveis!$E$4&gt;0,Dados!$A543&gt;Imóveis!$E$4),0,1)</f>
        <v>0</v>
      </c>
      <c r="L543" s="18">
        <f>IF(Imóveis!$F$5="PRICE",IF(AND(Dados!$A543&gt;=Imóveis!$Q$5,Dados!$A543&lt;=Imóveis!$T$5),Imóveis!$U$5,0),IF((IF(AND(Dados!$A543&gt;=Imóveis!$Q$5,Dados!$A543&lt;=Imóveis!$T$5),Imóveis!$S$5-(DATEDIF(Imóveis!$Q$5,Dados!$A543,"m")),0))=0,0,((Imóveis!$N$5/Imóveis!$S$5)+((Imóveis!$N$5-((Imóveis!$S$5-(IF(AND(Dados!$A543 &gt;=Imóveis!$Q$5,Dados!$A543&lt;=Imóveis!$T$5),Imóveis!$S$5-(DATEDIF(Imóveis!$Q$5,Dados!$A543,"m")),)))*(Imóveis!$N$5/Imóveis!$S$5)))*Imóveis!$P$5))))*IF(AND(Imóveis!$E$5&gt;0,Dados!$A543&gt;Imóveis!$E$5),0,1)*Imóveis!$I$5</f>
        <v>0</v>
      </c>
      <c r="M543" s="18">
        <f>IF(Imóveis!$F$6="PRICE",IF(AND(Dados!$A543&gt;=Imóveis!$Q$6,Dados!$A543&lt;=Imóveis!$T$6),Imóveis!$U$6,0),IF((IF(AND(Dados!$A543&gt;=Imóveis!$Q$6,Dados!$A543&lt;=Imóveis!$T$6),Imóveis!$S$6-(DATEDIF(Imóveis!$Q$6,Dados!$A543,"m")),0))=0,0,((Imóveis!$N$6/Imóveis!$S$6)+((Imóveis!$N$6-((Imóveis!$S$6-(IF(AND(Dados!$A543&gt;=Imóveis!$Q$6,Dados!$A543&lt;=Imóveis!$T$6),Imóveis!$S$6-(DATEDIF(Imóveis!$Q$6,Dados!$A543,"m")),)))*(Imóveis!$N$6/Imóveis!$S$6)))*Imóveis!$P$6))))*IF(AND(Imóveis!$E$6&gt;0,Dados!$A543&gt;Imóveis!$E$6),0,1)*Imóveis!$I$6</f>
        <v>0</v>
      </c>
      <c r="N543" s="18">
        <f t="shared" si="69"/>
        <v>38200</v>
      </c>
      <c r="O543" s="18">
        <f>SUMIFS(Receitas!$F:$F,Receitas!$J:$J,"&lt;="&amp;$A543,Receitas!$L:$L,"&gt;="&amp;$A543,Receitas!$C:$C,O$1,Receitas!$M:$M,"Mensal")+SUMIFS(Receitas!$F:$F,Receitas!$J:$J,"&lt;="&amp;$A543,Receitas!$L:$L,"&gt;="&amp;$A543,Receitas!$C:$C,O$1,Receitas!$M:$M,$B543)</f>
        <v>0</v>
      </c>
      <c r="P543" s="18">
        <f>SUMIFS(Receitas!$F:$F,Receitas!$J:$J,"&lt;="&amp;$A543,Receitas!$L:$L,"&gt;="&amp;$A543,Receitas!$C:$C,P$1,Receitas!$M:$M,"Mensal")+SUMIFS(Receitas!$F:$F,Receitas!$J:$J,"&lt;="&amp;$A543,Receitas!$L:$L,"&gt;="&amp;$A543,Receitas!$C:$C,P$1,Receitas!$M:$M,$B543)</f>
        <v>0</v>
      </c>
      <c r="Q543" s="18">
        <f>SUMIFS(Receitas!$F:$F,Receitas!$J:$J,"&lt;="&amp;$A543,Receitas!$L:$L,"&gt;="&amp;$A543,Receitas!$C:$C,Q$1,Receitas!$M:$M,"Mensal")+SUMIFS(Receitas!$F:$F,Receitas!$J:$J,"&lt;="&amp;$A543,Receitas!$L:$L,"&gt;="&amp;$A543,Receitas!$C:$C,Q$1,Receitas!$M:$M,$B543)</f>
        <v>0</v>
      </c>
      <c r="R543" s="18" cm="1">
        <f t="array" ref="R543">(IF(AND(Membros!$F$2="Sim",A543&lt;=MAX(Membros!$E$2:$E$5)),Membros!K$2,IF(AND(A543&gt;=Membros!J$2,A543&lt;=MAX(Membros!$E$2:$E$5)),Membros!K$2,0))+IF(AND(Membros!$F$3="Sim",A543&lt;=MAX(Membros!$E$2:$E$5)),Membros!K$3,IF(AND(A543&gt;=Membros!J$3,A543&lt;=MAX(Membros!$E$2:$E$5)),Membros!K$3,0)))*IF(AND(COUNTIFS(Tabela3[Tipo],"Provedor",Tabela3[Simulação Seguro],"Sim")=2,A543&gt;=MAX(IF(Tabela3[Tipo]="Dependente",Tabela3[Expectativa de Vida (Data)]))),0,1)</f>
        <v>10000</v>
      </c>
      <c r="S543" s="18">
        <f t="shared" si="70"/>
        <v>10000</v>
      </c>
      <c r="U543" s="18">
        <f t="shared" ca="1" si="73"/>
        <v>34793441.232729651</v>
      </c>
      <c r="V543" s="18">
        <f>SUMIF(Imóveis!E:E,Dados!A:A,Imóveis!Z:Z)-SUMIF(Imóveis!E:E,Dados!A:A,Imóveis!Y:Y)</f>
        <v>0</v>
      </c>
      <c r="W543" s="18">
        <f>-SUMIF(Projetos!N:N,A543,Projetos!F:F)</f>
        <v>0</v>
      </c>
      <c r="X543" s="18">
        <f t="shared" si="67"/>
        <v>-28200</v>
      </c>
      <c r="Y543" s="26">
        <f ca="1">(U543*((Indicadores_Economicos!D$2+1)^(1/12)-1))</f>
        <v>113904.6727231871</v>
      </c>
      <c r="Z543" s="18">
        <f t="shared" ca="1" si="71"/>
        <v>34879145.90545284</v>
      </c>
      <c r="AA543" s="18">
        <f ca="1">Auxiliar_Projetos!E543</f>
        <v>2.2914761157809708E-9</v>
      </c>
      <c r="AB543" s="18">
        <f ca="1">Auxiliar_Projetos!K543</f>
        <v>1.76267393521613E-9</v>
      </c>
      <c r="AC543" s="18">
        <f ca="1">IF(Z543-AA543-AB543&gt;Investimentos!$C$14,Investimentos!$C$14,IF(Z543-AA543-AB543&lt;Investimentos!$C$14,Z543-AA543-AB543,0))</f>
        <v>300000</v>
      </c>
      <c r="AD543" s="18">
        <f t="shared" ca="1" si="72"/>
        <v>34579145.90545284</v>
      </c>
      <c r="AE543" s="18"/>
    </row>
    <row r="544" spans="1:31" x14ac:dyDescent="0.2">
      <c r="A544" s="4">
        <v>62153</v>
      </c>
      <c r="B544" s="5" t="str">
        <f t="shared" si="68"/>
        <v>março</v>
      </c>
      <c r="C544" s="5" t="str">
        <f t="shared" si="74"/>
        <v>2070</v>
      </c>
      <c r="D544" s="5">
        <f>SUMIFS(Despesas!$F:$F,Despesas!$J:$J,"&lt;="&amp;$A544,Despesas!$L:$L,"&gt;="&amp;$A544,Despesas!$C:$C,D$1,Despesas!$M:$M,"Mensal")+SUMIFS(Despesas!$F:$F,Despesas!$J:$J,"&lt;="&amp;$A544,Despesas!$L:$L,"&gt;="&amp;$A544,Despesas!$C:$C,D$1,Despesas!$M:$M,$B544)</f>
        <v>23000</v>
      </c>
      <c r="E544" s="18">
        <f>SUMIFS(Despesas!$F:$F,Despesas!$J:$J,"&lt;="&amp;$A544,Despesas!$L:$L,"&gt;="&amp;$A544,Despesas!$C:$C,E$1,Despesas!$M:$M,"Mensal")+SUMIFS(Despesas!$F:$F,Despesas!$J:$J,"&lt;="&amp;$A544,Despesas!$L:$L,"&gt;="&amp;$A544,Despesas!$C:$C,E$1,Despesas!$M:$M,$B544)</f>
        <v>0</v>
      </c>
      <c r="F544" s="5">
        <f>SUMIFS(Despesas!$F:$F,Despesas!$J:$J,"&lt;="&amp;$A544,Despesas!$L:$L,"&gt;="&amp;$A544,Despesas!$C:$C,F$1,Despesas!$M:$M,"Mensal")+SUMIFS(Despesas!$F:$F,Despesas!$J:$J,"&lt;="&amp;$A544,Despesas!$L:$L,"&gt;="&amp;$A544,Despesas!$C:$C,F$1,Despesas!$M:$M,$B544)</f>
        <v>13000</v>
      </c>
      <c r="G544" s="5">
        <f>SUMIFS(Despesas!$F:$F,Despesas!$J:$J,"&lt;="&amp;$A544,Despesas!$L:$L,"&gt;="&amp;$A544,Despesas!$C:$C,G$1,Despesas!$M:$M,"Mensal")+SUMIFS(Despesas!$F:$F,Despesas!$J:$J,"&lt;="&amp;$A544,Despesas!$L:$L,"&gt;="&amp;$A544,Despesas!$C:$C,G$1,Despesas!$M:$M,$B544)</f>
        <v>0</v>
      </c>
      <c r="H544" s="18">
        <f>SUMIFS(Despesas!$F:$F,Despesas!$J:$J,"&lt;="&amp;$A544,Despesas!$L:$L,"&gt;="&amp;$A544,Despesas!$C:$C,H$1,Despesas!$M:$M,"Mensal")+SUMIFS(Despesas!$F:$F,Despesas!$J:$J,"&lt;="&amp;$A544,Despesas!$L:$L,"&gt;="&amp;$A544,Despesas!$C:$C,H$1,Despesas!$M:$M,$B544)</f>
        <v>1000</v>
      </c>
      <c r="I544" s="18">
        <f>IF(Imóveis!$F$2="PRICE",IF(AND(Dados!$A544&gt;=Imóveis!$Q$2,Dados!$A544&lt;=Imóveis!$T$2),Imóveis!$U$2,0),IF((IF(AND(Dados!$A544&gt;=Imóveis!$Q$2,Dados!$A544&lt;=Imóveis!$T$2),Imóveis!$S$2-(DATEDIF(Imóveis!$Q$2,Dados!$A544,"m")),0))=0,0,((Imóveis!$N$2/Imóveis!$S$2)+((Imóveis!$N$2-((Imóveis!$S$2-(IF(AND(Dados!$A544&gt;=Imóveis!$Q$2,Dados!$A544&lt;=Imóveis!$T$2),Imóveis!$S$2-(DATEDIF(Imóveis!$Q$2,Dados!$A544,"m")),)))*(Imóveis!$N$2/Imóveis!$S$2)))*Imóveis!$P$2))))*IF(AND(Imóveis!$E$2&gt;0,Dados!$A544&gt;Imóveis!$E$2),0,1)</f>
        <v>0</v>
      </c>
      <c r="J544" s="18">
        <f>IF(Imóveis!$F$3="PRICE",IF(AND(Dados!$A544&gt;=Imóveis!$Q$3,Dados!$A544&lt;=Imóveis!$T$3),Imóveis!$U$3,0),IF((IF(AND(Dados!$A544&gt;=Imóveis!$Q$3,Dados!$A544&lt;=Imóveis!$T$3),Imóveis!$S$3-(DATEDIF(Imóveis!$Q$3,Dados!$A544,"m")),0))=0,0,((Imóveis!$N$3/Imóveis!$S$3)+((Imóveis!$N$3-((Imóveis!$S$3-(IF(AND(Dados!$A544&gt;=Imóveis!$Q$3,Dados!$A544&lt;=Imóveis!$T$3),Imóveis!$S$3-(DATEDIF(Imóveis!$Q$3,Dados!$A544,"m")),)))*(Imóveis!$N$3/Imóveis!$S$3)))*Imóveis!$P$3))))*IF(AND(Imóveis!$E$3&gt;0,Dados!$A544&gt;Imóveis!$E$3),0,1)</f>
        <v>0</v>
      </c>
      <c r="K544" s="18">
        <f>IF(Imóveis!$F$4="PRICE",IF(AND(Dados!$A544&gt;=Imóveis!$Q$4,Dados!$A544&lt;=Imóveis!$T$4),Imóveis!$U$4,0),IF((IF(AND(Dados!$A544&gt;=Imóveis!$Q$4,Dados!$A544&lt;=Imóveis!$T$4),Imóveis!$S$4-(DATEDIF(Imóveis!$Q$4,Dados!$A544,"m")),0))=0,0,((Imóveis!$N$4/Imóveis!$S$4)+((Imóveis!$N$4-((Imóveis!$S$4-(IF(AND(Dados!$A544&gt;=Imóveis!$Q$4,Dados!$A544&lt;=Imóveis!$T$4),Imóveis!$S$4-(DATEDIF(Imóveis!$Q$4,Dados!$A544,"m")),)))*(Imóveis!$N$4/Imóveis!$S$4)))*Imóveis!$P$4))))*IF(AND(Imóveis!$E$4&gt;0,Dados!$A544&gt;Imóveis!$E$4),0,1)</f>
        <v>0</v>
      </c>
      <c r="L544" s="18">
        <f>IF(Imóveis!$F$5="PRICE",IF(AND(Dados!$A544&gt;=Imóveis!$Q$5,Dados!$A544&lt;=Imóveis!$T$5),Imóveis!$U$5,0),IF((IF(AND(Dados!$A544&gt;=Imóveis!$Q$5,Dados!$A544&lt;=Imóveis!$T$5),Imóveis!$S$5-(DATEDIF(Imóveis!$Q$5,Dados!$A544,"m")),0))=0,0,((Imóveis!$N$5/Imóveis!$S$5)+((Imóveis!$N$5-((Imóveis!$S$5-(IF(AND(Dados!$A544 &gt;=Imóveis!$Q$5,Dados!$A544&lt;=Imóveis!$T$5),Imóveis!$S$5-(DATEDIF(Imóveis!$Q$5,Dados!$A544,"m")),)))*(Imóveis!$N$5/Imóveis!$S$5)))*Imóveis!$P$5))))*IF(AND(Imóveis!$E$5&gt;0,Dados!$A544&gt;Imóveis!$E$5),0,1)*Imóveis!$I$5</f>
        <v>0</v>
      </c>
      <c r="M544" s="18">
        <f>IF(Imóveis!$F$6="PRICE",IF(AND(Dados!$A544&gt;=Imóveis!$Q$6,Dados!$A544&lt;=Imóveis!$T$6),Imóveis!$U$6,0),IF((IF(AND(Dados!$A544&gt;=Imóveis!$Q$6,Dados!$A544&lt;=Imóveis!$T$6),Imóveis!$S$6-(DATEDIF(Imóveis!$Q$6,Dados!$A544,"m")),0))=0,0,((Imóveis!$N$6/Imóveis!$S$6)+((Imóveis!$N$6-((Imóveis!$S$6-(IF(AND(Dados!$A544&gt;=Imóveis!$Q$6,Dados!$A544&lt;=Imóveis!$T$6),Imóveis!$S$6-(DATEDIF(Imóveis!$Q$6,Dados!$A544,"m")),)))*(Imóveis!$N$6/Imóveis!$S$6)))*Imóveis!$P$6))))*IF(AND(Imóveis!$E$6&gt;0,Dados!$A544&gt;Imóveis!$E$6),0,1)*Imóveis!$I$6</f>
        <v>0</v>
      </c>
      <c r="N544" s="18">
        <f t="shared" si="69"/>
        <v>37000</v>
      </c>
      <c r="O544" s="18">
        <f>SUMIFS(Receitas!$F:$F,Receitas!$J:$J,"&lt;="&amp;$A544,Receitas!$L:$L,"&gt;="&amp;$A544,Receitas!$C:$C,O$1,Receitas!$M:$M,"Mensal")+SUMIFS(Receitas!$F:$F,Receitas!$J:$J,"&lt;="&amp;$A544,Receitas!$L:$L,"&gt;="&amp;$A544,Receitas!$C:$C,O$1,Receitas!$M:$M,$B544)</f>
        <v>0</v>
      </c>
      <c r="P544" s="18">
        <f>SUMIFS(Receitas!$F:$F,Receitas!$J:$J,"&lt;="&amp;$A544,Receitas!$L:$L,"&gt;="&amp;$A544,Receitas!$C:$C,P$1,Receitas!$M:$M,"Mensal")+SUMIFS(Receitas!$F:$F,Receitas!$J:$J,"&lt;="&amp;$A544,Receitas!$L:$L,"&gt;="&amp;$A544,Receitas!$C:$C,P$1,Receitas!$M:$M,$B544)</f>
        <v>0</v>
      </c>
      <c r="Q544" s="18">
        <f>SUMIFS(Receitas!$F:$F,Receitas!$J:$J,"&lt;="&amp;$A544,Receitas!$L:$L,"&gt;="&amp;$A544,Receitas!$C:$C,Q$1,Receitas!$M:$M,"Mensal")+SUMIFS(Receitas!$F:$F,Receitas!$J:$J,"&lt;="&amp;$A544,Receitas!$L:$L,"&gt;="&amp;$A544,Receitas!$C:$C,Q$1,Receitas!$M:$M,$B544)</f>
        <v>0</v>
      </c>
      <c r="R544" s="18" cm="1">
        <f t="array" ref="R544">(IF(AND(Membros!$F$2="Sim",A544&lt;=MAX(Membros!$E$2:$E$5)),Membros!K$2,IF(AND(A544&gt;=Membros!J$2,A544&lt;=MAX(Membros!$E$2:$E$5)),Membros!K$2,0))+IF(AND(Membros!$F$3="Sim",A544&lt;=MAX(Membros!$E$2:$E$5)),Membros!K$3,IF(AND(A544&gt;=Membros!J$3,A544&lt;=MAX(Membros!$E$2:$E$5)),Membros!K$3,0)))*IF(AND(COUNTIFS(Tabela3[Tipo],"Provedor",Tabela3[Simulação Seguro],"Sim")=2,A544&gt;=MAX(IF(Tabela3[Tipo]="Dependente",Tabela3[Expectativa de Vida (Data)]))),0,1)</f>
        <v>10000</v>
      </c>
      <c r="S544" s="18">
        <f t="shared" si="70"/>
        <v>10000</v>
      </c>
      <c r="U544" s="18">
        <f t="shared" ca="1" si="73"/>
        <v>34879145.90545284</v>
      </c>
      <c r="V544" s="18">
        <f>SUMIF(Imóveis!E:E,Dados!A:A,Imóveis!Z:Z)-SUMIF(Imóveis!E:E,Dados!A:A,Imóveis!Y:Y)</f>
        <v>0</v>
      </c>
      <c r="W544" s="18">
        <f>-SUMIF(Projetos!N:N,A544,Projetos!F:F)</f>
        <v>0</v>
      </c>
      <c r="X544" s="18">
        <f t="shared" si="67"/>
        <v>-27000</v>
      </c>
      <c r="Y544" s="26">
        <f ca="1">(U544*((Indicadores_Economicos!D$2+1)^(1/12)-1))</f>
        <v>114185.24751980134</v>
      </c>
      <c r="Z544" s="18">
        <f t="shared" ca="1" si="71"/>
        <v>34966331.152972639</v>
      </c>
      <c r="AA544" s="18">
        <f ca="1">Auxiliar_Projetos!E544</f>
        <v>2.2989778123011617E-9</v>
      </c>
      <c r="AB544" s="18">
        <f ca="1">Auxiliar_Projetos!K544</f>
        <v>1.7684444710008923E-9</v>
      </c>
      <c r="AC544" s="18">
        <f ca="1">IF(Z544-AA544-AB544&gt;Investimentos!$C$14,Investimentos!$C$14,IF(Z544-AA544-AB544&lt;Investimentos!$C$14,Z544-AA544-AB544,0))</f>
        <v>300000</v>
      </c>
      <c r="AD544" s="18">
        <f t="shared" ca="1" si="72"/>
        <v>34666331.152972639</v>
      </c>
      <c r="AE544" s="18"/>
    </row>
    <row r="545" spans="1:31" x14ac:dyDescent="0.2">
      <c r="A545" s="4">
        <v>62184</v>
      </c>
      <c r="B545" s="5" t="str">
        <f t="shared" si="68"/>
        <v>abril</v>
      </c>
      <c r="C545" s="5" t="str">
        <f t="shared" si="74"/>
        <v>2070</v>
      </c>
      <c r="D545" s="5">
        <f>SUMIFS(Despesas!$F:$F,Despesas!$J:$J,"&lt;="&amp;$A545,Despesas!$L:$L,"&gt;="&amp;$A545,Despesas!$C:$C,D$1,Despesas!$M:$M,"Mensal")+SUMIFS(Despesas!$F:$F,Despesas!$J:$J,"&lt;="&amp;$A545,Despesas!$L:$L,"&gt;="&amp;$A545,Despesas!$C:$C,D$1,Despesas!$M:$M,$B545)</f>
        <v>23000</v>
      </c>
      <c r="E545" s="18">
        <f>SUMIFS(Despesas!$F:$F,Despesas!$J:$J,"&lt;="&amp;$A545,Despesas!$L:$L,"&gt;="&amp;$A545,Despesas!$C:$C,E$1,Despesas!$M:$M,"Mensal")+SUMIFS(Despesas!$F:$F,Despesas!$J:$J,"&lt;="&amp;$A545,Despesas!$L:$L,"&gt;="&amp;$A545,Despesas!$C:$C,E$1,Despesas!$M:$M,$B545)</f>
        <v>0</v>
      </c>
      <c r="F545" s="5">
        <f>SUMIFS(Despesas!$F:$F,Despesas!$J:$J,"&lt;="&amp;$A545,Despesas!$L:$L,"&gt;="&amp;$A545,Despesas!$C:$C,F$1,Despesas!$M:$M,"Mensal")+SUMIFS(Despesas!$F:$F,Despesas!$J:$J,"&lt;="&amp;$A545,Despesas!$L:$L,"&gt;="&amp;$A545,Despesas!$C:$C,F$1,Despesas!$M:$M,$B545)</f>
        <v>13000</v>
      </c>
      <c r="G545" s="5">
        <f>SUMIFS(Despesas!$F:$F,Despesas!$J:$J,"&lt;="&amp;$A545,Despesas!$L:$L,"&gt;="&amp;$A545,Despesas!$C:$C,G$1,Despesas!$M:$M,"Mensal")+SUMIFS(Despesas!$F:$F,Despesas!$J:$J,"&lt;="&amp;$A545,Despesas!$L:$L,"&gt;="&amp;$A545,Despesas!$C:$C,G$1,Despesas!$M:$M,$B545)</f>
        <v>0</v>
      </c>
      <c r="H545" s="18">
        <f>SUMIFS(Despesas!$F:$F,Despesas!$J:$J,"&lt;="&amp;$A545,Despesas!$L:$L,"&gt;="&amp;$A545,Despesas!$C:$C,H$1,Despesas!$M:$M,"Mensal")+SUMIFS(Despesas!$F:$F,Despesas!$J:$J,"&lt;="&amp;$A545,Despesas!$L:$L,"&gt;="&amp;$A545,Despesas!$C:$C,H$1,Despesas!$M:$M,$B545)</f>
        <v>1000</v>
      </c>
      <c r="I545" s="18">
        <f>IF(Imóveis!$F$2="PRICE",IF(AND(Dados!$A545&gt;=Imóveis!$Q$2,Dados!$A545&lt;=Imóveis!$T$2),Imóveis!$U$2,0),IF((IF(AND(Dados!$A545&gt;=Imóveis!$Q$2,Dados!$A545&lt;=Imóveis!$T$2),Imóveis!$S$2-(DATEDIF(Imóveis!$Q$2,Dados!$A545,"m")),0))=0,0,((Imóveis!$N$2/Imóveis!$S$2)+((Imóveis!$N$2-((Imóveis!$S$2-(IF(AND(Dados!$A545&gt;=Imóveis!$Q$2,Dados!$A545&lt;=Imóveis!$T$2),Imóveis!$S$2-(DATEDIF(Imóveis!$Q$2,Dados!$A545,"m")),)))*(Imóveis!$N$2/Imóveis!$S$2)))*Imóveis!$P$2))))*IF(AND(Imóveis!$E$2&gt;0,Dados!$A545&gt;Imóveis!$E$2),0,1)</f>
        <v>0</v>
      </c>
      <c r="J545" s="18">
        <f>IF(Imóveis!$F$3="PRICE",IF(AND(Dados!$A545&gt;=Imóveis!$Q$3,Dados!$A545&lt;=Imóveis!$T$3),Imóveis!$U$3,0),IF((IF(AND(Dados!$A545&gt;=Imóveis!$Q$3,Dados!$A545&lt;=Imóveis!$T$3),Imóveis!$S$3-(DATEDIF(Imóveis!$Q$3,Dados!$A545,"m")),0))=0,0,((Imóveis!$N$3/Imóveis!$S$3)+((Imóveis!$N$3-((Imóveis!$S$3-(IF(AND(Dados!$A545&gt;=Imóveis!$Q$3,Dados!$A545&lt;=Imóveis!$T$3),Imóveis!$S$3-(DATEDIF(Imóveis!$Q$3,Dados!$A545,"m")),)))*(Imóveis!$N$3/Imóveis!$S$3)))*Imóveis!$P$3))))*IF(AND(Imóveis!$E$3&gt;0,Dados!$A545&gt;Imóveis!$E$3),0,1)</f>
        <v>0</v>
      </c>
      <c r="K545" s="18">
        <f>IF(Imóveis!$F$4="PRICE",IF(AND(Dados!$A545&gt;=Imóveis!$Q$4,Dados!$A545&lt;=Imóveis!$T$4),Imóveis!$U$4,0),IF((IF(AND(Dados!$A545&gt;=Imóveis!$Q$4,Dados!$A545&lt;=Imóveis!$T$4),Imóveis!$S$4-(DATEDIF(Imóveis!$Q$4,Dados!$A545,"m")),0))=0,0,((Imóveis!$N$4/Imóveis!$S$4)+((Imóveis!$N$4-((Imóveis!$S$4-(IF(AND(Dados!$A545&gt;=Imóveis!$Q$4,Dados!$A545&lt;=Imóveis!$T$4),Imóveis!$S$4-(DATEDIF(Imóveis!$Q$4,Dados!$A545,"m")),)))*(Imóveis!$N$4/Imóveis!$S$4)))*Imóveis!$P$4))))*IF(AND(Imóveis!$E$4&gt;0,Dados!$A545&gt;Imóveis!$E$4),0,1)</f>
        <v>0</v>
      </c>
      <c r="L545" s="18">
        <f>IF(Imóveis!$F$5="PRICE",IF(AND(Dados!$A545&gt;=Imóveis!$Q$5,Dados!$A545&lt;=Imóveis!$T$5),Imóveis!$U$5,0),IF((IF(AND(Dados!$A545&gt;=Imóveis!$Q$5,Dados!$A545&lt;=Imóveis!$T$5),Imóveis!$S$5-(DATEDIF(Imóveis!$Q$5,Dados!$A545,"m")),0))=0,0,((Imóveis!$N$5/Imóveis!$S$5)+((Imóveis!$N$5-((Imóveis!$S$5-(IF(AND(Dados!$A545 &gt;=Imóveis!$Q$5,Dados!$A545&lt;=Imóveis!$T$5),Imóveis!$S$5-(DATEDIF(Imóveis!$Q$5,Dados!$A545,"m")),)))*(Imóveis!$N$5/Imóveis!$S$5)))*Imóveis!$P$5))))*IF(AND(Imóveis!$E$5&gt;0,Dados!$A545&gt;Imóveis!$E$5),0,1)*Imóveis!$I$5</f>
        <v>0</v>
      </c>
      <c r="M545" s="18">
        <f>IF(Imóveis!$F$6="PRICE",IF(AND(Dados!$A545&gt;=Imóveis!$Q$6,Dados!$A545&lt;=Imóveis!$T$6),Imóveis!$U$6,0),IF((IF(AND(Dados!$A545&gt;=Imóveis!$Q$6,Dados!$A545&lt;=Imóveis!$T$6),Imóveis!$S$6-(DATEDIF(Imóveis!$Q$6,Dados!$A545,"m")),0))=0,0,((Imóveis!$N$6/Imóveis!$S$6)+((Imóveis!$N$6-((Imóveis!$S$6-(IF(AND(Dados!$A545&gt;=Imóveis!$Q$6,Dados!$A545&lt;=Imóveis!$T$6),Imóveis!$S$6-(DATEDIF(Imóveis!$Q$6,Dados!$A545,"m")),)))*(Imóveis!$N$6/Imóveis!$S$6)))*Imóveis!$P$6))))*IF(AND(Imóveis!$E$6&gt;0,Dados!$A545&gt;Imóveis!$E$6),0,1)*Imóveis!$I$6</f>
        <v>0</v>
      </c>
      <c r="N545" s="18">
        <f t="shared" si="69"/>
        <v>37000</v>
      </c>
      <c r="O545" s="18">
        <f>SUMIFS(Receitas!$F:$F,Receitas!$J:$J,"&lt;="&amp;$A545,Receitas!$L:$L,"&gt;="&amp;$A545,Receitas!$C:$C,O$1,Receitas!$M:$M,"Mensal")+SUMIFS(Receitas!$F:$F,Receitas!$J:$J,"&lt;="&amp;$A545,Receitas!$L:$L,"&gt;="&amp;$A545,Receitas!$C:$C,O$1,Receitas!$M:$M,$B545)</f>
        <v>0</v>
      </c>
      <c r="P545" s="18">
        <f>SUMIFS(Receitas!$F:$F,Receitas!$J:$J,"&lt;="&amp;$A545,Receitas!$L:$L,"&gt;="&amp;$A545,Receitas!$C:$C,P$1,Receitas!$M:$M,"Mensal")+SUMIFS(Receitas!$F:$F,Receitas!$J:$J,"&lt;="&amp;$A545,Receitas!$L:$L,"&gt;="&amp;$A545,Receitas!$C:$C,P$1,Receitas!$M:$M,$B545)</f>
        <v>0</v>
      </c>
      <c r="Q545" s="18">
        <f>SUMIFS(Receitas!$F:$F,Receitas!$J:$J,"&lt;="&amp;$A545,Receitas!$L:$L,"&gt;="&amp;$A545,Receitas!$C:$C,Q$1,Receitas!$M:$M,"Mensal")+SUMIFS(Receitas!$F:$F,Receitas!$J:$J,"&lt;="&amp;$A545,Receitas!$L:$L,"&gt;="&amp;$A545,Receitas!$C:$C,Q$1,Receitas!$M:$M,$B545)</f>
        <v>0</v>
      </c>
      <c r="R545" s="18" cm="1">
        <f t="array" ref="R545">(IF(AND(Membros!$F$2="Sim",A545&lt;=MAX(Membros!$E$2:$E$5)),Membros!K$2,IF(AND(A545&gt;=Membros!J$2,A545&lt;=MAX(Membros!$E$2:$E$5)),Membros!K$2,0))+IF(AND(Membros!$F$3="Sim",A545&lt;=MAX(Membros!$E$2:$E$5)),Membros!K$3,IF(AND(A545&gt;=Membros!J$3,A545&lt;=MAX(Membros!$E$2:$E$5)),Membros!K$3,0)))*IF(AND(COUNTIFS(Tabela3[Tipo],"Provedor",Tabela3[Simulação Seguro],"Sim")=2,A545&gt;=MAX(IF(Tabela3[Tipo]="Dependente",Tabela3[Expectativa de Vida (Data)]))),0,1)</f>
        <v>10000</v>
      </c>
      <c r="S545" s="18">
        <f t="shared" si="70"/>
        <v>10000</v>
      </c>
      <c r="U545" s="18">
        <f t="shared" ca="1" si="73"/>
        <v>34966331.152972639</v>
      </c>
      <c r="V545" s="18">
        <f>SUMIF(Imóveis!E:E,Dados!A:A,Imóveis!Z:Z)-SUMIF(Imóveis!E:E,Dados!A:A,Imóveis!Y:Y)</f>
        <v>0</v>
      </c>
      <c r="W545" s="18">
        <f>-SUMIF(Projetos!N:N,A545,Projetos!F:F)</f>
        <v>0</v>
      </c>
      <c r="X545" s="18">
        <f t="shared" si="67"/>
        <v>-27000</v>
      </c>
      <c r="Y545" s="26">
        <f ca="1">(U545*((Indicadores_Economicos!D$2+1)^(1/12)-1))</f>
        <v>114470.66933302776</v>
      </c>
      <c r="Z545" s="18">
        <f t="shared" ca="1" si="71"/>
        <v>35053801.822305664</v>
      </c>
      <c r="AA545" s="18">
        <f ca="1">Auxiliar_Projetos!E545</f>
        <v>2.3065040674236848E-9</v>
      </c>
      <c r="AB545" s="18">
        <f ca="1">Auxiliar_Projetos!K545</f>
        <v>1.7742338980182175E-9</v>
      </c>
      <c r="AC545" s="18">
        <f ca="1">IF(Z545-AA545-AB545&gt;Investimentos!$C$14,Investimentos!$C$14,IF(Z545-AA545-AB545&lt;Investimentos!$C$14,Z545-AA545-AB545,0))</f>
        <v>300000</v>
      </c>
      <c r="AD545" s="18">
        <f t="shared" ca="1" si="72"/>
        <v>34753801.822305664</v>
      </c>
      <c r="AE545" s="18"/>
    </row>
    <row r="546" spans="1:31" x14ac:dyDescent="0.2">
      <c r="A546" s="4">
        <v>62214</v>
      </c>
      <c r="B546" s="5" t="str">
        <f t="shared" si="68"/>
        <v>maio</v>
      </c>
      <c r="C546" s="5" t="str">
        <f t="shared" si="74"/>
        <v>2070</v>
      </c>
      <c r="D546" s="5">
        <f>SUMIFS(Despesas!$F:$F,Despesas!$J:$J,"&lt;="&amp;$A546,Despesas!$L:$L,"&gt;="&amp;$A546,Despesas!$C:$C,D$1,Despesas!$M:$M,"Mensal")+SUMIFS(Despesas!$F:$F,Despesas!$J:$J,"&lt;="&amp;$A546,Despesas!$L:$L,"&gt;="&amp;$A546,Despesas!$C:$C,D$1,Despesas!$M:$M,$B546)</f>
        <v>23000</v>
      </c>
      <c r="E546" s="18">
        <f>SUMIFS(Despesas!$F:$F,Despesas!$J:$J,"&lt;="&amp;$A546,Despesas!$L:$L,"&gt;="&amp;$A546,Despesas!$C:$C,E$1,Despesas!$M:$M,"Mensal")+SUMIFS(Despesas!$F:$F,Despesas!$J:$J,"&lt;="&amp;$A546,Despesas!$L:$L,"&gt;="&amp;$A546,Despesas!$C:$C,E$1,Despesas!$M:$M,$B546)</f>
        <v>0</v>
      </c>
      <c r="F546" s="5">
        <f>SUMIFS(Despesas!$F:$F,Despesas!$J:$J,"&lt;="&amp;$A546,Despesas!$L:$L,"&gt;="&amp;$A546,Despesas!$C:$C,F$1,Despesas!$M:$M,"Mensal")+SUMIFS(Despesas!$F:$F,Despesas!$J:$J,"&lt;="&amp;$A546,Despesas!$L:$L,"&gt;="&amp;$A546,Despesas!$C:$C,F$1,Despesas!$M:$M,$B546)</f>
        <v>13000</v>
      </c>
      <c r="G546" s="5">
        <f>SUMIFS(Despesas!$F:$F,Despesas!$J:$J,"&lt;="&amp;$A546,Despesas!$L:$L,"&gt;="&amp;$A546,Despesas!$C:$C,G$1,Despesas!$M:$M,"Mensal")+SUMIFS(Despesas!$F:$F,Despesas!$J:$J,"&lt;="&amp;$A546,Despesas!$L:$L,"&gt;="&amp;$A546,Despesas!$C:$C,G$1,Despesas!$M:$M,$B546)</f>
        <v>0</v>
      </c>
      <c r="H546" s="18">
        <f>SUMIFS(Despesas!$F:$F,Despesas!$J:$J,"&lt;="&amp;$A546,Despesas!$L:$L,"&gt;="&amp;$A546,Despesas!$C:$C,H$1,Despesas!$M:$M,"Mensal")+SUMIFS(Despesas!$F:$F,Despesas!$J:$J,"&lt;="&amp;$A546,Despesas!$L:$L,"&gt;="&amp;$A546,Despesas!$C:$C,H$1,Despesas!$M:$M,$B546)</f>
        <v>1000</v>
      </c>
      <c r="I546" s="18">
        <f>IF(Imóveis!$F$2="PRICE",IF(AND(Dados!$A546&gt;=Imóveis!$Q$2,Dados!$A546&lt;=Imóveis!$T$2),Imóveis!$U$2,0),IF((IF(AND(Dados!$A546&gt;=Imóveis!$Q$2,Dados!$A546&lt;=Imóveis!$T$2),Imóveis!$S$2-(DATEDIF(Imóveis!$Q$2,Dados!$A546,"m")),0))=0,0,((Imóveis!$N$2/Imóveis!$S$2)+((Imóveis!$N$2-((Imóveis!$S$2-(IF(AND(Dados!$A546&gt;=Imóveis!$Q$2,Dados!$A546&lt;=Imóveis!$T$2),Imóveis!$S$2-(DATEDIF(Imóveis!$Q$2,Dados!$A546,"m")),)))*(Imóveis!$N$2/Imóveis!$S$2)))*Imóveis!$P$2))))*IF(AND(Imóveis!$E$2&gt;0,Dados!$A546&gt;Imóveis!$E$2),0,1)</f>
        <v>0</v>
      </c>
      <c r="J546" s="18">
        <f>IF(Imóveis!$F$3="PRICE",IF(AND(Dados!$A546&gt;=Imóveis!$Q$3,Dados!$A546&lt;=Imóveis!$T$3),Imóveis!$U$3,0),IF((IF(AND(Dados!$A546&gt;=Imóveis!$Q$3,Dados!$A546&lt;=Imóveis!$T$3),Imóveis!$S$3-(DATEDIF(Imóveis!$Q$3,Dados!$A546,"m")),0))=0,0,((Imóveis!$N$3/Imóveis!$S$3)+((Imóveis!$N$3-((Imóveis!$S$3-(IF(AND(Dados!$A546&gt;=Imóveis!$Q$3,Dados!$A546&lt;=Imóveis!$T$3),Imóveis!$S$3-(DATEDIF(Imóveis!$Q$3,Dados!$A546,"m")),)))*(Imóveis!$N$3/Imóveis!$S$3)))*Imóveis!$P$3))))*IF(AND(Imóveis!$E$3&gt;0,Dados!$A546&gt;Imóveis!$E$3),0,1)</f>
        <v>0</v>
      </c>
      <c r="K546" s="18">
        <f>IF(Imóveis!$F$4="PRICE",IF(AND(Dados!$A546&gt;=Imóveis!$Q$4,Dados!$A546&lt;=Imóveis!$T$4),Imóveis!$U$4,0),IF((IF(AND(Dados!$A546&gt;=Imóveis!$Q$4,Dados!$A546&lt;=Imóveis!$T$4),Imóveis!$S$4-(DATEDIF(Imóveis!$Q$4,Dados!$A546,"m")),0))=0,0,((Imóveis!$N$4/Imóveis!$S$4)+((Imóveis!$N$4-((Imóveis!$S$4-(IF(AND(Dados!$A546&gt;=Imóveis!$Q$4,Dados!$A546&lt;=Imóveis!$T$4),Imóveis!$S$4-(DATEDIF(Imóveis!$Q$4,Dados!$A546,"m")),)))*(Imóveis!$N$4/Imóveis!$S$4)))*Imóveis!$P$4))))*IF(AND(Imóveis!$E$4&gt;0,Dados!$A546&gt;Imóveis!$E$4),0,1)</f>
        <v>0</v>
      </c>
      <c r="L546" s="18">
        <f>IF(Imóveis!$F$5="PRICE",IF(AND(Dados!$A546&gt;=Imóveis!$Q$5,Dados!$A546&lt;=Imóveis!$T$5),Imóveis!$U$5,0),IF((IF(AND(Dados!$A546&gt;=Imóveis!$Q$5,Dados!$A546&lt;=Imóveis!$T$5),Imóveis!$S$5-(DATEDIF(Imóveis!$Q$5,Dados!$A546,"m")),0))=0,0,((Imóveis!$N$5/Imóveis!$S$5)+((Imóveis!$N$5-((Imóveis!$S$5-(IF(AND(Dados!$A546 &gt;=Imóveis!$Q$5,Dados!$A546&lt;=Imóveis!$T$5),Imóveis!$S$5-(DATEDIF(Imóveis!$Q$5,Dados!$A546,"m")),)))*(Imóveis!$N$5/Imóveis!$S$5)))*Imóveis!$P$5))))*IF(AND(Imóveis!$E$5&gt;0,Dados!$A546&gt;Imóveis!$E$5),0,1)*Imóveis!$I$5</f>
        <v>0</v>
      </c>
      <c r="M546" s="18">
        <f>IF(Imóveis!$F$6="PRICE",IF(AND(Dados!$A546&gt;=Imóveis!$Q$6,Dados!$A546&lt;=Imóveis!$T$6),Imóveis!$U$6,0),IF((IF(AND(Dados!$A546&gt;=Imóveis!$Q$6,Dados!$A546&lt;=Imóveis!$T$6),Imóveis!$S$6-(DATEDIF(Imóveis!$Q$6,Dados!$A546,"m")),0))=0,0,((Imóveis!$N$6/Imóveis!$S$6)+((Imóveis!$N$6-((Imóveis!$S$6-(IF(AND(Dados!$A546&gt;=Imóveis!$Q$6,Dados!$A546&lt;=Imóveis!$T$6),Imóveis!$S$6-(DATEDIF(Imóveis!$Q$6,Dados!$A546,"m")),)))*(Imóveis!$N$6/Imóveis!$S$6)))*Imóveis!$P$6))))*IF(AND(Imóveis!$E$6&gt;0,Dados!$A546&gt;Imóveis!$E$6),0,1)*Imóveis!$I$6</f>
        <v>0</v>
      </c>
      <c r="N546" s="18">
        <f t="shared" si="69"/>
        <v>37000</v>
      </c>
      <c r="O546" s="18">
        <f>SUMIFS(Receitas!$F:$F,Receitas!$J:$J,"&lt;="&amp;$A546,Receitas!$L:$L,"&gt;="&amp;$A546,Receitas!$C:$C,O$1,Receitas!$M:$M,"Mensal")+SUMIFS(Receitas!$F:$F,Receitas!$J:$J,"&lt;="&amp;$A546,Receitas!$L:$L,"&gt;="&amp;$A546,Receitas!$C:$C,O$1,Receitas!$M:$M,$B546)</f>
        <v>0</v>
      </c>
      <c r="P546" s="18">
        <f>SUMIFS(Receitas!$F:$F,Receitas!$J:$J,"&lt;="&amp;$A546,Receitas!$L:$L,"&gt;="&amp;$A546,Receitas!$C:$C,P$1,Receitas!$M:$M,"Mensal")+SUMIFS(Receitas!$F:$F,Receitas!$J:$J,"&lt;="&amp;$A546,Receitas!$L:$L,"&gt;="&amp;$A546,Receitas!$C:$C,P$1,Receitas!$M:$M,$B546)</f>
        <v>0</v>
      </c>
      <c r="Q546" s="18">
        <f>SUMIFS(Receitas!$F:$F,Receitas!$J:$J,"&lt;="&amp;$A546,Receitas!$L:$L,"&gt;="&amp;$A546,Receitas!$C:$C,Q$1,Receitas!$M:$M,"Mensal")+SUMIFS(Receitas!$F:$F,Receitas!$J:$J,"&lt;="&amp;$A546,Receitas!$L:$L,"&gt;="&amp;$A546,Receitas!$C:$C,Q$1,Receitas!$M:$M,$B546)</f>
        <v>0</v>
      </c>
      <c r="R546" s="18" cm="1">
        <f t="array" ref="R546">(IF(AND(Membros!$F$2="Sim",A546&lt;=MAX(Membros!$E$2:$E$5)),Membros!K$2,IF(AND(A546&gt;=Membros!J$2,A546&lt;=MAX(Membros!$E$2:$E$5)),Membros!K$2,0))+IF(AND(Membros!$F$3="Sim",A546&lt;=MAX(Membros!$E$2:$E$5)),Membros!K$3,IF(AND(A546&gt;=Membros!J$3,A546&lt;=MAX(Membros!$E$2:$E$5)),Membros!K$3,0)))*IF(AND(COUNTIFS(Tabela3[Tipo],"Provedor",Tabela3[Simulação Seguro],"Sim")=2,A546&gt;=MAX(IF(Tabela3[Tipo]="Dependente",Tabela3[Expectativa de Vida (Data)]))),0,1)</f>
        <v>10000</v>
      </c>
      <c r="S546" s="18">
        <f t="shared" si="70"/>
        <v>10000</v>
      </c>
      <c r="U546" s="18">
        <f t="shared" ca="1" si="73"/>
        <v>35053801.822305664</v>
      </c>
      <c r="V546" s="18">
        <f>SUMIF(Imóveis!E:E,Dados!A:A,Imóveis!Z:Z)-SUMIF(Imóveis!E:E,Dados!A:A,Imóveis!Y:Y)</f>
        <v>0</v>
      </c>
      <c r="W546" s="18">
        <f>-SUMIF(Projetos!N:N,A546,Projetos!F:F)</f>
        <v>0</v>
      </c>
      <c r="X546" s="18">
        <f t="shared" si="67"/>
        <v>-27000</v>
      </c>
      <c r="Y546" s="26">
        <f ca="1">(U546*((Indicadores_Economicos!D$2+1)^(1/12)-1))</f>
        <v>114757.02554299886</v>
      </c>
      <c r="Z546" s="18">
        <f t="shared" ca="1" si="71"/>
        <v>35141558.847848661</v>
      </c>
      <c r="AA546" s="18">
        <f ca="1">Auxiliar_Projetos!E546</f>
        <v>2.3140549615470131E-9</v>
      </c>
      <c r="AB546" s="18">
        <f ca="1">Auxiliar_Projetos!K546</f>
        <v>1.7800422781130856E-9</v>
      </c>
      <c r="AC546" s="18">
        <f ca="1">IF(Z546-AA546-AB546&gt;Investimentos!$C$14,Investimentos!$C$14,IF(Z546-AA546-AB546&lt;Investimentos!$C$14,Z546-AA546-AB546,0))</f>
        <v>300000</v>
      </c>
      <c r="AD546" s="18">
        <f t="shared" ca="1" si="72"/>
        <v>34841558.847848661</v>
      </c>
      <c r="AE546" s="18"/>
    </row>
    <row r="547" spans="1:31" x14ac:dyDescent="0.2">
      <c r="A547" s="4">
        <v>62245</v>
      </c>
      <c r="B547" s="5" t="str">
        <f t="shared" si="68"/>
        <v>junho</v>
      </c>
      <c r="C547" s="5" t="str">
        <f t="shared" si="74"/>
        <v>2070</v>
      </c>
      <c r="D547" s="5">
        <f>SUMIFS(Despesas!$F:$F,Despesas!$J:$J,"&lt;="&amp;$A547,Despesas!$L:$L,"&gt;="&amp;$A547,Despesas!$C:$C,D$1,Despesas!$M:$M,"Mensal")+SUMIFS(Despesas!$F:$F,Despesas!$J:$J,"&lt;="&amp;$A547,Despesas!$L:$L,"&gt;="&amp;$A547,Despesas!$C:$C,D$1,Despesas!$M:$M,$B547)</f>
        <v>23000</v>
      </c>
      <c r="E547" s="18">
        <f>SUMIFS(Despesas!$F:$F,Despesas!$J:$J,"&lt;="&amp;$A547,Despesas!$L:$L,"&gt;="&amp;$A547,Despesas!$C:$C,E$1,Despesas!$M:$M,"Mensal")+SUMIFS(Despesas!$F:$F,Despesas!$J:$J,"&lt;="&amp;$A547,Despesas!$L:$L,"&gt;="&amp;$A547,Despesas!$C:$C,E$1,Despesas!$M:$M,$B547)</f>
        <v>0</v>
      </c>
      <c r="F547" s="5">
        <f>SUMIFS(Despesas!$F:$F,Despesas!$J:$J,"&lt;="&amp;$A547,Despesas!$L:$L,"&gt;="&amp;$A547,Despesas!$C:$C,F$1,Despesas!$M:$M,"Mensal")+SUMIFS(Despesas!$F:$F,Despesas!$J:$J,"&lt;="&amp;$A547,Despesas!$L:$L,"&gt;="&amp;$A547,Despesas!$C:$C,F$1,Despesas!$M:$M,$B547)</f>
        <v>13000</v>
      </c>
      <c r="G547" s="5">
        <f>SUMIFS(Despesas!$F:$F,Despesas!$J:$J,"&lt;="&amp;$A547,Despesas!$L:$L,"&gt;="&amp;$A547,Despesas!$C:$C,G$1,Despesas!$M:$M,"Mensal")+SUMIFS(Despesas!$F:$F,Despesas!$J:$J,"&lt;="&amp;$A547,Despesas!$L:$L,"&gt;="&amp;$A547,Despesas!$C:$C,G$1,Despesas!$M:$M,$B547)</f>
        <v>0</v>
      </c>
      <c r="H547" s="18">
        <f>SUMIFS(Despesas!$F:$F,Despesas!$J:$J,"&lt;="&amp;$A547,Despesas!$L:$L,"&gt;="&amp;$A547,Despesas!$C:$C,H$1,Despesas!$M:$M,"Mensal")+SUMIFS(Despesas!$F:$F,Despesas!$J:$J,"&lt;="&amp;$A547,Despesas!$L:$L,"&gt;="&amp;$A547,Despesas!$C:$C,H$1,Despesas!$M:$M,$B547)</f>
        <v>1000</v>
      </c>
      <c r="I547" s="18">
        <f>IF(Imóveis!$F$2="PRICE",IF(AND(Dados!$A547&gt;=Imóveis!$Q$2,Dados!$A547&lt;=Imóveis!$T$2),Imóveis!$U$2,0),IF((IF(AND(Dados!$A547&gt;=Imóveis!$Q$2,Dados!$A547&lt;=Imóveis!$T$2),Imóveis!$S$2-(DATEDIF(Imóveis!$Q$2,Dados!$A547,"m")),0))=0,0,((Imóveis!$N$2/Imóveis!$S$2)+((Imóveis!$N$2-((Imóveis!$S$2-(IF(AND(Dados!$A547&gt;=Imóveis!$Q$2,Dados!$A547&lt;=Imóveis!$T$2),Imóveis!$S$2-(DATEDIF(Imóveis!$Q$2,Dados!$A547,"m")),)))*(Imóveis!$N$2/Imóveis!$S$2)))*Imóveis!$P$2))))*IF(AND(Imóveis!$E$2&gt;0,Dados!$A547&gt;Imóveis!$E$2),0,1)</f>
        <v>0</v>
      </c>
      <c r="J547" s="18">
        <f>IF(Imóveis!$F$3="PRICE",IF(AND(Dados!$A547&gt;=Imóveis!$Q$3,Dados!$A547&lt;=Imóveis!$T$3),Imóveis!$U$3,0),IF((IF(AND(Dados!$A547&gt;=Imóveis!$Q$3,Dados!$A547&lt;=Imóveis!$T$3),Imóveis!$S$3-(DATEDIF(Imóveis!$Q$3,Dados!$A547,"m")),0))=0,0,((Imóveis!$N$3/Imóveis!$S$3)+((Imóveis!$N$3-((Imóveis!$S$3-(IF(AND(Dados!$A547&gt;=Imóveis!$Q$3,Dados!$A547&lt;=Imóveis!$T$3),Imóveis!$S$3-(DATEDIF(Imóveis!$Q$3,Dados!$A547,"m")),)))*(Imóveis!$N$3/Imóveis!$S$3)))*Imóveis!$P$3))))*IF(AND(Imóveis!$E$3&gt;0,Dados!$A547&gt;Imóveis!$E$3),0,1)</f>
        <v>0</v>
      </c>
      <c r="K547" s="18">
        <f>IF(Imóveis!$F$4="PRICE",IF(AND(Dados!$A547&gt;=Imóveis!$Q$4,Dados!$A547&lt;=Imóveis!$T$4),Imóveis!$U$4,0),IF((IF(AND(Dados!$A547&gt;=Imóveis!$Q$4,Dados!$A547&lt;=Imóveis!$T$4),Imóveis!$S$4-(DATEDIF(Imóveis!$Q$4,Dados!$A547,"m")),0))=0,0,((Imóveis!$N$4/Imóveis!$S$4)+((Imóveis!$N$4-((Imóveis!$S$4-(IF(AND(Dados!$A547&gt;=Imóveis!$Q$4,Dados!$A547&lt;=Imóveis!$T$4),Imóveis!$S$4-(DATEDIF(Imóveis!$Q$4,Dados!$A547,"m")),)))*(Imóveis!$N$4/Imóveis!$S$4)))*Imóveis!$P$4))))*IF(AND(Imóveis!$E$4&gt;0,Dados!$A547&gt;Imóveis!$E$4),0,1)</f>
        <v>0</v>
      </c>
      <c r="L547" s="18">
        <f>IF(Imóveis!$F$5="PRICE",IF(AND(Dados!$A547&gt;=Imóveis!$Q$5,Dados!$A547&lt;=Imóveis!$T$5),Imóveis!$U$5,0),IF((IF(AND(Dados!$A547&gt;=Imóveis!$Q$5,Dados!$A547&lt;=Imóveis!$T$5),Imóveis!$S$5-(DATEDIF(Imóveis!$Q$5,Dados!$A547,"m")),0))=0,0,((Imóveis!$N$5/Imóveis!$S$5)+((Imóveis!$N$5-((Imóveis!$S$5-(IF(AND(Dados!$A547 &gt;=Imóveis!$Q$5,Dados!$A547&lt;=Imóveis!$T$5),Imóveis!$S$5-(DATEDIF(Imóveis!$Q$5,Dados!$A547,"m")),)))*(Imóveis!$N$5/Imóveis!$S$5)))*Imóveis!$P$5))))*IF(AND(Imóveis!$E$5&gt;0,Dados!$A547&gt;Imóveis!$E$5),0,1)*Imóveis!$I$5</f>
        <v>0</v>
      </c>
      <c r="M547" s="18">
        <f>IF(Imóveis!$F$6="PRICE",IF(AND(Dados!$A547&gt;=Imóveis!$Q$6,Dados!$A547&lt;=Imóveis!$T$6),Imóveis!$U$6,0),IF((IF(AND(Dados!$A547&gt;=Imóveis!$Q$6,Dados!$A547&lt;=Imóveis!$T$6),Imóveis!$S$6-(DATEDIF(Imóveis!$Q$6,Dados!$A547,"m")),0))=0,0,((Imóveis!$N$6/Imóveis!$S$6)+((Imóveis!$N$6-((Imóveis!$S$6-(IF(AND(Dados!$A547&gt;=Imóveis!$Q$6,Dados!$A547&lt;=Imóveis!$T$6),Imóveis!$S$6-(DATEDIF(Imóveis!$Q$6,Dados!$A547,"m")),)))*(Imóveis!$N$6/Imóveis!$S$6)))*Imóveis!$P$6))))*IF(AND(Imóveis!$E$6&gt;0,Dados!$A547&gt;Imóveis!$E$6),0,1)*Imóveis!$I$6</f>
        <v>0</v>
      </c>
      <c r="N547" s="18">
        <f t="shared" si="69"/>
        <v>37000</v>
      </c>
      <c r="O547" s="18">
        <f>SUMIFS(Receitas!$F:$F,Receitas!$J:$J,"&lt;="&amp;$A547,Receitas!$L:$L,"&gt;="&amp;$A547,Receitas!$C:$C,O$1,Receitas!$M:$M,"Mensal")+SUMIFS(Receitas!$F:$F,Receitas!$J:$J,"&lt;="&amp;$A547,Receitas!$L:$L,"&gt;="&amp;$A547,Receitas!$C:$C,O$1,Receitas!$M:$M,$B547)</f>
        <v>0</v>
      </c>
      <c r="P547" s="18">
        <f>SUMIFS(Receitas!$F:$F,Receitas!$J:$J,"&lt;="&amp;$A547,Receitas!$L:$L,"&gt;="&amp;$A547,Receitas!$C:$C,P$1,Receitas!$M:$M,"Mensal")+SUMIFS(Receitas!$F:$F,Receitas!$J:$J,"&lt;="&amp;$A547,Receitas!$L:$L,"&gt;="&amp;$A547,Receitas!$C:$C,P$1,Receitas!$M:$M,$B547)</f>
        <v>0</v>
      </c>
      <c r="Q547" s="18">
        <f>SUMIFS(Receitas!$F:$F,Receitas!$J:$J,"&lt;="&amp;$A547,Receitas!$L:$L,"&gt;="&amp;$A547,Receitas!$C:$C,Q$1,Receitas!$M:$M,"Mensal")+SUMIFS(Receitas!$F:$F,Receitas!$J:$J,"&lt;="&amp;$A547,Receitas!$L:$L,"&gt;="&amp;$A547,Receitas!$C:$C,Q$1,Receitas!$M:$M,$B547)</f>
        <v>0</v>
      </c>
      <c r="R547" s="18" cm="1">
        <f t="array" ref="R547">(IF(AND(Membros!$F$2="Sim",A547&lt;=MAX(Membros!$E$2:$E$5)),Membros!K$2,IF(AND(A547&gt;=Membros!J$2,A547&lt;=MAX(Membros!$E$2:$E$5)),Membros!K$2,0))+IF(AND(Membros!$F$3="Sim",A547&lt;=MAX(Membros!$E$2:$E$5)),Membros!K$3,IF(AND(A547&gt;=Membros!J$3,A547&lt;=MAX(Membros!$E$2:$E$5)),Membros!K$3,0)))*IF(AND(COUNTIFS(Tabela3[Tipo],"Provedor",Tabela3[Simulação Seguro],"Sim")=2,A547&gt;=MAX(IF(Tabela3[Tipo]="Dependente",Tabela3[Expectativa de Vida (Data)]))),0,1)</f>
        <v>10000</v>
      </c>
      <c r="S547" s="18">
        <f t="shared" si="70"/>
        <v>10000</v>
      </c>
      <c r="U547" s="18">
        <f t="shared" ca="1" si="73"/>
        <v>35141558.847848661</v>
      </c>
      <c r="V547" s="18">
        <f>SUMIF(Imóveis!E:E,Dados!A:A,Imóveis!Z:Z)-SUMIF(Imóveis!E:E,Dados!A:A,Imóveis!Y:Y)</f>
        <v>0</v>
      </c>
      <c r="W547" s="18">
        <f>-SUMIF(Projetos!N:N,A547,Projetos!F:F)</f>
        <v>0</v>
      </c>
      <c r="X547" s="18">
        <f t="shared" si="67"/>
        <v>-27000</v>
      </c>
      <c r="Y547" s="26">
        <f ca="1">(U547*((Indicadores_Economicos!D$2+1)^(1/12)-1))</f>
        <v>115044.31920868641</v>
      </c>
      <c r="Z547" s="18">
        <f t="shared" ca="1" si="71"/>
        <v>35229603.16705735</v>
      </c>
      <c r="AA547" s="18">
        <f ca="1">Auxiliar_Projetos!E547</f>
        <v>2.3216305753328241E-9</v>
      </c>
      <c r="AB547" s="18">
        <f ca="1">Auxiliar_Projetos!K547</f>
        <v>1.7858696733329404E-9</v>
      </c>
      <c r="AC547" s="18">
        <f ca="1">IF(Z547-AA547-AB547&gt;Investimentos!$C$14,Investimentos!$C$14,IF(Z547-AA547-AB547&lt;Investimentos!$C$14,Z547-AA547-AB547,0))</f>
        <v>300000</v>
      </c>
      <c r="AD547" s="18">
        <f t="shared" ca="1" si="72"/>
        <v>34929603.16705735</v>
      </c>
      <c r="AE547" s="18"/>
    </row>
    <row r="548" spans="1:31" x14ac:dyDescent="0.2">
      <c r="A548" s="4">
        <v>62275</v>
      </c>
      <c r="B548" s="5" t="str">
        <f t="shared" si="68"/>
        <v>julho</v>
      </c>
      <c r="C548" s="5" t="str">
        <f t="shared" si="74"/>
        <v>2070</v>
      </c>
      <c r="D548" s="5">
        <f>SUMIFS(Despesas!$F:$F,Despesas!$J:$J,"&lt;="&amp;$A548,Despesas!$L:$L,"&gt;="&amp;$A548,Despesas!$C:$C,D$1,Despesas!$M:$M,"Mensal")+SUMIFS(Despesas!$F:$F,Despesas!$J:$J,"&lt;="&amp;$A548,Despesas!$L:$L,"&gt;="&amp;$A548,Despesas!$C:$C,D$1,Despesas!$M:$M,$B548)</f>
        <v>23000</v>
      </c>
      <c r="E548" s="18">
        <f>SUMIFS(Despesas!$F:$F,Despesas!$J:$J,"&lt;="&amp;$A548,Despesas!$L:$L,"&gt;="&amp;$A548,Despesas!$C:$C,E$1,Despesas!$M:$M,"Mensal")+SUMIFS(Despesas!$F:$F,Despesas!$J:$J,"&lt;="&amp;$A548,Despesas!$L:$L,"&gt;="&amp;$A548,Despesas!$C:$C,E$1,Despesas!$M:$M,$B548)</f>
        <v>0</v>
      </c>
      <c r="F548" s="5">
        <f>SUMIFS(Despesas!$F:$F,Despesas!$J:$J,"&lt;="&amp;$A548,Despesas!$L:$L,"&gt;="&amp;$A548,Despesas!$C:$C,F$1,Despesas!$M:$M,"Mensal")+SUMIFS(Despesas!$F:$F,Despesas!$J:$J,"&lt;="&amp;$A548,Despesas!$L:$L,"&gt;="&amp;$A548,Despesas!$C:$C,F$1,Despesas!$M:$M,$B548)</f>
        <v>13000</v>
      </c>
      <c r="G548" s="5">
        <f ca="1">SUMIFS(Despesas!$F:$F,Despesas!$J:$J,"&lt;="&amp;$A548,Despesas!$L:$L,"&gt;="&amp;$A548,Despesas!$C:$C,G$1,Despesas!$M:$M,"Mensal")+SUMIFS(Despesas!$F:$F,Despesas!$J:$J,"&lt;="&amp;$A548,Despesas!$L:$L,"&gt;="&amp;$A548,Despesas!$C:$C,G$1,Despesas!$M:$M,$B548)</f>
        <v>55757</v>
      </c>
      <c r="H548" s="18">
        <f>SUMIFS(Despesas!$F:$F,Despesas!$J:$J,"&lt;="&amp;$A548,Despesas!$L:$L,"&gt;="&amp;$A548,Despesas!$C:$C,H$1,Despesas!$M:$M,"Mensal")+SUMIFS(Despesas!$F:$F,Despesas!$J:$J,"&lt;="&amp;$A548,Despesas!$L:$L,"&gt;="&amp;$A548,Despesas!$C:$C,H$1,Despesas!$M:$M,$B548)</f>
        <v>1000</v>
      </c>
      <c r="I548" s="18">
        <f>IF(Imóveis!$F$2="PRICE",IF(AND(Dados!$A548&gt;=Imóveis!$Q$2,Dados!$A548&lt;=Imóveis!$T$2),Imóveis!$U$2,0),IF((IF(AND(Dados!$A548&gt;=Imóveis!$Q$2,Dados!$A548&lt;=Imóveis!$T$2),Imóveis!$S$2-(DATEDIF(Imóveis!$Q$2,Dados!$A548,"m")),0))=0,0,((Imóveis!$N$2/Imóveis!$S$2)+((Imóveis!$N$2-((Imóveis!$S$2-(IF(AND(Dados!$A548&gt;=Imóveis!$Q$2,Dados!$A548&lt;=Imóveis!$T$2),Imóveis!$S$2-(DATEDIF(Imóveis!$Q$2,Dados!$A548,"m")),)))*(Imóveis!$N$2/Imóveis!$S$2)))*Imóveis!$P$2))))*IF(AND(Imóveis!$E$2&gt;0,Dados!$A548&gt;Imóveis!$E$2),0,1)</f>
        <v>0</v>
      </c>
      <c r="J548" s="18">
        <f>IF(Imóveis!$F$3="PRICE",IF(AND(Dados!$A548&gt;=Imóveis!$Q$3,Dados!$A548&lt;=Imóveis!$T$3),Imóveis!$U$3,0),IF((IF(AND(Dados!$A548&gt;=Imóveis!$Q$3,Dados!$A548&lt;=Imóveis!$T$3),Imóveis!$S$3-(DATEDIF(Imóveis!$Q$3,Dados!$A548,"m")),0))=0,0,((Imóveis!$N$3/Imóveis!$S$3)+((Imóveis!$N$3-((Imóveis!$S$3-(IF(AND(Dados!$A548&gt;=Imóveis!$Q$3,Dados!$A548&lt;=Imóveis!$T$3),Imóveis!$S$3-(DATEDIF(Imóveis!$Q$3,Dados!$A548,"m")),)))*(Imóveis!$N$3/Imóveis!$S$3)))*Imóveis!$P$3))))*IF(AND(Imóveis!$E$3&gt;0,Dados!$A548&gt;Imóveis!$E$3),0,1)</f>
        <v>0</v>
      </c>
      <c r="K548" s="18">
        <f>IF(Imóveis!$F$4="PRICE",IF(AND(Dados!$A548&gt;=Imóveis!$Q$4,Dados!$A548&lt;=Imóveis!$T$4),Imóveis!$U$4,0),IF((IF(AND(Dados!$A548&gt;=Imóveis!$Q$4,Dados!$A548&lt;=Imóveis!$T$4),Imóveis!$S$4-(DATEDIF(Imóveis!$Q$4,Dados!$A548,"m")),0))=0,0,((Imóveis!$N$4/Imóveis!$S$4)+((Imóveis!$N$4-((Imóveis!$S$4-(IF(AND(Dados!$A548&gt;=Imóveis!$Q$4,Dados!$A548&lt;=Imóveis!$T$4),Imóveis!$S$4-(DATEDIF(Imóveis!$Q$4,Dados!$A548,"m")),)))*(Imóveis!$N$4/Imóveis!$S$4)))*Imóveis!$P$4))))*IF(AND(Imóveis!$E$4&gt;0,Dados!$A548&gt;Imóveis!$E$4),0,1)</f>
        <v>0</v>
      </c>
      <c r="L548" s="18">
        <f>IF(Imóveis!$F$5="PRICE",IF(AND(Dados!$A548&gt;=Imóveis!$Q$5,Dados!$A548&lt;=Imóveis!$T$5),Imóveis!$U$5,0),IF((IF(AND(Dados!$A548&gt;=Imóveis!$Q$5,Dados!$A548&lt;=Imóveis!$T$5),Imóveis!$S$5-(DATEDIF(Imóveis!$Q$5,Dados!$A548,"m")),0))=0,0,((Imóveis!$N$5/Imóveis!$S$5)+((Imóveis!$N$5-((Imóveis!$S$5-(IF(AND(Dados!$A548 &gt;=Imóveis!$Q$5,Dados!$A548&lt;=Imóveis!$T$5),Imóveis!$S$5-(DATEDIF(Imóveis!$Q$5,Dados!$A548,"m")),)))*(Imóveis!$N$5/Imóveis!$S$5)))*Imóveis!$P$5))))*IF(AND(Imóveis!$E$5&gt;0,Dados!$A548&gt;Imóveis!$E$5),0,1)*Imóveis!$I$5</f>
        <v>0</v>
      </c>
      <c r="M548" s="18">
        <f>IF(Imóveis!$F$6="PRICE",IF(AND(Dados!$A548&gt;=Imóveis!$Q$6,Dados!$A548&lt;=Imóveis!$T$6),Imóveis!$U$6,0),IF((IF(AND(Dados!$A548&gt;=Imóveis!$Q$6,Dados!$A548&lt;=Imóveis!$T$6),Imóveis!$S$6-(DATEDIF(Imóveis!$Q$6,Dados!$A548,"m")),0))=0,0,((Imóveis!$N$6/Imóveis!$S$6)+((Imóveis!$N$6-((Imóveis!$S$6-(IF(AND(Dados!$A548&gt;=Imóveis!$Q$6,Dados!$A548&lt;=Imóveis!$T$6),Imóveis!$S$6-(DATEDIF(Imóveis!$Q$6,Dados!$A548,"m")),)))*(Imóveis!$N$6/Imóveis!$S$6)))*Imóveis!$P$6))))*IF(AND(Imóveis!$E$6&gt;0,Dados!$A548&gt;Imóveis!$E$6),0,1)*Imóveis!$I$6</f>
        <v>0</v>
      </c>
      <c r="N548" s="18">
        <f t="shared" ca="1" si="69"/>
        <v>92757</v>
      </c>
      <c r="O548" s="18">
        <f>SUMIFS(Receitas!$F:$F,Receitas!$J:$J,"&lt;="&amp;$A548,Receitas!$L:$L,"&gt;="&amp;$A548,Receitas!$C:$C,O$1,Receitas!$M:$M,"Mensal")+SUMIFS(Receitas!$F:$F,Receitas!$J:$J,"&lt;="&amp;$A548,Receitas!$L:$L,"&gt;="&amp;$A548,Receitas!$C:$C,O$1,Receitas!$M:$M,$B548)</f>
        <v>0</v>
      </c>
      <c r="P548" s="18">
        <f>SUMIFS(Receitas!$F:$F,Receitas!$J:$J,"&lt;="&amp;$A548,Receitas!$L:$L,"&gt;="&amp;$A548,Receitas!$C:$C,P$1,Receitas!$M:$M,"Mensal")+SUMIFS(Receitas!$F:$F,Receitas!$J:$J,"&lt;="&amp;$A548,Receitas!$L:$L,"&gt;="&amp;$A548,Receitas!$C:$C,P$1,Receitas!$M:$M,$B548)</f>
        <v>0</v>
      </c>
      <c r="Q548" s="18">
        <f>SUMIFS(Receitas!$F:$F,Receitas!$J:$J,"&lt;="&amp;$A548,Receitas!$L:$L,"&gt;="&amp;$A548,Receitas!$C:$C,Q$1,Receitas!$M:$M,"Mensal")+SUMIFS(Receitas!$F:$F,Receitas!$J:$J,"&lt;="&amp;$A548,Receitas!$L:$L,"&gt;="&amp;$A548,Receitas!$C:$C,Q$1,Receitas!$M:$M,$B548)</f>
        <v>0</v>
      </c>
      <c r="R548" s="18" cm="1">
        <f t="array" ref="R548">(IF(AND(Membros!$F$2="Sim",A548&lt;=MAX(Membros!$E$2:$E$5)),Membros!K$2,IF(AND(A548&gt;=Membros!J$2,A548&lt;=MAX(Membros!$E$2:$E$5)),Membros!K$2,0))+IF(AND(Membros!$F$3="Sim",A548&lt;=MAX(Membros!$E$2:$E$5)),Membros!K$3,IF(AND(A548&gt;=Membros!J$3,A548&lt;=MAX(Membros!$E$2:$E$5)),Membros!K$3,0)))*IF(AND(COUNTIFS(Tabela3[Tipo],"Provedor",Tabela3[Simulação Seguro],"Sim")=2,A548&gt;=MAX(IF(Tabela3[Tipo]="Dependente",Tabela3[Expectativa de Vida (Data)]))),0,1)</f>
        <v>10000</v>
      </c>
      <c r="S548" s="18">
        <f t="shared" si="70"/>
        <v>10000</v>
      </c>
      <c r="U548" s="18">
        <f t="shared" ca="1" si="73"/>
        <v>35229603.16705735</v>
      </c>
      <c r="V548" s="18">
        <f>SUMIF(Imóveis!E:E,Dados!A:A,Imóveis!Z:Z)-SUMIF(Imóveis!E:E,Dados!A:A,Imóveis!Y:Y)</f>
        <v>0</v>
      </c>
      <c r="W548" s="18">
        <f>-SUMIF(Projetos!N:N,A548,Projetos!F:F)</f>
        <v>0</v>
      </c>
      <c r="X548" s="18">
        <f t="shared" ca="1" si="67"/>
        <v>-82757</v>
      </c>
      <c r="Y548" s="26">
        <f ca="1">(U548*((Indicadores_Economicos!D$2+1)^(1/12)-1))</f>
        <v>115332.55339907651</v>
      </c>
      <c r="Z548" s="18">
        <f t="shared" ca="1" si="71"/>
        <v>35262178.720456429</v>
      </c>
      <c r="AA548" s="18">
        <f ca="1">Auxiliar_Projetos!E548</f>
        <v>2.3292309897068607E-9</v>
      </c>
      <c r="AB548" s="18">
        <f ca="1">Auxiliar_Projetos!K548</f>
        <v>1.7917161459283531E-9</v>
      </c>
      <c r="AC548" s="18">
        <f ca="1">IF(Z548-AA548-AB548&gt;Investimentos!$C$14,Investimentos!$C$14,IF(Z548-AA548-AB548&lt;Investimentos!$C$14,Z548-AA548-AB548,0))</f>
        <v>300000</v>
      </c>
      <c r="AD548" s="18">
        <f t="shared" ca="1" si="72"/>
        <v>34962178.720456429</v>
      </c>
      <c r="AE548" s="18"/>
    </row>
    <row r="549" spans="1:31" x14ac:dyDescent="0.2">
      <c r="A549" s="4">
        <v>62306</v>
      </c>
      <c r="B549" s="5" t="str">
        <f t="shared" si="68"/>
        <v>agosto</v>
      </c>
      <c r="C549" s="5" t="str">
        <f t="shared" si="74"/>
        <v>2070</v>
      </c>
      <c r="D549" s="5">
        <f>SUMIFS(Despesas!$F:$F,Despesas!$J:$J,"&lt;="&amp;$A549,Despesas!$L:$L,"&gt;="&amp;$A549,Despesas!$C:$C,D$1,Despesas!$M:$M,"Mensal")+SUMIFS(Despesas!$F:$F,Despesas!$J:$J,"&lt;="&amp;$A549,Despesas!$L:$L,"&gt;="&amp;$A549,Despesas!$C:$C,D$1,Despesas!$M:$M,$B549)</f>
        <v>23000</v>
      </c>
      <c r="E549" s="18">
        <f>SUMIFS(Despesas!$F:$F,Despesas!$J:$J,"&lt;="&amp;$A549,Despesas!$L:$L,"&gt;="&amp;$A549,Despesas!$C:$C,E$1,Despesas!$M:$M,"Mensal")+SUMIFS(Despesas!$F:$F,Despesas!$J:$J,"&lt;="&amp;$A549,Despesas!$L:$L,"&gt;="&amp;$A549,Despesas!$C:$C,E$1,Despesas!$M:$M,$B549)</f>
        <v>0</v>
      </c>
      <c r="F549" s="5">
        <f>SUMIFS(Despesas!$F:$F,Despesas!$J:$J,"&lt;="&amp;$A549,Despesas!$L:$L,"&gt;="&amp;$A549,Despesas!$C:$C,F$1,Despesas!$M:$M,"Mensal")+SUMIFS(Despesas!$F:$F,Despesas!$J:$J,"&lt;="&amp;$A549,Despesas!$L:$L,"&gt;="&amp;$A549,Despesas!$C:$C,F$1,Despesas!$M:$M,$B549)</f>
        <v>13000</v>
      </c>
      <c r="G549" s="5">
        <f>SUMIFS(Despesas!$F:$F,Despesas!$J:$J,"&lt;="&amp;$A549,Despesas!$L:$L,"&gt;="&amp;$A549,Despesas!$C:$C,G$1,Despesas!$M:$M,"Mensal")+SUMIFS(Despesas!$F:$F,Despesas!$J:$J,"&lt;="&amp;$A549,Despesas!$L:$L,"&gt;="&amp;$A549,Despesas!$C:$C,G$1,Despesas!$M:$M,$B549)</f>
        <v>0</v>
      </c>
      <c r="H549" s="18">
        <f>SUMIFS(Despesas!$F:$F,Despesas!$J:$J,"&lt;="&amp;$A549,Despesas!$L:$L,"&gt;="&amp;$A549,Despesas!$C:$C,H$1,Despesas!$M:$M,"Mensal")+SUMIFS(Despesas!$F:$F,Despesas!$J:$J,"&lt;="&amp;$A549,Despesas!$L:$L,"&gt;="&amp;$A549,Despesas!$C:$C,H$1,Despesas!$M:$M,$B549)</f>
        <v>1000</v>
      </c>
      <c r="I549" s="18">
        <f>IF(Imóveis!$F$2="PRICE",IF(AND(Dados!$A549&gt;=Imóveis!$Q$2,Dados!$A549&lt;=Imóveis!$T$2),Imóveis!$U$2,0),IF((IF(AND(Dados!$A549&gt;=Imóveis!$Q$2,Dados!$A549&lt;=Imóveis!$T$2),Imóveis!$S$2-(DATEDIF(Imóveis!$Q$2,Dados!$A549,"m")),0))=0,0,((Imóveis!$N$2/Imóveis!$S$2)+((Imóveis!$N$2-((Imóveis!$S$2-(IF(AND(Dados!$A549&gt;=Imóveis!$Q$2,Dados!$A549&lt;=Imóveis!$T$2),Imóveis!$S$2-(DATEDIF(Imóveis!$Q$2,Dados!$A549,"m")),)))*(Imóveis!$N$2/Imóveis!$S$2)))*Imóveis!$P$2))))*IF(AND(Imóveis!$E$2&gt;0,Dados!$A549&gt;Imóveis!$E$2),0,1)</f>
        <v>0</v>
      </c>
      <c r="J549" s="18">
        <f>IF(Imóveis!$F$3="PRICE",IF(AND(Dados!$A549&gt;=Imóveis!$Q$3,Dados!$A549&lt;=Imóveis!$T$3),Imóveis!$U$3,0),IF((IF(AND(Dados!$A549&gt;=Imóveis!$Q$3,Dados!$A549&lt;=Imóveis!$T$3),Imóveis!$S$3-(DATEDIF(Imóveis!$Q$3,Dados!$A549,"m")),0))=0,0,((Imóveis!$N$3/Imóveis!$S$3)+((Imóveis!$N$3-((Imóveis!$S$3-(IF(AND(Dados!$A549&gt;=Imóveis!$Q$3,Dados!$A549&lt;=Imóveis!$T$3),Imóveis!$S$3-(DATEDIF(Imóveis!$Q$3,Dados!$A549,"m")),)))*(Imóveis!$N$3/Imóveis!$S$3)))*Imóveis!$P$3))))*IF(AND(Imóveis!$E$3&gt;0,Dados!$A549&gt;Imóveis!$E$3),0,1)</f>
        <v>0</v>
      </c>
      <c r="K549" s="18">
        <f>IF(Imóveis!$F$4="PRICE",IF(AND(Dados!$A549&gt;=Imóveis!$Q$4,Dados!$A549&lt;=Imóveis!$T$4),Imóveis!$U$4,0),IF((IF(AND(Dados!$A549&gt;=Imóveis!$Q$4,Dados!$A549&lt;=Imóveis!$T$4),Imóveis!$S$4-(DATEDIF(Imóveis!$Q$4,Dados!$A549,"m")),0))=0,0,((Imóveis!$N$4/Imóveis!$S$4)+((Imóveis!$N$4-((Imóveis!$S$4-(IF(AND(Dados!$A549&gt;=Imóveis!$Q$4,Dados!$A549&lt;=Imóveis!$T$4),Imóveis!$S$4-(DATEDIF(Imóveis!$Q$4,Dados!$A549,"m")),)))*(Imóveis!$N$4/Imóveis!$S$4)))*Imóveis!$P$4))))*IF(AND(Imóveis!$E$4&gt;0,Dados!$A549&gt;Imóveis!$E$4),0,1)</f>
        <v>0</v>
      </c>
      <c r="L549" s="18">
        <f>IF(Imóveis!$F$5="PRICE",IF(AND(Dados!$A549&gt;=Imóveis!$Q$5,Dados!$A549&lt;=Imóveis!$T$5),Imóveis!$U$5,0),IF((IF(AND(Dados!$A549&gt;=Imóveis!$Q$5,Dados!$A549&lt;=Imóveis!$T$5),Imóveis!$S$5-(DATEDIF(Imóveis!$Q$5,Dados!$A549,"m")),0))=0,0,((Imóveis!$N$5/Imóveis!$S$5)+((Imóveis!$N$5-((Imóveis!$S$5-(IF(AND(Dados!$A549 &gt;=Imóveis!$Q$5,Dados!$A549&lt;=Imóveis!$T$5),Imóveis!$S$5-(DATEDIF(Imóveis!$Q$5,Dados!$A549,"m")),)))*(Imóveis!$N$5/Imóveis!$S$5)))*Imóveis!$P$5))))*IF(AND(Imóveis!$E$5&gt;0,Dados!$A549&gt;Imóveis!$E$5),0,1)*Imóveis!$I$5</f>
        <v>0</v>
      </c>
      <c r="M549" s="18">
        <f>IF(Imóveis!$F$6="PRICE",IF(AND(Dados!$A549&gt;=Imóveis!$Q$6,Dados!$A549&lt;=Imóveis!$T$6),Imóveis!$U$6,0),IF((IF(AND(Dados!$A549&gt;=Imóveis!$Q$6,Dados!$A549&lt;=Imóveis!$T$6),Imóveis!$S$6-(DATEDIF(Imóveis!$Q$6,Dados!$A549,"m")),0))=0,0,((Imóveis!$N$6/Imóveis!$S$6)+((Imóveis!$N$6-((Imóveis!$S$6-(IF(AND(Dados!$A549&gt;=Imóveis!$Q$6,Dados!$A549&lt;=Imóveis!$T$6),Imóveis!$S$6-(DATEDIF(Imóveis!$Q$6,Dados!$A549,"m")),)))*(Imóveis!$N$6/Imóveis!$S$6)))*Imóveis!$P$6))))*IF(AND(Imóveis!$E$6&gt;0,Dados!$A549&gt;Imóveis!$E$6),0,1)*Imóveis!$I$6</f>
        <v>0</v>
      </c>
      <c r="N549" s="18">
        <f t="shared" si="69"/>
        <v>37000</v>
      </c>
      <c r="O549" s="18">
        <f>SUMIFS(Receitas!$F:$F,Receitas!$J:$J,"&lt;="&amp;$A549,Receitas!$L:$L,"&gt;="&amp;$A549,Receitas!$C:$C,O$1,Receitas!$M:$M,"Mensal")+SUMIFS(Receitas!$F:$F,Receitas!$J:$J,"&lt;="&amp;$A549,Receitas!$L:$L,"&gt;="&amp;$A549,Receitas!$C:$C,O$1,Receitas!$M:$M,$B549)</f>
        <v>0</v>
      </c>
      <c r="P549" s="18">
        <f>SUMIFS(Receitas!$F:$F,Receitas!$J:$J,"&lt;="&amp;$A549,Receitas!$L:$L,"&gt;="&amp;$A549,Receitas!$C:$C,P$1,Receitas!$M:$M,"Mensal")+SUMIFS(Receitas!$F:$F,Receitas!$J:$J,"&lt;="&amp;$A549,Receitas!$L:$L,"&gt;="&amp;$A549,Receitas!$C:$C,P$1,Receitas!$M:$M,$B549)</f>
        <v>0</v>
      </c>
      <c r="Q549" s="18">
        <f>SUMIFS(Receitas!$F:$F,Receitas!$J:$J,"&lt;="&amp;$A549,Receitas!$L:$L,"&gt;="&amp;$A549,Receitas!$C:$C,Q$1,Receitas!$M:$M,"Mensal")+SUMIFS(Receitas!$F:$F,Receitas!$J:$J,"&lt;="&amp;$A549,Receitas!$L:$L,"&gt;="&amp;$A549,Receitas!$C:$C,Q$1,Receitas!$M:$M,$B549)</f>
        <v>0</v>
      </c>
      <c r="R549" s="18" cm="1">
        <f t="array" ref="R549">(IF(AND(Membros!$F$2="Sim",A549&lt;=MAX(Membros!$E$2:$E$5)),Membros!K$2,IF(AND(A549&gt;=Membros!J$2,A549&lt;=MAX(Membros!$E$2:$E$5)),Membros!K$2,0))+IF(AND(Membros!$F$3="Sim",A549&lt;=MAX(Membros!$E$2:$E$5)),Membros!K$3,IF(AND(A549&gt;=Membros!J$3,A549&lt;=MAX(Membros!$E$2:$E$5)),Membros!K$3,0)))*IF(AND(COUNTIFS(Tabela3[Tipo],"Provedor",Tabela3[Simulação Seguro],"Sim")=2,A549&gt;=MAX(IF(Tabela3[Tipo]="Dependente",Tabela3[Expectativa de Vida (Data)]))),0,1)</f>
        <v>10000</v>
      </c>
      <c r="S549" s="18">
        <f t="shared" si="70"/>
        <v>10000</v>
      </c>
      <c r="U549" s="18">
        <f t="shared" ca="1" si="73"/>
        <v>35262178.720456429</v>
      </c>
      <c r="V549" s="18">
        <f>SUMIF(Imóveis!E:E,Dados!A:A,Imóveis!Z:Z)-SUMIF(Imóveis!E:E,Dados!A:A,Imóveis!Y:Y)</f>
        <v>0</v>
      </c>
      <c r="W549" s="18">
        <f>-SUMIF(Projetos!N:N,A549,Projetos!F:F)</f>
        <v>0</v>
      </c>
      <c r="X549" s="18">
        <f t="shared" si="67"/>
        <v>-27000</v>
      </c>
      <c r="Y549" s="26">
        <f ca="1">(U549*((Indicadores_Economicos!D$2+1)^(1/12)-1))</f>
        <v>115439.19728416622</v>
      </c>
      <c r="Z549" s="18">
        <f t="shared" ca="1" si="71"/>
        <v>35350617.917740598</v>
      </c>
      <c r="AA549" s="18">
        <f ca="1">Auxiliar_Projetos!E549</f>
        <v>2.3368562858597947E-9</v>
      </c>
      <c r="AB549" s="18">
        <f ca="1">Auxiliar_Projetos!K549</f>
        <v>1.7975817583536867E-9</v>
      </c>
      <c r="AC549" s="18">
        <f ca="1">IF(Z549-AA549-AB549&gt;Investimentos!$C$14,Investimentos!$C$14,IF(Z549-AA549-AB549&lt;Investimentos!$C$14,Z549-AA549-AB549,0))</f>
        <v>300000</v>
      </c>
      <c r="AD549" s="18">
        <f t="shared" ca="1" si="72"/>
        <v>35050617.917740598</v>
      </c>
      <c r="AE549" s="18"/>
    </row>
    <row r="550" spans="1:31" x14ac:dyDescent="0.2">
      <c r="A550" s="4">
        <v>62337</v>
      </c>
      <c r="B550" s="5" t="str">
        <f t="shared" si="68"/>
        <v>setembro</v>
      </c>
      <c r="C550" s="5" t="str">
        <f t="shared" si="74"/>
        <v>2070</v>
      </c>
      <c r="D550" s="5">
        <f>SUMIFS(Despesas!$F:$F,Despesas!$J:$J,"&lt;="&amp;$A550,Despesas!$L:$L,"&gt;="&amp;$A550,Despesas!$C:$C,D$1,Despesas!$M:$M,"Mensal")+SUMIFS(Despesas!$F:$F,Despesas!$J:$J,"&lt;="&amp;$A550,Despesas!$L:$L,"&gt;="&amp;$A550,Despesas!$C:$C,D$1,Despesas!$M:$M,$B550)</f>
        <v>23000</v>
      </c>
      <c r="E550" s="18">
        <f>SUMIFS(Despesas!$F:$F,Despesas!$J:$J,"&lt;="&amp;$A550,Despesas!$L:$L,"&gt;="&amp;$A550,Despesas!$C:$C,E$1,Despesas!$M:$M,"Mensal")+SUMIFS(Despesas!$F:$F,Despesas!$J:$J,"&lt;="&amp;$A550,Despesas!$L:$L,"&gt;="&amp;$A550,Despesas!$C:$C,E$1,Despesas!$M:$M,$B550)</f>
        <v>0</v>
      </c>
      <c r="F550" s="5">
        <f>SUMIFS(Despesas!$F:$F,Despesas!$J:$J,"&lt;="&amp;$A550,Despesas!$L:$L,"&gt;="&amp;$A550,Despesas!$C:$C,F$1,Despesas!$M:$M,"Mensal")+SUMIFS(Despesas!$F:$F,Despesas!$J:$J,"&lt;="&amp;$A550,Despesas!$L:$L,"&gt;="&amp;$A550,Despesas!$C:$C,F$1,Despesas!$M:$M,$B550)</f>
        <v>13000</v>
      </c>
      <c r="G550" s="5">
        <f>SUMIFS(Despesas!$F:$F,Despesas!$J:$J,"&lt;="&amp;$A550,Despesas!$L:$L,"&gt;="&amp;$A550,Despesas!$C:$C,G$1,Despesas!$M:$M,"Mensal")+SUMIFS(Despesas!$F:$F,Despesas!$J:$J,"&lt;="&amp;$A550,Despesas!$L:$L,"&gt;="&amp;$A550,Despesas!$C:$C,G$1,Despesas!$M:$M,$B550)</f>
        <v>0</v>
      </c>
      <c r="H550" s="18">
        <f>SUMIFS(Despesas!$F:$F,Despesas!$J:$J,"&lt;="&amp;$A550,Despesas!$L:$L,"&gt;="&amp;$A550,Despesas!$C:$C,H$1,Despesas!$M:$M,"Mensal")+SUMIFS(Despesas!$F:$F,Despesas!$J:$J,"&lt;="&amp;$A550,Despesas!$L:$L,"&gt;="&amp;$A550,Despesas!$C:$C,H$1,Despesas!$M:$M,$B550)</f>
        <v>1000</v>
      </c>
      <c r="I550" s="18">
        <f>IF(Imóveis!$F$2="PRICE",IF(AND(Dados!$A550&gt;=Imóveis!$Q$2,Dados!$A550&lt;=Imóveis!$T$2),Imóveis!$U$2,0),IF((IF(AND(Dados!$A550&gt;=Imóveis!$Q$2,Dados!$A550&lt;=Imóveis!$T$2),Imóveis!$S$2-(DATEDIF(Imóveis!$Q$2,Dados!$A550,"m")),0))=0,0,((Imóveis!$N$2/Imóveis!$S$2)+((Imóveis!$N$2-((Imóveis!$S$2-(IF(AND(Dados!$A550&gt;=Imóveis!$Q$2,Dados!$A550&lt;=Imóveis!$T$2),Imóveis!$S$2-(DATEDIF(Imóveis!$Q$2,Dados!$A550,"m")),)))*(Imóveis!$N$2/Imóveis!$S$2)))*Imóveis!$P$2))))*IF(AND(Imóveis!$E$2&gt;0,Dados!$A550&gt;Imóveis!$E$2),0,1)</f>
        <v>0</v>
      </c>
      <c r="J550" s="18">
        <f>IF(Imóveis!$F$3="PRICE",IF(AND(Dados!$A550&gt;=Imóveis!$Q$3,Dados!$A550&lt;=Imóveis!$T$3),Imóveis!$U$3,0),IF((IF(AND(Dados!$A550&gt;=Imóveis!$Q$3,Dados!$A550&lt;=Imóveis!$T$3),Imóveis!$S$3-(DATEDIF(Imóveis!$Q$3,Dados!$A550,"m")),0))=0,0,((Imóveis!$N$3/Imóveis!$S$3)+((Imóveis!$N$3-((Imóveis!$S$3-(IF(AND(Dados!$A550&gt;=Imóveis!$Q$3,Dados!$A550&lt;=Imóveis!$T$3),Imóveis!$S$3-(DATEDIF(Imóveis!$Q$3,Dados!$A550,"m")),)))*(Imóveis!$N$3/Imóveis!$S$3)))*Imóveis!$P$3))))*IF(AND(Imóveis!$E$3&gt;0,Dados!$A550&gt;Imóveis!$E$3),0,1)</f>
        <v>0</v>
      </c>
      <c r="K550" s="18">
        <f>IF(Imóveis!$F$4="PRICE",IF(AND(Dados!$A550&gt;=Imóveis!$Q$4,Dados!$A550&lt;=Imóveis!$T$4),Imóveis!$U$4,0),IF((IF(AND(Dados!$A550&gt;=Imóveis!$Q$4,Dados!$A550&lt;=Imóveis!$T$4),Imóveis!$S$4-(DATEDIF(Imóveis!$Q$4,Dados!$A550,"m")),0))=0,0,((Imóveis!$N$4/Imóveis!$S$4)+((Imóveis!$N$4-((Imóveis!$S$4-(IF(AND(Dados!$A550&gt;=Imóveis!$Q$4,Dados!$A550&lt;=Imóveis!$T$4),Imóveis!$S$4-(DATEDIF(Imóveis!$Q$4,Dados!$A550,"m")),)))*(Imóveis!$N$4/Imóveis!$S$4)))*Imóveis!$P$4))))*IF(AND(Imóveis!$E$4&gt;0,Dados!$A550&gt;Imóveis!$E$4),0,1)</f>
        <v>0</v>
      </c>
      <c r="L550" s="18">
        <f>IF(Imóveis!$F$5="PRICE",IF(AND(Dados!$A550&gt;=Imóveis!$Q$5,Dados!$A550&lt;=Imóveis!$T$5),Imóveis!$U$5,0),IF((IF(AND(Dados!$A550&gt;=Imóveis!$Q$5,Dados!$A550&lt;=Imóveis!$T$5),Imóveis!$S$5-(DATEDIF(Imóveis!$Q$5,Dados!$A550,"m")),0))=0,0,((Imóveis!$N$5/Imóveis!$S$5)+((Imóveis!$N$5-((Imóveis!$S$5-(IF(AND(Dados!$A550 &gt;=Imóveis!$Q$5,Dados!$A550&lt;=Imóveis!$T$5),Imóveis!$S$5-(DATEDIF(Imóveis!$Q$5,Dados!$A550,"m")),)))*(Imóveis!$N$5/Imóveis!$S$5)))*Imóveis!$P$5))))*IF(AND(Imóveis!$E$5&gt;0,Dados!$A550&gt;Imóveis!$E$5),0,1)*Imóveis!$I$5</f>
        <v>0</v>
      </c>
      <c r="M550" s="18">
        <f>IF(Imóveis!$F$6="PRICE",IF(AND(Dados!$A550&gt;=Imóveis!$Q$6,Dados!$A550&lt;=Imóveis!$T$6),Imóveis!$U$6,0),IF((IF(AND(Dados!$A550&gt;=Imóveis!$Q$6,Dados!$A550&lt;=Imóveis!$T$6),Imóveis!$S$6-(DATEDIF(Imóveis!$Q$6,Dados!$A550,"m")),0))=0,0,((Imóveis!$N$6/Imóveis!$S$6)+((Imóveis!$N$6-((Imóveis!$S$6-(IF(AND(Dados!$A550&gt;=Imóveis!$Q$6,Dados!$A550&lt;=Imóveis!$T$6),Imóveis!$S$6-(DATEDIF(Imóveis!$Q$6,Dados!$A550,"m")),)))*(Imóveis!$N$6/Imóveis!$S$6)))*Imóveis!$P$6))))*IF(AND(Imóveis!$E$6&gt;0,Dados!$A550&gt;Imóveis!$E$6),0,1)*Imóveis!$I$6</f>
        <v>0</v>
      </c>
      <c r="N550" s="18">
        <f t="shared" si="69"/>
        <v>37000</v>
      </c>
      <c r="O550" s="18">
        <f>SUMIFS(Receitas!$F:$F,Receitas!$J:$J,"&lt;="&amp;$A550,Receitas!$L:$L,"&gt;="&amp;$A550,Receitas!$C:$C,O$1,Receitas!$M:$M,"Mensal")+SUMIFS(Receitas!$F:$F,Receitas!$J:$J,"&lt;="&amp;$A550,Receitas!$L:$L,"&gt;="&amp;$A550,Receitas!$C:$C,O$1,Receitas!$M:$M,$B550)</f>
        <v>0</v>
      </c>
      <c r="P550" s="18">
        <f>SUMIFS(Receitas!$F:$F,Receitas!$J:$J,"&lt;="&amp;$A550,Receitas!$L:$L,"&gt;="&amp;$A550,Receitas!$C:$C,P$1,Receitas!$M:$M,"Mensal")+SUMIFS(Receitas!$F:$F,Receitas!$J:$J,"&lt;="&amp;$A550,Receitas!$L:$L,"&gt;="&amp;$A550,Receitas!$C:$C,P$1,Receitas!$M:$M,$B550)</f>
        <v>0</v>
      </c>
      <c r="Q550" s="18">
        <f>SUMIFS(Receitas!$F:$F,Receitas!$J:$J,"&lt;="&amp;$A550,Receitas!$L:$L,"&gt;="&amp;$A550,Receitas!$C:$C,Q$1,Receitas!$M:$M,"Mensal")+SUMIFS(Receitas!$F:$F,Receitas!$J:$J,"&lt;="&amp;$A550,Receitas!$L:$L,"&gt;="&amp;$A550,Receitas!$C:$C,Q$1,Receitas!$M:$M,$B550)</f>
        <v>0</v>
      </c>
      <c r="R550" s="18" cm="1">
        <f t="array" ref="R550">(IF(AND(Membros!$F$2="Sim",A550&lt;=MAX(Membros!$E$2:$E$5)),Membros!K$2,IF(AND(A550&gt;=Membros!J$2,A550&lt;=MAX(Membros!$E$2:$E$5)),Membros!K$2,0))+IF(AND(Membros!$F$3="Sim",A550&lt;=MAX(Membros!$E$2:$E$5)),Membros!K$3,IF(AND(A550&gt;=Membros!J$3,A550&lt;=MAX(Membros!$E$2:$E$5)),Membros!K$3,0)))*IF(AND(COUNTIFS(Tabela3[Tipo],"Provedor",Tabela3[Simulação Seguro],"Sim")=2,A550&gt;=MAX(IF(Tabela3[Tipo]="Dependente",Tabela3[Expectativa de Vida (Data)]))),0,1)</f>
        <v>10000</v>
      </c>
      <c r="S550" s="18">
        <f t="shared" si="70"/>
        <v>10000</v>
      </c>
      <c r="U550" s="18">
        <f t="shared" ca="1" si="73"/>
        <v>35350617.917740598</v>
      </c>
      <c r="V550" s="18">
        <f>SUMIF(Imóveis!E:E,Dados!A:A,Imóveis!Z:Z)-SUMIF(Imóveis!E:E,Dados!A:A,Imóveis!Y:Y)</f>
        <v>0</v>
      </c>
      <c r="W550" s="18">
        <f>-SUMIF(Projetos!N:N,A550,Projetos!F:F)</f>
        <v>0</v>
      </c>
      <c r="X550" s="18">
        <f t="shared" si="67"/>
        <v>-27000</v>
      </c>
      <c r="Y550" s="26">
        <f ca="1">(U550*((Indicadores_Economicos!D$2+1)^(1/12)-1))</f>
        <v>115728.72420262115</v>
      </c>
      <c r="Z550" s="18">
        <f t="shared" ca="1" si="71"/>
        <v>35439346.641943216</v>
      </c>
      <c r="AA550" s="18">
        <f ca="1">Auxiliar_Projetos!E550</f>
        <v>2.3445065452480955E-9</v>
      </c>
      <c r="AB550" s="18">
        <f ca="1">Auxiliar_Projetos!K550</f>
        <v>1.8034665732677642E-9</v>
      </c>
      <c r="AC550" s="18">
        <f ca="1">IF(Z550-AA550-AB550&gt;Investimentos!$C$14,Investimentos!$C$14,IF(Z550-AA550-AB550&lt;Investimentos!$C$14,Z550-AA550-AB550,0))</f>
        <v>300000</v>
      </c>
      <c r="AD550" s="18">
        <f t="shared" ca="1" si="72"/>
        <v>35139346.641943216</v>
      </c>
      <c r="AE550" s="18"/>
    </row>
    <row r="551" spans="1:31" x14ac:dyDescent="0.2">
      <c r="A551" s="4">
        <v>62367</v>
      </c>
      <c r="B551" s="5" t="str">
        <f t="shared" si="68"/>
        <v>outubro</v>
      </c>
      <c r="C551" s="5" t="str">
        <f t="shared" si="74"/>
        <v>2070</v>
      </c>
      <c r="D551" s="5">
        <f>SUMIFS(Despesas!$F:$F,Despesas!$J:$J,"&lt;="&amp;$A551,Despesas!$L:$L,"&gt;="&amp;$A551,Despesas!$C:$C,D$1,Despesas!$M:$M,"Mensal")+SUMIFS(Despesas!$F:$F,Despesas!$J:$J,"&lt;="&amp;$A551,Despesas!$L:$L,"&gt;="&amp;$A551,Despesas!$C:$C,D$1,Despesas!$M:$M,$B551)</f>
        <v>23000</v>
      </c>
      <c r="E551" s="18">
        <f>SUMIFS(Despesas!$F:$F,Despesas!$J:$J,"&lt;="&amp;$A551,Despesas!$L:$L,"&gt;="&amp;$A551,Despesas!$C:$C,E$1,Despesas!$M:$M,"Mensal")+SUMIFS(Despesas!$F:$F,Despesas!$J:$J,"&lt;="&amp;$A551,Despesas!$L:$L,"&gt;="&amp;$A551,Despesas!$C:$C,E$1,Despesas!$M:$M,$B551)</f>
        <v>0</v>
      </c>
      <c r="F551" s="5">
        <f>SUMIFS(Despesas!$F:$F,Despesas!$J:$J,"&lt;="&amp;$A551,Despesas!$L:$L,"&gt;="&amp;$A551,Despesas!$C:$C,F$1,Despesas!$M:$M,"Mensal")+SUMIFS(Despesas!$F:$F,Despesas!$J:$J,"&lt;="&amp;$A551,Despesas!$L:$L,"&gt;="&amp;$A551,Despesas!$C:$C,F$1,Despesas!$M:$M,$B551)</f>
        <v>13000</v>
      </c>
      <c r="G551" s="5">
        <f>SUMIFS(Despesas!$F:$F,Despesas!$J:$J,"&lt;="&amp;$A551,Despesas!$L:$L,"&gt;="&amp;$A551,Despesas!$C:$C,G$1,Despesas!$M:$M,"Mensal")+SUMIFS(Despesas!$F:$F,Despesas!$J:$J,"&lt;="&amp;$A551,Despesas!$L:$L,"&gt;="&amp;$A551,Despesas!$C:$C,G$1,Despesas!$M:$M,$B551)</f>
        <v>0</v>
      </c>
      <c r="H551" s="18">
        <f>SUMIFS(Despesas!$F:$F,Despesas!$J:$J,"&lt;="&amp;$A551,Despesas!$L:$L,"&gt;="&amp;$A551,Despesas!$C:$C,H$1,Despesas!$M:$M,"Mensal")+SUMIFS(Despesas!$F:$F,Despesas!$J:$J,"&lt;="&amp;$A551,Despesas!$L:$L,"&gt;="&amp;$A551,Despesas!$C:$C,H$1,Despesas!$M:$M,$B551)</f>
        <v>1000</v>
      </c>
      <c r="I551" s="18">
        <f>IF(Imóveis!$F$2="PRICE",IF(AND(Dados!$A551&gt;=Imóveis!$Q$2,Dados!$A551&lt;=Imóveis!$T$2),Imóveis!$U$2,0),IF((IF(AND(Dados!$A551&gt;=Imóveis!$Q$2,Dados!$A551&lt;=Imóveis!$T$2),Imóveis!$S$2-(DATEDIF(Imóveis!$Q$2,Dados!$A551,"m")),0))=0,0,((Imóveis!$N$2/Imóveis!$S$2)+((Imóveis!$N$2-((Imóveis!$S$2-(IF(AND(Dados!$A551&gt;=Imóveis!$Q$2,Dados!$A551&lt;=Imóveis!$T$2),Imóveis!$S$2-(DATEDIF(Imóveis!$Q$2,Dados!$A551,"m")),)))*(Imóveis!$N$2/Imóveis!$S$2)))*Imóveis!$P$2))))*IF(AND(Imóveis!$E$2&gt;0,Dados!$A551&gt;Imóveis!$E$2),0,1)</f>
        <v>0</v>
      </c>
      <c r="J551" s="18">
        <f>IF(Imóveis!$F$3="PRICE",IF(AND(Dados!$A551&gt;=Imóveis!$Q$3,Dados!$A551&lt;=Imóveis!$T$3),Imóveis!$U$3,0),IF((IF(AND(Dados!$A551&gt;=Imóveis!$Q$3,Dados!$A551&lt;=Imóveis!$T$3),Imóveis!$S$3-(DATEDIF(Imóveis!$Q$3,Dados!$A551,"m")),0))=0,0,((Imóveis!$N$3/Imóveis!$S$3)+((Imóveis!$N$3-((Imóveis!$S$3-(IF(AND(Dados!$A551&gt;=Imóveis!$Q$3,Dados!$A551&lt;=Imóveis!$T$3),Imóveis!$S$3-(DATEDIF(Imóveis!$Q$3,Dados!$A551,"m")),)))*(Imóveis!$N$3/Imóveis!$S$3)))*Imóveis!$P$3))))*IF(AND(Imóveis!$E$3&gt;0,Dados!$A551&gt;Imóveis!$E$3),0,1)</f>
        <v>0</v>
      </c>
      <c r="K551" s="18">
        <f>IF(Imóveis!$F$4="PRICE",IF(AND(Dados!$A551&gt;=Imóveis!$Q$4,Dados!$A551&lt;=Imóveis!$T$4),Imóveis!$U$4,0),IF((IF(AND(Dados!$A551&gt;=Imóveis!$Q$4,Dados!$A551&lt;=Imóveis!$T$4),Imóveis!$S$4-(DATEDIF(Imóveis!$Q$4,Dados!$A551,"m")),0))=0,0,((Imóveis!$N$4/Imóveis!$S$4)+((Imóveis!$N$4-((Imóveis!$S$4-(IF(AND(Dados!$A551&gt;=Imóveis!$Q$4,Dados!$A551&lt;=Imóveis!$T$4),Imóveis!$S$4-(DATEDIF(Imóveis!$Q$4,Dados!$A551,"m")),)))*(Imóveis!$N$4/Imóveis!$S$4)))*Imóveis!$P$4))))*IF(AND(Imóveis!$E$4&gt;0,Dados!$A551&gt;Imóveis!$E$4),0,1)</f>
        <v>0</v>
      </c>
      <c r="L551" s="18">
        <f>IF(Imóveis!$F$5="PRICE",IF(AND(Dados!$A551&gt;=Imóveis!$Q$5,Dados!$A551&lt;=Imóveis!$T$5),Imóveis!$U$5,0),IF((IF(AND(Dados!$A551&gt;=Imóveis!$Q$5,Dados!$A551&lt;=Imóveis!$T$5),Imóveis!$S$5-(DATEDIF(Imóveis!$Q$5,Dados!$A551,"m")),0))=0,0,((Imóveis!$N$5/Imóveis!$S$5)+((Imóveis!$N$5-((Imóveis!$S$5-(IF(AND(Dados!$A551 &gt;=Imóveis!$Q$5,Dados!$A551&lt;=Imóveis!$T$5),Imóveis!$S$5-(DATEDIF(Imóveis!$Q$5,Dados!$A551,"m")),)))*(Imóveis!$N$5/Imóveis!$S$5)))*Imóveis!$P$5))))*IF(AND(Imóveis!$E$5&gt;0,Dados!$A551&gt;Imóveis!$E$5),0,1)*Imóveis!$I$5</f>
        <v>0</v>
      </c>
      <c r="M551" s="18">
        <f>IF(Imóveis!$F$6="PRICE",IF(AND(Dados!$A551&gt;=Imóveis!$Q$6,Dados!$A551&lt;=Imóveis!$T$6),Imóveis!$U$6,0),IF((IF(AND(Dados!$A551&gt;=Imóveis!$Q$6,Dados!$A551&lt;=Imóveis!$T$6),Imóveis!$S$6-(DATEDIF(Imóveis!$Q$6,Dados!$A551,"m")),0))=0,0,((Imóveis!$N$6/Imóveis!$S$6)+((Imóveis!$N$6-((Imóveis!$S$6-(IF(AND(Dados!$A551&gt;=Imóveis!$Q$6,Dados!$A551&lt;=Imóveis!$T$6),Imóveis!$S$6-(DATEDIF(Imóveis!$Q$6,Dados!$A551,"m")),)))*(Imóveis!$N$6/Imóveis!$S$6)))*Imóveis!$P$6))))*IF(AND(Imóveis!$E$6&gt;0,Dados!$A551&gt;Imóveis!$E$6),0,1)*Imóveis!$I$6</f>
        <v>0</v>
      </c>
      <c r="N551" s="18">
        <f t="shared" si="69"/>
        <v>37000</v>
      </c>
      <c r="O551" s="18">
        <f>SUMIFS(Receitas!$F:$F,Receitas!$J:$J,"&lt;="&amp;$A551,Receitas!$L:$L,"&gt;="&amp;$A551,Receitas!$C:$C,O$1,Receitas!$M:$M,"Mensal")+SUMIFS(Receitas!$F:$F,Receitas!$J:$J,"&lt;="&amp;$A551,Receitas!$L:$L,"&gt;="&amp;$A551,Receitas!$C:$C,O$1,Receitas!$M:$M,$B551)</f>
        <v>0</v>
      </c>
      <c r="P551" s="18">
        <f>SUMIFS(Receitas!$F:$F,Receitas!$J:$J,"&lt;="&amp;$A551,Receitas!$L:$L,"&gt;="&amp;$A551,Receitas!$C:$C,P$1,Receitas!$M:$M,"Mensal")+SUMIFS(Receitas!$F:$F,Receitas!$J:$J,"&lt;="&amp;$A551,Receitas!$L:$L,"&gt;="&amp;$A551,Receitas!$C:$C,P$1,Receitas!$M:$M,$B551)</f>
        <v>0</v>
      </c>
      <c r="Q551" s="18">
        <f>SUMIFS(Receitas!$F:$F,Receitas!$J:$J,"&lt;="&amp;$A551,Receitas!$L:$L,"&gt;="&amp;$A551,Receitas!$C:$C,Q$1,Receitas!$M:$M,"Mensal")+SUMIFS(Receitas!$F:$F,Receitas!$J:$J,"&lt;="&amp;$A551,Receitas!$L:$L,"&gt;="&amp;$A551,Receitas!$C:$C,Q$1,Receitas!$M:$M,$B551)</f>
        <v>0</v>
      </c>
      <c r="R551" s="18" cm="1">
        <f t="array" ref="R551">(IF(AND(Membros!$F$2="Sim",A551&lt;=MAX(Membros!$E$2:$E$5)),Membros!K$2,IF(AND(A551&gt;=Membros!J$2,A551&lt;=MAX(Membros!$E$2:$E$5)),Membros!K$2,0))+IF(AND(Membros!$F$3="Sim",A551&lt;=MAX(Membros!$E$2:$E$5)),Membros!K$3,IF(AND(A551&gt;=Membros!J$3,A551&lt;=MAX(Membros!$E$2:$E$5)),Membros!K$3,0)))*IF(AND(COUNTIFS(Tabela3[Tipo],"Provedor",Tabela3[Simulação Seguro],"Sim")=2,A551&gt;=MAX(IF(Tabela3[Tipo]="Dependente",Tabela3[Expectativa de Vida (Data)]))),0,1)</f>
        <v>10000</v>
      </c>
      <c r="S551" s="18">
        <f t="shared" si="70"/>
        <v>10000</v>
      </c>
      <c r="U551" s="18">
        <f t="shared" ca="1" si="73"/>
        <v>35439346.641943216</v>
      </c>
      <c r="V551" s="18">
        <f>SUMIF(Imóveis!E:E,Dados!A:A,Imóveis!Z:Z)-SUMIF(Imóveis!E:E,Dados!A:A,Imóveis!Y:Y)</f>
        <v>0</v>
      </c>
      <c r="W551" s="18">
        <f>-SUMIF(Projetos!N:N,A551,Projetos!F:F)</f>
        <v>0</v>
      </c>
      <c r="X551" s="18">
        <f t="shared" si="67"/>
        <v>-27000</v>
      </c>
      <c r="Y551" s="26">
        <f ca="1">(U551*((Indicadores_Economicos!D$2+1)^(1/12)-1))</f>
        <v>116019.19895686701</v>
      </c>
      <c r="Z551" s="18">
        <f t="shared" ca="1" si="71"/>
        <v>35528365.840900086</v>
      </c>
      <c r="AA551" s="18">
        <f ca="1">Auxiliar_Projetos!E551</f>
        <v>2.3521818495949001E-9</v>
      </c>
      <c r="AB551" s="18">
        <f ca="1">Auxiliar_Projetos!K551</f>
        <v>1.8093706535345369E-9</v>
      </c>
      <c r="AC551" s="18">
        <f ca="1">IF(Z551-AA551-AB551&gt;Investimentos!$C$14,Investimentos!$C$14,IF(Z551-AA551-AB551&lt;Investimentos!$C$14,Z551-AA551-AB551,0))</f>
        <v>300000</v>
      </c>
      <c r="AD551" s="18">
        <f t="shared" ca="1" si="72"/>
        <v>35228365.840900086</v>
      </c>
      <c r="AE551" s="18"/>
    </row>
    <row r="552" spans="1:31" x14ac:dyDescent="0.2">
      <c r="A552" s="4">
        <v>62398</v>
      </c>
      <c r="B552" s="5" t="str">
        <f t="shared" si="68"/>
        <v>novembro</v>
      </c>
      <c r="C552" s="5" t="str">
        <f t="shared" si="74"/>
        <v>2070</v>
      </c>
      <c r="D552" s="5">
        <f>SUMIFS(Despesas!$F:$F,Despesas!$J:$J,"&lt;="&amp;$A552,Despesas!$L:$L,"&gt;="&amp;$A552,Despesas!$C:$C,D$1,Despesas!$M:$M,"Mensal")+SUMIFS(Despesas!$F:$F,Despesas!$J:$J,"&lt;="&amp;$A552,Despesas!$L:$L,"&gt;="&amp;$A552,Despesas!$C:$C,D$1,Despesas!$M:$M,$B552)</f>
        <v>23000</v>
      </c>
      <c r="E552" s="18">
        <f>SUMIFS(Despesas!$F:$F,Despesas!$J:$J,"&lt;="&amp;$A552,Despesas!$L:$L,"&gt;="&amp;$A552,Despesas!$C:$C,E$1,Despesas!$M:$M,"Mensal")+SUMIFS(Despesas!$F:$F,Despesas!$J:$J,"&lt;="&amp;$A552,Despesas!$L:$L,"&gt;="&amp;$A552,Despesas!$C:$C,E$1,Despesas!$M:$M,$B552)</f>
        <v>0</v>
      </c>
      <c r="F552" s="5">
        <f>SUMIFS(Despesas!$F:$F,Despesas!$J:$J,"&lt;="&amp;$A552,Despesas!$L:$L,"&gt;="&amp;$A552,Despesas!$C:$C,F$1,Despesas!$M:$M,"Mensal")+SUMIFS(Despesas!$F:$F,Despesas!$J:$J,"&lt;="&amp;$A552,Despesas!$L:$L,"&gt;="&amp;$A552,Despesas!$C:$C,F$1,Despesas!$M:$M,$B552)</f>
        <v>13000</v>
      </c>
      <c r="G552" s="5">
        <f>SUMIFS(Despesas!$F:$F,Despesas!$J:$J,"&lt;="&amp;$A552,Despesas!$L:$L,"&gt;="&amp;$A552,Despesas!$C:$C,G$1,Despesas!$M:$M,"Mensal")+SUMIFS(Despesas!$F:$F,Despesas!$J:$J,"&lt;="&amp;$A552,Despesas!$L:$L,"&gt;="&amp;$A552,Despesas!$C:$C,G$1,Despesas!$M:$M,$B552)</f>
        <v>0</v>
      </c>
      <c r="H552" s="18">
        <f>SUMIFS(Despesas!$F:$F,Despesas!$J:$J,"&lt;="&amp;$A552,Despesas!$L:$L,"&gt;="&amp;$A552,Despesas!$C:$C,H$1,Despesas!$M:$M,"Mensal")+SUMIFS(Despesas!$F:$F,Despesas!$J:$J,"&lt;="&amp;$A552,Despesas!$L:$L,"&gt;="&amp;$A552,Despesas!$C:$C,H$1,Despesas!$M:$M,$B552)</f>
        <v>1000</v>
      </c>
      <c r="I552" s="18">
        <f>IF(Imóveis!$F$2="PRICE",IF(AND(Dados!$A552&gt;=Imóveis!$Q$2,Dados!$A552&lt;=Imóveis!$T$2),Imóveis!$U$2,0),IF((IF(AND(Dados!$A552&gt;=Imóveis!$Q$2,Dados!$A552&lt;=Imóveis!$T$2),Imóveis!$S$2-(DATEDIF(Imóveis!$Q$2,Dados!$A552,"m")),0))=0,0,((Imóveis!$N$2/Imóveis!$S$2)+((Imóveis!$N$2-((Imóveis!$S$2-(IF(AND(Dados!$A552&gt;=Imóveis!$Q$2,Dados!$A552&lt;=Imóveis!$T$2),Imóveis!$S$2-(DATEDIF(Imóveis!$Q$2,Dados!$A552,"m")),)))*(Imóveis!$N$2/Imóveis!$S$2)))*Imóveis!$P$2))))*IF(AND(Imóveis!$E$2&gt;0,Dados!$A552&gt;Imóveis!$E$2),0,1)</f>
        <v>0</v>
      </c>
      <c r="J552" s="18">
        <f>IF(Imóveis!$F$3="PRICE",IF(AND(Dados!$A552&gt;=Imóveis!$Q$3,Dados!$A552&lt;=Imóveis!$T$3),Imóveis!$U$3,0),IF((IF(AND(Dados!$A552&gt;=Imóveis!$Q$3,Dados!$A552&lt;=Imóveis!$T$3),Imóveis!$S$3-(DATEDIF(Imóveis!$Q$3,Dados!$A552,"m")),0))=0,0,((Imóveis!$N$3/Imóveis!$S$3)+((Imóveis!$N$3-((Imóveis!$S$3-(IF(AND(Dados!$A552&gt;=Imóveis!$Q$3,Dados!$A552&lt;=Imóveis!$T$3),Imóveis!$S$3-(DATEDIF(Imóveis!$Q$3,Dados!$A552,"m")),)))*(Imóveis!$N$3/Imóveis!$S$3)))*Imóveis!$P$3))))*IF(AND(Imóveis!$E$3&gt;0,Dados!$A552&gt;Imóveis!$E$3),0,1)</f>
        <v>0</v>
      </c>
      <c r="K552" s="18">
        <f>IF(Imóveis!$F$4="PRICE",IF(AND(Dados!$A552&gt;=Imóveis!$Q$4,Dados!$A552&lt;=Imóveis!$T$4),Imóveis!$U$4,0),IF((IF(AND(Dados!$A552&gt;=Imóveis!$Q$4,Dados!$A552&lt;=Imóveis!$T$4),Imóveis!$S$4-(DATEDIF(Imóveis!$Q$4,Dados!$A552,"m")),0))=0,0,((Imóveis!$N$4/Imóveis!$S$4)+((Imóveis!$N$4-((Imóveis!$S$4-(IF(AND(Dados!$A552&gt;=Imóveis!$Q$4,Dados!$A552&lt;=Imóveis!$T$4),Imóveis!$S$4-(DATEDIF(Imóveis!$Q$4,Dados!$A552,"m")),)))*(Imóveis!$N$4/Imóveis!$S$4)))*Imóveis!$P$4))))*IF(AND(Imóveis!$E$4&gt;0,Dados!$A552&gt;Imóveis!$E$4),0,1)</f>
        <v>0</v>
      </c>
      <c r="L552" s="18">
        <f>IF(Imóveis!$F$5="PRICE",IF(AND(Dados!$A552&gt;=Imóveis!$Q$5,Dados!$A552&lt;=Imóveis!$T$5),Imóveis!$U$5,0),IF((IF(AND(Dados!$A552&gt;=Imóveis!$Q$5,Dados!$A552&lt;=Imóveis!$T$5),Imóveis!$S$5-(DATEDIF(Imóveis!$Q$5,Dados!$A552,"m")),0))=0,0,((Imóveis!$N$5/Imóveis!$S$5)+((Imóveis!$N$5-((Imóveis!$S$5-(IF(AND(Dados!$A552 &gt;=Imóveis!$Q$5,Dados!$A552&lt;=Imóveis!$T$5),Imóveis!$S$5-(DATEDIF(Imóveis!$Q$5,Dados!$A552,"m")),)))*(Imóveis!$N$5/Imóveis!$S$5)))*Imóveis!$P$5))))*IF(AND(Imóveis!$E$5&gt;0,Dados!$A552&gt;Imóveis!$E$5),0,1)*Imóveis!$I$5</f>
        <v>0</v>
      </c>
      <c r="M552" s="18">
        <f>IF(Imóveis!$F$6="PRICE",IF(AND(Dados!$A552&gt;=Imóveis!$Q$6,Dados!$A552&lt;=Imóveis!$T$6),Imóveis!$U$6,0),IF((IF(AND(Dados!$A552&gt;=Imóveis!$Q$6,Dados!$A552&lt;=Imóveis!$T$6),Imóveis!$S$6-(DATEDIF(Imóveis!$Q$6,Dados!$A552,"m")),0))=0,0,((Imóveis!$N$6/Imóveis!$S$6)+((Imóveis!$N$6-((Imóveis!$S$6-(IF(AND(Dados!$A552&gt;=Imóveis!$Q$6,Dados!$A552&lt;=Imóveis!$T$6),Imóveis!$S$6-(DATEDIF(Imóveis!$Q$6,Dados!$A552,"m")),)))*(Imóveis!$N$6/Imóveis!$S$6)))*Imóveis!$P$6))))*IF(AND(Imóveis!$E$6&gt;0,Dados!$A552&gt;Imóveis!$E$6),0,1)*Imóveis!$I$6</f>
        <v>0</v>
      </c>
      <c r="N552" s="18">
        <f t="shared" si="69"/>
        <v>37000</v>
      </c>
      <c r="O552" s="18">
        <f>SUMIFS(Receitas!$F:$F,Receitas!$J:$J,"&lt;="&amp;$A552,Receitas!$L:$L,"&gt;="&amp;$A552,Receitas!$C:$C,O$1,Receitas!$M:$M,"Mensal")+SUMIFS(Receitas!$F:$F,Receitas!$J:$J,"&lt;="&amp;$A552,Receitas!$L:$L,"&gt;="&amp;$A552,Receitas!$C:$C,O$1,Receitas!$M:$M,$B552)</f>
        <v>0</v>
      </c>
      <c r="P552" s="18">
        <f>SUMIFS(Receitas!$F:$F,Receitas!$J:$J,"&lt;="&amp;$A552,Receitas!$L:$L,"&gt;="&amp;$A552,Receitas!$C:$C,P$1,Receitas!$M:$M,"Mensal")+SUMIFS(Receitas!$F:$F,Receitas!$J:$J,"&lt;="&amp;$A552,Receitas!$L:$L,"&gt;="&amp;$A552,Receitas!$C:$C,P$1,Receitas!$M:$M,$B552)</f>
        <v>0</v>
      </c>
      <c r="Q552" s="18">
        <f>SUMIFS(Receitas!$F:$F,Receitas!$J:$J,"&lt;="&amp;$A552,Receitas!$L:$L,"&gt;="&amp;$A552,Receitas!$C:$C,Q$1,Receitas!$M:$M,"Mensal")+SUMIFS(Receitas!$F:$F,Receitas!$J:$J,"&lt;="&amp;$A552,Receitas!$L:$L,"&gt;="&amp;$A552,Receitas!$C:$C,Q$1,Receitas!$M:$M,$B552)</f>
        <v>0</v>
      </c>
      <c r="R552" s="18" cm="1">
        <f t="array" ref="R552">(IF(AND(Membros!$F$2="Sim",A552&lt;=MAX(Membros!$E$2:$E$5)),Membros!K$2,IF(AND(A552&gt;=Membros!J$2,A552&lt;=MAX(Membros!$E$2:$E$5)),Membros!K$2,0))+IF(AND(Membros!$F$3="Sim",A552&lt;=MAX(Membros!$E$2:$E$5)),Membros!K$3,IF(AND(A552&gt;=Membros!J$3,A552&lt;=MAX(Membros!$E$2:$E$5)),Membros!K$3,0)))*IF(AND(COUNTIFS(Tabela3[Tipo],"Provedor",Tabela3[Simulação Seguro],"Sim")=2,A552&gt;=MAX(IF(Tabela3[Tipo]="Dependente",Tabela3[Expectativa de Vida (Data)]))),0,1)</f>
        <v>10000</v>
      </c>
      <c r="S552" s="18">
        <f t="shared" si="70"/>
        <v>10000</v>
      </c>
      <c r="U552" s="18">
        <f t="shared" ca="1" si="73"/>
        <v>35528365.840900086</v>
      </c>
      <c r="V552" s="18">
        <f>SUMIF(Imóveis!E:E,Dados!A:A,Imóveis!Z:Z)-SUMIF(Imóveis!E:E,Dados!A:A,Imóveis!Y:Y)</f>
        <v>0</v>
      </c>
      <c r="W552" s="18">
        <f>-SUMIF(Projetos!N:N,A552,Projetos!F:F)</f>
        <v>0</v>
      </c>
      <c r="X552" s="18">
        <f t="shared" si="67"/>
        <v>-27000</v>
      </c>
      <c r="Y552" s="26">
        <f ca="1">(U552*((Indicadores_Economicos!D$2+1)^(1/12)-1))</f>
        <v>116310.62464987161</v>
      </c>
      <c r="Z552" s="18">
        <f t="shared" ca="1" si="71"/>
        <v>35617676.465549961</v>
      </c>
      <c r="AA552" s="18">
        <f ca="1">Auxiliar_Projetos!E552</f>
        <v>2.3598822808908853E-9</v>
      </c>
      <c r="AB552" s="18">
        <f ca="1">Auxiliar_Projetos!K552</f>
        <v>1.8152940622237561E-9</v>
      </c>
      <c r="AC552" s="18">
        <f ca="1">IF(Z552-AA552-AB552&gt;Investimentos!$C$14,Investimentos!$C$14,IF(Z552-AA552-AB552&lt;Investimentos!$C$14,Z552-AA552-AB552,0))</f>
        <v>300000</v>
      </c>
      <c r="AD552" s="18">
        <f t="shared" ca="1" si="72"/>
        <v>35317676.465549961</v>
      </c>
      <c r="AE552" s="18"/>
    </row>
    <row r="553" spans="1:31" x14ac:dyDescent="0.2">
      <c r="A553" s="4">
        <v>62428</v>
      </c>
      <c r="B553" s="5" t="str">
        <f t="shared" si="68"/>
        <v>dezembro</v>
      </c>
      <c r="C553" s="5" t="str">
        <f t="shared" si="74"/>
        <v>2070</v>
      </c>
      <c r="D553" s="5">
        <f>SUMIFS(Despesas!$F:$F,Despesas!$J:$J,"&lt;="&amp;$A553,Despesas!$L:$L,"&gt;="&amp;$A553,Despesas!$C:$C,D$1,Despesas!$M:$M,"Mensal")+SUMIFS(Despesas!$F:$F,Despesas!$J:$J,"&lt;="&amp;$A553,Despesas!$L:$L,"&gt;="&amp;$A553,Despesas!$C:$C,D$1,Despesas!$M:$M,$B553)</f>
        <v>23000</v>
      </c>
      <c r="E553" s="18">
        <f>SUMIFS(Despesas!$F:$F,Despesas!$J:$J,"&lt;="&amp;$A553,Despesas!$L:$L,"&gt;="&amp;$A553,Despesas!$C:$C,E$1,Despesas!$M:$M,"Mensal")+SUMIFS(Despesas!$F:$F,Despesas!$J:$J,"&lt;="&amp;$A553,Despesas!$L:$L,"&gt;="&amp;$A553,Despesas!$C:$C,E$1,Despesas!$M:$M,$B553)</f>
        <v>0</v>
      </c>
      <c r="F553" s="5">
        <f>SUMIFS(Despesas!$F:$F,Despesas!$J:$J,"&lt;="&amp;$A553,Despesas!$L:$L,"&gt;="&amp;$A553,Despesas!$C:$C,F$1,Despesas!$M:$M,"Mensal")+SUMIFS(Despesas!$F:$F,Despesas!$J:$J,"&lt;="&amp;$A553,Despesas!$L:$L,"&gt;="&amp;$A553,Despesas!$C:$C,F$1,Despesas!$M:$M,$B553)</f>
        <v>13000</v>
      </c>
      <c r="G553" s="5">
        <f ca="1">SUMIFS(Despesas!$F:$F,Despesas!$J:$J,"&lt;="&amp;$A553,Despesas!$L:$L,"&gt;="&amp;$A553,Despesas!$C:$C,G$1,Despesas!$M:$M,"Mensal")+SUMIFS(Despesas!$F:$F,Despesas!$J:$J,"&lt;="&amp;$A553,Despesas!$L:$L,"&gt;="&amp;$A553,Despesas!$C:$C,G$1,Despesas!$M:$M,$B553)</f>
        <v>55757</v>
      </c>
      <c r="H553" s="18">
        <f>SUMIFS(Despesas!$F:$F,Despesas!$J:$J,"&lt;="&amp;$A553,Despesas!$L:$L,"&gt;="&amp;$A553,Despesas!$C:$C,H$1,Despesas!$M:$M,"Mensal")+SUMIFS(Despesas!$F:$F,Despesas!$J:$J,"&lt;="&amp;$A553,Despesas!$L:$L,"&gt;="&amp;$A553,Despesas!$C:$C,H$1,Despesas!$M:$M,$B553)</f>
        <v>1000</v>
      </c>
      <c r="I553" s="18">
        <f>IF(Imóveis!$F$2="PRICE",IF(AND(Dados!$A553&gt;=Imóveis!$Q$2,Dados!$A553&lt;=Imóveis!$T$2),Imóveis!$U$2,0),IF((IF(AND(Dados!$A553&gt;=Imóveis!$Q$2,Dados!$A553&lt;=Imóveis!$T$2),Imóveis!$S$2-(DATEDIF(Imóveis!$Q$2,Dados!$A553,"m")),0))=0,0,((Imóveis!$N$2/Imóveis!$S$2)+((Imóveis!$N$2-((Imóveis!$S$2-(IF(AND(Dados!$A553&gt;=Imóveis!$Q$2,Dados!$A553&lt;=Imóveis!$T$2),Imóveis!$S$2-(DATEDIF(Imóveis!$Q$2,Dados!$A553,"m")),)))*(Imóveis!$N$2/Imóveis!$S$2)))*Imóveis!$P$2))))*IF(AND(Imóveis!$E$2&gt;0,Dados!$A553&gt;Imóveis!$E$2),0,1)</f>
        <v>0</v>
      </c>
      <c r="J553" s="18">
        <f>IF(Imóveis!$F$3="PRICE",IF(AND(Dados!$A553&gt;=Imóveis!$Q$3,Dados!$A553&lt;=Imóveis!$T$3),Imóveis!$U$3,0),IF((IF(AND(Dados!$A553&gt;=Imóveis!$Q$3,Dados!$A553&lt;=Imóveis!$T$3),Imóveis!$S$3-(DATEDIF(Imóveis!$Q$3,Dados!$A553,"m")),0))=0,0,((Imóveis!$N$3/Imóveis!$S$3)+((Imóveis!$N$3-((Imóveis!$S$3-(IF(AND(Dados!$A553&gt;=Imóveis!$Q$3,Dados!$A553&lt;=Imóveis!$T$3),Imóveis!$S$3-(DATEDIF(Imóveis!$Q$3,Dados!$A553,"m")),)))*(Imóveis!$N$3/Imóveis!$S$3)))*Imóveis!$P$3))))*IF(AND(Imóveis!$E$3&gt;0,Dados!$A553&gt;Imóveis!$E$3),0,1)</f>
        <v>0</v>
      </c>
      <c r="K553" s="18">
        <f>IF(Imóveis!$F$4="PRICE",IF(AND(Dados!$A553&gt;=Imóveis!$Q$4,Dados!$A553&lt;=Imóveis!$T$4),Imóveis!$U$4,0),IF((IF(AND(Dados!$A553&gt;=Imóveis!$Q$4,Dados!$A553&lt;=Imóveis!$T$4),Imóveis!$S$4-(DATEDIF(Imóveis!$Q$4,Dados!$A553,"m")),0))=0,0,((Imóveis!$N$4/Imóveis!$S$4)+((Imóveis!$N$4-((Imóveis!$S$4-(IF(AND(Dados!$A553&gt;=Imóveis!$Q$4,Dados!$A553&lt;=Imóveis!$T$4),Imóveis!$S$4-(DATEDIF(Imóveis!$Q$4,Dados!$A553,"m")),)))*(Imóveis!$N$4/Imóveis!$S$4)))*Imóveis!$P$4))))*IF(AND(Imóveis!$E$4&gt;0,Dados!$A553&gt;Imóveis!$E$4),0,1)</f>
        <v>0</v>
      </c>
      <c r="L553" s="18">
        <f>IF(Imóveis!$F$5="PRICE",IF(AND(Dados!$A553&gt;=Imóveis!$Q$5,Dados!$A553&lt;=Imóveis!$T$5),Imóveis!$U$5,0),IF((IF(AND(Dados!$A553&gt;=Imóveis!$Q$5,Dados!$A553&lt;=Imóveis!$T$5),Imóveis!$S$5-(DATEDIF(Imóveis!$Q$5,Dados!$A553,"m")),0))=0,0,((Imóveis!$N$5/Imóveis!$S$5)+((Imóveis!$N$5-((Imóveis!$S$5-(IF(AND(Dados!$A553 &gt;=Imóveis!$Q$5,Dados!$A553&lt;=Imóveis!$T$5),Imóveis!$S$5-(DATEDIF(Imóveis!$Q$5,Dados!$A553,"m")),)))*(Imóveis!$N$5/Imóveis!$S$5)))*Imóveis!$P$5))))*IF(AND(Imóveis!$E$5&gt;0,Dados!$A553&gt;Imóveis!$E$5),0,1)*Imóveis!$I$5</f>
        <v>0</v>
      </c>
      <c r="M553" s="18">
        <f>IF(Imóveis!$F$6="PRICE",IF(AND(Dados!$A553&gt;=Imóveis!$Q$6,Dados!$A553&lt;=Imóveis!$T$6),Imóveis!$U$6,0),IF((IF(AND(Dados!$A553&gt;=Imóveis!$Q$6,Dados!$A553&lt;=Imóveis!$T$6),Imóveis!$S$6-(DATEDIF(Imóveis!$Q$6,Dados!$A553,"m")),0))=0,0,((Imóveis!$N$6/Imóveis!$S$6)+((Imóveis!$N$6-((Imóveis!$S$6-(IF(AND(Dados!$A553&gt;=Imóveis!$Q$6,Dados!$A553&lt;=Imóveis!$T$6),Imóveis!$S$6-(DATEDIF(Imóveis!$Q$6,Dados!$A553,"m")),)))*(Imóveis!$N$6/Imóveis!$S$6)))*Imóveis!$P$6))))*IF(AND(Imóveis!$E$6&gt;0,Dados!$A553&gt;Imóveis!$E$6),0,1)*Imóveis!$I$6</f>
        <v>0</v>
      </c>
      <c r="N553" s="18">
        <f t="shared" ca="1" si="69"/>
        <v>92757</v>
      </c>
      <c r="O553" s="18">
        <f>SUMIFS(Receitas!$F:$F,Receitas!$J:$J,"&lt;="&amp;$A553,Receitas!$L:$L,"&gt;="&amp;$A553,Receitas!$C:$C,O$1,Receitas!$M:$M,"Mensal")+SUMIFS(Receitas!$F:$F,Receitas!$J:$J,"&lt;="&amp;$A553,Receitas!$L:$L,"&gt;="&amp;$A553,Receitas!$C:$C,O$1,Receitas!$M:$M,$B553)</f>
        <v>0</v>
      </c>
      <c r="P553" s="18">
        <f>SUMIFS(Receitas!$F:$F,Receitas!$J:$J,"&lt;="&amp;$A553,Receitas!$L:$L,"&gt;="&amp;$A553,Receitas!$C:$C,P$1,Receitas!$M:$M,"Mensal")+SUMIFS(Receitas!$F:$F,Receitas!$J:$J,"&lt;="&amp;$A553,Receitas!$L:$L,"&gt;="&amp;$A553,Receitas!$C:$C,P$1,Receitas!$M:$M,$B553)</f>
        <v>0</v>
      </c>
      <c r="Q553" s="18">
        <f>SUMIFS(Receitas!$F:$F,Receitas!$J:$J,"&lt;="&amp;$A553,Receitas!$L:$L,"&gt;="&amp;$A553,Receitas!$C:$C,Q$1,Receitas!$M:$M,"Mensal")+SUMIFS(Receitas!$F:$F,Receitas!$J:$J,"&lt;="&amp;$A553,Receitas!$L:$L,"&gt;="&amp;$A553,Receitas!$C:$C,Q$1,Receitas!$M:$M,$B553)</f>
        <v>0</v>
      </c>
      <c r="R553" s="18" cm="1">
        <f t="array" ref="R553">(IF(AND(Membros!$F$2="Sim",A553&lt;=MAX(Membros!$E$2:$E$5)),Membros!K$2,IF(AND(A553&gt;=Membros!J$2,A553&lt;=MAX(Membros!$E$2:$E$5)),Membros!K$2,0))+IF(AND(Membros!$F$3="Sim",A553&lt;=MAX(Membros!$E$2:$E$5)),Membros!K$3,IF(AND(A553&gt;=Membros!J$3,A553&lt;=MAX(Membros!$E$2:$E$5)),Membros!K$3,0)))*IF(AND(COUNTIFS(Tabela3[Tipo],"Provedor",Tabela3[Simulação Seguro],"Sim")=2,A553&gt;=MAX(IF(Tabela3[Tipo]="Dependente",Tabela3[Expectativa de Vida (Data)]))),0,1)</f>
        <v>10000</v>
      </c>
      <c r="S553" s="18">
        <f t="shared" si="70"/>
        <v>10000</v>
      </c>
      <c r="U553" s="18">
        <f t="shared" ca="1" si="73"/>
        <v>35617676.465549961</v>
      </c>
      <c r="V553" s="18">
        <f>SUMIF(Imóveis!E:E,Dados!A:A,Imóveis!Z:Z)-SUMIF(Imóveis!E:E,Dados!A:A,Imóveis!Y:Y)</f>
        <v>0</v>
      </c>
      <c r="W553" s="18">
        <f>-SUMIF(Projetos!N:N,A553,Projetos!F:F)</f>
        <v>0</v>
      </c>
      <c r="X553" s="18">
        <f t="shared" ca="1" si="67"/>
        <v>-82757</v>
      </c>
      <c r="Y553" s="26">
        <f ca="1">(U553*((Indicadores_Economicos!D$2+1)^(1/12)-1))</f>
        <v>116603.00439476094</v>
      </c>
      <c r="Z553" s="18">
        <f t="shared" ca="1" si="71"/>
        <v>35651522.469944723</v>
      </c>
      <c r="AA553" s="18">
        <f ca="1">Auxiliar_Projetos!E553</f>
        <v>2.367607921395144E-9</v>
      </c>
      <c r="AB553" s="18">
        <f ca="1">Auxiliar_Projetos!K553</f>
        <v>1.8212368626116475E-9</v>
      </c>
      <c r="AC553" s="18">
        <f ca="1">IF(Z553-AA553-AB553&gt;Investimentos!$C$14,Investimentos!$C$14,IF(Z553-AA553-AB553&lt;Investimentos!$C$14,Z553-AA553-AB553,0))</f>
        <v>300000</v>
      </c>
      <c r="AD553" s="18">
        <f t="shared" ca="1" si="72"/>
        <v>35351522.469944723</v>
      </c>
      <c r="AE553" s="18"/>
    </row>
    <row r="554" spans="1:31" x14ac:dyDescent="0.2">
      <c r="A554" s="4">
        <v>62459</v>
      </c>
      <c r="B554" s="5" t="str">
        <f t="shared" si="68"/>
        <v>janeiro</v>
      </c>
      <c r="C554" s="5" t="str">
        <f t="shared" si="74"/>
        <v>2071</v>
      </c>
      <c r="D554" s="5">
        <f>SUMIFS(Despesas!$F:$F,Despesas!$J:$J,"&lt;="&amp;$A554,Despesas!$L:$L,"&gt;="&amp;$A554,Despesas!$C:$C,D$1,Despesas!$M:$M,"Mensal")+SUMIFS(Despesas!$F:$F,Despesas!$J:$J,"&lt;="&amp;$A554,Despesas!$L:$L,"&gt;="&amp;$A554,Despesas!$C:$C,D$1,Despesas!$M:$M,$B554)</f>
        <v>23000</v>
      </c>
      <c r="E554" s="18">
        <f>SUMIFS(Despesas!$F:$F,Despesas!$J:$J,"&lt;="&amp;$A554,Despesas!$L:$L,"&gt;="&amp;$A554,Despesas!$C:$C,E$1,Despesas!$M:$M,"Mensal")+SUMIFS(Despesas!$F:$F,Despesas!$J:$J,"&lt;="&amp;$A554,Despesas!$L:$L,"&gt;="&amp;$A554,Despesas!$C:$C,E$1,Despesas!$M:$M,$B554)</f>
        <v>0</v>
      </c>
      <c r="F554" s="5">
        <f>SUMIFS(Despesas!$F:$F,Despesas!$J:$J,"&lt;="&amp;$A554,Despesas!$L:$L,"&gt;="&amp;$A554,Despesas!$C:$C,F$1,Despesas!$M:$M,"Mensal")+SUMIFS(Despesas!$F:$F,Despesas!$J:$J,"&lt;="&amp;$A554,Despesas!$L:$L,"&gt;="&amp;$A554,Despesas!$C:$C,F$1,Despesas!$M:$M,$B554)</f>
        <v>13000</v>
      </c>
      <c r="G554" s="5">
        <f>SUMIFS(Despesas!$F:$F,Despesas!$J:$J,"&lt;="&amp;$A554,Despesas!$L:$L,"&gt;="&amp;$A554,Despesas!$C:$C,G$1,Despesas!$M:$M,"Mensal")+SUMIFS(Despesas!$F:$F,Despesas!$J:$J,"&lt;="&amp;$A554,Despesas!$L:$L,"&gt;="&amp;$A554,Despesas!$C:$C,G$1,Despesas!$M:$M,$B554)</f>
        <v>0</v>
      </c>
      <c r="H554" s="18">
        <f>SUMIFS(Despesas!$F:$F,Despesas!$J:$J,"&lt;="&amp;$A554,Despesas!$L:$L,"&gt;="&amp;$A554,Despesas!$C:$C,H$1,Despesas!$M:$M,"Mensal")+SUMIFS(Despesas!$F:$F,Despesas!$J:$J,"&lt;="&amp;$A554,Despesas!$L:$L,"&gt;="&amp;$A554,Despesas!$C:$C,H$1,Despesas!$M:$M,$B554)</f>
        <v>1000</v>
      </c>
      <c r="I554" s="18">
        <f>IF(Imóveis!$F$2="PRICE",IF(AND(Dados!$A554&gt;=Imóveis!$Q$2,Dados!$A554&lt;=Imóveis!$T$2),Imóveis!$U$2,0),IF((IF(AND(Dados!$A554&gt;=Imóveis!$Q$2,Dados!$A554&lt;=Imóveis!$T$2),Imóveis!$S$2-(DATEDIF(Imóveis!$Q$2,Dados!$A554,"m")),0))=0,0,((Imóveis!$N$2/Imóveis!$S$2)+((Imóveis!$N$2-((Imóveis!$S$2-(IF(AND(Dados!$A554&gt;=Imóveis!$Q$2,Dados!$A554&lt;=Imóveis!$T$2),Imóveis!$S$2-(DATEDIF(Imóveis!$Q$2,Dados!$A554,"m")),)))*(Imóveis!$N$2/Imóveis!$S$2)))*Imóveis!$P$2))))*IF(AND(Imóveis!$E$2&gt;0,Dados!$A554&gt;Imóveis!$E$2),0,1)</f>
        <v>0</v>
      </c>
      <c r="J554" s="18">
        <f>IF(Imóveis!$F$3="PRICE",IF(AND(Dados!$A554&gt;=Imóveis!$Q$3,Dados!$A554&lt;=Imóveis!$T$3),Imóveis!$U$3,0),IF((IF(AND(Dados!$A554&gt;=Imóveis!$Q$3,Dados!$A554&lt;=Imóveis!$T$3),Imóveis!$S$3-(DATEDIF(Imóveis!$Q$3,Dados!$A554,"m")),0))=0,0,((Imóveis!$N$3/Imóveis!$S$3)+((Imóveis!$N$3-((Imóveis!$S$3-(IF(AND(Dados!$A554&gt;=Imóveis!$Q$3,Dados!$A554&lt;=Imóveis!$T$3),Imóveis!$S$3-(DATEDIF(Imóveis!$Q$3,Dados!$A554,"m")),)))*(Imóveis!$N$3/Imóveis!$S$3)))*Imóveis!$P$3))))*IF(AND(Imóveis!$E$3&gt;0,Dados!$A554&gt;Imóveis!$E$3),0,1)</f>
        <v>0</v>
      </c>
      <c r="K554" s="18">
        <f>IF(Imóveis!$F$4="PRICE",IF(AND(Dados!$A554&gt;=Imóveis!$Q$4,Dados!$A554&lt;=Imóveis!$T$4),Imóveis!$U$4,0),IF((IF(AND(Dados!$A554&gt;=Imóveis!$Q$4,Dados!$A554&lt;=Imóveis!$T$4),Imóveis!$S$4-(DATEDIF(Imóveis!$Q$4,Dados!$A554,"m")),0))=0,0,((Imóveis!$N$4/Imóveis!$S$4)+((Imóveis!$N$4-((Imóveis!$S$4-(IF(AND(Dados!$A554&gt;=Imóveis!$Q$4,Dados!$A554&lt;=Imóveis!$T$4),Imóveis!$S$4-(DATEDIF(Imóveis!$Q$4,Dados!$A554,"m")),)))*(Imóveis!$N$4/Imóveis!$S$4)))*Imóveis!$P$4))))*IF(AND(Imóveis!$E$4&gt;0,Dados!$A554&gt;Imóveis!$E$4),0,1)</f>
        <v>0</v>
      </c>
      <c r="L554" s="18">
        <f>IF(Imóveis!$F$5="PRICE",IF(AND(Dados!$A554&gt;=Imóveis!$Q$5,Dados!$A554&lt;=Imóveis!$T$5),Imóveis!$U$5,0),IF((IF(AND(Dados!$A554&gt;=Imóveis!$Q$5,Dados!$A554&lt;=Imóveis!$T$5),Imóveis!$S$5-(DATEDIF(Imóveis!$Q$5,Dados!$A554,"m")),0))=0,0,((Imóveis!$N$5/Imóveis!$S$5)+((Imóveis!$N$5-((Imóveis!$S$5-(IF(AND(Dados!$A554 &gt;=Imóveis!$Q$5,Dados!$A554&lt;=Imóveis!$T$5),Imóveis!$S$5-(DATEDIF(Imóveis!$Q$5,Dados!$A554,"m")),)))*(Imóveis!$N$5/Imóveis!$S$5)))*Imóveis!$P$5))))*IF(AND(Imóveis!$E$5&gt;0,Dados!$A554&gt;Imóveis!$E$5),0,1)*Imóveis!$I$5</f>
        <v>0</v>
      </c>
      <c r="M554" s="18">
        <f>IF(Imóveis!$F$6="PRICE",IF(AND(Dados!$A554&gt;=Imóveis!$Q$6,Dados!$A554&lt;=Imóveis!$T$6),Imóveis!$U$6,0),IF((IF(AND(Dados!$A554&gt;=Imóveis!$Q$6,Dados!$A554&lt;=Imóveis!$T$6),Imóveis!$S$6-(DATEDIF(Imóveis!$Q$6,Dados!$A554,"m")),0))=0,0,((Imóveis!$N$6/Imóveis!$S$6)+((Imóveis!$N$6-((Imóveis!$S$6-(IF(AND(Dados!$A554&gt;=Imóveis!$Q$6,Dados!$A554&lt;=Imóveis!$T$6),Imóveis!$S$6-(DATEDIF(Imóveis!$Q$6,Dados!$A554,"m")),)))*(Imóveis!$N$6/Imóveis!$S$6)))*Imóveis!$P$6))))*IF(AND(Imóveis!$E$6&gt;0,Dados!$A554&gt;Imóveis!$E$6),0,1)*Imóveis!$I$6</f>
        <v>0</v>
      </c>
      <c r="N554" s="18">
        <f t="shared" si="69"/>
        <v>37000</v>
      </c>
      <c r="O554" s="18">
        <f>SUMIFS(Receitas!$F:$F,Receitas!$J:$J,"&lt;="&amp;$A554,Receitas!$L:$L,"&gt;="&amp;$A554,Receitas!$C:$C,O$1,Receitas!$M:$M,"Mensal")+SUMIFS(Receitas!$F:$F,Receitas!$J:$J,"&lt;="&amp;$A554,Receitas!$L:$L,"&gt;="&amp;$A554,Receitas!$C:$C,O$1,Receitas!$M:$M,$B554)</f>
        <v>0</v>
      </c>
      <c r="P554" s="18">
        <f>SUMIFS(Receitas!$F:$F,Receitas!$J:$J,"&lt;="&amp;$A554,Receitas!$L:$L,"&gt;="&amp;$A554,Receitas!$C:$C,P$1,Receitas!$M:$M,"Mensal")+SUMIFS(Receitas!$F:$F,Receitas!$J:$J,"&lt;="&amp;$A554,Receitas!$L:$L,"&gt;="&amp;$A554,Receitas!$C:$C,P$1,Receitas!$M:$M,$B554)</f>
        <v>0</v>
      </c>
      <c r="Q554" s="18">
        <f>SUMIFS(Receitas!$F:$F,Receitas!$J:$J,"&lt;="&amp;$A554,Receitas!$L:$L,"&gt;="&amp;$A554,Receitas!$C:$C,Q$1,Receitas!$M:$M,"Mensal")+SUMIFS(Receitas!$F:$F,Receitas!$J:$J,"&lt;="&amp;$A554,Receitas!$L:$L,"&gt;="&amp;$A554,Receitas!$C:$C,Q$1,Receitas!$M:$M,$B554)</f>
        <v>0</v>
      </c>
      <c r="R554" s="18" cm="1">
        <f t="array" ref="R554">(IF(AND(Membros!$F$2="Sim",A554&lt;=MAX(Membros!$E$2:$E$5)),Membros!K$2,IF(AND(A554&gt;=Membros!J$2,A554&lt;=MAX(Membros!$E$2:$E$5)),Membros!K$2,0))+IF(AND(Membros!$F$3="Sim",A554&lt;=MAX(Membros!$E$2:$E$5)),Membros!K$3,IF(AND(A554&gt;=Membros!J$3,A554&lt;=MAX(Membros!$E$2:$E$5)),Membros!K$3,0)))*IF(AND(COUNTIFS(Tabela3[Tipo],"Provedor",Tabela3[Simulação Seguro],"Sim")=2,A554&gt;=MAX(IF(Tabela3[Tipo]="Dependente",Tabela3[Expectativa de Vida (Data)]))),0,1)</f>
        <v>10000</v>
      </c>
      <c r="S554" s="18">
        <f t="shared" si="70"/>
        <v>10000</v>
      </c>
      <c r="U554" s="18">
        <f t="shared" ca="1" si="73"/>
        <v>35651522.469944723</v>
      </c>
      <c r="V554" s="18">
        <f>SUMIF(Imóveis!E:E,Dados!A:A,Imóveis!Z:Z)-SUMIF(Imóveis!E:E,Dados!A:A,Imóveis!Y:Y)</f>
        <v>0</v>
      </c>
      <c r="W554" s="18">
        <f>-SUMIF(Projetos!N:N,A554,Projetos!F:F)</f>
        <v>0</v>
      </c>
      <c r="X554" s="18">
        <f t="shared" si="67"/>
        <v>-27000</v>
      </c>
      <c r="Y554" s="26">
        <f ca="1">(U554*((Indicadores_Economicos!D$2+1)^(1/12)-1))</f>
        <v>116713.80740581654</v>
      </c>
      <c r="Z554" s="18">
        <f t="shared" ca="1" si="71"/>
        <v>35741236.277350537</v>
      </c>
      <c r="AA554" s="18">
        <f ca="1">Auxiliar_Projetos!E554</f>
        <v>2.3753588536360647E-9</v>
      </c>
      <c r="AB554" s="18">
        <f ca="1">Auxiliar_Projetos!K554</f>
        <v>1.8271991181815864E-9</v>
      </c>
      <c r="AC554" s="18">
        <f ca="1">IF(Z554-AA554-AB554&gt;Investimentos!$C$14,Investimentos!$C$14,IF(Z554-AA554-AB554&lt;Investimentos!$C$14,Z554-AA554-AB554,0))</f>
        <v>300000</v>
      </c>
      <c r="AD554" s="18">
        <f t="shared" ca="1" si="72"/>
        <v>35441236.277350537</v>
      </c>
      <c r="AE554" s="18"/>
    </row>
    <row r="555" spans="1:31" x14ac:dyDescent="0.2">
      <c r="A555" s="4">
        <v>62490</v>
      </c>
      <c r="B555" s="5" t="str">
        <f t="shared" si="68"/>
        <v>fevereiro</v>
      </c>
      <c r="C555" s="5" t="str">
        <f t="shared" si="74"/>
        <v>2071</v>
      </c>
      <c r="D555" s="5">
        <f>SUMIFS(Despesas!$F:$F,Despesas!$J:$J,"&lt;="&amp;$A555,Despesas!$L:$L,"&gt;="&amp;$A555,Despesas!$C:$C,D$1,Despesas!$M:$M,"Mensal")+SUMIFS(Despesas!$F:$F,Despesas!$J:$J,"&lt;="&amp;$A555,Despesas!$L:$L,"&gt;="&amp;$A555,Despesas!$C:$C,D$1,Despesas!$M:$M,$B555)</f>
        <v>23000</v>
      </c>
      <c r="E555" s="18">
        <f>SUMIFS(Despesas!$F:$F,Despesas!$J:$J,"&lt;="&amp;$A555,Despesas!$L:$L,"&gt;="&amp;$A555,Despesas!$C:$C,E$1,Despesas!$M:$M,"Mensal")+SUMIFS(Despesas!$F:$F,Despesas!$J:$J,"&lt;="&amp;$A555,Despesas!$L:$L,"&gt;="&amp;$A555,Despesas!$C:$C,E$1,Despesas!$M:$M,$B555)</f>
        <v>0</v>
      </c>
      <c r="F555" s="5">
        <f>SUMIFS(Despesas!$F:$F,Despesas!$J:$J,"&lt;="&amp;$A555,Despesas!$L:$L,"&gt;="&amp;$A555,Despesas!$C:$C,F$1,Despesas!$M:$M,"Mensal")+SUMIFS(Despesas!$F:$F,Despesas!$J:$J,"&lt;="&amp;$A555,Despesas!$L:$L,"&gt;="&amp;$A555,Despesas!$C:$C,F$1,Despesas!$M:$M,$B555)</f>
        <v>13000</v>
      </c>
      <c r="G555" s="5">
        <f>SUMIFS(Despesas!$F:$F,Despesas!$J:$J,"&lt;="&amp;$A555,Despesas!$L:$L,"&gt;="&amp;$A555,Despesas!$C:$C,G$1,Despesas!$M:$M,"Mensal")+SUMIFS(Despesas!$F:$F,Despesas!$J:$J,"&lt;="&amp;$A555,Despesas!$L:$L,"&gt;="&amp;$A555,Despesas!$C:$C,G$1,Despesas!$M:$M,$B555)</f>
        <v>0</v>
      </c>
      <c r="H555" s="18">
        <f>SUMIFS(Despesas!$F:$F,Despesas!$J:$J,"&lt;="&amp;$A555,Despesas!$L:$L,"&gt;="&amp;$A555,Despesas!$C:$C,H$1,Despesas!$M:$M,"Mensal")+SUMIFS(Despesas!$F:$F,Despesas!$J:$J,"&lt;="&amp;$A555,Despesas!$L:$L,"&gt;="&amp;$A555,Despesas!$C:$C,H$1,Despesas!$M:$M,$B555)</f>
        <v>2200</v>
      </c>
      <c r="I555" s="18">
        <f>IF(Imóveis!$F$2="PRICE",IF(AND(Dados!$A555&gt;=Imóveis!$Q$2,Dados!$A555&lt;=Imóveis!$T$2),Imóveis!$U$2,0),IF((IF(AND(Dados!$A555&gt;=Imóveis!$Q$2,Dados!$A555&lt;=Imóveis!$T$2),Imóveis!$S$2-(DATEDIF(Imóveis!$Q$2,Dados!$A555,"m")),0))=0,0,((Imóveis!$N$2/Imóveis!$S$2)+((Imóveis!$N$2-((Imóveis!$S$2-(IF(AND(Dados!$A555&gt;=Imóveis!$Q$2,Dados!$A555&lt;=Imóveis!$T$2),Imóveis!$S$2-(DATEDIF(Imóveis!$Q$2,Dados!$A555,"m")),)))*(Imóveis!$N$2/Imóveis!$S$2)))*Imóveis!$P$2))))*IF(AND(Imóveis!$E$2&gt;0,Dados!$A555&gt;Imóveis!$E$2),0,1)</f>
        <v>0</v>
      </c>
      <c r="J555" s="18">
        <f>IF(Imóveis!$F$3="PRICE",IF(AND(Dados!$A555&gt;=Imóveis!$Q$3,Dados!$A555&lt;=Imóveis!$T$3),Imóveis!$U$3,0),IF((IF(AND(Dados!$A555&gt;=Imóveis!$Q$3,Dados!$A555&lt;=Imóveis!$T$3),Imóveis!$S$3-(DATEDIF(Imóveis!$Q$3,Dados!$A555,"m")),0))=0,0,((Imóveis!$N$3/Imóveis!$S$3)+((Imóveis!$N$3-((Imóveis!$S$3-(IF(AND(Dados!$A555&gt;=Imóveis!$Q$3,Dados!$A555&lt;=Imóveis!$T$3),Imóveis!$S$3-(DATEDIF(Imóveis!$Q$3,Dados!$A555,"m")),)))*(Imóveis!$N$3/Imóveis!$S$3)))*Imóveis!$P$3))))*IF(AND(Imóveis!$E$3&gt;0,Dados!$A555&gt;Imóveis!$E$3),0,1)</f>
        <v>0</v>
      </c>
      <c r="K555" s="18">
        <f>IF(Imóveis!$F$4="PRICE",IF(AND(Dados!$A555&gt;=Imóveis!$Q$4,Dados!$A555&lt;=Imóveis!$T$4),Imóveis!$U$4,0),IF((IF(AND(Dados!$A555&gt;=Imóveis!$Q$4,Dados!$A555&lt;=Imóveis!$T$4),Imóveis!$S$4-(DATEDIF(Imóveis!$Q$4,Dados!$A555,"m")),0))=0,0,((Imóveis!$N$4/Imóveis!$S$4)+((Imóveis!$N$4-((Imóveis!$S$4-(IF(AND(Dados!$A555&gt;=Imóveis!$Q$4,Dados!$A555&lt;=Imóveis!$T$4),Imóveis!$S$4-(DATEDIF(Imóveis!$Q$4,Dados!$A555,"m")),)))*(Imóveis!$N$4/Imóveis!$S$4)))*Imóveis!$P$4))))*IF(AND(Imóveis!$E$4&gt;0,Dados!$A555&gt;Imóveis!$E$4),0,1)</f>
        <v>0</v>
      </c>
      <c r="L555" s="18">
        <f>IF(Imóveis!$F$5="PRICE",IF(AND(Dados!$A555&gt;=Imóveis!$Q$5,Dados!$A555&lt;=Imóveis!$T$5),Imóveis!$U$5,0),IF((IF(AND(Dados!$A555&gt;=Imóveis!$Q$5,Dados!$A555&lt;=Imóveis!$T$5),Imóveis!$S$5-(DATEDIF(Imóveis!$Q$5,Dados!$A555,"m")),0))=0,0,((Imóveis!$N$5/Imóveis!$S$5)+((Imóveis!$N$5-((Imóveis!$S$5-(IF(AND(Dados!$A555 &gt;=Imóveis!$Q$5,Dados!$A555&lt;=Imóveis!$T$5),Imóveis!$S$5-(DATEDIF(Imóveis!$Q$5,Dados!$A555,"m")),)))*(Imóveis!$N$5/Imóveis!$S$5)))*Imóveis!$P$5))))*IF(AND(Imóveis!$E$5&gt;0,Dados!$A555&gt;Imóveis!$E$5),0,1)*Imóveis!$I$5</f>
        <v>0</v>
      </c>
      <c r="M555" s="18">
        <f>IF(Imóveis!$F$6="PRICE",IF(AND(Dados!$A555&gt;=Imóveis!$Q$6,Dados!$A555&lt;=Imóveis!$T$6),Imóveis!$U$6,0),IF((IF(AND(Dados!$A555&gt;=Imóveis!$Q$6,Dados!$A555&lt;=Imóveis!$T$6),Imóveis!$S$6-(DATEDIF(Imóveis!$Q$6,Dados!$A555,"m")),0))=0,0,((Imóveis!$N$6/Imóveis!$S$6)+((Imóveis!$N$6-((Imóveis!$S$6-(IF(AND(Dados!$A555&gt;=Imóveis!$Q$6,Dados!$A555&lt;=Imóveis!$T$6),Imóveis!$S$6-(DATEDIF(Imóveis!$Q$6,Dados!$A555,"m")),)))*(Imóveis!$N$6/Imóveis!$S$6)))*Imóveis!$P$6))))*IF(AND(Imóveis!$E$6&gt;0,Dados!$A555&gt;Imóveis!$E$6),0,1)*Imóveis!$I$6</f>
        <v>0</v>
      </c>
      <c r="N555" s="18">
        <f t="shared" si="69"/>
        <v>38200</v>
      </c>
      <c r="O555" s="18">
        <f>SUMIFS(Receitas!$F:$F,Receitas!$J:$J,"&lt;="&amp;$A555,Receitas!$L:$L,"&gt;="&amp;$A555,Receitas!$C:$C,O$1,Receitas!$M:$M,"Mensal")+SUMIFS(Receitas!$F:$F,Receitas!$J:$J,"&lt;="&amp;$A555,Receitas!$L:$L,"&gt;="&amp;$A555,Receitas!$C:$C,O$1,Receitas!$M:$M,$B555)</f>
        <v>0</v>
      </c>
      <c r="P555" s="18">
        <f>SUMIFS(Receitas!$F:$F,Receitas!$J:$J,"&lt;="&amp;$A555,Receitas!$L:$L,"&gt;="&amp;$A555,Receitas!$C:$C,P$1,Receitas!$M:$M,"Mensal")+SUMIFS(Receitas!$F:$F,Receitas!$J:$J,"&lt;="&amp;$A555,Receitas!$L:$L,"&gt;="&amp;$A555,Receitas!$C:$C,P$1,Receitas!$M:$M,$B555)</f>
        <v>0</v>
      </c>
      <c r="Q555" s="18">
        <f>SUMIFS(Receitas!$F:$F,Receitas!$J:$J,"&lt;="&amp;$A555,Receitas!$L:$L,"&gt;="&amp;$A555,Receitas!$C:$C,Q$1,Receitas!$M:$M,"Mensal")+SUMIFS(Receitas!$F:$F,Receitas!$J:$J,"&lt;="&amp;$A555,Receitas!$L:$L,"&gt;="&amp;$A555,Receitas!$C:$C,Q$1,Receitas!$M:$M,$B555)</f>
        <v>0</v>
      </c>
      <c r="R555" s="18" cm="1">
        <f t="array" ref="R555">(IF(AND(Membros!$F$2="Sim",A555&lt;=MAX(Membros!$E$2:$E$5)),Membros!K$2,IF(AND(A555&gt;=Membros!J$2,A555&lt;=MAX(Membros!$E$2:$E$5)),Membros!K$2,0))+IF(AND(Membros!$F$3="Sim",A555&lt;=MAX(Membros!$E$2:$E$5)),Membros!K$3,IF(AND(A555&gt;=Membros!J$3,A555&lt;=MAX(Membros!$E$2:$E$5)),Membros!K$3,0)))*IF(AND(COUNTIFS(Tabela3[Tipo],"Provedor",Tabela3[Simulação Seguro],"Sim")=2,A555&gt;=MAX(IF(Tabela3[Tipo]="Dependente",Tabela3[Expectativa de Vida (Data)]))),0,1)</f>
        <v>10000</v>
      </c>
      <c r="S555" s="18">
        <f t="shared" si="70"/>
        <v>10000</v>
      </c>
      <c r="U555" s="18">
        <f t="shared" ca="1" si="73"/>
        <v>35741236.277350537</v>
      </c>
      <c r="V555" s="18">
        <f>SUMIF(Imóveis!E:E,Dados!A:A,Imóveis!Z:Z)-SUMIF(Imóveis!E:E,Dados!A:A,Imóveis!Y:Y)</f>
        <v>0</v>
      </c>
      <c r="W555" s="18">
        <f>-SUMIF(Projetos!N:N,A555,Projetos!F:F)</f>
        <v>0</v>
      </c>
      <c r="X555" s="18">
        <f t="shared" si="67"/>
        <v>-28200</v>
      </c>
      <c r="Y555" s="26">
        <f ca="1">(U555*((Indicadores_Economicos!D$2+1)^(1/12)-1))</f>
        <v>117007.50706613349</v>
      </c>
      <c r="Z555" s="18">
        <f t="shared" ca="1" si="71"/>
        <v>35830043.784416668</v>
      </c>
      <c r="AA555" s="18">
        <f ca="1">Auxiliar_Projetos!E555</f>
        <v>2.3831351604122114E-9</v>
      </c>
      <c r="AB555" s="18">
        <f ca="1">Auxiliar_Projetos!K555</f>
        <v>1.8331808926247761E-9</v>
      </c>
      <c r="AC555" s="18">
        <f ca="1">IF(Z555-AA555-AB555&gt;Investimentos!$C$14,Investimentos!$C$14,IF(Z555-AA555-AB555&lt;Investimentos!$C$14,Z555-AA555-AB555,0))</f>
        <v>300000</v>
      </c>
      <c r="AD555" s="18">
        <f t="shared" ca="1" si="72"/>
        <v>35530043.784416668</v>
      </c>
      <c r="AE555" s="18"/>
    </row>
    <row r="556" spans="1:31" x14ac:dyDescent="0.2">
      <c r="A556" s="4">
        <v>62518</v>
      </c>
      <c r="B556" s="5" t="str">
        <f t="shared" si="68"/>
        <v>março</v>
      </c>
      <c r="C556" s="5" t="str">
        <f t="shared" si="74"/>
        <v>2071</v>
      </c>
      <c r="D556" s="5">
        <f>SUMIFS(Despesas!$F:$F,Despesas!$J:$J,"&lt;="&amp;$A556,Despesas!$L:$L,"&gt;="&amp;$A556,Despesas!$C:$C,D$1,Despesas!$M:$M,"Mensal")+SUMIFS(Despesas!$F:$F,Despesas!$J:$J,"&lt;="&amp;$A556,Despesas!$L:$L,"&gt;="&amp;$A556,Despesas!$C:$C,D$1,Despesas!$M:$M,$B556)</f>
        <v>23000</v>
      </c>
      <c r="E556" s="18">
        <f>SUMIFS(Despesas!$F:$F,Despesas!$J:$J,"&lt;="&amp;$A556,Despesas!$L:$L,"&gt;="&amp;$A556,Despesas!$C:$C,E$1,Despesas!$M:$M,"Mensal")+SUMIFS(Despesas!$F:$F,Despesas!$J:$J,"&lt;="&amp;$A556,Despesas!$L:$L,"&gt;="&amp;$A556,Despesas!$C:$C,E$1,Despesas!$M:$M,$B556)</f>
        <v>0</v>
      </c>
      <c r="F556" s="5">
        <f>SUMIFS(Despesas!$F:$F,Despesas!$J:$J,"&lt;="&amp;$A556,Despesas!$L:$L,"&gt;="&amp;$A556,Despesas!$C:$C,F$1,Despesas!$M:$M,"Mensal")+SUMIFS(Despesas!$F:$F,Despesas!$J:$J,"&lt;="&amp;$A556,Despesas!$L:$L,"&gt;="&amp;$A556,Despesas!$C:$C,F$1,Despesas!$M:$M,$B556)</f>
        <v>13000</v>
      </c>
      <c r="G556" s="5">
        <f>SUMIFS(Despesas!$F:$F,Despesas!$J:$J,"&lt;="&amp;$A556,Despesas!$L:$L,"&gt;="&amp;$A556,Despesas!$C:$C,G$1,Despesas!$M:$M,"Mensal")+SUMIFS(Despesas!$F:$F,Despesas!$J:$J,"&lt;="&amp;$A556,Despesas!$L:$L,"&gt;="&amp;$A556,Despesas!$C:$C,G$1,Despesas!$M:$M,$B556)</f>
        <v>0</v>
      </c>
      <c r="H556" s="18">
        <f>SUMIFS(Despesas!$F:$F,Despesas!$J:$J,"&lt;="&amp;$A556,Despesas!$L:$L,"&gt;="&amp;$A556,Despesas!$C:$C,H$1,Despesas!$M:$M,"Mensal")+SUMIFS(Despesas!$F:$F,Despesas!$J:$J,"&lt;="&amp;$A556,Despesas!$L:$L,"&gt;="&amp;$A556,Despesas!$C:$C,H$1,Despesas!$M:$M,$B556)</f>
        <v>1000</v>
      </c>
      <c r="I556" s="18">
        <f>IF(Imóveis!$F$2="PRICE",IF(AND(Dados!$A556&gt;=Imóveis!$Q$2,Dados!$A556&lt;=Imóveis!$T$2),Imóveis!$U$2,0),IF((IF(AND(Dados!$A556&gt;=Imóveis!$Q$2,Dados!$A556&lt;=Imóveis!$T$2),Imóveis!$S$2-(DATEDIF(Imóveis!$Q$2,Dados!$A556,"m")),0))=0,0,((Imóveis!$N$2/Imóveis!$S$2)+((Imóveis!$N$2-((Imóveis!$S$2-(IF(AND(Dados!$A556&gt;=Imóveis!$Q$2,Dados!$A556&lt;=Imóveis!$T$2),Imóveis!$S$2-(DATEDIF(Imóveis!$Q$2,Dados!$A556,"m")),)))*(Imóveis!$N$2/Imóveis!$S$2)))*Imóveis!$P$2))))*IF(AND(Imóveis!$E$2&gt;0,Dados!$A556&gt;Imóveis!$E$2),0,1)</f>
        <v>0</v>
      </c>
      <c r="J556" s="18">
        <f>IF(Imóveis!$F$3="PRICE",IF(AND(Dados!$A556&gt;=Imóveis!$Q$3,Dados!$A556&lt;=Imóveis!$T$3),Imóveis!$U$3,0),IF((IF(AND(Dados!$A556&gt;=Imóveis!$Q$3,Dados!$A556&lt;=Imóveis!$T$3),Imóveis!$S$3-(DATEDIF(Imóveis!$Q$3,Dados!$A556,"m")),0))=0,0,((Imóveis!$N$3/Imóveis!$S$3)+((Imóveis!$N$3-((Imóveis!$S$3-(IF(AND(Dados!$A556&gt;=Imóveis!$Q$3,Dados!$A556&lt;=Imóveis!$T$3),Imóveis!$S$3-(DATEDIF(Imóveis!$Q$3,Dados!$A556,"m")),)))*(Imóveis!$N$3/Imóveis!$S$3)))*Imóveis!$P$3))))*IF(AND(Imóveis!$E$3&gt;0,Dados!$A556&gt;Imóveis!$E$3),0,1)</f>
        <v>0</v>
      </c>
      <c r="K556" s="18">
        <f>IF(Imóveis!$F$4="PRICE",IF(AND(Dados!$A556&gt;=Imóveis!$Q$4,Dados!$A556&lt;=Imóveis!$T$4),Imóveis!$U$4,0),IF((IF(AND(Dados!$A556&gt;=Imóveis!$Q$4,Dados!$A556&lt;=Imóveis!$T$4),Imóveis!$S$4-(DATEDIF(Imóveis!$Q$4,Dados!$A556,"m")),0))=0,0,((Imóveis!$N$4/Imóveis!$S$4)+((Imóveis!$N$4-((Imóveis!$S$4-(IF(AND(Dados!$A556&gt;=Imóveis!$Q$4,Dados!$A556&lt;=Imóveis!$T$4),Imóveis!$S$4-(DATEDIF(Imóveis!$Q$4,Dados!$A556,"m")),)))*(Imóveis!$N$4/Imóveis!$S$4)))*Imóveis!$P$4))))*IF(AND(Imóveis!$E$4&gt;0,Dados!$A556&gt;Imóveis!$E$4),0,1)</f>
        <v>0</v>
      </c>
      <c r="L556" s="18">
        <f>IF(Imóveis!$F$5="PRICE",IF(AND(Dados!$A556&gt;=Imóveis!$Q$5,Dados!$A556&lt;=Imóveis!$T$5),Imóveis!$U$5,0),IF((IF(AND(Dados!$A556&gt;=Imóveis!$Q$5,Dados!$A556&lt;=Imóveis!$T$5),Imóveis!$S$5-(DATEDIF(Imóveis!$Q$5,Dados!$A556,"m")),0))=0,0,((Imóveis!$N$5/Imóveis!$S$5)+((Imóveis!$N$5-((Imóveis!$S$5-(IF(AND(Dados!$A556 &gt;=Imóveis!$Q$5,Dados!$A556&lt;=Imóveis!$T$5),Imóveis!$S$5-(DATEDIF(Imóveis!$Q$5,Dados!$A556,"m")),)))*(Imóveis!$N$5/Imóveis!$S$5)))*Imóveis!$P$5))))*IF(AND(Imóveis!$E$5&gt;0,Dados!$A556&gt;Imóveis!$E$5),0,1)*Imóveis!$I$5</f>
        <v>0</v>
      </c>
      <c r="M556" s="18">
        <f>IF(Imóveis!$F$6="PRICE",IF(AND(Dados!$A556&gt;=Imóveis!$Q$6,Dados!$A556&lt;=Imóveis!$T$6),Imóveis!$U$6,0),IF((IF(AND(Dados!$A556&gt;=Imóveis!$Q$6,Dados!$A556&lt;=Imóveis!$T$6),Imóveis!$S$6-(DATEDIF(Imóveis!$Q$6,Dados!$A556,"m")),0))=0,0,((Imóveis!$N$6/Imóveis!$S$6)+((Imóveis!$N$6-((Imóveis!$S$6-(IF(AND(Dados!$A556&gt;=Imóveis!$Q$6,Dados!$A556&lt;=Imóveis!$T$6),Imóveis!$S$6-(DATEDIF(Imóveis!$Q$6,Dados!$A556,"m")),)))*(Imóveis!$N$6/Imóveis!$S$6)))*Imóveis!$P$6))))*IF(AND(Imóveis!$E$6&gt;0,Dados!$A556&gt;Imóveis!$E$6),0,1)*Imóveis!$I$6</f>
        <v>0</v>
      </c>
      <c r="N556" s="18">
        <f t="shared" si="69"/>
        <v>37000</v>
      </c>
      <c r="O556" s="18">
        <f>SUMIFS(Receitas!$F:$F,Receitas!$J:$J,"&lt;="&amp;$A556,Receitas!$L:$L,"&gt;="&amp;$A556,Receitas!$C:$C,O$1,Receitas!$M:$M,"Mensal")+SUMIFS(Receitas!$F:$F,Receitas!$J:$J,"&lt;="&amp;$A556,Receitas!$L:$L,"&gt;="&amp;$A556,Receitas!$C:$C,O$1,Receitas!$M:$M,$B556)</f>
        <v>0</v>
      </c>
      <c r="P556" s="18">
        <f>SUMIFS(Receitas!$F:$F,Receitas!$J:$J,"&lt;="&amp;$A556,Receitas!$L:$L,"&gt;="&amp;$A556,Receitas!$C:$C,P$1,Receitas!$M:$M,"Mensal")+SUMIFS(Receitas!$F:$F,Receitas!$J:$J,"&lt;="&amp;$A556,Receitas!$L:$L,"&gt;="&amp;$A556,Receitas!$C:$C,P$1,Receitas!$M:$M,$B556)</f>
        <v>0</v>
      </c>
      <c r="Q556" s="18">
        <f>SUMIFS(Receitas!$F:$F,Receitas!$J:$J,"&lt;="&amp;$A556,Receitas!$L:$L,"&gt;="&amp;$A556,Receitas!$C:$C,Q$1,Receitas!$M:$M,"Mensal")+SUMIFS(Receitas!$F:$F,Receitas!$J:$J,"&lt;="&amp;$A556,Receitas!$L:$L,"&gt;="&amp;$A556,Receitas!$C:$C,Q$1,Receitas!$M:$M,$B556)</f>
        <v>0</v>
      </c>
      <c r="R556" s="18" cm="1">
        <f t="array" ref="R556">(IF(AND(Membros!$F$2="Sim",A556&lt;=MAX(Membros!$E$2:$E$5)),Membros!K$2,IF(AND(A556&gt;=Membros!J$2,A556&lt;=MAX(Membros!$E$2:$E$5)),Membros!K$2,0))+IF(AND(Membros!$F$3="Sim",A556&lt;=MAX(Membros!$E$2:$E$5)),Membros!K$3,IF(AND(A556&gt;=Membros!J$3,A556&lt;=MAX(Membros!$E$2:$E$5)),Membros!K$3,0)))*IF(AND(COUNTIFS(Tabela3[Tipo],"Provedor",Tabela3[Simulação Seguro],"Sim")=2,A556&gt;=MAX(IF(Tabela3[Tipo]="Dependente",Tabela3[Expectativa de Vida (Data)]))),0,1)</f>
        <v>10000</v>
      </c>
      <c r="S556" s="18">
        <f t="shared" si="70"/>
        <v>10000</v>
      </c>
      <c r="U556" s="18">
        <f t="shared" ca="1" si="73"/>
        <v>35830043.784416668</v>
      </c>
      <c r="V556" s="18">
        <f>SUMIF(Imóveis!E:E,Dados!A:A,Imóveis!Z:Z)-SUMIF(Imóveis!E:E,Dados!A:A,Imóveis!Y:Y)</f>
        <v>0</v>
      </c>
      <c r="W556" s="18">
        <f>-SUMIF(Projetos!N:N,A556,Projetos!F:F)</f>
        <v>0</v>
      </c>
      <c r="X556" s="18">
        <f t="shared" si="67"/>
        <v>-27000</v>
      </c>
      <c r="Y556" s="26">
        <f ca="1">(U556*((Indicadores_Economicos!D$2+1)^(1/12)-1))</f>
        <v>117298.23973497379</v>
      </c>
      <c r="Z556" s="18">
        <f t="shared" ca="1" si="71"/>
        <v>35920342.024151646</v>
      </c>
      <c r="AA556" s="18">
        <f ca="1">Auxiliar_Projetos!E556</f>
        <v>2.3909369247932101E-9</v>
      </c>
      <c r="AB556" s="18">
        <f ca="1">Auxiliar_Projetos!K556</f>
        <v>1.8391822498409288E-9</v>
      </c>
      <c r="AC556" s="18">
        <f ca="1">IF(Z556-AA556-AB556&gt;Investimentos!$C$14,Investimentos!$C$14,IF(Z556-AA556-AB556&lt;Investimentos!$C$14,Z556-AA556-AB556,0))</f>
        <v>300000</v>
      </c>
      <c r="AD556" s="18">
        <f t="shared" ca="1" si="72"/>
        <v>35620342.024151646</v>
      </c>
      <c r="AE556" s="18"/>
    </row>
    <row r="557" spans="1:31" x14ac:dyDescent="0.2">
      <c r="A557" s="4">
        <v>62549</v>
      </c>
      <c r="B557" s="5" t="str">
        <f t="shared" si="68"/>
        <v>abril</v>
      </c>
      <c r="C557" s="5" t="str">
        <f t="shared" si="74"/>
        <v>2071</v>
      </c>
      <c r="D557" s="5">
        <f>SUMIFS(Despesas!$F:$F,Despesas!$J:$J,"&lt;="&amp;$A557,Despesas!$L:$L,"&gt;="&amp;$A557,Despesas!$C:$C,D$1,Despesas!$M:$M,"Mensal")+SUMIFS(Despesas!$F:$F,Despesas!$J:$J,"&lt;="&amp;$A557,Despesas!$L:$L,"&gt;="&amp;$A557,Despesas!$C:$C,D$1,Despesas!$M:$M,$B557)</f>
        <v>23000</v>
      </c>
      <c r="E557" s="18">
        <f>SUMIFS(Despesas!$F:$F,Despesas!$J:$J,"&lt;="&amp;$A557,Despesas!$L:$L,"&gt;="&amp;$A557,Despesas!$C:$C,E$1,Despesas!$M:$M,"Mensal")+SUMIFS(Despesas!$F:$F,Despesas!$J:$J,"&lt;="&amp;$A557,Despesas!$L:$L,"&gt;="&amp;$A557,Despesas!$C:$C,E$1,Despesas!$M:$M,$B557)</f>
        <v>0</v>
      </c>
      <c r="F557" s="5">
        <f>SUMIFS(Despesas!$F:$F,Despesas!$J:$J,"&lt;="&amp;$A557,Despesas!$L:$L,"&gt;="&amp;$A557,Despesas!$C:$C,F$1,Despesas!$M:$M,"Mensal")+SUMIFS(Despesas!$F:$F,Despesas!$J:$J,"&lt;="&amp;$A557,Despesas!$L:$L,"&gt;="&amp;$A557,Despesas!$C:$C,F$1,Despesas!$M:$M,$B557)</f>
        <v>13000</v>
      </c>
      <c r="G557" s="5">
        <f>SUMIFS(Despesas!$F:$F,Despesas!$J:$J,"&lt;="&amp;$A557,Despesas!$L:$L,"&gt;="&amp;$A557,Despesas!$C:$C,G$1,Despesas!$M:$M,"Mensal")+SUMIFS(Despesas!$F:$F,Despesas!$J:$J,"&lt;="&amp;$A557,Despesas!$L:$L,"&gt;="&amp;$A557,Despesas!$C:$C,G$1,Despesas!$M:$M,$B557)</f>
        <v>0</v>
      </c>
      <c r="H557" s="18">
        <f>SUMIFS(Despesas!$F:$F,Despesas!$J:$J,"&lt;="&amp;$A557,Despesas!$L:$L,"&gt;="&amp;$A557,Despesas!$C:$C,H$1,Despesas!$M:$M,"Mensal")+SUMIFS(Despesas!$F:$F,Despesas!$J:$J,"&lt;="&amp;$A557,Despesas!$L:$L,"&gt;="&amp;$A557,Despesas!$C:$C,H$1,Despesas!$M:$M,$B557)</f>
        <v>1000</v>
      </c>
      <c r="I557" s="18">
        <f>IF(Imóveis!$F$2="PRICE",IF(AND(Dados!$A557&gt;=Imóveis!$Q$2,Dados!$A557&lt;=Imóveis!$T$2),Imóveis!$U$2,0),IF((IF(AND(Dados!$A557&gt;=Imóveis!$Q$2,Dados!$A557&lt;=Imóveis!$T$2),Imóveis!$S$2-(DATEDIF(Imóveis!$Q$2,Dados!$A557,"m")),0))=0,0,((Imóveis!$N$2/Imóveis!$S$2)+((Imóveis!$N$2-((Imóveis!$S$2-(IF(AND(Dados!$A557&gt;=Imóveis!$Q$2,Dados!$A557&lt;=Imóveis!$T$2),Imóveis!$S$2-(DATEDIF(Imóveis!$Q$2,Dados!$A557,"m")),)))*(Imóveis!$N$2/Imóveis!$S$2)))*Imóveis!$P$2))))*IF(AND(Imóveis!$E$2&gt;0,Dados!$A557&gt;Imóveis!$E$2),0,1)</f>
        <v>0</v>
      </c>
      <c r="J557" s="18">
        <f>IF(Imóveis!$F$3="PRICE",IF(AND(Dados!$A557&gt;=Imóveis!$Q$3,Dados!$A557&lt;=Imóveis!$T$3),Imóveis!$U$3,0),IF((IF(AND(Dados!$A557&gt;=Imóveis!$Q$3,Dados!$A557&lt;=Imóveis!$T$3),Imóveis!$S$3-(DATEDIF(Imóveis!$Q$3,Dados!$A557,"m")),0))=0,0,((Imóveis!$N$3/Imóveis!$S$3)+((Imóveis!$N$3-((Imóveis!$S$3-(IF(AND(Dados!$A557&gt;=Imóveis!$Q$3,Dados!$A557&lt;=Imóveis!$T$3),Imóveis!$S$3-(DATEDIF(Imóveis!$Q$3,Dados!$A557,"m")),)))*(Imóveis!$N$3/Imóveis!$S$3)))*Imóveis!$P$3))))*IF(AND(Imóveis!$E$3&gt;0,Dados!$A557&gt;Imóveis!$E$3),0,1)</f>
        <v>0</v>
      </c>
      <c r="K557" s="18">
        <f>IF(Imóveis!$F$4="PRICE",IF(AND(Dados!$A557&gt;=Imóveis!$Q$4,Dados!$A557&lt;=Imóveis!$T$4),Imóveis!$U$4,0),IF((IF(AND(Dados!$A557&gt;=Imóveis!$Q$4,Dados!$A557&lt;=Imóveis!$T$4),Imóveis!$S$4-(DATEDIF(Imóveis!$Q$4,Dados!$A557,"m")),0))=0,0,((Imóveis!$N$4/Imóveis!$S$4)+((Imóveis!$N$4-((Imóveis!$S$4-(IF(AND(Dados!$A557&gt;=Imóveis!$Q$4,Dados!$A557&lt;=Imóveis!$T$4),Imóveis!$S$4-(DATEDIF(Imóveis!$Q$4,Dados!$A557,"m")),)))*(Imóveis!$N$4/Imóveis!$S$4)))*Imóveis!$P$4))))*IF(AND(Imóveis!$E$4&gt;0,Dados!$A557&gt;Imóveis!$E$4),0,1)</f>
        <v>0</v>
      </c>
      <c r="L557" s="18">
        <f>IF(Imóveis!$F$5="PRICE",IF(AND(Dados!$A557&gt;=Imóveis!$Q$5,Dados!$A557&lt;=Imóveis!$T$5),Imóveis!$U$5,0),IF((IF(AND(Dados!$A557&gt;=Imóveis!$Q$5,Dados!$A557&lt;=Imóveis!$T$5),Imóveis!$S$5-(DATEDIF(Imóveis!$Q$5,Dados!$A557,"m")),0))=0,0,((Imóveis!$N$5/Imóveis!$S$5)+((Imóveis!$N$5-((Imóveis!$S$5-(IF(AND(Dados!$A557 &gt;=Imóveis!$Q$5,Dados!$A557&lt;=Imóveis!$T$5),Imóveis!$S$5-(DATEDIF(Imóveis!$Q$5,Dados!$A557,"m")),)))*(Imóveis!$N$5/Imóveis!$S$5)))*Imóveis!$P$5))))*IF(AND(Imóveis!$E$5&gt;0,Dados!$A557&gt;Imóveis!$E$5),0,1)*Imóveis!$I$5</f>
        <v>0</v>
      </c>
      <c r="M557" s="18">
        <f>IF(Imóveis!$F$6="PRICE",IF(AND(Dados!$A557&gt;=Imóveis!$Q$6,Dados!$A557&lt;=Imóveis!$T$6),Imóveis!$U$6,0),IF((IF(AND(Dados!$A557&gt;=Imóveis!$Q$6,Dados!$A557&lt;=Imóveis!$T$6),Imóveis!$S$6-(DATEDIF(Imóveis!$Q$6,Dados!$A557,"m")),0))=0,0,((Imóveis!$N$6/Imóveis!$S$6)+((Imóveis!$N$6-((Imóveis!$S$6-(IF(AND(Dados!$A557&gt;=Imóveis!$Q$6,Dados!$A557&lt;=Imóveis!$T$6),Imóveis!$S$6-(DATEDIF(Imóveis!$Q$6,Dados!$A557,"m")),)))*(Imóveis!$N$6/Imóveis!$S$6)))*Imóveis!$P$6))))*IF(AND(Imóveis!$E$6&gt;0,Dados!$A557&gt;Imóveis!$E$6),0,1)*Imóveis!$I$6</f>
        <v>0</v>
      </c>
      <c r="N557" s="18">
        <f t="shared" si="69"/>
        <v>37000</v>
      </c>
      <c r="O557" s="18">
        <f>SUMIFS(Receitas!$F:$F,Receitas!$J:$J,"&lt;="&amp;$A557,Receitas!$L:$L,"&gt;="&amp;$A557,Receitas!$C:$C,O$1,Receitas!$M:$M,"Mensal")+SUMIFS(Receitas!$F:$F,Receitas!$J:$J,"&lt;="&amp;$A557,Receitas!$L:$L,"&gt;="&amp;$A557,Receitas!$C:$C,O$1,Receitas!$M:$M,$B557)</f>
        <v>0</v>
      </c>
      <c r="P557" s="18">
        <f>SUMIFS(Receitas!$F:$F,Receitas!$J:$J,"&lt;="&amp;$A557,Receitas!$L:$L,"&gt;="&amp;$A557,Receitas!$C:$C,P$1,Receitas!$M:$M,"Mensal")+SUMIFS(Receitas!$F:$F,Receitas!$J:$J,"&lt;="&amp;$A557,Receitas!$L:$L,"&gt;="&amp;$A557,Receitas!$C:$C,P$1,Receitas!$M:$M,$B557)</f>
        <v>0</v>
      </c>
      <c r="Q557" s="18">
        <f>SUMIFS(Receitas!$F:$F,Receitas!$J:$J,"&lt;="&amp;$A557,Receitas!$L:$L,"&gt;="&amp;$A557,Receitas!$C:$C,Q$1,Receitas!$M:$M,"Mensal")+SUMIFS(Receitas!$F:$F,Receitas!$J:$J,"&lt;="&amp;$A557,Receitas!$L:$L,"&gt;="&amp;$A557,Receitas!$C:$C,Q$1,Receitas!$M:$M,$B557)</f>
        <v>0</v>
      </c>
      <c r="R557" s="18" cm="1">
        <f t="array" ref="R557">(IF(AND(Membros!$F$2="Sim",A557&lt;=MAX(Membros!$E$2:$E$5)),Membros!K$2,IF(AND(A557&gt;=Membros!J$2,A557&lt;=MAX(Membros!$E$2:$E$5)),Membros!K$2,0))+IF(AND(Membros!$F$3="Sim",A557&lt;=MAX(Membros!$E$2:$E$5)),Membros!K$3,IF(AND(A557&gt;=Membros!J$3,A557&lt;=MAX(Membros!$E$2:$E$5)),Membros!K$3,0)))*IF(AND(COUNTIFS(Tabela3[Tipo],"Provedor",Tabela3[Simulação Seguro],"Sim")=2,A557&gt;=MAX(IF(Tabela3[Tipo]="Dependente",Tabela3[Expectativa de Vida (Data)]))),0,1)</f>
        <v>10000</v>
      </c>
      <c r="S557" s="18">
        <f t="shared" si="70"/>
        <v>10000</v>
      </c>
      <c r="U557" s="18">
        <f t="shared" ca="1" si="73"/>
        <v>35920342.024151646</v>
      </c>
      <c r="V557" s="18">
        <f>SUMIF(Imóveis!E:E,Dados!A:A,Imóveis!Z:Z)-SUMIF(Imóveis!E:E,Dados!A:A,Imóveis!Y:Y)</f>
        <v>0</v>
      </c>
      <c r="W557" s="18">
        <f>-SUMIF(Projetos!N:N,A557,Projetos!F:F)</f>
        <v>0</v>
      </c>
      <c r="X557" s="18">
        <f t="shared" si="67"/>
        <v>-27000</v>
      </c>
      <c r="Y557" s="26">
        <f ca="1">(U557*((Indicadores_Economicos!D$2+1)^(1/12)-1))</f>
        <v>117593.85267465672</v>
      </c>
      <c r="Z557" s="18">
        <f t="shared" ca="1" si="71"/>
        <v>36010935.876826301</v>
      </c>
      <c r="AA557" s="18">
        <f ca="1">Auxiliar_Projetos!E557</f>
        <v>2.3987642301206341E-9</v>
      </c>
      <c r="AB557" s="18">
        <f ca="1">Auxiliar_Projetos!K557</f>
        <v>1.8452032539389472E-9</v>
      </c>
      <c r="AC557" s="18">
        <f ca="1">IF(Z557-AA557-AB557&gt;Investimentos!$C$14,Investimentos!$C$14,IF(Z557-AA557-AB557&lt;Investimentos!$C$14,Z557-AA557-AB557,0))</f>
        <v>300000</v>
      </c>
      <c r="AD557" s="18">
        <f t="shared" ca="1" si="72"/>
        <v>35710935.876826301</v>
      </c>
      <c r="AE557" s="18"/>
    </row>
    <row r="558" spans="1:31" x14ac:dyDescent="0.2">
      <c r="A558" s="4">
        <v>62579</v>
      </c>
      <c r="B558" s="5" t="str">
        <f t="shared" si="68"/>
        <v>maio</v>
      </c>
      <c r="C558" s="5" t="str">
        <f t="shared" si="74"/>
        <v>2071</v>
      </c>
      <c r="D558" s="5">
        <f>SUMIFS(Despesas!$F:$F,Despesas!$J:$J,"&lt;="&amp;$A558,Despesas!$L:$L,"&gt;="&amp;$A558,Despesas!$C:$C,D$1,Despesas!$M:$M,"Mensal")+SUMIFS(Despesas!$F:$F,Despesas!$J:$J,"&lt;="&amp;$A558,Despesas!$L:$L,"&gt;="&amp;$A558,Despesas!$C:$C,D$1,Despesas!$M:$M,$B558)</f>
        <v>23000</v>
      </c>
      <c r="E558" s="18">
        <f>SUMIFS(Despesas!$F:$F,Despesas!$J:$J,"&lt;="&amp;$A558,Despesas!$L:$L,"&gt;="&amp;$A558,Despesas!$C:$C,E$1,Despesas!$M:$M,"Mensal")+SUMIFS(Despesas!$F:$F,Despesas!$J:$J,"&lt;="&amp;$A558,Despesas!$L:$L,"&gt;="&amp;$A558,Despesas!$C:$C,E$1,Despesas!$M:$M,$B558)</f>
        <v>0</v>
      </c>
      <c r="F558" s="5">
        <f>SUMIFS(Despesas!$F:$F,Despesas!$J:$J,"&lt;="&amp;$A558,Despesas!$L:$L,"&gt;="&amp;$A558,Despesas!$C:$C,F$1,Despesas!$M:$M,"Mensal")+SUMIFS(Despesas!$F:$F,Despesas!$J:$J,"&lt;="&amp;$A558,Despesas!$L:$L,"&gt;="&amp;$A558,Despesas!$C:$C,F$1,Despesas!$M:$M,$B558)</f>
        <v>13000</v>
      </c>
      <c r="G558" s="5">
        <f>SUMIFS(Despesas!$F:$F,Despesas!$J:$J,"&lt;="&amp;$A558,Despesas!$L:$L,"&gt;="&amp;$A558,Despesas!$C:$C,G$1,Despesas!$M:$M,"Mensal")+SUMIFS(Despesas!$F:$F,Despesas!$J:$J,"&lt;="&amp;$A558,Despesas!$L:$L,"&gt;="&amp;$A558,Despesas!$C:$C,G$1,Despesas!$M:$M,$B558)</f>
        <v>0</v>
      </c>
      <c r="H558" s="18">
        <f>SUMIFS(Despesas!$F:$F,Despesas!$J:$J,"&lt;="&amp;$A558,Despesas!$L:$L,"&gt;="&amp;$A558,Despesas!$C:$C,H$1,Despesas!$M:$M,"Mensal")+SUMIFS(Despesas!$F:$F,Despesas!$J:$J,"&lt;="&amp;$A558,Despesas!$L:$L,"&gt;="&amp;$A558,Despesas!$C:$C,H$1,Despesas!$M:$M,$B558)</f>
        <v>1000</v>
      </c>
      <c r="I558" s="18">
        <f>IF(Imóveis!$F$2="PRICE",IF(AND(Dados!$A558&gt;=Imóveis!$Q$2,Dados!$A558&lt;=Imóveis!$T$2),Imóveis!$U$2,0),IF((IF(AND(Dados!$A558&gt;=Imóveis!$Q$2,Dados!$A558&lt;=Imóveis!$T$2),Imóveis!$S$2-(DATEDIF(Imóveis!$Q$2,Dados!$A558,"m")),0))=0,0,((Imóveis!$N$2/Imóveis!$S$2)+((Imóveis!$N$2-((Imóveis!$S$2-(IF(AND(Dados!$A558&gt;=Imóveis!$Q$2,Dados!$A558&lt;=Imóveis!$T$2),Imóveis!$S$2-(DATEDIF(Imóveis!$Q$2,Dados!$A558,"m")),)))*(Imóveis!$N$2/Imóveis!$S$2)))*Imóveis!$P$2))))*IF(AND(Imóveis!$E$2&gt;0,Dados!$A558&gt;Imóveis!$E$2),0,1)</f>
        <v>0</v>
      </c>
      <c r="J558" s="18">
        <f>IF(Imóveis!$F$3="PRICE",IF(AND(Dados!$A558&gt;=Imóveis!$Q$3,Dados!$A558&lt;=Imóveis!$T$3),Imóveis!$U$3,0),IF((IF(AND(Dados!$A558&gt;=Imóveis!$Q$3,Dados!$A558&lt;=Imóveis!$T$3),Imóveis!$S$3-(DATEDIF(Imóveis!$Q$3,Dados!$A558,"m")),0))=0,0,((Imóveis!$N$3/Imóveis!$S$3)+((Imóveis!$N$3-((Imóveis!$S$3-(IF(AND(Dados!$A558&gt;=Imóveis!$Q$3,Dados!$A558&lt;=Imóveis!$T$3),Imóveis!$S$3-(DATEDIF(Imóveis!$Q$3,Dados!$A558,"m")),)))*(Imóveis!$N$3/Imóveis!$S$3)))*Imóveis!$P$3))))*IF(AND(Imóveis!$E$3&gt;0,Dados!$A558&gt;Imóveis!$E$3),0,1)</f>
        <v>0</v>
      </c>
      <c r="K558" s="18">
        <f>IF(Imóveis!$F$4="PRICE",IF(AND(Dados!$A558&gt;=Imóveis!$Q$4,Dados!$A558&lt;=Imóveis!$T$4),Imóveis!$U$4,0),IF((IF(AND(Dados!$A558&gt;=Imóveis!$Q$4,Dados!$A558&lt;=Imóveis!$T$4),Imóveis!$S$4-(DATEDIF(Imóveis!$Q$4,Dados!$A558,"m")),0))=0,0,((Imóveis!$N$4/Imóveis!$S$4)+((Imóveis!$N$4-((Imóveis!$S$4-(IF(AND(Dados!$A558&gt;=Imóveis!$Q$4,Dados!$A558&lt;=Imóveis!$T$4),Imóveis!$S$4-(DATEDIF(Imóveis!$Q$4,Dados!$A558,"m")),)))*(Imóveis!$N$4/Imóveis!$S$4)))*Imóveis!$P$4))))*IF(AND(Imóveis!$E$4&gt;0,Dados!$A558&gt;Imóveis!$E$4),0,1)</f>
        <v>0</v>
      </c>
      <c r="L558" s="18">
        <f>IF(Imóveis!$F$5="PRICE",IF(AND(Dados!$A558&gt;=Imóveis!$Q$5,Dados!$A558&lt;=Imóveis!$T$5),Imóveis!$U$5,0),IF((IF(AND(Dados!$A558&gt;=Imóveis!$Q$5,Dados!$A558&lt;=Imóveis!$T$5),Imóveis!$S$5-(DATEDIF(Imóveis!$Q$5,Dados!$A558,"m")),0))=0,0,((Imóveis!$N$5/Imóveis!$S$5)+((Imóveis!$N$5-((Imóveis!$S$5-(IF(AND(Dados!$A558 &gt;=Imóveis!$Q$5,Dados!$A558&lt;=Imóveis!$T$5),Imóveis!$S$5-(DATEDIF(Imóveis!$Q$5,Dados!$A558,"m")),)))*(Imóveis!$N$5/Imóveis!$S$5)))*Imóveis!$P$5))))*IF(AND(Imóveis!$E$5&gt;0,Dados!$A558&gt;Imóveis!$E$5),0,1)*Imóveis!$I$5</f>
        <v>0</v>
      </c>
      <c r="M558" s="18">
        <f>IF(Imóveis!$F$6="PRICE",IF(AND(Dados!$A558&gt;=Imóveis!$Q$6,Dados!$A558&lt;=Imóveis!$T$6),Imóveis!$U$6,0),IF((IF(AND(Dados!$A558&gt;=Imóveis!$Q$6,Dados!$A558&lt;=Imóveis!$T$6),Imóveis!$S$6-(DATEDIF(Imóveis!$Q$6,Dados!$A558,"m")),0))=0,0,((Imóveis!$N$6/Imóveis!$S$6)+((Imóveis!$N$6-((Imóveis!$S$6-(IF(AND(Dados!$A558&gt;=Imóveis!$Q$6,Dados!$A558&lt;=Imóveis!$T$6),Imóveis!$S$6-(DATEDIF(Imóveis!$Q$6,Dados!$A558,"m")),)))*(Imóveis!$N$6/Imóveis!$S$6)))*Imóveis!$P$6))))*IF(AND(Imóveis!$E$6&gt;0,Dados!$A558&gt;Imóveis!$E$6),0,1)*Imóveis!$I$6</f>
        <v>0</v>
      </c>
      <c r="N558" s="18">
        <f t="shared" si="69"/>
        <v>37000</v>
      </c>
      <c r="O558" s="18">
        <f>SUMIFS(Receitas!$F:$F,Receitas!$J:$J,"&lt;="&amp;$A558,Receitas!$L:$L,"&gt;="&amp;$A558,Receitas!$C:$C,O$1,Receitas!$M:$M,"Mensal")+SUMIFS(Receitas!$F:$F,Receitas!$J:$J,"&lt;="&amp;$A558,Receitas!$L:$L,"&gt;="&amp;$A558,Receitas!$C:$C,O$1,Receitas!$M:$M,$B558)</f>
        <v>0</v>
      </c>
      <c r="P558" s="18">
        <f>SUMIFS(Receitas!$F:$F,Receitas!$J:$J,"&lt;="&amp;$A558,Receitas!$L:$L,"&gt;="&amp;$A558,Receitas!$C:$C,P$1,Receitas!$M:$M,"Mensal")+SUMIFS(Receitas!$F:$F,Receitas!$J:$J,"&lt;="&amp;$A558,Receitas!$L:$L,"&gt;="&amp;$A558,Receitas!$C:$C,P$1,Receitas!$M:$M,$B558)</f>
        <v>0</v>
      </c>
      <c r="Q558" s="18">
        <f>SUMIFS(Receitas!$F:$F,Receitas!$J:$J,"&lt;="&amp;$A558,Receitas!$L:$L,"&gt;="&amp;$A558,Receitas!$C:$C,Q$1,Receitas!$M:$M,"Mensal")+SUMIFS(Receitas!$F:$F,Receitas!$J:$J,"&lt;="&amp;$A558,Receitas!$L:$L,"&gt;="&amp;$A558,Receitas!$C:$C,Q$1,Receitas!$M:$M,$B558)</f>
        <v>0</v>
      </c>
      <c r="R558" s="18" cm="1">
        <f t="array" ref="R558">(IF(AND(Membros!$F$2="Sim",A558&lt;=MAX(Membros!$E$2:$E$5)),Membros!K$2,IF(AND(A558&gt;=Membros!J$2,A558&lt;=MAX(Membros!$E$2:$E$5)),Membros!K$2,0))+IF(AND(Membros!$F$3="Sim",A558&lt;=MAX(Membros!$E$2:$E$5)),Membros!K$3,IF(AND(A558&gt;=Membros!J$3,A558&lt;=MAX(Membros!$E$2:$E$5)),Membros!K$3,0)))*IF(AND(COUNTIFS(Tabela3[Tipo],"Provedor",Tabela3[Simulação Seguro],"Sim")=2,A558&gt;=MAX(IF(Tabela3[Tipo]="Dependente",Tabela3[Expectativa de Vida (Data)]))),0,1)</f>
        <v>10000</v>
      </c>
      <c r="S558" s="18">
        <f t="shared" si="70"/>
        <v>10000</v>
      </c>
      <c r="U558" s="18">
        <f t="shared" ca="1" si="73"/>
        <v>36010935.876826301</v>
      </c>
      <c r="V558" s="18">
        <f>SUMIF(Imóveis!E:E,Dados!A:A,Imóveis!Z:Z)-SUMIF(Imóveis!E:E,Dados!A:A,Imóveis!Y:Y)</f>
        <v>0</v>
      </c>
      <c r="W558" s="18">
        <f>-SUMIF(Projetos!N:N,A558,Projetos!F:F)</f>
        <v>0</v>
      </c>
      <c r="X558" s="18">
        <f t="shared" si="67"/>
        <v>-27000</v>
      </c>
      <c r="Y558" s="26">
        <f ca="1">(U558*((Indicadores_Economicos!D$2+1)^(1/12)-1))</f>
        <v>117890.43337418041</v>
      </c>
      <c r="Z558" s="18">
        <f t="shared" ca="1" si="71"/>
        <v>36101826.310200483</v>
      </c>
      <c r="AA558" s="18">
        <f ca="1">Auxiliar_Projetos!E558</f>
        <v>2.4066171600088958E-9</v>
      </c>
      <c r="AB558" s="18">
        <f ca="1">Auxiliar_Projetos!K558</f>
        <v>1.85124396923761E-9</v>
      </c>
      <c r="AC558" s="18">
        <f ca="1">IF(Z558-AA558-AB558&gt;Investimentos!$C$14,Investimentos!$C$14,IF(Z558-AA558-AB558&lt;Investimentos!$C$14,Z558-AA558-AB558,0))</f>
        <v>300000</v>
      </c>
      <c r="AD558" s="18">
        <f t="shared" ca="1" si="72"/>
        <v>35801826.310200483</v>
      </c>
      <c r="AE558" s="18"/>
    </row>
    <row r="559" spans="1:31" x14ac:dyDescent="0.2">
      <c r="A559" s="4">
        <v>62610</v>
      </c>
      <c r="B559" s="5" t="str">
        <f t="shared" si="68"/>
        <v>junho</v>
      </c>
      <c r="C559" s="5" t="str">
        <f t="shared" si="74"/>
        <v>2071</v>
      </c>
      <c r="D559" s="5">
        <f>SUMIFS(Despesas!$F:$F,Despesas!$J:$J,"&lt;="&amp;$A559,Despesas!$L:$L,"&gt;="&amp;$A559,Despesas!$C:$C,D$1,Despesas!$M:$M,"Mensal")+SUMIFS(Despesas!$F:$F,Despesas!$J:$J,"&lt;="&amp;$A559,Despesas!$L:$L,"&gt;="&amp;$A559,Despesas!$C:$C,D$1,Despesas!$M:$M,$B559)</f>
        <v>23000</v>
      </c>
      <c r="E559" s="18">
        <f>SUMIFS(Despesas!$F:$F,Despesas!$J:$J,"&lt;="&amp;$A559,Despesas!$L:$L,"&gt;="&amp;$A559,Despesas!$C:$C,E$1,Despesas!$M:$M,"Mensal")+SUMIFS(Despesas!$F:$F,Despesas!$J:$J,"&lt;="&amp;$A559,Despesas!$L:$L,"&gt;="&amp;$A559,Despesas!$C:$C,E$1,Despesas!$M:$M,$B559)</f>
        <v>0</v>
      </c>
      <c r="F559" s="5">
        <f>SUMIFS(Despesas!$F:$F,Despesas!$J:$J,"&lt;="&amp;$A559,Despesas!$L:$L,"&gt;="&amp;$A559,Despesas!$C:$C,F$1,Despesas!$M:$M,"Mensal")+SUMIFS(Despesas!$F:$F,Despesas!$J:$J,"&lt;="&amp;$A559,Despesas!$L:$L,"&gt;="&amp;$A559,Despesas!$C:$C,F$1,Despesas!$M:$M,$B559)</f>
        <v>13000</v>
      </c>
      <c r="G559" s="5">
        <f>SUMIFS(Despesas!$F:$F,Despesas!$J:$J,"&lt;="&amp;$A559,Despesas!$L:$L,"&gt;="&amp;$A559,Despesas!$C:$C,G$1,Despesas!$M:$M,"Mensal")+SUMIFS(Despesas!$F:$F,Despesas!$J:$J,"&lt;="&amp;$A559,Despesas!$L:$L,"&gt;="&amp;$A559,Despesas!$C:$C,G$1,Despesas!$M:$M,$B559)</f>
        <v>0</v>
      </c>
      <c r="H559" s="18">
        <f>SUMIFS(Despesas!$F:$F,Despesas!$J:$J,"&lt;="&amp;$A559,Despesas!$L:$L,"&gt;="&amp;$A559,Despesas!$C:$C,H$1,Despesas!$M:$M,"Mensal")+SUMIFS(Despesas!$F:$F,Despesas!$J:$J,"&lt;="&amp;$A559,Despesas!$L:$L,"&gt;="&amp;$A559,Despesas!$C:$C,H$1,Despesas!$M:$M,$B559)</f>
        <v>1000</v>
      </c>
      <c r="I559" s="18">
        <f>IF(Imóveis!$F$2="PRICE",IF(AND(Dados!$A559&gt;=Imóveis!$Q$2,Dados!$A559&lt;=Imóveis!$T$2),Imóveis!$U$2,0),IF((IF(AND(Dados!$A559&gt;=Imóveis!$Q$2,Dados!$A559&lt;=Imóveis!$T$2),Imóveis!$S$2-(DATEDIF(Imóveis!$Q$2,Dados!$A559,"m")),0))=0,0,((Imóveis!$N$2/Imóveis!$S$2)+((Imóveis!$N$2-((Imóveis!$S$2-(IF(AND(Dados!$A559&gt;=Imóveis!$Q$2,Dados!$A559&lt;=Imóveis!$T$2),Imóveis!$S$2-(DATEDIF(Imóveis!$Q$2,Dados!$A559,"m")),)))*(Imóveis!$N$2/Imóveis!$S$2)))*Imóveis!$P$2))))*IF(AND(Imóveis!$E$2&gt;0,Dados!$A559&gt;Imóveis!$E$2),0,1)</f>
        <v>0</v>
      </c>
      <c r="J559" s="18">
        <f>IF(Imóveis!$F$3="PRICE",IF(AND(Dados!$A559&gt;=Imóveis!$Q$3,Dados!$A559&lt;=Imóveis!$T$3),Imóveis!$U$3,0),IF((IF(AND(Dados!$A559&gt;=Imóveis!$Q$3,Dados!$A559&lt;=Imóveis!$T$3),Imóveis!$S$3-(DATEDIF(Imóveis!$Q$3,Dados!$A559,"m")),0))=0,0,((Imóveis!$N$3/Imóveis!$S$3)+((Imóveis!$N$3-((Imóveis!$S$3-(IF(AND(Dados!$A559&gt;=Imóveis!$Q$3,Dados!$A559&lt;=Imóveis!$T$3),Imóveis!$S$3-(DATEDIF(Imóveis!$Q$3,Dados!$A559,"m")),)))*(Imóveis!$N$3/Imóveis!$S$3)))*Imóveis!$P$3))))*IF(AND(Imóveis!$E$3&gt;0,Dados!$A559&gt;Imóveis!$E$3),0,1)</f>
        <v>0</v>
      </c>
      <c r="K559" s="18">
        <f>IF(Imóveis!$F$4="PRICE",IF(AND(Dados!$A559&gt;=Imóveis!$Q$4,Dados!$A559&lt;=Imóveis!$T$4),Imóveis!$U$4,0),IF((IF(AND(Dados!$A559&gt;=Imóveis!$Q$4,Dados!$A559&lt;=Imóveis!$T$4),Imóveis!$S$4-(DATEDIF(Imóveis!$Q$4,Dados!$A559,"m")),0))=0,0,((Imóveis!$N$4/Imóveis!$S$4)+((Imóveis!$N$4-((Imóveis!$S$4-(IF(AND(Dados!$A559&gt;=Imóveis!$Q$4,Dados!$A559&lt;=Imóveis!$T$4),Imóveis!$S$4-(DATEDIF(Imóveis!$Q$4,Dados!$A559,"m")),)))*(Imóveis!$N$4/Imóveis!$S$4)))*Imóveis!$P$4))))*IF(AND(Imóveis!$E$4&gt;0,Dados!$A559&gt;Imóveis!$E$4),0,1)</f>
        <v>0</v>
      </c>
      <c r="L559" s="18">
        <f>IF(Imóveis!$F$5="PRICE",IF(AND(Dados!$A559&gt;=Imóveis!$Q$5,Dados!$A559&lt;=Imóveis!$T$5),Imóveis!$U$5,0),IF((IF(AND(Dados!$A559&gt;=Imóveis!$Q$5,Dados!$A559&lt;=Imóveis!$T$5),Imóveis!$S$5-(DATEDIF(Imóveis!$Q$5,Dados!$A559,"m")),0))=0,0,((Imóveis!$N$5/Imóveis!$S$5)+((Imóveis!$N$5-((Imóveis!$S$5-(IF(AND(Dados!$A559 &gt;=Imóveis!$Q$5,Dados!$A559&lt;=Imóveis!$T$5),Imóveis!$S$5-(DATEDIF(Imóveis!$Q$5,Dados!$A559,"m")),)))*(Imóveis!$N$5/Imóveis!$S$5)))*Imóveis!$P$5))))*IF(AND(Imóveis!$E$5&gt;0,Dados!$A559&gt;Imóveis!$E$5),0,1)*Imóveis!$I$5</f>
        <v>0</v>
      </c>
      <c r="M559" s="18">
        <f>IF(Imóveis!$F$6="PRICE",IF(AND(Dados!$A559&gt;=Imóveis!$Q$6,Dados!$A559&lt;=Imóveis!$T$6),Imóveis!$U$6,0),IF((IF(AND(Dados!$A559&gt;=Imóveis!$Q$6,Dados!$A559&lt;=Imóveis!$T$6),Imóveis!$S$6-(DATEDIF(Imóveis!$Q$6,Dados!$A559,"m")),0))=0,0,((Imóveis!$N$6/Imóveis!$S$6)+((Imóveis!$N$6-((Imóveis!$S$6-(IF(AND(Dados!$A559&gt;=Imóveis!$Q$6,Dados!$A559&lt;=Imóveis!$T$6),Imóveis!$S$6-(DATEDIF(Imóveis!$Q$6,Dados!$A559,"m")),)))*(Imóveis!$N$6/Imóveis!$S$6)))*Imóveis!$P$6))))*IF(AND(Imóveis!$E$6&gt;0,Dados!$A559&gt;Imóveis!$E$6),0,1)*Imóveis!$I$6</f>
        <v>0</v>
      </c>
      <c r="N559" s="18">
        <f t="shared" si="69"/>
        <v>37000</v>
      </c>
      <c r="O559" s="18">
        <f>SUMIFS(Receitas!$F:$F,Receitas!$J:$J,"&lt;="&amp;$A559,Receitas!$L:$L,"&gt;="&amp;$A559,Receitas!$C:$C,O$1,Receitas!$M:$M,"Mensal")+SUMIFS(Receitas!$F:$F,Receitas!$J:$J,"&lt;="&amp;$A559,Receitas!$L:$L,"&gt;="&amp;$A559,Receitas!$C:$C,O$1,Receitas!$M:$M,$B559)</f>
        <v>0</v>
      </c>
      <c r="P559" s="18">
        <f>SUMIFS(Receitas!$F:$F,Receitas!$J:$J,"&lt;="&amp;$A559,Receitas!$L:$L,"&gt;="&amp;$A559,Receitas!$C:$C,P$1,Receitas!$M:$M,"Mensal")+SUMIFS(Receitas!$F:$F,Receitas!$J:$J,"&lt;="&amp;$A559,Receitas!$L:$L,"&gt;="&amp;$A559,Receitas!$C:$C,P$1,Receitas!$M:$M,$B559)</f>
        <v>0</v>
      </c>
      <c r="Q559" s="18">
        <f>SUMIFS(Receitas!$F:$F,Receitas!$J:$J,"&lt;="&amp;$A559,Receitas!$L:$L,"&gt;="&amp;$A559,Receitas!$C:$C,Q$1,Receitas!$M:$M,"Mensal")+SUMIFS(Receitas!$F:$F,Receitas!$J:$J,"&lt;="&amp;$A559,Receitas!$L:$L,"&gt;="&amp;$A559,Receitas!$C:$C,Q$1,Receitas!$M:$M,$B559)</f>
        <v>0</v>
      </c>
      <c r="R559" s="18" cm="1">
        <f t="array" ref="R559">(IF(AND(Membros!$F$2="Sim",A559&lt;=MAX(Membros!$E$2:$E$5)),Membros!K$2,IF(AND(A559&gt;=Membros!J$2,A559&lt;=MAX(Membros!$E$2:$E$5)),Membros!K$2,0))+IF(AND(Membros!$F$3="Sim",A559&lt;=MAX(Membros!$E$2:$E$5)),Membros!K$3,IF(AND(A559&gt;=Membros!J$3,A559&lt;=MAX(Membros!$E$2:$E$5)),Membros!K$3,0)))*IF(AND(COUNTIFS(Tabela3[Tipo],"Provedor",Tabela3[Simulação Seguro],"Sim")=2,A559&gt;=MAX(IF(Tabela3[Tipo]="Dependente",Tabela3[Expectativa de Vida (Data)]))),0,1)</f>
        <v>10000</v>
      </c>
      <c r="S559" s="18">
        <f t="shared" si="70"/>
        <v>10000</v>
      </c>
      <c r="U559" s="18">
        <f t="shared" ca="1" si="73"/>
        <v>36101826.310200483</v>
      </c>
      <c r="V559" s="18">
        <f>SUMIF(Imóveis!E:E,Dados!A:A,Imóveis!Z:Z)-SUMIF(Imóveis!E:E,Dados!A:A,Imóveis!Y:Y)</f>
        <v>0</v>
      </c>
      <c r="W559" s="18">
        <f>-SUMIF(Projetos!N:N,A559,Projetos!F:F)</f>
        <v>0</v>
      </c>
      <c r="X559" s="18">
        <f t="shared" si="67"/>
        <v>-27000</v>
      </c>
      <c r="Y559" s="26">
        <f ca="1">(U559*((Indicadores_Economicos!D$2+1)^(1/12)-1))</f>
        <v>118187.98500173877</v>
      </c>
      <c r="Z559" s="18">
        <f t="shared" ca="1" si="71"/>
        <v>36193014.295202218</v>
      </c>
      <c r="AA559" s="18">
        <f ca="1">Auxiliar_Projetos!E559</f>
        <v>2.4144957983461394E-9</v>
      </c>
      <c r="AB559" s="18">
        <f ca="1">Auxiliar_Projetos!K559</f>
        <v>1.8573044602662589E-9</v>
      </c>
      <c r="AC559" s="18">
        <f ca="1">IF(Z559-AA559-AB559&gt;Investimentos!$C$14,Investimentos!$C$14,IF(Z559-AA559-AB559&lt;Investimentos!$C$14,Z559-AA559-AB559,0))</f>
        <v>300000</v>
      </c>
      <c r="AD559" s="18">
        <f t="shared" ca="1" si="72"/>
        <v>35893014.295202218</v>
      </c>
      <c r="AE559" s="18"/>
    </row>
    <row r="560" spans="1:31" x14ac:dyDescent="0.2">
      <c r="A560" s="4">
        <v>62640</v>
      </c>
      <c r="B560" s="5" t="str">
        <f t="shared" si="68"/>
        <v>julho</v>
      </c>
      <c r="C560" s="5" t="str">
        <f t="shared" si="74"/>
        <v>2071</v>
      </c>
      <c r="D560" s="5">
        <f>SUMIFS(Despesas!$F:$F,Despesas!$J:$J,"&lt;="&amp;$A560,Despesas!$L:$L,"&gt;="&amp;$A560,Despesas!$C:$C,D$1,Despesas!$M:$M,"Mensal")+SUMIFS(Despesas!$F:$F,Despesas!$J:$J,"&lt;="&amp;$A560,Despesas!$L:$L,"&gt;="&amp;$A560,Despesas!$C:$C,D$1,Despesas!$M:$M,$B560)</f>
        <v>23000</v>
      </c>
      <c r="E560" s="18">
        <f>SUMIFS(Despesas!$F:$F,Despesas!$J:$J,"&lt;="&amp;$A560,Despesas!$L:$L,"&gt;="&amp;$A560,Despesas!$C:$C,E$1,Despesas!$M:$M,"Mensal")+SUMIFS(Despesas!$F:$F,Despesas!$J:$J,"&lt;="&amp;$A560,Despesas!$L:$L,"&gt;="&amp;$A560,Despesas!$C:$C,E$1,Despesas!$M:$M,$B560)</f>
        <v>0</v>
      </c>
      <c r="F560" s="5">
        <f>SUMIFS(Despesas!$F:$F,Despesas!$J:$J,"&lt;="&amp;$A560,Despesas!$L:$L,"&gt;="&amp;$A560,Despesas!$C:$C,F$1,Despesas!$M:$M,"Mensal")+SUMIFS(Despesas!$F:$F,Despesas!$J:$J,"&lt;="&amp;$A560,Despesas!$L:$L,"&gt;="&amp;$A560,Despesas!$C:$C,F$1,Despesas!$M:$M,$B560)</f>
        <v>13000</v>
      </c>
      <c r="G560" s="5">
        <f ca="1">SUMIFS(Despesas!$F:$F,Despesas!$J:$J,"&lt;="&amp;$A560,Despesas!$L:$L,"&gt;="&amp;$A560,Despesas!$C:$C,G$1,Despesas!$M:$M,"Mensal")+SUMIFS(Despesas!$F:$F,Despesas!$J:$J,"&lt;="&amp;$A560,Despesas!$L:$L,"&gt;="&amp;$A560,Despesas!$C:$C,G$1,Despesas!$M:$M,$B560)</f>
        <v>55757</v>
      </c>
      <c r="H560" s="18">
        <f>SUMIFS(Despesas!$F:$F,Despesas!$J:$J,"&lt;="&amp;$A560,Despesas!$L:$L,"&gt;="&amp;$A560,Despesas!$C:$C,H$1,Despesas!$M:$M,"Mensal")+SUMIFS(Despesas!$F:$F,Despesas!$J:$J,"&lt;="&amp;$A560,Despesas!$L:$L,"&gt;="&amp;$A560,Despesas!$C:$C,H$1,Despesas!$M:$M,$B560)</f>
        <v>1000</v>
      </c>
      <c r="I560" s="18">
        <f>IF(Imóveis!$F$2="PRICE",IF(AND(Dados!$A560&gt;=Imóveis!$Q$2,Dados!$A560&lt;=Imóveis!$T$2),Imóveis!$U$2,0),IF((IF(AND(Dados!$A560&gt;=Imóveis!$Q$2,Dados!$A560&lt;=Imóveis!$T$2),Imóveis!$S$2-(DATEDIF(Imóveis!$Q$2,Dados!$A560,"m")),0))=0,0,((Imóveis!$N$2/Imóveis!$S$2)+((Imóveis!$N$2-((Imóveis!$S$2-(IF(AND(Dados!$A560&gt;=Imóveis!$Q$2,Dados!$A560&lt;=Imóveis!$T$2),Imóveis!$S$2-(DATEDIF(Imóveis!$Q$2,Dados!$A560,"m")),)))*(Imóveis!$N$2/Imóveis!$S$2)))*Imóveis!$P$2))))*IF(AND(Imóveis!$E$2&gt;0,Dados!$A560&gt;Imóveis!$E$2),0,1)</f>
        <v>0</v>
      </c>
      <c r="J560" s="18">
        <f>IF(Imóveis!$F$3="PRICE",IF(AND(Dados!$A560&gt;=Imóveis!$Q$3,Dados!$A560&lt;=Imóveis!$T$3),Imóveis!$U$3,0),IF((IF(AND(Dados!$A560&gt;=Imóveis!$Q$3,Dados!$A560&lt;=Imóveis!$T$3),Imóveis!$S$3-(DATEDIF(Imóveis!$Q$3,Dados!$A560,"m")),0))=0,0,((Imóveis!$N$3/Imóveis!$S$3)+((Imóveis!$N$3-((Imóveis!$S$3-(IF(AND(Dados!$A560&gt;=Imóveis!$Q$3,Dados!$A560&lt;=Imóveis!$T$3),Imóveis!$S$3-(DATEDIF(Imóveis!$Q$3,Dados!$A560,"m")),)))*(Imóveis!$N$3/Imóveis!$S$3)))*Imóveis!$P$3))))*IF(AND(Imóveis!$E$3&gt;0,Dados!$A560&gt;Imóveis!$E$3),0,1)</f>
        <v>0</v>
      </c>
      <c r="K560" s="18">
        <f>IF(Imóveis!$F$4="PRICE",IF(AND(Dados!$A560&gt;=Imóveis!$Q$4,Dados!$A560&lt;=Imóveis!$T$4),Imóveis!$U$4,0),IF((IF(AND(Dados!$A560&gt;=Imóveis!$Q$4,Dados!$A560&lt;=Imóveis!$T$4),Imóveis!$S$4-(DATEDIF(Imóveis!$Q$4,Dados!$A560,"m")),0))=0,0,((Imóveis!$N$4/Imóveis!$S$4)+((Imóveis!$N$4-((Imóveis!$S$4-(IF(AND(Dados!$A560&gt;=Imóveis!$Q$4,Dados!$A560&lt;=Imóveis!$T$4),Imóveis!$S$4-(DATEDIF(Imóveis!$Q$4,Dados!$A560,"m")),)))*(Imóveis!$N$4/Imóveis!$S$4)))*Imóveis!$P$4))))*IF(AND(Imóveis!$E$4&gt;0,Dados!$A560&gt;Imóveis!$E$4),0,1)</f>
        <v>0</v>
      </c>
      <c r="L560" s="18">
        <f>IF(Imóveis!$F$5="PRICE",IF(AND(Dados!$A560&gt;=Imóveis!$Q$5,Dados!$A560&lt;=Imóveis!$T$5),Imóveis!$U$5,0),IF((IF(AND(Dados!$A560&gt;=Imóveis!$Q$5,Dados!$A560&lt;=Imóveis!$T$5),Imóveis!$S$5-(DATEDIF(Imóveis!$Q$5,Dados!$A560,"m")),0))=0,0,((Imóveis!$N$5/Imóveis!$S$5)+((Imóveis!$N$5-((Imóveis!$S$5-(IF(AND(Dados!$A560 &gt;=Imóveis!$Q$5,Dados!$A560&lt;=Imóveis!$T$5),Imóveis!$S$5-(DATEDIF(Imóveis!$Q$5,Dados!$A560,"m")),)))*(Imóveis!$N$5/Imóveis!$S$5)))*Imóveis!$P$5))))*IF(AND(Imóveis!$E$5&gt;0,Dados!$A560&gt;Imóveis!$E$5),0,1)*Imóveis!$I$5</f>
        <v>0</v>
      </c>
      <c r="M560" s="18">
        <f>IF(Imóveis!$F$6="PRICE",IF(AND(Dados!$A560&gt;=Imóveis!$Q$6,Dados!$A560&lt;=Imóveis!$T$6),Imóveis!$U$6,0),IF((IF(AND(Dados!$A560&gt;=Imóveis!$Q$6,Dados!$A560&lt;=Imóveis!$T$6),Imóveis!$S$6-(DATEDIF(Imóveis!$Q$6,Dados!$A560,"m")),0))=0,0,((Imóveis!$N$6/Imóveis!$S$6)+((Imóveis!$N$6-((Imóveis!$S$6-(IF(AND(Dados!$A560&gt;=Imóveis!$Q$6,Dados!$A560&lt;=Imóveis!$T$6),Imóveis!$S$6-(DATEDIF(Imóveis!$Q$6,Dados!$A560,"m")),)))*(Imóveis!$N$6/Imóveis!$S$6)))*Imóveis!$P$6))))*IF(AND(Imóveis!$E$6&gt;0,Dados!$A560&gt;Imóveis!$E$6),0,1)*Imóveis!$I$6</f>
        <v>0</v>
      </c>
      <c r="N560" s="18">
        <f t="shared" ca="1" si="69"/>
        <v>92757</v>
      </c>
      <c r="O560" s="18">
        <f>SUMIFS(Receitas!$F:$F,Receitas!$J:$J,"&lt;="&amp;$A560,Receitas!$L:$L,"&gt;="&amp;$A560,Receitas!$C:$C,O$1,Receitas!$M:$M,"Mensal")+SUMIFS(Receitas!$F:$F,Receitas!$J:$J,"&lt;="&amp;$A560,Receitas!$L:$L,"&gt;="&amp;$A560,Receitas!$C:$C,O$1,Receitas!$M:$M,$B560)</f>
        <v>0</v>
      </c>
      <c r="P560" s="18">
        <f>SUMIFS(Receitas!$F:$F,Receitas!$J:$J,"&lt;="&amp;$A560,Receitas!$L:$L,"&gt;="&amp;$A560,Receitas!$C:$C,P$1,Receitas!$M:$M,"Mensal")+SUMIFS(Receitas!$F:$F,Receitas!$J:$J,"&lt;="&amp;$A560,Receitas!$L:$L,"&gt;="&amp;$A560,Receitas!$C:$C,P$1,Receitas!$M:$M,$B560)</f>
        <v>0</v>
      </c>
      <c r="Q560" s="18">
        <f>SUMIFS(Receitas!$F:$F,Receitas!$J:$J,"&lt;="&amp;$A560,Receitas!$L:$L,"&gt;="&amp;$A560,Receitas!$C:$C,Q$1,Receitas!$M:$M,"Mensal")+SUMIFS(Receitas!$F:$F,Receitas!$J:$J,"&lt;="&amp;$A560,Receitas!$L:$L,"&gt;="&amp;$A560,Receitas!$C:$C,Q$1,Receitas!$M:$M,$B560)</f>
        <v>0</v>
      </c>
      <c r="R560" s="18" cm="1">
        <f t="array" ref="R560">(IF(AND(Membros!$F$2="Sim",A560&lt;=MAX(Membros!$E$2:$E$5)),Membros!K$2,IF(AND(A560&gt;=Membros!J$2,A560&lt;=MAX(Membros!$E$2:$E$5)),Membros!K$2,0))+IF(AND(Membros!$F$3="Sim",A560&lt;=MAX(Membros!$E$2:$E$5)),Membros!K$3,IF(AND(A560&gt;=Membros!J$3,A560&lt;=MAX(Membros!$E$2:$E$5)),Membros!K$3,0)))*IF(AND(COUNTIFS(Tabela3[Tipo],"Provedor",Tabela3[Simulação Seguro],"Sim")=2,A560&gt;=MAX(IF(Tabela3[Tipo]="Dependente",Tabela3[Expectativa de Vida (Data)]))),0,1)</f>
        <v>10000</v>
      </c>
      <c r="S560" s="18">
        <f t="shared" si="70"/>
        <v>10000</v>
      </c>
      <c r="U560" s="18">
        <f t="shared" ca="1" si="73"/>
        <v>36193014.295202218</v>
      </c>
      <c r="V560" s="18">
        <f>SUMIF(Imóveis!E:E,Dados!A:A,Imóveis!Z:Z)-SUMIF(Imóveis!E:E,Dados!A:A,Imóveis!Y:Y)</f>
        <v>0</v>
      </c>
      <c r="W560" s="18">
        <f>-SUMIF(Projetos!N:N,A560,Projetos!F:F)</f>
        <v>0</v>
      </c>
      <c r="X560" s="18">
        <f t="shared" ca="1" si="67"/>
        <v>-82757</v>
      </c>
      <c r="Y560" s="26">
        <f ca="1">(U560*((Indicadores_Economicos!D$2+1)^(1/12)-1))</f>
        <v>118486.51073589751</v>
      </c>
      <c r="Z560" s="18">
        <f t="shared" ca="1" si="71"/>
        <v>36228743.805938117</v>
      </c>
      <c r="AA560" s="18">
        <f ca="1">Auxiliar_Projetos!E560</f>
        <v>2.4224002292951373E-9</v>
      </c>
      <c r="AB560" s="18">
        <f ca="1">Auxiliar_Projetos!K560</f>
        <v>1.8633847917654878E-9</v>
      </c>
      <c r="AC560" s="18">
        <f ca="1">IF(Z560-AA560-AB560&gt;Investimentos!$C$14,Investimentos!$C$14,IF(Z560-AA560-AB560&lt;Investimentos!$C$14,Z560-AA560-AB560,0))</f>
        <v>300000</v>
      </c>
      <c r="AD560" s="18">
        <f t="shared" ca="1" si="72"/>
        <v>35928743.805938117</v>
      </c>
      <c r="AE560" s="18"/>
    </row>
    <row r="561" spans="1:31" x14ac:dyDescent="0.2">
      <c r="A561" s="4">
        <v>62671</v>
      </c>
      <c r="B561" s="5" t="str">
        <f t="shared" si="68"/>
        <v>agosto</v>
      </c>
      <c r="C561" s="5" t="str">
        <f t="shared" si="74"/>
        <v>2071</v>
      </c>
      <c r="D561" s="5">
        <f>SUMIFS(Despesas!$F:$F,Despesas!$J:$J,"&lt;="&amp;$A561,Despesas!$L:$L,"&gt;="&amp;$A561,Despesas!$C:$C,D$1,Despesas!$M:$M,"Mensal")+SUMIFS(Despesas!$F:$F,Despesas!$J:$J,"&lt;="&amp;$A561,Despesas!$L:$L,"&gt;="&amp;$A561,Despesas!$C:$C,D$1,Despesas!$M:$M,$B561)</f>
        <v>23000</v>
      </c>
      <c r="E561" s="18">
        <f>SUMIFS(Despesas!$F:$F,Despesas!$J:$J,"&lt;="&amp;$A561,Despesas!$L:$L,"&gt;="&amp;$A561,Despesas!$C:$C,E$1,Despesas!$M:$M,"Mensal")+SUMIFS(Despesas!$F:$F,Despesas!$J:$J,"&lt;="&amp;$A561,Despesas!$L:$L,"&gt;="&amp;$A561,Despesas!$C:$C,E$1,Despesas!$M:$M,$B561)</f>
        <v>0</v>
      </c>
      <c r="F561" s="5">
        <f>SUMIFS(Despesas!$F:$F,Despesas!$J:$J,"&lt;="&amp;$A561,Despesas!$L:$L,"&gt;="&amp;$A561,Despesas!$C:$C,F$1,Despesas!$M:$M,"Mensal")+SUMIFS(Despesas!$F:$F,Despesas!$J:$J,"&lt;="&amp;$A561,Despesas!$L:$L,"&gt;="&amp;$A561,Despesas!$C:$C,F$1,Despesas!$M:$M,$B561)</f>
        <v>13000</v>
      </c>
      <c r="G561" s="5">
        <f>SUMIFS(Despesas!$F:$F,Despesas!$J:$J,"&lt;="&amp;$A561,Despesas!$L:$L,"&gt;="&amp;$A561,Despesas!$C:$C,G$1,Despesas!$M:$M,"Mensal")+SUMIFS(Despesas!$F:$F,Despesas!$J:$J,"&lt;="&amp;$A561,Despesas!$L:$L,"&gt;="&amp;$A561,Despesas!$C:$C,G$1,Despesas!$M:$M,$B561)</f>
        <v>0</v>
      </c>
      <c r="H561" s="18">
        <f>SUMIFS(Despesas!$F:$F,Despesas!$J:$J,"&lt;="&amp;$A561,Despesas!$L:$L,"&gt;="&amp;$A561,Despesas!$C:$C,H$1,Despesas!$M:$M,"Mensal")+SUMIFS(Despesas!$F:$F,Despesas!$J:$J,"&lt;="&amp;$A561,Despesas!$L:$L,"&gt;="&amp;$A561,Despesas!$C:$C,H$1,Despesas!$M:$M,$B561)</f>
        <v>1000</v>
      </c>
      <c r="I561" s="18">
        <f>IF(Imóveis!$F$2="PRICE",IF(AND(Dados!$A561&gt;=Imóveis!$Q$2,Dados!$A561&lt;=Imóveis!$T$2),Imóveis!$U$2,0),IF((IF(AND(Dados!$A561&gt;=Imóveis!$Q$2,Dados!$A561&lt;=Imóveis!$T$2),Imóveis!$S$2-(DATEDIF(Imóveis!$Q$2,Dados!$A561,"m")),0))=0,0,((Imóveis!$N$2/Imóveis!$S$2)+((Imóveis!$N$2-((Imóveis!$S$2-(IF(AND(Dados!$A561&gt;=Imóveis!$Q$2,Dados!$A561&lt;=Imóveis!$T$2),Imóveis!$S$2-(DATEDIF(Imóveis!$Q$2,Dados!$A561,"m")),)))*(Imóveis!$N$2/Imóveis!$S$2)))*Imóveis!$P$2))))*IF(AND(Imóveis!$E$2&gt;0,Dados!$A561&gt;Imóveis!$E$2),0,1)</f>
        <v>0</v>
      </c>
      <c r="J561" s="18">
        <f>IF(Imóveis!$F$3="PRICE",IF(AND(Dados!$A561&gt;=Imóveis!$Q$3,Dados!$A561&lt;=Imóveis!$T$3),Imóveis!$U$3,0),IF((IF(AND(Dados!$A561&gt;=Imóveis!$Q$3,Dados!$A561&lt;=Imóveis!$T$3),Imóveis!$S$3-(DATEDIF(Imóveis!$Q$3,Dados!$A561,"m")),0))=0,0,((Imóveis!$N$3/Imóveis!$S$3)+((Imóveis!$N$3-((Imóveis!$S$3-(IF(AND(Dados!$A561&gt;=Imóveis!$Q$3,Dados!$A561&lt;=Imóveis!$T$3),Imóveis!$S$3-(DATEDIF(Imóveis!$Q$3,Dados!$A561,"m")),)))*(Imóveis!$N$3/Imóveis!$S$3)))*Imóveis!$P$3))))*IF(AND(Imóveis!$E$3&gt;0,Dados!$A561&gt;Imóveis!$E$3),0,1)</f>
        <v>0</v>
      </c>
      <c r="K561" s="18">
        <f>IF(Imóveis!$F$4="PRICE",IF(AND(Dados!$A561&gt;=Imóveis!$Q$4,Dados!$A561&lt;=Imóveis!$T$4),Imóveis!$U$4,0),IF((IF(AND(Dados!$A561&gt;=Imóveis!$Q$4,Dados!$A561&lt;=Imóveis!$T$4),Imóveis!$S$4-(DATEDIF(Imóveis!$Q$4,Dados!$A561,"m")),0))=0,0,((Imóveis!$N$4/Imóveis!$S$4)+((Imóveis!$N$4-((Imóveis!$S$4-(IF(AND(Dados!$A561&gt;=Imóveis!$Q$4,Dados!$A561&lt;=Imóveis!$T$4),Imóveis!$S$4-(DATEDIF(Imóveis!$Q$4,Dados!$A561,"m")),)))*(Imóveis!$N$4/Imóveis!$S$4)))*Imóveis!$P$4))))*IF(AND(Imóveis!$E$4&gt;0,Dados!$A561&gt;Imóveis!$E$4),0,1)</f>
        <v>0</v>
      </c>
      <c r="L561" s="18">
        <f>IF(Imóveis!$F$5="PRICE",IF(AND(Dados!$A561&gt;=Imóveis!$Q$5,Dados!$A561&lt;=Imóveis!$T$5),Imóveis!$U$5,0),IF((IF(AND(Dados!$A561&gt;=Imóveis!$Q$5,Dados!$A561&lt;=Imóveis!$T$5),Imóveis!$S$5-(DATEDIF(Imóveis!$Q$5,Dados!$A561,"m")),0))=0,0,((Imóveis!$N$5/Imóveis!$S$5)+((Imóveis!$N$5-((Imóveis!$S$5-(IF(AND(Dados!$A561 &gt;=Imóveis!$Q$5,Dados!$A561&lt;=Imóveis!$T$5),Imóveis!$S$5-(DATEDIF(Imóveis!$Q$5,Dados!$A561,"m")),)))*(Imóveis!$N$5/Imóveis!$S$5)))*Imóveis!$P$5))))*IF(AND(Imóveis!$E$5&gt;0,Dados!$A561&gt;Imóveis!$E$5),0,1)*Imóveis!$I$5</f>
        <v>0</v>
      </c>
      <c r="M561" s="18">
        <f>IF(Imóveis!$F$6="PRICE",IF(AND(Dados!$A561&gt;=Imóveis!$Q$6,Dados!$A561&lt;=Imóveis!$T$6),Imóveis!$U$6,0),IF((IF(AND(Dados!$A561&gt;=Imóveis!$Q$6,Dados!$A561&lt;=Imóveis!$T$6),Imóveis!$S$6-(DATEDIF(Imóveis!$Q$6,Dados!$A561,"m")),0))=0,0,((Imóveis!$N$6/Imóveis!$S$6)+((Imóveis!$N$6-((Imóveis!$S$6-(IF(AND(Dados!$A561&gt;=Imóveis!$Q$6,Dados!$A561&lt;=Imóveis!$T$6),Imóveis!$S$6-(DATEDIF(Imóveis!$Q$6,Dados!$A561,"m")),)))*(Imóveis!$N$6/Imóveis!$S$6)))*Imóveis!$P$6))))*IF(AND(Imóveis!$E$6&gt;0,Dados!$A561&gt;Imóveis!$E$6),0,1)*Imóveis!$I$6</f>
        <v>0</v>
      </c>
      <c r="N561" s="18">
        <f t="shared" si="69"/>
        <v>37000</v>
      </c>
      <c r="O561" s="18">
        <f>SUMIFS(Receitas!$F:$F,Receitas!$J:$J,"&lt;="&amp;$A561,Receitas!$L:$L,"&gt;="&amp;$A561,Receitas!$C:$C,O$1,Receitas!$M:$M,"Mensal")+SUMIFS(Receitas!$F:$F,Receitas!$J:$J,"&lt;="&amp;$A561,Receitas!$L:$L,"&gt;="&amp;$A561,Receitas!$C:$C,O$1,Receitas!$M:$M,$B561)</f>
        <v>0</v>
      </c>
      <c r="P561" s="18">
        <f>SUMIFS(Receitas!$F:$F,Receitas!$J:$J,"&lt;="&amp;$A561,Receitas!$L:$L,"&gt;="&amp;$A561,Receitas!$C:$C,P$1,Receitas!$M:$M,"Mensal")+SUMIFS(Receitas!$F:$F,Receitas!$J:$J,"&lt;="&amp;$A561,Receitas!$L:$L,"&gt;="&amp;$A561,Receitas!$C:$C,P$1,Receitas!$M:$M,$B561)</f>
        <v>0</v>
      </c>
      <c r="Q561" s="18">
        <f>SUMIFS(Receitas!$F:$F,Receitas!$J:$J,"&lt;="&amp;$A561,Receitas!$L:$L,"&gt;="&amp;$A561,Receitas!$C:$C,Q$1,Receitas!$M:$M,"Mensal")+SUMIFS(Receitas!$F:$F,Receitas!$J:$J,"&lt;="&amp;$A561,Receitas!$L:$L,"&gt;="&amp;$A561,Receitas!$C:$C,Q$1,Receitas!$M:$M,$B561)</f>
        <v>0</v>
      </c>
      <c r="R561" s="18" cm="1">
        <f t="array" ref="R561">(IF(AND(Membros!$F$2="Sim",A561&lt;=MAX(Membros!$E$2:$E$5)),Membros!K$2,IF(AND(A561&gt;=Membros!J$2,A561&lt;=MAX(Membros!$E$2:$E$5)),Membros!K$2,0))+IF(AND(Membros!$F$3="Sim",A561&lt;=MAX(Membros!$E$2:$E$5)),Membros!K$3,IF(AND(A561&gt;=Membros!J$3,A561&lt;=MAX(Membros!$E$2:$E$5)),Membros!K$3,0)))*IF(AND(COUNTIFS(Tabela3[Tipo],"Provedor",Tabela3[Simulação Seguro],"Sim")=2,A561&gt;=MAX(IF(Tabela3[Tipo]="Dependente",Tabela3[Expectativa de Vida (Data)]))),0,1)</f>
        <v>10000</v>
      </c>
      <c r="S561" s="18">
        <f t="shared" si="70"/>
        <v>10000</v>
      </c>
      <c r="U561" s="18">
        <f t="shared" ca="1" si="73"/>
        <v>36228743.805938117</v>
      </c>
      <c r="V561" s="18">
        <f>SUMIF(Imóveis!E:E,Dados!A:A,Imóveis!Z:Z)-SUMIF(Imóveis!E:E,Dados!A:A,Imóveis!Y:Y)</f>
        <v>0</v>
      </c>
      <c r="W561" s="18">
        <f>-SUMIF(Projetos!N:N,A561,Projetos!F:F)</f>
        <v>0</v>
      </c>
      <c r="X561" s="18">
        <f t="shared" si="67"/>
        <v>-27000</v>
      </c>
      <c r="Y561" s="26">
        <f ca="1">(U561*((Indicadores_Economicos!D$2+1)^(1/12)-1))</f>
        <v>118603.47985659212</v>
      </c>
      <c r="Z561" s="18">
        <f t="shared" ca="1" si="71"/>
        <v>36320347.285794713</v>
      </c>
      <c r="AA561" s="18">
        <f ca="1">Auxiliar_Projetos!E561</f>
        <v>2.4303305372941886E-9</v>
      </c>
      <c r="AB561" s="18">
        <f ca="1">Auxiliar_Projetos!K561</f>
        <v>1.869485028687835E-9</v>
      </c>
      <c r="AC561" s="18">
        <f ca="1">IF(Z561-AA561-AB561&gt;Investimentos!$C$14,Investimentos!$C$14,IF(Z561-AA561-AB561&lt;Investimentos!$C$14,Z561-AA561-AB561,0))</f>
        <v>300000</v>
      </c>
      <c r="AD561" s="18">
        <f t="shared" ca="1" si="72"/>
        <v>36020347.285794713</v>
      </c>
      <c r="AE561" s="18"/>
    </row>
    <row r="562" spans="1:31" x14ac:dyDescent="0.2">
      <c r="A562" s="4">
        <v>62702</v>
      </c>
      <c r="B562" s="5" t="str">
        <f t="shared" si="68"/>
        <v>setembro</v>
      </c>
      <c r="C562" s="5" t="str">
        <f t="shared" si="74"/>
        <v>2071</v>
      </c>
      <c r="D562" s="5">
        <f>SUMIFS(Despesas!$F:$F,Despesas!$J:$J,"&lt;="&amp;$A562,Despesas!$L:$L,"&gt;="&amp;$A562,Despesas!$C:$C,D$1,Despesas!$M:$M,"Mensal")+SUMIFS(Despesas!$F:$F,Despesas!$J:$J,"&lt;="&amp;$A562,Despesas!$L:$L,"&gt;="&amp;$A562,Despesas!$C:$C,D$1,Despesas!$M:$M,$B562)</f>
        <v>23000</v>
      </c>
      <c r="E562" s="18">
        <f>SUMIFS(Despesas!$F:$F,Despesas!$J:$J,"&lt;="&amp;$A562,Despesas!$L:$L,"&gt;="&amp;$A562,Despesas!$C:$C,E$1,Despesas!$M:$M,"Mensal")+SUMIFS(Despesas!$F:$F,Despesas!$J:$J,"&lt;="&amp;$A562,Despesas!$L:$L,"&gt;="&amp;$A562,Despesas!$C:$C,E$1,Despesas!$M:$M,$B562)</f>
        <v>0</v>
      </c>
      <c r="F562" s="5">
        <f>SUMIFS(Despesas!$F:$F,Despesas!$J:$J,"&lt;="&amp;$A562,Despesas!$L:$L,"&gt;="&amp;$A562,Despesas!$C:$C,F$1,Despesas!$M:$M,"Mensal")+SUMIFS(Despesas!$F:$F,Despesas!$J:$J,"&lt;="&amp;$A562,Despesas!$L:$L,"&gt;="&amp;$A562,Despesas!$C:$C,F$1,Despesas!$M:$M,$B562)</f>
        <v>13000</v>
      </c>
      <c r="G562" s="5">
        <f>SUMIFS(Despesas!$F:$F,Despesas!$J:$J,"&lt;="&amp;$A562,Despesas!$L:$L,"&gt;="&amp;$A562,Despesas!$C:$C,G$1,Despesas!$M:$M,"Mensal")+SUMIFS(Despesas!$F:$F,Despesas!$J:$J,"&lt;="&amp;$A562,Despesas!$L:$L,"&gt;="&amp;$A562,Despesas!$C:$C,G$1,Despesas!$M:$M,$B562)</f>
        <v>0</v>
      </c>
      <c r="H562" s="18">
        <f>SUMIFS(Despesas!$F:$F,Despesas!$J:$J,"&lt;="&amp;$A562,Despesas!$L:$L,"&gt;="&amp;$A562,Despesas!$C:$C,H$1,Despesas!$M:$M,"Mensal")+SUMIFS(Despesas!$F:$F,Despesas!$J:$J,"&lt;="&amp;$A562,Despesas!$L:$L,"&gt;="&amp;$A562,Despesas!$C:$C,H$1,Despesas!$M:$M,$B562)</f>
        <v>1000</v>
      </c>
      <c r="I562" s="18">
        <f>IF(Imóveis!$F$2="PRICE",IF(AND(Dados!$A562&gt;=Imóveis!$Q$2,Dados!$A562&lt;=Imóveis!$T$2),Imóveis!$U$2,0),IF((IF(AND(Dados!$A562&gt;=Imóveis!$Q$2,Dados!$A562&lt;=Imóveis!$T$2),Imóveis!$S$2-(DATEDIF(Imóveis!$Q$2,Dados!$A562,"m")),0))=0,0,((Imóveis!$N$2/Imóveis!$S$2)+((Imóveis!$N$2-((Imóveis!$S$2-(IF(AND(Dados!$A562&gt;=Imóveis!$Q$2,Dados!$A562&lt;=Imóveis!$T$2),Imóveis!$S$2-(DATEDIF(Imóveis!$Q$2,Dados!$A562,"m")),)))*(Imóveis!$N$2/Imóveis!$S$2)))*Imóveis!$P$2))))*IF(AND(Imóveis!$E$2&gt;0,Dados!$A562&gt;Imóveis!$E$2),0,1)</f>
        <v>0</v>
      </c>
      <c r="J562" s="18">
        <f>IF(Imóveis!$F$3="PRICE",IF(AND(Dados!$A562&gt;=Imóveis!$Q$3,Dados!$A562&lt;=Imóveis!$T$3),Imóveis!$U$3,0),IF((IF(AND(Dados!$A562&gt;=Imóveis!$Q$3,Dados!$A562&lt;=Imóveis!$T$3),Imóveis!$S$3-(DATEDIF(Imóveis!$Q$3,Dados!$A562,"m")),0))=0,0,((Imóveis!$N$3/Imóveis!$S$3)+((Imóveis!$N$3-((Imóveis!$S$3-(IF(AND(Dados!$A562&gt;=Imóveis!$Q$3,Dados!$A562&lt;=Imóveis!$T$3),Imóveis!$S$3-(DATEDIF(Imóveis!$Q$3,Dados!$A562,"m")),)))*(Imóveis!$N$3/Imóveis!$S$3)))*Imóveis!$P$3))))*IF(AND(Imóveis!$E$3&gt;0,Dados!$A562&gt;Imóveis!$E$3),0,1)</f>
        <v>0</v>
      </c>
      <c r="K562" s="18">
        <f>IF(Imóveis!$F$4="PRICE",IF(AND(Dados!$A562&gt;=Imóveis!$Q$4,Dados!$A562&lt;=Imóveis!$T$4),Imóveis!$U$4,0),IF((IF(AND(Dados!$A562&gt;=Imóveis!$Q$4,Dados!$A562&lt;=Imóveis!$T$4),Imóveis!$S$4-(DATEDIF(Imóveis!$Q$4,Dados!$A562,"m")),0))=0,0,((Imóveis!$N$4/Imóveis!$S$4)+((Imóveis!$N$4-((Imóveis!$S$4-(IF(AND(Dados!$A562&gt;=Imóveis!$Q$4,Dados!$A562&lt;=Imóveis!$T$4),Imóveis!$S$4-(DATEDIF(Imóveis!$Q$4,Dados!$A562,"m")),)))*(Imóveis!$N$4/Imóveis!$S$4)))*Imóveis!$P$4))))*IF(AND(Imóveis!$E$4&gt;0,Dados!$A562&gt;Imóveis!$E$4),0,1)</f>
        <v>0</v>
      </c>
      <c r="L562" s="18">
        <f>IF(Imóveis!$F$5="PRICE",IF(AND(Dados!$A562&gt;=Imóveis!$Q$5,Dados!$A562&lt;=Imóveis!$T$5),Imóveis!$U$5,0),IF((IF(AND(Dados!$A562&gt;=Imóveis!$Q$5,Dados!$A562&lt;=Imóveis!$T$5),Imóveis!$S$5-(DATEDIF(Imóveis!$Q$5,Dados!$A562,"m")),0))=0,0,((Imóveis!$N$5/Imóveis!$S$5)+((Imóveis!$N$5-((Imóveis!$S$5-(IF(AND(Dados!$A562 &gt;=Imóveis!$Q$5,Dados!$A562&lt;=Imóveis!$T$5),Imóveis!$S$5-(DATEDIF(Imóveis!$Q$5,Dados!$A562,"m")),)))*(Imóveis!$N$5/Imóveis!$S$5)))*Imóveis!$P$5))))*IF(AND(Imóveis!$E$5&gt;0,Dados!$A562&gt;Imóveis!$E$5),0,1)*Imóveis!$I$5</f>
        <v>0</v>
      </c>
      <c r="M562" s="18">
        <f>IF(Imóveis!$F$6="PRICE",IF(AND(Dados!$A562&gt;=Imóveis!$Q$6,Dados!$A562&lt;=Imóveis!$T$6),Imóveis!$U$6,0),IF((IF(AND(Dados!$A562&gt;=Imóveis!$Q$6,Dados!$A562&lt;=Imóveis!$T$6),Imóveis!$S$6-(DATEDIF(Imóveis!$Q$6,Dados!$A562,"m")),0))=0,0,((Imóveis!$N$6/Imóveis!$S$6)+((Imóveis!$N$6-((Imóveis!$S$6-(IF(AND(Dados!$A562&gt;=Imóveis!$Q$6,Dados!$A562&lt;=Imóveis!$T$6),Imóveis!$S$6-(DATEDIF(Imóveis!$Q$6,Dados!$A562,"m")),)))*(Imóveis!$N$6/Imóveis!$S$6)))*Imóveis!$P$6))))*IF(AND(Imóveis!$E$6&gt;0,Dados!$A562&gt;Imóveis!$E$6),0,1)*Imóveis!$I$6</f>
        <v>0</v>
      </c>
      <c r="N562" s="18">
        <f t="shared" si="69"/>
        <v>37000</v>
      </c>
      <c r="O562" s="18">
        <f>SUMIFS(Receitas!$F:$F,Receitas!$J:$J,"&lt;="&amp;$A562,Receitas!$L:$L,"&gt;="&amp;$A562,Receitas!$C:$C,O$1,Receitas!$M:$M,"Mensal")+SUMIFS(Receitas!$F:$F,Receitas!$J:$J,"&lt;="&amp;$A562,Receitas!$L:$L,"&gt;="&amp;$A562,Receitas!$C:$C,O$1,Receitas!$M:$M,$B562)</f>
        <v>0</v>
      </c>
      <c r="P562" s="18">
        <f>SUMIFS(Receitas!$F:$F,Receitas!$J:$J,"&lt;="&amp;$A562,Receitas!$L:$L,"&gt;="&amp;$A562,Receitas!$C:$C,P$1,Receitas!$M:$M,"Mensal")+SUMIFS(Receitas!$F:$F,Receitas!$J:$J,"&lt;="&amp;$A562,Receitas!$L:$L,"&gt;="&amp;$A562,Receitas!$C:$C,P$1,Receitas!$M:$M,$B562)</f>
        <v>0</v>
      </c>
      <c r="Q562" s="18">
        <f>SUMIFS(Receitas!$F:$F,Receitas!$J:$J,"&lt;="&amp;$A562,Receitas!$L:$L,"&gt;="&amp;$A562,Receitas!$C:$C,Q$1,Receitas!$M:$M,"Mensal")+SUMIFS(Receitas!$F:$F,Receitas!$J:$J,"&lt;="&amp;$A562,Receitas!$L:$L,"&gt;="&amp;$A562,Receitas!$C:$C,Q$1,Receitas!$M:$M,$B562)</f>
        <v>0</v>
      </c>
      <c r="R562" s="18" cm="1">
        <f t="array" ref="R562">(IF(AND(Membros!$F$2="Sim",A562&lt;=MAX(Membros!$E$2:$E$5)),Membros!K$2,IF(AND(A562&gt;=Membros!J$2,A562&lt;=MAX(Membros!$E$2:$E$5)),Membros!K$2,0))+IF(AND(Membros!$F$3="Sim",A562&lt;=MAX(Membros!$E$2:$E$5)),Membros!K$3,IF(AND(A562&gt;=Membros!J$3,A562&lt;=MAX(Membros!$E$2:$E$5)),Membros!K$3,0)))*IF(AND(COUNTIFS(Tabela3[Tipo],"Provedor",Tabela3[Simulação Seguro],"Sim")=2,A562&gt;=MAX(IF(Tabela3[Tipo]="Dependente",Tabela3[Expectativa de Vida (Data)]))),0,1)</f>
        <v>10000</v>
      </c>
      <c r="S562" s="18">
        <f t="shared" si="70"/>
        <v>10000</v>
      </c>
      <c r="U562" s="18">
        <f t="shared" ca="1" si="73"/>
        <v>36320347.285794713</v>
      </c>
      <c r="V562" s="18">
        <f>SUMIF(Imóveis!E:E,Dados!A:A,Imóveis!Z:Z)-SUMIF(Imóveis!E:E,Dados!A:A,Imóveis!Y:Y)</f>
        <v>0</v>
      </c>
      <c r="W562" s="18">
        <f>-SUMIF(Projetos!N:N,A562,Projetos!F:F)</f>
        <v>0</v>
      </c>
      <c r="X562" s="18">
        <f t="shared" si="67"/>
        <v>-27000</v>
      </c>
      <c r="Y562" s="26">
        <f ca="1">(U562*((Indicadores_Economicos!D$2+1)^(1/12)-1))</f>
        <v>118903.36581278652</v>
      </c>
      <c r="Z562" s="18">
        <f t="shared" ca="1" si="71"/>
        <v>36412250.651607499</v>
      </c>
      <c r="AA562" s="18">
        <f ca="1">Auxiliar_Projetos!E562</f>
        <v>2.4382868070580212E-9</v>
      </c>
      <c r="AB562" s="18">
        <f ca="1">Auxiliar_Projetos!K562</f>
        <v>1.8756052361984758E-9</v>
      </c>
      <c r="AC562" s="18">
        <f ca="1">IF(Z562-AA562-AB562&gt;Investimentos!$C$14,Investimentos!$C$14,IF(Z562-AA562-AB562&lt;Investimentos!$C$14,Z562-AA562-AB562,0))</f>
        <v>300000</v>
      </c>
      <c r="AD562" s="18">
        <f t="shared" ca="1" si="72"/>
        <v>36112250.651607499</v>
      </c>
      <c r="AE562" s="18"/>
    </row>
    <row r="563" spans="1:31" x14ac:dyDescent="0.2">
      <c r="A563" s="4">
        <v>62732</v>
      </c>
      <c r="B563" s="5" t="str">
        <f t="shared" si="68"/>
        <v>outubro</v>
      </c>
      <c r="C563" s="5" t="str">
        <f t="shared" si="74"/>
        <v>2071</v>
      </c>
      <c r="D563" s="5">
        <f>SUMIFS(Despesas!$F:$F,Despesas!$J:$J,"&lt;="&amp;$A563,Despesas!$L:$L,"&gt;="&amp;$A563,Despesas!$C:$C,D$1,Despesas!$M:$M,"Mensal")+SUMIFS(Despesas!$F:$F,Despesas!$J:$J,"&lt;="&amp;$A563,Despesas!$L:$L,"&gt;="&amp;$A563,Despesas!$C:$C,D$1,Despesas!$M:$M,$B563)</f>
        <v>23000</v>
      </c>
      <c r="E563" s="18">
        <f>SUMIFS(Despesas!$F:$F,Despesas!$J:$J,"&lt;="&amp;$A563,Despesas!$L:$L,"&gt;="&amp;$A563,Despesas!$C:$C,E$1,Despesas!$M:$M,"Mensal")+SUMIFS(Despesas!$F:$F,Despesas!$J:$J,"&lt;="&amp;$A563,Despesas!$L:$L,"&gt;="&amp;$A563,Despesas!$C:$C,E$1,Despesas!$M:$M,$B563)</f>
        <v>0</v>
      </c>
      <c r="F563" s="5">
        <f>SUMIFS(Despesas!$F:$F,Despesas!$J:$J,"&lt;="&amp;$A563,Despesas!$L:$L,"&gt;="&amp;$A563,Despesas!$C:$C,F$1,Despesas!$M:$M,"Mensal")+SUMIFS(Despesas!$F:$F,Despesas!$J:$J,"&lt;="&amp;$A563,Despesas!$L:$L,"&gt;="&amp;$A563,Despesas!$C:$C,F$1,Despesas!$M:$M,$B563)</f>
        <v>13000</v>
      </c>
      <c r="G563" s="5">
        <f>SUMIFS(Despesas!$F:$F,Despesas!$J:$J,"&lt;="&amp;$A563,Despesas!$L:$L,"&gt;="&amp;$A563,Despesas!$C:$C,G$1,Despesas!$M:$M,"Mensal")+SUMIFS(Despesas!$F:$F,Despesas!$J:$J,"&lt;="&amp;$A563,Despesas!$L:$L,"&gt;="&amp;$A563,Despesas!$C:$C,G$1,Despesas!$M:$M,$B563)</f>
        <v>0</v>
      </c>
      <c r="H563" s="18">
        <f>SUMIFS(Despesas!$F:$F,Despesas!$J:$J,"&lt;="&amp;$A563,Despesas!$L:$L,"&gt;="&amp;$A563,Despesas!$C:$C,H$1,Despesas!$M:$M,"Mensal")+SUMIFS(Despesas!$F:$F,Despesas!$J:$J,"&lt;="&amp;$A563,Despesas!$L:$L,"&gt;="&amp;$A563,Despesas!$C:$C,H$1,Despesas!$M:$M,$B563)</f>
        <v>1000</v>
      </c>
      <c r="I563" s="18">
        <f>IF(Imóveis!$F$2="PRICE",IF(AND(Dados!$A563&gt;=Imóveis!$Q$2,Dados!$A563&lt;=Imóveis!$T$2),Imóveis!$U$2,0),IF((IF(AND(Dados!$A563&gt;=Imóveis!$Q$2,Dados!$A563&lt;=Imóveis!$T$2),Imóveis!$S$2-(DATEDIF(Imóveis!$Q$2,Dados!$A563,"m")),0))=0,0,((Imóveis!$N$2/Imóveis!$S$2)+((Imóveis!$N$2-((Imóveis!$S$2-(IF(AND(Dados!$A563&gt;=Imóveis!$Q$2,Dados!$A563&lt;=Imóveis!$T$2),Imóveis!$S$2-(DATEDIF(Imóveis!$Q$2,Dados!$A563,"m")),)))*(Imóveis!$N$2/Imóveis!$S$2)))*Imóveis!$P$2))))*IF(AND(Imóveis!$E$2&gt;0,Dados!$A563&gt;Imóveis!$E$2),0,1)</f>
        <v>0</v>
      </c>
      <c r="J563" s="18">
        <f>IF(Imóveis!$F$3="PRICE",IF(AND(Dados!$A563&gt;=Imóveis!$Q$3,Dados!$A563&lt;=Imóveis!$T$3),Imóveis!$U$3,0),IF((IF(AND(Dados!$A563&gt;=Imóveis!$Q$3,Dados!$A563&lt;=Imóveis!$T$3),Imóveis!$S$3-(DATEDIF(Imóveis!$Q$3,Dados!$A563,"m")),0))=0,0,((Imóveis!$N$3/Imóveis!$S$3)+((Imóveis!$N$3-((Imóveis!$S$3-(IF(AND(Dados!$A563&gt;=Imóveis!$Q$3,Dados!$A563&lt;=Imóveis!$T$3),Imóveis!$S$3-(DATEDIF(Imóveis!$Q$3,Dados!$A563,"m")),)))*(Imóveis!$N$3/Imóveis!$S$3)))*Imóveis!$P$3))))*IF(AND(Imóveis!$E$3&gt;0,Dados!$A563&gt;Imóveis!$E$3),0,1)</f>
        <v>0</v>
      </c>
      <c r="K563" s="18">
        <f>IF(Imóveis!$F$4="PRICE",IF(AND(Dados!$A563&gt;=Imóveis!$Q$4,Dados!$A563&lt;=Imóveis!$T$4),Imóveis!$U$4,0),IF((IF(AND(Dados!$A563&gt;=Imóveis!$Q$4,Dados!$A563&lt;=Imóveis!$T$4),Imóveis!$S$4-(DATEDIF(Imóveis!$Q$4,Dados!$A563,"m")),0))=0,0,((Imóveis!$N$4/Imóveis!$S$4)+((Imóveis!$N$4-((Imóveis!$S$4-(IF(AND(Dados!$A563&gt;=Imóveis!$Q$4,Dados!$A563&lt;=Imóveis!$T$4),Imóveis!$S$4-(DATEDIF(Imóveis!$Q$4,Dados!$A563,"m")),)))*(Imóveis!$N$4/Imóveis!$S$4)))*Imóveis!$P$4))))*IF(AND(Imóveis!$E$4&gt;0,Dados!$A563&gt;Imóveis!$E$4),0,1)</f>
        <v>0</v>
      </c>
      <c r="L563" s="18">
        <f>IF(Imóveis!$F$5="PRICE",IF(AND(Dados!$A563&gt;=Imóveis!$Q$5,Dados!$A563&lt;=Imóveis!$T$5),Imóveis!$U$5,0),IF((IF(AND(Dados!$A563&gt;=Imóveis!$Q$5,Dados!$A563&lt;=Imóveis!$T$5),Imóveis!$S$5-(DATEDIF(Imóveis!$Q$5,Dados!$A563,"m")),0))=0,0,((Imóveis!$N$5/Imóveis!$S$5)+((Imóveis!$N$5-((Imóveis!$S$5-(IF(AND(Dados!$A563 &gt;=Imóveis!$Q$5,Dados!$A563&lt;=Imóveis!$T$5),Imóveis!$S$5-(DATEDIF(Imóveis!$Q$5,Dados!$A563,"m")),)))*(Imóveis!$N$5/Imóveis!$S$5)))*Imóveis!$P$5))))*IF(AND(Imóveis!$E$5&gt;0,Dados!$A563&gt;Imóveis!$E$5),0,1)*Imóveis!$I$5</f>
        <v>0</v>
      </c>
      <c r="M563" s="18">
        <f>IF(Imóveis!$F$6="PRICE",IF(AND(Dados!$A563&gt;=Imóveis!$Q$6,Dados!$A563&lt;=Imóveis!$T$6),Imóveis!$U$6,0),IF((IF(AND(Dados!$A563&gt;=Imóveis!$Q$6,Dados!$A563&lt;=Imóveis!$T$6),Imóveis!$S$6-(DATEDIF(Imóveis!$Q$6,Dados!$A563,"m")),0))=0,0,((Imóveis!$N$6/Imóveis!$S$6)+((Imóveis!$N$6-((Imóveis!$S$6-(IF(AND(Dados!$A563&gt;=Imóveis!$Q$6,Dados!$A563&lt;=Imóveis!$T$6),Imóveis!$S$6-(DATEDIF(Imóveis!$Q$6,Dados!$A563,"m")),)))*(Imóveis!$N$6/Imóveis!$S$6)))*Imóveis!$P$6))))*IF(AND(Imóveis!$E$6&gt;0,Dados!$A563&gt;Imóveis!$E$6),0,1)*Imóveis!$I$6</f>
        <v>0</v>
      </c>
      <c r="N563" s="18">
        <f t="shared" si="69"/>
        <v>37000</v>
      </c>
      <c r="O563" s="18">
        <f>SUMIFS(Receitas!$F:$F,Receitas!$J:$J,"&lt;="&amp;$A563,Receitas!$L:$L,"&gt;="&amp;$A563,Receitas!$C:$C,O$1,Receitas!$M:$M,"Mensal")+SUMIFS(Receitas!$F:$F,Receitas!$J:$J,"&lt;="&amp;$A563,Receitas!$L:$L,"&gt;="&amp;$A563,Receitas!$C:$C,O$1,Receitas!$M:$M,$B563)</f>
        <v>0</v>
      </c>
      <c r="P563" s="18">
        <f>SUMIFS(Receitas!$F:$F,Receitas!$J:$J,"&lt;="&amp;$A563,Receitas!$L:$L,"&gt;="&amp;$A563,Receitas!$C:$C,P$1,Receitas!$M:$M,"Mensal")+SUMIFS(Receitas!$F:$F,Receitas!$J:$J,"&lt;="&amp;$A563,Receitas!$L:$L,"&gt;="&amp;$A563,Receitas!$C:$C,P$1,Receitas!$M:$M,$B563)</f>
        <v>0</v>
      </c>
      <c r="Q563" s="18">
        <f>SUMIFS(Receitas!$F:$F,Receitas!$J:$J,"&lt;="&amp;$A563,Receitas!$L:$L,"&gt;="&amp;$A563,Receitas!$C:$C,Q$1,Receitas!$M:$M,"Mensal")+SUMIFS(Receitas!$F:$F,Receitas!$J:$J,"&lt;="&amp;$A563,Receitas!$L:$L,"&gt;="&amp;$A563,Receitas!$C:$C,Q$1,Receitas!$M:$M,$B563)</f>
        <v>0</v>
      </c>
      <c r="R563" s="18" cm="1">
        <f t="array" ref="R563">(IF(AND(Membros!$F$2="Sim",A563&lt;=MAX(Membros!$E$2:$E$5)),Membros!K$2,IF(AND(A563&gt;=Membros!J$2,A563&lt;=MAX(Membros!$E$2:$E$5)),Membros!K$2,0))+IF(AND(Membros!$F$3="Sim",A563&lt;=MAX(Membros!$E$2:$E$5)),Membros!K$3,IF(AND(A563&gt;=Membros!J$3,A563&lt;=MAX(Membros!$E$2:$E$5)),Membros!K$3,0)))*IF(AND(COUNTIFS(Tabela3[Tipo],"Provedor",Tabela3[Simulação Seguro],"Sim")=2,A563&gt;=MAX(IF(Tabela3[Tipo]="Dependente",Tabela3[Expectativa de Vida (Data)]))),0,1)</f>
        <v>10000</v>
      </c>
      <c r="S563" s="18">
        <f t="shared" si="70"/>
        <v>10000</v>
      </c>
      <c r="U563" s="18">
        <f t="shared" ca="1" si="73"/>
        <v>36412250.651607499</v>
      </c>
      <c r="V563" s="18">
        <f>SUMIF(Imóveis!E:E,Dados!A:A,Imóveis!Z:Z)-SUMIF(Imóveis!E:E,Dados!A:A,Imóveis!Y:Y)</f>
        <v>0</v>
      </c>
      <c r="W563" s="18">
        <f>-SUMIF(Projetos!N:N,A563,Projetos!F:F)</f>
        <v>0</v>
      </c>
      <c r="X563" s="18">
        <f t="shared" si="67"/>
        <v>-27000</v>
      </c>
      <c r="Y563" s="26">
        <f ca="1">(U563*((Indicadores_Economicos!D$2+1)^(1/12)-1))</f>
        <v>119204.23351756581</v>
      </c>
      <c r="Z563" s="18">
        <f t="shared" ca="1" si="71"/>
        <v>36504454.885125063</v>
      </c>
      <c r="AA563" s="18">
        <f ca="1">Auxiliar_Projetos!E563</f>
        <v>2.4462691235786979E-9</v>
      </c>
      <c r="AB563" s="18">
        <f ca="1">Auxiliar_Projetos!K563</f>
        <v>1.8817454796759195E-9</v>
      </c>
      <c r="AC563" s="18">
        <f ca="1">IF(Z563-AA563-AB563&gt;Investimentos!$C$14,Investimentos!$C$14,IF(Z563-AA563-AB563&lt;Investimentos!$C$14,Z563-AA563-AB563,0))</f>
        <v>300000</v>
      </c>
      <c r="AD563" s="18">
        <f t="shared" ca="1" si="72"/>
        <v>36204454.885125063</v>
      </c>
      <c r="AE563" s="18"/>
    </row>
    <row r="564" spans="1:31" x14ac:dyDescent="0.2">
      <c r="A564" s="4">
        <v>62763</v>
      </c>
      <c r="B564" s="5" t="str">
        <f t="shared" si="68"/>
        <v>novembro</v>
      </c>
      <c r="C564" s="5" t="str">
        <f t="shared" si="74"/>
        <v>2071</v>
      </c>
      <c r="D564" s="5">
        <f>SUMIFS(Despesas!$F:$F,Despesas!$J:$J,"&lt;="&amp;$A564,Despesas!$L:$L,"&gt;="&amp;$A564,Despesas!$C:$C,D$1,Despesas!$M:$M,"Mensal")+SUMIFS(Despesas!$F:$F,Despesas!$J:$J,"&lt;="&amp;$A564,Despesas!$L:$L,"&gt;="&amp;$A564,Despesas!$C:$C,D$1,Despesas!$M:$M,$B564)</f>
        <v>23000</v>
      </c>
      <c r="E564" s="18">
        <f>SUMIFS(Despesas!$F:$F,Despesas!$J:$J,"&lt;="&amp;$A564,Despesas!$L:$L,"&gt;="&amp;$A564,Despesas!$C:$C,E$1,Despesas!$M:$M,"Mensal")+SUMIFS(Despesas!$F:$F,Despesas!$J:$J,"&lt;="&amp;$A564,Despesas!$L:$L,"&gt;="&amp;$A564,Despesas!$C:$C,E$1,Despesas!$M:$M,$B564)</f>
        <v>0</v>
      </c>
      <c r="F564" s="5">
        <f>SUMIFS(Despesas!$F:$F,Despesas!$J:$J,"&lt;="&amp;$A564,Despesas!$L:$L,"&gt;="&amp;$A564,Despesas!$C:$C,F$1,Despesas!$M:$M,"Mensal")+SUMIFS(Despesas!$F:$F,Despesas!$J:$J,"&lt;="&amp;$A564,Despesas!$L:$L,"&gt;="&amp;$A564,Despesas!$C:$C,F$1,Despesas!$M:$M,$B564)</f>
        <v>13000</v>
      </c>
      <c r="G564" s="5">
        <f>SUMIFS(Despesas!$F:$F,Despesas!$J:$J,"&lt;="&amp;$A564,Despesas!$L:$L,"&gt;="&amp;$A564,Despesas!$C:$C,G$1,Despesas!$M:$M,"Mensal")+SUMIFS(Despesas!$F:$F,Despesas!$J:$J,"&lt;="&amp;$A564,Despesas!$L:$L,"&gt;="&amp;$A564,Despesas!$C:$C,G$1,Despesas!$M:$M,$B564)</f>
        <v>0</v>
      </c>
      <c r="H564" s="18">
        <f>SUMIFS(Despesas!$F:$F,Despesas!$J:$J,"&lt;="&amp;$A564,Despesas!$L:$L,"&gt;="&amp;$A564,Despesas!$C:$C,H$1,Despesas!$M:$M,"Mensal")+SUMIFS(Despesas!$F:$F,Despesas!$J:$J,"&lt;="&amp;$A564,Despesas!$L:$L,"&gt;="&amp;$A564,Despesas!$C:$C,H$1,Despesas!$M:$M,$B564)</f>
        <v>1000</v>
      </c>
      <c r="I564" s="18">
        <f>IF(Imóveis!$F$2="PRICE",IF(AND(Dados!$A564&gt;=Imóveis!$Q$2,Dados!$A564&lt;=Imóveis!$T$2),Imóveis!$U$2,0),IF((IF(AND(Dados!$A564&gt;=Imóveis!$Q$2,Dados!$A564&lt;=Imóveis!$T$2),Imóveis!$S$2-(DATEDIF(Imóveis!$Q$2,Dados!$A564,"m")),0))=0,0,((Imóveis!$N$2/Imóveis!$S$2)+((Imóveis!$N$2-((Imóveis!$S$2-(IF(AND(Dados!$A564&gt;=Imóveis!$Q$2,Dados!$A564&lt;=Imóveis!$T$2),Imóveis!$S$2-(DATEDIF(Imóveis!$Q$2,Dados!$A564,"m")),)))*(Imóveis!$N$2/Imóveis!$S$2)))*Imóveis!$P$2))))*IF(AND(Imóveis!$E$2&gt;0,Dados!$A564&gt;Imóveis!$E$2),0,1)</f>
        <v>0</v>
      </c>
      <c r="J564" s="18">
        <f>IF(Imóveis!$F$3="PRICE",IF(AND(Dados!$A564&gt;=Imóveis!$Q$3,Dados!$A564&lt;=Imóveis!$T$3),Imóveis!$U$3,0),IF((IF(AND(Dados!$A564&gt;=Imóveis!$Q$3,Dados!$A564&lt;=Imóveis!$T$3),Imóveis!$S$3-(DATEDIF(Imóveis!$Q$3,Dados!$A564,"m")),0))=0,0,((Imóveis!$N$3/Imóveis!$S$3)+((Imóveis!$N$3-((Imóveis!$S$3-(IF(AND(Dados!$A564&gt;=Imóveis!$Q$3,Dados!$A564&lt;=Imóveis!$T$3),Imóveis!$S$3-(DATEDIF(Imóveis!$Q$3,Dados!$A564,"m")),)))*(Imóveis!$N$3/Imóveis!$S$3)))*Imóveis!$P$3))))*IF(AND(Imóveis!$E$3&gt;0,Dados!$A564&gt;Imóveis!$E$3),0,1)</f>
        <v>0</v>
      </c>
      <c r="K564" s="18">
        <f>IF(Imóveis!$F$4="PRICE",IF(AND(Dados!$A564&gt;=Imóveis!$Q$4,Dados!$A564&lt;=Imóveis!$T$4),Imóveis!$U$4,0),IF((IF(AND(Dados!$A564&gt;=Imóveis!$Q$4,Dados!$A564&lt;=Imóveis!$T$4),Imóveis!$S$4-(DATEDIF(Imóveis!$Q$4,Dados!$A564,"m")),0))=0,0,((Imóveis!$N$4/Imóveis!$S$4)+((Imóveis!$N$4-((Imóveis!$S$4-(IF(AND(Dados!$A564&gt;=Imóveis!$Q$4,Dados!$A564&lt;=Imóveis!$T$4),Imóveis!$S$4-(DATEDIF(Imóveis!$Q$4,Dados!$A564,"m")),)))*(Imóveis!$N$4/Imóveis!$S$4)))*Imóveis!$P$4))))*IF(AND(Imóveis!$E$4&gt;0,Dados!$A564&gt;Imóveis!$E$4),0,1)</f>
        <v>0</v>
      </c>
      <c r="L564" s="18">
        <f>IF(Imóveis!$F$5="PRICE",IF(AND(Dados!$A564&gt;=Imóveis!$Q$5,Dados!$A564&lt;=Imóveis!$T$5),Imóveis!$U$5,0),IF((IF(AND(Dados!$A564&gt;=Imóveis!$Q$5,Dados!$A564&lt;=Imóveis!$T$5),Imóveis!$S$5-(DATEDIF(Imóveis!$Q$5,Dados!$A564,"m")),0))=0,0,((Imóveis!$N$5/Imóveis!$S$5)+((Imóveis!$N$5-((Imóveis!$S$5-(IF(AND(Dados!$A564 &gt;=Imóveis!$Q$5,Dados!$A564&lt;=Imóveis!$T$5),Imóveis!$S$5-(DATEDIF(Imóveis!$Q$5,Dados!$A564,"m")),)))*(Imóveis!$N$5/Imóveis!$S$5)))*Imóveis!$P$5))))*IF(AND(Imóveis!$E$5&gt;0,Dados!$A564&gt;Imóveis!$E$5),0,1)*Imóveis!$I$5</f>
        <v>0</v>
      </c>
      <c r="M564" s="18">
        <f>IF(Imóveis!$F$6="PRICE",IF(AND(Dados!$A564&gt;=Imóveis!$Q$6,Dados!$A564&lt;=Imóveis!$T$6),Imóveis!$U$6,0),IF((IF(AND(Dados!$A564&gt;=Imóveis!$Q$6,Dados!$A564&lt;=Imóveis!$T$6),Imóveis!$S$6-(DATEDIF(Imóveis!$Q$6,Dados!$A564,"m")),0))=0,0,((Imóveis!$N$6/Imóveis!$S$6)+((Imóveis!$N$6-((Imóveis!$S$6-(IF(AND(Dados!$A564&gt;=Imóveis!$Q$6,Dados!$A564&lt;=Imóveis!$T$6),Imóveis!$S$6-(DATEDIF(Imóveis!$Q$6,Dados!$A564,"m")),)))*(Imóveis!$N$6/Imóveis!$S$6)))*Imóveis!$P$6))))*IF(AND(Imóveis!$E$6&gt;0,Dados!$A564&gt;Imóveis!$E$6),0,1)*Imóveis!$I$6</f>
        <v>0</v>
      </c>
      <c r="N564" s="18">
        <f t="shared" si="69"/>
        <v>37000</v>
      </c>
      <c r="O564" s="18">
        <f>SUMIFS(Receitas!$F:$F,Receitas!$J:$J,"&lt;="&amp;$A564,Receitas!$L:$L,"&gt;="&amp;$A564,Receitas!$C:$C,O$1,Receitas!$M:$M,"Mensal")+SUMIFS(Receitas!$F:$F,Receitas!$J:$J,"&lt;="&amp;$A564,Receitas!$L:$L,"&gt;="&amp;$A564,Receitas!$C:$C,O$1,Receitas!$M:$M,$B564)</f>
        <v>0</v>
      </c>
      <c r="P564" s="18">
        <f>SUMIFS(Receitas!$F:$F,Receitas!$J:$J,"&lt;="&amp;$A564,Receitas!$L:$L,"&gt;="&amp;$A564,Receitas!$C:$C,P$1,Receitas!$M:$M,"Mensal")+SUMIFS(Receitas!$F:$F,Receitas!$J:$J,"&lt;="&amp;$A564,Receitas!$L:$L,"&gt;="&amp;$A564,Receitas!$C:$C,P$1,Receitas!$M:$M,$B564)</f>
        <v>0</v>
      </c>
      <c r="Q564" s="18">
        <f>SUMIFS(Receitas!$F:$F,Receitas!$J:$J,"&lt;="&amp;$A564,Receitas!$L:$L,"&gt;="&amp;$A564,Receitas!$C:$C,Q$1,Receitas!$M:$M,"Mensal")+SUMIFS(Receitas!$F:$F,Receitas!$J:$J,"&lt;="&amp;$A564,Receitas!$L:$L,"&gt;="&amp;$A564,Receitas!$C:$C,Q$1,Receitas!$M:$M,$B564)</f>
        <v>0</v>
      </c>
      <c r="R564" s="18" cm="1">
        <f t="array" ref="R564">(IF(AND(Membros!$F$2="Sim",A564&lt;=MAX(Membros!$E$2:$E$5)),Membros!K$2,IF(AND(A564&gt;=Membros!J$2,A564&lt;=MAX(Membros!$E$2:$E$5)),Membros!K$2,0))+IF(AND(Membros!$F$3="Sim",A564&lt;=MAX(Membros!$E$2:$E$5)),Membros!K$3,IF(AND(A564&gt;=Membros!J$3,A564&lt;=MAX(Membros!$E$2:$E$5)),Membros!K$3,0)))*IF(AND(COUNTIFS(Tabela3[Tipo],"Provedor",Tabela3[Simulação Seguro],"Sim")=2,A564&gt;=MAX(IF(Tabela3[Tipo]="Dependente",Tabela3[Expectativa de Vida (Data)]))),0,1)</f>
        <v>10000</v>
      </c>
      <c r="S564" s="18">
        <f t="shared" si="70"/>
        <v>10000</v>
      </c>
      <c r="U564" s="18">
        <f t="shared" ca="1" si="73"/>
        <v>36504454.885125063</v>
      </c>
      <c r="V564" s="18">
        <f>SUMIF(Imóveis!E:E,Dados!A:A,Imóveis!Z:Z)-SUMIF(Imóveis!E:E,Dados!A:A,Imóveis!Y:Y)</f>
        <v>0</v>
      </c>
      <c r="W564" s="18">
        <f>-SUMIF(Projetos!N:N,A564,Projetos!F:F)</f>
        <v>0</v>
      </c>
      <c r="X564" s="18">
        <f t="shared" si="67"/>
        <v>-27000</v>
      </c>
      <c r="Y564" s="26">
        <f ca="1">(U564*((Indicadores_Economicos!D$2+1)^(1/12)-1))</f>
        <v>119506.08618491942</v>
      </c>
      <c r="Z564" s="18">
        <f t="shared" ca="1" si="71"/>
        <v>36596960.971309982</v>
      </c>
      <c r="AA564" s="18">
        <f ca="1">Auxiliar_Projetos!E564</f>
        <v>2.4542775721265226E-9</v>
      </c>
      <c r="AB564" s="18">
        <f ca="1">Auxiliar_Projetos!K564</f>
        <v>1.8879058247127076E-9</v>
      </c>
      <c r="AC564" s="18">
        <f ca="1">IF(Z564-AA564-AB564&gt;Investimentos!$C$14,Investimentos!$C$14,IF(Z564-AA564-AB564&lt;Investimentos!$C$14,Z564-AA564-AB564,0))</f>
        <v>300000</v>
      </c>
      <c r="AD564" s="18">
        <f t="shared" ca="1" si="72"/>
        <v>36296960.971309982</v>
      </c>
      <c r="AE564" s="18"/>
    </row>
    <row r="565" spans="1:31" x14ac:dyDescent="0.2">
      <c r="A565" s="4">
        <v>62793</v>
      </c>
      <c r="B565" s="5" t="str">
        <f t="shared" si="68"/>
        <v>dezembro</v>
      </c>
      <c r="C565" s="5" t="str">
        <f t="shared" si="74"/>
        <v>2071</v>
      </c>
      <c r="D565" s="5">
        <f>SUMIFS(Despesas!$F:$F,Despesas!$J:$J,"&lt;="&amp;$A565,Despesas!$L:$L,"&gt;="&amp;$A565,Despesas!$C:$C,D$1,Despesas!$M:$M,"Mensal")+SUMIFS(Despesas!$F:$F,Despesas!$J:$J,"&lt;="&amp;$A565,Despesas!$L:$L,"&gt;="&amp;$A565,Despesas!$C:$C,D$1,Despesas!$M:$M,$B565)</f>
        <v>23000</v>
      </c>
      <c r="E565" s="18">
        <f>SUMIFS(Despesas!$F:$F,Despesas!$J:$J,"&lt;="&amp;$A565,Despesas!$L:$L,"&gt;="&amp;$A565,Despesas!$C:$C,E$1,Despesas!$M:$M,"Mensal")+SUMIFS(Despesas!$F:$F,Despesas!$J:$J,"&lt;="&amp;$A565,Despesas!$L:$L,"&gt;="&amp;$A565,Despesas!$C:$C,E$1,Despesas!$M:$M,$B565)</f>
        <v>0</v>
      </c>
      <c r="F565" s="5">
        <f>SUMIFS(Despesas!$F:$F,Despesas!$J:$J,"&lt;="&amp;$A565,Despesas!$L:$L,"&gt;="&amp;$A565,Despesas!$C:$C,F$1,Despesas!$M:$M,"Mensal")+SUMIFS(Despesas!$F:$F,Despesas!$J:$J,"&lt;="&amp;$A565,Despesas!$L:$L,"&gt;="&amp;$A565,Despesas!$C:$C,F$1,Despesas!$M:$M,$B565)</f>
        <v>13000</v>
      </c>
      <c r="G565" s="5">
        <f ca="1">SUMIFS(Despesas!$F:$F,Despesas!$J:$J,"&lt;="&amp;$A565,Despesas!$L:$L,"&gt;="&amp;$A565,Despesas!$C:$C,G$1,Despesas!$M:$M,"Mensal")+SUMIFS(Despesas!$F:$F,Despesas!$J:$J,"&lt;="&amp;$A565,Despesas!$L:$L,"&gt;="&amp;$A565,Despesas!$C:$C,G$1,Despesas!$M:$M,$B565)</f>
        <v>55757</v>
      </c>
      <c r="H565" s="18">
        <f>SUMIFS(Despesas!$F:$F,Despesas!$J:$J,"&lt;="&amp;$A565,Despesas!$L:$L,"&gt;="&amp;$A565,Despesas!$C:$C,H$1,Despesas!$M:$M,"Mensal")+SUMIFS(Despesas!$F:$F,Despesas!$J:$J,"&lt;="&amp;$A565,Despesas!$L:$L,"&gt;="&amp;$A565,Despesas!$C:$C,H$1,Despesas!$M:$M,$B565)</f>
        <v>1000</v>
      </c>
      <c r="I565" s="18">
        <f>IF(Imóveis!$F$2="PRICE",IF(AND(Dados!$A565&gt;=Imóveis!$Q$2,Dados!$A565&lt;=Imóveis!$T$2),Imóveis!$U$2,0),IF((IF(AND(Dados!$A565&gt;=Imóveis!$Q$2,Dados!$A565&lt;=Imóveis!$T$2),Imóveis!$S$2-(DATEDIF(Imóveis!$Q$2,Dados!$A565,"m")),0))=0,0,((Imóveis!$N$2/Imóveis!$S$2)+((Imóveis!$N$2-((Imóveis!$S$2-(IF(AND(Dados!$A565&gt;=Imóveis!$Q$2,Dados!$A565&lt;=Imóveis!$T$2),Imóveis!$S$2-(DATEDIF(Imóveis!$Q$2,Dados!$A565,"m")),)))*(Imóveis!$N$2/Imóveis!$S$2)))*Imóveis!$P$2))))*IF(AND(Imóveis!$E$2&gt;0,Dados!$A565&gt;Imóveis!$E$2),0,1)</f>
        <v>0</v>
      </c>
      <c r="J565" s="18">
        <f>IF(Imóveis!$F$3="PRICE",IF(AND(Dados!$A565&gt;=Imóveis!$Q$3,Dados!$A565&lt;=Imóveis!$T$3),Imóveis!$U$3,0),IF((IF(AND(Dados!$A565&gt;=Imóveis!$Q$3,Dados!$A565&lt;=Imóveis!$T$3),Imóveis!$S$3-(DATEDIF(Imóveis!$Q$3,Dados!$A565,"m")),0))=0,0,((Imóveis!$N$3/Imóveis!$S$3)+((Imóveis!$N$3-((Imóveis!$S$3-(IF(AND(Dados!$A565&gt;=Imóveis!$Q$3,Dados!$A565&lt;=Imóveis!$T$3),Imóveis!$S$3-(DATEDIF(Imóveis!$Q$3,Dados!$A565,"m")),)))*(Imóveis!$N$3/Imóveis!$S$3)))*Imóveis!$P$3))))*IF(AND(Imóveis!$E$3&gt;0,Dados!$A565&gt;Imóveis!$E$3),0,1)</f>
        <v>0</v>
      </c>
      <c r="K565" s="18">
        <f>IF(Imóveis!$F$4="PRICE",IF(AND(Dados!$A565&gt;=Imóveis!$Q$4,Dados!$A565&lt;=Imóveis!$T$4),Imóveis!$U$4,0),IF((IF(AND(Dados!$A565&gt;=Imóveis!$Q$4,Dados!$A565&lt;=Imóveis!$T$4),Imóveis!$S$4-(DATEDIF(Imóveis!$Q$4,Dados!$A565,"m")),0))=0,0,((Imóveis!$N$4/Imóveis!$S$4)+((Imóveis!$N$4-((Imóveis!$S$4-(IF(AND(Dados!$A565&gt;=Imóveis!$Q$4,Dados!$A565&lt;=Imóveis!$T$4),Imóveis!$S$4-(DATEDIF(Imóveis!$Q$4,Dados!$A565,"m")),)))*(Imóveis!$N$4/Imóveis!$S$4)))*Imóveis!$P$4))))*IF(AND(Imóveis!$E$4&gt;0,Dados!$A565&gt;Imóveis!$E$4),0,1)</f>
        <v>0</v>
      </c>
      <c r="L565" s="18">
        <f>IF(Imóveis!$F$5="PRICE",IF(AND(Dados!$A565&gt;=Imóveis!$Q$5,Dados!$A565&lt;=Imóveis!$T$5),Imóveis!$U$5,0),IF((IF(AND(Dados!$A565&gt;=Imóveis!$Q$5,Dados!$A565&lt;=Imóveis!$T$5),Imóveis!$S$5-(DATEDIF(Imóveis!$Q$5,Dados!$A565,"m")),0))=0,0,((Imóveis!$N$5/Imóveis!$S$5)+((Imóveis!$N$5-((Imóveis!$S$5-(IF(AND(Dados!$A565 &gt;=Imóveis!$Q$5,Dados!$A565&lt;=Imóveis!$T$5),Imóveis!$S$5-(DATEDIF(Imóveis!$Q$5,Dados!$A565,"m")),)))*(Imóveis!$N$5/Imóveis!$S$5)))*Imóveis!$P$5))))*IF(AND(Imóveis!$E$5&gt;0,Dados!$A565&gt;Imóveis!$E$5),0,1)*Imóveis!$I$5</f>
        <v>0</v>
      </c>
      <c r="M565" s="18">
        <f>IF(Imóveis!$F$6="PRICE",IF(AND(Dados!$A565&gt;=Imóveis!$Q$6,Dados!$A565&lt;=Imóveis!$T$6),Imóveis!$U$6,0),IF((IF(AND(Dados!$A565&gt;=Imóveis!$Q$6,Dados!$A565&lt;=Imóveis!$T$6),Imóveis!$S$6-(DATEDIF(Imóveis!$Q$6,Dados!$A565,"m")),0))=0,0,((Imóveis!$N$6/Imóveis!$S$6)+((Imóveis!$N$6-((Imóveis!$S$6-(IF(AND(Dados!$A565&gt;=Imóveis!$Q$6,Dados!$A565&lt;=Imóveis!$T$6),Imóveis!$S$6-(DATEDIF(Imóveis!$Q$6,Dados!$A565,"m")),)))*(Imóveis!$N$6/Imóveis!$S$6)))*Imóveis!$P$6))))*IF(AND(Imóveis!$E$6&gt;0,Dados!$A565&gt;Imóveis!$E$6),0,1)*Imóveis!$I$6</f>
        <v>0</v>
      </c>
      <c r="N565" s="18">
        <f t="shared" ca="1" si="69"/>
        <v>92757</v>
      </c>
      <c r="O565" s="18">
        <f>SUMIFS(Receitas!$F:$F,Receitas!$J:$J,"&lt;="&amp;$A565,Receitas!$L:$L,"&gt;="&amp;$A565,Receitas!$C:$C,O$1,Receitas!$M:$M,"Mensal")+SUMIFS(Receitas!$F:$F,Receitas!$J:$J,"&lt;="&amp;$A565,Receitas!$L:$L,"&gt;="&amp;$A565,Receitas!$C:$C,O$1,Receitas!$M:$M,$B565)</f>
        <v>0</v>
      </c>
      <c r="P565" s="18">
        <f>SUMIFS(Receitas!$F:$F,Receitas!$J:$J,"&lt;="&amp;$A565,Receitas!$L:$L,"&gt;="&amp;$A565,Receitas!$C:$C,P$1,Receitas!$M:$M,"Mensal")+SUMIFS(Receitas!$F:$F,Receitas!$J:$J,"&lt;="&amp;$A565,Receitas!$L:$L,"&gt;="&amp;$A565,Receitas!$C:$C,P$1,Receitas!$M:$M,$B565)</f>
        <v>0</v>
      </c>
      <c r="Q565" s="18">
        <f>SUMIFS(Receitas!$F:$F,Receitas!$J:$J,"&lt;="&amp;$A565,Receitas!$L:$L,"&gt;="&amp;$A565,Receitas!$C:$C,Q$1,Receitas!$M:$M,"Mensal")+SUMIFS(Receitas!$F:$F,Receitas!$J:$J,"&lt;="&amp;$A565,Receitas!$L:$L,"&gt;="&amp;$A565,Receitas!$C:$C,Q$1,Receitas!$M:$M,$B565)</f>
        <v>0</v>
      </c>
      <c r="R565" s="18" cm="1">
        <f t="array" ref="R565">(IF(AND(Membros!$F$2="Sim",A565&lt;=MAX(Membros!$E$2:$E$5)),Membros!K$2,IF(AND(A565&gt;=Membros!J$2,A565&lt;=MAX(Membros!$E$2:$E$5)),Membros!K$2,0))+IF(AND(Membros!$F$3="Sim",A565&lt;=MAX(Membros!$E$2:$E$5)),Membros!K$3,IF(AND(A565&gt;=Membros!J$3,A565&lt;=MAX(Membros!$E$2:$E$5)),Membros!K$3,0)))*IF(AND(COUNTIFS(Tabela3[Tipo],"Provedor",Tabela3[Simulação Seguro],"Sim")=2,A565&gt;=MAX(IF(Tabela3[Tipo]="Dependente",Tabela3[Expectativa de Vida (Data)]))),0,1)</f>
        <v>10000</v>
      </c>
      <c r="S565" s="18">
        <f t="shared" si="70"/>
        <v>10000</v>
      </c>
      <c r="U565" s="18">
        <f t="shared" ca="1" si="73"/>
        <v>36596960.971309982</v>
      </c>
      <c r="V565" s="18">
        <f>SUMIF(Imóveis!E:E,Dados!A:A,Imóveis!Z:Z)-SUMIF(Imóveis!E:E,Dados!A:A,Imóveis!Y:Y)</f>
        <v>0</v>
      </c>
      <c r="W565" s="18">
        <f>-SUMIF(Projetos!N:N,A565,Projetos!F:F)</f>
        <v>0</v>
      </c>
      <c r="X565" s="18">
        <f t="shared" ca="1" si="67"/>
        <v>-82757</v>
      </c>
      <c r="Y565" s="26">
        <f ca="1">(U565*((Indicadores_Economicos!D$2+1)^(1/12)-1))</f>
        <v>119808.92703935852</v>
      </c>
      <c r="Z565" s="18">
        <f t="shared" ca="1" si="71"/>
        <v>36634012.898349337</v>
      </c>
      <c r="AA565" s="18">
        <f ca="1">Auxiliar_Projetos!E565</f>
        <v>2.4623122382509518E-9</v>
      </c>
      <c r="AB565" s="18">
        <f ca="1">Auxiliar_Projetos!K565</f>
        <v>1.8940863371161145E-9</v>
      </c>
      <c r="AC565" s="18">
        <f ca="1">IF(Z565-AA565-AB565&gt;Investimentos!$C$14,Investimentos!$C$14,IF(Z565-AA565-AB565&lt;Investimentos!$C$14,Z565-AA565-AB565,0))</f>
        <v>300000</v>
      </c>
      <c r="AD565" s="18">
        <f t="shared" ca="1" si="72"/>
        <v>36334012.898349337</v>
      </c>
      <c r="AE565" s="18"/>
    </row>
    <row r="566" spans="1:31" x14ac:dyDescent="0.2">
      <c r="A566" s="4">
        <v>62824</v>
      </c>
      <c r="B566" s="5" t="str">
        <f t="shared" si="68"/>
        <v>janeiro</v>
      </c>
      <c r="C566" s="5" t="str">
        <f t="shared" si="74"/>
        <v>2072</v>
      </c>
      <c r="D566" s="5">
        <f>SUMIFS(Despesas!$F:$F,Despesas!$J:$J,"&lt;="&amp;$A566,Despesas!$L:$L,"&gt;="&amp;$A566,Despesas!$C:$C,D$1,Despesas!$M:$M,"Mensal")+SUMIFS(Despesas!$F:$F,Despesas!$J:$J,"&lt;="&amp;$A566,Despesas!$L:$L,"&gt;="&amp;$A566,Despesas!$C:$C,D$1,Despesas!$M:$M,$B566)</f>
        <v>23000</v>
      </c>
      <c r="E566" s="18">
        <f>SUMIFS(Despesas!$F:$F,Despesas!$J:$J,"&lt;="&amp;$A566,Despesas!$L:$L,"&gt;="&amp;$A566,Despesas!$C:$C,E$1,Despesas!$M:$M,"Mensal")+SUMIFS(Despesas!$F:$F,Despesas!$J:$J,"&lt;="&amp;$A566,Despesas!$L:$L,"&gt;="&amp;$A566,Despesas!$C:$C,E$1,Despesas!$M:$M,$B566)</f>
        <v>0</v>
      </c>
      <c r="F566" s="5">
        <f>SUMIFS(Despesas!$F:$F,Despesas!$J:$J,"&lt;="&amp;$A566,Despesas!$L:$L,"&gt;="&amp;$A566,Despesas!$C:$C,F$1,Despesas!$M:$M,"Mensal")+SUMIFS(Despesas!$F:$F,Despesas!$J:$J,"&lt;="&amp;$A566,Despesas!$L:$L,"&gt;="&amp;$A566,Despesas!$C:$C,F$1,Despesas!$M:$M,$B566)</f>
        <v>13000</v>
      </c>
      <c r="G566" s="5">
        <f>SUMIFS(Despesas!$F:$F,Despesas!$J:$J,"&lt;="&amp;$A566,Despesas!$L:$L,"&gt;="&amp;$A566,Despesas!$C:$C,G$1,Despesas!$M:$M,"Mensal")+SUMIFS(Despesas!$F:$F,Despesas!$J:$J,"&lt;="&amp;$A566,Despesas!$L:$L,"&gt;="&amp;$A566,Despesas!$C:$C,G$1,Despesas!$M:$M,$B566)</f>
        <v>0</v>
      </c>
      <c r="H566" s="18">
        <f>SUMIFS(Despesas!$F:$F,Despesas!$J:$J,"&lt;="&amp;$A566,Despesas!$L:$L,"&gt;="&amp;$A566,Despesas!$C:$C,H$1,Despesas!$M:$M,"Mensal")+SUMIFS(Despesas!$F:$F,Despesas!$J:$J,"&lt;="&amp;$A566,Despesas!$L:$L,"&gt;="&amp;$A566,Despesas!$C:$C,H$1,Despesas!$M:$M,$B566)</f>
        <v>1000</v>
      </c>
      <c r="I566" s="18">
        <f>IF(Imóveis!$F$2="PRICE",IF(AND(Dados!$A566&gt;=Imóveis!$Q$2,Dados!$A566&lt;=Imóveis!$T$2),Imóveis!$U$2,0),IF((IF(AND(Dados!$A566&gt;=Imóveis!$Q$2,Dados!$A566&lt;=Imóveis!$T$2),Imóveis!$S$2-(DATEDIF(Imóveis!$Q$2,Dados!$A566,"m")),0))=0,0,((Imóveis!$N$2/Imóveis!$S$2)+((Imóveis!$N$2-((Imóveis!$S$2-(IF(AND(Dados!$A566&gt;=Imóveis!$Q$2,Dados!$A566&lt;=Imóveis!$T$2),Imóveis!$S$2-(DATEDIF(Imóveis!$Q$2,Dados!$A566,"m")),)))*(Imóveis!$N$2/Imóveis!$S$2)))*Imóveis!$P$2))))*IF(AND(Imóveis!$E$2&gt;0,Dados!$A566&gt;Imóveis!$E$2),0,1)</f>
        <v>0</v>
      </c>
      <c r="J566" s="18">
        <f>IF(Imóveis!$F$3="PRICE",IF(AND(Dados!$A566&gt;=Imóveis!$Q$3,Dados!$A566&lt;=Imóveis!$T$3),Imóveis!$U$3,0),IF((IF(AND(Dados!$A566&gt;=Imóveis!$Q$3,Dados!$A566&lt;=Imóveis!$T$3),Imóveis!$S$3-(DATEDIF(Imóveis!$Q$3,Dados!$A566,"m")),0))=0,0,((Imóveis!$N$3/Imóveis!$S$3)+((Imóveis!$N$3-((Imóveis!$S$3-(IF(AND(Dados!$A566&gt;=Imóveis!$Q$3,Dados!$A566&lt;=Imóveis!$T$3),Imóveis!$S$3-(DATEDIF(Imóveis!$Q$3,Dados!$A566,"m")),)))*(Imóveis!$N$3/Imóveis!$S$3)))*Imóveis!$P$3))))*IF(AND(Imóveis!$E$3&gt;0,Dados!$A566&gt;Imóveis!$E$3),0,1)</f>
        <v>0</v>
      </c>
      <c r="K566" s="18">
        <f>IF(Imóveis!$F$4="PRICE",IF(AND(Dados!$A566&gt;=Imóveis!$Q$4,Dados!$A566&lt;=Imóveis!$T$4),Imóveis!$U$4,0),IF((IF(AND(Dados!$A566&gt;=Imóveis!$Q$4,Dados!$A566&lt;=Imóveis!$T$4),Imóveis!$S$4-(DATEDIF(Imóveis!$Q$4,Dados!$A566,"m")),0))=0,0,((Imóveis!$N$4/Imóveis!$S$4)+((Imóveis!$N$4-((Imóveis!$S$4-(IF(AND(Dados!$A566&gt;=Imóveis!$Q$4,Dados!$A566&lt;=Imóveis!$T$4),Imóveis!$S$4-(DATEDIF(Imóveis!$Q$4,Dados!$A566,"m")),)))*(Imóveis!$N$4/Imóveis!$S$4)))*Imóveis!$P$4))))*IF(AND(Imóveis!$E$4&gt;0,Dados!$A566&gt;Imóveis!$E$4),0,1)</f>
        <v>0</v>
      </c>
      <c r="L566" s="18">
        <f>IF(Imóveis!$F$5="PRICE",IF(AND(Dados!$A566&gt;=Imóveis!$Q$5,Dados!$A566&lt;=Imóveis!$T$5),Imóveis!$U$5,0),IF((IF(AND(Dados!$A566&gt;=Imóveis!$Q$5,Dados!$A566&lt;=Imóveis!$T$5),Imóveis!$S$5-(DATEDIF(Imóveis!$Q$5,Dados!$A566,"m")),0))=0,0,((Imóveis!$N$5/Imóveis!$S$5)+((Imóveis!$N$5-((Imóveis!$S$5-(IF(AND(Dados!$A566 &gt;=Imóveis!$Q$5,Dados!$A566&lt;=Imóveis!$T$5),Imóveis!$S$5-(DATEDIF(Imóveis!$Q$5,Dados!$A566,"m")),)))*(Imóveis!$N$5/Imóveis!$S$5)))*Imóveis!$P$5))))*IF(AND(Imóveis!$E$5&gt;0,Dados!$A566&gt;Imóveis!$E$5),0,1)*Imóveis!$I$5</f>
        <v>0</v>
      </c>
      <c r="M566" s="18">
        <f>IF(Imóveis!$F$6="PRICE",IF(AND(Dados!$A566&gt;=Imóveis!$Q$6,Dados!$A566&lt;=Imóveis!$T$6),Imóveis!$U$6,0),IF((IF(AND(Dados!$A566&gt;=Imóveis!$Q$6,Dados!$A566&lt;=Imóveis!$T$6),Imóveis!$S$6-(DATEDIF(Imóveis!$Q$6,Dados!$A566,"m")),0))=0,0,((Imóveis!$N$6/Imóveis!$S$6)+((Imóveis!$N$6-((Imóveis!$S$6-(IF(AND(Dados!$A566&gt;=Imóveis!$Q$6,Dados!$A566&lt;=Imóveis!$T$6),Imóveis!$S$6-(DATEDIF(Imóveis!$Q$6,Dados!$A566,"m")),)))*(Imóveis!$N$6/Imóveis!$S$6)))*Imóveis!$P$6))))*IF(AND(Imóveis!$E$6&gt;0,Dados!$A566&gt;Imóveis!$E$6),0,1)*Imóveis!$I$6</f>
        <v>0</v>
      </c>
      <c r="N566" s="18">
        <f t="shared" si="69"/>
        <v>37000</v>
      </c>
      <c r="O566" s="18">
        <f>SUMIFS(Receitas!$F:$F,Receitas!$J:$J,"&lt;="&amp;$A566,Receitas!$L:$L,"&gt;="&amp;$A566,Receitas!$C:$C,O$1,Receitas!$M:$M,"Mensal")+SUMIFS(Receitas!$F:$F,Receitas!$J:$J,"&lt;="&amp;$A566,Receitas!$L:$L,"&gt;="&amp;$A566,Receitas!$C:$C,O$1,Receitas!$M:$M,$B566)</f>
        <v>0</v>
      </c>
      <c r="P566" s="18">
        <f>SUMIFS(Receitas!$F:$F,Receitas!$J:$J,"&lt;="&amp;$A566,Receitas!$L:$L,"&gt;="&amp;$A566,Receitas!$C:$C,P$1,Receitas!$M:$M,"Mensal")+SUMIFS(Receitas!$F:$F,Receitas!$J:$J,"&lt;="&amp;$A566,Receitas!$L:$L,"&gt;="&amp;$A566,Receitas!$C:$C,P$1,Receitas!$M:$M,$B566)</f>
        <v>0</v>
      </c>
      <c r="Q566" s="18">
        <f>SUMIFS(Receitas!$F:$F,Receitas!$J:$J,"&lt;="&amp;$A566,Receitas!$L:$L,"&gt;="&amp;$A566,Receitas!$C:$C,Q$1,Receitas!$M:$M,"Mensal")+SUMIFS(Receitas!$F:$F,Receitas!$J:$J,"&lt;="&amp;$A566,Receitas!$L:$L,"&gt;="&amp;$A566,Receitas!$C:$C,Q$1,Receitas!$M:$M,$B566)</f>
        <v>0</v>
      </c>
      <c r="R566" s="18" cm="1">
        <f t="array" ref="R566">(IF(AND(Membros!$F$2="Sim",A566&lt;=MAX(Membros!$E$2:$E$5)),Membros!K$2,IF(AND(A566&gt;=Membros!J$2,A566&lt;=MAX(Membros!$E$2:$E$5)),Membros!K$2,0))+IF(AND(Membros!$F$3="Sim",A566&lt;=MAX(Membros!$E$2:$E$5)),Membros!K$3,IF(AND(A566&gt;=Membros!J$3,A566&lt;=MAX(Membros!$E$2:$E$5)),Membros!K$3,0)))*IF(AND(COUNTIFS(Tabela3[Tipo],"Provedor",Tabela3[Simulação Seguro],"Sim")=2,A566&gt;=MAX(IF(Tabela3[Tipo]="Dependente",Tabela3[Expectativa de Vida (Data)]))),0,1)</f>
        <v>10000</v>
      </c>
      <c r="S566" s="18">
        <f t="shared" si="70"/>
        <v>10000</v>
      </c>
      <c r="U566" s="18">
        <f t="shared" ca="1" si="73"/>
        <v>36634012.898349337</v>
      </c>
      <c r="V566" s="18">
        <f>SUMIF(Imóveis!E:E,Dados!A:A,Imóveis!Z:Z)-SUMIF(Imóveis!E:E,Dados!A:A,Imóveis!Y:Y)</f>
        <v>0</v>
      </c>
      <c r="W566" s="18">
        <f>-SUMIF(Projetos!N:N,A566,Projetos!F:F)</f>
        <v>0</v>
      </c>
      <c r="X566" s="18">
        <f t="shared" si="67"/>
        <v>-27000</v>
      </c>
      <c r="Y566" s="26">
        <f ca="1">(U566*((Indicadores_Economicos!D$2+1)^(1/12)-1))</f>
        <v>119930.22540691438</v>
      </c>
      <c r="Z566" s="18">
        <f t="shared" ca="1" si="71"/>
        <v>36726943.123756252</v>
      </c>
      <c r="AA566" s="18">
        <f ca="1">Auxiliar_Projetos!E566</f>
        <v>2.4703732077815091E-9</v>
      </c>
      <c r="AB566" s="18">
        <f ca="1">Auxiliar_Projetos!K566</f>
        <v>1.900287082908851E-9</v>
      </c>
      <c r="AC566" s="18">
        <f ca="1">IF(Z566-AA566-AB566&gt;Investimentos!$C$14,Investimentos!$C$14,IF(Z566-AA566-AB566&lt;Investimentos!$C$14,Z566-AA566-AB566,0))</f>
        <v>300000</v>
      </c>
      <c r="AD566" s="18">
        <f t="shared" ca="1" si="72"/>
        <v>36426943.123756252</v>
      </c>
      <c r="AE566" s="18"/>
    </row>
    <row r="567" spans="1:31" x14ac:dyDescent="0.2">
      <c r="A567" s="4">
        <v>62855</v>
      </c>
      <c r="B567" s="5" t="str">
        <f t="shared" si="68"/>
        <v>fevereiro</v>
      </c>
      <c r="C567" s="5" t="str">
        <f t="shared" si="74"/>
        <v>2072</v>
      </c>
      <c r="D567" s="5">
        <f>SUMIFS(Despesas!$F:$F,Despesas!$J:$J,"&lt;="&amp;$A567,Despesas!$L:$L,"&gt;="&amp;$A567,Despesas!$C:$C,D$1,Despesas!$M:$M,"Mensal")+SUMIFS(Despesas!$F:$F,Despesas!$J:$J,"&lt;="&amp;$A567,Despesas!$L:$L,"&gt;="&amp;$A567,Despesas!$C:$C,D$1,Despesas!$M:$M,$B567)</f>
        <v>23000</v>
      </c>
      <c r="E567" s="18">
        <f>SUMIFS(Despesas!$F:$F,Despesas!$J:$J,"&lt;="&amp;$A567,Despesas!$L:$L,"&gt;="&amp;$A567,Despesas!$C:$C,E$1,Despesas!$M:$M,"Mensal")+SUMIFS(Despesas!$F:$F,Despesas!$J:$J,"&lt;="&amp;$A567,Despesas!$L:$L,"&gt;="&amp;$A567,Despesas!$C:$C,E$1,Despesas!$M:$M,$B567)</f>
        <v>0</v>
      </c>
      <c r="F567" s="5">
        <f>SUMIFS(Despesas!$F:$F,Despesas!$J:$J,"&lt;="&amp;$A567,Despesas!$L:$L,"&gt;="&amp;$A567,Despesas!$C:$C,F$1,Despesas!$M:$M,"Mensal")+SUMIFS(Despesas!$F:$F,Despesas!$J:$J,"&lt;="&amp;$A567,Despesas!$L:$L,"&gt;="&amp;$A567,Despesas!$C:$C,F$1,Despesas!$M:$M,$B567)</f>
        <v>13000</v>
      </c>
      <c r="G567" s="5">
        <f>SUMIFS(Despesas!$F:$F,Despesas!$J:$J,"&lt;="&amp;$A567,Despesas!$L:$L,"&gt;="&amp;$A567,Despesas!$C:$C,G$1,Despesas!$M:$M,"Mensal")+SUMIFS(Despesas!$F:$F,Despesas!$J:$J,"&lt;="&amp;$A567,Despesas!$L:$L,"&gt;="&amp;$A567,Despesas!$C:$C,G$1,Despesas!$M:$M,$B567)</f>
        <v>0</v>
      </c>
      <c r="H567" s="18">
        <f>SUMIFS(Despesas!$F:$F,Despesas!$J:$J,"&lt;="&amp;$A567,Despesas!$L:$L,"&gt;="&amp;$A567,Despesas!$C:$C,H$1,Despesas!$M:$M,"Mensal")+SUMIFS(Despesas!$F:$F,Despesas!$J:$J,"&lt;="&amp;$A567,Despesas!$L:$L,"&gt;="&amp;$A567,Despesas!$C:$C,H$1,Despesas!$M:$M,$B567)</f>
        <v>2200</v>
      </c>
      <c r="I567" s="18">
        <f>IF(Imóveis!$F$2="PRICE",IF(AND(Dados!$A567&gt;=Imóveis!$Q$2,Dados!$A567&lt;=Imóveis!$T$2),Imóveis!$U$2,0),IF((IF(AND(Dados!$A567&gt;=Imóveis!$Q$2,Dados!$A567&lt;=Imóveis!$T$2),Imóveis!$S$2-(DATEDIF(Imóveis!$Q$2,Dados!$A567,"m")),0))=0,0,((Imóveis!$N$2/Imóveis!$S$2)+((Imóveis!$N$2-((Imóveis!$S$2-(IF(AND(Dados!$A567&gt;=Imóveis!$Q$2,Dados!$A567&lt;=Imóveis!$T$2),Imóveis!$S$2-(DATEDIF(Imóveis!$Q$2,Dados!$A567,"m")),)))*(Imóveis!$N$2/Imóveis!$S$2)))*Imóveis!$P$2))))*IF(AND(Imóveis!$E$2&gt;0,Dados!$A567&gt;Imóveis!$E$2),0,1)</f>
        <v>0</v>
      </c>
      <c r="J567" s="18">
        <f>IF(Imóveis!$F$3="PRICE",IF(AND(Dados!$A567&gt;=Imóveis!$Q$3,Dados!$A567&lt;=Imóveis!$T$3),Imóveis!$U$3,0),IF((IF(AND(Dados!$A567&gt;=Imóveis!$Q$3,Dados!$A567&lt;=Imóveis!$T$3),Imóveis!$S$3-(DATEDIF(Imóveis!$Q$3,Dados!$A567,"m")),0))=0,0,((Imóveis!$N$3/Imóveis!$S$3)+((Imóveis!$N$3-((Imóveis!$S$3-(IF(AND(Dados!$A567&gt;=Imóveis!$Q$3,Dados!$A567&lt;=Imóveis!$T$3),Imóveis!$S$3-(DATEDIF(Imóveis!$Q$3,Dados!$A567,"m")),)))*(Imóveis!$N$3/Imóveis!$S$3)))*Imóveis!$P$3))))*IF(AND(Imóveis!$E$3&gt;0,Dados!$A567&gt;Imóveis!$E$3),0,1)</f>
        <v>0</v>
      </c>
      <c r="K567" s="18">
        <f>IF(Imóveis!$F$4="PRICE",IF(AND(Dados!$A567&gt;=Imóveis!$Q$4,Dados!$A567&lt;=Imóveis!$T$4),Imóveis!$U$4,0),IF((IF(AND(Dados!$A567&gt;=Imóveis!$Q$4,Dados!$A567&lt;=Imóveis!$T$4),Imóveis!$S$4-(DATEDIF(Imóveis!$Q$4,Dados!$A567,"m")),0))=0,0,((Imóveis!$N$4/Imóveis!$S$4)+((Imóveis!$N$4-((Imóveis!$S$4-(IF(AND(Dados!$A567&gt;=Imóveis!$Q$4,Dados!$A567&lt;=Imóveis!$T$4),Imóveis!$S$4-(DATEDIF(Imóveis!$Q$4,Dados!$A567,"m")),)))*(Imóveis!$N$4/Imóveis!$S$4)))*Imóveis!$P$4))))*IF(AND(Imóveis!$E$4&gt;0,Dados!$A567&gt;Imóveis!$E$4),0,1)</f>
        <v>0</v>
      </c>
      <c r="L567" s="18">
        <f>IF(Imóveis!$F$5="PRICE",IF(AND(Dados!$A567&gt;=Imóveis!$Q$5,Dados!$A567&lt;=Imóveis!$T$5),Imóveis!$U$5,0),IF((IF(AND(Dados!$A567&gt;=Imóveis!$Q$5,Dados!$A567&lt;=Imóveis!$T$5),Imóveis!$S$5-(DATEDIF(Imóveis!$Q$5,Dados!$A567,"m")),0))=0,0,((Imóveis!$N$5/Imóveis!$S$5)+((Imóveis!$N$5-((Imóveis!$S$5-(IF(AND(Dados!$A567 &gt;=Imóveis!$Q$5,Dados!$A567&lt;=Imóveis!$T$5),Imóveis!$S$5-(DATEDIF(Imóveis!$Q$5,Dados!$A567,"m")),)))*(Imóveis!$N$5/Imóveis!$S$5)))*Imóveis!$P$5))))*IF(AND(Imóveis!$E$5&gt;0,Dados!$A567&gt;Imóveis!$E$5),0,1)*Imóveis!$I$5</f>
        <v>0</v>
      </c>
      <c r="M567" s="18">
        <f>IF(Imóveis!$F$6="PRICE",IF(AND(Dados!$A567&gt;=Imóveis!$Q$6,Dados!$A567&lt;=Imóveis!$T$6),Imóveis!$U$6,0),IF((IF(AND(Dados!$A567&gt;=Imóveis!$Q$6,Dados!$A567&lt;=Imóveis!$T$6),Imóveis!$S$6-(DATEDIF(Imóveis!$Q$6,Dados!$A567,"m")),0))=0,0,((Imóveis!$N$6/Imóveis!$S$6)+((Imóveis!$N$6-((Imóveis!$S$6-(IF(AND(Dados!$A567&gt;=Imóveis!$Q$6,Dados!$A567&lt;=Imóveis!$T$6),Imóveis!$S$6-(DATEDIF(Imóveis!$Q$6,Dados!$A567,"m")),)))*(Imóveis!$N$6/Imóveis!$S$6)))*Imóveis!$P$6))))*IF(AND(Imóveis!$E$6&gt;0,Dados!$A567&gt;Imóveis!$E$6),0,1)*Imóveis!$I$6</f>
        <v>0</v>
      </c>
      <c r="N567" s="18">
        <f t="shared" si="69"/>
        <v>38200</v>
      </c>
      <c r="O567" s="18">
        <f>SUMIFS(Receitas!$F:$F,Receitas!$J:$J,"&lt;="&amp;$A567,Receitas!$L:$L,"&gt;="&amp;$A567,Receitas!$C:$C,O$1,Receitas!$M:$M,"Mensal")+SUMIFS(Receitas!$F:$F,Receitas!$J:$J,"&lt;="&amp;$A567,Receitas!$L:$L,"&gt;="&amp;$A567,Receitas!$C:$C,O$1,Receitas!$M:$M,$B567)</f>
        <v>0</v>
      </c>
      <c r="P567" s="18">
        <f>SUMIFS(Receitas!$F:$F,Receitas!$J:$J,"&lt;="&amp;$A567,Receitas!$L:$L,"&gt;="&amp;$A567,Receitas!$C:$C,P$1,Receitas!$M:$M,"Mensal")+SUMIFS(Receitas!$F:$F,Receitas!$J:$J,"&lt;="&amp;$A567,Receitas!$L:$L,"&gt;="&amp;$A567,Receitas!$C:$C,P$1,Receitas!$M:$M,$B567)</f>
        <v>0</v>
      </c>
      <c r="Q567" s="18">
        <f>SUMIFS(Receitas!$F:$F,Receitas!$J:$J,"&lt;="&amp;$A567,Receitas!$L:$L,"&gt;="&amp;$A567,Receitas!$C:$C,Q$1,Receitas!$M:$M,"Mensal")+SUMIFS(Receitas!$F:$F,Receitas!$J:$J,"&lt;="&amp;$A567,Receitas!$L:$L,"&gt;="&amp;$A567,Receitas!$C:$C,Q$1,Receitas!$M:$M,$B567)</f>
        <v>0</v>
      </c>
      <c r="R567" s="18" cm="1">
        <f t="array" ref="R567">(IF(AND(Membros!$F$2="Sim",A567&lt;=MAX(Membros!$E$2:$E$5)),Membros!K$2,IF(AND(A567&gt;=Membros!J$2,A567&lt;=MAX(Membros!$E$2:$E$5)),Membros!K$2,0))+IF(AND(Membros!$F$3="Sim",A567&lt;=MAX(Membros!$E$2:$E$5)),Membros!K$3,IF(AND(A567&gt;=Membros!J$3,A567&lt;=MAX(Membros!$E$2:$E$5)),Membros!K$3,0)))*IF(AND(COUNTIFS(Tabela3[Tipo],"Provedor",Tabela3[Simulação Seguro],"Sim")=2,A567&gt;=MAX(IF(Tabela3[Tipo]="Dependente",Tabela3[Expectativa de Vida (Data)]))),0,1)</f>
        <v>10000</v>
      </c>
      <c r="S567" s="18">
        <f t="shared" si="70"/>
        <v>10000</v>
      </c>
      <c r="U567" s="18">
        <f t="shared" ca="1" si="73"/>
        <v>36726943.123756252</v>
      </c>
      <c r="V567" s="18">
        <f>SUMIF(Imóveis!E:E,Dados!A:A,Imóveis!Z:Z)-SUMIF(Imóveis!E:E,Dados!A:A,Imóveis!Y:Y)</f>
        <v>0</v>
      </c>
      <c r="W567" s="18">
        <f>-SUMIF(Projetos!N:N,A567,Projetos!F:F)</f>
        <v>0</v>
      </c>
      <c r="X567" s="18">
        <f t="shared" si="67"/>
        <v>-28200</v>
      </c>
      <c r="Y567" s="26">
        <f ca="1">(U567*((Indicadores_Economicos!D$2+1)^(1/12)-1))</f>
        <v>120234.45478279771</v>
      </c>
      <c r="Z567" s="18">
        <f t="shared" ca="1" si="71"/>
        <v>36818977.578539051</v>
      </c>
      <c r="AA567" s="18">
        <f ca="1">Auxiliar_Projetos!E567</f>
        <v>2.4784605668287016E-9</v>
      </c>
      <c r="AB567" s="18">
        <f ca="1">Auxiliar_Projetos!K567</f>
        <v>1.9065081283297685E-9</v>
      </c>
      <c r="AC567" s="18">
        <f ca="1">IF(Z567-AA567-AB567&gt;Investimentos!$C$14,Investimentos!$C$14,IF(Z567-AA567-AB567&lt;Investimentos!$C$14,Z567-AA567-AB567,0))</f>
        <v>300000</v>
      </c>
      <c r="AD567" s="18">
        <f t="shared" ca="1" si="72"/>
        <v>36518977.578539051</v>
      </c>
      <c r="AE567" s="18"/>
    </row>
    <row r="568" spans="1:31" x14ac:dyDescent="0.2">
      <c r="A568" s="4">
        <v>62884</v>
      </c>
      <c r="B568" s="5" t="str">
        <f t="shared" si="68"/>
        <v>março</v>
      </c>
      <c r="C568" s="5" t="str">
        <f t="shared" si="74"/>
        <v>2072</v>
      </c>
      <c r="D568" s="5">
        <f>SUMIFS(Despesas!$F:$F,Despesas!$J:$J,"&lt;="&amp;$A568,Despesas!$L:$L,"&gt;="&amp;$A568,Despesas!$C:$C,D$1,Despesas!$M:$M,"Mensal")+SUMIFS(Despesas!$F:$F,Despesas!$J:$J,"&lt;="&amp;$A568,Despesas!$L:$L,"&gt;="&amp;$A568,Despesas!$C:$C,D$1,Despesas!$M:$M,$B568)</f>
        <v>23000</v>
      </c>
      <c r="E568" s="18">
        <f>SUMIFS(Despesas!$F:$F,Despesas!$J:$J,"&lt;="&amp;$A568,Despesas!$L:$L,"&gt;="&amp;$A568,Despesas!$C:$C,E$1,Despesas!$M:$M,"Mensal")+SUMIFS(Despesas!$F:$F,Despesas!$J:$J,"&lt;="&amp;$A568,Despesas!$L:$L,"&gt;="&amp;$A568,Despesas!$C:$C,E$1,Despesas!$M:$M,$B568)</f>
        <v>0</v>
      </c>
      <c r="F568" s="5">
        <f>SUMIFS(Despesas!$F:$F,Despesas!$J:$J,"&lt;="&amp;$A568,Despesas!$L:$L,"&gt;="&amp;$A568,Despesas!$C:$C,F$1,Despesas!$M:$M,"Mensal")+SUMIFS(Despesas!$F:$F,Despesas!$J:$J,"&lt;="&amp;$A568,Despesas!$L:$L,"&gt;="&amp;$A568,Despesas!$C:$C,F$1,Despesas!$M:$M,$B568)</f>
        <v>13000</v>
      </c>
      <c r="G568" s="5">
        <f>SUMIFS(Despesas!$F:$F,Despesas!$J:$J,"&lt;="&amp;$A568,Despesas!$L:$L,"&gt;="&amp;$A568,Despesas!$C:$C,G$1,Despesas!$M:$M,"Mensal")+SUMIFS(Despesas!$F:$F,Despesas!$J:$J,"&lt;="&amp;$A568,Despesas!$L:$L,"&gt;="&amp;$A568,Despesas!$C:$C,G$1,Despesas!$M:$M,$B568)</f>
        <v>0</v>
      </c>
      <c r="H568" s="18">
        <f>SUMIFS(Despesas!$F:$F,Despesas!$J:$J,"&lt;="&amp;$A568,Despesas!$L:$L,"&gt;="&amp;$A568,Despesas!$C:$C,H$1,Despesas!$M:$M,"Mensal")+SUMIFS(Despesas!$F:$F,Despesas!$J:$J,"&lt;="&amp;$A568,Despesas!$L:$L,"&gt;="&amp;$A568,Despesas!$C:$C,H$1,Despesas!$M:$M,$B568)</f>
        <v>1000</v>
      </c>
      <c r="I568" s="18">
        <f>IF(Imóveis!$F$2="PRICE",IF(AND(Dados!$A568&gt;=Imóveis!$Q$2,Dados!$A568&lt;=Imóveis!$T$2),Imóveis!$U$2,0),IF((IF(AND(Dados!$A568&gt;=Imóveis!$Q$2,Dados!$A568&lt;=Imóveis!$T$2),Imóveis!$S$2-(DATEDIF(Imóveis!$Q$2,Dados!$A568,"m")),0))=0,0,((Imóveis!$N$2/Imóveis!$S$2)+((Imóveis!$N$2-((Imóveis!$S$2-(IF(AND(Dados!$A568&gt;=Imóveis!$Q$2,Dados!$A568&lt;=Imóveis!$T$2),Imóveis!$S$2-(DATEDIF(Imóveis!$Q$2,Dados!$A568,"m")),)))*(Imóveis!$N$2/Imóveis!$S$2)))*Imóveis!$P$2))))*IF(AND(Imóveis!$E$2&gt;0,Dados!$A568&gt;Imóveis!$E$2),0,1)</f>
        <v>0</v>
      </c>
      <c r="J568" s="18">
        <f>IF(Imóveis!$F$3="PRICE",IF(AND(Dados!$A568&gt;=Imóveis!$Q$3,Dados!$A568&lt;=Imóveis!$T$3),Imóveis!$U$3,0),IF((IF(AND(Dados!$A568&gt;=Imóveis!$Q$3,Dados!$A568&lt;=Imóveis!$T$3),Imóveis!$S$3-(DATEDIF(Imóveis!$Q$3,Dados!$A568,"m")),0))=0,0,((Imóveis!$N$3/Imóveis!$S$3)+((Imóveis!$N$3-((Imóveis!$S$3-(IF(AND(Dados!$A568&gt;=Imóveis!$Q$3,Dados!$A568&lt;=Imóveis!$T$3),Imóveis!$S$3-(DATEDIF(Imóveis!$Q$3,Dados!$A568,"m")),)))*(Imóveis!$N$3/Imóveis!$S$3)))*Imóveis!$P$3))))*IF(AND(Imóveis!$E$3&gt;0,Dados!$A568&gt;Imóveis!$E$3),0,1)</f>
        <v>0</v>
      </c>
      <c r="K568" s="18">
        <f>IF(Imóveis!$F$4="PRICE",IF(AND(Dados!$A568&gt;=Imóveis!$Q$4,Dados!$A568&lt;=Imóveis!$T$4),Imóveis!$U$4,0),IF((IF(AND(Dados!$A568&gt;=Imóveis!$Q$4,Dados!$A568&lt;=Imóveis!$T$4),Imóveis!$S$4-(DATEDIF(Imóveis!$Q$4,Dados!$A568,"m")),0))=0,0,((Imóveis!$N$4/Imóveis!$S$4)+((Imóveis!$N$4-((Imóveis!$S$4-(IF(AND(Dados!$A568&gt;=Imóveis!$Q$4,Dados!$A568&lt;=Imóveis!$T$4),Imóveis!$S$4-(DATEDIF(Imóveis!$Q$4,Dados!$A568,"m")),)))*(Imóveis!$N$4/Imóveis!$S$4)))*Imóveis!$P$4))))*IF(AND(Imóveis!$E$4&gt;0,Dados!$A568&gt;Imóveis!$E$4),0,1)</f>
        <v>0</v>
      </c>
      <c r="L568" s="18">
        <f>IF(Imóveis!$F$5="PRICE",IF(AND(Dados!$A568&gt;=Imóveis!$Q$5,Dados!$A568&lt;=Imóveis!$T$5),Imóveis!$U$5,0),IF((IF(AND(Dados!$A568&gt;=Imóveis!$Q$5,Dados!$A568&lt;=Imóveis!$T$5),Imóveis!$S$5-(DATEDIF(Imóveis!$Q$5,Dados!$A568,"m")),0))=0,0,((Imóveis!$N$5/Imóveis!$S$5)+((Imóveis!$N$5-((Imóveis!$S$5-(IF(AND(Dados!$A568 &gt;=Imóveis!$Q$5,Dados!$A568&lt;=Imóveis!$T$5),Imóveis!$S$5-(DATEDIF(Imóveis!$Q$5,Dados!$A568,"m")),)))*(Imóveis!$N$5/Imóveis!$S$5)))*Imóveis!$P$5))))*IF(AND(Imóveis!$E$5&gt;0,Dados!$A568&gt;Imóveis!$E$5),0,1)*Imóveis!$I$5</f>
        <v>0</v>
      </c>
      <c r="M568" s="18">
        <f>IF(Imóveis!$F$6="PRICE",IF(AND(Dados!$A568&gt;=Imóveis!$Q$6,Dados!$A568&lt;=Imóveis!$T$6),Imóveis!$U$6,0),IF((IF(AND(Dados!$A568&gt;=Imóveis!$Q$6,Dados!$A568&lt;=Imóveis!$T$6),Imóveis!$S$6-(DATEDIF(Imóveis!$Q$6,Dados!$A568,"m")),0))=0,0,((Imóveis!$N$6/Imóveis!$S$6)+((Imóveis!$N$6-((Imóveis!$S$6-(IF(AND(Dados!$A568&gt;=Imóveis!$Q$6,Dados!$A568&lt;=Imóveis!$T$6),Imóveis!$S$6-(DATEDIF(Imóveis!$Q$6,Dados!$A568,"m")),)))*(Imóveis!$N$6/Imóveis!$S$6)))*Imóveis!$P$6))))*IF(AND(Imóveis!$E$6&gt;0,Dados!$A568&gt;Imóveis!$E$6),0,1)*Imóveis!$I$6</f>
        <v>0</v>
      </c>
      <c r="N568" s="18">
        <f t="shared" si="69"/>
        <v>37000</v>
      </c>
      <c r="O568" s="18">
        <f>SUMIFS(Receitas!$F:$F,Receitas!$J:$J,"&lt;="&amp;$A568,Receitas!$L:$L,"&gt;="&amp;$A568,Receitas!$C:$C,O$1,Receitas!$M:$M,"Mensal")+SUMIFS(Receitas!$F:$F,Receitas!$J:$J,"&lt;="&amp;$A568,Receitas!$L:$L,"&gt;="&amp;$A568,Receitas!$C:$C,O$1,Receitas!$M:$M,$B568)</f>
        <v>0</v>
      </c>
      <c r="P568" s="18">
        <f>SUMIFS(Receitas!$F:$F,Receitas!$J:$J,"&lt;="&amp;$A568,Receitas!$L:$L,"&gt;="&amp;$A568,Receitas!$C:$C,P$1,Receitas!$M:$M,"Mensal")+SUMIFS(Receitas!$F:$F,Receitas!$J:$J,"&lt;="&amp;$A568,Receitas!$L:$L,"&gt;="&amp;$A568,Receitas!$C:$C,P$1,Receitas!$M:$M,$B568)</f>
        <v>0</v>
      </c>
      <c r="Q568" s="18">
        <f>SUMIFS(Receitas!$F:$F,Receitas!$J:$J,"&lt;="&amp;$A568,Receitas!$L:$L,"&gt;="&amp;$A568,Receitas!$C:$C,Q$1,Receitas!$M:$M,"Mensal")+SUMIFS(Receitas!$F:$F,Receitas!$J:$J,"&lt;="&amp;$A568,Receitas!$L:$L,"&gt;="&amp;$A568,Receitas!$C:$C,Q$1,Receitas!$M:$M,$B568)</f>
        <v>0</v>
      </c>
      <c r="R568" s="18" cm="1">
        <f t="array" ref="R568">(IF(AND(Membros!$F$2="Sim",A568&lt;=MAX(Membros!$E$2:$E$5)),Membros!K$2,IF(AND(A568&gt;=Membros!J$2,A568&lt;=MAX(Membros!$E$2:$E$5)),Membros!K$2,0))+IF(AND(Membros!$F$3="Sim",A568&lt;=MAX(Membros!$E$2:$E$5)),Membros!K$3,IF(AND(A568&gt;=Membros!J$3,A568&lt;=MAX(Membros!$E$2:$E$5)),Membros!K$3,0)))*IF(AND(COUNTIFS(Tabela3[Tipo],"Provedor",Tabela3[Simulação Seguro],"Sim")=2,A568&gt;=MAX(IF(Tabela3[Tipo]="Dependente",Tabela3[Expectativa de Vida (Data)]))),0,1)</f>
        <v>10000</v>
      </c>
      <c r="S568" s="18">
        <f t="shared" si="70"/>
        <v>10000</v>
      </c>
      <c r="U568" s="18">
        <f t="shared" ca="1" si="73"/>
        <v>36818977.578539051</v>
      </c>
      <c r="V568" s="18">
        <f>SUMIF(Imóveis!E:E,Dados!A:A,Imóveis!Z:Z)-SUMIF(Imóveis!E:E,Dados!A:A,Imóveis!Y:Y)</f>
        <v>0</v>
      </c>
      <c r="W568" s="18">
        <f>-SUMIF(Projetos!N:N,A568,Projetos!F:F)</f>
        <v>0</v>
      </c>
      <c r="X568" s="18">
        <f t="shared" si="67"/>
        <v>-27000</v>
      </c>
      <c r="Y568" s="26">
        <f ca="1">(U568*((Indicadores_Economicos!D$2+1)^(1/12)-1))</f>
        <v>120535.75163875315</v>
      </c>
      <c r="Z568" s="18">
        <f t="shared" ca="1" si="71"/>
        <v>36912513.330177806</v>
      </c>
      <c r="AA568" s="18">
        <f ca="1">Auxiliar_Projetos!E568</f>
        <v>2.4865744017849401E-9</v>
      </c>
      <c r="AB568" s="18">
        <f ca="1">Auxiliar_Projetos!K568</f>
        <v>1.9127495398345672E-9</v>
      </c>
      <c r="AC568" s="18">
        <f ca="1">IF(Z568-AA568-AB568&gt;Investimentos!$C$14,Investimentos!$C$14,IF(Z568-AA568-AB568&lt;Investimentos!$C$14,Z568-AA568-AB568,0))</f>
        <v>300000</v>
      </c>
      <c r="AD568" s="18">
        <f t="shared" ca="1" si="72"/>
        <v>36612513.330177806</v>
      </c>
      <c r="AE568" s="18"/>
    </row>
    <row r="569" spans="1:31" x14ac:dyDescent="0.2">
      <c r="A569" s="4">
        <v>62915</v>
      </c>
      <c r="B569" s="5" t="str">
        <f t="shared" si="68"/>
        <v>abril</v>
      </c>
      <c r="C569" s="5" t="str">
        <f t="shared" si="74"/>
        <v>2072</v>
      </c>
      <c r="D569" s="5">
        <f>SUMIFS(Despesas!$F:$F,Despesas!$J:$J,"&lt;="&amp;$A569,Despesas!$L:$L,"&gt;="&amp;$A569,Despesas!$C:$C,D$1,Despesas!$M:$M,"Mensal")+SUMIFS(Despesas!$F:$F,Despesas!$J:$J,"&lt;="&amp;$A569,Despesas!$L:$L,"&gt;="&amp;$A569,Despesas!$C:$C,D$1,Despesas!$M:$M,$B569)</f>
        <v>23000</v>
      </c>
      <c r="E569" s="18">
        <f>SUMIFS(Despesas!$F:$F,Despesas!$J:$J,"&lt;="&amp;$A569,Despesas!$L:$L,"&gt;="&amp;$A569,Despesas!$C:$C,E$1,Despesas!$M:$M,"Mensal")+SUMIFS(Despesas!$F:$F,Despesas!$J:$J,"&lt;="&amp;$A569,Despesas!$L:$L,"&gt;="&amp;$A569,Despesas!$C:$C,E$1,Despesas!$M:$M,$B569)</f>
        <v>0</v>
      </c>
      <c r="F569" s="5">
        <f>SUMIFS(Despesas!$F:$F,Despesas!$J:$J,"&lt;="&amp;$A569,Despesas!$L:$L,"&gt;="&amp;$A569,Despesas!$C:$C,F$1,Despesas!$M:$M,"Mensal")+SUMIFS(Despesas!$F:$F,Despesas!$J:$J,"&lt;="&amp;$A569,Despesas!$L:$L,"&gt;="&amp;$A569,Despesas!$C:$C,F$1,Despesas!$M:$M,$B569)</f>
        <v>13000</v>
      </c>
      <c r="G569" s="5">
        <f>SUMIFS(Despesas!$F:$F,Despesas!$J:$J,"&lt;="&amp;$A569,Despesas!$L:$L,"&gt;="&amp;$A569,Despesas!$C:$C,G$1,Despesas!$M:$M,"Mensal")+SUMIFS(Despesas!$F:$F,Despesas!$J:$J,"&lt;="&amp;$A569,Despesas!$L:$L,"&gt;="&amp;$A569,Despesas!$C:$C,G$1,Despesas!$M:$M,$B569)</f>
        <v>0</v>
      </c>
      <c r="H569" s="18">
        <f>SUMIFS(Despesas!$F:$F,Despesas!$J:$J,"&lt;="&amp;$A569,Despesas!$L:$L,"&gt;="&amp;$A569,Despesas!$C:$C,H$1,Despesas!$M:$M,"Mensal")+SUMIFS(Despesas!$F:$F,Despesas!$J:$J,"&lt;="&amp;$A569,Despesas!$L:$L,"&gt;="&amp;$A569,Despesas!$C:$C,H$1,Despesas!$M:$M,$B569)</f>
        <v>1000</v>
      </c>
      <c r="I569" s="18">
        <f>IF(Imóveis!$F$2="PRICE",IF(AND(Dados!$A569&gt;=Imóveis!$Q$2,Dados!$A569&lt;=Imóveis!$T$2),Imóveis!$U$2,0),IF((IF(AND(Dados!$A569&gt;=Imóveis!$Q$2,Dados!$A569&lt;=Imóveis!$T$2),Imóveis!$S$2-(DATEDIF(Imóveis!$Q$2,Dados!$A569,"m")),0))=0,0,((Imóveis!$N$2/Imóveis!$S$2)+((Imóveis!$N$2-((Imóveis!$S$2-(IF(AND(Dados!$A569&gt;=Imóveis!$Q$2,Dados!$A569&lt;=Imóveis!$T$2),Imóveis!$S$2-(DATEDIF(Imóveis!$Q$2,Dados!$A569,"m")),)))*(Imóveis!$N$2/Imóveis!$S$2)))*Imóveis!$P$2))))*IF(AND(Imóveis!$E$2&gt;0,Dados!$A569&gt;Imóveis!$E$2),0,1)</f>
        <v>0</v>
      </c>
      <c r="J569" s="18">
        <f>IF(Imóveis!$F$3="PRICE",IF(AND(Dados!$A569&gt;=Imóveis!$Q$3,Dados!$A569&lt;=Imóveis!$T$3),Imóveis!$U$3,0),IF((IF(AND(Dados!$A569&gt;=Imóveis!$Q$3,Dados!$A569&lt;=Imóveis!$T$3),Imóveis!$S$3-(DATEDIF(Imóveis!$Q$3,Dados!$A569,"m")),0))=0,0,((Imóveis!$N$3/Imóveis!$S$3)+((Imóveis!$N$3-((Imóveis!$S$3-(IF(AND(Dados!$A569&gt;=Imóveis!$Q$3,Dados!$A569&lt;=Imóveis!$T$3),Imóveis!$S$3-(DATEDIF(Imóveis!$Q$3,Dados!$A569,"m")),)))*(Imóveis!$N$3/Imóveis!$S$3)))*Imóveis!$P$3))))*IF(AND(Imóveis!$E$3&gt;0,Dados!$A569&gt;Imóveis!$E$3),0,1)</f>
        <v>0</v>
      </c>
      <c r="K569" s="18">
        <f>IF(Imóveis!$F$4="PRICE",IF(AND(Dados!$A569&gt;=Imóveis!$Q$4,Dados!$A569&lt;=Imóveis!$T$4),Imóveis!$U$4,0),IF((IF(AND(Dados!$A569&gt;=Imóveis!$Q$4,Dados!$A569&lt;=Imóveis!$T$4),Imóveis!$S$4-(DATEDIF(Imóveis!$Q$4,Dados!$A569,"m")),0))=0,0,((Imóveis!$N$4/Imóveis!$S$4)+((Imóveis!$N$4-((Imóveis!$S$4-(IF(AND(Dados!$A569&gt;=Imóveis!$Q$4,Dados!$A569&lt;=Imóveis!$T$4),Imóveis!$S$4-(DATEDIF(Imóveis!$Q$4,Dados!$A569,"m")),)))*(Imóveis!$N$4/Imóveis!$S$4)))*Imóveis!$P$4))))*IF(AND(Imóveis!$E$4&gt;0,Dados!$A569&gt;Imóveis!$E$4),0,1)</f>
        <v>0</v>
      </c>
      <c r="L569" s="18">
        <f>IF(Imóveis!$F$5="PRICE",IF(AND(Dados!$A569&gt;=Imóveis!$Q$5,Dados!$A569&lt;=Imóveis!$T$5),Imóveis!$U$5,0),IF((IF(AND(Dados!$A569&gt;=Imóveis!$Q$5,Dados!$A569&lt;=Imóveis!$T$5),Imóveis!$S$5-(DATEDIF(Imóveis!$Q$5,Dados!$A569,"m")),0))=0,0,((Imóveis!$N$5/Imóveis!$S$5)+((Imóveis!$N$5-((Imóveis!$S$5-(IF(AND(Dados!$A569 &gt;=Imóveis!$Q$5,Dados!$A569&lt;=Imóveis!$T$5),Imóveis!$S$5-(DATEDIF(Imóveis!$Q$5,Dados!$A569,"m")),)))*(Imóveis!$N$5/Imóveis!$S$5)))*Imóveis!$P$5))))*IF(AND(Imóveis!$E$5&gt;0,Dados!$A569&gt;Imóveis!$E$5),0,1)*Imóveis!$I$5</f>
        <v>0</v>
      </c>
      <c r="M569" s="18">
        <f>IF(Imóveis!$F$6="PRICE",IF(AND(Dados!$A569&gt;=Imóveis!$Q$6,Dados!$A569&lt;=Imóveis!$T$6),Imóveis!$U$6,0),IF((IF(AND(Dados!$A569&gt;=Imóveis!$Q$6,Dados!$A569&lt;=Imóveis!$T$6),Imóveis!$S$6-(DATEDIF(Imóveis!$Q$6,Dados!$A569,"m")),0))=0,0,((Imóveis!$N$6/Imóveis!$S$6)+((Imóveis!$N$6-((Imóveis!$S$6-(IF(AND(Dados!$A569&gt;=Imóveis!$Q$6,Dados!$A569&lt;=Imóveis!$T$6),Imóveis!$S$6-(DATEDIF(Imóveis!$Q$6,Dados!$A569,"m")),)))*(Imóveis!$N$6/Imóveis!$S$6)))*Imóveis!$P$6))))*IF(AND(Imóveis!$E$6&gt;0,Dados!$A569&gt;Imóveis!$E$6),0,1)*Imóveis!$I$6</f>
        <v>0</v>
      </c>
      <c r="N569" s="18">
        <f t="shared" si="69"/>
        <v>37000</v>
      </c>
      <c r="O569" s="18">
        <f>SUMIFS(Receitas!$F:$F,Receitas!$J:$J,"&lt;="&amp;$A569,Receitas!$L:$L,"&gt;="&amp;$A569,Receitas!$C:$C,O$1,Receitas!$M:$M,"Mensal")+SUMIFS(Receitas!$F:$F,Receitas!$J:$J,"&lt;="&amp;$A569,Receitas!$L:$L,"&gt;="&amp;$A569,Receitas!$C:$C,O$1,Receitas!$M:$M,$B569)</f>
        <v>0</v>
      </c>
      <c r="P569" s="18">
        <f>SUMIFS(Receitas!$F:$F,Receitas!$J:$J,"&lt;="&amp;$A569,Receitas!$L:$L,"&gt;="&amp;$A569,Receitas!$C:$C,P$1,Receitas!$M:$M,"Mensal")+SUMIFS(Receitas!$F:$F,Receitas!$J:$J,"&lt;="&amp;$A569,Receitas!$L:$L,"&gt;="&amp;$A569,Receitas!$C:$C,P$1,Receitas!$M:$M,$B569)</f>
        <v>0</v>
      </c>
      <c r="Q569" s="18">
        <f>SUMIFS(Receitas!$F:$F,Receitas!$J:$J,"&lt;="&amp;$A569,Receitas!$L:$L,"&gt;="&amp;$A569,Receitas!$C:$C,Q$1,Receitas!$M:$M,"Mensal")+SUMIFS(Receitas!$F:$F,Receitas!$J:$J,"&lt;="&amp;$A569,Receitas!$L:$L,"&gt;="&amp;$A569,Receitas!$C:$C,Q$1,Receitas!$M:$M,$B569)</f>
        <v>0</v>
      </c>
      <c r="R569" s="18" cm="1">
        <f t="array" ref="R569">(IF(AND(Membros!$F$2="Sim",A569&lt;=MAX(Membros!$E$2:$E$5)),Membros!K$2,IF(AND(A569&gt;=Membros!J$2,A569&lt;=MAX(Membros!$E$2:$E$5)),Membros!K$2,0))+IF(AND(Membros!$F$3="Sim",A569&lt;=MAX(Membros!$E$2:$E$5)),Membros!K$3,IF(AND(A569&gt;=Membros!J$3,A569&lt;=MAX(Membros!$E$2:$E$5)),Membros!K$3,0)))*IF(AND(COUNTIFS(Tabela3[Tipo],"Provedor",Tabela3[Simulação Seguro],"Sim")=2,A569&gt;=MAX(IF(Tabela3[Tipo]="Dependente",Tabela3[Expectativa de Vida (Data)]))),0,1)</f>
        <v>10000</v>
      </c>
      <c r="S569" s="18">
        <f t="shared" si="70"/>
        <v>10000</v>
      </c>
      <c r="U569" s="18">
        <f t="shared" ca="1" si="73"/>
        <v>36912513.330177806</v>
      </c>
      <c r="V569" s="18">
        <f>SUMIF(Imóveis!E:E,Dados!A:A,Imóveis!Z:Z)-SUMIF(Imóveis!E:E,Dados!A:A,Imóveis!Y:Y)</f>
        <v>0</v>
      </c>
      <c r="W569" s="18">
        <f>-SUMIF(Projetos!N:N,A569,Projetos!F:F)</f>
        <v>0</v>
      </c>
      <c r="X569" s="18">
        <f t="shared" si="67"/>
        <v>-27000</v>
      </c>
      <c r="Y569" s="26">
        <f ca="1">(U569*((Indicadores_Economicos!D$2+1)^(1/12)-1))</f>
        <v>120841.96334995082</v>
      </c>
      <c r="Z569" s="18">
        <f t="shared" ca="1" si="71"/>
        <v>37006355.29352776</v>
      </c>
      <c r="AA569" s="18">
        <f ca="1">Auxiliar_Projetos!E569</f>
        <v>2.4947147993254609E-9</v>
      </c>
      <c r="AB569" s="18">
        <f ca="1">Auxiliar_Projetos!K569</f>
        <v>1.9190113840965064E-9</v>
      </c>
      <c r="AC569" s="18">
        <f ca="1">IF(Z569-AA569-AB569&gt;Investimentos!$C$14,Investimentos!$C$14,IF(Z569-AA569-AB569&lt;Investimentos!$C$14,Z569-AA569-AB569,0))</f>
        <v>300000</v>
      </c>
      <c r="AD569" s="18">
        <f t="shared" ca="1" si="72"/>
        <v>36706355.29352776</v>
      </c>
      <c r="AE569" s="18"/>
    </row>
    <row r="570" spans="1:31" x14ac:dyDescent="0.2">
      <c r="A570" s="4">
        <v>62945</v>
      </c>
      <c r="B570" s="5" t="str">
        <f t="shared" si="68"/>
        <v>maio</v>
      </c>
      <c r="C570" s="5" t="str">
        <f t="shared" si="74"/>
        <v>2072</v>
      </c>
      <c r="D570" s="5">
        <f>SUMIFS(Despesas!$F:$F,Despesas!$J:$J,"&lt;="&amp;$A570,Despesas!$L:$L,"&gt;="&amp;$A570,Despesas!$C:$C,D$1,Despesas!$M:$M,"Mensal")+SUMIFS(Despesas!$F:$F,Despesas!$J:$J,"&lt;="&amp;$A570,Despesas!$L:$L,"&gt;="&amp;$A570,Despesas!$C:$C,D$1,Despesas!$M:$M,$B570)</f>
        <v>23000</v>
      </c>
      <c r="E570" s="18">
        <f>SUMIFS(Despesas!$F:$F,Despesas!$J:$J,"&lt;="&amp;$A570,Despesas!$L:$L,"&gt;="&amp;$A570,Despesas!$C:$C,E$1,Despesas!$M:$M,"Mensal")+SUMIFS(Despesas!$F:$F,Despesas!$J:$J,"&lt;="&amp;$A570,Despesas!$L:$L,"&gt;="&amp;$A570,Despesas!$C:$C,E$1,Despesas!$M:$M,$B570)</f>
        <v>0</v>
      </c>
      <c r="F570" s="5">
        <f>SUMIFS(Despesas!$F:$F,Despesas!$J:$J,"&lt;="&amp;$A570,Despesas!$L:$L,"&gt;="&amp;$A570,Despesas!$C:$C,F$1,Despesas!$M:$M,"Mensal")+SUMIFS(Despesas!$F:$F,Despesas!$J:$J,"&lt;="&amp;$A570,Despesas!$L:$L,"&gt;="&amp;$A570,Despesas!$C:$C,F$1,Despesas!$M:$M,$B570)</f>
        <v>13000</v>
      </c>
      <c r="G570" s="5">
        <f>SUMIFS(Despesas!$F:$F,Despesas!$J:$J,"&lt;="&amp;$A570,Despesas!$L:$L,"&gt;="&amp;$A570,Despesas!$C:$C,G$1,Despesas!$M:$M,"Mensal")+SUMIFS(Despesas!$F:$F,Despesas!$J:$J,"&lt;="&amp;$A570,Despesas!$L:$L,"&gt;="&amp;$A570,Despesas!$C:$C,G$1,Despesas!$M:$M,$B570)</f>
        <v>0</v>
      </c>
      <c r="H570" s="18">
        <f>SUMIFS(Despesas!$F:$F,Despesas!$J:$J,"&lt;="&amp;$A570,Despesas!$L:$L,"&gt;="&amp;$A570,Despesas!$C:$C,H$1,Despesas!$M:$M,"Mensal")+SUMIFS(Despesas!$F:$F,Despesas!$J:$J,"&lt;="&amp;$A570,Despesas!$L:$L,"&gt;="&amp;$A570,Despesas!$C:$C,H$1,Despesas!$M:$M,$B570)</f>
        <v>1000</v>
      </c>
      <c r="I570" s="18">
        <f>IF(Imóveis!$F$2="PRICE",IF(AND(Dados!$A570&gt;=Imóveis!$Q$2,Dados!$A570&lt;=Imóveis!$T$2),Imóveis!$U$2,0),IF((IF(AND(Dados!$A570&gt;=Imóveis!$Q$2,Dados!$A570&lt;=Imóveis!$T$2),Imóveis!$S$2-(DATEDIF(Imóveis!$Q$2,Dados!$A570,"m")),0))=0,0,((Imóveis!$N$2/Imóveis!$S$2)+((Imóveis!$N$2-((Imóveis!$S$2-(IF(AND(Dados!$A570&gt;=Imóveis!$Q$2,Dados!$A570&lt;=Imóveis!$T$2),Imóveis!$S$2-(DATEDIF(Imóveis!$Q$2,Dados!$A570,"m")),)))*(Imóveis!$N$2/Imóveis!$S$2)))*Imóveis!$P$2))))*IF(AND(Imóveis!$E$2&gt;0,Dados!$A570&gt;Imóveis!$E$2),0,1)</f>
        <v>0</v>
      </c>
      <c r="J570" s="18">
        <f>IF(Imóveis!$F$3="PRICE",IF(AND(Dados!$A570&gt;=Imóveis!$Q$3,Dados!$A570&lt;=Imóveis!$T$3),Imóveis!$U$3,0),IF((IF(AND(Dados!$A570&gt;=Imóveis!$Q$3,Dados!$A570&lt;=Imóveis!$T$3),Imóveis!$S$3-(DATEDIF(Imóveis!$Q$3,Dados!$A570,"m")),0))=0,0,((Imóveis!$N$3/Imóveis!$S$3)+((Imóveis!$N$3-((Imóveis!$S$3-(IF(AND(Dados!$A570&gt;=Imóveis!$Q$3,Dados!$A570&lt;=Imóveis!$T$3),Imóveis!$S$3-(DATEDIF(Imóveis!$Q$3,Dados!$A570,"m")),)))*(Imóveis!$N$3/Imóveis!$S$3)))*Imóveis!$P$3))))*IF(AND(Imóveis!$E$3&gt;0,Dados!$A570&gt;Imóveis!$E$3),0,1)</f>
        <v>0</v>
      </c>
      <c r="K570" s="18">
        <f>IF(Imóveis!$F$4="PRICE",IF(AND(Dados!$A570&gt;=Imóveis!$Q$4,Dados!$A570&lt;=Imóveis!$T$4),Imóveis!$U$4,0),IF((IF(AND(Dados!$A570&gt;=Imóveis!$Q$4,Dados!$A570&lt;=Imóveis!$T$4),Imóveis!$S$4-(DATEDIF(Imóveis!$Q$4,Dados!$A570,"m")),0))=0,0,((Imóveis!$N$4/Imóveis!$S$4)+((Imóveis!$N$4-((Imóveis!$S$4-(IF(AND(Dados!$A570&gt;=Imóveis!$Q$4,Dados!$A570&lt;=Imóveis!$T$4),Imóveis!$S$4-(DATEDIF(Imóveis!$Q$4,Dados!$A570,"m")),)))*(Imóveis!$N$4/Imóveis!$S$4)))*Imóveis!$P$4))))*IF(AND(Imóveis!$E$4&gt;0,Dados!$A570&gt;Imóveis!$E$4),0,1)</f>
        <v>0</v>
      </c>
      <c r="L570" s="18">
        <f>IF(Imóveis!$F$5="PRICE",IF(AND(Dados!$A570&gt;=Imóveis!$Q$5,Dados!$A570&lt;=Imóveis!$T$5),Imóveis!$U$5,0),IF((IF(AND(Dados!$A570&gt;=Imóveis!$Q$5,Dados!$A570&lt;=Imóveis!$T$5),Imóveis!$S$5-(DATEDIF(Imóveis!$Q$5,Dados!$A570,"m")),0))=0,0,((Imóveis!$N$5/Imóveis!$S$5)+((Imóveis!$N$5-((Imóveis!$S$5-(IF(AND(Dados!$A570 &gt;=Imóveis!$Q$5,Dados!$A570&lt;=Imóveis!$T$5),Imóveis!$S$5-(DATEDIF(Imóveis!$Q$5,Dados!$A570,"m")),)))*(Imóveis!$N$5/Imóveis!$S$5)))*Imóveis!$P$5))))*IF(AND(Imóveis!$E$5&gt;0,Dados!$A570&gt;Imóveis!$E$5),0,1)*Imóveis!$I$5</f>
        <v>0</v>
      </c>
      <c r="M570" s="18">
        <f>IF(Imóveis!$F$6="PRICE",IF(AND(Dados!$A570&gt;=Imóveis!$Q$6,Dados!$A570&lt;=Imóveis!$T$6),Imóveis!$U$6,0),IF((IF(AND(Dados!$A570&gt;=Imóveis!$Q$6,Dados!$A570&lt;=Imóveis!$T$6),Imóveis!$S$6-(DATEDIF(Imóveis!$Q$6,Dados!$A570,"m")),0))=0,0,((Imóveis!$N$6/Imóveis!$S$6)+((Imóveis!$N$6-((Imóveis!$S$6-(IF(AND(Dados!$A570&gt;=Imóveis!$Q$6,Dados!$A570&lt;=Imóveis!$T$6),Imóveis!$S$6-(DATEDIF(Imóveis!$Q$6,Dados!$A570,"m")),)))*(Imóveis!$N$6/Imóveis!$S$6)))*Imóveis!$P$6))))*IF(AND(Imóveis!$E$6&gt;0,Dados!$A570&gt;Imóveis!$E$6),0,1)*Imóveis!$I$6</f>
        <v>0</v>
      </c>
      <c r="N570" s="18">
        <f t="shared" si="69"/>
        <v>37000</v>
      </c>
      <c r="O570" s="18">
        <f>SUMIFS(Receitas!$F:$F,Receitas!$J:$J,"&lt;="&amp;$A570,Receitas!$L:$L,"&gt;="&amp;$A570,Receitas!$C:$C,O$1,Receitas!$M:$M,"Mensal")+SUMIFS(Receitas!$F:$F,Receitas!$J:$J,"&lt;="&amp;$A570,Receitas!$L:$L,"&gt;="&amp;$A570,Receitas!$C:$C,O$1,Receitas!$M:$M,$B570)</f>
        <v>0</v>
      </c>
      <c r="P570" s="18">
        <f>SUMIFS(Receitas!$F:$F,Receitas!$J:$J,"&lt;="&amp;$A570,Receitas!$L:$L,"&gt;="&amp;$A570,Receitas!$C:$C,P$1,Receitas!$M:$M,"Mensal")+SUMIFS(Receitas!$F:$F,Receitas!$J:$J,"&lt;="&amp;$A570,Receitas!$L:$L,"&gt;="&amp;$A570,Receitas!$C:$C,P$1,Receitas!$M:$M,$B570)</f>
        <v>0</v>
      </c>
      <c r="Q570" s="18">
        <f>SUMIFS(Receitas!$F:$F,Receitas!$J:$J,"&lt;="&amp;$A570,Receitas!$L:$L,"&gt;="&amp;$A570,Receitas!$C:$C,Q$1,Receitas!$M:$M,"Mensal")+SUMIFS(Receitas!$F:$F,Receitas!$J:$J,"&lt;="&amp;$A570,Receitas!$L:$L,"&gt;="&amp;$A570,Receitas!$C:$C,Q$1,Receitas!$M:$M,$B570)</f>
        <v>0</v>
      </c>
      <c r="R570" s="18" cm="1">
        <f t="array" ref="R570">(IF(AND(Membros!$F$2="Sim",A570&lt;=MAX(Membros!$E$2:$E$5)),Membros!K$2,IF(AND(A570&gt;=Membros!J$2,A570&lt;=MAX(Membros!$E$2:$E$5)),Membros!K$2,0))+IF(AND(Membros!$F$3="Sim",A570&lt;=MAX(Membros!$E$2:$E$5)),Membros!K$3,IF(AND(A570&gt;=Membros!J$3,A570&lt;=MAX(Membros!$E$2:$E$5)),Membros!K$3,0)))*IF(AND(COUNTIFS(Tabela3[Tipo],"Provedor",Tabela3[Simulação Seguro],"Sim")=2,A570&gt;=MAX(IF(Tabela3[Tipo]="Dependente",Tabela3[Expectativa de Vida (Data)]))),0,1)</f>
        <v>10000</v>
      </c>
      <c r="S570" s="18">
        <f t="shared" si="70"/>
        <v>10000</v>
      </c>
      <c r="U570" s="18">
        <f t="shared" ca="1" si="73"/>
        <v>37006355.29352776</v>
      </c>
      <c r="V570" s="18">
        <f>SUMIF(Imóveis!E:E,Dados!A:A,Imóveis!Z:Z)-SUMIF(Imóveis!E:E,Dados!A:A,Imóveis!Y:Y)</f>
        <v>0</v>
      </c>
      <c r="W570" s="18">
        <f>-SUMIF(Projetos!N:N,A570,Projetos!F:F)</f>
        <v>0</v>
      </c>
      <c r="X570" s="18">
        <f t="shared" si="67"/>
        <v>-27000</v>
      </c>
      <c r="Y570" s="26">
        <f ca="1">(U570*((Indicadores_Economicos!D$2+1)^(1/12)-1))</f>
        <v>121149.17751860921</v>
      </c>
      <c r="Z570" s="18">
        <f t="shared" ca="1" si="71"/>
        <v>37100504.471046366</v>
      </c>
      <c r="AA570" s="18">
        <f ca="1">Auxiliar_Projetos!E570</f>
        <v>2.5028818464092529E-9</v>
      </c>
      <c r="AB570" s="18">
        <f ca="1">Auxiliar_Projetos!K570</f>
        <v>1.9252937280071159E-9</v>
      </c>
      <c r="AC570" s="18">
        <f ca="1">IF(Z570-AA570-AB570&gt;Investimentos!$C$14,Investimentos!$C$14,IF(Z570-AA570-AB570&lt;Investimentos!$C$14,Z570-AA570-AB570,0))</f>
        <v>300000</v>
      </c>
      <c r="AD570" s="18">
        <f t="shared" ca="1" si="72"/>
        <v>36800504.471046366</v>
      </c>
      <c r="AE570" s="18"/>
    </row>
    <row r="571" spans="1:31" x14ac:dyDescent="0.2">
      <c r="A571" s="4">
        <v>62976</v>
      </c>
      <c r="B571" s="5" t="str">
        <f t="shared" si="68"/>
        <v>junho</v>
      </c>
      <c r="C571" s="5" t="str">
        <f t="shared" si="74"/>
        <v>2072</v>
      </c>
      <c r="D571" s="5">
        <f>SUMIFS(Despesas!$F:$F,Despesas!$J:$J,"&lt;="&amp;$A571,Despesas!$L:$L,"&gt;="&amp;$A571,Despesas!$C:$C,D$1,Despesas!$M:$M,"Mensal")+SUMIFS(Despesas!$F:$F,Despesas!$J:$J,"&lt;="&amp;$A571,Despesas!$L:$L,"&gt;="&amp;$A571,Despesas!$C:$C,D$1,Despesas!$M:$M,$B571)</f>
        <v>23000</v>
      </c>
      <c r="E571" s="18">
        <f>SUMIFS(Despesas!$F:$F,Despesas!$J:$J,"&lt;="&amp;$A571,Despesas!$L:$L,"&gt;="&amp;$A571,Despesas!$C:$C,E$1,Despesas!$M:$M,"Mensal")+SUMIFS(Despesas!$F:$F,Despesas!$J:$J,"&lt;="&amp;$A571,Despesas!$L:$L,"&gt;="&amp;$A571,Despesas!$C:$C,E$1,Despesas!$M:$M,$B571)</f>
        <v>0</v>
      </c>
      <c r="F571" s="5">
        <f>SUMIFS(Despesas!$F:$F,Despesas!$J:$J,"&lt;="&amp;$A571,Despesas!$L:$L,"&gt;="&amp;$A571,Despesas!$C:$C,F$1,Despesas!$M:$M,"Mensal")+SUMIFS(Despesas!$F:$F,Despesas!$J:$J,"&lt;="&amp;$A571,Despesas!$L:$L,"&gt;="&amp;$A571,Despesas!$C:$C,F$1,Despesas!$M:$M,$B571)</f>
        <v>13000</v>
      </c>
      <c r="G571" s="5">
        <f>SUMIFS(Despesas!$F:$F,Despesas!$J:$J,"&lt;="&amp;$A571,Despesas!$L:$L,"&gt;="&amp;$A571,Despesas!$C:$C,G$1,Despesas!$M:$M,"Mensal")+SUMIFS(Despesas!$F:$F,Despesas!$J:$J,"&lt;="&amp;$A571,Despesas!$L:$L,"&gt;="&amp;$A571,Despesas!$C:$C,G$1,Despesas!$M:$M,$B571)</f>
        <v>0</v>
      </c>
      <c r="H571" s="18">
        <f>SUMIFS(Despesas!$F:$F,Despesas!$J:$J,"&lt;="&amp;$A571,Despesas!$L:$L,"&gt;="&amp;$A571,Despesas!$C:$C,H$1,Despesas!$M:$M,"Mensal")+SUMIFS(Despesas!$F:$F,Despesas!$J:$J,"&lt;="&amp;$A571,Despesas!$L:$L,"&gt;="&amp;$A571,Despesas!$C:$C,H$1,Despesas!$M:$M,$B571)</f>
        <v>1000</v>
      </c>
      <c r="I571" s="18">
        <f>IF(Imóveis!$F$2="PRICE",IF(AND(Dados!$A571&gt;=Imóveis!$Q$2,Dados!$A571&lt;=Imóveis!$T$2),Imóveis!$U$2,0),IF((IF(AND(Dados!$A571&gt;=Imóveis!$Q$2,Dados!$A571&lt;=Imóveis!$T$2),Imóveis!$S$2-(DATEDIF(Imóveis!$Q$2,Dados!$A571,"m")),0))=0,0,((Imóveis!$N$2/Imóveis!$S$2)+((Imóveis!$N$2-((Imóveis!$S$2-(IF(AND(Dados!$A571&gt;=Imóveis!$Q$2,Dados!$A571&lt;=Imóveis!$T$2),Imóveis!$S$2-(DATEDIF(Imóveis!$Q$2,Dados!$A571,"m")),)))*(Imóveis!$N$2/Imóveis!$S$2)))*Imóveis!$P$2))))*IF(AND(Imóveis!$E$2&gt;0,Dados!$A571&gt;Imóveis!$E$2),0,1)</f>
        <v>0</v>
      </c>
      <c r="J571" s="18">
        <f>IF(Imóveis!$F$3="PRICE",IF(AND(Dados!$A571&gt;=Imóveis!$Q$3,Dados!$A571&lt;=Imóveis!$T$3),Imóveis!$U$3,0),IF((IF(AND(Dados!$A571&gt;=Imóveis!$Q$3,Dados!$A571&lt;=Imóveis!$T$3),Imóveis!$S$3-(DATEDIF(Imóveis!$Q$3,Dados!$A571,"m")),0))=0,0,((Imóveis!$N$3/Imóveis!$S$3)+((Imóveis!$N$3-((Imóveis!$S$3-(IF(AND(Dados!$A571&gt;=Imóveis!$Q$3,Dados!$A571&lt;=Imóveis!$T$3),Imóveis!$S$3-(DATEDIF(Imóveis!$Q$3,Dados!$A571,"m")),)))*(Imóveis!$N$3/Imóveis!$S$3)))*Imóveis!$P$3))))*IF(AND(Imóveis!$E$3&gt;0,Dados!$A571&gt;Imóveis!$E$3),0,1)</f>
        <v>0</v>
      </c>
      <c r="K571" s="18">
        <f>IF(Imóveis!$F$4="PRICE",IF(AND(Dados!$A571&gt;=Imóveis!$Q$4,Dados!$A571&lt;=Imóveis!$T$4),Imóveis!$U$4,0),IF((IF(AND(Dados!$A571&gt;=Imóveis!$Q$4,Dados!$A571&lt;=Imóveis!$T$4),Imóveis!$S$4-(DATEDIF(Imóveis!$Q$4,Dados!$A571,"m")),0))=0,0,((Imóveis!$N$4/Imóveis!$S$4)+((Imóveis!$N$4-((Imóveis!$S$4-(IF(AND(Dados!$A571&gt;=Imóveis!$Q$4,Dados!$A571&lt;=Imóveis!$T$4),Imóveis!$S$4-(DATEDIF(Imóveis!$Q$4,Dados!$A571,"m")),)))*(Imóveis!$N$4/Imóveis!$S$4)))*Imóveis!$P$4))))*IF(AND(Imóveis!$E$4&gt;0,Dados!$A571&gt;Imóveis!$E$4),0,1)</f>
        <v>0</v>
      </c>
      <c r="L571" s="18">
        <f>IF(Imóveis!$F$5="PRICE",IF(AND(Dados!$A571&gt;=Imóveis!$Q$5,Dados!$A571&lt;=Imóveis!$T$5),Imóveis!$U$5,0),IF((IF(AND(Dados!$A571&gt;=Imóveis!$Q$5,Dados!$A571&lt;=Imóveis!$T$5),Imóveis!$S$5-(DATEDIF(Imóveis!$Q$5,Dados!$A571,"m")),0))=0,0,((Imóveis!$N$5/Imóveis!$S$5)+((Imóveis!$N$5-((Imóveis!$S$5-(IF(AND(Dados!$A571 &gt;=Imóveis!$Q$5,Dados!$A571&lt;=Imóveis!$T$5),Imóveis!$S$5-(DATEDIF(Imóveis!$Q$5,Dados!$A571,"m")),)))*(Imóveis!$N$5/Imóveis!$S$5)))*Imóveis!$P$5))))*IF(AND(Imóveis!$E$5&gt;0,Dados!$A571&gt;Imóveis!$E$5),0,1)*Imóveis!$I$5</f>
        <v>0</v>
      </c>
      <c r="M571" s="18">
        <f>IF(Imóveis!$F$6="PRICE",IF(AND(Dados!$A571&gt;=Imóveis!$Q$6,Dados!$A571&lt;=Imóveis!$T$6),Imóveis!$U$6,0),IF((IF(AND(Dados!$A571&gt;=Imóveis!$Q$6,Dados!$A571&lt;=Imóveis!$T$6),Imóveis!$S$6-(DATEDIF(Imóveis!$Q$6,Dados!$A571,"m")),0))=0,0,((Imóveis!$N$6/Imóveis!$S$6)+((Imóveis!$N$6-((Imóveis!$S$6-(IF(AND(Dados!$A571&gt;=Imóveis!$Q$6,Dados!$A571&lt;=Imóveis!$T$6),Imóveis!$S$6-(DATEDIF(Imóveis!$Q$6,Dados!$A571,"m")),)))*(Imóveis!$N$6/Imóveis!$S$6)))*Imóveis!$P$6))))*IF(AND(Imóveis!$E$6&gt;0,Dados!$A571&gt;Imóveis!$E$6),0,1)*Imóveis!$I$6</f>
        <v>0</v>
      </c>
      <c r="N571" s="18">
        <f t="shared" si="69"/>
        <v>37000</v>
      </c>
      <c r="O571" s="18">
        <f>SUMIFS(Receitas!$F:$F,Receitas!$J:$J,"&lt;="&amp;$A571,Receitas!$L:$L,"&gt;="&amp;$A571,Receitas!$C:$C,O$1,Receitas!$M:$M,"Mensal")+SUMIFS(Receitas!$F:$F,Receitas!$J:$J,"&lt;="&amp;$A571,Receitas!$L:$L,"&gt;="&amp;$A571,Receitas!$C:$C,O$1,Receitas!$M:$M,$B571)</f>
        <v>0</v>
      </c>
      <c r="P571" s="18">
        <f>SUMIFS(Receitas!$F:$F,Receitas!$J:$J,"&lt;="&amp;$A571,Receitas!$L:$L,"&gt;="&amp;$A571,Receitas!$C:$C,P$1,Receitas!$M:$M,"Mensal")+SUMIFS(Receitas!$F:$F,Receitas!$J:$J,"&lt;="&amp;$A571,Receitas!$L:$L,"&gt;="&amp;$A571,Receitas!$C:$C,P$1,Receitas!$M:$M,$B571)</f>
        <v>0</v>
      </c>
      <c r="Q571" s="18">
        <f>SUMIFS(Receitas!$F:$F,Receitas!$J:$J,"&lt;="&amp;$A571,Receitas!$L:$L,"&gt;="&amp;$A571,Receitas!$C:$C,Q$1,Receitas!$M:$M,"Mensal")+SUMIFS(Receitas!$F:$F,Receitas!$J:$J,"&lt;="&amp;$A571,Receitas!$L:$L,"&gt;="&amp;$A571,Receitas!$C:$C,Q$1,Receitas!$M:$M,$B571)</f>
        <v>0</v>
      </c>
      <c r="R571" s="18" cm="1">
        <f t="array" ref="R571">(IF(AND(Membros!$F$2="Sim",A571&lt;=MAX(Membros!$E$2:$E$5)),Membros!K$2,IF(AND(A571&gt;=Membros!J$2,A571&lt;=MAX(Membros!$E$2:$E$5)),Membros!K$2,0))+IF(AND(Membros!$F$3="Sim",A571&lt;=MAX(Membros!$E$2:$E$5)),Membros!K$3,IF(AND(A571&gt;=Membros!J$3,A571&lt;=MAX(Membros!$E$2:$E$5)),Membros!K$3,0)))*IF(AND(COUNTIFS(Tabela3[Tipo],"Provedor",Tabela3[Simulação Seguro],"Sim")=2,A571&gt;=MAX(IF(Tabela3[Tipo]="Dependente",Tabela3[Expectativa de Vida (Data)]))),0,1)</f>
        <v>10000</v>
      </c>
      <c r="S571" s="18">
        <f t="shared" si="70"/>
        <v>10000</v>
      </c>
      <c r="U571" s="18">
        <f t="shared" ca="1" si="73"/>
        <v>37100504.471046366</v>
      </c>
      <c r="V571" s="18">
        <f>SUMIF(Imóveis!E:E,Dados!A:A,Imóveis!Z:Z)-SUMIF(Imóveis!E:E,Dados!A:A,Imóveis!Y:Y)</f>
        <v>0</v>
      </c>
      <c r="W571" s="18">
        <f>-SUMIF(Projetos!N:N,A571,Projetos!F:F)</f>
        <v>0</v>
      </c>
      <c r="X571" s="18">
        <f t="shared" si="67"/>
        <v>-27000</v>
      </c>
      <c r="Y571" s="26">
        <f ca="1">(U571*((Indicadores_Economicos!D$2+1)^(1/12)-1))</f>
        <v>121457.39742651318</v>
      </c>
      <c r="Z571" s="18">
        <f t="shared" ca="1" si="71"/>
        <v>37194961.868472882</v>
      </c>
      <c r="AA571" s="18">
        <f ca="1">Auxiliar_Projetos!E571</f>
        <v>2.5110756302799863E-9</v>
      </c>
      <c r="AB571" s="18">
        <f ca="1">Auxiliar_Projetos!K571</f>
        <v>1.9315966386769107E-9</v>
      </c>
      <c r="AC571" s="18">
        <f ca="1">IF(Z571-AA571-AB571&gt;Investimentos!$C$14,Investimentos!$C$14,IF(Z571-AA571-AB571&lt;Investimentos!$C$14,Z571-AA571-AB571,0))</f>
        <v>300000</v>
      </c>
      <c r="AD571" s="18">
        <f t="shared" ca="1" si="72"/>
        <v>36894961.868472882</v>
      </c>
      <c r="AE571" s="18"/>
    </row>
    <row r="572" spans="1:31" x14ac:dyDescent="0.2">
      <c r="A572" s="4">
        <v>63006</v>
      </c>
      <c r="B572" s="5" t="str">
        <f t="shared" si="68"/>
        <v>julho</v>
      </c>
      <c r="C572" s="5" t="str">
        <f t="shared" si="74"/>
        <v>2072</v>
      </c>
      <c r="D572" s="5">
        <f>SUMIFS(Despesas!$F:$F,Despesas!$J:$J,"&lt;="&amp;$A572,Despesas!$L:$L,"&gt;="&amp;$A572,Despesas!$C:$C,D$1,Despesas!$M:$M,"Mensal")+SUMIFS(Despesas!$F:$F,Despesas!$J:$J,"&lt;="&amp;$A572,Despesas!$L:$L,"&gt;="&amp;$A572,Despesas!$C:$C,D$1,Despesas!$M:$M,$B572)</f>
        <v>23000</v>
      </c>
      <c r="E572" s="18">
        <f>SUMIFS(Despesas!$F:$F,Despesas!$J:$J,"&lt;="&amp;$A572,Despesas!$L:$L,"&gt;="&amp;$A572,Despesas!$C:$C,E$1,Despesas!$M:$M,"Mensal")+SUMIFS(Despesas!$F:$F,Despesas!$J:$J,"&lt;="&amp;$A572,Despesas!$L:$L,"&gt;="&amp;$A572,Despesas!$C:$C,E$1,Despesas!$M:$M,$B572)</f>
        <v>0</v>
      </c>
      <c r="F572" s="5">
        <f>SUMIFS(Despesas!$F:$F,Despesas!$J:$J,"&lt;="&amp;$A572,Despesas!$L:$L,"&gt;="&amp;$A572,Despesas!$C:$C,F$1,Despesas!$M:$M,"Mensal")+SUMIFS(Despesas!$F:$F,Despesas!$J:$J,"&lt;="&amp;$A572,Despesas!$L:$L,"&gt;="&amp;$A572,Despesas!$C:$C,F$1,Despesas!$M:$M,$B572)</f>
        <v>13000</v>
      </c>
      <c r="G572" s="5">
        <f ca="1">SUMIFS(Despesas!$F:$F,Despesas!$J:$J,"&lt;="&amp;$A572,Despesas!$L:$L,"&gt;="&amp;$A572,Despesas!$C:$C,G$1,Despesas!$M:$M,"Mensal")+SUMIFS(Despesas!$F:$F,Despesas!$J:$J,"&lt;="&amp;$A572,Despesas!$L:$L,"&gt;="&amp;$A572,Despesas!$C:$C,G$1,Despesas!$M:$M,$B572)</f>
        <v>55757</v>
      </c>
      <c r="H572" s="18">
        <f>SUMIFS(Despesas!$F:$F,Despesas!$J:$J,"&lt;="&amp;$A572,Despesas!$L:$L,"&gt;="&amp;$A572,Despesas!$C:$C,H$1,Despesas!$M:$M,"Mensal")+SUMIFS(Despesas!$F:$F,Despesas!$J:$J,"&lt;="&amp;$A572,Despesas!$L:$L,"&gt;="&amp;$A572,Despesas!$C:$C,H$1,Despesas!$M:$M,$B572)</f>
        <v>1000</v>
      </c>
      <c r="I572" s="18">
        <f>IF(Imóveis!$F$2="PRICE",IF(AND(Dados!$A572&gt;=Imóveis!$Q$2,Dados!$A572&lt;=Imóveis!$T$2),Imóveis!$U$2,0),IF((IF(AND(Dados!$A572&gt;=Imóveis!$Q$2,Dados!$A572&lt;=Imóveis!$T$2),Imóveis!$S$2-(DATEDIF(Imóveis!$Q$2,Dados!$A572,"m")),0))=0,0,((Imóveis!$N$2/Imóveis!$S$2)+((Imóveis!$N$2-((Imóveis!$S$2-(IF(AND(Dados!$A572&gt;=Imóveis!$Q$2,Dados!$A572&lt;=Imóveis!$T$2),Imóveis!$S$2-(DATEDIF(Imóveis!$Q$2,Dados!$A572,"m")),)))*(Imóveis!$N$2/Imóveis!$S$2)))*Imóveis!$P$2))))*IF(AND(Imóveis!$E$2&gt;0,Dados!$A572&gt;Imóveis!$E$2),0,1)</f>
        <v>0</v>
      </c>
      <c r="J572" s="18">
        <f>IF(Imóveis!$F$3="PRICE",IF(AND(Dados!$A572&gt;=Imóveis!$Q$3,Dados!$A572&lt;=Imóveis!$T$3),Imóveis!$U$3,0),IF((IF(AND(Dados!$A572&gt;=Imóveis!$Q$3,Dados!$A572&lt;=Imóveis!$T$3),Imóveis!$S$3-(DATEDIF(Imóveis!$Q$3,Dados!$A572,"m")),0))=0,0,((Imóveis!$N$3/Imóveis!$S$3)+((Imóveis!$N$3-((Imóveis!$S$3-(IF(AND(Dados!$A572&gt;=Imóveis!$Q$3,Dados!$A572&lt;=Imóveis!$T$3),Imóveis!$S$3-(DATEDIF(Imóveis!$Q$3,Dados!$A572,"m")),)))*(Imóveis!$N$3/Imóveis!$S$3)))*Imóveis!$P$3))))*IF(AND(Imóveis!$E$3&gt;0,Dados!$A572&gt;Imóveis!$E$3),0,1)</f>
        <v>0</v>
      </c>
      <c r="K572" s="18">
        <f>IF(Imóveis!$F$4="PRICE",IF(AND(Dados!$A572&gt;=Imóveis!$Q$4,Dados!$A572&lt;=Imóveis!$T$4),Imóveis!$U$4,0),IF((IF(AND(Dados!$A572&gt;=Imóveis!$Q$4,Dados!$A572&lt;=Imóveis!$T$4),Imóveis!$S$4-(DATEDIF(Imóveis!$Q$4,Dados!$A572,"m")),0))=0,0,((Imóveis!$N$4/Imóveis!$S$4)+((Imóveis!$N$4-((Imóveis!$S$4-(IF(AND(Dados!$A572&gt;=Imóveis!$Q$4,Dados!$A572&lt;=Imóveis!$T$4),Imóveis!$S$4-(DATEDIF(Imóveis!$Q$4,Dados!$A572,"m")),)))*(Imóveis!$N$4/Imóveis!$S$4)))*Imóveis!$P$4))))*IF(AND(Imóveis!$E$4&gt;0,Dados!$A572&gt;Imóveis!$E$4),0,1)</f>
        <v>0</v>
      </c>
      <c r="L572" s="18">
        <f>IF(Imóveis!$F$5="PRICE",IF(AND(Dados!$A572&gt;=Imóveis!$Q$5,Dados!$A572&lt;=Imóveis!$T$5),Imóveis!$U$5,0),IF((IF(AND(Dados!$A572&gt;=Imóveis!$Q$5,Dados!$A572&lt;=Imóveis!$T$5),Imóveis!$S$5-(DATEDIF(Imóveis!$Q$5,Dados!$A572,"m")),0))=0,0,((Imóveis!$N$5/Imóveis!$S$5)+((Imóveis!$N$5-((Imóveis!$S$5-(IF(AND(Dados!$A572 &gt;=Imóveis!$Q$5,Dados!$A572&lt;=Imóveis!$T$5),Imóveis!$S$5-(DATEDIF(Imóveis!$Q$5,Dados!$A572,"m")),)))*(Imóveis!$N$5/Imóveis!$S$5)))*Imóveis!$P$5))))*IF(AND(Imóveis!$E$5&gt;0,Dados!$A572&gt;Imóveis!$E$5),0,1)*Imóveis!$I$5</f>
        <v>0</v>
      </c>
      <c r="M572" s="18">
        <f>IF(Imóveis!$F$6="PRICE",IF(AND(Dados!$A572&gt;=Imóveis!$Q$6,Dados!$A572&lt;=Imóveis!$T$6),Imóveis!$U$6,0),IF((IF(AND(Dados!$A572&gt;=Imóveis!$Q$6,Dados!$A572&lt;=Imóveis!$T$6),Imóveis!$S$6-(DATEDIF(Imóveis!$Q$6,Dados!$A572,"m")),0))=0,0,((Imóveis!$N$6/Imóveis!$S$6)+((Imóveis!$N$6-((Imóveis!$S$6-(IF(AND(Dados!$A572&gt;=Imóveis!$Q$6,Dados!$A572&lt;=Imóveis!$T$6),Imóveis!$S$6-(DATEDIF(Imóveis!$Q$6,Dados!$A572,"m")),)))*(Imóveis!$N$6/Imóveis!$S$6)))*Imóveis!$P$6))))*IF(AND(Imóveis!$E$6&gt;0,Dados!$A572&gt;Imóveis!$E$6),0,1)*Imóveis!$I$6</f>
        <v>0</v>
      </c>
      <c r="N572" s="18">
        <f t="shared" ca="1" si="69"/>
        <v>92757</v>
      </c>
      <c r="O572" s="18">
        <f>SUMIFS(Receitas!$F:$F,Receitas!$J:$J,"&lt;="&amp;$A572,Receitas!$L:$L,"&gt;="&amp;$A572,Receitas!$C:$C,O$1,Receitas!$M:$M,"Mensal")+SUMIFS(Receitas!$F:$F,Receitas!$J:$J,"&lt;="&amp;$A572,Receitas!$L:$L,"&gt;="&amp;$A572,Receitas!$C:$C,O$1,Receitas!$M:$M,$B572)</f>
        <v>0</v>
      </c>
      <c r="P572" s="18">
        <f>SUMIFS(Receitas!$F:$F,Receitas!$J:$J,"&lt;="&amp;$A572,Receitas!$L:$L,"&gt;="&amp;$A572,Receitas!$C:$C,P$1,Receitas!$M:$M,"Mensal")+SUMIFS(Receitas!$F:$F,Receitas!$J:$J,"&lt;="&amp;$A572,Receitas!$L:$L,"&gt;="&amp;$A572,Receitas!$C:$C,P$1,Receitas!$M:$M,$B572)</f>
        <v>0</v>
      </c>
      <c r="Q572" s="18">
        <f>SUMIFS(Receitas!$F:$F,Receitas!$J:$J,"&lt;="&amp;$A572,Receitas!$L:$L,"&gt;="&amp;$A572,Receitas!$C:$C,Q$1,Receitas!$M:$M,"Mensal")+SUMIFS(Receitas!$F:$F,Receitas!$J:$J,"&lt;="&amp;$A572,Receitas!$L:$L,"&gt;="&amp;$A572,Receitas!$C:$C,Q$1,Receitas!$M:$M,$B572)</f>
        <v>0</v>
      </c>
      <c r="R572" s="18" cm="1">
        <f t="array" ref="R572">(IF(AND(Membros!$F$2="Sim",A572&lt;=MAX(Membros!$E$2:$E$5)),Membros!K$2,IF(AND(A572&gt;=Membros!J$2,A572&lt;=MAX(Membros!$E$2:$E$5)),Membros!K$2,0))+IF(AND(Membros!$F$3="Sim",A572&lt;=MAX(Membros!$E$2:$E$5)),Membros!K$3,IF(AND(A572&gt;=Membros!J$3,A572&lt;=MAX(Membros!$E$2:$E$5)),Membros!K$3,0)))*IF(AND(COUNTIFS(Tabela3[Tipo],"Provedor",Tabela3[Simulação Seguro],"Sim")=2,A572&gt;=MAX(IF(Tabela3[Tipo]="Dependente",Tabela3[Expectativa de Vida (Data)]))),0,1)</f>
        <v>10000</v>
      </c>
      <c r="S572" s="18">
        <f t="shared" si="70"/>
        <v>10000</v>
      </c>
      <c r="U572" s="18">
        <f t="shared" ca="1" si="73"/>
        <v>37194961.868472882</v>
      </c>
      <c r="V572" s="18">
        <f>SUMIF(Imóveis!E:E,Dados!A:A,Imóveis!Z:Z)-SUMIF(Imóveis!E:E,Dados!A:A,Imóveis!Y:Y)</f>
        <v>0</v>
      </c>
      <c r="W572" s="18">
        <f>-SUMIF(Projetos!N:N,A572,Projetos!F:F)</f>
        <v>0</v>
      </c>
      <c r="X572" s="18">
        <f t="shared" ca="1" si="67"/>
        <v>-82757</v>
      </c>
      <c r="Y572" s="26">
        <f ca="1">(U572*((Indicadores_Economicos!D$2+1)^(1/12)-1))</f>
        <v>121766.62636619134</v>
      </c>
      <c r="Z572" s="18">
        <f t="shared" ca="1" si="71"/>
        <v>37233971.494839072</v>
      </c>
      <c r="AA572" s="18">
        <f ca="1">Auxiliar_Projetos!E572</f>
        <v>2.519296238466944E-9</v>
      </c>
      <c r="AB572" s="18">
        <f ca="1">Auxiliar_Projetos!K572</f>
        <v>1.9379201834361089E-9</v>
      </c>
      <c r="AC572" s="18">
        <f ca="1">IF(Z572-AA572-AB572&gt;Investimentos!$C$14,Investimentos!$C$14,IF(Z572-AA572-AB572&lt;Investimentos!$C$14,Z572-AA572-AB572,0))</f>
        <v>300000</v>
      </c>
      <c r="AD572" s="18">
        <f t="shared" ca="1" si="72"/>
        <v>36933971.494839072</v>
      </c>
      <c r="AE572" s="18"/>
    </row>
    <row r="573" spans="1:31" x14ac:dyDescent="0.2">
      <c r="A573" s="4">
        <v>63037</v>
      </c>
      <c r="B573" s="5" t="str">
        <f t="shared" si="68"/>
        <v>agosto</v>
      </c>
      <c r="C573" s="5" t="str">
        <f t="shared" si="74"/>
        <v>2072</v>
      </c>
      <c r="D573" s="5">
        <f>SUMIFS(Despesas!$F:$F,Despesas!$J:$J,"&lt;="&amp;$A573,Despesas!$L:$L,"&gt;="&amp;$A573,Despesas!$C:$C,D$1,Despesas!$M:$M,"Mensal")+SUMIFS(Despesas!$F:$F,Despesas!$J:$J,"&lt;="&amp;$A573,Despesas!$L:$L,"&gt;="&amp;$A573,Despesas!$C:$C,D$1,Despesas!$M:$M,$B573)</f>
        <v>23000</v>
      </c>
      <c r="E573" s="18">
        <f>SUMIFS(Despesas!$F:$F,Despesas!$J:$J,"&lt;="&amp;$A573,Despesas!$L:$L,"&gt;="&amp;$A573,Despesas!$C:$C,E$1,Despesas!$M:$M,"Mensal")+SUMIFS(Despesas!$F:$F,Despesas!$J:$J,"&lt;="&amp;$A573,Despesas!$L:$L,"&gt;="&amp;$A573,Despesas!$C:$C,E$1,Despesas!$M:$M,$B573)</f>
        <v>0</v>
      </c>
      <c r="F573" s="5">
        <f>SUMIFS(Despesas!$F:$F,Despesas!$J:$J,"&lt;="&amp;$A573,Despesas!$L:$L,"&gt;="&amp;$A573,Despesas!$C:$C,F$1,Despesas!$M:$M,"Mensal")+SUMIFS(Despesas!$F:$F,Despesas!$J:$J,"&lt;="&amp;$A573,Despesas!$L:$L,"&gt;="&amp;$A573,Despesas!$C:$C,F$1,Despesas!$M:$M,$B573)</f>
        <v>13000</v>
      </c>
      <c r="G573" s="5">
        <f>SUMIFS(Despesas!$F:$F,Despesas!$J:$J,"&lt;="&amp;$A573,Despesas!$L:$L,"&gt;="&amp;$A573,Despesas!$C:$C,G$1,Despesas!$M:$M,"Mensal")+SUMIFS(Despesas!$F:$F,Despesas!$J:$J,"&lt;="&amp;$A573,Despesas!$L:$L,"&gt;="&amp;$A573,Despesas!$C:$C,G$1,Despesas!$M:$M,$B573)</f>
        <v>0</v>
      </c>
      <c r="H573" s="18">
        <f>SUMIFS(Despesas!$F:$F,Despesas!$J:$J,"&lt;="&amp;$A573,Despesas!$L:$L,"&gt;="&amp;$A573,Despesas!$C:$C,H$1,Despesas!$M:$M,"Mensal")+SUMIFS(Despesas!$F:$F,Despesas!$J:$J,"&lt;="&amp;$A573,Despesas!$L:$L,"&gt;="&amp;$A573,Despesas!$C:$C,H$1,Despesas!$M:$M,$B573)</f>
        <v>1000</v>
      </c>
      <c r="I573" s="18">
        <f>IF(Imóveis!$F$2="PRICE",IF(AND(Dados!$A573&gt;=Imóveis!$Q$2,Dados!$A573&lt;=Imóveis!$T$2),Imóveis!$U$2,0),IF((IF(AND(Dados!$A573&gt;=Imóveis!$Q$2,Dados!$A573&lt;=Imóveis!$T$2),Imóveis!$S$2-(DATEDIF(Imóveis!$Q$2,Dados!$A573,"m")),0))=0,0,((Imóveis!$N$2/Imóveis!$S$2)+((Imóveis!$N$2-((Imóveis!$S$2-(IF(AND(Dados!$A573&gt;=Imóveis!$Q$2,Dados!$A573&lt;=Imóveis!$T$2),Imóveis!$S$2-(DATEDIF(Imóveis!$Q$2,Dados!$A573,"m")),)))*(Imóveis!$N$2/Imóveis!$S$2)))*Imóveis!$P$2))))*IF(AND(Imóveis!$E$2&gt;0,Dados!$A573&gt;Imóveis!$E$2),0,1)</f>
        <v>0</v>
      </c>
      <c r="J573" s="18">
        <f>IF(Imóveis!$F$3="PRICE",IF(AND(Dados!$A573&gt;=Imóveis!$Q$3,Dados!$A573&lt;=Imóveis!$T$3),Imóveis!$U$3,0),IF((IF(AND(Dados!$A573&gt;=Imóveis!$Q$3,Dados!$A573&lt;=Imóveis!$T$3),Imóveis!$S$3-(DATEDIF(Imóveis!$Q$3,Dados!$A573,"m")),0))=0,0,((Imóveis!$N$3/Imóveis!$S$3)+((Imóveis!$N$3-((Imóveis!$S$3-(IF(AND(Dados!$A573&gt;=Imóveis!$Q$3,Dados!$A573&lt;=Imóveis!$T$3),Imóveis!$S$3-(DATEDIF(Imóveis!$Q$3,Dados!$A573,"m")),)))*(Imóveis!$N$3/Imóveis!$S$3)))*Imóveis!$P$3))))*IF(AND(Imóveis!$E$3&gt;0,Dados!$A573&gt;Imóveis!$E$3),0,1)</f>
        <v>0</v>
      </c>
      <c r="K573" s="18">
        <f>IF(Imóveis!$F$4="PRICE",IF(AND(Dados!$A573&gt;=Imóveis!$Q$4,Dados!$A573&lt;=Imóveis!$T$4),Imóveis!$U$4,0),IF((IF(AND(Dados!$A573&gt;=Imóveis!$Q$4,Dados!$A573&lt;=Imóveis!$T$4),Imóveis!$S$4-(DATEDIF(Imóveis!$Q$4,Dados!$A573,"m")),0))=0,0,((Imóveis!$N$4/Imóveis!$S$4)+((Imóveis!$N$4-((Imóveis!$S$4-(IF(AND(Dados!$A573&gt;=Imóveis!$Q$4,Dados!$A573&lt;=Imóveis!$T$4),Imóveis!$S$4-(DATEDIF(Imóveis!$Q$4,Dados!$A573,"m")),)))*(Imóveis!$N$4/Imóveis!$S$4)))*Imóveis!$P$4))))*IF(AND(Imóveis!$E$4&gt;0,Dados!$A573&gt;Imóveis!$E$4),0,1)</f>
        <v>0</v>
      </c>
      <c r="L573" s="18">
        <f>IF(Imóveis!$F$5="PRICE",IF(AND(Dados!$A573&gt;=Imóveis!$Q$5,Dados!$A573&lt;=Imóveis!$T$5),Imóveis!$U$5,0),IF((IF(AND(Dados!$A573&gt;=Imóveis!$Q$5,Dados!$A573&lt;=Imóveis!$T$5),Imóveis!$S$5-(DATEDIF(Imóveis!$Q$5,Dados!$A573,"m")),0))=0,0,((Imóveis!$N$5/Imóveis!$S$5)+((Imóveis!$N$5-((Imóveis!$S$5-(IF(AND(Dados!$A573 &gt;=Imóveis!$Q$5,Dados!$A573&lt;=Imóveis!$T$5),Imóveis!$S$5-(DATEDIF(Imóveis!$Q$5,Dados!$A573,"m")),)))*(Imóveis!$N$5/Imóveis!$S$5)))*Imóveis!$P$5))))*IF(AND(Imóveis!$E$5&gt;0,Dados!$A573&gt;Imóveis!$E$5),0,1)*Imóveis!$I$5</f>
        <v>0</v>
      </c>
      <c r="M573" s="18">
        <f>IF(Imóveis!$F$6="PRICE",IF(AND(Dados!$A573&gt;=Imóveis!$Q$6,Dados!$A573&lt;=Imóveis!$T$6),Imóveis!$U$6,0),IF((IF(AND(Dados!$A573&gt;=Imóveis!$Q$6,Dados!$A573&lt;=Imóveis!$T$6),Imóveis!$S$6-(DATEDIF(Imóveis!$Q$6,Dados!$A573,"m")),0))=0,0,((Imóveis!$N$6/Imóveis!$S$6)+((Imóveis!$N$6-((Imóveis!$S$6-(IF(AND(Dados!$A573&gt;=Imóveis!$Q$6,Dados!$A573&lt;=Imóveis!$T$6),Imóveis!$S$6-(DATEDIF(Imóveis!$Q$6,Dados!$A573,"m")),)))*(Imóveis!$N$6/Imóveis!$S$6)))*Imóveis!$P$6))))*IF(AND(Imóveis!$E$6&gt;0,Dados!$A573&gt;Imóveis!$E$6),0,1)*Imóveis!$I$6</f>
        <v>0</v>
      </c>
      <c r="N573" s="18">
        <f t="shared" si="69"/>
        <v>37000</v>
      </c>
      <c r="O573" s="18">
        <f>SUMIFS(Receitas!$F:$F,Receitas!$J:$J,"&lt;="&amp;$A573,Receitas!$L:$L,"&gt;="&amp;$A573,Receitas!$C:$C,O$1,Receitas!$M:$M,"Mensal")+SUMIFS(Receitas!$F:$F,Receitas!$J:$J,"&lt;="&amp;$A573,Receitas!$L:$L,"&gt;="&amp;$A573,Receitas!$C:$C,O$1,Receitas!$M:$M,$B573)</f>
        <v>0</v>
      </c>
      <c r="P573" s="18">
        <f>SUMIFS(Receitas!$F:$F,Receitas!$J:$J,"&lt;="&amp;$A573,Receitas!$L:$L,"&gt;="&amp;$A573,Receitas!$C:$C,P$1,Receitas!$M:$M,"Mensal")+SUMIFS(Receitas!$F:$F,Receitas!$J:$J,"&lt;="&amp;$A573,Receitas!$L:$L,"&gt;="&amp;$A573,Receitas!$C:$C,P$1,Receitas!$M:$M,$B573)</f>
        <v>0</v>
      </c>
      <c r="Q573" s="18">
        <f>SUMIFS(Receitas!$F:$F,Receitas!$J:$J,"&lt;="&amp;$A573,Receitas!$L:$L,"&gt;="&amp;$A573,Receitas!$C:$C,Q$1,Receitas!$M:$M,"Mensal")+SUMIFS(Receitas!$F:$F,Receitas!$J:$J,"&lt;="&amp;$A573,Receitas!$L:$L,"&gt;="&amp;$A573,Receitas!$C:$C,Q$1,Receitas!$M:$M,$B573)</f>
        <v>0</v>
      </c>
      <c r="R573" s="18" cm="1">
        <f t="array" ref="R573">(IF(AND(Membros!$F$2="Sim",A573&lt;=MAX(Membros!$E$2:$E$5)),Membros!K$2,IF(AND(A573&gt;=Membros!J$2,A573&lt;=MAX(Membros!$E$2:$E$5)),Membros!K$2,0))+IF(AND(Membros!$F$3="Sim",A573&lt;=MAX(Membros!$E$2:$E$5)),Membros!K$3,IF(AND(A573&gt;=Membros!J$3,A573&lt;=MAX(Membros!$E$2:$E$5)),Membros!K$3,0)))*IF(AND(COUNTIFS(Tabela3[Tipo],"Provedor",Tabela3[Simulação Seguro],"Sim")=2,A573&gt;=MAX(IF(Tabela3[Tipo]="Dependente",Tabela3[Expectativa de Vida (Data)]))),0,1)</f>
        <v>10000</v>
      </c>
      <c r="S573" s="18">
        <f t="shared" si="70"/>
        <v>10000</v>
      </c>
      <c r="U573" s="18">
        <f t="shared" ca="1" si="73"/>
        <v>37233971.494839072</v>
      </c>
      <c r="V573" s="18">
        <f>SUMIF(Imóveis!E:E,Dados!A:A,Imóveis!Z:Z)-SUMIF(Imóveis!E:E,Dados!A:A,Imóveis!Y:Y)</f>
        <v>0</v>
      </c>
      <c r="W573" s="18">
        <f>-SUMIF(Projetos!N:N,A573,Projetos!F:F)</f>
        <v>0</v>
      </c>
      <c r="X573" s="18">
        <f t="shared" si="67"/>
        <v>-27000</v>
      </c>
      <c r="Y573" s="26">
        <f ca="1">(U573*((Indicadores_Economicos!D$2+1)^(1/12)-1))</f>
        <v>121894.33373191506</v>
      </c>
      <c r="Z573" s="18">
        <f t="shared" ca="1" si="71"/>
        <v>37328865.828570984</v>
      </c>
      <c r="AA573" s="18">
        <f ca="1">Auxiliar_Projetos!E573</f>
        <v>2.5275437587859573E-9</v>
      </c>
      <c r="AB573" s="18">
        <f ca="1">Auxiliar_Projetos!K573</f>
        <v>1.9442644298353499E-9</v>
      </c>
      <c r="AC573" s="18">
        <f ca="1">IF(Z573-AA573-AB573&gt;Investimentos!$C$14,Investimentos!$C$14,IF(Z573-AA573-AB573&lt;Investimentos!$C$14,Z573-AA573-AB573,0))</f>
        <v>300000</v>
      </c>
      <c r="AD573" s="18">
        <f t="shared" ca="1" si="72"/>
        <v>37028865.828570984</v>
      </c>
      <c r="AE573" s="18"/>
    </row>
    <row r="574" spans="1:31" x14ac:dyDescent="0.2">
      <c r="A574" s="4">
        <v>63068</v>
      </c>
      <c r="B574" s="5" t="str">
        <f t="shared" si="68"/>
        <v>setembro</v>
      </c>
      <c r="C574" s="5" t="str">
        <f t="shared" si="74"/>
        <v>2072</v>
      </c>
      <c r="D574" s="5">
        <f>SUMIFS(Despesas!$F:$F,Despesas!$J:$J,"&lt;="&amp;$A574,Despesas!$L:$L,"&gt;="&amp;$A574,Despesas!$C:$C,D$1,Despesas!$M:$M,"Mensal")+SUMIFS(Despesas!$F:$F,Despesas!$J:$J,"&lt;="&amp;$A574,Despesas!$L:$L,"&gt;="&amp;$A574,Despesas!$C:$C,D$1,Despesas!$M:$M,$B574)</f>
        <v>23000</v>
      </c>
      <c r="E574" s="18">
        <f>SUMIFS(Despesas!$F:$F,Despesas!$J:$J,"&lt;="&amp;$A574,Despesas!$L:$L,"&gt;="&amp;$A574,Despesas!$C:$C,E$1,Despesas!$M:$M,"Mensal")+SUMIFS(Despesas!$F:$F,Despesas!$J:$J,"&lt;="&amp;$A574,Despesas!$L:$L,"&gt;="&amp;$A574,Despesas!$C:$C,E$1,Despesas!$M:$M,$B574)</f>
        <v>0</v>
      </c>
      <c r="F574" s="5">
        <f>SUMIFS(Despesas!$F:$F,Despesas!$J:$J,"&lt;="&amp;$A574,Despesas!$L:$L,"&gt;="&amp;$A574,Despesas!$C:$C,F$1,Despesas!$M:$M,"Mensal")+SUMIFS(Despesas!$F:$F,Despesas!$J:$J,"&lt;="&amp;$A574,Despesas!$L:$L,"&gt;="&amp;$A574,Despesas!$C:$C,F$1,Despesas!$M:$M,$B574)</f>
        <v>13000</v>
      </c>
      <c r="G574" s="5">
        <f>SUMIFS(Despesas!$F:$F,Despesas!$J:$J,"&lt;="&amp;$A574,Despesas!$L:$L,"&gt;="&amp;$A574,Despesas!$C:$C,G$1,Despesas!$M:$M,"Mensal")+SUMIFS(Despesas!$F:$F,Despesas!$J:$J,"&lt;="&amp;$A574,Despesas!$L:$L,"&gt;="&amp;$A574,Despesas!$C:$C,G$1,Despesas!$M:$M,$B574)</f>
        <v>0</v>
      </c>
      <c r="H574" s="18">
        <f>SUMIFS(Despesas!$F:$F,Despesas!$J:$J,"&lt;="&amp;$A574,Despesas!$L:$L,"&gt;="&amp;$A574,Despesas!$C:$C,H$1,Despesas!$M:$M,"Mensal")+SUMIFS(Despesas!$F:$F,Despesas!$J:$J,"&lt;="&amp;$A574,Despesas!$L:$L,"&gt;="&amp;$A574,Despesas!$C:$C,H$1,Despesas!$M:$M,$B574)</f>
        <v>1000</v>
      </c>
      <c r="I574" s="18">
        <f>IF(Imóveis!$F$2="PRICE",IF(AND(Dados!$A574&gt;=Imóveis!$Q$2,Dados!$A574&lt;=Imóveis!$T$2),Imóveis!$U$2,0),IF((IF(AND(Dados!$A574&gt;=Imóveis!$Q$2,Dados!$A574&lt;=Imóveis!$T$2),Imóveis!$S$2-(DATEDIF(Imóveis!$Q$2,Dados!$A574,"m")),0))=0,0,((Imóveis!$N$2/Imóveis!$S$2)+((Imóveis!$N$2-((Imóveis!$S$2-(IF(AND(Dados!$A574&gt;=Imóveis!$Q$2,Dados!$A574&lt;=Imóveis!$T$2),Imóveis!$S$2-(DATEDIF(Imóveis!$Q$2,Dados!$A574,"m")),)))*(Imóveis!$N$2/Imóveis!$S$2)))*Imóveis!$P$2))))*IF(AND(Imóveis!$E$2&gt;0,Dados!$A574&gt;Imóveis!$E$2),0,1)</f>
        <v>0</v>
      </c>
      <c r="J574" s="18">
        <f>IF(Imóveis!$F$3="PRICE",IF(AND(Dados!$A574&gt;=Imóveis!$Q$3,Dados!$A574&lt;=Imóveis!$T$3),Imóveis!$U$3,0),IF((IF(AND(Dados!$A574&gt;=Imóveis!$Q$3,Dados!$A574&lt;=Imóveis!$T$3),Imóveis!$S$3-(DATEDIF(Imóveis!$Q$3,Dados!$A574,"m")),0))=0,0,((Imóveis!$N$3/Imóveis!$S$3)+((Imóveis!$N$3-((Imóveis!$S$3-(IF(AND(Dados!$A574&gt;=Imóveis!$Q$3,Dados!$A574&lt;=Imóveis!$T$3),Imóveis!$S$3-(DATEDIF(Imóveis!$Q$3,Dados!$A574,"m")),)))*(Imóveis!$N$3/Imóveis!$S$3)))*Imóveis!$P$3))))*IF(AND(Imóveis!$E$3&gt;0,Dados!$A574&gt;Imóveis!$E$3),0,1)</f>
        <v>0</v>
      </c>
      <c r="K574" s="18">
        <f>IF(Imóveis!$F$4="PRICE",IF(AND(Dados!$A574&gt;=Imóveis!$Q$4,Dados!$A574&lt;=Imóveis!$T$4),Imóveis!$U$4,0),IF((IF(AND(Dados!$A574&gt;=Imóveis!$Q$4,Dados!$A574&lt;=Imóveis!$T$4),Imóveis!$S$4-(DATEDIF(Imóveis!$Q$4,Dados!$A574,"m")),0))=0,0,((Imóveis!$N$4/Imóveis!$S$4)+((Imóveis!$N$4-((Imóveis!$S$4-(IF(AND(Dados!$A574&gt;=Imóveis!$Q$4,Dados!$A574&lt;=Imóveis!$T$4),Imóveis!$S$4-(DATEDIF(Imóveis!$Q$4,Dados!$A574,"m")),)))*(Imóveis!$N$4/Imóveis!$S$4)))*Imóveis!$P$4))))*IF(AND(Imóveis!$E$4&gt;0,Dados!$A574&gt;Imóveis!$E$4),0,1)</f>
        <v>0</v>
      </c>
      <c r="L574" s="18">
        <f>IF(Imóveis!$F$5="PRICE",IF(AND(Dados!$A574&gt;=Imóveis!$Q$5,Dados!$A574&lt;=Imóveis!$T$5),Imóveis!$U$5,0),IF((IF(AND(Dados!$A574&gt;=Imóveis!$Q$5,Dados!$A574&lt;=Imóveis!$T$5),Imóveis!$S$5-(DATEDIF(Imóveis!$Q$5,Dados!$A574,"m")),0))=0,0,((Imóveis!$N$5/Imóveis!$S$5)+((Imóveis!$N$5-((Imóveis!$S$5-(IF(AND(Dados!$A574 &gt;=Imóveis!$Q$5,Dados!$A574&lt;=Imóveis!$T$5),Imóveis!$S$5-(DATEDIF(Imóveis!$Q$5,Dados!$A574,"m")),)))*(Imóveis!$N$5/Imóveis!$S$5)))*Imóveis!$P$5))))*IF(AND(Imóveis!$E$5&gt;0,Dados!$A574&gt;Imóveis!$E$5),0,1)*Imóveis!$I$5</f>
        <v>0</v>
      </c>
      <c r="M574" s="18">
        <f>IF(Imóveis!$F$6="PRICE",IF(AND(Dados!$A574&gt;=Imóveis!$Q$6,Dados!$A574&lt;=Imóveis!$T$6),Imóveis!$U$6,0),IF((IF(AND(Dados!$A574&gt;=Imóveis!$Q$6,Dados!$A574&lt;=Imóveis!$T$6),Imóveis!$S$6-(DATEDIF(Imóveis!$Q$6,Dados!$A574,"m")),0))=0,0,((Imóveis!$N$6/Imóveis!$S$6)+((Imóveis!$N$6-((Imóveis!$S$6-(IF(AND(Dados!$A574&gt;=Imóveis!$Q$6,Dados!$A574&lt;=Imóveis!$T$6),Imóveis!$S$6-(DATEDIF(Imóveis!$Q$6,Dados!$A574,"m")),)))*(Imóveis!$N$6/Imóveis!$S$6)))*Imóveis!$P$6))))*IF(AND(Imóveis!$E$6&gt;0,Dados!$A574&gt;Imóveis!$E$6),0,1)*Imóveis!$I$6</f>
        <v>0</v>
      </c>
      <c r="N574" s="18">
        <f t="shared" si="69"/>
        <v>37000</v>
      </c>
      <c r="O574" s="18">
        <f>SUMIFS(Receitas!$F:$F,Receitas!$J:$J,"&lt;="&amp;$A574,Receitas!$L:$L,"&gt;="&amp;$A574,Receitas!$C:$C,O$1,Receitas!$M:$M,"Mensal")+SUMIFS(Receitas!$F:$F,Receitas!$J:$J,"&lt;="&amp;$A574,Receitas!$L:$L,"&gt;="&amp;$A574,Receitas!$C:$C,O$1,Receitas!$M:$M,$B574)</f>
        <v>0</v>
      </c>
      <c r="P574" s="18">
        <f>SUMIFS(Receitas!$F:$F,Receitas!$J:$J,"&lt;="&amp;$A574,Receitas!$L:$L,"&gt;="&amp;$A574,Receitas!$C:$C,P$1,Receitas!$M:$M,"Mensal")+SUMIFS(Receitas!$F:$F,Receitas!$J:$J,"&lt;="&amp;$A574,Receitas!$L:$L,"&gt;="&amp;$A574,Receitas!$C:$C,P$1,Receitas!$M:$M,$B574)</f>
        <v>0</v>
      </c>
      <c r="Q574" s="18">
        <f>SUMIFS(Receitas!$F:$F,Receitas!$J:$J,"&lt;="&amp;$A574,Receitas!$L:$L,"&gt;="&amp;$A574,Receitas!$C:$C,Q$1,Receitas!$M:$M,"Mensal")+SUMIFS(Receitas!$F:$F,Receitas!$J:$J,"&lt;="&amp;$A574,Receitas!$L:$L,"&gt;="&amp;$A574,Receitas!$C:$C,Q$1,Receitas!$M:$M,$B574)</f>
        <v>0</v>
      </c>
      <c r="R574" s="18" cm="1">
        <f t="array" ref="R574">(IF(AND(Membros!$F$2="Sim",A574&lt;=MAX(Membros!$E$2:$E$5)),Membros!K$2,IF(AND(A574&gt;=Membros!J$2,A574&lt;=MAX(Membros!$E$2:$E$5)),Membros!K$2,0))+IF(AND(Membros!$F$3="Sim",A574&lt;=MAX(Membros!$E$2:$E$5)),Membros!K$3,IF(AND(A574&gt;=Membros!J$3,A574&lt;=MAX(Membros!$E$2:$E$5)),Membros!K$3,0)))*IF(AND(COUNTIFS(Tabela3[Tipo],"Provedor",Tabela3[Simulação Seguro],"Sim")=2,A574&gt;=MAX(IF(Tabela3[Tipo]="Dependente",Tabela3[Expectativa de Vida (Data)]))),0,1)</f>
        <v>10000</v>
      </c>
      <c r="S574" s="18">
        <f t="shared" si="70"/>
        <v>10000</v>
      </c>
      <c r="U574" s="18">
        <f t="shared" ca="1" si="73"/>
        <v>37328865.828570984</v>
      </c>
      <c r="V574" s="18">
        <f>SUMIF(Imóveis!E:E,Dados!A:A,Imóveis!Z:Z)-SUMIF(Imóveis!E:E,Dados!A:A,Imóveis!Y:Y)</f>
        <v>0</v>
      </c>
      <c r="W574" s="18">
        <f>-SUMIF(Projetos!N:N,A574,Projetos!F:F)</f>
        <v>0</v>
      </c>
      <c r="X574" s="18">
        <f t="shared" si="67"/>
        <v>-27000</v>
      </c>
      <c r="Y574" s="26">
        <f ca="1">(U574*((Indicadores_Economicos!D$2+1)^(1/12)-1))</f>
        <v>122204.99308735848</v>
      </c>
      <c r="Z574" s="18">
        <f t="shared" ca="1" si="71"/>
        <v>37424070.821658343</v>
      </c>
      <c r="AA574" s="18">
        <f ca="1">Auxiliar_Projetos!E574</f>
        <v>2.5358182793403435E-9</v>
      </c>
      <c r="AB574" s="18">
        <f ca="1">Auxiliar_Projetos!K574</f>
        <v>1.9506294456464162E-9</v>
      </c>
      <c r="AC574" s="18">
        <f ca="1">IF(Z574-AA574-AB574&gt;Investimentos!$C$14,Investimentos!$C$14,IF(Z574-AA574-AB574&lt;Investimentos!$C$14,Z574-AA574-AB574,0))</f>
        <v>300000</v>
      </c>
      <c r="AD574" s="18">
        <f t="shared" ca="1" si="72"/>
        <v>37124070.821658343</v>
      </c>
      <c r="AE574" s="18"/>
    </row>
    <row r="575" spans="1:31" x14ac:dyDescent="0.2">
      <c r="A575" s="4">
        <v>63098</v>
      </c>
      <c r="B575" s="5" t="str">
        <f t="shared" si="68"/>
        <v>outubro</v>
      </c>
      <c r="C575" s="5" t="str">
        <f t="shared" si="74"/>
        <v>2072</v>
      </c>
      <c r="D575" s="5">
        <f>SUMIFS(Despesas!$F:$F,Despesas!$J:$J,"&lt;="&amp;$A575,Despesas!$L:$L,"&gt;="&amp;$A575,Despesas!$C:$C,D$1,Despesas!$M:$M,"Mensal")+SUMIFS(Despesas!$F:$F,Despesas!$J:$J,"&lt;="&amp;$A575,Despesas!$L:$L,"&gt;="&amp;$A575,Despesas!$C:$C,D$1,Despesas!$M:$M,$B575)</f>
        <v>23000</v>
      </c>
      <c r="E575" s="18">
        <f>SUMIFS(Despesas!$F:$F,Despesas!$J:$J,"&lt;="&amp;$A575,Despesas!$L:$L,"&gt;="&amp;$A575,Despesas!$C:$C,E$1,Despesas!$M:$M,"Mensal")+SUMIFS(Despesas!$F:$F,Despesas!$J:$J,"&lt;="&amp;$A575,Despesas!$L:$L,"&gt;="&amp;$A575,Despesas!$C:$C,E$1,Despesas!$M:$M,$B575)</f>
        <v>0</v>
      </c>
      <c r="F575" s="5">
        <f>SUMIFS(Despesas!$F:$F,Despesas!$J:$J,"&lt;="&amp;$A575,Despesas!$L:$L,"&gt;="&amp;$A575,Despesas!$C:$C,F$1,Despesas!$M:$M,"Mensal")+SUMIFS(Despesas!$F:$F,Despesas!$J:$J,"&lt;="&amp;$A575,Despesas!$L:$L,"&gt;="&amp;$A575,Despesas!$C:$C,F$1,Despesas!$M:$M,$B575)</f>
        <v>13000</v>
      </c>
      <c r="G575" s="5">
        <f>SUMIFS(Despesas!$F:$F,Despesas!$J:$J,"&lt;="&amp;$A575,Despesas!$L:$L,"&gt;="&amp;$A575,Despesas!$C:$C,G$1,Despesas!$M:$M,"Mensal")+SUMIFS(Despesas!$F:$F,Despesas!$J:$J,"&lt;="&amp;$A575,Despesas!$L:$L,"&gt;="&amp;$A575,Despesas!$C:$C,G$1,Despesas!$M:$M,$B575)</f>
        <v>0</v>
      </c>
      <c r="H575" s="18">
        <f>SUMIFS(Despesas!$F:$F,Despesas!$J:$J,"&lt;="&amp;$A575,Despesas!$L:$L,"&gt;="&amp;$A575,Despesas!$C:$C,H$1,Despesas!$M:$M,"Mensal")+SUMIFS(Despesas!$F:$F,Despesas!$J:$J,"&lt;="&amp;$A575,Despesas!$L:$L,"&gt;="&amp;$A575,Despesas!$C:$C,H$1,Despesas!$M:$M,$B575)</f>
        <v>1000</v>
      </c>
      <c r="I575" s="18">
        <f>IF(Imóveis!$F$2="PRICE",IF(AND(Dados!$A575&gt;=Imóveis!$Q$2,Dados!$A575&lt;=Imóveis!$T$2),Imóveis!$U$2,0),IF((IF(AND(Dados!$A575&gt;=Imóveis!$Q$2,Dados!$A575&lt;=Imóveis!$T$2),Imóveis!$S$2-(DATEDIF(Imóveis!$Q$2,Dados!$A575,"m")),0))=0,0,((Imóveis!$N$2/Imóveis!$S$2)+((Imóveis!$N$2-((Imóveis!$S$2-(IF(AND(Dados!$A575&gt;=Imóveis!$Q$2,Dados!$A575&lt;=Imóveis!$T$2),Imóveis!$S$2-(DATEDIF(Imóveis!$Q$2,Dados!$A575,"m")),)))*(Imóveis!$N$2/Imóveis!$S$2)))*Imóveis!$P$2))))*IF(AND(Imóveis!$E$2&gt;0,Dados!$A575&gt;Imóveis!$E$2),0,1)</f>
        <v>0</v>
      </c>
      <c r="J575" s="18">
        <f>IF(Imóveis!$F$3="PRICE",IF(AND(Dados!$A575&gt;=Imóveis!$Q$3,Dados!$A575&lt;=Imóveis!$T$3),Imóveis!$U$3,0),IF((IF(AND(Dados!$A575&gt;=Imóveis!$Q$3,Dados!$A575&lt;=Imóveis!$T$3),Imóveis!$S$3-(DATEDIF(Imóveis!$Q$3,Dados!$A575,"m")),0))=0,0,((Imóveis!$N$3/Imóveis!$S$3)+((Imóveis!$N$3-((Imóveis!$S$3-(IF(AND(Dados!$A575&gt;=Imóveis!$Q$3,Dados!$A575&lt;=Imóveis!$T$3),Imóveis!$S$3-(DATEDIF(Imóveis!$Q$3,Dados!$A575,"m")),)))*(Imóveis!$N$3/Imóveis!$S$3)))*Imóveis!$P$3))))*IF(AND(Imóveis!$E$3&gt;0,Dados!$A575&gt;Imóveis!$E$3),0,1)</f>
        <v>0</v>
      </c>
      <c r="K575" s="18">
        <f>IF(Imóveis!$F$4="PRICE",IF(AND(Dados!$A575&gt;=Imóveis!$Q$4,Dados!$A575&lt;=Imóveis!$T$4),Imóveis!$U$4,0),IF((IF(AND(Dados!$A575&gt;=Imóveis!$Q$4,Dados!$A575&lt;=Imóveis!$T$4),Imóveis!$S$4-(DATEDIF(Imóveis!$Q$4,Dados!$A575,"m")),0))=0,0,((Imóveis!$N$4/Imóveis!$S$4)+((Imóveis!$N$4-((Imóveis!$S$4-(IF(AND(Dados!$A575&gt;=Imóveis!$Q$4,Dados!$A575&lt;=Imóveis!$T$4),Imóveis!$S$4-(DATEDIF(Imóveis!$Q$4,Dados!$A575,"m")),)))*(Imóveis!$N$4/Imóveis!$S$4)))*Imóveis!$P$4))))*IF(AND(Imóveis!$E$4&gt;0,Dados!$A575&gt;Imóveis!$E$4),0,1)</f>
        <v>0</v>
      </c>
      <c r="L575" s="18">
        <f>IF(Imóveis!$F$5="PRICE",IF(AND(Dados!$A575&gt;=Imóveis!$Q$5,Dados!$A575&lt;=Imóveis!$T$5),Imóveis!$U$5,0),IF((IF(AND(Dados!$A575&gt;=Imóveis!$Q$5,Dados!$A575&lt;=Imóveis!$T$5),Imóveis!$S$5-(DATEDIF(Imóveis!$Q$5,Dados!$A575,"m")),0))=0,0,((Imóveis!$N$5/Imóveis!$S$5)+((Imóveis!$N$5-((Imóveis!$S$5-(IF(AND(Dados!$A575 &gt;=Imóveis!$Q$5,Dados!$A575&lt;=Imóveis!$T$5),Imóveis!$S$5-(DATEDIF(Imóveis!$Q$5,Dados!$A575,"m")),)))*(Imóveis!$N$5/Imóveis!$S$5)))*Imóveis!$P$5))))*IF(AND(Imóveis!$E$5&gt;0,Dados!$A575&gt;Imóveis!$E$5),0,1)*Imóveis!$I$5</f>
        <v>0</v>
      </c>
      <c r="M575" s="18">
        <f>IF(Imóveis!$F$6="PRICE",IF(AND(Dados!$A575&gt;=Imóveis!$Q$6,Dados!$A575&lt;=Imóveis!$T$6),Imóveis!$U$6,0),IF((IF(AND(Dados!$A575&gt;=Imóveis!$Q$6,Dados!$A575&lt;=Imóveis!$T$6),Imóveis!$S$6-(DATEDIF(Imóveis!$Q$6,Dados!$A575,"m")),0))=0,0,((Imóveis!$N$6/Imóveis!$S$6)+((Imóveis!$N$6-((Imóveis!$S$6-(IF(AND(Dados!$A575&gt;=Imóveis!$Q$6,Dados!$A575&lt;=Imóveis!$T$6),Imóveis!$S$6-(DATEDIF(Imóveis!$Q$6,Dados!$A575,"m")),)))*(Imóveis!$N$6/Imóveis!$S$6)))*Imóveis!$P$6))))*IF(AND(Imóveis!$E$6&gt;0,Dados!$A575&gt;Imóveis!$E$6),0,1)*Imóveis!$I$6</f>
        <v>0</v>
      </c>
      <c r="N575" s="18">
        <f t="shared" si="69"/>
        <v>37000</v>
      </c>
      <c r="O575" s="18">
        <f>SUMIFS(Receitas!$F:$F,Receitas!$J:$J,"&lt;="&amp;$A575,Receitas!$L:$L,"&gt;="&amp;$A575,Receitas!$C:$C,O$1,Receitas!$M:$M,"Mensal")+SUMIFS(Receitas!$F:$F,Receitas!$J:$J,"&lt;="&amp;$A575,Receitas!$L:$L,"&gt;="&amp;$A575,Receitas!$C:$C,O$1,Receitas!$M:$M,$B575)</f>
        <v>0</v>
      </c>
      <c r="P575" s="18">
        <f>SUMIFS(Receitas!$F:$F,Receitas!$J:$J,"&lt;="&amp;$A575,Receitas!$L:$L,"&gt;="&amp;$A575,Receitas!$C:$C,P$1,Receitas!$M:$M,"Mensal")+SUMIFS(Receitas!$F:$F,Receitas!$J:$J,"&lt;="&amp;$A575,Receitas!$L:$L,"&gt;="&amp;$A575,Receitas!$C:$C,P$1,Receitas!$M:$M,$B575)</f>
        <v>0</v>
      </c>
      <c r="Q575" s="18">
        <f>SUMIFS(Receitas!$F:$F,Receitas!$J:$J,"&lt;="&amp;$A575,Receitas!$L:$L,"&gt;="&amp;$A575,Receitas!$C:$C,Q$1,Receitas!$M:$M,"Mensal")+SUMIFS(Receitas!$F:$F,Receitas!$J:$J,"&lt;="&amp;$A575,Receitas!$L:$L,"&gt;="&amp;$A575,Receitas!$C:$C,Q$1,Receitas!$M:$M,$B575)</f>
        <v>0</v>
      </c>
      <c r="R575" s="18" cm="1">
        <f t="array" ref="R575">(IF(AND(Membros!$F$2="Sim",A575&lt;=MAX(Membros!$E$2:$E$5)),Membros!K$2,IF(AND(A575&gt;=Membros!J$2,A575&lt;=MAX(Membros!$E$2:$E$5)),Membros!K$2,0))+IF(AND(Membros!$F$3="Sim",A575&lt;=MAX(Membros!$E$2:$E$5)),Membros!K$3,IF(AND(A575&gt;=Membros!J$3,A575&lt;=MAX(Membros!$E$2:$E$5)),Membros!K$3,0)))*IF(AND(COUNTIFS(Tabela3[Tipo],"Provedor",Tabela3[Simulação Seguro],"Sim")=2,A575&gt;=MAX(IF(Tabela3[Tipo]="Dependente",Tabela3[Expectativa de Vida (Data)]))),0,1)</f>
        <v>10000</v>
      </c>
      <c r="S575" s="18">
        <f t="shared" si="70"/>
        <v>10000</v>
      </c>
      <c r="U575" s="18">
        <f t="shared" ca="1" si="73"/>
        <v>37424070.821658343</v>
      </c>
      <c r="V575" s="18">
        <f>SUMIF(Imóveis!E:E,Dados!A:A,Imóveis!Z:Z)-SUMIF(Imóveis!E:E,Dados!A:A,Imóveis!Y:Y)</f>
        <v>0</v>
      </c>
      <c r="W575" s="18">
        <f>-SUMIF(Projetos!N:N,A575,Projetos!F:F)</f>
        <v>0</v>
      </c>
      <c r="X575" s="18">
        <f t="shared" si="67"/>
        <v>-27000</v>
      </c>
      <c r="Y575" s="26">
        <f ca="1">(U575*((Indicadores_Economicos!D$2+1)^(1/12)-1))</f>
        <v>122516.66946069253</v>
      </c>
      <c r="Z575" s="18">
        <f t="shared" ca="1" si="71"/>
        <v>37519587.491119035</v>
      </c>
      <c r="AA575" s="18">
        <f ca="1">Auxiliar_Projetos!E575</f>
        <v>2.5441198885218471E-9</v>
      </c>
      <c r="AB575" s="18">
        <f ca="1">Auxiliar_Projetos!K575</f>
        <v>1.9570152988629576E-9</v>
      </c>
      <c r="AC575" s="18">
        <f ca="1">IF(Z575-AA575-AB575&gt;Investimentos!$C$14,Investimentos!$C$14,IF(Z575-AA575-AB575&lt;Investimentos!$C$14,Z575-AA575-AB575,0))</f>
        <v>300000</v>
      </c>
      <c r="AD575" s="18">
        <f t="shared" ca="1" si="72"/>
        <v>37219587.491119035</v>
      </c>
      <c r="AE575" s="18"/>
    </row>
    <row r="576" spans="1:31" x14ac:dyDescent="0.2">
      <c r="A576" s="4">
        <v>63129</v>
      </c>
      <c r="B576" s="5" t="str">
        <f t="shared" si="68"/>
        <v>novembro</v>
      </c>
      <c r="C576" s="5" t="str">
        <f t="shared" si="74"/>
        <v>2072</v>
      </c>
      <c r="D576" s="5">
        <f>SUMIFS(Despesas!$F:$F,Despesas!$J:$J,"&lt;="&amp;$A576,Despesas!$L:$L,"&gt;="&amp;$A576,Despesas!$C:$C,D$1,Despesas!$M:$M,"Mensal")+SUMIFS(Despesas!$F:$F,Despesas!$J:$J,"&lt;="&amp;$A576,Despesas!$L:$L,"&gt;="&amp;$A576,Despesas!$C:$C,D$1,Despesas!$M:$M,$B576)</f>
        <v>23000</v>
      </c>
      <c r="E576" s="18">
        <f>SUMIFS(Despesas!$F:$F,Despesas!$J:$J,"&lt;="&amp;$A576,Despesas!$L:$L,"&gt;="&amp;$A576,Despesas!$C:$C,E$1,Despesas!$M:$M,"Mensal")+SUMIFS(Despesas!$F:$F,Despesas!$J:$J,"&lt;="&amp;$A576,Despesas!$L:$L,"&gt;="&amp;$A576,Despesas!$C:$C,E$1,Despesas!$M:$M,$B576)</f>
        <v>0</v>
      </c>
      <c r="F576" s="5">
        <f>SUMIFS(Despesas!$F:$F,Despesas!$J:$J,"&lt;="&amp;$A576,Despesas!$L:$L,"&gt;="&amp;$A576,Despesas!$C:$C,F$1,Despesas!$M:$M,"Mensal")+SUMIFS(Despesas!$F:$F,Despesas!$J:$J,"&lt;="&amp;$A576,Despesas!$L:$L,"&gt;="&amp;$A576,Despesas!$C:$C,F$1,Despesas!$M:$M,$B576)</f>
        <v>13000</v>
      </c>
      <c r="G576" s="5">
        <f>SUMIFS(Despesas!$F:$F,Despesas!$J:$J,"&lt;="&amp;$A576,Despesas!$L:$L,"&gt;="&amp;$A576,Despesas!$C:$C,G$1,Despesas!$M:$M,"Mensal")+SUMIFS(Despesas!$F:$F,Despesas!$J:$J,"&lt;="&amp;$A576,Despesas!$L:$L,"&gt;="&amp;$A576,Despesas!$C:$C,G$1,Despesas!$M:$M,$B576)</f>
        <v>0</v>
      </c>
      <c r="H576" s="18">
        <f>SUMIFS(Despesas!$F:$F,Despesas!$J:$J,"&lt;="&amp;$A576,Despesas!$L:$L,"&gt;="&amp;$A576,Despesas!$C:$C,H$1,Despesas!$M:$M,"Mensal")+SUMIFS(Despesas!$F:$F,Despesas!$J:$J,"&lt;="&amp;$A576,Despesas!$L:$L,"&gt;="&amp;$A576,Despesas!$C:$C,H$1,Despesas!$M:$M,$B576)</f>
        <v>1000</v>
      </c>
      <c r="I576" s="18">
        <f>IF(Imóveis!$F$2="PRICE",IF(AND(Dados!$A576&gt;=Imóveis!$Q$2,Dados!$A576&lt;=Imóveis!$T$2),Imóveis!$U$2,0),IF((IF(AND(Dados!$A576&gt;=Imóveis!$Q$2,Dados!$A576&lt;=Imóveis!$T$2),Imóveis!$S$2-(DATEDIF(Imóveis!$Q$2,Dados!$A576,"m")),0))=0,0,((Imóveis!$N$2/Imóveis!$S$2)+((Imóveis!$N$2-((Imóveis!$S$2-(IF(AND(Dados!$A576&gt;=Imóveis!$Q$2,Dados!$A576&lt;=Imóveis!$T$2),Imóveis!$S$2-(DATEDIF(Imóveis!$Q$2,Dados!$A576,"m")),)))*(Imóveis!$N$2/Imóveis!$S$2)))*Imóveis!$P$2))))*IF(AND(Imóveis!$E$2&gt;0,Dados!$A576&gt;Imóveis!$E$2),0,1)</f>
        <v>0</v>
      </c>
      <c r="J576" s="18">
        <f>IF(Imóveis!$F$3="PRICE",IF(AND(Dados!$A576&gt;=Imóveis!$Q$3,Dados!$A576&lt;=Imóveis!$T$3),Imóveis!$U$3,0),IF((IF(AND(Dados!$A576&gt;=Imóveis!$Q$3,Dados!$A576&lt;=Imóveis!$T$3),Imóveis!$S$3-(DATEDIF(Imóveis!$Q$3,Dados!$A576,"m")),0))=0,0,((Imóveis!$N$3/Imóveis!$S$3)+((Imóveis!$N$3-((Imóveis!$S$3-(IF(AND(Dados!$A576&gt;=Imóveis!$Q$3,Dados!$A576&lt;=Imóveis!$T$3),Imóveis!$S$3-(DATEDIF(Imóveis!$Q$3,Dados!$A576,"m")),)))*(Imóveis!$N$3/Imóveis!$S$3)))*Imóveis!$P$3))))*IF(AND(Imóveis!$E$3&gt;0,Dados!$A576&gt;Imóveis!$E$3),0,1)</f>
        <v>0</v>
      </c>
      <c r="K576" s="18">
        <f>IF(Imóveis!$F$4="PRICE",IF(AND(Dados!$A576&gt;=Imóveis!$Q$4,Dados!$A576&lt;=Imóveis!$T$4),Imóveis!$U$4,0),IF((IF(AND(Dados!$A576&gt;=Imóveis!$Q$4,Dados!$A576&lt;=Imóveis!$T$4),Imóveis!$S$4-(DATEDIF(Imóveis!$Q$4,Dados!$A576,"m")),0))=0,0,((Imóveis!$N$4/Imóveis!$S$4)+((Imóveis!$N$4-((Imóveis!$S$4-(IF(AND(Dados!$A576&gt;=Imóveis!$Q$4,Dados!$A576&lt;=Imóveis!$T$4),Imóveis!$S$4-(DATEDIF(Imóveis!$Q$4,Dados!$A576,"m")),)))*(Imóveis!$N$4/Imóveis!$S$4)))*Imóveis!$P$4))))*IF(AND(Imóveis!$E$4&gt;0,Dados!$A576&gt;Imóveis!$E$4),0,1)</f>
        <v>0</v>
      </c>
      <c r="L576" s="18">
        <f>IF(Imóveis!$F$5="PRICE",IF(AND(Dados!$A576&gt;=Imóveis!$Q$5,Dados!$A576&lt;=Imóveis!$T$5),Imóveis!$U$5,0),IF((IF(AND(Dados!$A576&gt;=Imóveis!$Q$5,Dados!$A576&lt;=Imóveis!$T$5),Imóveis!$S$5-(DATEDIF(Imóveis!$Q$5,Dados!$A576,"m")),0))=0,0,((Imóveis!$N$5/Imóveis!$S$5)+((Imóveis!$N$5-((Imóveis!$S$5-(IF(AND(Dados!$A576 &gt;=Imóveis!$Q$5,Dados!$A576&lt;=Imóveis!$T$5),Imóveis!$S$5-(DATEDIF(Imóveis!$Q$5,Dados!$A576,"m")),)))*(Imóveis!$N$5/Imóveis!$S$5)))*Imóveis!$P$5))))*IF(AND(Imóveis!$E$5&gt;0,Dados!$A576&gt;Imóveis!$E$5),0,1)*Imóveis!$I$5</f>
        <v>0</v>
      </c>
      <c r="M576" s="18">
        <f>IF(Imóveis!$F$6="PRICE",IF(AND(Dados!$A576&gt;=Imóveis!$Q$6,Dados!$A576&lt;=Imóveis!$T$6),Imóveis!$U$6,0),IF((IF(AND(Dados!$A576&gt;=Imóveis!$Q$6,Dados!$A576&lt;=Imóveis!$T$6),Imóveis!$S$6-(DATEDIF(Imóveis!$Q$6,Dados!$A576,"m")),0))=0,0,((Imóveis!$N$6/Imóveis!$S$6)+((Imóveis!$N$6-((Imóveis!$S$6-(IF(AND(Dados!$A576&gt;=Imóveis!$Q$6,Dados!$A576&lt;=Imóveis!$T$6),Imóveis!$S$6-(DATEDIF(Imóveis!$Q$6,Dados!$A576,"m")),)))*(Imóveis!$N$6/Imóveis!$S$6)))*Imóveis!$P$6))))*IF(AND(Imóveis!$E$6&gt;0,Dados!$A576&gt;Imóveis!$E$6),0,1)*Imóveis!$I$6</f>
        <v>0</v>
      </c>
      <c r="N576" s="18">
        <f t="shared" si="69"/>
        <v>37000</v>
      </c>
      <c r="O576" s="18">
        <f>SUMIFS(Receitas!$F:$F,Receitas!$J:$J,"&lt;="&amp;$A576,Receitas!$L:$L,"&gt;="&amp;$A576,Receitas!$C:$C,O$1,Receitas!$M:$M,"Mensal")+SUMIFS(Receitas!$F:$F,Receitas!$J:$J,"&lt;="&amp;$A576,Receitas!$L:$L,"&gt;="&amp;$A576,Receitas!$C:$C,O$1,Receitas!$M:$M,$B576)</f>
        <v>0</v>
      </c>
      <c r="P576" s="18">
        <f>SUMIFS(Receitas!$F:$F,Receitas!$J:$J,"&lt;="&amp;$A576,Receitas!$L:$L,"&gt;="&amp;$A576,Receitas!$C:$C,P$1,Receitas!$M:$M,"Mensal")+SUMIFS(Receitas!$F:$F,Receitas!$J:$J,"&lt;="&amp;$A576,Receitas!$L:$L,"&gt;="&amp;$A576,Receitas!$C:$C,P$1,Receitas!$M:$M,$B576)</f>
        <v>0</v>
      </c>
      <c r="Q576" s="18">
        <f>SUMIFS(Receitas!$F:$F,Receitas!$J:$J,"&lt;="&amp;$A576,Receitas!$L:$L,"&gt;="&amp;$A576,Receitas!$C:$C,Q$1,Receitas!$M:$M,"Mensal")+SUMIFS(Receitas!$F:$F,Receitas!$J:$J,"&lt;="&amp;$A576,Receitas!$L:$L,"&gt;="&amp;$A576,Receitas!$C:$C,Q$1,Receitas!$M:$M,$B576)</f>
        <v>0</v>
      </c>
      <c r="R576" s="18" cm="1">
        <f t="array" ref="R576">(IF(AND(Membros!$F$2="Sim",A576&lt;=MAX(Membros!$E$2:$E$5)),Membros!K$2,IF(AND(A576&gt;=Membros!J$2,A576&lt;=MAX(Membros!$E$2:$E$5)),Membros!K$2,0))+IF(AND(Membros!$F$3="Sim",A576&lt;=MAX(Membros!$E$2:$E$5)),Membros!K$3,IF(AND(A576&gt;=Membros!J$3,A576&lt;=MAX(Membros!$E$2:$E$5)),Membros!K$3,0)))*IF(AND(COUNTIFS(Tabela3[Tipo],"Provedor",Tabela3[Simulação Seguro],"Sim")=2,A576&gt;=MAX(IF(Tabela3[Tipo]="Dependente",Tabela3[Expectativa de Vida (Data)]))),0,1)</f>
        <v>10000</v>
      </c>
      <c r="S576" s="18">
        <f t="shared" si="70"/>
        <v>10000</v>
      </c>
      <c r="U576" s="18">
        <f t="shared" ca="1" si="73"/>
        <v>37519587.491119035</v>
      </c>
      <c r="V576" s="18">
        <f>SUMIF(Imóveis!E:E,Dados!A:A,Imóveis!Z:Z)-SUMIF(Imóveis!E:E,Dados!A:A,Imóveis!Y:Y)</f>
        <v>0</v>
      </c>
      <c r="W576" s="18">
        <f>-SUMIF(Projetos!N:N,A576,Projetos!F:F)</f>
        <v>0</v>
      </c>
      <c r="X576" s="18">
        <f t="shared" si="67"/>
        <v>-27000</v>
      </c>
      <c r="Y576" s="26">
        <f ca="1">(U576*((Indicadores_Economicos!D$2+1)^(1/12)-1))</f>
        <v>122829.36618136914</v>
      </c>
      <c r="Z576" s="18">
        <f t="shared" ca="1" si="71"/>
        <v>37615416.857300401</v>
      </c>
      <c r="AA576" s="18">
        <f ca="1">Auxiliar_Projetos!E576</f>
        <v>2.5524486750115845E-9</v>
      </c>
      <c r="AB576" s="18">
        <f ca="1">Auxiliar_Projetos!K576</f>
        <v>1.963422057701217E-9</v>
      </c>
      <c r="AC576" s="18">
        <f ca="1">IF(Z576-AA576-AB576&gt;Investimentos!$C$14,Investimentos!$C$14,IF(Z576-AA576-AB576&lt;Investimentos!$C$14,Z576-AA576-AB576,0))</f>
        <v>300000</v>
      </c>
      <c r="AD576" s="18">
        <f t="shared" ca="1" si="72"/>
        <v>37315416.857300401</v>
      </c>
      <c r="AE576" s="18"/>
    </row>
    <row r="577" spans="1:31" x14ac:dyDescent="0.2">
      <c r="A577" s="4">
        <v>63159</v>
      </c>
      <c r="B577" s="5" t="str">
        <f t="shared" si="68"/>
        <v>dezembro</v>
      </c>
      <c r="C577" s="5" t="str">
        <f t="shared" si="74"/>
        <v>2072</v>
      </c>
      <c r="D577" s="5">
        <f>SUMIFS(Despesas!$F:$F,Despesas!$J:$J,"&lt;="&amp;$A577,Despesas!$L:$L,"&gt;="&amp;$A577,Despesas!$C:$C,D$1,Despesas!$M:$M,"Mensal")+SUMIFS(Despesas!$F:$F,Despesas!$J:$J,"&lt;="&amp;$A577,Despesas!$L:$L,"&gt;="&amp;$A577,Despesas!$C:$C,D$1,Despesas!$M:$M,$B577)</f>
        <v>23000</v>
      </c>
      <c r="E577" s="18">
        <f>SUMIFS(Despesas!$F:$F,Despesas!$J:$J,"&lt;="&amp;$A577,Despesas!$L:$L,"&gt;="&amp;$A577,Despesas!$C:$C,E$1,Despesas!$M:$M,"Mensal")+SUMIFS(Despesas!$F:$F,Despesas!$J:$J,"&lt;="&amp;$A577,Despesas!$L:$L,"&gt;="&amp;$A577,Despesas!$C:$C,E$1,Despesas!$M:$M,$B577)</f>
        <v>0</v>
      </c>
      <c r="F577" s="5">
        <f>SUMIFS(Despesas!$F:$F,Despesas!$J:$J,"&lt;="&amp;$A577,Despesas!$L:$L,"&gt;="&amp;$A577,Despesas!$C:$C,F$1,Despesas!$M:$M,"Mensal")+SUMIFS(Despesas!$F:$F,Despesas!$J:$J,"&lt;="&amp;$A577,Despesas!$L:$L,"&gt;="&amp;$A577,Despesas!$C:$C,F$1,Despesas!$M:$M,$B577)</f>
        <v>13000</v>
      </c>
      <c r="G577" s="5">
        <f ca="1">SUMIFS(Despesas!$F:$F,Despesas!$J:$J,"&lt;="&amp;$A577,Despesas!$L:$L,"&gt;="&amp;$A577,Despesas!$C:$C,G$1,Despesas!$M:$M,"Mensal")+SUMIFS(Despesas!$F:$F,Despesas!$J:$J,"&lt;="&amp;$A577,Despesas!$L:$L,"&gt;="&amp;$A577,Despesas!$C:$C,G$1,Despesas!$M:$M,$B577)</f>
        <v>55757</v>
      </c>
      <c r="H577" s="18">
        <f>SUMIFS(Despesas!$F:$F,Despesas!$J:$J,"&lt;="&amp;$A577,Despesas!$L:$L,"&gt;="&amp;$A577,Despesas!$C:$C,H$1,Despesas!$M:$M,"Mensal")+SUMIFS(Despesas!$F:$F,Despesas!$J:$J,"&lt;="&amp;$A577,Despesas!$L:$L,"&gt;="&amp;$A577,Despesas!$C:$C,H$1,Despesas!$M:$M,$B577)</f>
        <v>1000</v>
      </c>
      <c r="I577" s="18">
        <f>IF(Imóveis!$F$2="PRICE",IF(AND(Dados!$A577&gt;=Imóveis!$Q$2,Dados!$A577&lt;=Imóveis!$T$2),Imóveis!$U$2,0),IF((IF(AND(Dados!$A577&gt;=Imóveis!$Q$2,Dados!$A577&lt;=Imóveis!$T$2),Imóveis!$S$2-(DATEDIF(Imóveis!$Q$2,Dados!$A577,"m")),0))=0,0,((Imóveis!$N$2/Imóveis!$S$2)+((Imóveis!$N$2-((Imóveis!$S$2-(IF(AND(Dados!$A577&gt;=Imóveis!$Q$2,Dados!$A577&lt;=Imóveis!$T$2),Imóveis!$S$2-(DATEDIF(Imóveis!$Q$2,Dados!$A577,"m")),)))*(Imóveis!$N$2/Imóveis!$S$2)))*Imóveis!$P$2))))*IF(AND(Imóveis!$E$2&gt;0,Dados!$A577&gt;Imóveis!$E$2),0,1)</f>
        <v>0</v>
      </c>
      <c r="J577" s="18">
        <f>IF(Imóveis!$F$3="PRICE",IF(AND(Dados!$A577&gt;=Imóveis!$Q$3,Dados!$A577&lt;=Imóveis!$T$3),Imóveis!$U$3,0),IF((IF(AND(Dados!$A577&gt;=Imóveis!$Q$3,Dados!$A577&lt;=Imóveis!$T$3),Imóveis!$S$3-(DATEDIF(Imóveis!$Q$3,Dados!$A577,"m")),0))=0,0,((Imóveis!$N$3/Imóveis!$S$3)+((Imóveis!$N$3-((Imóveis!$S$3-(IF(AND(Dados!$A577&gt;=Imóveis!$Q$3,Dados!$A577&lt;=Imóveis!$T$3),Imóveis!$S$3-(DATEDIF(Imóveis!$Q$3,Dados!$A577,"m")),)))*(Imóveis!$N$3/Imóveis!$S$3)))*Imóveis!$P$3))))*IF(AND(Imóveis!$E$3&gt;0,Dados!$A577&gt;Imóveis!$E$3),0,1)</f>
        <v>0</v>
      </c>
      <c r="K577" s="18">
        <f>IF(Imóveis!$F$4="PRICE",IF(AND(Dados!$A577&gt;=Imóveis!$Q$4,Dados!$A577&lt;=Imóveis!$T$4),Imóveis!$U$4,0),IF((IF(AND(Dados!$A577&gt;=Imóveis!$Q$4,Dados!$A577&lt;=Imóveis!$T$4),Imóveis!$S$4-(DATEDIF(Imóveis!$Q$4,Dados!$A577,"m")),0))=0,0,((Imóveis!$N$4/Imóveis!$S$4)+((Imóveis!$N$4-((Imóveis!$S$4-(IF(AND(Dados!$A577&gt;=Imóveis!$Q$4,Dados!$A577&lt;=Imóveis!$T$4),Imóveis!$S$4-(DATEDIF(Imóveis!$Q$4,Dados!$A577,"m")),)))*(Imóveis!$N$4/Imóveis!$S$4)))*Imóveis!$P$4))))*IF(AND(Imóveis!$E$4&gt;0,Dados!$A577&gt;Imóveis!$E$4),0,1)</f>
        <v>0</v>
      </c>
      <c r="L577" s="18">
        <f>IF(Imóveis!$F$5="PRICE",IF(AND(Dados!$A577&gt;=Imóveis!$Q$5,Dados!$A577&lt;=Imóveis!$T$5),Imóveis!$U$5,0),IF((IF(AND(Dados!$A577&gt;=Imóveis!$Q$5,Dados!$A577&lt;=Imóveis!$T$5),Imóveis!$S$5-(DATEDIF(Imóveis!$Q$5,Dados!$A577,"m")),0))=0,0,((Imóveis!$N$5/Imóveis!$S$5)+((Imóveis!$N$5-((Imóveis!$S$5-(IF(AND(Dados!$A577 &gt;=Imóveis!$Q$5,Dados!$A577&lt;=Imóveis!$T$5),Imóveis!$S$5-(DATEDIF(Imóveis!$Q$5,Dados!$A577,"m")),)))*(Imóveis!$N$5/Imóveis!$S$5)))*Imóveis!$P$5))))*IF(AND(Imóveis!$E$5&gt;0,Dados!$A577&gt;Imóveis!$E$5),0,1)*Imóveis!$I$5</f>
        <v>0</v>
      </c>
      <c r="M577" s="18">
        <f>IF(Imóveis!$F$6="PRICE",IF(AND(Dados!$A577&gt;=Imóveis!$Q$6,Dados!$A577&lt;=Imóveis!$T$6),Imóveis!$U$6,0),IF((IF(AND(Dados!$A577&gt;=Imóveis!$Q$6,Dados!$A577&lt;=Imóveis!$T$6),Imóveis!$S$6-(DATEDIF(Imóveis!$Q$6,Dados!$A577,"m")),0))=0,0,((Imóveis!$N$6/Imóveis!$S$6)+((Imóveis!$N$6-((Imóveis!$S$6-(IF(AND(Dados!$A577&gt;=Imóveis!$Q$6,Dados!$A577&lt;=Imóveis!$T$6),Imóveis!$S$6-(DATEDIF(Imóveis!$Q$6,Dados!$A577,"m")),)))*(Imóveis!$N$6/Imóveis!$S$6)))*Imóveis!$P$6))))*IF(AND(Imóveis!$E$6&gt;0,Dados!$A577&gt;Imóveis!$E$6),0,1)*Imóveis!$I$6</f>
        <v>0</v>
      </c>
      <c r="N577" s="18">
        <f t="shared" ca="1" si="69"/>
        <v>92757</v>
      </c>
      <c r="O577" s="18">
        <f>SUMIFS(Receitas!$F:$F,Receitas!$J:$J,"&lt;="&amp;$A577,Receitas!$L:$L,"&gt;="&amp;$A577,Receitas!$C:$C,O$1,Receitas!$M:$M,"Mensal")+SUMIFS(Receitas!$F:$F,Receitas!$J:$J,"&lt;="&amp;$A577,Receitas!$L:$L,"&gt;="&amp;$A577,Receitas!$C:$C,O$1,Receitas!$M:$M,$B577)</f>
        <v>0</v>
      </c>
      <c r="P577" s="18">
        <f>SUMIFS(Receitas!$F:$F,Receitas!$J:$J,"&lt;="&amp;$A577,Receitas!$L:$L,"&gt;="&amp;$A577,Receitas!$C:$C,P$1,Receitas!$M:$M,"Mensal")+SUMIFS(Receitas!$F:$F,Receitas!$J:$J,"&lt;="&amp;$A577,Receitas!$L:$L,"&gt;="&amp;$A577,Receitas!$C:$C,P$1,Receitas!$M:$M,$B577)</f>
        <v>0</v>
      </c>
      <c r="Q577" s="18">
        <f>SUMIFS(Receitas!$F:$F,Receitas!$J:$J,"&lt;="&amp;$A577,Receitas!$L:$L,"&gt;="&amp;$A577,Receitas!$C:$C,Q$1,Receitas!$M:$M,"Mensal")+SUMIFS(Receitas!$F:$F,Receitas!$J:$J,"&lt;="&amp;$A577,Receitas!$L:$L,"&gt;="&amp;$A577,Receitas!$C:$C,Q$1,Receitas!$M:$M,$B577)</f>
        <v>0</v>
      </c>
      <c r="R577" s="18" cm="1">
        <f t="array" ref="R577">(IF(AND(Membros!$F$2="Sim",A577&lt;=MAX(Membros!$E$2:$E$5)),Membros!K$2,IF(AND(A577&gt;=Membros!J$2,A577&lt;=MAX(Membros!$E$2:$E$5)),Membros!K$2,0))+IF(AND(Membros!$F$3="Sim",A577&lt;=MAX(Membros!$E$2:$E$5)),Membros!K$3,IF(AND(A577&gt;=Membros!J$3,A577&lt;=MAX(Membros!$E$2:$E$5)),Membros!K$3,0)))*IF(AND(COUNTIFS(Tabela3[Tipo],"Provedor",Tabela3[Simulação Seguro],"Sim")=2,A577&gt;=MAX(IF(Tabela3[Tipo]="Dependente",Tabela3[Expectativa de Vida (Data)]))),0,1)</f>
        <v>10000</v>
      </c>
      <c r="S577" s="18">
        <f t="shared" si="70"/>
        <v>10000</v>
      </c>
      <c r="U577" s="18">
        <f t="shared" ca="1" si="73"/>
        <v>37615416.857300401</v>
      </c>
      <c r="V577" s="18">
        <f>SUMIF(Imóveis!E:E,Dados!A:A,Imóveis!Z:Z)-SUMIF(Imóveis!E:E,Dados!A:A,Imóveis!Y:Y)</f>
        <v>0</v>
      </c>
      <c r="W577" s="18">
        <f>-SUMIF(Projetos!N:N,A577,Projetos!F:F)</f>
        <v>0</v>
      </c>
      <c r="X577" s="18">
        <f t="shared" ca="1" si="67"/>
        <v>-82757</v>
      </c>
      <c r="Y577" s="26">
        <f ca="1">(U577*((Indicadores_Economicos!D$2+1)^(1/12)-1))</f>
        <v>123143.08658973999</v>
      </c>
      <c r="Z577" s="18">
        <f t="shared" ca="1" si="71"/>
        <v>37655802.943890139</v>
      </c>
      <c r="AA577" s="18">
        <f ca="1">Auxiliar_Projetos!E577</f>
        <v>2.5608047277809907E-9</v>
      </c>
      <c r="AB577" s="18">
        <f ca="1">Auxiliar_Projetos!K577</f>
        <v>1.9698497906007605E-9</v>
      </c>
      <c r="AC577" s="18">
        <f ca="1">IF(Z577-AA577-AB577&gt;Investimentos!$C$14,Investimentos!$C$14,IF(Z577-AA577-AB577&lt;Investimentos!$C$14,Z577-AA577-AB577,0))</f>
        <v>300000</v>
      </c>
      <c r="AD577" s="18">
        <f t="shared" ca="1" si="72"/>
        <v>37355802.943890139</v>
      </c>
      <c r="AE577" s="18"/>
    </row>
    <row r="578" spans="1:31" x14ac:dyDescent="0.2">
      <c r="A578" s="4">
        <v>63190</v>
      </c>
      <c r="B578" s="5" t="str">
        <f t="shared" si="68"/>
        <v>janeiro</v>
      </c>
      <c r="C578" s="5" t="str">
        <f t="shared" si="74"/>
        <v>2073</v>
      </c>
      <c r="D578" s="5">
        <f>SUMIFS(Despesas!$F:$F,Despesas!$J:$J,"&lt;="&amp;$A578,Despesas!$L:$L,"&gt;="&amp;$A578,Despesas!$C:$C,D$1,Despesas!$M:$M,"Mensal")+SUMIFS(Despesas!$F:$F,Despesas!$J:$J,"&lt;="&amp;$A578,Despesas!$L:$L,"&gt;="&amp;$A578,Despesas!$C:$C,D$1,Despesas!$M:$M,$B578)</f>
        <v>23000</v>
      </c>
      <c r="E578" s="18">
        <f>SUMIFS(Despesas!$F:$F,Despesas!$J:$J,"&lt;="&amp;$A578,Despesas!$L:$L,"&gt;="&amp;$A578,Despesas!$C:$C,E$1,Despesas!$M:$M,"Mensal")+SUMIFS(Despesas!$F:$F,Despesas!$J:$J,"&lt;="&amp;$A578,Despesas!$L:$L,"&gt;="&amp;$A578,Despesas!$C:$C,E$1,Despesas!$M:$M,$B578)</f>
        <v>0</v>
      </c>
      <c r="F578" s="5">
        <f>SUMIFS(Despesas!$F:$F,Despesas!$J:$J,"&lt;="&amp;$A578,Despesas!$L:$L,"&gt;="&amp;$A578,Despesas!$C:$C,F$1,Despesas!$M:$M,"Mensal")+SUMIFS(Despesas!$F:$F,Despesas!$J:$J,"&lt;="&amp;$A578,Despesas!$L:$L,"&gt;="&amp;$A578,Despesas!$C:$C,F$1,Despesas!$M:$M,$B578)</f>
        <v>13000</v>
      </c>
      <c r="G578" s="5">
        <f>SUMIFS(Despesas!$F:$F,Despesas!$J:$J,"&lt;="&amp;$A578,Despesas!$L:$L,"&gt;="&amp;$A578,Despesas!$C:$C,G$1,Despesas!$M:$M,"Mensal")+SUMIFS(Despesas!$F:$F,Despesas!$J:$J,"&lt;="&amp;$A578,Despesas!$L:$L,"&gt;="&amp;$A578,Despesas!$C:$C,G$1,Despesas!$M:$M,$B578)</f>
        <v>0</v>
      </c>
      <c r="H578" s="18">
        <f>SUMIFS(Despesas!$F:$F,Despesas!$J:$J,"&lt;="&amp;$A578,Despesas!$L:$L,"&gt;="&amp;$A578,Despesas!$C:$C,H$1,Despesas!$M:$M,"Mensal")+SUMIFS(Despesas!$F:$F,Despesas!$J:$J,"&lt;="&amp;$A578,Despesas!$L:$L,"&gt;="&amp;$A578,Despesas!$C:$C,H$1,Despesas!$M:$M,$B578)</f>
        <v>1000</v>
      </c>
      <c r="I578" s="18">
        <f>IF(Imóveis!$F$2="PRICE",IF(AND(Dados!$A578&gt;=Imóveis!$Q$2,Dados!$A578&lt;=Imóveis!$T$2),Imóveis!$U$2,0),IF((IF(AND(Dados!$A578&gt;=Imóveis!$Q$2,Dados!$A578&lt;=Imóveis!$T$2),Imóveis!$S$2-(DATEDIF(Imóveis!$Q$2,Dados!$A578,"m")),0))=0,0,((Imóveis!$N$2/Imóveis!$S$2)+((Imóveis!$N$2-((Imóveis!$S$2-(IF(AND(Dados!$A578&gt;=Imóveis!$Q$2,Dados!$A578&lt;=Imóveis!$T$2),Imóveis!$S$2-(DATEDIF(Imóveis!$Q$2,Dados!$A578,"m")),)))*(Imóveis!$N$2/Imóveis!$S$2)))*Imóveis!$P$2))))*IF(AND(Imóveis!$E$2&gt;0,Dados!$A578&gt;Imóveis!$E$2),0,1)</f>
        <v>0</v>
      </c>
      <c r="J578" s="18">
        <f>IF(Imóveis!$F$3="PRICE",IF(AND(Dados!$A578&gt;=Imóveis!$Q$3,Dados!$A578&lt;=Imóveis!$T$3),Imóveis!$U$3,0),IF((IF(AND(Dados!$A578&gt;=Imóveis!$Q$3,Dados!$A578&lt;=Imóveis!$T$3),Imóveis!$S$3-(DATEDIF(Imóveis!$Q$3,Dados!$A578,"m")),0))=0,0,((Imóveis!$N$3/Imóveis!$S$3)+((Imóveis!$N$3-((Imóveis!$S$3-(IF(AND(Dados!$A578&gt;=Imóveis!$Q$3,Dados!$A578&lt;=Imóveis!$T$3),Imóveis!$S$3-(DATEDIF(Imóveis!$Q$3,Dados!$A578,"m")),)))*(Imóveis!$N$3/Imóveis!$S$3)))*Imóveis!$P$3))))*IF(AND(Imóveis!$E$3&gt;0,Dados!$A578&gt;Imóveis!$E$3),0,1)</f>
        <v>0</v>
      </c>
      <c r="K578" s="18">
        <f>IF(Imóveis!$F$4="PRICE",IF(AND(Dados!$A578&gt;=Imóveis!$Q$4,Dados!$A578&lt;=Imóveis!$T$4),Imóveis!$U$4,0),IF((IF(AND(Dados!$A578&gt;=Imóveis!$Q$4,Dados!$A578&lt;=Imóveis!$T$4),Imóveis!$S$4-(DATEDIF(Imóveis!$Q$4,Dados!$A578,"m")),0))=0,0,((Imóveis!$N$4/Imóveis!$S$4)+((Imóveis!$N$4-((Imóveis!$S$4-(IF(AND(Dados!$A578&gt;=Imóveis!$Q$4,Dados!$A578&lt;=Imóveis!$T$4),Imóveis!$S$4-(DATEDIF(Imóveis!$Q$4,Dados!$A578,"m")),)))*(Imóveis!$N$4/Imóveis!$S$4)))*Imóveis!$P$4))))*IF(AND(Imóveis!$E$4&gt;0,Dados!$A578&gt;Imóveis!$E$4),0,1)</f>
        <v>0</v>
      </c>
      <c r="L578" s="18">
        <f>IF(Imóveis!$F$5="PRICE",IF(AND(Dados!$A578&gt;=Imóveis!$Q$5,Dados!$A578&lt;=Imóveis!$T$5),Imóveis!$U$5,0),IF((IF(AND(Dados!$A578&gt;=Imóveis!$Q$5,Dados!$A578&lt;=Imóveis!$T$5),Imóveis!$S$5-(DATEDIF(Imóveis!$Q$5,Dados!$A578,"m")),0))=0,0,((Imóveis!$N$5/Imóveis!$S$5)+((Imóveis!$N$5-((Imóveis!$S$5-(IF(AND(Dados!$A578 &gt;=Imóveis!$Q$5,Dados!$A578&lt;=Imóveis!$T$5),Imóveis!$S$5-(DATEDIF(Imóveis!$Q$5,Dados!$A578,"m")),)))*(Imóveis!$N$5/Imóveis!$S$5)))*Imóveis!$P$5))))*IF(AND(Imóveis!$E$5&gt;0,Dados!$A578&gt;Imóveis!$E$5),0,1)*Imóveis!$I$5</f>
        <v>0</v>
      </c>
      <c r="M578" s="18">
        <f>IF(Imóveis!$F$6="PRICE",IF(AND(Dados!$A578&gt;=Imóveis!$Q$6,Dados!$A578&lt;=Imóveis!$T$6),Imóveis!$U$6,0),IF((IF(AND(Dados!$A578&gt;=Imóveis!$Q$6,Dados!$A578&lt;=Imóveis!$T$6),Imóveis!$S$6-(DATEDIF(Imóveis!$Q$6,Dados!$A578,"m")),0))=0,0,((Imóveis!$N$6/Imóveis!$S$6)+((Imóveis!$N$6-((Imóveis!$S$6-(IF(AND(Dados!$A578&gt;=Imóveis!$Q$6,Dados!$A578&lt;=Imóveis!$T$6),Imóveis!$S$6-(DATEDIF(Imóveis!$Q$6,Dados!$A578,"m")),)))*(Imóveis!$N$6/Imóveis!$S$6)))*Imóveis!$P$6))))*IF(AND(Imóveis!$E$6&gt;0,Dados!$A578&gt;Imóveis!$E$6),0,1)*Imóveis!$I$6</f>
        <v>0</v>
      </c>
      <c r="N578" s="18">
        <f t="shared" si="69"/>
        <v>37000</v>
      </c>
      <c r="O578" s="18">
        <f>SUMIFS(Receitas!$F:$F,Receitas!$J:$J,"&lt;="&amp;$A578,Receitas!$L:$L,"&gt;="&amp;$A578,Receitas!$C:$C,O$1,Receitas!$M:$M,"Mensal")+SUMIFS(Receitas!$F:$F,Receitas!$J:$J,"&lt;="&amp;$A578,Receitas!$L:$L,"&gt;="&amp;$A578,Receitas!$C:$C,O$1,Receitas!$M:$M,$B578)</f>
        <v>0</v>
      </c>
      <c r="P578" s="18">
        <f>SUMIFS(Receitas!$F:$F,Receitas!$J:$J,"&lt;="&amp;$A578,Receitas!$L:$L,"&gt;="&amp;$A578,Receitas!$C:$C,P$1,Receitas!$M:$M,"Mensal")+SUMIFS(Receitas!$F:$F,Receitas!$J:$J,"&lt;="&amp;$A578,Receitas!$L:$L,"&gt;="&amp;$A578,Receitas!$C:$C,P$1,Receitas!$M:$M,$B578)</f>
        <v>0</v>
      </c>
      <c r="Q578" s="18">
        <f>SUMIFS(Receitas!$F:$F,Receitas!$J:$J,"&lt;="&amp;$A578,Receitas!$L:$L,"&gt;="&amp;$A578,Receitas!$C:$C,Q$1,Receitas!$M:$M,"Mensal")+SUMIFS(Receitas!$F:$F,Receitas!$J:$J,"&lt;="&amp;$A578,Receitas!$L:$L,"&gt;="&amp;$A578,Receitas!$C:$C,Q$1,Receitas!$M:$M,$B578)</f>
        <v>0</v>
      </c>
      <c r="R578" s="18" cm="1">
        <f t="array" ref="R578">(IF(AND(Membros!$F$2="Sim",A578&lt;=MAX(Membros!$E$2:$E$5)),Membros!K$2,IF(AND(A578&gt;=Membros!J$2,A578&lt;=MAX(Membros!$E$2:$E$5)),Membros!K$2,0))+IF(AND(Membros!$F$3="Sim",A578&lt;=MAX(Membros!$E$2:$E$5)),Membros!K$3,IF(AND(A578&gt;=Membros!J$3,A578&lt;=MAX(Membros!$E$2:$E$5)),Membros!K$3,0)))*IF(AND(COUNTIFS(Tabela3[Tipo],"Provedor",Tabela3[Simulação Seguro],"Sim")=2,A578&gt;=MAX(IF(Tabela3[Tipo]="Dependente",Tabela3[Expectativa de Vida (Data)]))),0,1)</f>
        <v>10000</v>
      </c>
      <c r="S578" s="18">
        <f t="shared" si="70"/>
        <v>10000</v>
      </c>
      <c r="U578" s="18">
        <f t="shared" ca="1" si="73"/>
        <v>37655802.943890139</v>
      </c>
      <c r="V578" s="18">
        <f>SUMIF(Imóveis!E:E,Dados!A:A,Imóveis!Z:Z)-SUMIF(Imóveis!E:E,Dados!A:A,Imóveis!Y:Y)</f>
        <v>0</v>
      </c>
      <c r="W578" s="18">
        <f>-SUMIF(Projetos!N:N,A578,Projetos!F:F)</f>
        <v>0</v>
      </c>
      <c r="X578" s="18">
        <f t="shared" ref="X578:X641" si="75">(S578-N578)</f>
        <v>-27000</v>
      </c>
      <c r="Y578" s="26">
        <f ca="1">(U578*((Indicadores_Economicos!D$2+1)^(1/12)-1))</f>
        <v>123275.30012805614</v>
      </c>
      <c r="Z578" s="18">
        <f t="shared" ca="1" si="71"/>
        <v>37752078.244018197</v>
      </c>
      <c r="AA578" s="18">
        <f ca="1">Auxiliar_Projetos!E578</f>
        <v>2.5691881360927705E-9</v>
      </c>
      <c r="AB578" s="18">
        <f ca="1">Auxiliar_Projetos!K578</f>
        <v>1.9762985662252063E-9</v>
      </c>
      <c r="AC578" s="18">
        <f ca="1">IF(Z578-AA578-AB578&gt;Investimentos!$C$14,Investimentos!$C$14,IF(Z578-AA578-AB578&lt;Investimentos!$C$14,Z578-AA578-AB578,0))</f>
        <v>300000</v>
      </c>
      <c r="AD578" s="18">
        <f t="shared" ca="1" si="72"/>
        <v>37452078.244018197</v>
      </c>
      <c r="AE578" s="18"/>
    </row>
    <row r="579" spans="1:31" x14ac:dyDescent="0.2">
      <c r="A579" s="4">
        <v>63221</v>
      </c>
      <c r="B579" s="5" t="str">
        <f t="shared" ref="B579:B642" si="76">TEXT(A579,"MMMM")</f>
        <v>fevereiro</v>
      </c>
      <c r="C579" s="5" t="str">
        <f t="shared" si="74"/>
        <v>2073</v>
      </c>
      <c r="D579" s="5">
        <f>SUMIFS(Despesas!$F:$F,Despesas!$J:$J,"&lt;="&amp;$A579,Despesas!$L:$L,"&gt;="&amp;$A579,Despesas!$C:$C,D$1,Despesas!$M:$M,"Mensal")+SUMIFS(Despesas!$F:$F,Despesas!$J:$J,"&lt;="&amp;$A579,Despesas!$L:$L,"&gt;="&amp;$A579,Despesas!$C:$C,D$1,Despesas!$M:$M,$B579)</f>
        <v>23000</v>
      </c>
      <c r="E579" s="18">
        <f>SUMIFS(Despesas!$F:$F,Despesas!$J:$J,"&lt;="&amp;$A579,Despesas!$L:$L,"&gt;="&amp;$A579,Despesas!$C:$C,E$1,Despesas!$M:$M,"Mensal")+SUMIFS(Despesas!$F:$F,Despesas!$J:$J,"&lt;="&amp;$A579,Despesas!$L:$L,"&gt;="&amp;$A579,Despesas!$C:$C,E$1,Despesas!$M:$M,$B579)</f>
        <v>0</v>
      </c>
      <c r="F579" s="5">
        <f>SUMIFS(Despesas!$F:$F,Despesas!$J:$J,"&lt;="&amp;$A579,Despesas!$L:$L,"&gt;="&amp;$A579,Despesas!$C:$C,F$1,Despesas!$M:$M,"Mensal")+SUMIFS(Despesas!$F:$F,Despesas!$J:$J,"&lt;="&amp;$A579,Despesas!$L:$L,"&gt;="&amp;$A579,Despesas!$C:$C,F$1,Despesas!$M:$M,$B579)</f>
        <v>13000</v>
      </c>
      <c r="G579" s="5">
        <f>SUMIFS(Despesas!$F:$F,Despesas!$J:$J,"&lt;="&amp;$A579,Despesas!$L:$L,"&gt;="&amp;$A579,Despesas!$C:$C,G$1,Despesas!$M:$M,"Mensal")+SUMIFS(Despesas!$F:$F,Despesas!$J:$J,"&lt;="&amp;$A579,Despesas!$L:$L,"&gt;="&amp;$A579,Despesas!$C:$C,G$1,Despesas!$M:$M,$B579)</f>
        <v>0</v>
      </c>
      <c r="H579" s="18">
        <f>SUMIFS(Despesas!$F:$F,Despesas!$J:$J,"&lt;="&amp;$A579,Despesas!$L:$L,"&gt;="&amp;$A579,Despesas!$C:$C,H$1,Despesas!$M:$M,"Mensal")+SUMIFS(Despesas!$F:$F,Despesas!$J:$J,"&lt;="&amp;$A579,Despesas!$L:$L,"&gt;="&amp;$A579,Despesas!$C:$C,H$1,Despesas!$M:$M,$B579)</f>
        <v>2200</v>
      </c>
      <c r="I579" s="18">
        <f>IF(Imóveis!$F$2="PRICE",IF(AND(Dados!$A579&gt;=Imóveis!$Q$2,Dados!$A579&lt;=Imóveis!$T$2),Imóveis!$U$2,0),IF((IF(AND(Dados!$A579&gt;=Imóveis!$Q$2,Dados!$A579&lt;=Imóveis!$T$2),Imóveis!$S$2-(DATEDIF(Imóveis!$Q$2,Dados!$A579,"m")),0))=0,0,((Imóveis!$N$2/Imóveis!$S$2)+((Imóveis!$N$2-((Imóveis!$S$2-(IF(AND(Dados!$A579&gt;=Imóveis!$Q$2,Dados!$A579&lt;=Imóveis!$T$2),Imóveis!$S$2-(DATEDIF(Imóveis!$Q$2,Dados!$A579,"m")),)))*(Imóveis!$N$2/Imóveis!$S$2)))*Imóveis!$P$2))))*IF(AND(Imóveis!$E$2&gt;0,Dados!$A579&gt;Imóveis!$E$2),0,1)</f>
        <v>0</v>
      </c>
      <c r="J579" s="18">
        <f>IF(Imóveis!$F$3="PRICE",IF(AND(Dados!$A579&gt;=Imóveis!$Q$3,Dados!$A579&lt;=Imóveis!$T$3),Imóveis!$U$3,0),IF((IF(AND(Dados!$A579&gt;=Imóveis!$Q$3,Dados!$A579&lt;=Imóveis!$T$3),Imóveis!$S$3-(DATEDIF(Imóveis!$Q$3,Dados!$A579,"m")),0))=0,0,((Imóveis!$N$3/Imóveis!$S$3)+((Imóveis!$N$3-((Imóveis!$S$3-(IF(AND(Dados!$A579&gt;=Imóveis!$Q$3,Dados!$A579&lt;=Imóveis!$T$3),Imóveis!$S$3-(DATEDIF(Imóveis!$Q$3,Dados!$A579,"m")),)))*(Imóveis!$N$3/Imóveis!$S$3)))*Imóveis!$P$3))))*IF(AND(Imóveis!$E$3&gt;0,Dados!$A579&gt;Imóveis!$E$3),0,1)</f>
        <v>0</v>
      </c>
      <c r="K579" s="18">
        <f>IF(Imóveis!$F$4="PRICE",IF(AND(Dados!$A579&gt;=Imóveis!$Q$4,Dados!$A579&lt;=Imóveis!$T$4),Imóveis!$U$4,0),IF((IF(AND(Dados!$A579&gt;=Imóveis!$Q$4,Dados!$A579&lt;=Imóveis!$T$4),Imóveis!$S$4-(DATEDIF(Imóveis!$Q$4,Dados!$A579,"m")),0))=0,0,((Imóveis!$N$4/Imóveis!$S$4)+((Imóveis!$N$4-((Imóveis!$S$4-(IF(AND(Dados!$A579&gt;=Imóveis!$Q$4,Dados!$A579&lt;=Imóveis!$T$4),Imóveis!$S$4-(DATEDIF(Imóveis!$Q$4,Dados!$A579,"m")),)))*(Imóveis!$N$4/Imóveis!$S$4)))*Imóveis!$P$4))))*IF(AND(Imóveis!$E$4&gt;0,Dados!$A579&gt;Imóveis!$E$4),0,1)</f>
        <v>0</v>
      </c>
      <c r="L579" s="18">
        <f>IF(Imóveis!$F$5="PRICE",IF(AND(Dados!$A579&gt;=Imóveis!$Q$5,Dados!$A579&lt;=Imóveis!$T$5),Imóveis!$U$5,0),IF((IF(AND(Dados!$A579&gt;=Imóveis!$Q$5,Dados!$A579&lt;=Imóveis!$T$5),Imóveis!$S$5-(DATEDIF(Imóveis!$Q$5,Dados!$A579,"m")),0))=0,0,((Imóveis!$N$5/Imóveis!$S$5)+((Imóveis!$N$5-((Imóveis!$S$5-(IF(AND(Dados!$A579 &gt;=Imóveis!$Q$5,Dados!$A579&lt;=Imóveis!$T$5),Imóveis!$S$5-(DATEDIF(Imóveis!$Q$5,Dados!$A579,"m")),)))*(Imóveis!$N$5/Imóveis!$S$5)))*Imóveis!$P$5))))*IF(AND(Imóveis!$E$5&gt;0,Dados!$A579&gt;Imóveis!$E$5),0,1)*Imóveis!$I$5</f>
        <v>0</v>
      </c>
      <c r="M579" s="18">
        <f>IF(Imóveis!$F$6="PRICE",IF(AND(Dados!$A579&gt;=Imóveis!$Q$6,Dados!$A579&lt;=Imóveis!$T$6),Imóveis!$U$6,0),IF((IF(AND(Dados!$A579&gt;=Imóveis!$Q$6,Dados!$A579&lt;=Imóveis!$T$6),Imóveis!$S$6-(DATEDIF(Imóveis!$Q$6,Dados!$A579,"m")),0))=0,0,((Imóveis!$N$6/Imóveis!$S$6)+((Imóveis!$N$6-((Imóveis!$S$6-(IF(AND(Dados!$A579&gt;=Imóveis!$Q$6,Dados!$A579&lt;=Imóveis!$T$6),Imóveis!$S$6-(DATEDIF(Imóveis!$Q$6,Dados!$A579,"m")),)))*(Imóveis!$N$6/Imóveis!$S$6)))*Imóveis!$P$6))))*IF(AND(Imóveis!$E$6&gt;0,Dados!$A579&gt;Imóveis!$E$6),0,1)*Imóveis!$I$6</f>
        <v>0</v>
      </c>
      <c r="N579" s="18">
        <f t="shared" ref="N579:N642" si="77">SUM(D579:M579)</f>
        <v>38200</v>
      </c>
      <c r="O579" s="18">
        <f>SUMIFS(Receitas!$F:$F,Receitas!$J:$J,"&lt;="&amp;$A579,Receitas!$L:$L,"&gt;="&amp;$A579,Receitas!$C:$C,O$1,Receitas!$M:$M,"Mensal")+SUMIFS(Receitas!$F:$F,Receitas!$J:$J,"&lt;="&amp;$A579,Receitas!$L:$L,"&gt;="&amp;$A579,Receitas!$C:$C,O$1,Receitas!$M:$M,$B579)</f>
        <v>0</v>
      </c>
      <c r="P579" s="18">
        <f>SUMIFS(Receitas!$F:$F,Receitas!$J:$J,"&lt;="&amp;$A579,Receitas!$L:$L,"&gt;="&amp;$A579,Receitas!$C:$C,P$1,Receitas!$M:$M,"Mensal")+SUMIFS(Receitas!$F:$F,Receitas!$J:$J,"&lt;="&amp;$A579,Receitas!$L:$L,"&gt;="&amp;$A579,Receitas!$C:$C,P$1,Receitas!$M:$M,$B579)</f>
        <v>0</v>
      </c>
      <c r="Q579" s="18">
        <f>SUMIFS(Receitas!$F:$F,Receitas!$J:$J,"&lt;="&amp;$A579,Receitas!$L:$L,"&gt;="&amp;$A579,Receitas!$C:$C,Q$1,Receitas!$M:$M,"Mensal")+SUMIFS(Receitas!$F:$F,Receitas!$J:$J,"&lt;="&amp;$A579,Receitas!$L:$L,"&gt;="&amp;$A579,Receitas!$C:$C,Q$1,Receitas!$M:$M,$B579)</f>
        <v>0</v>
      </c>
      <c r="R579" s="18" cm="1">
        <f t="array" ref="R579">(IF(AND(Membros!$F$2="Sim",A579&lt;=MAX(Membros!$E$2:$E$5)),Membros!K$2,IF(AND(A579&gt;=Membros!J$2,A579&lt;=MAX(Membros!$E$2:$E$5)),Membros!K$2,0))+IF(AND(Membros!$F$3="Sim",A579&lt;=MAX(Membros!$E$2:$E$5)),Membros!K$3,IF(AND(A579&gt;=Membros!J$3,A579&lt;=MAX(Membros!$E$2:$E$5)),Membros!K$3,0)))*IF(AND(COUNTIFS(Tabela3[Tipo],"Provedor",Tabela3[Simulação Seguro],"Sim")=2,A579&gt;=MAX(IF(Tabela3[Tipo]="Dependente",Tabela3[Expectativa de Vida (Data)]))),0,1)</f>
        <v>10000</v>
      </c>
      <c r="S579" s="18">
        <f t="shared" ref="S579:S642" si="78">O579+P579+Q579+R579</f>
        <v>10000</v>
      </c>
      <c r="U579" s="18">
        <f t="shared" ca="1" si="73"/>
        <v>37752078.244018197</v>
      </c>
      <c r="V579" s="18">
        <f>SUMIF(Imóveis!E:E,Dados!A:A,Imóveis!Z:Z)-SUMIF(Imóveis!E:E,Dados!A:A,Imóveis!Y:Y)</f>
        <v>0</v>
      </c>
      <c r="W579" s="18">
        <f>-SUMIF(Projetos!N:N,A579,Projetos!F:F)</f>
        <v>0</v>
      </c>
      <c r="X579" s="18">
        <f t="shared" si="75"/>
        <v>-28200</v>
      </c>
      <c r="Y579" s="26">
        <f ca="1">(U579*((Indicadores_Economicos!D$2+1)^(1/12)-1))</f>
        <v>123590.48040812851</v>
      </c>
      <c r="Z579" s="18">
        <f t="shared" ref="Z579:Z642" ca="1" si="79">U579+V579+W579+X579+Y579</f>
        <v>37847468.724426329</v>
      </c>
      <c r="AA579" s="18">
        <f ca="1">Auxiliar_Projetos!E579</f>
        <v>2.5775989895018509E-9</v>
      </c>
      <c r="AB579" s="18">
        <f ca="1">Auxiliar_Projetos!K579</f>
        <v>1.9827684534629603E-9</v>
      </c>
      <c r="AC579" s="18">
        <f ca="1">IF(Z579-AA579-AB579&gt;Investimentos!$C$14,Investimentos!$C$14,IF(Z579-AA579-AB579&lt;Investimentos!$C$14,Z579-AA579-AB579,0))</f>
        <v>300000</v>
      </c>
      <c r="AD579" s="18">
        <f t="shared" ref="AD579:AD642" ca="1" si="80">Z579-AA579-AB579-AC579</f>
        <v>37547468.724426329</v>
      </c>
      <c r="AE579" s="18"/>
    </row>
    <row r="580" spans="1:31" x14ac:dyDescent="0.2">
      <c r="A580" s="4">
        <v>63249</v>
      </c>
      <c r="B580" s="5" t="str">
        <f t="shared" si="76"/>
        <v>março</v>
      </c>
      <c r="C580" s="5" t="str">
        <f t="shared" si="74"/>
        <v>2073</v>
      </c>
      <c r="D580" s="5">
        <f>SUMIFS(Despesas!$F:$F,Despesas!$J:$J,"&lt;="&amp;$A580,Despesas!$L:$L,"&gt;="&amp;$A580,Despesas!$C:$C,D$1,Despesas!$M:$M,"Mensal")+SUMIFS(Despesas!$F:$F,Despesas!$J:$J,"&lt;="&amp;$A580,Despesas!$L:$L,"&gt;="&amp;$A580,Despesas!$C:$C,D$1,Despesas!$M:$M,$B580)</f>
        <v>23000</v>
      </c>
      <c r="E580" s="18">
        <f>SUMIFS(Despesas!$F:$F,Despesas!$J:$J,"&lt;="&amp;$A580,Despesas!$L:$L,"&gt;="&amp;$A580,Despesas!$C:$C,E$1,Despesas!$M:$M,"Mensal")+SUMIFS(Despesas!$F:$F,Despesas!$J:$J,"&lt;="&amp;$A580,Despesas!$L:$L,"&gt;="&amp;$A580,Despesas!$C:$C,E$1,Despesas!$M:$M,$B580)</f>
        <v>0</v>
      </c>
      <c r="F580" s="5">
        <f>SUMIFS(Despesas!$F:$F,Despesas!$J:$J,"&lt;="&amp;$A580,Despesas!$L:$L,"&gt;="&amp;$A580,Despesas!$C:$C,F$1,Despesas!$M:$M,"Mensal")+SUMIFS(Despesas!$F:$F,Despesas!$J:$J,"&lt;="&amp;$A580,Despesas!$L:$L,"&gt;="&amp;$A580,Despesas!$C:$C,F$1,Despesas!$M:$M,$B580)</f>
        <v>13000</v>
      </c>
      <c r="G580" s="5">
        <f>SUMIFS(Despesas!$F:$F,Despesas!$J:$J,"&lt;="&amp;$A580,Despesas!$L:$L,"&gt;="&amp;$A580,Despesas!$C:$C,G$1,Despesas!$M:$M,"Mensal")+SUMIFS(Despesas!$F:$F,Despesas!$J:$J,"&lt;="&amp;$A580,Despesas!$L:$L,"&gt;="&amp;$A580,Despesas!$C:$C,G$1,Despesas!$M:$M,$B580)</f>
        <v>0</v>
      </c>
      <c r="H580" s="18">
        <f>SUMIFS(Despesas!$F:$F,Despesas!$J:$J,"&lt;="&amp;$A580,Despesas!$L:$L,"&gt;="&amp;$A580,Despesas!$C:$C,H$1,Despesas!$M:$M,"Mensal")+SUMIFS(Despesas!$F:$F,Despesas!$J:$J,"&lt;="&amp;$A580,Despesas!$L:$L,"&gt;="&amp;$A580,Despesas!$C:$C,H$1,Despesas!$M:$M,$B580)</f>
        <v>1000</v>
      </c>
      <c r="I580" s="18">
        <f>IF(Imóveis!$F$2="PRICE",IF(AND(Dados!$A580&gt;=Imóveis!$Q$2,Dados!$A580&lt;=Imóveis!$T$2),Imóveis!$U$2,0),IF((IF(AND(Dados!$A580&gt;=Imóveis!$Q$2,Dados!$A580&lt;=Imóveis!$T$2),Imóveis!$S$2-(DATEDIF(Imóveis!$Q$2,Dados!$A580,"m")),0))=0,0,((Imóveis!$N$2/Imóveis!$S$2)+((Imóveis!$N$2-((Imóveis!$S$2-(IF(AND(Dados!$A580&gt;=Imóveis!$Q$2,Dados!$A580&lt;=Imóveis!$T$2),Imóveis!$S$2-(DATEDIF(Imóveis!$Q$2,Dados!$A580,"m")),)))*(Imóveis!$N$2/Imóveis!$S$2)))*Imóveis!$P$2))))*IF(AND(Imóveis!$E$2&gt;0,Dados!$A580&gt;Imóveis!$E$2),0,1)</f>
        <v>0</v>
      </c>
      <c r="J580" s="18">
        <f>IF(Imóveis!$F$3="PRICE",IF(AND(Dados!$A580&gt;=Imóveis!$Q$3,Dados!$A580&lt;=Imóveis!$T$3),Imóveis!$U$3,0),IF((IF(AND(Dados!$A580&gt;=Imóveis!$Q$3,Dados!$A580&lt;=Imóveis!$T$3),Imóveis!$S$3-(DATEDIF(Imóveis!$Q$3,Dados!$A580,"m")),0))=0,0,((Imóveis!$N$3/Imóveis!$S$3)+((Imóveis!$N$3-((Imóveis!$S$3-(IF(AND(Dados!$A580&gt;=Imóveis!$Q$3,Dados!$A580&lt;=Imóveis!$T$3),Imóveis!$S$3-(DATEDIF(Imóveis!$Q$3,Dados!$A580,"m")),)))*(Imóveis!$N$3/Imóveis!$S$3)))*Imóveis!$P$3))))*IF(AND(Imóveis!$E$3&gt;0,Dados!$A580&gt;Imóveis!$E$3),0,1)</f>
        <v>0</v>
      </c>
      <c r="K580" s="18">
        <f>IF(Imóveis!$F$4="PRICE",IF(AND(Dados!$A580&gt;=Imóveis!$Q$4,Dados!$A580&lt;=Imóveis!$T$4),Imóveis!$U$4,0),IF((IF(AND(Dados!$A580&gt;=Imóveis!$Q$4,Dados!$A580&lt;=Imóveis!$T$4),Imóveis!$S$4-(DATEDIF(Imóveis!$Q$4,Dados!$A580,"m")),0))=0,0,((Imóveis!$N$4/Imóveis!$S$4)+((Imóveis!$N$4-((Imóveis!$S$4-(IF(AND(Dados!$A580&gt;=Imóveis!$Q$4,Dados!$A580&lt;=Imóveis!$T$4),Imóveis!$S$4-(DATEDIF(Imóveis!$Q$4,Dados!$A580,"m")),)))*(Imóveis!$N$4/Imóveis!$S$4)))*Imóveis!$P$4))))*IF(AND(Imóveis!$E$4&gt;0,Dados!$A580&gt;Imóveis!$E$4),0,1)</f>
        <v>0</v>
      </c>
      <c r="L580" s="18">
        <f>IF(Imóveis!$F$5="PRICE",IF(AND(Dados!$A580&gt;=Imóveis!$Q$5,Dados!$A580&lt;=Imóveis!$T$5),Imóveis!$U$5,0),IF((IF(AND(Dados!$A580&gt;=Imóveis!$Q$5,Dados!$A580&lt;=Imóveis!$T$5),Imóveis!$S$5-(DATEDIF(Imóveis!$Q$5,Dados!$A580,"m")),0))=0,0,((Imóveis!$N$5/Imóveis!$S$5)+((Imóveis!$N$5-((Imóveis!$S$5-(IF(AND(Dados!$A580 &gt;=Imóveis!$Q$5,Dados!$A580&lt;=Imóveis!$T$5),Imóveis!$S$5-(DATEDIF(Imóveis!$Q$5,Dados!$A580,"m")),)))*(Imóveis!$N$5/Imóveis!$S$5)))*Imóveis!$P$5))))*IF(AND(Imóveis!$E$5&gt;0,Dados!$A580&gt;Imóveis!$E$5),0,1)*Imóveis!$I$5</f>
        <v>0</v>
      </c>
      <c r="M580" s="18">
        <f>IF(Imóveis!$F$6="PRICE",IF(AND(Dados!$A580&gt;=Imóveis!$Q$6,Dados!$A580&lt;=Imóveis!$T$6),Imóveis!$U$6,0),IF((IF(AND(Dados!$A580&gt;=Imóveis!$Q$6,Dados!$A580&lt;=Imóveis!$T$6),Imóveis!$S$6-(DATEDIF(Imóveis!$Q$6,Dados!$A580,"m")),0))=0,0,((Imóveis!$N$6/Imóveis!$S$6)+((Imóveis!$N$6-((Imóveis!$S$6-(IF(AND(Dados!$A580&gt;=Imóveis!$Q$6,Dados!$A580&lt;=Imóveis!$T$6),Imóveis!$S$6-(DATEDIF(Imóveis!$Q$6,Dados!$A580,"m")),)))*(Imóveis!$N$6/Imóveis!$S$6)))*Imóveis!$P$6))))*IF(AND(Imóveis!$E$6&gt;0,Dados!$A580&gt;Imóveis!$E$6),0,1)*Imóveis!$I$6</f>
        <v>0</v>
      </c>
      <c r="N580" s="18">
        <f t="shared" si="77"/>
        <v>37000</v>
      </c>
      <c r="O580" s="18">
        <f>SUMIFS(Receitas!$F:$F,Receitas!$J:$J,"&lt;="&amp;$A580,Receitas!$L:$L,"&gt;="&amp;$A580,Receitas!$C:$C,O$1,Receitas!$M:$M,"Mensal")+SUMIFS(Receitas!$F:$F,Receitas!$J:$J,"&lt;="&amp;$A580,Receitas!$L:$L,"&gt;="&amp;$A580,Receitas!$C:$C,O$1,Receitas!$M:$M,$B580)</f>
        <v>0</v>
      </c>
      <c r="P580" s="18">
        <f>SUMIFS(Receitas!$F:$F,Receitas!$J:$J,"&lt;="&amp;$A580,Receitas!$L:$L,"&gt;="&amp;$A580,Receitas!$C:$C,P$1,Receitas!$M:$M,"Mensal")+SUMIFS(Receitas!$F:$F,Receitas!$J:$J,"&lt;="&amp;$A580,Receitas!$L:$L,"&gt;="&amp;$A580,Receitas!$C:$C,P$1,Receitas!$M:$M,$B580)</f>
        <v>0</v>
      </c>
      <c r="Q580" s="18">
        <f>SUMIFS(Receitas!$F:$F,Receitas!$J:$J,"&lt;="&amp;$A580,Receitas!$L:$L,"&gt;="&amp;$A580,Receitas!$C:$C,Q$1,Receitas!$M:$M,"Mensal")+SUMIFS(Receitas!$F:$F,Receitas!$J:$J,"&lt;="&amp;$A580,Receitas!$L:$L,"&gt;="&amp;$A580,Receitas!$C:$C,Q$1,Receitas!$M:$M,$B580)</f>
        <v>0</v>
      </c>
      <c r="R580" s="18" cm="1">
        <f t="array" ref="R580">(IF(AND(Membros!$F$2="Sim",A580&lt;=MAX(Membros!$E$2:$E$5)),Membros!K$2,IF(AND(A580&gt;=Membros!J$2,A580&lt;=MAX(Membros!$E$2:$E$5)),Membros!K$2,0))+IF(AND(Membros!$F$3="Sim",A580&lt;=MAX(Membros!$E$2:$E$5)),Membros!K$3,IF(AND(A580&gt;=Membros!J$3,A580&lt;=MAX(Membros!$E$2:$E$5)),Membros!K$3,0)))*IF(AND(COUNTIFS(Tabela3[Tipo],"Provedor",Tabela3[Simulação Seguro],"Sim")=2,A580&gt;=MAX(IF(Tabela3[Tipo]="Dependente",Tabela3[Expectativa de Vida (Data)]))),0,1)</f>
        <v>10000</v>
      </c>
      <c r="S580" s="18">
        <f t="shared" si="78"/>
        <v>10000</v>
      </c>
      <c r="U580" s="18">
        <f t="shared" ref="U580:U643" ca="1" si="81">Z579</f>
        <v>37847468.724426329</v>
      </c>
      <c r="V580" s="18">
        <f>SUMIF(Imóveis!E:E,Dados!A:A,Imóveis!Z:Z)-SUMIF(Imóveis!E:E,Dados!A:A,Imóveis!Y:Y)</f>
        <v>0</v>
      </c>
      <c r="W580" s="18">
        <f>-SUMIF(Projetos!N:N,A580,Projetos!F:F)</f>
        <v>0</v>
      </c>
      <c r="X580" s="18">
        <f t="shared" si="75"/>
        <v>-27000</v>
      </c>
      <c r="Y580" s="26">
        <f ca="1">(U580*((Indicadores_Economicos!D$2+1)^(1/12)-1))</f>
        <v>123902.76401868368</v>
      </c>
      <c r="Z580" s="18">
        <f t="shared" ca="1" si="79"/>
        <v>37944371.488445014</v>
      </c>
      <c r="AA580" s="18">
        <f ca="1">Auxiliar_Projetos!E580</f>
        <v>2.5860373778563389E-9</v>
      </c>
      <c r="AB580" s="18">
        <f ca="1">Auxiliar_Projetos!K580</f>
        <v>1.9892595214279509E-9</v>
      </c>
      <c r="AC580" s="18">
        <f ca="1">IF(Z580-AA580-AB580&gt;Investimentos!$C$14,Investimentos!$C$14,IF(Z580-AA580-AB580&lt;Investimentos!$C$14,Z580-AA580-AB580,0))</f>
        <v>300000</v>
      </c>
      <c r="AD580" s="18">
        <f t="shared" ca="1" si="80"/>
        <v>37644371.488445014</v>
      </c>
      <c r="AE580" s="18"/>
    </row>
    <row r="581" spans="1:31" x14ac:dyDescent="0.2">
      <c r="A581" s="4">
        <v>63280</v>
      </c>
      <c r="B581" s="5" t="str">
        <f t="shared" si="76"/>
        <v>abril</v>
      </c>
      <c r="C581" s="5" t="str">
        <f t="shared" si="74"/>
        <v>2073</v>
      </c>
      <c r="D581" s="5">
        <f>SUMIFS(Despesas!$F:$F,Despesas!$J:$J,"&lt;="&amp;$A581,Despesas!$L:$L,"&gt;="&amp;$A581,Despesas!$C:$C,D$1,Despesas!$M:$M,"Mensal")+SUMIFS(Despesas!$F:$F,Despesas!$J:$J,"&lt;="&amp;$A581,Despesas!$L:$L,"&gt;="&amp;$A581,Despesas!$C:$C,D$1,Despesas!$M:$M,$B581)</f>
        <v>23000</v>
      </c>
      <c r="E581" s="18">
        <f>SUMIFS(Despesas!$F:$F,Despesas!$J:$J,"&lt;="&amp;$A581,Despesas!$L:$L,"&gt;="&amp;$A581,Despesas!$C:$C,E$1,Despesas!$M:$M,"Mensal")+SUMIFS(Despesas!$F:$F,Despesas!$J:$J,"&lt;="&amp;$A581,Despesas!$L:$L,"&gt;="&amp;$A581,Despesas!$C:$C,E$1,Despesas!$M:$M,$B581)</f>
        <v>0</v>
      </c>
      <c r="F581" s="5">
        <f>SUMIFS(Despesas!$F:$F,Despesas!$J:$J,"&lt;="&amp;$A581,Despesas!$L:$L,"&gt;="&amp;$A581,Despesas!$C:$C,F$1,Despesas!$M:$M,"Mensal")+SUMIFS(Despesas!$F:$F,Despesas!$J:$J,"&lt;="&amp;$A581,Despesas!$L:$L,"&gt;="&amp;$A581,Despesas!$C:$C,F$1,Despesas!$M:$M,$B581)</f>
        <v>13000</v>
      </c>
      <c r="G581" s="5">
        <f>SUMIFS(Despesas!$F:$F,Despesas!$J:$J,"&lt;="&amp;$A581,Despesas!$L:$L,"&gt;="&amp;$A581,Despesas!$C:$C,G$1,Despesas!$M:$M,"Mensal")+SUMIFS(Despesas!$F:$F,Despesas!$J:$J,"&lt;="&amp;$A581,Despesas!$L:$L,"&gt;="&amp;$A581,Despesas!$C:$C,G$1,Despesas!$M:$M,$B581)</f>
        <v>0</v>
      </c>
      <c r="H581" s="18">
        <f>SUMIFS(Despesas!$F:$F,Despesas!$J:$J,"&lt;="&amp;$A581,Despesas!$L:$L,"&gt;="&amp;$A581,Despesas!$C:$C,H$1,Despesas!$M:$M,"Mensal")+SUMIFS(Despesas!$F:$F,Despesas!$J:$J,"&lt;="&amp;$A581,Despesas!$L:$L,"&gt;="&amp;$A581,Despesas!$C:$C,H$1,Despesas!$M:$M,$B581)</f>
        <v>1000</v>
      </c>
      <c r="I581" s="18">
        <f>IF(Imóveis!$F$2="PRICE",IF(AND(Dados!$A581&gt;=Imóveis!$Q$2,Dados!$A581&lt;=Imóveis!$T$2),Imóveis!$U$2,0),IF((IF(AND(Dados!$A581&gt;=Imóveis!$Q$2,Dados!$A581&lt;=Imóveis!$T$2),Imóveis!$S$2-(DATEDIF(Imóveis!$Q$2,Dados!$A581,"m")),0))=0,0,((Imóveis!$N$2/Imóveis!$S$2)+((Imóveis!$N$2-((Imóveis!$S$2-(IF(AND(Dados!$A581&gt;=Imóveis!$Q$2,Dados!$A581&lt;=Imóveis!$T$2),Imóveis!$S$2-(DATEDIF(Imóveis!$Q$2,Dados!$A581,"m")),)))*(Imóveis!$N$2/Imóveis!$S$2)))*Imóveis!$P$2))))*IF(AND(Imóveis!$E$2&gt;0,Dados!$A581&gt;Imóveis!$E$2),0,1)</f>
        <v>0</v>
      </c>
      <c r="J581" s="18">
        <f>IF(Imóveis!$F$3="PRICE",IF(AND(Dados!$A581&gt;=Imóveis!$Q$3,Dados!$A581&lt;=Imóveis!$T$3),Imóveis!$U$3,0),IF((IF(AND(Dados!$A581&gt;=Imóveis!$Q$3,Dados!$A581&lt;=Imóveis!$T$3),Imóveis!$S$3-(DATEDIF(Imóveis!$Q$3,Dados!$A581,"m")),0))=0,0,((Imóveis!$N$3/Imóveis!$S$3)+((Imóveis!$N$3-((Imóveis!$S$3-(IF(AND(Dados!$A581&gt;=Imóveis!$Q$3,Dados!$A581&lt;=Imóveis!$T$3),Imóveis!$S$3-(DATEDIF(Imóveis!$Q$3,Dados!$A581,"m")),)))*(Imóveis!$N$3/Imóveis!$S$3)))*Imóveis!$P$3))))*IF(AND(Imóveis!$E$3&gt;0,Dados!$A581&gt;Imóveis!$E$3),0,1)</f>
        <v>0</v>
      </c>
      <c r="K581" s="18">
        <f>IF(Imóveis!$F$4="PRICE",IF(AND(Dados!$A581&gt;=Imóveis!$Q$4,Dados!$A581&lt;=Imóveis!$T$4),Imóveis!$U$4,0),IF((IF(AND(Dados!$A581&gt;=Imóveis!$Q$4,Dados!$A581&lt;=Imóveis!$T$4),Imóveis!$S$4-(DATEDIF(Imóveis!$Q$4,Dados!$A581,"m")),0))=0,0,((Imóveis!$N$4/Imóveis!$S$4)+((Imóveis!$N$4-((Imóveis!$S$4-(IF(AND(Dados!$A581&gt;=Imóveis!$Q$4,Dados!$A581&lt;=Imóveis!$T$4),Imóveis!$S$4-(DATEDIF(Imóveis!$Q$4,Dados!$A581,"m")),)))*(Imóveis!$N$4/Imóveis!$S$4)))*Imóveis!$P$4))))*IF(AND(Imóveis!$E$4&gt;0,Dados!$A581&gt;Imóveis!$E$4),0,1)</f>
        <v>0</v>
      </c>
      <c r="L581" s="18">
        <f>IF(Imóveis!$F$5="PRICE",IF(AND(Dados!$A581&gt;=Imóveis!$Q$5,Dados!$A581&lt;=Imóveis!$T$5),Imóveis!$U$5,0),IF((IF(AND(Dados!$A581&gt;=Imóveis!$Q$5,Dados!$A581&lt;=Imóveis!$T$5),Imóveis!$S$5-(DATEDIF(Imóveis!$Q$5,Dados!$A581,"m")),0))=0,0,((Imóveis!$N$5/Imóveis!$S$5)+((Imóveis!$N$5-((Imóveis!$S$5-(IF(AND(Dados!$A581 &gt;=Imóveis!$Q$5,Dados!$A581&lt;=Imóveis!$T$5),Imóveis!$S$5-(DATEDIF(Imóveis!$Q$5,Dados!$A581,"m")),)))*(Imóveis!$N$5/Imóveis!$S$5)))*Imóveis!$P$5))))*IF(AND(Imóveis!$E$5&gt;0,Dados!$A581&gt;Imóveis!$E$5),0,1)*Imóveis!$I$5</f>
        <v>0</v>
      </c>
      <c r="M581" s="18">
        <f>IF(Imóveis!$F$6="PRICE",IF(AND(Dados!$A581&gt;=Imóveis!$Q$6,Dados!$A581&lt;=Imóveis!$T$6),Imóveis!$U$6,0),IF((IF(AND(Dados!$A581&gt;=Imóveis!$Q$6,Dados!$A581&lt;=Imóveis!$T$6),Imóveis!$S$6-(DATEDIF(Imóveis!$Q$6,Dados!$A581,"m")),0))=0,0,((Imóveis!$N$6/Imóveis!$S$6)+((Imóveis!$N$6-((Imóveis!$S$6-(IF(AND(Dados!$A581&gt;=Imóveis!$Q$6,Dados!$A581&lt;=Imóveis!$T$6),Imóveis!$S$6-(DATEDIF(Imóveis!$Q$6,Dados!$A581,"m")),)))*(Imóveis!$N$6/Imóveis!$S$6)))*Imóveis!$P$6))))*IF(AND(Imóveis!$E$6&gt;0,Dados!$A581&gt;Imóveis!$E$6),0,1)*Imóveis!$I$6</f>
        <v>0</v>
      </c>
      <c r="N581" s="18">
        <f t="shared" si="77"/>
        <v>37000</v>
      </c>
      <c r="O581" s="18">
        <f>SUMIFS(Receitas!$F:$F,Receitas!$J:$J,"&lt;="&amp;$A581,Receitas!$L:$L,"&gt;="&amp;$A581,Receitas!$C:$C,O$1,Receitas!$M:$M,"Mensal")+SUMIFS(Receitas!$F:$F,Receitas!$J:$J,"&lt;="&amp;$A581,Receitas!$L:$L,"&gt;="&amp;$A581,Receitas!$C:$C,O$1,Receitas!$M:$M,$B581)</f>
        <v>0</v>
      </c>
      <c r="P581" s="18">
        <f>SUMIFS(Receitas!$F:$F,Receitas!$J:$J,"&lt;="&amp;$A581,Receitas!$L:$L,"&gt;="&amp;$A581,Receitas!$C:$C,P$1,Receitas!$M:$M,"Mensal")+SUMIFS(Receitas!$F:$F,Receitas!$J:$J,"&lt;="&amp;$A581,Receitas!$L:$L,"&gt;="&amp;$A581,Receitas!$C:$C,P$1,Receitas!$M:$M,$B581)</f>
        <v>0</v>
      </c>
      <c r="Q581" s="18">
        <f>SUMIFS(Receitas!$F:$F,Receitas!$J:$J,"&lt;="&amp;$A581,Receitas!$L:$L,"&gt;="&amp;$A581,Receitas!$C:$C,Q$1,Receitas!$M:$M,"Mensal")+SUMIFS(Receitas!$F:$F,Receitas!$J:$J,"&lt;="&amp;$A581,Receitas!$L:$L,"&gt;="&amp;$A581,Receitas!$C:$C,Q$1,Receitas!$M:$M,$B581)</f>
        <v>0</v>
      </c>
      <c r="R581" s="18" cm="1">
        <f t="array" ref="R581">(IF(AND(Membros!$F$2="Sim",A581&lt;=MAX(Membros!$E$2:$E$5)),Membros!K$2,IF(AND(A581&gt;=Membros!J$2,A581&lt;=MAX(Membros!$E$2:$E$5)),Membros!K$2,0))+IF(AND(Membros!$F$3="Sim",A581&lt;=MAX(Membros!$E$2:$E$5)),Membros!K$3,IF(AND(A581&gt;=Membros!J$3,A581&lt;=MAX(Membros!$E$2:$E$5)),Membros!K$3,0)))*IF(AND(COUNTIFS(Tabela3[Tipo],"Provedor",Tabela3[Simulação Seguro],"Sim")=2,A581&gt;=MAX(IF(Tabela3[Tipo]="Dependente",Tabela3[Expectativa de Vida (Data)]))),0,1)</f>
        <v>10000</v>
      </c>
      <c r="S581" s="18">
        <f t="shared" si="78"/>
        <v>10000</v>
      </c>
      <c r="U581" s="18">
        <f t="shared" ca="1" si="81"/>
        <v>37944371.488445014</v>
      </c>
      <c r="V581" s="18">
        <f>SUMIF(Imóveis!E:E,Dados!A:A,Imóveis!Z:Z)-SUMIF(Imóveis!E:E,Dados!A:A,Imóveis!Y:Y)</f>
        <v>0</v>
      </c>
      <c r="W581" s="18">
        <f>-SUMIF(Projetos!N:N,A581,Projetos!F:F)</f>
        <v>0</v>
      </c>
      <c r="X581" s="18">
        <f t="shared" si="75"/>
        <v>-27000</v>
      </c>
      <c r="Y581" s="26">
        <f ca="1">(U581*((Indicadores_Economicos!D$2+1)^(1/12)-1))</f>
        <v>124219.99845225668</v>
      </c>
      <c r="Z581" s="18">
        <f t="shared" ca="1" si="79"/>
        <v>38041591.486897267</v>
      </c>
      <c r="AA581" s="18">
        <f ca="1">Auxiliar_Projetos!E581</f>
        <v>2.5945033912984805E-9</v>
      </c>
      <c r="AB581" s="18">
        <f ca="1">Auxiliar_Projetos!K581</f>
        <v>1.9957718394603676E-9</v>
      </c>
      <c r="AC581" s="18">
        <f ca="1">IF(Z581-AA581-AB581&gt;Investimentos!$C$14,Investimentos!$C$14,IF(Z581-AA581-AB581&lt;Investimentos!$C$14,Z581-AA581-AB581,0))</f>
        <v>300000</v>
      </c>
      <c r="AD581" s="18">
        <f t="shared" ca="1" si="80"/>
        <v>37741591.486897267</v>
      </c>
      <c r="AE581" s="18"/>
    </row>
    <row r="582" spans="1:31" x14ac:dyDescent="0.2">
      <c r="A582" s="4">
        <v>63310</v>
      </c>
      <c r="B582" s="5" t="str">
        <f t="shared" si="76"/>
        <v>maio</v>
      </c>
      <c r="C582" s="5" t="str">
        <f t="shared" si="74"/>
        <v>2073</v>
      </c>
      <c r="D582" s="5">
        <f>SUMIFS(Despesas!$F:$F,Despesas!$J:$J,"&lt;="&amp;$A582,Despesas!$L:$L,"&gt;="&amp;$A582,Despesas!$C:$C,D$1,Despesas!$M:$M,"Mensal")+SUMIFS(Despesas!$F:$F,Despesas!$J:$J,"&lt;="&amp;$A582,Despesas!$L:$L,"&gt;="&amp;$A582,Despesas!$C:$C,D$1,Despesas!$M:$M,$B582)</f>
        <v>23000</v>
      </c>
      <c r="E582" s="18">
        <f>SUMIFS(Despesas!$F:$F,Despesas!$J:$J,"&lt;="&amp;$A582,Despesas!$L:$L,"&gt;="&amp;$A582,Despesas!$C:$C,E$1,Despesas!$M:$M,"Mensal")+SUMIFS(Despesas!$F:$F,Despesas!$J:$J,"&lt;="&amp;$A582,Despesas!$L:$L,"&gt;="&amp;$A582,Despesas!$C:$C,E$1,Despesas!$M:$M,$B582)</f>
        <v>0</v>
      </c>
      <c r="F582" s="5">
        <f>SUMIFS(Despesas!$F:$F,Despesas!$J:$J,"&lt;="&amp;$A582,Despesas!$L:$L,"&gt;="&amp;$A582,Despesas!$C:$C,F$1,Despesas!$M:$M,"Mensal")+SUMIFS(Despesas!$F:$F,Despesas!$J:$J,"&lt;="&amp;$A582,Despesas!$L:$L,"&gt;="&amp;$A582,Despesas!$C:$C,F$1,Despesas!$M:$M,$B582)</f>
        <v>13000</v>
      </c>
      <c r="G582" s="5">
        <f>SUMIFS(Despesas!$F:$F,Despesas!$J:$J,"&lt;="&amp;$A582,Despesas!$L:$L,"&gt;="&amp;$A582,Despesas!$C:$C,G$1,Despesas!$M:$M,"Mensal")+SUMIFS(Despesas!$F:$F,Despesas!$J:$J,"&lt;="&amp;$A582,Despesas!$L:$L,"&gt;="&amp;$A582,Despesas!$C:$C,G$1,Despesas!$M:$M,$B582)</f>
        <v>0</v>
      </c>
      <c r="H582" s="18">
        <f>SUMIFS(Despesas!$F:$F,Despesas!$J:$J,"&lt;="&amp;$A582,Despesas!$L:$L,"&gt;="&amp;$A582,Despesas!$C:$C,H$1,Despesas!$M:$M,"Mensal")+SUMIFS(Despesas!$F:$F,Despesas!$J:$J,"&lt;="&amp;$A582,Despesas!$L:$L,"&gt;="&amp;$A582,Despesas!$C:$C,H$1,Despesas!$M:$M,$B582)</f>
        <v>1000</v>
      </c>
      <c r="I582" s="18">
        <f>IF(Imóveis!$F$2="PRICE",IF(AND(Dados!$A582&gt;=Imóveis!$Q$2,Dados!$A582&lt;=Imóveis!$T$2),Imóveis!$U$2,0),IF((IF(AND(Dados!$A582&gt;=Imóveis!$Q$2,Dados!$A582&lt;=Imóveis!$T$2),Imóveis!$S$2-(DATEDIF(Imóveis!$Q$2,Dados!$A582,"m")),0))=0,0,((Imóveis!$N$2/Imóveis!$S$2)+((Imóveis!$N$2-((Imóveis!$S$2-(IF(AND(Dados!$A582&gt;=Imóveis!$Q$2,Dados!$A582&lt;=Imóveis!$T$2),Imóveis!$S$2-(DATEDIF(Imóveis!$Q$2,Dados!$A582,"m")),)))*(Imóveis!$N$2/Imóveis!$S$2)))*Imóveis!$P$2))))*IF(AND(Imóveis!$E$2&gt;0,Dados!$A582&gt;Imóveis!$E$2),0,1)</f>
        <v>0</v>
      </c>
      <c r="J582" s="18">
        <f>IF(Imóveis!$F$3="PRICE",IF(AND(Dados!$A582&gt;=Imóveis!$Q$3,Dados!$A582&lt;=Imóveis!$T$3),Imóveis!$U$3,0),IF((IF(AND(Dados!$A582&gt;=Imóveis!$Q$3,Dados!$A582&lt;=Imóveis!$T$3),Imóveis!$S$3-(DATEDIF(Imóveis!$Q$3,Dados!$A582,"m")),0))=0,0,((Imóveis!$N$3/Imóveis!$S$3)+((Imóveis!$N$3-((Imóveis!$S$3-(IF(AND(Dados!$A582&gt;=Imóveis!$Q$3,Dados!$A582&lt;=Imóveis!$T$3),Imóveis!$S$3-(DATEDIF(Imóveis!$Q$3,Dados!$A582,"m")),)))*(Imóveis!$N$3/Imóveis!$S$3)))*Imóveis!$P$3))))*IF(AND(Imóveis!$E$3&gt;0,Dados!$A582&gt;Imóveis!$E$3),0,1)</f>
        <v>0</v>
      </c>
      <c r="K582" s="18">
        <f>IF(Imóveis!$F$4="PRICE",IF(AND(Dados!$A582&gt;=Imóveis!$Q$4,Dados!$A582&lt;=Imóveis!$T$4),Imóveis!$U$4,0),IF((IF(AND(Dados!$A582&gt;=Imóveis!$Q$4,Dados!$A582&lt;=Imóveis!$T$4),Imóveis!$S$4-(DATEDIF(Imóveis!$Q$4,Dados!$A582,"m")),0))=0,0,((Imóveis!$N$4/Imóveis!$S$4)+((Imóveis!$N$4-((Imóveis!$S$4-(IF(AND(Dados!$A582&gt;=Imóveis!$Q$4,Dados!$A582&lt;=Imóveis!$T$4),Imóveis!$S$4-(DATEDIF(Imóveis!$Q$4,Dados!$A582,"m")),)))*(Imóveis!$N$4/Imóveis!$S$4)))*Imóveis!$P$4))))*IF(AND(Imóveis!$E$4&gt;0,Dados!$A582&gt;Imóveis!$E$4),0,1)</f>
        <v>0</v>
      </c>
      <c r="L582" s="18">
        <f>IF(Imóveis!$F$5="PRICE",IF(AND(Dados!$A582&gt;=Imóveis!$Q$5,Dados!$A582&lt;=Imóveis!$T$5),Imóveis!$U$5,0),IF((IF(AND(Dados!$A582&gt;=Imóveis!$Q$5,Dados!$A582&lt;=Imóveis!$T$5),Imóveis!$S$5-(DATEDIF(Imóveis!$Q$5,Dados!$A582,"m")),0))=0,0,((Imóveis!$N$5/Imóveis!$S$5)+((Imóveis!$N$5-((Imóveis!$S$5-(IF(AND(Dados!$A582 &gt;=Imóveis!$Q$5,Dados!$A582&lt;=Imóveis!$T$5),Imóveis!$S$5-(DATEDIF(Imóveis!$Q$5,Dados!$A582,"m")),)))*(Imóveis!$N$5/Imóveis!$S$5)))*Imóveis!$P$5))))*IF(AND(Imóveis!$E$5&gt;0,Dados!$A582&gt;Imóveis!$E$5),0,1)*Imóveis!$I$5</f>
        <v>0</v>
      </c>
      <c r="M582" s="18">
        <f>IF(Imóveis!$F$6="PRICE",IF(AND(Dados!$A582&gt;=Imóveis!$Q$6,Dados!$A582&lt;=Imóveis!$T$6),Imóveis!$U$6,0),IF((IF(AND(Dados!$A582&gt;=Imóveis!$Q$6,Dados!$A582&lt;=Imóveis!$T$6),Imóveis!$S$6-(DATEDIF(Imóveis!$Q$6,Dados!$A582,"m")),0))=0,0,((Imóveis!$N$6/Imóveis!$S$6)+((Imóveis!$N$6-((Imóveis!$S$6-(IF(AND(Dados!$A582&gt;=Imóveis!$Q$6,Dados!$A582&lt;=Imóveis!$T$6),Imóveis!$S$6-(DATEDIF(Imóveis!$Q$6,Dados!$A582,"m")),)))*(Imóveis!$N$6/Imóveis!$S$6)))*Imóveis!$P$6))))*IF(AND(Imóveis!$E$6&gt;0,Dados!$A582&gt;Imóveis!$E$6),0,1)*Imóveis!$I$6</f>
        <v>0</v>
      </c>
      <c r="N582" s="18">
        <f t="shared" si="77"/>
        <v>37000</v>
      </c>
      <c r="O582" s="18">
        <f>SUMIFS(Receitas!$F:$F,Receitas!$J:$J,"&lt;="&amp;$A582,Receitas!$L:$L,"&gt;="&amp;$A582,Receitas!$C:$C,O$1,Receitas!$M:$M,"Mensal")+SUMIFS(Receitas!$F:$F,Receitas!$J:$J,"&lt;="&amp;$A582,Receitas!$L:$L,"&gt;="&amp;$A582,Receitas!$C:$C,O$1,Receitas!$M:$M,$B582)</f>
        <v>0</v>
      </c>
      <c r="P582" s="18">
        <f>SUMIFS(Receitas!$F:$F,Receitas!$J:$J,"&lt;="&amp;$A582,Receitas!$L:$L,"&gt;="&amp;$A582,Receitas!$C:$C,P$1,Receitas!$M:$M,"Mensal")+SUMIFS(Receitas!$F:$F,Receitas!$J:$J,"&lt;="&amp;$A582,Receitas!$L:$L,"&gt;="&amp;$A582,Receitas!$C:$C,P$1,Receitas!$M:$M,$B582)</f>
        <v>0</v>
      </c>
      <c r="Q582" s="18">
        <f>SUMIFS(Receitas!$F:$F,Receitas!$J:$J,"&lt;="&amp;$A582,Receitas!$L:$L,"&gt;="&amp;$A582,Receitas!$C:$C,Q$1,Receitas!$M:$M,"Mensal")+SUMIFS(Receitas!$F:$F,Receitas!$J:$J,"&lt;="&amp;$A582,Receitas!$L:$L,"&gt;="&amp;$A582,Receitas!$C:$C,Q$1,Receitas!$M:$M,$B582)</f>
        <v>0</v>
      </c>
      <c r="R582" s="18" cm="1">
        <f t="array" ref="R582">(IF(AND(Membros!$F$2="Sim",A582&lt;=MAX(Membros!$E$2:$E$5)),Membros!K$2,IF(AND(A582&gt;=Membros!J$2,A582&lt;=MAX(Membros!$E$2:$E$5)),Membros!K$2,0))+IF(AND(Membros!$F$3="Sim",A582&lt;=MAX(Membros!$E$2:$E$5)),Membros!K$3,IF(AND(A582&gt;=Membros!J$3,A582&lt;=MAX(Membros!$E$2:$E$5)),Membros!K$3,0)))*IF(AND(COUNTIFS(Tabela3[Tipo],"Provedor",Tabela3[Simulação Seguro],"Sim")=2,A582&gt;=MAX(IF(Tabela3[Tipo]="Dependente",Tabela3[Expectativa de Vida (Data)]))),0,1)</f>
        <v>10000</v>
      </c>
      <c r="S582" s="18">
        <f t="shared" si="78"/>
        <v>10000</v>
      </c>
      <c r="U582" s="18">
        <f t="shared" ca="1" si="81"/>
        <v>38041591.486897267</v>
      </c>
      <c r="V582" s="18">
        <f>SUMIF(Imóveis!E:E,Dados!A:A,Imóveis!Z:Z)-SUMIF(Imóveis!E:E,Dados!A:A,Imóveis!Y:Y)</f>
        <v>0</v>
      </c>
      <c r="W582" s="18">
        <f>-SUMIF(Projetos!N:N,A582,Projetos!F:F)</f>
        <v>0</v>
      </c>
      <c r="X582" s="18">
        <f t="shared" si="75"/>
        <v>-27000</v>
      </c>
      <c r="Y582" s="26">
        <f ca="1">(U582*((Indicadores_Economicos!D$2+1)^(1/12)-1))</f>
        <v>124538.27142881513</v>
      </c>
      <c r="Z582" s="18">
        <f t="shared" ca="1" si="79"/>
        <v>38139129.758326083</v>
      </c>
      <c r="AA582" s="18">
        <f ca="1">Auxiliar_Projetos!E582</f>
        <v>2.6029971202656244E-9</v>
      </c>
      <c r="AB582" s="18">
        <f ca="1">Auxiliar_Projetos!K582</f>
        <v>2.0023054771274011E-9</v>
      </c>
      <c r="AC582" s="18">
        <f ca="1">IF(Z582-AA582-AB582&gt;Investimentos!$C$14,Investimentos!$C$14,IF(Z582-AA582-AB582&lt;Investimentos!$C$14,Z582-AA582-AB582,0))</f>
        <v>300000</v>
      </c>
      <c r="AD582" s="18">
        <f t="shared" ca="1" si="80"/>
        <v>37839129.758326083</v>
      </c>
      <c r="AE582" s="18"/>
    </row>
    <row r="583" spans="1:31" x14ac:dyDescent="0.2">
      <c r="A583" s="4">
        <v>63341</v>
      </c>
      <c r="B583" s="5" t="str">
        <f t="shared" si="76"/>
        <v>junho</v>
      </c>
      <c r="C583" s="5" t="str">
        <f t="shared" si="74"/>
        <v>2073</v>
      </c>
      <c r="D583" s="5">
        <f>SUMIFS(Despesas!$F:$F,Despesas!$J:$J,"&lt;="&amp;$A583,Despesas!$L:$L,"&gt;="&amp;$A583,Despesas!$C:$C,D$1,Despesas!$M:$M,"Mensal")+SUMIFS(Despesas!$F:$F,Despesas!$J:$J,"&lt;="&amp;$A583,Despesas!$L:$L,"&gt;="&amp;$A583,Despesas!$C:$C,D$1,Despesas!$M:$M,$B583)</f>
        <v>23000</v>
      </c>
      <c r="E583" s="18">
        <f>SUMIFS(Despesas!$F:$F,Despesas!$J:$J,"&lt;="&amp;$A583,Despesas!$L:$L,"&gt;="&amp;$A583,Despesas!$C:$C,E$1,Despesas!$M:$M,"Mensal")+SUMIFS(Despesas!$F:$F,Despesas!$J:$J,"&lt;="&amp;$A583,Despesas!$L:$L,"&gt;="&amp;$A583,Despesas!$C:$C,E$1,Despesas!$M:$M,$B583)</f>
        <v>0</v>
      </c>
      <c r="F583" s="5">
        <f>SUMIFS(Despesas!$F:$F,Despesas!$J:$J,"&lt;="&amp;$A583,Despesas!$L:$L,"&gt;="&amp;$A583,Despesas!$C:$C,F$1,Despesas!$M:$M,"Mensal")+SUMIFS(Despesas!$F:$F,Despesas!$J:$J,"&lt;="&amp;$A583,Despesas!$L:$L,"&gt;="&amp;$A583,Despesas!$C:$C,F$1,Despesas!$M:$M,$B583)</f>
        <v>13000</v>
      </c>
      <c r="G583" s="5">
        <f>SUMIFS(Despesas!$F:$F,Despesas!$J:$J,"&lt;="&amp;$A583,Despesas!$L:$L,"&gt;="&amp;$A583,Despesas!$C:$C,G$1,Despesas!$M:$M,"Mensal")+SUMIFS(Despesas!$F:$F,Despesas!$J:$J,"&lt;="&amp;$A583,Despesas!$L:$L,"&gt;="&amp;$A583,Despesas!$C:$C,G$1,Despesas!$M:$M,$B583)</f>
        <v>0</v>
      </c>
      <c r="H583" s="18">
        <f>SUMIFS(Despesas!$F:$F,Despesas!$J:$J,"&lt;="&amp;$A583,Despesas!$L:$L,"&gt;="&amp;$A583,Despesas!$C:$C,H$1,Despesas!$M:$M,"Mensal")+SUMIFS(Despesas!$F:$F,Despesas!$J:$J,"&lt;="&amp;$A583,Despesas!$L:$L,"&gt;="&amp;$A583,Despesas!$C:$C,H$1,Despesas!$M:$M,$B583)</f>
        <v>1000</v>
      </c>
      <c r="I583" s="18">
        <f>IF(Imóveis!$F$2="PRICE",IF(AND(Dados!$A583&gt;=Imóveis!$Q$2,Dados!$A583&lt;=Imóveis!$T$2),Imóveis!$U$2,0),IF((IF(AND(Dados!$A583&gt;=Imóveis!$Q$2,Dados!$A583&lt;=Imóveis!$T$2),Imóveis!$S$2-(DATEDIF(Imóveis!$Q$2,Dados!$A583,"m")),0))=0,0,((Imóveis!$N$2/Imóveis!$S$2)+((Imóveis!$N$2-((Imóveis!$S$2-(IF(AND(Dados!$A583&gt;=Imóveis!$Q$2,Dados!$A583&lt;=Imóveis!$T$2),Imóveis!$S$2-(DATEDIF(Imóveis!$Q$2,Dados!$A583,"m")),)))*(Imóveis!$N$2/Imóveis!$S$2)))*Imóveis!$P$2))))*IF(AND(Imóveis!$E$2&gt;0,Dados!$A583&gt;Imóveis!$E$2),0,1)</f>
        <v>0</v>
      </c>
      <c r="J583" s="18">
        <f>IF(Imóveis!$F$3="PRICE",IF(AND(Dados!$A583&gt;=Imóveis!$Q$3,Dados!$A583&lt;=Imóveis!$T$3),Imóveis!$U$3,0),IF((IF(AND(Dados!$A583&gt;=Imóveis!$Q$3,Dados!$A583&lt;=Imóveis!$T$3),Imóveis!$S$3-(DATEDIF(Imóveis!$Q$3,Dados!$A583,"m")),0))=0,0,((Imóveis!$N$3/Imóveis!$S$3)+((Imóveis!$N$3-((Imóveis!$S$3-(IF(AND(Dados!$A583&gt;=Imóveis!$Q$3,Dados!$A583&lt;=Imóveis!$T$3),Imóveis!$S$3-(DATEDIF(Imóveis!$Q$3,Dados!$A583,"m")),)))*(Imóveis!$N$3/Imóveis!$S$3)))*Imóveis!$P$3))))*IF(AND(Imóveis!$E$3&gt;0,Dados!$A583&gt;Imóveis!$E$3),0,1)</f>
        <v>0</v>
      </c>
      <c r="K583" s="18">
        <f>IF(Imóveis!$F$4="PRICE",IF(AND(Dados!$A583&gt;=Imóveis!$Q$4,Dados!$A583&lt;=Imóveis!$T$4),Imóveis!$U$4,0),IF((IF(AND(Dados!$A583&gt;=Imóveis!$Q$4,Dados!$A583&lt;=Imóveis!$T$4),Imóveis!$S$4-(DATEDIF(Imóveis!$Q$4,Dados!$A583,"m")),0))=0,0,((Imóveis!$N$4/Imóveis!$S$4)+((Imóveis!$N$4-((Imóveis!$S$4-(IF(AND(Dados!$A583&gt;=Imóveis!$Q$4,Dados!$A583&lt;=Imóveis!$T$4),Imóveis!$S$4-(DATEDIF(Imóveis!$Q$4,Dados!$A583,"m")),)))*(Imóveis!$N$4/Imóveis!$S$4)))*Imóveis!$P$4))))*IF(AND(Imóveis!$E$4&gt;0,Dados!$A583&gt;Imóveis!$E$4),0,1)</f>
        <v>0</v>
      </c>
      <c r="L583" s="18">
        <f>IF(Imóveis!$F$5="PRICE",IF(AND(Dados!$A583&gt;=Imóveis!$Q$5,Dados!$A583&lt;=Imóveis!$T$5),Imóveis!$U$5,0),IF((IF(AND(Dados!$A583&gt;=Imóveis!$Q$5,Dados!$A583&lt;=Imóveis!$T$5),Imóveis!$S$5-(DATEDIF(Imóveis!$Q$5,Dados!$A583,"m")),0))=0,0,((Imóveis!$N$5/Imóveis!$S$5)+((Imóveis!$N$5-((Imóveis!$S$5-(IF(AND(Dados!$A583 &gt;=Imóveis!$Q$5,Dados!$A583&lt;=Imóveis!$T$5),Imóveis!$S$5-(DATEDIF(Imóveis!$Q$5,Dados!$A583,"m")),)))*(Imóveis!$N$5/Imóveis!$S$5)))*Imóveis!$P$5))))*IF(AND(Imóveis!$E$5&gt;0,Dados!$A583&gt;Imóveis!$E$5),0,1)*Imóveis!$I$5</f>
        <v>0</v>
      </c>
      <c r="M583" s="18">
        <f>IF(Imóveis!$F$6="PRICE",IF(AND(Dados!$A583&gt;=Imóveis!$Q$6,Dados!$A583&lt;=Imóveis!$T$6),Imóveis!$U$6,0),IF((IF(AND(Dados!$A583&gt;=Imóveis!$Q$6,Dados!$A583&lt;=Imóveis!$T$6),Imóveis!$S$6-(DATEDIF(Imóveis!$Q$6,Dados!$A583,"m")),0))=0,0,((Imóveis!$N$6/Imóveis!$S$6)+((Imóveis!$N$6-((Imóveis!$S$6-(IF(AND(Dados!$A583&gt;=Imóveis!$Q$6,Dados!$A583&lt;=Imóveis!$T$6),Imóveis!$S$6-(DATEDIF(Imóveis!$Q$6,Dados!$A583,"m")),)))*(Imóveis!$N$6/Imóveis!$S$6)))*Imóveis!$P$6))))*IF(AND(Imóveis!$E$6&gt;0,Dados!$A583&gt;Imóveis!$E$6),0,1)*Imóveis!$I$6</f>
        <v>0</v>
      </c>
      <c r="N583" s="18">
        <f t="shared" si="77"/>
        <v>37000</v>
      </c>
      <c r="O583" s="18">
        <f>SUMIFS(Receitas!$F:$F,Receitas!$J:$J,"&lt;="&amp;$A583,Receitas!$L:$L,"&gt;="&amp;$A583,Receitas!$C:$C,O$1,Receitas!$M:$M,"Mensal")+SUMIFS(Receitas!$F:$F,Receitas!$J:$J,"&lt;="&amp;$A583,Receitas!$L:$L,"&gt;="&amp;$A583,Receitas!$C:$C,O$1,Receitas!$M:$M,$B583)</f>
        <v>0</v>
      </c>
      <c r="P583" s="18">
        <f>SUMIFS(Receitas!$F:$F,Receitas!$J:$J,"&lt;="&amp;$A583,Receitas!$L:$L,"&gt;="&amp;$A583,Receitas!$C:$C,P$1,Receitas!$M:$M,"Mensal")+SUMIFS(Receitas!$F:$F,Receitas!$J:$J,"&lt;="&amp;$A583,Receitas!$L:$L,"&gt;="&amp;$A583,Receitas!$C:$C,P$1,Receitas!$M:$M,$B583)</f>
        <v>0</v>
      </c>
      <c r="Q583" s="18">
        <f>SUMIFS(Receitas!$F:$F,Receitas!$J:$J,"&lt;="&amp;$A583,Receitas!$L:$L,"&gt;="&amp;$A583,Receitas!$C:$C,Q$1,Receitas!$M:$M,"Mensal")+SUMIFS(Receitas!$F:$F,Receitas!$J:$J,"&lt;="&amp;$A583,Receitas!$L:$L,"&gt;="&amp;$A583,Receitas!$C:$C,Q$1,Receitas!$M:$M,$B583)</f>
        <v>0</v>
      </c>
      <c r="R583" s="18" cm="1">
        <f t="array" ref="R583">(IF(AND(Membros!$F$2="Sim",A583&lt;=MAX(Membros!$E$2:$E$5)),Membros!K$2,IF(AND(A583&gt;=Membros!J$2,A583&lt;=MAX(Membros!$E$2:$E$5)),Membros!K$2,0))+IF(AND(Membros!$F$3="Sim",A583&lt;=MAX(Membros!$E$2:$E$5)),Membros!K$3,IF(AND(A583&gt;=Membros!J$3,A583&lt;=MAX(Membros!$E$2:$E$5)),Membros!K$3,0)))*IF(AND(COUNTIFS(Tabela3[Tipo],"Provedor",Tabela3[Simulação Seguro],"Sim")=2,A583&gt;=MAX(IF(Tabela3[Tipo]="Dependente",Tabela3[Expectativa de Vida (Data)]))),0,1)</f>
        <v>10000</v>
      </c>
      <c r="S583" s="18">
        <f t="shared" si="78"/>
        <v>10000</v>
      </c>
      <c r="U583" s="18">
        <f t="shared" ca="1" si="81"/>
        <v>38139129.758326083</v>
      </c>
      <c r="V583" s="18">
        <f>SUMIF(Imóveis!E:E,Dados!A:A,Imóveis!Z:Z)-SUMIF(Imóveis!E:E,Dados!A:A,Imóveis!Y:Y)</f>
        <v>0</v>
      </c>
      <c r="W583" s="18">
        <f>-SUMIF(Projetos!N:N,A583,Projetos!F:F)</f>
        <v>0</v>
      </c>
      <c r="X583" s="18">
        <f t="shared" si="75"/>
        <v>-27000</v>
      </c>
      <c r="Y583" s="26">
        <f ca="1">(U583*((Indicadores_Economicos!D$2+1)^(1/12)-1))</f>
        <v>124857.58634827856</v>
      </c>
      <c r="Z583" s="18">
        <f t="shared" ca="1" si="79"/>
        <v>38236987.344674364</v>
      </c>
      <c r="AA583" s="18">
        <f ca="1">Auxiliar_Projetos!E583</f>
        <v>2.6115186554911873E-9</v>
      </c>
      <c r="AB583" s="18">
        <f ca="1">Auxiliar_Projetos!K583</f>
        <v>2.0088605042239876E-9</v>
      </c>
      <c r="AC583" s="18">
        <f ca="1">IF(Z583-AA583-AB583&gt;Investimentos!$C$14,Investimentos!$C$14,IF(Z583-AA583-AB583&lt;Investimentos!$C$14,Z583-AA583-AB583,0))</f>
        <v>300000</v>
      </c>
      <c r="AD583" s="18">
        <f t="shared" ca="1" si="80"/>
        <v>37936987.344674364</v>
      </c>
      <c r="AE583" s="18"/>
    </row>
    <row r="584" spans="1:31" x14ac:dyDescent="0.2">
      <c r="A584" s="4">
        <v>63371</v>
      </c>
      <c r="B584" s="5" t="str">
        <f t="shared" si="76"/>
        <v>julho</v>
      </c>
      <c r="C584" s="5" t="str">
        <f t="shared" si="74"/>
        <v>2073</v>
      </c>
      <c r="D584" s="5">
        <f>SUMIFS(Despesas!$F:$F,Despesas!$J:$J,"&lt;="&amp;$A584,Despesas!$L:$L,"&gt;="&amp;$A584,Despesas!$C:$C,D$1,Despesas!$M:$M,"Mensal")+SUMIFS(Despesas!$F:$F,Despesas!$J:$J,"&lt;="&amp;$A584,Despesas!$L:$L,"&gt;="&amp;$A584,Despesas!$C:$C,D$1,Despesas!$M:$M,$B584)</f>
        <v>23000</v>
      </c>
      <c r="E584" s="18">
        <f>SUMIFS(Despesas!$F:$F,Despesas!$J:$J,"&lt;="&amp;$A584,Despesas!$L:$L,"&gt;="&amp;$A584,Despesas!$C:$C,E$1,Despesas!$M:$M,"Mensal")+SUMIFS(Despesas!$F:$F,Despesas!$J:$J,"&lt;="&amp;$A584,Despesas!$L:$L,"&gt;="&amp;$A584,Despesas!$C:$C,E$1,Despesas!$M:$M,$B584)</f>
        <v>0</v>
      </c>
      <c r="F584" s="5">
        <f>SUMIFS(Despesas!$F:$F,Despesas!$J:$J,"&lt;="&amp;$A584,Despesas!$L:$L,"&gt;="&amp;$A584,Despesas!$C:$C,F$1,Despesas!$M:$M,"Mensal")+SUMIFS(Despesas!$F:$F,Despesas!$J:$J,"&lt;="&amp;$A584,Despesas!$L:$L,"&gt;="&amp;$A584,Despesas!$C:$C,F$1,Despesas!$M:$M,$B584)</f>
        <v>13000</v>
      </c>
      <c r="G584" s="5">
        <f ca="1">SUMIFS(Despesas!$F:$F,Despesas!$J:$J,"&lt;="&amp;$A584,Despesas!$L:$L,"&gt;="&amp;$A584,Despesas!$C:$C,G$1,Despesas!$M:$M,"Mensal")+SUMIFS(Despesas!$F:$F,Despesas!$J:$J,"&lt;="&amp;$A584,Despesas!$L:$L,"&gt;="&amp;$A584,Despesas!$C:$C,G$1,Despesas!$M:$M,$B584)</f>
        <v>55757</v>
      </c>
      <c r="H584" s="18">
        <f>SUMIFS(Despesas!$F:$F,Despesas!$J:$J,"&lt;="&amp;$A584,Despesas!$L:$L,"&gt;="&amp;$A584,Despesas!$C:$C,H$1,Despesas!$M:$M,"Mensal")+SUMIFS(Despesas!$F:$F,Despesas!$J:$J,"&lt;="&amp;$A584,Despesas!$L:$L,"&gt;="&amp;$A584,Despesas!$C:$C,H$1,Despesas!$M:$M,$B584)</f>
        <v>1000</v>
      </c>
      <c r="I584" s="18">
        <f>IF(Imóveis!$F$2="PRICE",IF(AND(Dados!$A584&gt;=Imóveis!$Q$2,Dados!$A584&lt;=Imóveis!$T$2),Imóveis!$U$2,0),IF((IF(AND(Dados!$A584&gt;=Imóveis!$Q$2,Dados!$A584&lt;=Imóveis!$T$2),Imóveis!$S$2-(DATEDIF(Imóveis!$Q$2,Dados!$A584,"m")),0))=0,0,((Imóveis!$N$2/Imóveis!$S$2)+((Imóveis!$N$2-((Imóveis!$S$2-(IF(AND(Dados!$A584&gt;=Imóveis!$Q$2,Dados!$A584&lt;=Imóveis!$T$2),Imóveis!$S$2-(DATEDIF(Imóveis!$Q$2,Dados!$A584,"m")),)))*(Imóveis!$N$2/Imóveis!$S$2)))*Imóveis!$P$2))))*IF(AND(Imóveis!$E$2&gt;0,Dados!$A584&gt;Imóveis!$E$2),0,1)</f>
        <v>0</v>
      </c>
      <c r="J584" s="18">
        <f>IF(Imóveis!$F$3="PRICE",IF(AND(Dados!$A584&gt;=Imóveis!$Q$3,Dados!$A584&lt;=Imóveis!$T$3),Imóveis!$U$3,0),IF((IF(AND(Dados!$A584&gt;=Imóveis!$Q$3,Dados!$A584&lt;=Imóveis!$T$3),Imóveis!$S$3-(DATEDIF(Imóveis!$Q$3,Dados!$A584,"m")),0))=0,0,((Imóveis!$N$3/Imóveis!$S$3)+((Imóveis!$N$3-((Imóveis!$S$3-(IF(AND(Dados!$A584&gt;=Imóveis!$Q$3,Dados!$A584&lt;=Imóveis!$T$3),Imóveis!$S$3-(DATEDIF(Imóveis!$Q$3,Dados!$A584,"m")),)))*(Imóveis!$N$3/Imóveis!$S$3)))*Imóveis!$P$3))))*IF(AND(Imóveis!$E$3&gt;0,Dados!$A584&gt;Imóveis!$E$3),0,1)</f>
        <v>0</v>
      </c>
      <c r="K584" s="18">
        <f>IF(Imóveis!$F$4="PRICE",IF(AND(Dados!$A584&gt;=Imóveis!$Q$4,Dados!$A584&lt;=Imóveis!$T$4),Imóveis!$U$4,0),IF((IF(AND(Dados!$A584&gt;=Imóveis!$Q$4,Dados!$A584&lt;=Imóveis!$T$4),Imóveis!$S$4-(DATEDIF(Imóveis!$Q$4,Dados!$A584,"m")),0))=0,0,((Imóveis!$N$4/Imóveis!$S$4)+((Imóveis!$N$4-((Imóveis!$S$4-(IF(AND(Dados!$A584&gt;=Imóveis!$Q$4,Dados!$A584&lt;=Imóveis!$T$4),Imóveis!$S$4-(DATEDIF(Imóveis!$Q$4,Dados!$A584,"m")),)))*(Imóveis!$N$4/Imóveis!$S$4)))*Imóveis!$P$4))))*IF(AND(Imóveis!$E$4&gt;0,Dados!$A584&gt;Imóveis!$E$4),0,1)</f>
        <v>0</v>
      </c>
      <c r="L584" s="18">
        <f>IF(Imóveis!$F$5="PRICE",IF(AND(Dados!$A584&gt;=Imóveis!$Q$5,Dados!$A584&lt;=Imóveis!$T$5),Imóveis!$U$5,0),IF((IF(AND(Dados!$A584&gt;=Imóveis!$Q$5,Dados!$A584&lt;=Imóveis!$T$5),Imóveis!$S$5-(DATEDIF(Imóveis!$Q$5,Dados!$A584,"m")),0))=0,0,((Imóveis!$N$5/Imóveis!$S$5)+((Imóveis!$N$5-((Imóveis!$S$5-(IF(AND(Dados!$A584 &gt;=Imóveis!$Q$5,Dados!$A584&lt;=Imóveis!$T$5),Imóveis!$S$5-(DATEDIF(Imóveis!$Q$5,Dados!$A584,"m")),)))*(Imóveis!$N$5/Imóveis!$S$5)))*Imóveis!$P$5))))*IF(AND(Imóveis!$E$5&gt;0,Dados!$A584&gt;Imóveis!$E$5),0,1)*Imóveis!$I$5</f>
        <v>0</v>
      </c>
      <c r="M584" s="18">
        <f>IF(Imóveis!$F$6="PRICE",IF(AND(Dados!$A584&gt;=Imóveis!$Q$6,Dados!$A584&lt;=Imóveis!$T$6),Imóveis!$U$6,0),IF((IF(AND(Dados!$A584&gt;=Imóveis!$Q$6,Dados!$A584&lt;=Imóveis!$T$6),Imóveis!$S$6-(DATEDIF(Imóveis!$Q$6,Dados!$A584,"m")),0))=0,0,((Imóveis!$N$6/Imóveis!$S$6)+((Imóveis!$N$6-((Imóveis!$S$6-(IF(AND(Dados!$A584&gt;=Imóveis!$Q$6,Dados!$A584&lt;=Imóveis!$T$6),Imóveis!$S$6-(DATEDIF(Imóveis!$Q$6,Dados!$A584,"m")),)))*(Imóveis!$N$6/Imóveis!$S$6)))*Imóveis!$P$6))))*IF(AND(Imóveis!$E$6&gt;0,Dados!$A584&gt;Imóveis!$E$6),0,1)*Imóveis!$I$6</f>
        <v>0</v>
      </c>
      <c r="N584" s="18">
        <f t="shared" ca="1" si="77"/>
        <v>92757</v>
      </c>
      <c r="O584" s="18">
        <f>SUMIFS(Receitas!$F:$F,Receitas!$J:$J,"&lt;="&amp;$A584,Receitas!$L:$L,"&gt;="&amp;$A584,Receitas!$C:$C,O$1,Receitas!$M:$M,"Mensal")+SUMIFS(Receitas!$F:$F,Receitas!$J:$J,"&lt;="&amp;$A584,Receitas!$L:$L,"&gt;="&amp;$A584,Receitas!$C:$C,O$1,Receitas!$M:$M,$B584)</f>
        <v>0</v>
      </c>
      <c r="P584" s="18">
        <f>SUMIFS(Receitas!$F:$F,Receitas!$J:$J,"&lt;="&amp;$A584,Receitas!$L:$L,"&gt;="&amp;$A584,Receitas!$C:$C,P$1,Receitas!$M:$M,"Mensal")+SUMIFS(Receitas!$F:$F,Receitas!$J:$J,"&lt;="&amp;$A584,Receitas!$L:$L,"&gt;="&amp;$A584,Receitas!$C:$C,P$1,Receitas!$M:$M,$B584)</f>
        <v>0</v>
      </c>
      <c r="Q584" s="18">
        <f>SUMIFS(Receitas!$F:$F,Receitas!$J:$J,"&lt;="&amp;$A584,Receitas!$L:$L,"&gt;="&amp;$A584,Receitas!$C:$C,Q$1,Receitas!$M:$M,"Mensal")+SUMIFS(Receitas!$F:$F,Receitas!$J:$J,"&lt;="&amp;$A584,Receitas!$L:$L,"&gt;="&amp;$A584,Receitas!$C:$C,Q$1,Receitas!$M:$M,$B584)</f>
        <v>0</v>
      </c>
      <c r="R584" s="18" cm="1">
        <f t="array" ref="R584">(IF(AND(Membros!$F$2="Sim",A584&lt;=MAX(Membros!$E$2:$E$5)),Membros!K$2,IF(AND(A584&gt;=Membros!J$2,A584&lt;=MAX(Membros!$E$2:$E$5)),Membros!K$2,0))+IF(AND(Membros!$F$3="Sim",A584&lt;=MAX(Membros!$E$2:$E$5)),Membros!K$3,IF(AND(A584&gt;=Membros!J$3,A584&lt;=MAX(Membros!$E$2:$E$5)),Membros!K$3,0)))*IF(AND(COUNTIFS(Tabela3[Tipo],"Provedor",Tabela3[Simulação Seguro],"Sim")=2,A584&gt;=MAX(IF(Tabela3[Tipo]="Dependente",Tabela3[Expectativa de Vida (Data)]))),0,1)</f>
        <v>10000</v>
      </c>
      <c r="S584" s="18">
        <f t="shared" si="78"/>
        <v>10000</v>
      </c>
      <c r="U584" s="18">
        <f t="shared" ca="1" si="81"/>
        <v>38236987.344674364</v>
      </c>
      <c r="V584" s="18">
        <f>SUMIF(Imóveis!E:E,Dados!A:A,Imóveis!Z:Z)-SUMIF(Imóveis!E:E,Dados!A:A,Imóveis!Y:Y)</f>
        <v>0</v>
      </c>
      <c r="W584" s="18">
        <f>-SUMIF(Projetos!N:N,A584,Projetos!F:F)</f>
        <v>0</v>
      </c>
      <c r="X584" s="18">
        <f t="shared" ca="1" si="75"/>
        <v>-82757</v>
      </c>
      <c r="Y584" s="26">
        <f ca="1">(U584*((Indicadores_Economicos!D$2+1)^(1/12)-1))</f>
        <v>125177.9466216969</v>
      </c>
      <c r="Z584" s="18">
        <f t="shared" ca="1" si="79"/>
        <v>38279408.291296057</v>
      </c>
      <c r="AA584" s="18">
        <f ca="1">Auxiliar_Projetos!E584</f>
        <v>2.6200680880056233E-9</v>
      </c>
      <c r="AB584" s="18">
        <f ca="1">Auxiliar_Projetos!K584</f>
        <v>2.0154369907735539E-9</v>
      </c>
      <c r="AC584" s="18">
        <f ca="1">IF(Z584-AA584-AB584&gt;Investimentos!$C$14,Investimentos!$C$14,IF(Z584-AA584-AB584&lt;Investimentos!$C$14,Z584-AA584-AB584,0))</f>
        <v>300000</v>
      </c>
      <c r="AD584" s="18">
        <f t="shared" ca="1" si="80"/>
        <v>37979408.291296057</v>
      </c>
      <c r="AE584" s="18"/>
    </row>
    <row r="585" spans="1:31" x14ac:dyDescent="0.2">
      <c r="A585" s="4">
        <v>63402</v>
      </c>
      <c r="B585" s="5" t="str">
        <f t="shared" si="76"/>
        <v>agosto</v>
      </c>
      <c r="C585" s="5" t="str">
        <f t="shared" si="74"/>
        <v>2073</v>
      </c>
      <c r="D585" s="5">
        <f>SUMIFS(Despesas!$F:$F,Despesas!$J:$J,"&lt;="&amp;$A585,Despesas!$L:$L,"&gt;="&amp;$A585,Despesas!$C:$C,D$1,Despesas!$M:$M,"Mensal")+SUMIFS(Despesas!$F:$F,Despesas!$J:$J,"&lt;="&amp;$A585,Despesas!$L:$L,"&gt;="&amp;$A585,Despesas!$C:$C,D$1,Despesas!$M:$M,$B585)</f>
        <v>23000</v>
      </c>
      <c r="E585" s="18">
        <f>SUMIFS(Despesas!$F:$F,Despesas!$J:$J,"&lt;="&amp;$A585,Despesas!$L:$L,"&gt;="&amp;$A585,Despesas!$C:$C,E$1,Despesas!$M:$M,"Mensal")+SUMIFS(Despesas!$F:$F,Despesas!$J:$J,"&lt;="&amp;$A585,Despesas!$L:$L,"&gt;="&amp;$A585,Despesas!$C:$C,E$1,Despesas!$M:$M,$B585)</f>
        <v>0</v>
      </c>
      <c r="F585" s="5">
        <f>SUMIFS(Despesas!$F:$F,Despesas!$J:$J,"&lt;="&amp;$A585,Despesas!$L:$L,"&gt;="&amp;$A585,Despesas!$C:$C,F$1,Despesas!$M:$M,"Mensal")+SUMIFS(Despesas!$F:$F,Despesas!$J:$J,"&lt;="&amp;$A585,Despesas!$L:$L,"&gt;="&amp;$A585,Despesas!$C:$C,F$1,Despesas!$M:$M,$B585)</f>
        <v>13000</v>
      </c>
      <c r="G585" s="5">
        <f>SUMIFS(Despesas!$F:$F,Despesas!$J:$J,"&lt;="&amp;$A585,Despesas!$L:$L,"&gt;="&amp;$A585,Despesas!$C:$C,G$1,Despesas!$M:$M,"Mensal")+SUMIFS(Despesas!$F:$F,Despesas!$J:$J,"&lt;="&amp;$A585,Despesas!$L:$L,"&gt;="&amp;$A585,Despesas!$C:$C,G$1,Despesas!$M:$M,$B585)</f>
        <v>0</v>
      </c>
      <c r="H585" s="18">
        <f>SUMIFS(Despesas!$F:$F,Despesas!$J:$J,"&lt;="&amp;$A585,Despesas!$L:$L,"&gt;="&amp;$A585,Despesas!$C:$C,H$1,Despesas!$M:$M,"Mensal")+SUMIFS(Despesas!$F:$F,Despesas!$J:$J,"&lt;="&amp;$A585,Despesas!$L:$L,"&gt;="&amp;$A585,Despesas!$C:$C,H$1,Despesas!$M:$M,$B585)</f>
        <v>1000</v>
      </c>
      <c r="I585" s="18">
        <f>IF(Imóveis!$F$2="PRICE",IF(AND(Dados!$A585&gt;=Imóveis!$Q$2,Dados!$A585&lt;=Imóveis!$T$2),Imóveis!$U$2,0),IF((IF(AND(Dados!$A585&gt;=Imóveis!$Q$2,Dados!$A585&lt;=Imóveis!$T$2),Imóveis!$S$2-(DATEDIF(Imóveis!$Q$2,Dados!$A585,"m")),0))=0,0,((Imóveis!$N$2/Imóveis!$S$2)+((Imóveis!$N$2-((Imóveis!$S$2-(IF(AND(Dados!$A585&gt;=Imóveis!$Q$2,Dados!$A585&lt;=Imóveis!$T$2),Imóveis!$S$2-(DATEDIF(Imóveis!$Q$2,Dados!$A585,"m")),)))*(Imóveis!$N$2/Imóveis!$S$2)))*Imóveis!$P$2))))*IF(AND(Imóveis!$E$2&gt;0,Dados!$A585&gt;Imóveis!$E$2),0,1)</f>
        <v>0</v>
      </c>
      <c r="J585" s="18">
        <f>IF(Imóveis!$F$3="PRICE",IF(AND(Dados!$A585&gt;=Imóveis!$Q$3,Dados!$A585&lt;=Imóveis!$T$3),Imóveis!$U$3,0),IF((IF(AND(Dados!$A585&gt;=Imóveis!$Q$3,Dados!$A585&lt;=Imóveis!$T$3),Imóveis!$S$3-(DATEDIF(Imóveis!$Q$3,Dados!$A585,"m")),0))=0,0,((Imóveis!$N$3/Imóveis!$S$3)+((Imóveis!$N$3-((Imóveis!$S$3-(IF(AND(Dados!$A585&gt;=Imóveis!$Q$3,Dados!$A585&lt;=Imóveis!$T$3),Imóveis!$S$3-(DATEDIF(Imóveis!$Q$3,Dados!$A585,"m")),)))*(Imóveis!$N$3/Imóveis!$S$3)))*Imóveis!$P$3))))*IF(AND(Imóveis!$E$3&gt;0,Dados!$A585&gt;Imóveis!$E$3),0,1)</f>
        <v>0</v>
      </c>
      <c r="K585" s="18">
        <f>IF(Imóveis!$F$4="PRICE",IF(AND(Dados!$A585&gt;=Imóveis!$Q$4,Dados!$A585&lt;=Imóveis!$T$4),Imóveis!$U$4,0),IF((IF(AND(Dados!$A585&gt;=Imóveis!$Q$4,Dados!$A585&lt;=Imóveis!$T$4),Imóveis!$S$4-(DATEDIF(Imóveis!$Q$4,Dados!$A585,"m")),0))=0,0,((Imóveis!$N$4/Imóveis!$S$4)+((Imóveis!$N$4-((Imóveis!$S$4-(IF(AND(Dados!$A585&gt;=Imóveis!$Q$4,Dados!$A585&lt;=Imóveis!$T$4),Imóveis!$S$4-(DATEDIF(Imóveis!$Q$4,Dados!$A585,"m")),)))*(Imóveis!$N$4/Imóveis!$S$4)))*Imóveis!$P$4))))*IF(AND(Imóveis!$E$4&gt;0,Dados!$A585&gt;Imóveis!$E$4),0,1)</f>
        <v>0</v>
      </c>
      <c r="L585" s="18">
        <f>IF(Imóveis!$F$5="PRICE",IF(AND(Dados!$A585&gt;=Imóveis!$Q$5,Dados!$A585&lt;=Imóveis!$T$5),Imóveis!$U$5,0),IF((IF(AND(Dados!$A585&gt;=Imóveis!$Q$5,Dados!$A585&lt;=Imóveis!$T$5),Imóveis!$S$5-(DATEDIF(Imóveis!$Q$5,Dados!$A585,"m")),0))=0,0,((Imóveis!$N$5/Imóveis!$S$5)+((Imóveis!$N$5-((Imóveis!$S$5-(IF(AND(Dados!$A585 &gt;=Imóveis!$Q$5,Dados!$A585&lt;=Imóveis!$T$5),Imóveis!$S$5-(DATEDIF(Imóveis!$Q$5,Dados!$A585,"m")),)))*(Imóveis!$N$5/Imóveis!$S$5)))*Imóveis!$P$5))))*IF(AND(Imóveis!$E$5&gt;0,Dados!$A585&gt;Imóveis!$E$5),0,1)*Imóveis!$I$5</f>
        <v>0</v>
      </c>
      <c r="M585" s="18">
        <f>IF(Imóveis!$F$6="PRICE",IF(AND(Dados!$A585&gt;=Imóveis!$Q$6,Dados!$A585&lt;=Imóveis!$T$6),Imóveis!$U$6,0),IF((IF(AND(Dados!$A585&gt;=Imóveis!$Q$6,Dados!$A585&lt;=Imóveis!$T$6),Imóveis!$S$6-(DATEDIF(Imóveis!$Q$6,Dados!$A585,"m")),0))=0,0,((Imóveis!$N$6/Imóveis!$S$6)+((Imóveis!$N$6-((Imóveis!$S$6-(IF(AND(Dados!$A585&gt;=Imóveis!$Q$6,Dados!$A585&lt;=Imóveis!$T$6),Imóveis!$S$6-(DATEDIF(Imóveis!$Q$6,Dados!$A585,"m")),)))*(Imóveis!$N$6/Imóveis!$S$6)))*Imóveis!$P$6))))*IF(AND(Imóveis!$E$6&gt;0,Dados!$A585&gt;Imóveis!$E$6),0,1)*Imóveis!$I$6</f>
        <v>0</v>
      </c>
      <c r="N585" s="18">
        <f t="shared" si="77"/>
        <v>37000</v>
      </c>
      <c r="O585" s="18">
        <f>SUMIFS(Receitas!$F:$F,Receitas!$J:$J,"&lt;="&amp;$A585,Receitas!$L:$L,"&gt;="&amp;$A585,Receitas!$C:$C,O$1,Receitas!$M:$M,"Mensal")+SUMIFS(Receitas!$F:$F,Receitas!$J:$J,"&lt;="&amp;$A585,Receitas!$L:$L,"&gt;="&amp;$A585,Receitas!$C:$C,O$1,Receitas!$M:$M,$B585)</f>
        <v>0</v>
      </c>
      <c r="P585" s="18">
        <f>SUMIFS(Receitas!$F:$F,Receitas!$J:$J,"&lt;="&amp;$A585,Receitas!$L:$L,"&gt;="&amp;$A585,Receitas!$C:$C,P$1,Receitas!$M:$M,"Mensal")+SUMIFS(Receitas!$F:$F,Receitas!$J:$J,"&lt;="&amp;$A585,Receitas!$L:$L,"&gt;="&amp;$A585,Receitas!$C:$C,P$1,Receitas!$M:$M,$B585)</f>
        <v>0</v>
      </c>
      <c r="Q585" s="18">
        <f>SUMIFS(Receitas!$F:$F,Receitas!$J:$J,"&lt;="&amp;$A585,Receitas!$L:$L,"&gt;="&amp;$A585,Receitas!$C:$C,Q$1,Receitas!$M:$M,"Mensal")+SUMIFS(Receitas!$F:$F,Receitas!$J:$J,"&lt;="&amp;$A585,Receitas!$L:$L,"&gt;="&amp;$A585,Receitas!$C:$C,Q$1,Receitas!$M:$M,$B585)</f>
        <v>0</v>
      </c>
      <c r="R585" s="18" cm="1">
        <f t="array" ref="R585">(IF(AND(Membros!$F$2="Sim",A585&lt;=MAX(Membros!$E$2:$E$5)),Membros!K$2,IF(AND(A585&gt;=Membros!J$2,A585&lt;=MAX(Membros!$E$2:$E$5)),Membros!K$2,0))+IF(AND(Membros!$F$3="Sim",A585&lt;=MAX(Membros!$E$2:$E$5)),Membros!K$3,IF(AND(A585&gt;=Membros!J$3,A585&lt;=MAX(Membros!$E$2:$E$5)),Membros!K$3,0)))*IF(AND(COUNTIFS(Tabela3[Tipo],"Provedor",Tabela3[Simulação Seguro],"Sim")=2,A585&gt;=MAX(IF(Tabela3[Tipo]="Dependente",Tabela3[Expectativa de Vida (Data)]))),0,1)</f>
        <v>10000</v>
      </c>
      <c r="S585" s="18">
        <f t="shared" si="78"/>
        <v>10000</v>
      </c>
      <c r="U585" s="18">
        <f t="shared" ca="1" si="81"/>
        <v>38279408.291296057</v>
      </c>
      <c r="V585" s="18">
        <f>SUMIF(Imóveis!E:E,Dados!A:A,Imóveis!Z:Z)-SUMIF(Imóveis!E:E,Dados!A:A,Imóveis!Y:Y)</f>
        <v>0</v>
      </c>
      <c r="W585" s="18">
        <f>-SUMIF(Projetos!N:N,A585,Projetos!F:F)</f>
        <v>0</v>
      </c>
      <c r="X585" s="18">
        <f t="shared" si="75"/>
        <v>-27000</v>
      </c>
      <c r="Y585" s="26">
        <f ca="1">(U585*((Indicadores_Economicos!D$2+1)^(1/12)-1))</f>
        <v>125316.82176225088</v>
      </c>
      <c r="Z585" s="18">
        <f t="shared" ca="1" si="79"/>
        <v>38377725.113058306</v>
      </c>
      <c r="AA585" s="18">
        <f ca="1">Auxiliar_Projetos!E585</f>
        <v>2.6286455091373971E-9</v>
      </c>
      <c r="AB585" s="18">
        <f ca="1">Auxiliar_Projetos!K585</f>
        <v>2.0220350070287644E-9</v>
      </c>
      <c r="AC585" s="18">
        <f ca="1">IF(Z585-AA585-AB585&gt;Investimentos!$C$14,Investimentos!$C$14,IF(Z585-AA585-AB585&lt;Investimentos!$C$14,Z585-AA585-AB585,0))</f>
        <v>300000</v>
      </c>
      <c r="AD585" s="18">
        <f t="shared" ca="1" si="80"/>
        <v>38077725.113058306</v>
      </c>
      <c r="AE585" s="18"/>
    </row>
    <row r="586" spans="1:31" x14ac:dyDescent="0.2">
      <c r="A586" s="4">
        <v>63433</v>
      </c>
      <c r="B586" s="5" t="str">
        <f t="shared" si="76"/>
        <v>setembro</v>
      </c>
      <c r="C586" s="5" t="str">
        <f t="shared" si="74"/>
        <v>2073</v>
      </c>
      <c r="D586" s="5">
        <f>SUMIFS(Despesas!$F:$F,Despesas!$J:$J,"&lt;="&amp;$A586,Despesas!$L:$L,"&gt;="&amp;$A586,Despesas!$C:$C,D$1,Despesas!$M:$M,"Mensal")+SUMIFS(Despesas!$F:$F,Despesas!$J:$J,"&lt;="&amp;$A586,Despesas!$L:$L,"&gt;="&amp;$A586,Despesas!$C:$C,D$1,Despesas!$M:$M,$B586)</f>
        <v>23000</v>
      </c>
      <c r="E586" s="18">
        <f>SUMIFS(Despesas!$F:$F,Despesas!$J:$J,"&lt;="&amp;$A586,Despesas!$L:$L,"&gt;="&amp;$A586,Despesas!$C:$C,E$1,Despesas!$M:$M,"Mensal")+SUMIFS(Despesas!$F:$F,Despesas!$J:$J,"&lt;="&amp;$A586,Despesas!$L:$L,"&gt;="&amp;$A586,Despesas!$C:$C,E$1,Despesas!$M:$M,$B586)</f>
        <v>0</v>
      </c>
      <c r="F586" s="5">
        <f>SUMIFS(Despesas!$F:$F,Despesas!$J:$J,"&lt;="&amp;$A586,Despesas!$L:$L,"&gt;="&amp;$A586,Despesas!$C:$C,F$1,Despesas!$M:$M,"Mensal")+SUMIFS(Despesas!$F:$F,Despesas!$J:$J,"&lt;="&amp;$A586,Despesas!$L:$L,"&gt;="&amp;$A586,Despesas!$C:$C,F$1,Despesas!$M:$M,$B586)</f>
        <v>13000</v>
      </c>
      <c r="G586" s="5">
        <f>SUMIFS(Despesas!$F:$F,Despesas!$J:$J,"&lt;="&amp;$A586,Despesas!$L:$L,"&gt;="&amp;$A586,Despesas!$C:$C,G$1,Despesas!$M:$M,"Mensal")+SUMIFS(Despesas!$F:$F,Despesas!$J:$J,"&lt;="&amp;$A586,Despesas!$L:$L,"&gt;="&amp;$A586,Despesas!$C:$C,G$1,Despesas!$M:$M,$B586)</f>
        <v>0</v>
      </c>
      <c r="H586" s="18">
        <f>SUMIFS(Despesas!$F:$F,Despesas!$J:$J,"&lt;="&amp;$A586,Despesas!$L:$L,"&gt;="&amp;$A586,Despesas!$C:$C,H$1,Despesas!$M:$M,"Mensal")+SUMIFS(Despesas!$F:$F,Despesas!$J:$J,"&lt;="&amp;$A586,Despesas!$L:$L,"&gt;="&amp;$A586,Despesas!$C:$C,H$1,Despesas!$M:$M,$B586)</f>
        <v>1000</v>
      </c>
      <c r="I586" s="18">
        <f>IF(Imóveis!$F$2="PRICE",IF(AND(Dados!$A586&gt;=Imóveis!$Q$2,Dados!$A586&lt;=Imóveis!$T$2),Imóveis!$U$2,0),IF((IF(AND(Dados!$A586&gt;=Imóveis!$Q$2,Dados!$A586&lt;=Imóveis!$T$2),Imóveis!$S$2-(DATEDIF(Imóveis!$Q$2,Dados!$A586,"m")),0))=0,0,((Imóveis!$N$2/Imóveis!$S$2)+((Imóveis!$N$2-((Imóveis!$S$2-(IF(AND(Dados!$A586&gt;=Imóveis!$Q$2,Dados!$A586&lt;=Imóveis!$T$2),Imóveis!$S$2-(DATEDIF(Imóveis!$Q$2,Dados!$A586,"m")),)))*(Imóveis!$N$2/Imóveis!$S$2)))*Imóveis!$P$2))))*IF(AND(Imóveis!$E$2&gt;0,Dados!$A586&gt;Imóveis!$E$2),0,1)</f>
        <v>0</v>
      </c>
      <c r="J586" s="18">
        <f>IF(Imóveis!$F$3="PRICE",IF(AND(Dados!$A586&gt;=Imóveis!$Q$3,Dados!$A586&lt;=Imóveis!$T$3),Imóveis!$U$3,0),IF((IF(AND(Dados!$A586&gt;=Imóveis!$Q$3,Dados!$A586&lt;=Imóveis!$T$3),Imóveis!$S$3-(DATEDIF(Imóveis!$Q$3,Dados!$A586,"m")),0))=0,0,((Imóveis!$N$3/Imóveis!$S$3)+((Imóveis!$N$3-((Imóveis!$S$3-(IF(AND(Dados!$A586&gt;=Imóveis!$Q$3,Dados!$A586&lt;=Imóveis!$T$3),Imóveis!$S$3-(DATEDIF(Imóveis!$Q$3,Dados!$A586,"m")),)))*(Imóveis!$N$3/Imóveis!$S$3)))*Imóveis!$P$3))))*IF(AND(Imóveis!$E$3&gt;0,Dados!$A586&gt;Imóveis!$E$3),0,1)</f>
        <v>0</v>
      </c>
      <c r="K586" s="18">
        <f>IF(Imóveis!$F$4="PRICE",IF(AND(Dados!$A586&gt;=Imóveis!$Q$4,Dados!$A586&lt;=Imóveis!$T$4),Imóveis!$U$4,0),IF((IF(AND(Dados!$A586&gt;=Imóveis!$Q$4,Dados!$A586&lt;=Imóveis!$T$4),Imóveis!$S$4-(DATEDIF(Imóveis!$Q$4,Dados!$A586,"m")),0))=0,0,((Imóveis!$N$4/Imóveis!$S$4)+((Imóveis!$N$4-((Imóveis!$S$4-(IF(AND(Dados!$A586&gt;=Imóveis!$Q$4,Dados!$A586&lt;=Imóveis!$T$4),Imóveis!$S$4-(DATEDIF(Imóveis!$Q$4,Dados!$A586,"m")),)))*(Imóveis!$N$4/Imóveis!$S$4)))*Imóveis!$P$4))))*IF(AND(Imóveis!$E$4&gt;0,Dados!$A586&gt;Imóveis!$E$4),0,1)</f>
        <v>0</v>
      </c>
      <c r="L586" s="18">
        <f>IF(Imóveis!$F$5="PRICE",IF(AND(Dados!$A586&gt;=Imóveis!$Q$5,Dados!$A586&lt;=Imóveis!$T$5),Imóveis!$U$5,0),IF((IF(AND(Dados!$A586&gt;=Imóveis!$Q$5,Dados!$A586&lt;=Imóveis!$T$5),Imóveis!$S$5-(DATEDIF(Imóveis!$Q$5,Dados!$A586,"m")),0))=0,0,((Imóveis!$N$5/Imóveis!$S$5)+((Imóveis!$N$5-((Imóveis!$S$5-(IF(AND(Dados!$A586 &gt;=Imóveis!$Q$5,Dados!$A586&lt;=Imóveis!$T$5),Imóveis!$S$5-(DATEDIF(Imóveis!$Q$5,Dados!$A586,"m")),)))*(Imóveis!$N$5/Imóveis!$S$5)))*Imóveis!$P$5))))*IF(AND(Imóveis!$E$5&gt;0,Dados!$A586&gt;Imóveis!$E$5),0,1)*Imóveis!$I$5</f>
        <v>0</v>
      </c>
      <c r="M586" s="18">
        <f>IF(Imóveis!$F$6="PRICE",IF(AND(Dados!$A586&gt;=Imóveis!$Q$6,Dados!$A586&lt;=Imóveis!$T$6),Imóveis!$U$6,0),IF((IF(AND(Dados!$A586&gt;=Imóveis!$Q$6,Dados!$A586&lt;=Imóveis!$T$6),Imóveis!$S$6-(DATEDIF(Imóveis!$Q$6,Dados!$A586,"m")),0))=0,0,((Imóveis!$N$6/Imóveis!$S$6)+((Imóveis!$N$6-((Imóveis!$S$6-(IF(AND(Dados!$A586&gt;=Imóveis!$Q$6,Dados!$A586&lt;=Imóveis!$T$6),Imóveis!$S$6-(DATEDIF(Imóveis!$Q$6,Dados!$A586,"m")),)))*(Imóveis!$N$6/Imóveis!$S$6)))*Imóveis!$P$6))))*IF(AND(Imóveis!$E$6&gt;0,Dados!$A586&gt;Imóveis!$E$6),0,1)*Imóveis!$I$6</f>
        <v>0</v>
      </c>
      <c r="N586" s="18">
        <f t="shared" si="77"/>
        <v>37000</v>
      </c>
      <c r="O586" s="18">
        <f>SUMIFS(Receitas!$F:$F,Receitas!$J:$J,"&lt;="&amp;$A586,Receitas!$L:$L,"&gt;="&amp;$A586,Receitas!$C:$C,O$1,Receitas!$M:$M,"Mensal")+SUMIFS(Receitas!$F:$F,Receitas!$J:$J,"&lt;="&amp;$A586,Receitas!$L:$L,"&gt;="&amp;$A586,Receitas!$C:$C,O$1,Receitas!$M:$M,$B586)</f>
        <v>0</v>
      </c>
      <c r="P586" s="18">
        <f>SUMIFS(Receitas!$F:$F,Receitas!$J:$J,"&lt;="&amp;$A586,Receitas!$L:$L,"&gt;="&amp;$A586,Receitas!$C:$C,P$1,Receitas!$M:$M,"Mensal")+SUMIFS(Receitas!$F:$F,Receitas!$J:$J,"&lt;="&amp;$A586,Receitas!$L:$L,"&gt;="&amp;$A586,Receitas!$C:$C,P$1,Receitas!$M:$M,$B586)</f>
        <v>0</v>
      </c>
      <c r="Q586" s="18">
        <f>SUMIFS(Receitas!$F:$F,Receitas!$J:$J,"&lt;="&amp;$A586,Receitas!$L:$L,"&gt;="&amp;$A586,Receitas!$C:$C,Q$1,Receitas!$M:$M,"Mensal")+SUMIFS(Receitas!$F:$F,Receitas!$J:$J,"&lt;="&amp;$A586,Receitas!$L:$L,"&gt;="&amp;$A586,Receitas!$C:$C,Q$1,Receitas!$M:$M,$B586)</f>
        <v>0</v>
      </c>
      <c r="R586" s="18" cm="1">
        <f t="array" ref="R586">(IF(AND(Membros!$F$2="Sim",A586&lt;=MAX(Membros!$E$2:$E$5)),Membros!K$2,IF(AND(A586&gt;=Membros!J$2,A586&lt;=MAX(Membros!$E$2:$E$5)),Membros!K$2,0))+IF(AND(Membros!$F$3="Sim",A586&lt;=MAX(Membros!$E$2:$E$5)),Membros!K$3,IF(AND(A586&gt;=Membros!J$3,A586&lt;=MAX(Membros!$E$2:$E$5)),Membros!K$3,0)))*IF(AND(COUNTIFS(Tabela3[Tipo],"Provedor",Tabela3[Simulação Seguro],"Sim")=2,A586&gt;=MAX(IF(Tabela3[Tipo]="Dependente",Tabela3[Expectativa de Vida (Data)]))),0,1)</f>
        <v>10000</v>
      </c>
      <c r="S586" s="18">
        <f t="shared" si="78"/>
        <v>10000</v>
      </c>
      <c r="U586" s="18">
        <f t="shared" ca="1" si="81"/>
        <v>38377725.113058306</v>
      </c>
      <c r="V586" s="18">
        <f>SUMIF(Imóveis!E:E,Dados!A:A,Imóveis!Z:Z)-SUMIF(Imóveis!E:E,Dados!A:A,Imóveis!Y:Y)</f>
        <v>0</v>
      </c>
      <c r="W586" s="18">
        <f>-SUMIF(Projetos!N:N,A586,Projetos!F:F)</f>
        <v>0</v>
      </c>
      <c r="X586" s="18">
        <f t="shared" si="75"/>
        <v>-27000</v>
      </c>
      <c r="Y586" s="26">
        <f ca="1">(U586*((Indicadores_Economicos!D$2+1)^(1/12)-1))</f>
        <v>125638.68545291331</v>
      </c>
      <c r="Z586" s="18">
        <f t="shared" ca="1" si="79"/>
        <v>38476363.798511222</v>
      </c>
      <c r="AA586" s="18">
        <f ca="1">Auxiliar_Projetos!E586</f>
        <v>2.6372510105139587E-9</v>
      </c>
      <c r="AB586" s="18">
        <f ca="1">Auxiliar_Projetos!K586</f>
        <v>2.0286546234722733E-9</v>
      </c>
      <c r="AC586" s="18">
        <f ca="1">IF(Z586-AA586-AB586&gt;Investimentos!$C$14,Investimentos!$C$14,IF(Z586-AA586-AB586&lt;Investimentos!$C$14,Z586-AA586-AB586,0))</f>
        <v>300000</v>
      </c>
      <c r="AD586" s="18">
        <f t="shared" ca="1" si="80"/>
        <v>38176363.798511222</v>
      </c>
      <c r="AE586" s="18"/>
    </row>
    <row r="587" spans="1:31" x14ac:dyDescent="0.2">
      <c r="A587" s="4">
        <v>63463</v>
      </c>
      <c r="B587" s="5" t="str">
        <f t="shared" si="76"/>
        <v>outubro</v>
      </c>
      <c r="C587" s="5" t="str">
        <f t="shared" si="74"/>
        <v>2073</v>
      </c>
      <c r="D587" s="5">
        <f>SUMIFS(Despesas!$F:$F,Despesas!$J:$J,"&lt;="&amp;$A587,Despesas!$L:$L,"&gt;="&amp;$A587,Despesas!$C:$C,D$1,Despesas!$M:$M,"Mensal")+SUMIFS(Despesas!$F:$F,Despesas!$J:$J,"&lt;="&amp;$A587,Despesas!$L:$L,"&gt;="&amp;$A587,Despesas!$C:$C,D$1,Despesas!$M:$M,$B587)</f>
        <v>23000</v>
      </c>
      <c r="E587" s="18">
        <f>SUMIFS(Despesas!$F:$F,Despesas!$J:$J,"&lt;="&amp;$A587,Despesas!$L:$L,"&gt;="&amp;$A587,Despesas!$C:$C,E$1,Despesas!$M:$M,"Mensal")+SUMIFS(Despesas!$F:$F,Despesas!$J:$J,"&lt;="&amp;$A587,Despesas!$L:$L,"&gt;="&amp;$A587,Despesas!$C:$C,E$1,Despesas!$M:$M,$B587)</f>
        <v>0</v>
      </c>
      <c r="F587" s="5">
        <f>SUMIFS(Despesas!$F:$F,Despesas!$J:$J,"&lt;="&amp;$A587,Despesas!$L:$L,"&gt;="&amp;$A587,Despesas!$C:$C,F$1,Despesas!$M:$M,"Mensal")+SUMIFS(Despesas!$F:$F,Despesas!$J:$J,"&lt;="&amp;$A587,Despesas!$L:$L,"&gt;="&amp;$A587,Despesas!$C:$C,F$1,Despesas!$M:$M,$B587)</f>
        <v>13000</v>
      </c>
      <c r="G587" s="5">
        <f>SUMIFS(Despesas!$F:$F,Despesas!$J:$J,"&lt;="&amp;$A587,Despesas!$L:$L,"&gt;="&amp;$A587,Despesas!$C:$C,G$1,Despesas!$M:$M,"Mensal")+SUMIFS(Despesas!$F:$F,Despesas!$J:$J,"&lt;="&amp;$A587,Despesas!$L:$L,"&gt;="&amp;$A587,Despesas!$C:$C,G$1,Despesas!$M:$M,$B587)</f>
        <v>0</v>
      </c>
      <c r="H587" s="18">
        <f>SUMIFS(Despesas!$F:$F,Despesas!$J:$J,"&lt;="&amp;$A587,Despesas!$L:$L,"&gt;="&amp;$A587,Despesas!$C:$C,H$1,Despesas!$M:$M,"Mensal")+SUMIFS(Despesas!$F:$F,Despesas!$J:$J,"&lt;="&amp;$A587,Despesas!$L:$L,"&gt;="&amp;$A587,Despesas!$C:$C,H$1,Despesas!$M:$M,$B587)</f>
        <v>1000</v>
      </c>
      <c r="I587" s="18">
        <f>IF(Imóveis!$F$2="PRICE",IF(AND(Dados!$A587&gt;=Imóveis!$Q$2,Dados!$A587&lt;=Imóveis!$T$2),Imóveis!$U$2,0),IF((IF(AND(Dados!$A587&gt;=Imóveis!$Q$2,Dados!$A587&lt;=Imóveis!$T$2),Imóveis!$S$2-(DATEDIF(Imóveis!$Q$2,Dados!$A587,"m")),0))=0,0,((Imóveis!$N$2/Imóveis!$S$2)+((Imóveis!$N$2-((Imóveis!$S$2-(IF(AND(Dados!$A587&gt;=Imóveis!$Q$2,Dados!$A587&lt;=Imóveis!$T$2),Imóveis!$S$2-(DATEDIF(Imóveis!$Q$2,Dados!$A587,"m")),)))*(Imóveis!$N$2/Imóveis!$S$2)))*Imóveis!$P$2))))*IF(AND(Imóveis!$E$2&gt;0,Dados!$A587&gt;Imóveis!$E$2),0,1)</f>
        <v>0</v>
      </c>
      <c r="J587" s="18">
        <f>IF(Imóveis!$F$3="PRICE",IF(AND(Dados!$A587&gt;=Imóveis!$Q$3,Dados!$A587&lt;=Imóveis!$T$3),Imóveis!$U$3,0),IF((IF(AND(Dados!$A587&gt;=Imóveis!$Q$3,Dados!$A587&lt;=Imóveis!$T$3),Imóveis!$S$3-(DATEDIF(Imóveis!$Q$3,Dados!$A587,"m")),0))=0,0,((Imóveis!$N$3/Imóveis!$S$3)+((Imóveis!$N$3-((Imóveis!$S$3-(IF(AND(Dados!$A587&gt;=Imóveis!$Q$3,Dados!$A587&lt;=Imóveis!$T$3),Imóveis!$S$3-(DATEDIF(Imóveis!$Q$3,Dados!$A587,"m")),)))*(Imóveis!$N$3/Imóveis!$S$3)))*Imóveis!$P$3))))*IF(AND(Imóveis!$E$3&gt;0,Dados!$A587&gt;Imóveis!$E$3),0,1)</f>
        <v>0</v>
      </c>
      <c r="K587" s="18">
        <f>IF(Imóveis!$F$4="PRICE",IF(AND(Dados!$A587&gt;=Imóveis!$Q$4,Dados!$A587&lt;=Imóveis!$T$4),Imóveis!$U$4,0),IF((IF(AND(Dados!$A587&gt;=Imóveis!$Q$4,Dados!$A587&lt;=Imóveis!$T$4),Imóveis!$S$4-(DATEDIF(Imóveis!$Q$4,Dados!$A587,"m")),0))=0,0,((Imóveis!$N$4/Imóveis!$S$4)+((Imóveis!$N$4-((Imóveis!$S$4-(IF(AND(Dados!$A587&gt;=Imóveis!$Q$4,Dados!$A587&lt;=Imóveis!$T$4),Imóveis!$S$4-(DATEDIF(Imóveis!$Q$4,Dados!$A587,"m")),)))*(Imóveis!$N$4/Imóveis!$S$4)))*Imóveis!$P$4))))*IF(AND(Imóveis!$E$4&gt;0,Dados!$A587&gt;Imóveis!$E$4),0,1)</f>
        <v>0</v>
      </c>
      <c r="L587" s="18">
        <f>IF(Imóveis!$F$5="PRICE",IF(AND(Dados!$A587&gt;=Imóveis!$Q$5,Dados!$A587&lt;=Imóveis!$T$5),Imóveis!$U$5,0),IF((IF(AND(Dados!$A587&gt;=Imóveis!$Q$5,Dados!$A587&lt;=Imóveis!$T$5),Imóveis!$S$5-(DATEDIF(Imóveis!$Q$5,Dados!$A587,"m")),0))=0,0,((Imóveis!$N$5/Imóveis!$S$5)+((Imóveis!$N$5-((Imóveis!$S$5-(IF(AND(Dados!$A587 &gt;=Imóveis!$Q$5,Dados!$A587&lt;=Imóveis!$T$5),Imóveis!$S$5-(DATEDIF(Imóveis!$Q$5,Dados!$A587,"m")),)))*(Imóveis!$N$5/Imóveis!$S$5)))*Imóveis!$P$5))))*IF(AND(Imóveis!$E$5&gt;0,Dados!$A587&gt;Imóveis!$E$5),0,1)*Imóveis!$I$5</f>
        <v>0</v>
      </c>
      <c r="M587" s="18">
        <f>IF(Imóveis!$F$6="PRICE",IF(AND(Dados!$A587&gt;=Imóveis!$Q$6,Dados!$A587&lt;=Imóveis!$T$6),Imóveis!$U$6,0),IF((IF(AND(Dados!$A587&gt;=Imóveis!$Q$6,Dados!$A587&lt;=Imóveis!$T$6),Imóveis!$S$6-(DATEDIF(Imóveis!$Q$6,Dados!$A587,"m")),0))=0,0,((Imóveis!$N$6/Imóveis!$S$6)+((Imóveis!$N$6-((Imóveis!$S$6-(IF(AND(Dados!$A587&gt;=Imóveis!$Q$6,Dados!$A587&lt;=Imóveis!$T$6),Imóveis!$S$6-(DATEDIF(Imóveis!$Q$6,Dados!$A587,"m")),)))*(Imóveis!$N$6/Imóveis!$S$6)))*Imóveis!$P$6))))*IF(AND(Imóveis!$E$6&gt;0,Dados!$A587&gt;Imóveis!$E$6),0,1)*Imóveis!$I$6</f>
        <v>0</v>
      </c>
      <c r="N587" s="18">
        <f t="shared" si="77"/>
        <v>37000</v>
      </c>
      <c r="O587" s="18">
        <f>SUMIFS(Receitas!$F:$F,Receitas!$J:$J,"&lt;="&amp;$A587,Receitas!$L:$L,"&gt;="&amp;$A587,Receitas!$C:$C,O$1,Receitas!$M:$M,"Mensal")+SUMIFS(Receitas!$F:$F,Receitas!$J:$J,"&lt;="&amp;$A587,Receitas!$L:$L,"&gt;="&amp;$A587,Receitas!$C:$C,O$1,Receitas!$M:$M,$B587)</f>
        <v>0</v>
      </c>
      <c r="P587" s="18">
        <f>SUMIFS(Receitas!$F:$F,Receitas!$J:$J,"&lt;="&amp;$A587,Receitas!$L:$L,"&gt;="&amp;$A587,Receitas!$C:$C,P$1,Receitas!$M:$M,"Mensal")+SUMIFS(Receitas!$F:$F,Receitas!$J:$J,"&lt;="&amp;$A587,Receitas!$L:$L,"&gt;="&amp;$A587,Receitas!$C:$C,P$1,Receitas!$M:$M,$B587)</f>
        <v>0</v>
      </c>
      <c r="Q587" s="18">
        <f>SUMIFS(Receitas!$F:$F,Receitas!$J:$J,"&lt;="&amp;$A587,Receitas!$L:$L,"&gt;="&amp;$A587,Receitas!$C:$C,Q$1,Receitas!$M:$M,"Mensal")+SUMIFS(Receitas!$F:$F,Receitas!$J:$J,"&lt;="&amp;$A587,Receitas!$L:$L,"&gt;="&amp;$A587,Receitas!$C:$C,Q$1,Receitas!$M:$M,$B587)</f>
        <v>0</v>
      </c>
      <c r="R587" s="18" cm="1">
        <f t="array" ref="R587">(IF(AND(Membros!$F$2="Sim",A587&lt;=MAX(Membros!$E$2:$E$5)),Membros!K$2,IF(AND(A587&gt;=Membros!J$2,A587&lt;=MAX(Membros!$E$2:$E$5)),Membros!K$2,0))+IF(AND(Membros!$F$3="Sim",A587&lt;=MAX(Membros!$E$2:$E$5)),Membros!K$3,IF(AND(A587&gt;=Membros!J$3,A587&lt;=MAX(Membros!$E$2:$E$5)),Membros!K$3,0)))*IF(AND(COUNTIFS(Tabela3[Tipo],"Provedor",Tabela3[Simulação Seguro],"Sim")=2,A587&gt;=MAX(IF(Tabela3[Tipo]="Dependente",Tabela3[Expectativa de Vida (Data)]))),0,1)</f>
        <v>10000</v>
      </c>
      <c r="S587" s="18">
        <f t="shared" si="78"/>
        <v>10000</v>
      </c>
      <c r="U587" s="18">
        <f t="shared" ca="1" si="81"/>
        <v>38476363.798511222</v>
      </c>
      <c r="V587" s="18">
        <f>SUMIF(Imóveis!E:E,Dados!A:A,Imóveis!Z:Z)-SUMIF(Imóveis!E:E,Dados!A:A,Imóveis!Y:Y)</f>
        <v>0</v>
      </c>
      <c r="W587" s="18">
        <f>-SUMIF(Projetos!N:N,A587,Projetos!F:F)</f>
        <v>0</v>
      </c>
      <c r="X587" s="18">
        <f t="shared" si="75"/>
        <v>-27000</v>
      </c>
      <c r="Y587" s="26">
        <f ca="1">(U587*((Indicadores_Economicos!D$2+1)^(1/12)-1))</f>
        <v>125961.60284154433</v>
      </c>
      <c r="Z587" s="18">
        <f t="shared" ca="1" si="79"/>
        <v>38575325.401352763</v>
      </c>
      <c r="AA587" s="18">
        <f ca="1">Auxiliar_Projetos!E587</f>
        <v>2.6458846840627225E-9</v>
      </c>
      <c r="AB587" s="18">
        <f ca="1">Auxiliar_Projetos!K587</f>
        <v>2.0352959108174761E-9</v>
      </c>
      <c r="AC587" s="18">
        <f ca="1">IF(Z587-AA587-AB587&gt;Investimentos!$C$14,Investimentos!$C$14,IF(Z587-AA587-AB587&lt;Investimentos!$C$14,Z587-AA587-AB587,0))</f>
        <v>300000</v>
      </c>
      <c r="AD587" s="18">
        <f t="shared" ca="1" si="80"/>
        <v>38275325.401352763</v>
      </c>
      <c r="AE587" s="18"/>
    </row>
    <row r="588" spans="1:31" x14ac:dyDescent="0.2">
      <c r="A588" s="4">
        <v>63494</v>
      </c>
      <c r="B588" s="5" t="str">
        <f t="shared" si="76"/>
        <v>novembro</v>
      </c>
      <c r="C588" s="5" t="str">
        <f t="shared" si="74"/>
        <v>2073</v>
      </c>
      <c r="D588" s="5">
        <f>SUMIFS(Despesas!$F:$F,Despesas!$J:$J,"&lt;="&amp;$A588,Despesas!$L:$L,"&gt;="&amp;$A588,Despesas!$C:$C,D$1,Despesas!$M:$M,"Mensal")+SUMIFS(Despesas!$F:$F,Despesas!$J:$J,"&lt;="&amp;$A588,Despesas!$L:$L,"&gt;="&amp;$A588,Despesas!$C:$C,D$1,Despesas!$M:$M,$B588)</f>
        <v>23000</v>
      </c>
      <c r="E588" s="18">
        <f>SUMIFS(Despesas!$F:$F,Despesas!$J:$J,"&lt;="&amp;$A588,Despesas!$L:$L,"&gt;="&amp;$A588,Despesas!$C:$C,E$1,Despesas!$M:$M,"Mensal")+SUMIFS(Despesas!$F:$F,Despesas!$J:$J,"&lt;="&amp;$A588,Despesas!$L:$L,"&gt;="&amp;$A588,Despesas!$C:$C,E$1,Despesas!$M:$M,$B588)</f>
        <v>0</v>
      </c>
      <c r="F588" s="5">
        <f>SUMIFS(Despesas!$F:$F,Despesas!$J:$J,"&lt;="&amp;$A588,Despesas!$L:$L,"&gt;="&amp;$A588,Despesas!$C:$C,F$1,Despesas!$M:$M,"Mensal")+SUMIFS(Despesas!$F:$F,Despesas!$J:$J,"&lt;="&amp;$A588,Despesas!$L:$L,"&gt;="&amp;$A588,Despesas!$C:$C,F$1,Despesas!$M:$M,$B588)</f>
        <v>13000</v>
      </c>
      <c r="G588" s="5">
        <f>SUMIFS(Despesas!$F:$F,Despesas!$J:$J,"&lt;="&amp;$A588,Despesas!$L:$L,"&gt;="&amp;$A588,Despesas!$C:$C,G$1,Despesas!$M:$M,"Mensal")+SUMIFS(Despesas!$F:$F,Despesas!$J:$J,"&lt;="&amp;$A588,Despesas!$L:$L,"&gt;="&amp;$A588,Despesas!$C:$C,G$1,Despesas!$M:$M,$B588)</f>
        <v>0</v>
      </c>
      <c r="H588" s="18">
        <f>SUMIFS(Despesas!$F:$F,Despesas!$J:$J,"&lt;="&amp;$A588,Despesas!$L:$L,"&gt;="&amp;$A588,Despesas!$C:$C,H$1,Despesas!$M:$M,"Mensal")+SUMIFS(Despesas!$F:$F,Despesas!$J:$J,"&lt;="&amp;$A588,Despesas!$L:$L,"&gt;="&amp;$A588,Despesas!$C:$C,H$1,Despesas!$M:$M,$B588)</f>
        <v>1000</v>
      </c>
      <c r="I588" s="18">
        <f>IF(Imóveis!$F$2="PRICE",IF(AND(Dados!$A588&gt;=Imóveis!$Q$2,Dados!$A588&lt;=Imóveis!$T$2),Imóveis!$U$2,0),IF((IF(AND(Dados!$A588&gt;=Imóveis!$Q$2,Dados!$A588&lt;=Imóveis!$T$2),Imóveis!$S$2-(DATEDIF(Imóveis!$Q$2,Dados!$A588,"m")),0))=0,0,((Imóveis!$N$2/Imóveis!$S$2)+((Imóveis!$N$2-((Imóveis!$S$2-(IF(AND(Dados!$A588&gt;=Imóveis!$Q$2,Dados!$A588&lt;=Imóveis!$T$2),Imóveis!$S$2-(DATEDIF(Imóveis!$Q$2,Dados!$A588,"m")),)))*(Imóveis!$N$2/Imóveis!$S$2)))*Imóveis!$P$2))))*IF(AND(Imóveis!$E$2&gt;0,Dados!$A588&gt;Imóveis!$E$2),0,1)</f>
        <v>0</v>
      </c>
      <c r="J588" s="18">
        <f>IF(Imóveis!$F$3="PRICE",IF(AND(Dados!$A588&gt;=Imóveis!$Q$3,Dados!$A588&lt;=Imóveis!$T$3),Imóveis!$U$3,0),IF((IF(AND(Dados!$A588&gt;=Imóveis!$Q$3,Dados!$A588&lt;=Imóveis!$T$3),Imóveis!$S$3-(DATEDIF(Imóveis!$Q$3,Dados!$A588,"m")),0))=0,0,((Imóveis!$N$3/Imóveis!$S$3)+((Imóveis!$N$3-((Imóveis!$S$3-(IF(AND(Dados!$A588&gt;=Imóveis!$Q$3,Dados!$A588&lt;=Imóveis!$T$3),Imóveis!$S$3-(DATEDIF(Imóveis!$Q$3,Dados!$A588,"m")),)))*(Imóveis!$N$3/Imóveis!$S$3)))*Imóveis!$P$3))))*IF(AND(Imóveis!$E$3&gt;0,Dados!$A588&gt;Imóveis!$E$3),0,1)</f>
        <v>0</v>
      </c>
      <c r="K588" s="18">
        <f>IF(Imóveis!$F$4="PRICE",IF(AND(Dados!$A588&gt;=Imóveis!$Q$4,Dados!$A588&lt;=Imóveis!$T$4),Imóveis!$U$4,0),IF((IF(AND(Dados!$A588&gt;=Imóveis!$Q$4,Dados!$A588&lt;=Imóveis!$T$4),Imóveis!$S$4-(DATEDIF(Imóveis!$Q$4,Dados!$A588,"m")),0))=0,0,((Imóveis!$N$4/Imóveis!$S$4)+((Imóveis!$N$4-((Imóveis!$S$4-(IF(AND(Dados!$A588&gt;=Imóveis!$Q$4,Dados!$A588&lt;=Imóveis!$T$4),Imóveis!$S$4-(DATEDIF(Imóveis!$Q$4,Dados!$A588,"m")),)))*(Imóveis!$N$4/Imóveis!$S$4)))*Imóveis!$P$4))))*IF(AND(Imóveis!$E$4&gt;0,Dados!$A588&gt;Imóveis!$E$4),0,1)</f>
        <v>0</v>
      </c>
      <c r="L588" s="18">
        <f>IF(Imóveis!$F$5="PRICE",IF(AND(Dados!$A588&gt;=Imóveis!$Q$5,Dados!$A588&lt;=Imóveis!$T$5),Imóveis!$U$5,0),IF((IF(AND(Dados!$A588&gt;=Imóveis!$Q$5,Dados!$A588&lt;=Imóveis!$T$5),Imóveis!$S$5-(DATEDIF(Imóveis!$Q$5,Dados!$A588,"m")),0))=0,0,((Imóveis!$N$5/Imóveis!$S$5)+((Imóveis!$N$5-((Imóveis!$S$5-(IF(AND(Dados!$A588 &gt;=Imóveis!$Q$5,Dados!$A588&lt;=Imóveis!$T$5),Imóveis!$S$5-(DATEDIF(Imóveis!$Q$5,Dados!$A588,"m")),)))*(Imóveis!$N$5/Imóveis!$S$5)))*Imóveis!$P$5))))*IF(AND(Imóveis!$E$5&gt;0,Dados!$A588&gt;Imóveis!$E$5),0,1)*Imóveis!$I$5</f>
        <v>0</v>
      </c>
      <c r="M588" s="18">
        <f>IF(Imóveis!$F$6="PRICE",IF(AND(Dados!$A588&gt;=Imóveis!$Q$6,Dados!$A588&lt;=Imóveis!$T$6),Imóveis!$U$6,0),IF((IF(AND(Dados!$A588&gt;=Imóveis!$Q$6,Dados!$A588&lt;=Imóveis!$T$6),Imóveis!$S$6-(DATEDIF(Imóveis!$Q$6,Dados!$A588,"m")),0))=0,0,((Imóveis!$N$6/Imóveis!$S$6)+((Imóveis!$N$6-((Imóveis!$S$6-(IF(AND(Dados!$A588&gt;=Imóveis!$Q$6,Dados!$A588&lt;=Imóveis!$T$6),Imóveis!$S$6-(DATEDIF(Imóveis!$Q$6,Dados!$A588,"m")),)))*(Imóveis!$N$6/Imóveis!$S$6)))*Imóveis!$P$6))))*IF(AND(Imóveis!$E$6&gt;0,Dados!$A588&gt;Imóveis!$E$6),0,1)*Imóveis!$I$6</f>
        <v>0</v>
      </c>
      <c r="N588" s="18">
        <f t="shared" si="77"/>
        <v>37000</v>
      </c>
      <c r="O588" s="18">
        <f>SUMIFS(Receitas!$F:$F,Receitas!$J:$J,"&lt;="&amp;$A588,Receitas!$L:$L,"&gt;="&amp;$A588,Receitas!$C:$C,O$1,Receitas!$M:$M,"Mensal")+SUMIFS(Receitas!$F:$F,Receitas!$J:$J,"&lt;="&amp;$A588,Receitas!$L:$L,"&gt;="&amp;$A588,Receitas!$C:$C,O$1,Receitas!$M:$M,$B588)</f>
        <v>0</v>
      </c>
      <c r="P588" s="18">
        <f>SUMIFS(Receitas!$F:$F,Receitas!$J:$J,"&lt;="&amp;$A588,Receitas!$L:$L,"&gt;="&amp;$A588,Receitas!$C:$C,P$1,Receitas!$M:$M,"Mensal")+SUMIFS(Receitas!$F:$F,Receitas!$J:$J,"&lt;="&amp;$A588,Receitas!$L:$L,"&gt;="&amp;$A588,Receitas!$C:$C,P$1,Receitas!$M:$M,$B588)</f>
        <v>0</v>
      </c>
      <c r="Q588" s="18">
        <f>SUMIFS(Receitas!$F:$F,Receitas!$J:$J,"&lt;="&amp;$A588,Receitas!$L:$L,"&gt;="&amp;$A588,Receitas!$C:$C,Q$1,Receitas!$M:$M,"Mensal")+SUMIFS(Receitas!$F:$F,Receitas!$J:$J,"&lt;="&amp;$A588,Receitas!$L:$L,"&gt;="&amp;$A588,Receitas!$C:$C,Q$1,Receitas!$M:$M,$B588)</f>
        <v>0</v>
      </c>
      <c r="R588" s="18" cm="1">
        <f t="array" ref="R588">(IF(AND(Membros!$F$2="Sim",A588&lt;=MAX(Membros!$E$2:$E$5)),Membros!K$2,IF(AND(A588&gt;=Membros!J$2,A588&lt;=MAX(Membros!$E$2:$E$5)),Membros!K$2,0))+IF(AND(Membros!$F$3="Sim",A588&lt;=MAX(Membros!$E$2:$E$5)),Membros!K$3,IF(AND(A588&gt;=Membros!J$3,A588&lt;=MAX(Membros!$E$2:$E$5)),Membros!K$3,0)))*IF(AND(COUNTIFS(Tabela3[Tipo],"Provedor",Tabela3[Simulação Seguro],"Sim")=2,A588&gt;=MAX(IF(Tabela3[Tipo]="Dependente",Tabela3[Expectativa de Vida (Data)]))),0,1)</f>
        <v>10000</v>
      </c>
      <c r="S588" s="18">
        <f t="shared" si="78"/>
        <v>10000</v>
      </c>
      <c r="U588" s="18">
        <f t="shared" ca="1" si="81"/>
        <v>38575325.401352763</v>
      </c>
      <c r="V588" s="18">
        <f>SUMIF(Imóveis!E:E,Dados!A:A,Imóveis!Z:Z)-SUMIF(Imóveis!E:E,Dados!A:A,Imóveis!Y:Y)</f>
        <v>0</v>
      </c>
      <c r="W588" s="18">
        <f>-SUMIF(Projetos!N:N,A588,Projetos!F:F)</f>
        <v>0</v>
      </c>
      <c r="X588" s="18">
        <f t="shared" si="75"/>
        <v>-27000</v>
      </c>
      <c r="Y588" s="26">
        <f ca="1">(U588*((Indicadores_Economicos!D$2+1)^(1/12)-1))</f>
        <v>126285.57737767685</v>
      </c>
      <c r="Z588" s="18">
        <f t="shared" ca="1" si="79"/>
        <v>38674610.97873044</v>
      </c>
      <c r="AA588" s="18">
        <f ca="1">Auxiliar_Projetos!E588</f>
        <v>2.6545466220120494E-9</v>
      </c>
      <c r="AB588" s="18">
        <f ca="1">Auxiliar_Projetos!K588</f>
        <v>2.0419589400092662E-9</v>
      </c>
      <c r="AC588" s="18">
        <f ca="1">IF(Z588-AA588-AB588&gt;Investimentos!$C$14,Investimentos!$C$14,IF(Z588-AA588-AB588&lt;Investimentos!$C$14,Z588-AA588-AB588,0))</f>
        <v>300000</v>
      </c>
      <c r="AD588" s="18">
        <f t="shared" ca="1" si="80"/>
        <v>38374610.97873044</v>
      </c>
      <c r="AE588" s="18"/>
    </row>
    <row r="589" spans="1:31" x14ac:dyDescent="0.2">
      <c r="A589" s="4">
        <v>63524</v>
      </c>
      <c r="B589" s="5" t="str">
        <f t="shared" si="76"/>
        <v>dezembro</v>
      </c>
      <c r="C589" s="5" t="str">
        <f t="shared" si="74"/>
        <v>2073</v>
      </c>
      <c r="D589" s="5">
        <f>SUMIFS(Despesas!$F:$F,Despesas!$J:$J,"&lt;="&amp;$A589,Despesas!$L:$L,"&gt;="&amp;$A589,Despesas!$C:$C,D$1,Despesas!$M:$M,"Mensal")+SUMIFS(Despesas!$F:$F,Despesas!$J:$J,"&lt;="&amp;$A589,Despesas!$L:$L,"&gt;="&amp;$A589,Despesas!$C:$C,D$1,Despesas!$M:$M,$B589)</f>
        <v>23000</v>
      </c>
      <c r="E589" s="18">
        <f>SUMIFS(Despesas!$F:$F,Despesas!$J:$J,"&lt;="&amp;$A589,Despesas!$L:$L,"&gt;="&amp;$A589,Despesas!$C:$C,E$1,Despesas!$M:$M,"Mensal")+SUMIFS(Despesas!$F:$F,Despesas!$J:$J,"&lt;="&amp;$A589,Despesas!$L:$L,"&gt;="&amp;$A589,Despesas!$C:$C,E$1,Despesas!$M:$M,$B589)</f>
        <v>0</v>
      </c>
      <c r="F589" s="5">
        <f>SUMIFS(Despesas!$F:$F,Despesas!$J:$J,"&lt;="&amp;$A589,Despesas!$L:$L,"&gt;="&amp;$A589,Despesas!$C:$C,F$1,Despesas!$M:$M,"Mensal")+SUMIFS(Despesas!$F:$F,Despesas!$J:$J,"&lt;="&amp;$A589,Despesas!$L:$L,"&gt;="&amp;$A589,Despesas!$C:$C,F$1,Despesas!$M:$M,$B589)</f>
        <v>13000</v>
      </c>
      <c r="G589" s="5">
        <f ca="1">SUMIFS(Despesas!$F:$F,Despesas!$J:$J,"&lt;="&amp;$A589,Despesas!$L:$L,"&gt;="&amp;$A589,Despesas!$C:$C,G$1,Despesas!$M:$M,"Mensal")+SUMIFS(Despesas!$F:$F,Despesas!$J:$J,"&lt;="&amp;$A589,Despesas!$L:$L,"&gt;="&amp;$A589,Despesas!$C:$C,G$1,Despesas!$M:$M,$B589)</f>
        <v>55757</v>
      </c>
      <c r="H589" s="18">
        <f>SUMIFS(Despesas!$F:$F,Despesas!$J:$J,"&lt;="&amp;$A589,Despesas!$L:$L,"&gt;="&amp;$A589,Despesas!$C:$C,H$1,Despesas!$M:$M,"Mensal")+SUMIFS(Despesas!$F:$F,Despesas!$J:$J,"&lt;="&amp;$A589,Despesas!$L:$L,"&gt;="&amp;$A589,Despesas!$C:$C,H$1,Despesas!$M:$M,$B589)</f>
        <v>1000</v>
      </c>
      <c r="I589" s="18">
        <f>IF(Imóveis!$F$2="PRICE",IF(AND(Dados!$A589&gt;=Imóveis!$Q$2,Dados!$A589&lt;=Imóveis!$T$2),Imóveis!$U$2,0),IF((IF(AND(Dados!$A589&gt;=Imóveis!$Q$2,Dados!$A589&lt;=Imóveis!$T$2),Imóveis!$S$2-(DATEDIF(Imóveis!$Q$2,Dados!$A589,"m")),0))=0,0,((Imóveis!$N$2/Imóveis!$S$2)+((Imóveis!$N$2-((Imóveis!$S$2-(IF(AND(Dados!$A589&gt;=Imóveis!$Q$2,Dados!$A589&lt;=Imóveis!$T$2),Imóveis!$S$2-(DATEDIF(Imóveis!$Q$2,Dados!$A589,"m")),)))*(Imóveis!$N$2/Imóveis!$S$2)))*Imóveis!$P$2))))*IF(AND(Imóveis!$E$2&gt;0,Dados!$A589&gt;Imóveis!$E$2),0,1)</f>
        <v>0</v>
      </c>
      <c r="J589" s="18">
        <f>IF(Imóveis!$F$3="PRICE",IF(AND(Dados!$A589&gt;=Imóveis!$Q$3,Dados!$A589&lt;=Imóveis!$T$3),Imóveis!$U$3,0),IF((IF(AND(Dados!$A589&gt;=Imóveis!$Q$3,Dados!$A589&lt;=Imóveis!$T$3),Imóveis!$S$3-(DATEDIF(Imóveis!$Q$3,Dados!$A589,"m")),0))=0,0,((Imóveis!$N$3/Imóveis!$S$3)+((Imóveis!$N$3-((Imóveis!$S$3-(IF(AND(Dados!$A589&gt;=Imóveis!$Q$3,Dados!$A589&lt;=Imóveis!$T$3),Imóveis!$S$3-(DATEDIF(Imóveis!$Q$3,Dados!$A589,"m")),)))*(Imóveis!$N$3/Imóveis!$S$3)))*Imóveis!$P$3))))*IF(AND(Imóveis!$E$3&gt;0,Dados!$A589&gt;Imóveis!$E$3),0,1)</f>
        <v>0</v>
      </c>
      <c r="K589" s="18">
        <f>IF(Imóveis!$F$4="PRICE",IF(AND(Dados!$A589&gt;=Imóveis!$Q$4,Dados!$A589&lt;=Imóveis!$T$4),Imóveis!$U$4,0),IF((IF(AND(Dados!$A589&gt;=Imóveis!$Q$4,Dados!$A589&lt;=Imóveis!$T$4),Imóveis!$S$4-(DATEDIF(Imóveis!$Q$4,Dados!$A589,"m")),0))=0,0,((Imóveis!$N$4/Imóveis!$S$4)+((Imóveis!$N$4-((Imóveis!$S$4-(IF(AND(Dados!$A589&gt;=Imóveis!$Q$4,Dados!$A589&lt;=Imóveis!$T$4),Imóveis!$S$4-(DATEDIF(Imóveis!$Q$4,Dados!$A589,"m")),)))*(Imóveis!$N$4/Imóveis!$S$4)))*Imóveis!$P$4))))*IF(AND(Imóveis!$E$4&gt;0,Dados!$A589&gt;Imóveis!$E$4),0,1)</f>
        <v>0</v>
      </c>
      <c r="L589" s="18">
        <f>IF(Imóveis!$F$5="PRICE",IF(AND(Dados!$A589&gt;=Imóveis!$Q$5,Dados!$A589&lt;=Imóveis!$T$5),Imóveis!$U$5,0),IF((IF(AND(Dados!$A589&gt;=Imóveis!$Q$5,Dados!$A589&lt;=Imóveis!$T$5),Imóveis!$S$5-(DATEDIF(Imóveis!$Q$5,Dados!$A589,"m")),0))=0,0,((Imóveis!$N$5/Imóveis!$S$5)+((Imóveis!$N$5-((Imóveis!$S$5-(IF(AND(Dados!$A589 &gt;=Imóveis!$Q$5,Dados!$A589&lt;=Imóveis!$T$5),Imóveis!$S$5-(DATEDIF(Imóveis!$Q$5,Dados!$A589,"m")),)))*(Imóveis!$N$5/Imóveis!$S$5)))*Imóveis!$P$5))))*IF(AND(Imóveis!$E$5&gt;0,Dados!$A589&gt;Imóveis!$E$5),0,1)*Imóveis!$I$5</f>
        <v>0</v>
      </c>
      <c r="M589" s="18">
        <f>IF(Imóveis!$F$6="PRICE",IF(AND(Dados!$A589&gt;=Imóveis!$Q$6,Dados!$A589&lt;=Imóveis!$T$6),Imóveis!$U$6,0),IF((IF(AND(Dados!$A589&gt;=Imóveis!$Q$6,Dados!$A589&lt;=Imóveis!$T$6),Imóveis!$S$6-(DATEDIF(Imóveis!$Q$6,Dados!$A589,"m")),0))=0,0,((Imóveis!$N$6/Imóveis!$S$6)+((Imóveis!$N$6-((Imóveis!$S$6-(IF(AND(Dados!$A589&gt;=Imóveis!$Q$6,Dados!$A589&lt;=Imóveis!$T$6),Imóveis!$S$6-(DATEDIF(Imóveis!$Q$6,Dados!$A589,"m")),)))*(Imóveis!$N$6/Imóveis!$S$6)))*Imóveis!$P$6))))*IF(AND(Imóveis!$E$6&gt;0,Dados!$A589&gt;Imóveis!$E$6),0,1)*Imóveis!$I$6</f>
        <v>0</v>
      </c>
      <c r="N589" s="18">
        <f t="shared" ca="1" si="77"/>
        <v>92757</v>
      </c>
      <c r="O589" s="18">
        <f>SUMIFS(Receitas!$F:$F,Receitas!$J:$J,"&lt;="&amp;$A589,Receitas!$L:$L,"&gt;="&amp;$A589,Receitas!$C:$C,O$1,Receitas!$M:$M,"Mensal")+SUMIFS(Receitas!$F:$F,Receitas!$J:$J,"&lt;="&amp;$A589,Receitas!$L:$L,"&gt;="&amp;$A589,Receitas!$C:$C,O$1,Receitas!$M:$M,$B589)</f>
        <v>0</v>
      </c>
      <c r="P589" s="18">
        <f>SUMIFS(Receitas!$F:$F,Receitas!$J:$J,"&lt;="&amp;$A589,Receitas!$L:$L,"&gt;="&amp;$A589,Receitas!$C:$C,P$1,Receitas!$M:$M,"Mensal")+SUMIFS(Receitas!$F:$F,Receitas!$J:$J,"&lt;="&amp;$A589,Receitas!$L:$L,"&gt;="&amp;$A589,Receitas!$C:$C,P$1,Receitas!$M:$M,$B589)</f>
        <v>0</v>
      </c>
      <c r="Q589" s="18">
        <f>SUMIFS(Receitas!$F:$F,Receitas!$J:$J,"&lt;="&amp;$A589,Receitas!$L:$L,"&gt;="&amp;$A589,Receitas!$C:$C,Q$1,Receitas!$M:$M,"Mensal")+SUMIFS(Receitas!$F:$F,Receitas!$J:$J,"&lt;="&amp;$A589,Receitas!$L:$L,"&gt;="&amp;$A589,Receitas!$C:$C,Q$1,Receitas!$M:$M,$B589)</f>
        <v>0</v>
      </c>
      <c r="R589" s="18" cm="1">
        <f t="array" ref="R589">(IF(AND(Membros!$F$2="Sim",A589&lt;=MAX(Membros!$E$2:$E$5)),Membros!K$2,IF(AND(A589&gt;=Membros!J$2,A589&lt;=MAX(Membros!$E$2:$E$5)),Membros!K$2,0))+IF(AND(Membros!$F$3="Sim",A589&lt;=MAX(Membros!$E$2:$E$5)),Membros!K$3,IF(AND(A589&gt;=Membros!J$3,A589&lt;=MAX(Membros!$E$2:$E$5)),Membros!K$3,0)))*IF(AND(COUNTIFS(Tabela3[Tipo],"Provedor",Tabela3[Simulação Seguro],"Sim")=2,A589&gt;=MAX(IF(Tabela3[Tipo]="Dependente",Tabela3[Expectativa de Vida (Data)]))),0,1)</f>
        <v>10000</v>
      </c>
      <c r="S589" s="18">
        <f t="shared" si="78"/>
        <v>10000</v>
      </c>
      <c r="U589" s="18">
        <f t="shared" ca="1" si="81"/>
        <v>38674610.97873044</v>
      </c>
      <c r="V589" s="18">
        <f>SUMIF(Imóveis!E:E,Dados!A:A,Imóveis!Z:Z)-SUMIF(Imóveis!E:E,Dados!A:A,Imóveis!Y:Y)</f>
        <v>0</v>
      </c>
      <c r="W589" s="18">
        <f>-SUMIF(Projetos!N:N,A589,Projetos!F:F)</f>
        <v>0</v>
      </c>
      <c r="X589" s="18">
        <f t="shared" ca="1" si="75"/>
        <v>-82757</v>
      </c>
      <c r="Y589" s="26">
        <f ca="1">(U589*((Indicadores_Economicos!D$2+1)^(1/12)-1))</f>
        <v>126610.61252213674</v>
      </c>
      <c r="Z589" s="18">
        <f t="shared" ca="1" si="79"/>
        <v>38718464.59125258</v>
      </c>
      <c r="AA589" s="18">
        <f ca="1">Auxiliar_Projetos!E589</f>
        <v>2.6632369168922319E-9</v>
      </c>
      <c r="AB589" s="18">
        <f ca="1">Auxiliar_Projetos!K589</f>
        <v>2.0486437822247911E-9</v>
      </c>
      <c r="AC589" s="18">
        <f ca="1">IF(Z589-AA589-AB589&gt;Investimentos!$C$14,Investimentos!$C$14,IF(Z589-AA589-AB589&lt;Investimentos!$C$14,Z589-AA589-AB589,0))</f>
        <v>300000</v>
      </c>
      <c r="AD589" s="18">
        <f t="shared" ca="1" si="80"/>
        <v>38418464.59125258</v>
      </c>
      <c r="AE589" s="18"/>
    </row>
    <row r="590" spans="1:31" x14ac:dyDescent="0.2">
      <c r="A590" s="4">
        <v>63555</v>
      </c>
      <c r="B590" s="5" t="str">
        <f t="shared" si="76"/>
        <v>janeiro</v>
      </c>
      <c r="C590" s="5" t="str">
        <f t="shared" si="74"/>
        <v>2074</v>
      </c>
      <c r="D590" s="5">
        <f>SUMIFS(Despesas!$F:$F,Despesas!$J:$J,"&lt;="&amp;$A590,Despesas!$L:$L,"&gt;="&amp;$A590,Despesas!$C:$C,D$1,Despesas!$M:$M,"Mensal")+SUMIFS(Despesas!$F:$F,Despesas!$J:$J,"&lt;="&amp;$A590,Despesas!$L:$L,"&gt;="&amp;$A590,Despesas!$C:$C,D$1,Despesas!$M:$M,$B590)</f>
        <v>23000</v>
      </c>
      <c r="E590" s="18">
        <f>SUMIFS(Despesas!$F:$F,Despesas!$J:$J,"&lt;="&amp;$A590,Despesas!$L:$L,"&gt;="&amp;$A590,Despesas!$C:$C,E$1,Despesas!$M:$M,"Mensal")+SUMIFS(Despesas!$F:$F,Despesas!$J:$J,"&lt;="&amp;$A590,Despesas!$L:$L,"&gt;="&amp;$A590,Despesas!$C:$C,E$1,Despesas!$M:$M,$B590)</f>
        <v>0</v>
      </c>
      <c r="F590" s="5">
        <f>SUMIFS(Despesas!$F:$F,Despesas!$J:$J,"&lt;="&amp;$A590,Despesas!$L:$L,"&gt;="&amp;$A590,Despesas!$C:$C,F$1,Despesas!$M:$M,"Mensal")+SUMIFS(Despesas!$F:$F,Despesas!$J:$J,"&lt;="&amp;$A590,Despesas!$L:$L,"&gt;="&amp;$A590,Despesas!$C:$C,F$1,Despesas!$M:$M,$B590)</f>
        <v>13000</v>
      </c>
      <c r="G590" s="5">
        <f>SUMIFS(Despesas!$F:$F,Despesas!$J:$J,"&lt;="&amp;$A590,Despesas!$L:$L,"&gt;="&amp;$A590,Despesas!$C:$C,G$1,Despesas!$M:$M,"Mensal")+SUMIFS(Despesas!$F:$F,Despesas!$J:$J,"&lt;="&amp;$A590,Despesas!$L:$L,"&gt;="&amp;$A590,Despesas!$C:$C,G$1,Despesas!$M:$M,$B590)</f>
        <v>0</v>
      </c>
      <c r="H590" s="18">
        <f>SUMIFS(Despesas!$F:$F,Despesas!$J:$J,"&lt;="&amp;$A590,Despesas!$L:$L,"&gt;="&amp;$A590,Despesas!$C:$C,H$1,Despesas!$M:$M,"Mensal")+SUMIFS(Despesas!$F:$F,Despesas!$J:$J,"&lt;="&amp;$A590,Despesas!$L:$L,"&gt;="&amp;$A590,Despesas!$C:$C,H$1,Despesas!$M:$M,$B590)</f>
        <v>1000</v>
      </c>
      <c r="I590" s="18">
        <f>IF(Imóveis!$F$2="PRICE",IF(AND(Dados!$A590&gt;=Imóveis!$Q$2,Dados!$A590&lt;=Imóveis!$T$2),Imóveis!$U$2,0),IF((IF(AND(Dados!$A590&gt;=Imóveis!$Q$2,Dados!$A590&lt;=Imóveis!$T$2),Imóveis!$S$2-(DATEDIF(Imóveis!$Q$2,Dados!$A590,"m")),0))=0,0,((Imóveis!$N$2/Imóveis!$S$2)+((Imóveis!$N$2-((Imóveis!$S$2-(IF(AND(Dados!$A590&gt;=Imóveis!$Q$2,Dados!$A590&lt;=Imóveis!$T$2),Imóveis!$S$2-(DATEDIF(Imóveis!$Q$2,Dados!$A590,"m")),)))*(Imóveis!$N$2/Imóveis!$S$2)))*Imóveis!$P$2))))*IF(AND(Imóveis!$E$2&gt;0,Dados!$A590&gt;Imóveis!$E$2),0,1)</f>
        <v>0</v>
      </c>
      <c r="J590" s="18">
        <f>IF(Imóveis!$F$3="PRICE",IF(AND(Dados!$A590&gt;=Imóveis!$Q$3,Dados!$A590&lt;=Imóveis!$T$3),Imóveis!$U$3,0),IF((IF(AND(Dados!$A590&gt;=Imóveis!$Q$3,Dados!$A590&lt;=Imóveis!$T$3),Imóveis!$S$3-(DATEDIF(Imóveis!$Q$3,Dados!$A590,"m")),0))=0,0,((Imóveis!$N$3/Imóveis!$S$3)+((Imóveis!$N$3-((Imóveis!$S$3-(IF(AND(Dados!$A590&gt;=Imóveis!$Q$3,Dados!$A590&lt;=Imóveis!$T$3),Imóveis!$S$3-(DATEDIF(Imóveis!$Q$3,Dados!$A590,"m")),)))*(Imóveis!$N$3/Imóveis!$S$3)))*Imóveis!$P$3))))*IF(AND(Imóveis!$E$3&gt;0,Dados!$A590&gt;Imóveis!$E$3),0,1)</f>
        <v>0</v>
      </c>
      <c r="K590" s="18">
        <f>IF(Imóveis!$F$4="PRICE",IF(AND(Dados!$A590&gt;=Imóveis!$Q$4,Dados!$A590&lt;=Imóveis!$T$4),Imóveis!$U$4,0),IF((IF(AND(Dados!$A590&gt;=Imóveis!$Q$4,Dados!$A590&lt;=Imóveis!$T$4),Imóveis!$S$4-(DATEDIF(Imóveis!$Q$4,Dados!$A590,"m")),0))=0,0,((Imóveis!$N$4/Imóveis!$S$4)+((Imóveis!$N$4-((Imóveis!$S$4-(IF(AND(Dados!$A590&gt;=Imóveis!$Q$4,Dados!$A590&lt;=Imóveis!$T$4),Imóveis!$S$4-(DATEDIF(Imóveis!$Q$4,Dados!$A590,"m")),)))*(Imóveis!$N$4/Imóveis!$S$4)))*Imóveis!$P$4))))*IF(AND(Imóveis!$E$4&gt;0,Dados!$A590&gt;Imóveis!$E$4),0,1)</f>
        <v>0</v>
      </c>
      <c r="L590" s="18">
        <f>IF(Imóveis!$F$5="PRICE",IF(AND(Dados!$A590&gt;=Imóveis!$Q$5,Dados!$A590&lt;=Imóveis!$T$5),Imóveis!$U$5,0),IF((IF(AND(Dados!$A590&gt;=Imóveis!$Q$5,Dados!$A590&lt;=Imóveis!$T$5),Imóveis!$S$5-(DATEDIF(Imóveis!$Q$5,Dados!$A590,"m")),0))=0,0,((Imóveis!$N$5/Imóveis!$S$5)+((Imóveis!$N$5-((Imóveis!$S$5-(IF(AND(Dados!$A590 &gt;=Imóveis!$Q$5,Dados!$A590&lt;=Imóveis!$T$5),Imóveis!$S$5-(DATEDIF(Imóveis!$Q$5,Dados!$A590,"m")),)))*(Imóveis!$N$5/Imóveis!$S$5)))*Imóveis!$P$5))))*IF(AND(Imóveis!$E$5&gt;0,Dados!$A590&gt;Imóveis!$E$5),0,1)*Imóveis!$I$5</f>
        <v>0</v>
      </c>
      <c r="M590" s="18">
        <f>IF(Imóveis!$F$6="PRICE",IF(AND(Dados!$A590&gt;=Imóveis!$Q$6,Dados!$A590&lt;=Imóveis!$T$6),Imóveis!$U$6,0),IF((IF(AND(Dados!$A590&gt;=Imóveis!$Q$6,Dados!$A590&lt;=Imóveis!$T$6),Imóveis!$S$6-(DATEDIF(Imóveis!$Q$6,Dados!$A590,"m")),0))=0,0,((Imóveis!$N$6/Imóveis!$S$6)+((Imóveis!$N$6-((Imóveis!$S$6-(IF(AND(Dados!$A590&gt;=Imóveis!$Q$6,Dados!$A590&lt;=Imóveis!$T$6),Imóveis!$S$6-(DATEDIF(Imóveis!$Q$6,Dados!$A590,"m")),)))*(Imóveis!$N$6/Imóveis!$S$6)))*Imóveis!$P$6))))*IF(AND(Imóveis!$E$6&gt;0,Dados!$A590&gt;Imóveis!$E$6),0,1)*Imóveis!$I$6</f>
        <v>0</v>
      </c>
      <c r="N590" s="18">
        <f t="shared" si="77"/>
        <v>37000</v>
      </c>
      <c r="O590" s="18">
        <f>SUMIFS(Receitas!$F:$F,Receitas!$J:$J,"&lt;="&amp;$A590,Receitas!$L:$L,"&gt;="&amp;$A590,Receitas!$C:$C,O$1,Receitas!$M:$M,"Mensal")+SUMIFS(Receitas!$F:$F,Receitas!$J:$J,"&lt;="&amp;$A590,Receitas!$L:$L,"&gt;="&amp;$A590,Receitas!$C:$C,O$1,Receitas!$M:$M,$B590)</f>
        <v>0</v>
      </c>
      <c r="P590" s="18">
        <f>SUMIFS(Receitas!$F:$F,Receitas!$J:$J,"&lt;="&amp;$A590,Receitas!$L:$L,"&gt;="&amp;$A590,Receitas!$C:$C,P$1,Receitas!$M:$M,"Mensal")+SUMIFS(Receitas!$F:$F,Receitas!$J:$J,"&lt;="&amp;$A590,Receitas!$L:$L,"&gt;="&amp;$A590,Receitas!$C:$C,P$1,Receitas!$M:$M,$B590)</f>
        <v>0</v>
      </c>
      <c r="Q590" s="18">
        <f>SUMIFS(Receitas!$F:$F,Receitas!$J:$J,"&lt;="&amp;$A590,Receitas!$L:$L,"&gt;="&amp;$A590,Receitas!$C:$C,Q$1,Receitas!$M:$M,"Mensal")+SUMIFS(Receitas!$F:$F,Receitas!$J:$J,"&lt;="&amp;$A590,Receitas!$L:$L,"&gt;="&amp;$A590,Receitas!$C:$C,Q$1,Receitas!$M:$M,$B590)</f>
        <v>0</v>
      </c>
      <c r="R590" s="18" cm="1">
        <f t="array" ref="R590">(IF(AND(Membros!$F$2="Sim",A590&lt;=MAX(Membros!$E$2:$E$5)),Membros!K$2,IF(AND(A590&gt;=Membros!J$2,A590&lt;=MAX(Membros!$E$2:$E$5)),Membros!K$2,0))+IF(AND(Membros!$F$3="Sim",A590&lt;=MAX(Membros!$E$2:$E$5)),Membros!K$3,IF(AND(A590&gt;=Membros!J$3,A590&lt;=MAX(Membros!$E$2:$E$5)),Membros!K$3,0)))*IF(AND(COUNTIFS(Tabela3[Tipo],"Provedor",Tabela3[Simulação Seguro],"Sim")=2,A590&gt;=MAX(IF(Tabela3[Tipo]="Dependente",Tabela3[Expectativa de Vida (Data)]))),0,1)</f>
        <v>10000</v>
      </c>
      <c r="S590" s="18">
        <f t="shared" si="78"/>
        <v>10000</v>
      </c>
      <c r="U590" s="18">
        <f t="shared" ca="1" si="81"/>
        <v>38718464.59125258</v>
      </c>
      <c r="V590" s="18">
        <f>SUMIF(Imóveis!E:E,Dados!A:A,Imóveis!Z:Z)-SUMIF(Imóveis!E:E,Dados!A:A,Imóveis!Y:Y)</f>
        <v>0</v>
      </c>
      <c r="W590" s="18">
        <f>-SUMIF(Projetos!N:N,A590,Projetos!F:F)</f>
        <v>0</v>
      </c>
      <c r="X590" s="18">
        <f t="shared" si="75"/>
        <v>-27000</v>
      </c>
      <c r="Y590" s="26">
        <f ca="1">(U590*((Indicadores_Economicos!D$2+1)^(1/12)-1))</f>
        <v>126754.1778380436</v>
      </c>
      <c r="Z590" s="18">
        <f t="shared" ca="1" si="79"/>
        <v>38818218.769090623</v>
      </c>
      <c r="AA590" s="18">
        <f ca="1">Auxiliar_Projetos!E590</f>
        <v>2.6719556615364827E-9</v>
      </c>
      <c r="AB590" s="18">
        <f ca="1">Auxiliar_Projetos!K590</f>
        <v>2.055350508874215E-9</v>
      </c>
      <c r="AC590" s="18">
        <f ca="1">IF(Z590-AA590-AB590&gt;Investimentos!$C$14,Investimentos!$C$14,IF(Z590-AA590-AB590&lt;Investimentos!$C$14,Z590-AA590-AB590,0))</f>
        <v>300000</v>
      </c>
      <c r="AD590" s="18">
        <f t="shared" ca="1" si="80"/>
        <v>38518218.769090623</v>
      </c>
      <c r="AE590" s="18"/>
    </row>
    <row r="591" spans="1:31" x14ac:dyDescent="0.2">
      <c r="A591" s="4">
        <v>63586</v>
      </c>
      <c r="B591" s="5" t="str">
        <f t="shared" si="76"/>
        <v>fevereiro</v>
      </c>
      <c r="C591" s="5" t="str">
        <f t="shared" si="74"/>
        <v>2074</v>
      </c>
      <c r="D591" s="5">
        <f>SUMIFS(Despesas!$F:$F,Despesas!$J:$J,"&lt;="&amp;$A591,Despesas!$L:$L,"&gt;="&amp;$A591,Despesas!$C:$C,D$1,Despesas!$M:$M,"Mensal")+SUMIFS(Despesas!$F:$F,Despesas!$J:$J,"&lt;="&amp;$A591,Despesas!$L:$L,"&gt;="&amp;$A591,Despesas!$C:$C,D$1,Despesas!$M:$M,$B591)</f>
        <v>23000</v>
      </c>
      <c r="E591" s="18">
        <f>SUMIFS(Despesas!$F:$F,Despesas!$J:$J,"&lt;="&amp;$A591,Despesas!$L:$L,"&gt;="&amp;$A591,Despesas!$C:$C,E$1,Despesas!$M:$M,"Mensal")+SUMIFS(Despesas!$F:$F,Despesas!$J:$J,"&lt;="&amp;$A591,Despesas!$L:$L,"&gt;="&amp;$A591,Despesas!$C:$C,E$1,Despesas!$M:$M,$B591)</f>
        <v>0</v>
      </c>
      <c r="F591" s="5">
        <f>SUMIFS(Despesas!$F:$F,Despesas!$J:$J,"&lt;="&amp;$A591,Despesas!$L:$L,"&gt;="&amp;$A591,Despesas!$C:$C,F$1,Despesas!$M:$M,"Mensal")+SUMIFS(Despesas!$F:$F,Despesas!$J:$J,"&lt;="&amp;$A591,Despesas!$L:$L,"&gt;="&amp;$A591,Despesas!$C:$C,F$1,Despesas!$M:$M,$B591)</f>
        <v>13000</v>
      </c>
      <c r="G591" s="5">
        <f>SUMIFS(Despesas!$F:$F,Despesas!$J:$J,"&lt;="&amp;$A591,Despesas!$L:$L,"&gt;="&amp;$A591,Despesas!$C:$C,G$1,Despesas!$M:$M,"Mensal")+SUMIFS(Despesas!$F:$F,Despesas!$J:$J,"&lt;="&amp;$A591,Despesas!$L:$L,"&gt;="&amp;$A591,Despesas!$C:$C,G$1,Despesas!$M:$M,$B591)</f>
        <v>0</v>
      </c>
      <c r="H591" s="18">
        <f>SUMIFS(Despesas!$F:$F,Despesas!$J:$J,"&lt;="&amp;$A591,Despesas!$L:$L,"&gt;="&amp;$A591,Despesas!$C:$C,H$1,Despesas!$M:$M,"Mensal")+SUMIFS(Despesas!$F:$F,Despesas!$J:$J,"&lt;="&amp;$A591,Despesas!$L:$L,"&gt;="&amp;$A591,Despesas!$C:$C,H$1,Despesas!$M:$M,$B591)</f>
        <v>2200</v>
      </c>
      <c r="I591" s="18">
        <f>IF(Imóveis!$F$2="PRICE",IF(AND(Dados!$A591&gt;=Imóveis!$Q$2,Dados!$A591&lt;=Imóveis!$T$2),Imóveis!$U$2,0),IF((IF(AND(Dados!$A591&gt;=Imóveis!$Q$2,Dados!$A591&lt;=Imóveis!$T$2),Imóveis!$S$2-(DATEDIF(Imóveis!$Q$2,Dados!$A591,"m")),0))=0,0,((Imóveis!$N$2/Imóveis!$S$2)+((Imóveis!$N$2-((Imóveis!$S$2-(IF(AND(Dados!$A591&gt;=Imóveis!$Q$2,Dados!$A591&lt;=Imóveis!$T$2),Imóveis!$S$2-(DATEDIF(Imóveis!$Q$2,Dados!$A591,"m")),)))*(Imóveis!$N$2/Imóveis!$S$2)))*Imóveis!$P$2))))*IF(AND(Imóveis!$E$2&gt;0,Dados!$A591&gt;Imóveis!$E$2),0,1)</f>
        <v>0</v>
      </c>
      <c r="J591" s="18">
        <f>IF(Imóveis!$F$3="PRICE",IF(AND(Dados!$A591&gt;=Imóveis!$Q$3,Dados!$A591&lt;=Imóveis!$T$3),Imóveis!$U$3,0),IF((IF(AND(Dados!$A591&gt;=Imóveis!$Q$3,Dados!$A591&lt;=Imóveis!$T$3),Imóveis!$S$3-(DATEDIF(Imóveis!$Q$3,Dados!$A591,"m")),0))=0,0,((Imóveis!$N$3/Imóveis!$S$3)+((Imóveis!$N$3-((Imóveis!$S$3-(IF(AND(Dados!$A591&gt;=Imóveis!$Q$3,Dados!$A591&lt;=Imóveis!$T$3),Imóveis!$S$3-(DATEDIF(Imóveis!$Q$3,Dados!$A591,"m")),)))*(Imóveis!$N$3/Imóveis!$S$3)))*Imóveis!$P$3))))*IF(AND(Imóveis!$E$3&gt;0,Dados!$A591&gt;Imóveis!$E$3),0,1)</f>
        <v>0</v>
      </c>
      <c r="K591" s="18">
        <f>IF(Imóveis!$F$4="PRICE",IF(AND(Dados!$A591&gt;=Imóveis!$Q$4,Dados!$A591&lt;=Imóveis!$T$4),Imóveis!$U$4,0),IF((IF(AND(Dados!$A591&gt;=Imóveis!$Q$4,Dados!$A591&lt;=Imóveis!$T$4),Imóveis!$S$4-(DATEDIF(Imóveis!$Q$4,Dados!$A591,"m")),0))=0,0,((Imóveis!$N$4/Imóveis!$S$4)+((Imóveis!$N$4-((Imóveis!$S$4-(IF(AND(Dados!$A591&gt;=Imóveis!$Q$4,Dados!$A591&lt;=Imóveis!$T$4),Imóveis!$S$4-(DATEDIF(Imóveis!$Q$4,Dados!$A591,"m")),)))*(Imóveis!$N$4/Imóveis!$S$4)))*Imóveis!$P$4))))*IF(AND(Imóveis!$E$4&gt;0,Dados!$A591&gt;Imóveis!$E$4),0,1)</f>
        <v>0</v>
      </c>
      <c r="L591" s="18">
        <f>IF(Imóveis!$F$5="PRICE",IF(AND(Dados!$A591&gt;=Imóveis!$Q$5,Dados!$A591&lt;=Imóveis!$T$5),Imóveis!$U$5,0),IF((IF(AND(Dados!$A591&gt;=Imóveis!$Q$5,Dados!$A591&lt;=Imóveis!$T$5),Imóveis!$S$5-(DATEDIF(Imóveis!$Q$5,Dados!$A591,"m")),0))=0,0,((Imóveis!$N$5/Imóveis!$S$5)+((Imóveis!$N$5-((Imóveis!$S$5-(IF(AND(Dados!$A591 &gt;=Imóveis!$Q$5,Dados!$A591&lt;=Imóveis!$T$5),Imóveis!$S$5-(DATEDIF(Imóveis!$Q$5,Dados!$A591,"m")),)))*(Imóveis!$N$5/Imóveis!$S$5)))*Imóveis!$P$5))))*IF(AND(Imóveis!$E$5&gt;0,Dados!$A591&gt;Imóveis!$E$5),0,1)*Imóveis!$I$5</f>
        <v>0</v>
      </c>
      <c r="M591" s="18">
        <f>IF(Imóveis!$F$6="PRICE",IF(AND(Dados!$A591&gt;=Imóveis!$Q$6,Dados!$A591&lt;=Imóveis!$T$6),Imóveis!$U$6,0),IF((IF(AND(Dados!$A591&gt;=Imóveis!$Q$6,Dados!$A591&lt;=Imóveis!$T$6),Imóveis!$S$6-(DATEDIF(Imóveis!$Q$6,Dados!$A591,"m")),0))=0,0,((Imóveis!$N$6/Imóveis!$S$6)+((Imóveis!$N$6-((Imóveis!$S$6-(IF(AND(Dados!$A591&gt;=Imóveis!$Q$6,Dados!$A591&lt;=Imóveis!$T$6),Imóveis!$S$6-(DATEDIF(Imóveis!$Q$6,Dados!$A591,"m")),)))*(Imóveis!$N$6/Imóveis!$S$6)))*Imóveis!$P$6))))*IF(AND(Imóveis!$E$6&gt;0,Dados!$A591&gt;Imóveis!$E$6),0,1)*Imóveis!$I$6</f>
        <v>0</v>
      </c>
      <c r="N591" s="18">
        <f t="shared" si="77"/>
        <v>38200</v>
      </c>
      <c r="O591" s="18">
        <f>SUMIFS(Receitas!$F:$F,Receitas!$J:$J,"&lt;="&amp;$A591,Receitas!$L:$L,"&gt;="&amp;$A591,Receitas!$C:$C,O$1,Receitas!$M:$M,"Mensal")+SUMIFS(Receitas!$F:$F,Receitas!$J:$J,"&lt;="&amp;$A591,Receitas!$L:$L,"&gt;="&amp;$A591,Receitas!$C:$C,O$1,Receitas!$M:$M,$B591)</f>
        <v>0</v>
      </c>
      <c r="P591" s="18">
        <f>SUMIFS(Receitas!$F:$F,Receitas!$J:$J,"&lt;="&amp;$A591,Receitas!$L:$L,"&gt;="&amp;$A591,Receitas!$C:$C,P$1,Receitas!$M:$M,"Mensal")+SUMIFS(Receitas!$F:$F,Receitas!$J:$J,"&lt;="&amp;$A591,Receitas!$L:$L,"&gt;="&amp;$A591,Receitas!$C:$C,P$1,Receitas!$M:$M,$B591)</f>
        <v>0</v>
      </c>
      <c r="Q591" s="18">
        <f>SUMIFS(Receitas!$F:$F,Receitas!$J:$J,"&lt;="&amp;$A591,Receitas!$L:$L,"&gt;="&amp;$A591,Receitas!$C:$C,Q$1,Receitas!$M:$M,"Mensal")+SUMIFS(Receitas!$F:$F,Receitas!$J:$J,"&lt;="&amp;$A591,Receitas!$L:$L,"&gt;="&amp;$A591,Receitas!$C:$C,Q$1,Receitas!$M:$M,$B591)</f>
        <v>0</v>
      </c>
      <c r="R591" s="18" cm="1">
        <f t="array" ref="R591">(IF(AND(Membros!$F$2="Sim",A591&lt;=MAX(Membros!$E$2:$E$5)),Membros!K$2,IF(AND(A591&gt;=Membros!J$2,A591&lt;=MAX(Membros!$E$2:$E$5)),Membros!K$2,0))+IF(AND(Membros!$F$3="Sim",A591&lt;=MAX(Membros!$E$2:$E$5)),Membros!K$3,IF(AND(A591&gt;=Membros!J$3,A591&lt;=MAX(Membros!$E$2:$E$5)),Membros!K$3,0)))*IF(AND(COUNTIFS(Tabela3[Tipo],"Provedor",Tabela3[Simulação Seguro],"Sim")=2,A591&gt;=MAX(IF(Tabela3[Tipo]="Dependente",Tabela3[Expectativa de Vida (Data)]))),0,1)</f>
        <v>10000</v>
      </c>
      <c r="S591" s="18">
        <f t="shared" si="78"/>
        <v>10000</v>
      </c>
      <c r="U591" s="18">
        <f t="shared" ca="1" si="81"/>
        <v>38818218.769090623</v>
      </c>
      <c r="V591" s="18">
        <f>SUMIF(Imóveis!E:E,Dados!A:A,Imóveis!Z:Z)-SUMIF(Imóveis!E:E,Dados!A:A,Imóveis!Y:Y)</f>
        <v>0</v>
      </c>
      <c r="W591" s="18">
        <f>-SUMIF(Projetos!N:N,A591,Projetos!F:F)</f>
        <v>0</v>
      </c>
      <c r="X591" s="18">
        <f t="shared" si="75"/>
        <v>-28200</v>
      </c>
      <c r="Y591" s="26">
        <f ca="1">(U591*((Indicadores_Economicos!D$2+1)^(1/12)-1))</f>
        <v>127080.74705847255</v>
      </c>
      <c r="Z591" s="18">
        <f t="shared" ca="1" si="79"/>
        <v>38917099.516149096</v>
      </c>
      <c r="AA591" s="18">
        <f ca="1">Auxiliar_Projetos!E591</f>
        <v>2.6807029490819261E-9</v>
      </c>
      <c r="AB591" s="18">
        <f ca="1">Auxiliar_Projetos!K591</f>
        <v>2.0620791916014795E-9</v>
      </c>
      <c r="AC591" s="18">
        <f ca="1">IF(Z591-AA591-AB591&gt;Investimentos!$C$14,Investimentos!$C$14,IF(Z591-AA591-AB591&lt;Investimentos!$C$14,Z591-AA591-AB591,0))</f>
        <v>300000</v>
      </c>
      <c r="AD591" s="18">
        <f t="shared" ca="1" si="80"/>
        <v>38617099.516149096</v>
      </c>
      <c r="AE591" s="18"/>
    </row>
    <row r="592" spans="1:31" x14ac:dyDescent="0.2">
      <c r="A592" s="4">
        <v>63614</v>
      </c>
      <c r="B592" s="5" t="str">
        <f t="shared" si="76"/>
        <v>março</v>
      </c>
      <c r="C592" s="5" t="str">
        <f t="shared" si="74"/>
        <v>2074</v>
      </c>
      <c r="D592" s="5">
        <f>SUMIFS(Despesas!$F:$F,Despesas!$J:$J,"&lt;="&amp;$A592,Despesas!$L:$L,"&gt;="&amp;$A592,Despesas!$C:$C,D$1,Despesas!$M:$M,"Mensal")+SUMIFS(Despesas!$F:$F,Despesas!$J:$J,"&lt;="&amp;$A592,Despesas!$L:$L,"&gt;="&amp;$A592,Despesas!$C:$C,D$1,Despesas!$M:$M,$B592)</f>
        <v>23000</v>
      </c>
      <c r="E592" s="18">
        <f>SUMIFS(Despesas!$F:$F,Despesas!$J:$J,"&lt;="&amp;$A592,Despesas!$L:$L,"&gt;="&amp;$A592,Despesas!$C:$C,E$1,Despesas!$M:$M,"Mensal")+SUMIFS(Despesas!$F:$F,Despesas!$J:$J,"&lt;="&amp;$A592,Despesas!$L:$L,"&gt;="&amp;$A592,Despesas!$C:$C,E$1,Despesas!$M:$M,$B592)</f>
        <v>0</v>
      </c>
      <c r="F592" s="5">
        <f>SUMIFS(Despesas!$F:$F,Despesas!$J:$J,"&lt;="&amp;$A592,Despesas!$L:$L,"&gt;="&amp;$A592,Despesas!$C:$C,F$1,Despesas!$M:$M,"Mensal")+SUMIFS(Despesas!$F:$F,Despesas!$J:$J,"&lt;="&amp;$A592,Despesas!$L:$L,"&gt;="&amp;$A592,Despesas!$C:$C,F$1,Despesas!$M:$M,$B592)</f>
        <v>13000</v>
      </c>
      <c r="G592" s="5">
        <f>SUMIFS(Despesas!$F:$F,Despesas!$J:$J,"&lt;="&amp;$A592,Despesas!$L:$L,"&gt;="&amp;$A592,Despesas!$C:$C,G$1,Despesas!$M:$M,"Mensal")+SUMIFS(Despesas!$F:$F,Despesas!$J:$J,"&lt;="&amp;$A592,Despesas!$L:$L,"&gt;="&amp;$A592,Despesas!$C:$C,G$1,Despesas!$M:$M,$B592)</f>
        <v>0</v>
      </c>
      <c r="H592" s="18">
        <f>SUMIFS(Despesas!$F:$F,Despesas!$J:$J,"&lt;="&amp;$A592,Despesas!$L:$L,"&gt;="&amp;$A592,Despesas!$C:$C,H$1,Despesas!$M:$M,"Mensal")+SUMIFS(Despesas!$F:$F,Despesas!$J:$J,"&lt;="&amp;$A592,Despesas!$L:$L,"&gt;="&amp;$A592,Despesas!$C:$C,H$1,Despesas!$M:$M,$B592)</f>
        <v>1000</v>
      </c>
      <c r="I592" s="18">
        <f>IF(Imóveis!$F$2="PRICE",IF(AND(Dados!$A592&gt;=Imóveis!$Q$2,Dados!$A592&lt;=Imóveis!$T$2),Imóveis!$U$2,0),IF((IF(AND(Dados!$A592&gt;=Imóveis!$Q$2,Dados!$A592&lt;=Imóveis!$T$2),Imóveis!$S$2-(DATEDIF(Imóveis!$Q$2,Dados!$A592,"m")),0))=0,0,((Imóveis!$N$2/Imóveis!$S$2)+((Imóveis!$N$2-((Imóveis!$S$2-(IF(AND(Dados!$A592&gt;=Imóveis!$Q$2,Dados!$A592&lt;=Imóveis!$T$2),Imóveis!$S$2-(DATEDIF(Imóveis!$Q$2,Dados!$A592,"m")),)))*(Imóveis!$N$2/Imóveis!$S$2)))*Imóveis!$P$2))))*IF(AND(Imóveis!$E$2&gt;0,Dados!$A592&gt;Imóveis!$E$2),0,1)</f>
        <v>0</v>
      </c>
      <c r="J592" s="18">
        <f>IF(Imóveis!$F$3="PRICE",IF(AND(Dados!$A592&gt;=Imóveis!$Q$3,Dados!$A592&lt;=Imóveis!$T$3),Imóveis!$U$3,0),IF((IF(AND(Dados!$A592&gt;=Imóveis!$Q$3,Dados!$A592&lt;=Imóveis!$T$3),Imóveis!$S$3-(DATEDIF(Imóveis!$Q$3,Dados!$A592,"m")),0))=0,0,((Imóveis!$N$3/Imóveis!$S$3)+((Imóveis!$N$3-((Imóveis!$S$3-(IF(AND(Dados!$A592&gt;=Imóveis!$Q$3,Dados!$A592&lt;=Imóveis!$T$3),Imóveis!$S$3-(DATEDIF(Imóveis!$Q$3,Dados!$A592,"m")),)))*(Imóveis!$N$3/Imóveis!$S$3)))*Imóveis!$P$3))))*IF(AND(Imóveis!$E$3&gt;0,Dados!$A592&gt;Imóveis!$E$3),0,1)</f>
        <v>0</v>
      </c>
      <c r="K592" s="18">
        <f>IF(Imóveis!$F$4="PRICE",IF(AND(Dados!$A592&gt;=Imóveis!$Q$4,Dados!$A592&lt;=Imóveis!$T$4),Imóveis!$U$4,0),IF((IF(AND(Dados!$A592&gt;=Imóveis!$Q$4,Dados!$A592&lt;=Imóveis!$T$4),Imóveis!$S$4-(DATEDIF(Imóveis!$Q$4,Dados!$A592,"m")),0))=0,0,((Imóveis!$N$4/Imóveis!$S$4)+((Imóveis!$N$4-((Imóveis!$S$4-(IF(AND(Dados!$A592&gt;=Imóveis!$Q$4,Dados!$A592&lt;=Imóveis!$T$4),Imóveis!$S$4-(DATEDIF(Imóveis!$Q$4,Dados!$A592,"m")),)))*(Imóveis!$N$4/Imóveis!$S$4)))*Imóveis!$P$4))))*IF(AND(Imóveis!$E$4&gt;0,Dados!$A592&gt;Imóveis!$E$4),0,1)</f>
        <v>0</v>
      </c>
      <c r="L592" s="18">
        <f>IF(Imóveis!$F$5="PRICE",IF(AND(Dados!$A592&gt;=Imóveis!$Q$5,Dados!$A592&lt;=Imóveis!$T$5),Imóveis!$U$5,0),IF((IF(AND(Dados!$A592&gt;=Imóveis!$Q$5,Dados!$A592&lt;=Imóveis!$T$5),Imóveis!$S$5-(DATEDIF(Imóveis!$Q$5,Dados!$A592,"m")),0))=0,0,((Imóveis!$N$5/Imóveis!$S$5)+((Imóveis!$N$5-((Imóveis!$S$5-(IF(AND(Dados!$A592 &gt;=Imóveis!$Q$5,Dados!$A592&lt;=Imóveis!$T$5),Imóveis!$S$5-(DATEDIF(Imóveis!$Q$5,Dados!$A592,"m")),)))*(Imóveis!$N$5/Imóveis!$S$5)))*Imóveis!$P$5))))*IF(AND(Imóveis!$E$5&gt;0,Dados!$A592&gt;Imóveis!$E$5),0,1)*Imóveis!$I$5</f>
        <v>0</v>
      </c>
      <c r="M592" s="18">
        <f>IF(Imóveis!$F$6="PRICE",IF(AND(Dados!$A592&gt;=Imóveis!$Q$6,Dados!$A592&lt;=Imóveis!$T$6),Imóveis!$U$6,0),IF((IF(AND(Dados!$A592&gt;=Imóveis!$Q$6,Dados!$A592&lt;=Imóveis!$T$6),Imóveis!$S$6-(DATEDIF(Imóveis!$Q$6,Dados!$A592,"m")),0))=0,0,((Imóveis!$N$6/Imóveis!$S$6)+((Imóveis!$N$6-((Imóveis!$S$6-(IF(AND(Dados!$A592&gt;=Imóveis!$Q$6,Dados!$A592&lt;=Imóveis!$T$6),Imóveis!$S$6-(DATEDIF(Imóveis!$Q$6,Dados!$A592,"m")),)))*(Imóveis!$N$6/Imóveis!$S$6)))*Imóveis!$P$6))))*IF(AND(Imóveis!$E$6&gt;0,Dados!$A592&gt;Imóveis!$E$6),0,1)*Imóveis!$I$6</f>
        <v>0</v>
      </c>
      <c r="N592" s="18">
        <f t="shared" si="77"/>
        <v>37000</v>
      </c>
      <c r="O592" s="18">
        <f>SUMIFS(Receitas!$F:$F,Receitas!$J:$J,"&lt;="&amp;$A592,Receitas!$L:$L,"&gt;="&amp;$A592,Receitas!$C:$C,O$1,Receitas!$M:$M,"Mensal")+SUMIFS(Receitas!$F:$F,Receitas!$J:$J,"&lt;="&amp;$A592,Receitas!$L:$L,"&gt;="&amp;$A592,Receitas!$C:$C,O$1,Receitas!$M:$M,$B592)</f>
        <v>0</v>
      </c>
      <c r="P592" s="18">
        <f>SUMIFS(Receitas!$F:$F,Receitas!$J:$J,"&lt;="&amp;$A592,Receitas!$L:$L,"&gt;="&amp;$A592,Receitas!$C:$C,P$1,Receitas!$M:$M,"Mensal")+SUMIFS(Receitas!$F:$F,Receitas!$J:$J,"&lt;="&amp;$A592,Receitas!$L:$L,"&gt;="&amp;$A592,Receitas!$C:$C,P$1,Receitas!$M:$M,$B592)</f>
        <v>0</v>
      </c>
      <c r="Q592" s="18">
        <f>SUMIFS(Receitas!$F:$F,Receitas!$J:$J,"&lt;="&amp;$A592,Receitas!$L:$L,"&gt;="&amp;$A592,Receitas!$C:$C,Q$1,Receitas!$M:$M,"Mensal")+SUMIFS(Receitas!$F:$F,Receitas!$J:$J,"&lt;="&amp;$A592,Receitas!$L:$L,"&gt;="&amp;$A592,Receitas!$C:$C,Q$1,Receitas!$M:$M,$B592)</f>
        <v>0</v>
      </c>
      <c r="R592" s="18" cm="1">
        <f t="array" ref="R592">(IF(AND(Membros!$F$2="Sim",A592&lt;=MAX(Membros!$E$2:$E$5)),Membros!K$2,IF(AND(A592&gt;=Membros!J$2,A592&lt;=MAX(Membros!$E$2:$E$5)),Membros!K$2,0))+IF(AND(Membros!$F$3="Sim",A592&lt;=MAX(Membros!$E$2:$E$5)),Membros!K$3,IF(AND(A592&gt;=Membros!J$3,A592&lt;=MAX(Membros!$E$2:$E$5)),Membros!K$3,0)))*IF(AND(COUNTIFS(Tabela3[Tipo],"Provedor",Tabela3[Simulação Seguro],"Sim")=2,A592&gt;=MAX(IF(Tabela3[Tipo]="Dependente",Tabela3[Expectativa de Vida (Data)]))),0,1)</f>
        <v>10000</v>
      </c>
      <c r="S592" s="18">
        <f t="shared" si="78"/>
        <v>10000</v>
      </c>
      <c r="U592" s="18">
        <f t="shared" ca="1" si="81"/>
        <v>38917099.516149096</v>
      </c>
      <c r="V592" s="18">
        <f>SUMIF(Imóveis!E:E,Dados!A:A,Imóveis!Z:Z)-SUMIF(Imóveis!E:E,Dados!A:A,Imóveis!Y:Y)</f>
        <v>0</v>
      </c>
      <c r="W592" s="18">
        <f>-SUMIF(Projetos!N:N,A592,Projetos!F:F)</f>
        <v>0</v>
      </c>
      <c r="X592" s="18">
        <f t="shared" si="75"/>
        <v>-27000</v>
      </c>
      <c r="Y592" s="26">
        <f ca="1">(U592*((Indicadores_Economicos!D$2+1)^(1/12)-1))</f>
        <v>127404.45689381142</v>
      </c>
      <c r="Z592" s="18">
        <f t="shared" ca="1" si="79"/>
        <v>39017503.973042905</v>
      </c>
      <c r="AA592" s="18">
        <f ca="1">Auxiliar_Projetos!E592</f>
        <v>2.6894788729705936E-9</v>
      </c>
      <c r="AB592" s="18">
        <f ca="1">Auxiliar_Projetos!K592</f>
        <v>2.0688299022850696E-9</v>
      </c>
      <c r="AC592" s="18">
        <f ca="1">IF(Z592-AA592-AB592&gt;Investimentos!$C$14,Investimentos!$C$14,IF(Z592-AA592-AB592&lt;Investimentos!$C$14,Z592-AA592-AB592,0))</f>
        <v>300000</v>
      </c>
      <c r="AD592" s="18">
        <f t="shared" ca="1" si="80"/>
        <v>38717503.973042905</v>
      </c>
      <c r="AE592" s="18"/>
    </row>
    <row r="593" spans="1:31" x14ac:dyDescent="0.2">
      <c r="A593" s="4">
        <v>63645</v>
      </c>
      <c r="B593" s="5" t="str">
        <f t="shared" si="76"/>
        <v>abril</v>
      </c>
      <c r="C593" s="5" t="str">
        <f t="shared" si="74"/>
        <v>2074</v>
      </c>
      <c r="D593" s="5">
        <f>SUMIFS(Despesas!$F:$F,Despesas!$J:$J,"&lt;="&amp;$A593,Despesas!$L:$L,"&gt;="&amp;$A593,Despesas!$C:$C,D$1,Despesas!$M:$M,"Mensal")+SUMIFS(Despesas!$F:$F,Despesas!$J:$J,"&lt;="&amp;$A593,Despesas!$L:$L,"&gt;="&amp;$A593,Despesas!$C:$C,D$1,Despesas!$M:$M,$B593)</f>
        <v>23000</v>
      </c>
      <c r="E593" s="18">
        <f>SUMIFS(Despesas!$F:$F,Despesas!$J:$J,"&lt;="&amp;$A593,Despesas!$L:$L,"&gt;="&amp;$A593,Despesas!$C:$C,E$1,Despesas!$M:$M,"Mensal")+SUMIFS(Despesas!$F:$F,Despesas!$J:$J,"&lt;="&amp;$A593,Despesas!$L:$L,"&gt;="&amp;$A593,Despesas!$C:$C,E$1,Despesas!$M:$M,$B593)</f>
        <v>0</v>
      </c>
      <c r="F593" s="5">
        <f>SUMIFS(Despesas!$F:$F,Despesas!$J:$J,"&lt;="&amp;$A593,Despesas!$L:$L,"&gt;="&amp;$A593,Despesas!$C:$C,F$1,Despesas!$M:$M,"Mensal")+SUMIFS(Despesas!$F:$F,Despesas!$J:$J,"&lt;="&amp;$A593,Despesas!$L:$L,"&gt;="&amp;$A593,Despesas!$C:$C,F$1,Despesas!$M:$M,$B593)</f>
        <v>13000</v>
      </c>
      <c r="G593" s="5">
        <f>SUMIFS(Despesas!$F:$F,Despesas!$J:$J,"&lt;="&amp;$A593,Despesas!$L:$L,"&gt;="&amp;$A593,Despesas!$C:$C,G$1,Despesas!$M:$M,"Mensal")+SUMIFS(Despesas!$F:$F,Despesas!$J:$J,"&lt;="&amp;$A593,Despesas!$L:$L,"&gt;="&amp;$A593,Despesas!$C:$C,G$1,Despesas!$M:$M,$B593)</f>
        <v>0</v>
      </c>
      <c r="H593" s="18">
        <f>SUMIFS(Despesas!$F:$F,Despesas!$J:$J,"&lt;="&amp;$A593,Despesas!$L:$L,"&gt;="&amp;$A593,Despesas!$C:$C,H$1,Despesas!$M:$M,"Mensal")+SUMIFS(Despesas!$F:$F,Despesas!$J:$J,"&lt;="&amp;$A593,Despesas!$L:$L,"&gt;="&amp;$A593,Despesas!$C:$C,H$1,Despesas!$M:$M,$B593)</f>
        <v>1000</v>
      </c>
      <c r="I593" s="18">
        <f>IF(Imóveis!$F$2="PRICE",IF(AND(Dados!$A593&gt;=Imóveis!$Q$2,Dados!$A593&lt;=Imóveis!$T$2),Imóveis!$U$2,0),IF((IF(AND(Dados!$A593&gt;=Imóveis!$Q$2,Dados!$A593&lt;=Imóveis!$T$2),Imóveis!$S$2-(DATEDIF(Imóveis!$Q$2,Dados!$A593,"m")),0))=0,0,((Imóveis!$N$2/Imóveis!$S$2)+((Imóveis!$N$2-((Imóveis!$S$2-(IF(AND(Dados!$A593&gt;=Imóveis!$Q$2,Dados!$A593&lt;=Imóveis!$T$2),Imóveis!$S$2-(DATEDIF(Imóveis!$Q$2,Dados!$A593,"m")),)))*(Imóveis!$N$2/Imóveis!$S$2)))*Imóveis!$P$2))))*IF(AND(Imóveis!$E$2&gt;0,Dados!$A593&gt;Imóveis!$E$2),0,1)</f>
        <v>0</v>
      </c>
      <c r="J593" s="18">
        <f>IF(Imóveis!$F$3="PRICE",IF(AND(Dados!$A593&gt;=Imóveis!$Q$3,Dados!$A593&lt;=Imóveis!$T$3),Imóveis!$U$3,0),IF((IF(AND(Dados!$A593&gt;=Imóveis!$Q$3,Dados!$A593&lt;=Imóveis!$T$3),Imóveis!$S$3-(DATEDIF(Imóveis!$Q$3,Dados!$A593,"m")),0))=0,0,((Imóveis!$N$3/Imóveis!$S$3)+((Imóveis!$N$3-((Imóveis!$S$3-(IF(AND(Dados!$A593&gt;=Imóveis!$Q$3,Dados!$A593&lt;=Imóveis!$T$3),Imóveis!$S$3-(DATEDIF(Imóveis!$Q$3,Dados!$A593,"m")),)))*(Imóveis!$N$3/Imóveis!$S$3)))*Imóveis!$P$3))))*IF(AND(Imóveis!$E$3&gt;0,Dados!$A593&gt;Imóveis!$E$3),0,1)</f>
        <v>0</v>
      </c>
      <c r="K593" s="18">
        <f>IF(Imóveis!$F$4="PRICE",IF(AND(Dados!$A593&gt;=Imóveis!$Q$4,Dados!$A593&lt;=Imóveis!$T$4),Imóveis!$U$4,0),IF((IF(AND(Dados!$A593&gt;=Imóveis!$Q$4,Dados!$A593&lt;=Imóveis!$T$4),Imóveis!$S$4-(DATEDIF(Imóveis!$Q$4,Dados!$A593,"m")),0))=0,0,((Imóveis!$N$4/Imóveis!$S$4)+((Imóveis!$N$4-((Imóveis!$S$4-(IF(AND(Dados!$A593&gt;=Imóveis!$Q$4,Dados!$A593&lt;=Imóveis!$T$4),Imóveis!$S$4-(DATEDIF(Imóveis!$Q$4,Dados!$A593,"m")),)))*(Imóveis!$N$4/Imóveis!$S$4)))*Imóveis!$P$4))))*IF(AND(Imóveis!$E$4&gt;0,Dados!$A593&gt;Imóveis!$E$4),0,1)</f>
        <v>0</v>
      </c>
      <c r="L593" s="18">
        <f>IF(Imóveis!$F$5="PRICE",IF(AND(Dados!$A593&gt;=Imóveis!$Q$5,Dados!$A593&lt;=Imóveis!$T$5),Imóveis!$U$5,0),IF((IF(AND(Dados!$A593&gt;=Imóveis!$Q$5,Dados!$A593&lt;=Imóveis!$T$5),Imóveis!$S$5-(DATEDIF(Imóveis!$Q$5,Dados!$A593,"m")),0))=0,0,((Imóveis!$N$5/Imóveis!$S$5)+((Imóveis!$N$5-((Imóveis!$S$5-(IF(AND(Dados!$A593 &gt;=Imóveis!$Q$5,Dados!$A593&lt;=Imóveis!$T$5),Imóveis!$S$5-(DATEDIF(Imóveis!$Q$5,Dados!$A593,"m")),)))*(Imóveis!$N$5/Imóveis!$S$5)))*Imóveis!$P$5))))*IF(AND(Imóveis!$E$5&gt;0,Dados!$A593&gt;Imóveis!$E$5),0,1)*Imóveis!$I$5</f>
        <v>0</v>
      </c>
      <c r="M593" s="18">
        <f>IF(Imóveis!$F$6="PRICE",IF(AND(Dados!$A593&gt;=Imóveis!$Q$6,Dados!$A593&lt;=Imóveis!$T$6),Imóveis!$U$6,0),IF((IF(AND(Dados!$A593&gt;=Imóveis!$Q$6,Dados!$A593&lt;=Imóveis!$T$6),Imóveis!$S$6-(DATEDIF(Imóveis!$Q$6,Dados!$A593,"m")),0))=0,0,((Imóveis!$N$6/Imóveis!$S$6)+((Imóveis!$N$6-((Imóveis!$S$6-(IF(AND(Dados!$A593&gt;=Imóveis!$Q$6,Dados!$A593&lt;=Imóveis!$T$6),Imóveis!$S$6-(DATEDIF(Imóveis!$Q$6,Dados!$A593,"m")),)))*(Imóveis!$N$6/Imóveis!$S$6)))*Imóveis!$P$6))))*IF(AND(Imóveis!$E$6&gt;0,Dados!$A593&gt;Imóveis!$E$6),0,1)*Imóveis!$I$6</f>
        <v>0</v>
      </c>
      <c r="N593" s="18">
        <f t="shared" si="77"/>
        <v>37000</v>
      </c>
      <c r="O593" s="18">
        <f>SUMIFS(Receitas!$F:$F,Receitas!$J:$J,"&lt;="&amp;$A593,Receitas!$L:$L,"&gt;="&amp;$A593,Receitas!$C:$C,O$1,Receitas!$M:$M,"Mensal")+SUMIFS(Receitas!$F:$F,Receitas!$J:$J,"&lt;="&amp;$A593,Receitas!$L:$L,"&gt;="&amp;$A593,Receitas!$C:$C,O$1,Receitas!$M:$M,$B593)</f>
        <v>0</v>
      </c>
      <c r="P593" s="18">
        <f>SUMIFS(Receitas!$F:$F,Receitas!$J:$J,"&lt;="&amp;$A593,Receitas!$L:$L,"&gt;="&amp;$A593,Receitas!$C:$C,P$1,Receitas!$M:$M,"Mensal")+SUMIFS(Receitas!$F:$F,Receitas!$J:$J,"&lt;="&amp;$A593,Receitas!$L:$L,"&gt;="&amp;$A593,Receitas!$C:$C,P$1,Receitas!$M:$M,$B593)</f>
        <v>0</v>
      </c>
      <c r="Q593" s="18">
        <f>SUMIFS(Receitas!$F:$F,Receitas!$J:$J,"&lt;="&amp;$A593,Receitas!$L:$L,"&gt;="&amp;$A593,Receitas!$C:$C,Q$1,Receitas!$M:$M,"Mensal")+SUMIFS(Receitas!$F:$F,Receitas!$J:$J,"&lt;="&amp;$A593,Receitas!$L:$L,"&gt;="&amp;$A593,Receitas!$C:$C,Q$1,Receitas!$M:$M,$B593)</f>
        <v>0</v>
      </c>
      <c r="R593" s="18" cm="1">
        <f t="array" ref="R593">(IF(AND(Membros!$F$2="Sim",A593&lt;=MAX(Membros!$E$2:$E$5)),Membros!K$2,IF(AND(A593&gt;=Membros!J$2,A593&lt;=MAX(Membros!$E$2:$E$5)),Membros!K$2,0))+IF(AND(Membros!$F$3="Sim",A593&lt;=MAX(Membros!$E$2:$E$5)),Membros!K$3,IF(AND(A593&gt;=Membros!J$3,A593&lt;=MAX(Membros!$E$2:$E$5)),Membros!K$3,0)))*IF(AND(COUNTIFS(Tabela3[Tipo],"Provedor",Tabela3[Simulação Seguro],"Sim")=2,A593&gt;=MAX(IF(Tabela3[Tipo]="Dependente",Tabela3[Expectativa de Vida (Data)]))),0,1)</f>
        <v>10000</v>
      </c>
      <c r="S593" s="18">
        <f t="shared" si="78"/>
        <v>10000</v>
      </c>
      <c r="U593" s="18">
        <f t="shared" ca="1" si="81"/>
        <v>39017503.973042905</v>
      </c>
      <c r="V593" s="18">
        <f>SUMIF(Imóveis!E:E,Dados!A:A,Imóveis!Z:Z)-SUMIF(Imóveis!E:E,Dados!A:A,Imóveis!Y:Y)</f>
        <v>0</v>
      </c>
      <c r="W593" s="18">
        <f>-SUMIF(Projetos!N:N,A593,Projetos!F:F)</f>
        <v>0</v>
      </c>
      <c r="X593" s="18">
        <f t="shared" si="75"/>
        <v>-27000</v>
      </c>
      <c r="Y593" s="26">
        <f ca="1">(U593*((Indicadores_Economicos!D$2+1)^(1/12)-1))</f>
        <v>127733.15495865476</v>
      </c>
      <c r="Z593" s="18">
        <f t="shared" ca="1" si="79"/>
        <v>39118237.128001563</v>
      </c>
      <c r="AA593" s="18">
        <f ca="1">Auxiliar_Projetos!E593</f>
        <v>2.698283526950421E-9</v>
      </c>
      <c r="AB593" s="18">
        <f ca="1">Auxiliar_Projetos!K593</f>
        <v>2.0756027130387828E-9</v>
      </c>
      <c r="AC593" s="18">
        <f ca="1">IF(Z593-AA593-AB593&gt;Investimentos!$C$14,Investimentos!$C$14,IF(Z593-AA593-AB593&lt;Investimentos!$C$14,Z593-AA593-AB593,0))</f>
        <v>300000</v>
      </c>
      <c r="AD593" s="18">
        <f t="shared" ca="1" si="80"/>
        <v>38818237.128001563</v>
      </c>
      <c r="AE593" s="18"/>
    </row>
    <row r="594" spans="1:31" x14ac:dyDescent="0.2">
      <c r="A594" s="4">
        <v>63675</v>
      </c>
      <c r="B594" s="5" t="str">
        <f t="shared" si="76"/>
        <v>maio</v>
      </c>
      <c r="C594" s="5" t="str">
        <f t="shared" si="74"/>
        <v>2074</v>
      </c>
      <c r="D594" s="5">
        <f>SUMIFS(Despesas!$F:$F,Despesas!$J:$J,"&lt;="&amp;$A594,Despesas!$L:$L,"&gt;="&amp;$A594,Despesas!$C:$C,D$1,Despesas!$M:$M,"Mensal")+SUMIFS(Despesas!$F:$F,Despesas!$J:$J,"&lt;="&amp;$A594,Despesas!$L:$L,"&gt;="&amp;$A594,Despesas!$C:$C,D$1,Despesas!$M:$M,$B594)</f>
        <v>23000</v>
      </c>
      <c r="E594" s="18">
        <f>SUMIFS(Despesas!$F:$F,Despesas!$J:$J,"&lt;="&amp;$A594,Despesas!$L:$L,"&gt;="&amp;$A594,Despesas!$C:$C,E$1,Despesas!$M:$M,"Mensal")+SUMIFS(Despesas!$F:$F,Despesas!$J:$J,"&lt;="&amp;$A594,Despesas!$L:$L,"&gt;="&amp;$A594,Despesas!$C:$C,E$1,Despesas!$M:$M,$B594)</f>
        <v>0</v>
      </c>
      <c r="F594" s="5">
        <f>SUMIFS(Despesas!$F:$F,Despesas!$J:$J,"&lt;="&amp;$A594,Despesas!$L:$L,"&gt;="&amp;$A594,Despesas!$C:$C,F$1,Despesas!$M:$M,"Mensal")+SUMIFS(Despesas!$F:$F,Despesas!$J:$J,"&lt;="&amp;$A594,Despesas!$L:$L,"&gt;="&amp;$A594,Despesas!$C:$C,F$1,Despesas!$M:$M,$B594)</f>
        <v>13000</v>
      </c>
      <c r="G594" s="5">
        <f>SUMIFS(Despesas!$F:$F,Despesas!$J:$J,"&lt;="&amp;$A594,Despesas!$L:$L,"&gt;="&amp;$A594,Despesas!$C:$C,G$1,Despesas!$M:$M,"Mensal")+SUMIFS(Despesas!$F:$F,Despesas!$J:$J,"&lt;="&amp;$A594,Despesas!$L:$L,"&gt;="&amp;$A594,Despesas!$C:$C,G$1,Despesas!$M:$M,$B594)</f>
        <v>0</v>
      </c>
      <c r="H594" s="18">
        <f>SUMIFS(Despesas!$F:$F,Despesas!$J:$J,"&lt;="&amp;$A594,Despesas!$L:$L,"&gt;="&amp;$A594,Despesas!$C:$C,H$1,Despesas!$M:$M,"Mensal")+SUMIFS(Despesas!$F:$F,Despesas!$J:$J,"&lt;="&amp;$A594,Despesas!$L:$L,"&gt;="&amp;$A594,Despesas!$C:$C,H$1,Despesas!$M:$M,$B594)</f>
        <v>1000</v>
      </c>
      <c r="I594" s="18">
        <f>IF(Imóveis!$F$2="PRICE",IF(AND(Dados!$A594&gt;=Imóveis!$Q$2,Dados!$A594&lt;=Imóveis!$T$2),Imóveis!$U$2,0),IF((IF(AND(Dados!$A594&gt;=Imóveis!$Q$2,Dados!$A594&lt;=Imóveis!$T$2),Imóveis!$S$2-(DATEDIF(Imóveis!$Q$2,Dados!$A594,"m")),0))=0,0,((Imóveis!$N$2/Imóveis!$S$2)+((Imóveis!$N$2-((Imóveis!$S$2-(IF(AND(Dados!$A594&gt;=Imóveis!$Q$2,Dados!$A594&lt;=Imóveis!$T$2),Imóveis!$S$2-(DATEDIF(Imóveis!$Q$2,Dados!$A594,"m")),)))*(Imóveis!$N$2/Imóveis!$S$2)))*Imóveis!$P$2))))*IF(AND(Imóveis!$E$2&gt;0,Dados!$A594&gt;Imóveis!$E$2),0,1)</f>
        <v>0</v>
      </c>
      <c r="J594" s="18">
        <f>IF(Imóveis!$F$3="PRICE",IF(AND(Dados!$A594&gt;=Imóveis!$Q$3,Dados!$A594&lt;=Imóveis!$T$3),Imóveis!$U$3,0),IF((IF(AND(Dados!$A594&gt;=Imóveis!$Q$3,Dados!$A594&lt;=Imóveis!$T$3),Imóveis!$S$3-(DATEDIF(Imóveis!$Q$3,Dados!$A594,"m")),0))=0,0,((Imóveis!$N$3/Imóveis!$S$3)+((Imóveis!$N$3-((Imóveis!$S$3-(IF(AND(Dados!$A594&gt;=Imóveis!$Q$3,Dados!$A594&lt;=Imóveis!$T$3),Imóveis!$S$3-(DATEDIF(Imóveis!$Q$3,Dados!$A594,"m")),)))*(Imóveis!$N$3/Imóveis!$S$3)))*Imóveis!$P$3))))*IF(AND(Imóveis!$E$3&gt;0,Dados!$A594&gt;Imóveis!$E$3),0,1)</f>
        <v>0</v>
      </c>
      <c r="K594" s="18">
        <f>IF(Imóveis!$F$4="PRICE",IF(AND(Dados!$A594&gt;=Imóveis!$Q$4,Dados!$A594&lt;=Imóveis!$T$4),Imóveis!$U$4,0),IF((IF(AND(Dados!$A594&gt;=Imóveis!$Q$4,Dados!$A594&lt;=Imóveis!$T$4),Imóveis!$S$4-(DATEDIF(Imóveis!$Q$4,Dados!$A594,"m")),0))=0,0,((Imóveis!$N$4/Imóveis!$S$4)+((Imóveis!$N$4-((Imóveis!$S$4-(IF(AND(Dados!$A594&gt;=Imóveis!$Q$4,Dados!$A594&lt;=Imóveis!$T$4),Imóveis!$S$4-(DATEDIF(Imóveis!$Q$4,Dados!$A594,"m")),)))*(Imóveis!$N$4/Imóveis!$S$4)))*Imóveis!$P$4))))*IF(AND(Imóveis!$E$4&gt;0,Dados!$A594&gt;Imóveis!$E$4),0,1)</f>
        <v>0</v>
      </c>
      <c r="L594" s="18">
        <f>IF(Imóveis!$F$5="PRICE",IF(AND(Dados!$A594&gt;=Imóveis!$Q$5,Dados!$A594&lt;=Imóveis!$T$5),Imóveis!$U$5,0),IF((IF(AND(Dados!$A594&gt;=Imóveis!$Q$5,Dados!$A594&lt;=Imóveis!$T$5),Imóveis!$S$5-(DATEDIF(Imóveis!$Q$5,Dados!$A594,"m")),0))=0,0,((Imóveis!$N$5/Imóveis!$S$5)+((Imóveis!$N$5-((Imóveis!$S$5-(IF(AND(Dados!$A594 &gt;=Imóveis!$Q$5,Dados!$A594&lt;=Imóveis!$T$5),Imóveis!$S$5-(DATEDIF(Imóveis!$Q$5,Dados!$A594,"m")),)))*(Imóveis!$N$5/Imóveis!$S$5)))*Imóveis!$P$5))))*IF(AND(Imóveis!$E$5&gt;0,Dados!$A594&gt;Imóveis!$E$5),0,1)*Imóveis!$I$5</f>
        <v>0</v>
      </c>
      <c r="M594" s="18">
        <f>IF(Imóveis!$F$6="PRICE",IF(AND(Dados!$A594&gt;=Imóveis!$Q$6,Dados!$A594&lt;=Imóveis!$T$6),Imóveis!$U$6,0),IF((IF(AND(Dados!$A594&gt;=Imóveis!$Q$6,Dados!$A594&lt;=Imóveis!$T$6),Imóveis!$S$6-(DATEDIF(Imóveis!$Q$6,Dados!$A594,"m")),0))=0,0,((Imóveis!$N$6/Imóveis!$S$6)+((Imóveis!$N$6-((Imóveis!$S$6-(IF(AND(Dados!$A594&gt;=Imóveis!$Q$6,Dados!$A594&lt;=Imóveis!$T$6),Imóveis!$S$6-(DATEDIF(Imóveis!$Q$6,Dados!$A594,"m")),)))*(Imóveis!$N$6/Imóveis!$S$6)))*Imóveis!$P$6))))*IF(AND(Imóveis!$E$6&gt;0,Dados!$A594&gt;Imóveis!$E$6),0,1)*Imóveis!$I$6</f>
        <v>0</v>
      </c>
      <c r="N594" s="18">
        <f t="shared" si="77"/>
        <v>37000</v>
      </c>
      <c r="O594" s="18">
        <f>SUMIFS(Receitas!$F:$F,Receitas!$J:$J,"&lt;="&amp;$A594,Receitas!$L:$L,"&gt;="&amp;$A594,Receitas!$C:$C,O$1,Receitas!$M:$M,"Mensal")+SUMIFS(Receitas!$F:$F,Receitas!$J:$J,"&lt;="&amp;$A594,Receitas!$L:$L,"&gt;="&amp;$A594,Receitas!$C:$C,O$1,Receitas!$M:$M,$B594)</f>
        <v>0</v>
      </c>
      <c r="P594" s="18">
        <f>SUMIFS(Receitas!$F:$F,Receitas!$J:$J,"&lt;="&amp;$A594,Receitas!$L:$L,"&gt;="&amp;$A594,Receitas!$C:$C,P$1,Receitas!$M:$M,"Mensal")+SUMIFS(Receitas!$F:$F,Receitas!$J:$J,"&lt;="&amp;$A594,Receitas!$L:$L,"&gt;="&amp;$A594,Receitas!$C:$C,P$1,Receitas!$M:$M,$B594)</f>
        <v>0</v>
      </c>
      <c r="Q594" s="18">
        <f>SUMIFS(Receitas!$F:$F,Receitas!$J:$J,"&lt;="&amp;$A594,Receitas!$L:$L,"&gt;="&amp;$A594,Receitas!$C:$C,Q$1,Receitas!$M:$M,"Mensal")+SUMIFS(Receitas!$F:$F,Receitas!$J:$J,"&lt;="&amp;$A594,Receitas!$L:$L,"&gt;="&amp;$A594,Receitas!$C:$C,Q$1,Receitas!$M:$M,$B594)</f>
        <v>0</v>
      </c>
      <c r="R594" s="18" cm="1">
        <f t="array" ref="R594">(IF(AND(Membros!$F$2="Sim",A594&lt;=MAX(Membros!$E$2:$E$5)),Membros!K$2,IF(AND(A594&gt;=Membros!J$2,A594&lt;=MAX(Membros!$E$2:$E$5)),Membros!K$2,0))+IF(AND(Membros!$F$3="Sim",A594&lt;=MAX(Membros!$E$2:$E$5)),Membros!K$3,IF(AND(A594&gt;=Membros!J$3,A594&lt;=MAX(Membros!$E$2:$E$5)),Membros!K$3,0)))*IF(AND(COUNTIFS(Tabela3[Tipo],"Provedor",Tabela3[Simulação Seguro],"Sim")=2,A594&gt;=MAX(IF(Tabela3[Tipo]="Dependente",Tabela3[Expectativa de Vida (Data)]))),0,1)</f>
        <v>10000</v>
      </c>
      <c r="S594" s="18">
        <f t="shared" si="78"/>
        <v>10000</v>
      </c>
      <c r="U594" s="18">
        <f t="shared" ca="1" si="81"/>
        <v>39118237.128001563</v>
      </c>
      <c r="V594" s="18">
        <f>SUMIF(Imóveis!E:E,Dados!A:A,Imóveis!Z:Z)-SUMIF(Imóveis!E:E,Dados!A:A,Imóveis!Y:Y)</f>
        <v>0</v>
      </c>
      <c r="W594" s="18">
        <f>-SUMIF(Projetos!N:N,A594,Projetos!F:F)</f>
        <v>0</v>
      </c>
      <c r="X594" s="18">
        <f t="shared" si="75"/>
        <v>-27000</v>
      </c>
      <c r="Y594" s="26">
        <f ca="1">(U594*((Indicadores_Economicos!D$2+1)^(1/12)-1))</f>
        <v>128062.92909542932</v>
      </c>
      <c r="Z594" s="18">
        <f t="shared" ca="1" si="79"/>
        <v>39219300.057096995</v>
      </c>
      <c r="AA594" s="18">
        <f ca="1">Auxiliar_Projetos!E594</f>
        <v>2.7071170050762506E-9</v>
      </c>
      <c r="AB594" s="18">
        <f ca="1">Auxiliar_Projetos!K594</f>
        <v>2.0823976962124978E-9</v>
      </c>
      <c r="AC594" s="18">
        <f ca="1">IF(Z594-AA594-AB594&gt;Investimentos!$C$14,Investimentos!$C$14,IF(Z594-AA594-AB594&lt;Investimentos!$C$14,Z594-AA594-AB594,0))</f>
        <v>300000</v>
      </c>
      <c r="AD594" s="18">
        <f t="shared" ca="1" si="80"/>
        <v>38919300.057096995</v>
      </c>
      <c r="AE594" s="18"/>
    </row>
    <row r="595" spans="1:31" x14ac:dyDescent="0.2">
      <c r="A595" s="4">
        <v>63706</v>
      </c>
      <c r="B595" s="5" t="str">
        <f t="shared" si="76"/>
        <v>junho</v>
      </c>
      <c r="C595" s="5" t="str">
        <f t="shared" si="74"/>
        <v>2074</v>
      </c>
      <c r="D595" s="5">
        <f>SUMIFS(Despesas!$F:$F,Despesas!$J:$J,"&lt;="&amp;$A595,Despesas!$L:$L,"&gt;="&amp;$A595,Despesas!$C:$C,D$1,Despesas!$M:$M,"Mensal")+SUMIFS(Despesas!$F:$F,Despesas!$J:$J,"&lt;="&amp;$A595,Despesas!$L:$L,"&gt;="&amp;$A595,Despesas!$C:$C,D$1,Despesas!$M:$M,$B595)</f>
        <v>23000</v>
      </c>
      <c r="E595" s="18">
        <f>SUMIFS(Despesas!$F:$F,Despesas!$J:$J,"&lt;="&amp;$A595,Despesas!$L:$L,"&gt;="&amp;$A595,Despesas!$C:$C,E$1,Despesas!$M:$M,"Mensal")+SUMIFS(Despesas!$F:$F,Despesas!$J:$J,"&lt;="&amp;$A595,Despesas!$L:$L,"&gt;="&amp;$A595,Despesas!$C:$C,E$1,Despesas!$M:$M,$B595)</f>
        <v>0</v>
      </c>
      <c r="F595" s="5">
        <f>SUMIFS(Despesas!$F:$F,Despesas!$J:$J,"&lt;="&amp;$A595,Despesas!$L:$L,"&gt;="&amp;$A595,Despesas!$C:$C,F$1,Despesas!$M:$M,"Mensal")+SUMIFS(Despesas!$F:$F,Despesas!$J:$J,"&lt;="&amp;$A595,Despesas!$L:$L,"&gt;="&amp;$A595,Despesas!$C:$C,F$1,Despesas!$M:$M,$B595)</f>
        <v>13000</v>
      </c>
      <c r="G595" s="5">
        <f>SUMIFS(Despesas!$F:$F,Despesas!$J:$J,"&lt;="&amp;$A595,Despesas!$L:$L,"&gt;="&amp;$A595,Despesas!$C:$C,G$1,Despesas!$M:$M,"Mensal")+SUMIFS(Despesas!$F:$F,Despesas!$J:$J,"&lt;="&amp;$A595,Despesas!$L:$L,"&gt;="&amp;$A595,Despesas!$C:$C,G$1,Despesas!$M:$M,$B595)</f>
        <v>0</v>
      </c>
      <c r="H595" s="18">
        <f>SUMIFS(Despesas!$F:$F,Despesas!$J:$J,"&lt;="&amp;$A595,Despesas!$L:$L,"&gt;="&amp;$A595,Despesas!$C:$C,H$1,Despesas!$M:$M,"Mensal")+SUMIFS(Despesas!$F:$F,Despesas!$J:$J,"&lt;="&amp;$A595,Despesas!$L:$L,"&gt;="&amp;$A595,Despesas!$C:$C,H$1,Despesas!$M:$M,$B595)</f>
        <v>1000</v>
      </c>
      <c r="I595" s="18">
        <f>IF(Imóveis!$F$2="PRICE",IF(AND(Dados!$A595&gt;=Imóveis!$Q$2,Dados!$A595&lt;=Imóveis!$T$2),Imóveis!$U$2,0),IF((IF(AND(Dados!$A595&gt;=Imóveis!$Q$2,Dados!$A595&lt;=Imóveis!$T$2),Imóveis!$S$2-(DATEDIF(Imóveis!$Q$2,Dados!$A595,"m")),0))=0,0,((Imóveis!$N$2/Imóveis!$S$2)+((Imóveis!$N$2-((Imóveis!$S$2-(IF(AND(Dados!$A595&gt;=Imóveis!$Q$2,Dados!$A595&lt;=Imóveis!$T$2),Imóveis!$S$2-(DATEDIF(Imóveis!$Q$2,Dados!$A595,"m")),)))*(Imóveis!$N$2/Imóveis!$S$2)))*Imóveis!$P$2))))*IF(AND(Imóveis!$E$2&gt;0,Dados!$A595&gt;Imóveis!$E$2),0,1)</f>
        <v>0</v>
      </c>
      <c r="J595" s="18">
        <f>IF(Imóveis!$F$3="PRICE",IF(AND(Dados!$A595&gt;=Imóveis!$Q$3,Dados!$A595&lt;=Imóveis!$T$3),Imóveis!$U$3,0),IF((IF(AND(Dados!$A595&gt;=Imóveis!$Q$3,Dados!$A595&lt;=Imóveis!$T$3),Imóveis!$S$3-(DATEDIF(Imóveis!$Q$3,Dados!$A595,"m")),0))=0,0,((Imóveis!$N$3/Imóveis!$S$3)+((Imóveis!$N$3-((Imóveis!$S$3-(IF(AND(Dados!$A595&gt;=Imóveis!$Q$3,Dados!$A595&lt;=Imóveis!$T$3),Imóveis!$S$3-(DATEDIF(Imóveis!$Q$3,Dados!$A595,"m")),)))*(Imóveis!$N$3/Imóveis!$S$3)))*Imóveis!$P$3))))*IF(AND(Imóveis!$E$3&gt;0,Dados!$A595&gt;Imóveis!$E$3),0,1)</f>
        <v>0</v>
      </c>
      <c r="K595" s="18">
        <f>IF(Imóveis!$F$4="PRICE",IF(AND(Dados!$A595&gt;=Imóveis!$Q$4,Dados!$A595&lt;=Imóveis!$T$4),Imóveis!$U$4,0),IF((IF(AND(Dados!$A595&gt;=Imóveis!$Q$4,Dados!$A595&lt;=Imóveis!$T$4),Imóveis!$S$4-(DATEDIF(Imóveis!$Q$4,Dados!$A595,"m")),0))=0,0,((Imóveis!$N$4/Imóveis!$S$4)+((Imóveis!$N$4-((Imóveis!$S$4-(IF(AND(Dados!$A595&gt;=Imóveis!$Q$4,Dados!$A595&lt;=Imóveis!$T$4),Imóveis!$S$4-(DATEDIF(Imóveis!$Q$4,Dados!$A595,"m")),)))*(Imóveis!$N$4/Imóveis!$S$4)))*Imóveis!$P$4))))*IF(AND(Imóveis!$E$4&gt;0,Dados!$A595&gt;Imóveis!$E$4),0,1)</f>
        <v>0</v>
      </c>
      <c r="L595" s="18">
        <f>IF(Imóveis!$F$5="PRICE",IF(AND(Dados!$A595&gt;=Imóveis!$Q$5,Dados!$A595&lt;=Imóveis!$T$5),Imóveis!$U$5,0),IF((IF(AND(Dados!$A595&gt;=Imóveis!$Q$5,Dados!$A595&lt;=Imóveis!$T$5),Imóveis!$S$5-(DATEDIF(Imóveis!$Q$5,Dados!$A595,"m")),0))=0,0,((Imóveis!$N$5/Imóveis!$S$5)+((Imóveis!$N$5-((Imóveis!$S$5-(IF(AND(Dados!$A595 &gt;=Imóveis!$Q$5,Dados!$A595&lt;=Imóveis!$T$5),Imóveis!$S$5-(DATEDIF(Imóveis!$Q$5,Dados!$A595,"m")),)))*(Imóveis!$N$5/Imóveis!$S$5)))*Imóveis!$P$5))))*IF(AND(Imóveis!$E$5&gt;0,Dados!$A595&gt;Imóveis!$E$5),0,1)*Imóveis!$I$5</f>
        <v>0</v>
      </c>
      <c r="M595" s="18">
        <f>IF(Imóveis!$F$6="PRICE",IF(AND(Dados!$A595&gt;=Imóveis!$Q$6,Dados!$A595&lt;=Imóveis!$T$6),Imóveis!$U$6,0),IF((IF(AND(Dados!$A595&gt;=Imóveis!$Q$6,Dados!$A595&lt;=Imóveis!$T$6),Imóveis!$S$6-(DATEDIF(Imóveis!$Q$6,Dados!$A595,"m")),0))=0,0,((Imóveis!$N$6/Imóveis!$S$6)+((Imóveis!$N$6-((Imóveis!$S$6-(IF(AND(Dados!$A595&gt;=Imóveis!$Q$6,Dados!$A595&lt;=Imóveis!$T$6),Imóveis!$S$6-(DATEDIF(Imóveis!$Q$6,Dados!$A595,"m")),)))*(Imóveis!$N$6/Imóveis!$S$6)))*Imóveis!$P$6))))*IF(AND(Imóveis!$E$6&gt;0,Dados!$A595&gt;Imóveis!$E$6),0,1)*Imóveis!$I$6</f>
        <v>0</v>
      </c>
      <c r="N595" s="18">
        <f t="shared" si="77"/>
        <v>37000</v>
      </c>
      <c r="O595" s="18">
        <f>SUMIFS(Receitas!$F:$F,Receitas!$J:$J,"&lt;="&amp;$A595,Receitas!$L:$L,"&gt;="&amp;$A595,Receitas!$C:$C,O$1,Receitas!$M:$M,"Mensal")+SUMIFS(Receitas!$F:$F,Receitas!$J:$J,"&lt;="&amp;$A595,Receitas!$L:$L,"&gt;="&amp;$A595,Receitas!$C:$C,O$1,Receitas!$M:$M,$B595)</f>
        <v>0</v>
      </c>
      <c r="P595" s="18">
        <f>SUMIFS(Receitas!$F:$F,Receitas!$J:$J,"&lt;="&amp;$A595,Receitas!$L:$L,"&gt;="&amp;$A595,Receitas!$C:$C,P$1,Receitas!$M:$M,"Mensal")+SUMIFS(Receitas!$F:$F,Receitas!$J:$J,"&lt;="&amp;$A595,Receitas!$L:$L,"&gt;="&amp;$A595,Receitas!$C:$C,P$1,Receitas!$M:$M,$B595)</f>
        <v>0</v>
      </c>
      <c r="Q595" s="18">
        <f>SUMIFS(Receitas!$F:$F,Receitas!$J:$J,"&lt;="&amp;$A595,Receitas!$L:$L,"&gt;="&amp;$A595,Receitas!$C:$C,Q$1,Receitas!$M:$M,"Mensal")+SUMIFS(Receitas!$F:$F,Receitas!$J:$J,"&lt;="&amp;$A595,Receitas!$L:$L,"&gt;="&amp;$A595,Receitas!$C:$C,Q$1,Receitas!$M:$M,$B595)</f>
        <v>0</v>
      </c>
      <c r="R595" s="18" cm="1">
        <f t="array" ref="R595">(IF(AND(Membros!$F$2="Sim",A595&lt;=MAX(Membros!$E$2:$E$5)),Membros!K$2,IF(AND(A595&gt;=Membros!J$2,A595&lt;=MAX(Membros!$E$2:$E$5)),Membros!K$2,0))+IF(AND(Membros!$F$3="Sim",A595&lt;=MAX(Membros!$E$2:$E$5)),Membros!K$3,IF(AND(A595&gt;=Membros!J$3,A595&lt;=MAX(Membros!$E$2:$E$5)),Membros!K$3,0)))*IF(AND(COUNTIFS(Tabela3[Tipo],"Provedor",Tabela3[Simulação Seguro],"Sim")=2,A595&gt;=MAX(IF(Tabela3[Tipo]="Dependente",Tabela3[Expectativa de Vida (Data)]))),0,1)</f>
        <v>10000</v>
      </c>
      <c r="S595" s="18">
        <f t="shared" si="78"/>
        <v>10000</v>
      </c>
      <c r="U595" s="18">
        <f t="shared" ca="1" si="81"/>
        <v>39219300.057096995</v>
      </c>
      <c r="V595" s="18">
        <f>SUMIF(Imóveis!E:E,Dados!A:A,Imóveis!Z:Z)-SUMIF(Imóveis!E:E,Dados!A:A,Imóveis!Y:Y)</f>
        <v>0</v>
      </c>
      <c r="W595" s="18">
        <f>-SUMIF(Projetos!N:N,A595,Projetos!F:F)</f>
        <v>0</v>
      </c>
      <c r="X595" s="18">
        <f t="shared" si="75"/>
        <v>-27000</v>
      </c>
      <c r="Y595" s="26">
        <f ca="1">(U595*((Indicadores_Economicos!D$2+1)^(1/12)-1))</f>
        <v>128393.7828269146</v>
      </c>
      <c r="Z595" s="18">
        <f t="shared" ca="1" si="79"/>
        <v>39320693.839923911</v>
      </c>
      <c r="AA595" s="18">
        <f ca="1">Auxiliar_Projetos!E595</f>
        <v>2.7159794017108359E-9</v>
      </c>
      <c r="AB595" s="18">
        <f ca="1">Auxiliar_Projetos!K595</f>
        <v>2.0892149243929478E-9</v>
      </c>
      <c r="AC595" s="18">
        <f ca="1">IF(Z595-AA595-AB595&gt;Investimentos!$C$14,Investimentos!$C$14,IF(Z595-AA595-AB595&lt;Investimentos!$C$14,Z595-AA595-AB595,0))</f>
        <v>300000</v>
      </c>
      <c r="AD595" s="18">
        <f t="shared" ca="1" si="80"/>
        <v>39020693.839923911</v>
      </c>
      <c r="AE595" s="18"/>
    </row>
    <row r="596" spans="1:31" x14ac:dyDescent="0.2">
      <c r="A596" s="4">
        <v>63736</v>
      </c>
      <c r="B596" s="5" t="str">
        <f t="shared" si="76"/>
        <v>julho</v>
      </c>
      <c r="C596" s="5" t="str">
        <f t="shared" si="74"/>
        <v>2074</v>
      </c>
      <c r="D596" s="5">
        <f>SUMIFS(Despesas!$F:$F,Despesas!$J:$J,"&lt;="&amp;$A596,Despesas!$L:$L,"&gt;="&amp;$A596,Despesas!$C:$C,D$1,Despesas!$M:$M,"Mensal")+SUMIFS(Despesas!$F:$F,Despesas!$J:$J,"&lt;="&amp;$A596,Despesas!$L:$L,"&gt;="&amp;$A596,Despesas!$C:$C,D$1,Despesas!$M:$M,$B596)</f>
        <v>23000</v>
      </c>
      <c r="E596" s="18">
        <f>SUMIFS(Despesas!$F:$F,Despesas!$J:$J,"&lt;="&amp;$A596,Despesas!$L:$L,"&gt;="&amp;$A596,Despesas!$C:$C,E$1,Despesas!$M:$M,"Mensal")+SUMIFS(Despesas!$F:$F,Despesas!$J:$J,"&lt;="&amp;$A596,Despesas!$L:$L,"&gt;="&amp;$A596,Despesas!$C:$C,E$1,Despesas!$M:$M,$B596)</f>
        <v>0</v>
      </c>
      <c r="F596" s="5">
        <f>SUMIFS(Despesas!$F:$F,Despesas!$J:$J,"&lt;="&amp;$A596,Despesas!$L:$L,"&gt;="&amp;$A596,Despesas!$C:$C,F$1,Despesas!$M:$M,"Mensal")+SUMIFS(Despesas!$F:$F,Despesas!$J:$J,"&lt;="&amp;$A596,Despesas!$L:$L,"&gt;="&amp;$A596,Despesas!$C:$C,F$1,Despesas!$M:$M,$B596)</f>
        <v>13000</v>
      </c>
      <c r="G596" s="5">
        <f ca="1">SUMIFS(Despesas!$F:$F,Despesas!$J:$J,"&lt;="&amp;$A596,Despesas!$L:$L,"&gt;="&amp;$A596,Despesas!$C:$C,G$1,Despesas!$M:$M,"Mensal")+SUMIFS(Despesas!$F:$F,Despesas!$J:$J,"&lt;="&amp;$A596,Despesas!$L:$L,"&gt;="&amp;$A596,Despesas!$C:$C,G$1,Despesas!$M:$M,$B596)</f>
        <v>55757</v>
      </c>
      <c r="H596" s="18">
        <f>SUMIFS(Despesas!$F:$F,Despesas!$J:$J,"&lt;="&amp;$A596,Despesas!$L:$L,"&gt;="&amp;$A596,Despesas!$C:$C,H$1,Despesas!$M:$M,"Mensal")+SUMIFS(Despesas!$F:$F,Despesas!$J:$J,"&lt;="&amp;$A596,Despesas!$L:$L,"&gt;="&amp;$A596,Despesas!$C:$C,H$1,Despesas!$M:$M,$B596)</f>
        <v>1000</v>
      </c>
      <c r="I596" s="18">
        <f>IF(Imóveis!$F$2="PRICE",IF(AND(Dados!$A596&gt;=Imóveis!$Q$2,Dados!$A596&lt;=Imóveis!$T$2),Imóveis!$U$2,0),IF((IF(AND(Dados!$A596&gt;=Imóveis!$Q$2,Dados!$A596&lt;=Imóveis!$T$2),Imóveis!$S$2-(DATEDIF(Imóveis!$Q$2,Dados!$A596,"m")),0))=0,0,((Imóveis!$N$2/Imóveis!$S$2)+((Imóveis!$N$2-((Imóveis!$S$2-(IF(AND(Dados!$A596&gt;=Imóveis!$Q$2,Dados!$A596&lt;=Imóveis!$T$2),Imóveis!$S$2-(DATEDIF(Imóveis!$Q$2,Dados!$A596,"m")),)))*(Imóveis!$N$2/Imóveis!$S$2)))*Imóveis!$P$2))))*IF(AND(Imóveis!$E$2&gt;0,Dados!$A596&gt;Imóveis!$E$2),0,1)</f>
        <v>0</v>
      </c>
      <c r="J596" s="18">
        <f>IF(Imóveis!$F$3="PRICE",IF(AND(Dados!$A596&gt;=Imóveis!$Q$3,Dados!$A596&lt;=Imóveis!$T$3),Imóveis!$U$3,0),IF((IF(AND(Dados!$A596&gt;=Imóveis!$Q$3,Dados!$A596&lt;=Imóveis!$T$3),Imóveis!$S$3-(DATEDIF(Imóveis!$Q$3,Dados!$A596,"m")),0))=0,0,((Imóveis!$N$3/Imóveis!$S$3)+((Imóveis!$N$3-((Imóveis!$S$3-(IF(AND(Dados!$A596&gt;=Imóveis!$Q$3,Dados!$A596&lt;=Imóveis!$T$3),Imóveis!$S$3-(DATEDIF(Imóveis!$Q$3,Dados!$A596,"m")),)))*(Imóveis!$N$3/Imóveis!$S$3)))*Imóveis!$P$3))))*IF(AND(Imóveis!$E$3&gt;0,Dados!$A596&gt;Imóveis!$E$3),0,1)</f>
        <v>0</v>
      </c>
      <c r="K596" s="18">
        <f>IF(Imóveis!$F$4="PRICE",IF(AND(Dados!$A596&gt;=Imóveis!$Q$4,Dados!$A596&lt;=Imóveis!$T$4),Imóveis!$U$4,0),IF((IF(AND(Dados!$A596&gt;=Imóveis!$Q$4,Dados!$A596&lt;=Imóveis!$T$4),Imóveis!$S$4-(DATEDIF(Imóveis!$Q$4,Dados!$A596,"m")),0))=0,0,((Imóveis!$N$4/Imóveis!$S$4)+((Imóveis!$N$4-((Imóveis!$S$4-(IF(AND(Dados!$A596&gt;=Imóveis!$Q$4,Dados!$A596&lt;=Imóveis!$T$4),Imóveis!$S$4-(DATEDIF(Imóveis!$Q$4,Dados!$A596,"m")),)))*(Imóveis!$N$4/Imóveis!$S$4)))*Imóveis!$P$4))))*IF(AND(Imóveis!$E$4&gt;0,Dados!$A596&gt;Imóveis!$E$4),0,1)</f>
        <v>0</v>
      </c>
      <c r="L596" s="18">
        <f>IF(Imóveis!$F$5="PRICE",IF(AND(Dados!$A596&gt;=Imóveis!$Q$5,Dados!$A596&lt;=Imóveis!$T$5),Imóveis!$U$5,0),IF((IF(AND(Dados!$A596&gt;=Imóveis!$Q$5,Dados!$A596&lt;=Imóveis!$T$5),Imóveis!$S$5-(DATEDIF(Imóveis!$Q$5,Dados!$A596,"m")),0))=0,0,((Imóveis!$N$5/Imóveis!$S$5)+((Imóveis!$N$5-((Imóveis!$S$5-(IF(AND(Dados!$A596 &gt;=Imóveis!$Q$5,Dados!$A596&lt;=Imóveis!$T$5),Imóveis!$S$5-(DATEDIF(Imóveis!$Q$5,Dados!$A596,"m")),)))*(Imóveis!$N$5/Imóveis!$S$5)))*Imóveis!$P$5))))*IF(AND(Imóveis!$E$5&gt;0,Dados!$A596&gt;Imóveis!$E$5),0,1)*Imóveis!$I$5</f>
        <v>0</v>
      </c>
      <c r="M596" s="18">
        <f>IF(Imóveis!$F$6="PRICE",IF(AND(Dados!$A596&gt;=Imóveis!$Q$6,Dados!$A596&lt;=Imóveis!$T$6),Imóveis!$U$6,0),IF((IF(AND(Dados!$A596&gt;=Imóveis!$Q$6,Dados!$A596&lt;=Imóveis!$T$6),Imóveis!$S$6-(DATEDIF(Imóveis!$Q$6,Dados!$A596,"m")),0))=0,0,((Imóveis!$N$6/Imóveis!$S$6)+((Imóveis!$N$6-((Imóveis!$S$6-(IF(AND(Dados!$A596&gt;=Imóveis!$Q$6,Dados!$A596&lt;=Imóveis!$T$6),Imóveis!$S$6-(DATEDIF(Imóveis!$Q$6,Dados!$A596,"m")),)))*(Imóveis!$N$6/Imóveis!$S$6)))*Imóveis!$P$6))))*IF(AND(Imóveis!$E$6&gt;0,Dados!$A596&gt;Imóveis!$E$6),0,1)*Imóveis!$I$6</f>
        <v>0</v>
      </c>
      <c r="N596" s="18">
        <f t="shared" ca="1" si="77"/>
        <v>92757</v>
      </c>
      <c r="O596" s="18">
        <f>SUMIFS(Receitas!$F:$F,Receitas!$J:$J,"&lt;="&amp;$A596,Receitas!$L:$L,"&gt;="&amp;$A596,Receitas!$C:$C,O$1,Receitas!$M:$M,"Mensal")+SUMIFS(Receitas!$F:$F,Receitas!$J:$J,"&lt;="&amp;$A596,Receitas!$L:$L,"&gt;="&amp;$A596,Receitas!$C:$C,O$1,Receitas!$M:$M,$B596)</f>
        <v>0</v>
      </c>
      <c r="P596" s="18">
        <f>SUMIFS(Receitas!$F:$F,Receitas!$J:$J,"&lt;="&amp;$A596,Receitas!$L:$L,"&gt;="&amp;$A596,Receitas!$C:$C,P$1,Receitas!$M:$M,"Mensal")+SUMIFS(Receitas!$F:$F,Receitas!$J:$J,"&lt;="&amp;$A596,Receitas!$L:$L,"&gt;="&amp;$A596,Receitas!$C:$C,P$1,Receitas!$M:$M,$B596)</f>
        <v>0</v>
      </c>
      <c r="Q596" s="18">
        <f>SUMIFS(Receitas!$F:$F,Receitas!$J:$J,"&lt;="&amp;$A596,Receitas!$L:$L,"&gt;="&amp;$A596,Receitas!$C:$C,Q$1,Receitas!$M:$M,"Mensal")+SUMIFS(Receitas!$F:$F,Receitas!$J:$J,"&lt;="&amp;$A596,Receitas!$L:$L,"&gt;="&amp;$A596,Receitas!$C:$C,Q$1,Receitas!$M:$M,$B596)</f>
        <v>0</v>
      </c>
      <c r="R596" s="18" cm="1">
        <f t="array" ref="R596">(IF(AND(Membros!$F$2="Sim",A596&lt;=MAX(Membros!$E$2:$E$5)),Membros!K$2,IF(AND(A596&gt;=Membros!J$2,A596&lt;=MAX(Membros!$E$2:$E$5)),Membros!K$2,0))+IF(AND(Membros!$F$3="Sim",A596&lt;=MAX(Membros!$E$2:$E$5)),Membros!K$3,IF(AND(A596&gt;=Membros!J$3,A596&lt;=MAX(Membros!$E$2:$E$5)),Membros!K$3,0)))*IF(AND(COUNTIFS(Tabela3[Tipo],"Provedor",Tabela3[Simulação Seguro],"Sim")=2,A596&gt;=MAX(IF(Tabela3[Tipo]="Dependente",Tabela3[Expectativa de Vida (Data)]))),0,1)</f>
        <v>10000</v>
      </c>
      <c r="S596" s="18">
        <f t="shared" si="78"/>
        <v>10000</v>
      </c>
      <c r="U596" s="18">
        <f t="shared" ca="1" si="81"/>
        <v>39320693.839923911</v>
      </c>
      <c r="V596" s="18">
        <f>SUMIF(Imóveis!E:E,Dados!A:A,Imóveis!Z:Z)-SUMIF(Imóveis!E:E,Dados!A:A,Imóveis!Y:Y)</f>
        <v>0</v>
      </c>
      <c r="W596" s="18">
        <f>-SUMIF(Projetos!N:N,A596,Projetos!F:F)</f>
        <v>0</v>
      </c>
      <c r="X596" s="18">
        <f t="shared" ca="1" si="75"/>
        <v>-82757</v>
      </c>
      <c r="Y596" s="26">
        <f ca="1">(U596*((Indicadores_Economicos!D$2+1)^(1/12)-1))</f>
        <v>128725.71968742271</v>
      </c>
      <c r="Z596" s="18">
        <f t="shared" ca="1" si="79"/>
        <v>39366662.559611335</v>
      </c>
      <c r="AA596" s="18">
        <f ca="1">Auxiliar_Projetos!E596</f>
        <v>2.7248708115258496E-9</v>
      </c>
      <c r="AB596" s="18">
        <f ca="1">Auxiliar_Projetos!K596</f>
        <v>2.0960544704044966E-9</v>
      </c>
      <c r="AC596" s="18">
        <f ca="1">IF(Z596-AA596-AB596&gt;Investimentos!$C$14,Investimentos!$C$14,IF(Z596-AA596-AB596&lt;Investimentos!$C$14,Z596-AA596-AB596,0))</f>
        <v>300000</v>
      </c>
      <c r="AD596" s="18">
        <f t="shared" ca="1" si="80"/>
        <v>39066662.559611335</v>
      </c>
      <c r="AE596" s="18"/>
    </row>
    <row r="597" spans="1:31" x14ac:dyDescent="0.2">
      <c r="A597" s="4">
        <v>63767</v>
      </c>
      <c r="B597" s="5" t="str">
        <f t="shared" si="76"/>
        <v>agosto</v>
      </c>
      <c r="C597" s="5" t="str">
        <f t="shared" si="74"/>
        <v>2074</v>
      </c>
      <c r="D597" s="5">
        <f>SUMIFS(Despesas!$F:$F,Despesas!$J:$J,"&lt;="&amp;$A597,Despesas!$L:$L,"&gt;="&amp;$A597,Despesas!$C:$C,D$1,Despesas!$M:$M,"Mensal")+SUMIFS(Despesas!$F:$F,Despesas!$J:$J,"&lt;="&amp;$A597,Despesas!$L:$L,"&gt;="&amp;$A597,Despesas!$C:$C,D$1,Despesas!$M:$M,$B597)</f>
        <v>23000</v>
      </c>
      <c r="E597" s="18">
        <f>SUMIFS(Despesas!$F:$F,Despesas!$J:$J,"&lt;="&amp;$A597,Despesas!$L:$L,"&gt;="&amp;$A597,Despesas!$C:$C,E$1,Despesas!$M:$M,"Mensal")+SUMIFS(Despesas!$F:$F,Despesas!$J:$J,"&lt;="&amp;$A597,Despesas!$L:$L,"&gt;="&amp;$A597,Despesas!$C:$C,E$1,Despesas!$M:$M,$B597)</f>
        <v>0</v>
      </c>
      <c r="F597" s="5">
        <f>SUMIFS(Despesas!$F:$F,Despesas!$J:$J,"&lt;="&amp;$A597,Despesas!$L:$L,"&gt;="&amp;$A597,Despesas!$C:$C,F$1,Despesas!$M:$M,"Mensal")+SUMIFS(Despesas!$F:$F,Despesas!$J:$J,"&lt;="&amp;$A597,Despesas!$L:$L,"&gt;="&amp;$A597,Despesas!$C:$C,F$1,Despesas!$M:$M,$B597)</f>
        <v>13000</v>
      </c>
      <c r="G597" s="5">
        <f>SUMIFS(Despesas!$F:$F,Despesas!$J:$J,"&lt;="&amp;$A597,Despesas!$L:$L,"&gt;="&amp;$A597,Despesas!$C:$C,G$1,Despesas!$M:$M,"Mensal")+SUMIFS(Despesas!$F:$F,Despesas!$J:$J,"&lt;="&amp;$A597,Despesas!$L:$L,"&gt;="&amp;$A597,Despesas!$C:$C,G$1,Despesas!$M:$M,$B597)</f>
        <v>0</v>
      </c>
      <c r="H597" s="18">
        <f>SUMIFS(Despesas!$F:$F,Despesas!$J:$J,"&lt;="&amp;$A597,Despesas!$L:$L,"&gt;="&amp;$A597,Despesas!$C:$C,H$1,Despesas!$M:$M,"Mensal")+SUMIFS(Despesas!$F:$F,Despesas!$J:$J,"&lt;="&amp;$A597,Despesas!$L:$L,"&gt;="&amp;$A597,Despesas!$C:$C,H$1,Despesas!$M:$M,$B597)</f>
        <v>1000</v>
      </c>
      <c r="I597" s="18">
        <f>IF(Imóveis!$F$2="PRICE",IF(AND(Dados!$A597&gt;=Imóveis!$Q$2,Dados!$A597&lt;=Imóveis!$T$2),Imóveis!$U$2,0),IF((IF(AND(Dados!$A597&gt;=Imóveis!$Q$2,Dados!$A597&lt;=Imóveis!$T$2),Imóveis!$S$2-(DATEDIF(Imóveis!$Q$2,Dados!$A597,"m")),0))=0,0,((Imóveis!$N$2/Imóveis!$S$2)+((Imóveis!$N$2-((Imóveis!$S$2-(IF(AND(Dados!$A597&gt;=Imóveis!$Q$2,Dados!$A597&lt;=Imóveis!$T$2),Imóveis!$S$2-(DATEDIF(Imóveis!$Q$2,Dados!$A597,"m")),)))*(Imóveis!$N$2/Imóveis!$S$2)))*Imóveis!$P$2))))*IF(AND(Imóveis!$E$2&gt;0,Dados!$A597&gt;Imóveis!$E$2),0,1)</f>
        <v>0</v>
      </c>
      <c r="J597" s="18">
        <f>IF(Imóveis!$F$3="PRICE",IF(AND(Dados!$A597&gt;=Imóveis!$Q$3,Dados!$A597&lt;=Imóveis!$T$3),Imóveis!$U$3,0),IF((IF(AND(Dados!$A597&gt;=Imóveis!$Q$3,Dados!$A597&lt;=Imóveis!$T$3),Imóveis!$S$3-(DATEDIF(Imóveis!$Q$3,Dados!$A597,"m")),0))=0,0,((Imóveis!$N$3/Imóveis!$S$3)+((Imóveis!$N$3-((Imóveis!$S$3-(IF(AND(Dados!$A597&gt;=Imóveis!$Q$3,Dados!$A597&lt;=Imóveis!$T$3),Imóveis!$S$3-(DATEDIF(Imóveis!$Q$3,Dados!$A597,"m")),)))*(Imóveis!$N$3/Imóveis!$S$3)))*Imóveis!$P$3))))*IF(AND(Imóveis!$E$3&gt;0,Dados!$A597&gt;Imóveis!$E$3),0,1)</f>
        <v>0</v>
      </c>
      <c r="K597" s="18">
        <f>IF(Imóveis!$F$4="PRICE",IF(AND(Dados!$A597&gt;=Imóveis!$Q$4,Dados!$A597&lt;=Imóveis!$T$4),Imóveis!$U$4,0),IF((IF(AND(Dados!$A597&gt;=Imóveis!$Q$4,Dados!$A597&lt;=Imóveis!$T$4),Imóveis!$S$4-(DATEDIF(Imóveis!$Q$4,Dados!$A597,"m")),0))=0,0,((Imóveis!$N$4/Imóveis!$S$4)+((Imóveis!$N$4-((Imóveis!$S$4-(IF(AND(Dados!$A597&gt;=Imóveis!$Q$4,Dados!$A597&lt;=Imóveis!$T$4),Imóveis!$S$4-(DATEDIF(Imóveis!$Q$4,Dados!$A597,"m")),)))*(Imóveis!$N$4/Imóveis!$S$4)))*Imóveis!$P$4))))*IF(AND(Imóveis!$E$4&gt;0,Dados!$A597&gt;Imóveis!$E$4),0,1)</f>
        <v>0</v>
      </c>
      <c r="L597" s="18">
        <f>IF(Imóveis!$F$5="PRICE",IF(AND(Dados!$A597&gt;=Imóveis!$Q$5,Dados!$A597&lt;=Imóveis!$T$5),Imóveis!$U$5,0),IF((IF(AND(Dados!$A597&gt;=Imóveis!$Q$5,Dados!$A597&lt;=Imóveis!$T$5),Imóveis!$S$5-(DATEDIF(Imóveis!$Q$5,Dados!$A597,"m")),0))=0,0,((Imóveis!$N$5/Imóveis!$S$5)+((Imóveis!$N$5-((Imóveis!$S$5-(IF(AND(Dados!$A597 &gt;=Imóveis!$Q$5,Dados!$A597&lt;=Imóveis!$T$5),Imóveis!$S$5-(DATEDIF(Imóveis!$Q$5,Dados!$A597,"m")),)))*(Imóveis!$N$5/Imóveis!$S$5)))*Imóveis!$P$5))))*IF(AND(Imóveis!$E$5&gt;0,Dados!$A597&gt;Imóveis!$E$5),0,1)*Imóveis!$I$5</f>
        <v>0</v>
      </c>
      <c r="M597" s="18">
        <f>IF(Imóveis!$F$6="PRICE",IF(AND(Dados!$A597&gt;=Imóveis!$Q$6,Dados!$A597&lt;=Imóveis!$T$6),Imóveis!$U$6,0),IF((IF(AND(Dados!$A597&gt;=Imóveis!$Q$6,Dados!$A597&lt;=Imóveis!$T$6),Imóveis!$S$6-(DATEDIF(Imóveis!$Q$6,Dados!$A597,"m")),0))=0,0,((Imóveis!$N$6/Imóveis!$S$6)+((Imóveis!$N$6-((Imóveis!$S$6-(IF(AND(Dados!$A597&gt;=Imóveis!$Q$6,Dados!$A597&lt;=Imóveis!$T$6),Imóveis!$S$6-(DATEDIF(Imóveis!$Q$6,Dados!$A597,"m")),)))*(Imóveis!$N$6/Imóveis!$S$6)))*Imóveis!$P$6))))*IF(AND(Imóveis!$E$6&gt;0,Dados!$A597&gt;Imóveis!$E$6),0,1)*Imóveis!$I$6</f>
        <v>0</v>
      </c>
      <c r="N597" s="18">
        <f t="shared" si="77"/>
        <v>37000</v>
      </c>
      <c r="O597" s="18">
        <f>SUMIFS(Receitas!$F:$F,Receitas!$J:$J,"&lt;="&amp;$A597,Receitas!$L:$L,"&gt;="&amp;$A597,Receitas!$C:$C,O$1,Receitas!$M:$M,"Mensal")+SUMIFS(Receitas!$F:$F,Receitas!$J:$J,"&lt;="&amp;$A597,Receitas!$L:$L,"&gt;="&amp;$A597,Receitas!$C:$C,O$1,Receitas!$M:$M,$B597)</f>
        <v>0</v>
      </c>
      <c r="P597" s="18">
        <f>SUMIFS(Receitas!$F:$F,Receitas!$J:$J,"&lt;="&amp;$A597,Receitas!$L:$L,"&gt;="&amp;$A597,Receitas!$C:$C,P$1,Receitas!$M:$M,"Mensal")+SUMIFS(Receitas!$F:$F,Receitas!$J:$J,"&lt;="&amp;$A597,Receitas!$L:$L,"&gt;="&amp;$A597,Receitas!$C:$C,P$1,Receitas!$M:$M,$B597)</f>
        <v>0</v>
      </c>
      <c r="Q597" s="18">
        <f>SUMIFS(Receitas!$F:$F,Receitas!$J:$J,"&lt;="&amp;$A597,Receitas!$L:$L,"&gt;="&amp;$A597,Receitas!$C:$C,Q$1,Receitas!$M:$M,"Mensal")+SUMIFS(Receitas!$F:$F,Receitas!$J:$J,"&lt;="&amp;$A597,Receitas!$L:$L,"&gt;="&amp;$A597,Receitas!$C:$C,Q$1,Receitas!$M:$M,$B597)</f>
        <v>0</v>
      </c>
      <c r="R597" s="18" cm="1">
        <f t="array" ref="R597">(IF(AND(Membros!$F$2="Sim",A597&lt;=MAX(Membros!$E$2:$E$5)),Membros!K$2,IF(AND(A597&gt;=Membros!J$2,A597&lt;=MAX(Membros!$E$2:$E$5)),Membros!K$2,0))+IF(AND(Membros!$F$3="Sim",A597&lt;=MAX(Membros!$E$2:$E$5)),Membros!K$3,IF(AND(A597&gt;=Membros!J$3,A597&lt;=MAX(Membros!$E$2:$E$5)),Membros!K$3,0)))*IF(AND(COUNTIFS(Tabela3[Tipo],"Provedor",Tabela3[Simulação Seguro],"Sim")=2,A597&gt;=MAX(IF(Tabela3[Tipo]="Dependente",Tabela3[Expectativa de Vida (Data)]))),0,1)</f>
        <v>10000</v>
      </c>
      <c r="S597" s="18">
        <f t="shared" si="78"/>
        <v>10000</v>
      </c>
      <c r="U597" s="18">
        <f t="shared" ca="1" si="81"/>
        <v>39366662.559611335</v>
      </c>
      <c r="V597" s="18">
        <f>SUMIF(Imóveis!E:E,Dados!A:A,Imóveis!Z:Z)-SUMIF(Imóveis!E:E,Dados!A:A,Imóveis!Y:Y)</f>
        <v>0</v>
      </c>
      <c r="W597" s="18">
        <f>-SUMIF(Projetos!N:N,A597,Projetos!F:F)</f>
        <v>0</v>
      </c>
      <c r="X597" s="18">
        <f t="shared" si="75"/>
        <v>-27000</v>
      </c>
      <c r="Y597" s="26">
        <f ca="1">(U597*((Indicadores_Economicos!D$2+1)^(1/12)-1))</f>
        <v>128876.20931380018</v>
      </c>
      <c r="Z597" s="18">
        <f t="shared" ca="1" si="79"/>
        <v>39468538.768925138</v>
      </c>
      <c r="AA597" s="18">
        <f ca="1">Auxiliar_Projetos!E597</f>
        <v>2.7337913295028945E-9</v>
      </c>
      <c r="AB597" s="18">
        <f ca="1">Auxiliar_Projetos!K597</f>
        <v>2.1029164073099155E-9</v>
      </c>
      <c r="AC597" s="18">
        <f ca="1">IF(Z597-AA597-AB597&gt;Investimentos!$C$14,Investimentos!$C$14,IF(Z597-AA597-AB597&lt;Investimentos!$C$14,Z597-AA597-AB597,0))</f>
        <v>300000</v>
      </c>
      <c r="AD597" s="18">
        <f t="shared" ca="1" si="80"/>
        <v>39168538.768925138</v>
      </c>
      <c r="AE597" s="18"/>
    </row>
    <row r="598" spans="1:31" x14ac:dyDescent="0.2">
      <c r="A598" s="4">
        <v>63798</v>
      </c>
      <c r="B598" s="5" t="str">
        <f t="shared" si="76"/>
        <v>setembro</v>
      </c>
      <c r="C598" s="5" t="str">
        <f t="shared" si="74"/>
        <v>2074</v>
      </c>
      <c r="D598" s="5">
        <f>SUMIFS(Despesas!$F:$F,Despesas!$J:$J,"&lt;="&amp;$A598,Despesas!$L:$L,"&gt;="&amp;$A598,Despesas!$C:$C,D$1,Despesas!$M:$M,"Mensal")+SUMIFS(Despesas!$F:$F,Despesas!$J:$J,"&lt;="&amp;$A598,Despesas!$L:$L,"&gt;="&amp;$A598,Despesas!$C:$C,D$1,Despesas!$M:$M,$B598)</f>
        <v>23000</v>
      </c>
      <c r="E598" s="18">
        <f>SUMIFS(Despesas!$F:$F,Despesas!$J:$J,"&lt;="&amp;$A598,Despesas!$L:$L,"&gt;="&amp;$A598,Despesas!$C:$C,E$1,Despesas!$M:$M,"Mensal")+SUMIFS(Despesas!$F:$F,Despesas!$J:$J,"&lt;="&amp;$A598,Despesas!$L:$L,"&gt;="&amp;$A598,Despesas!$C:$C,E$1,Despesas!$M:$M,$B598)</f>
        <v>0</v>
      </c>
      <c r="F598" s="5">
        <f>SUMIFS(Despesas!$F:$F,Despesas!$J:$J,"&lt;="&amp;$A598,Despesas!$L:$L,"&gt;="&amp;$A598,Despesas!$C:$C,F$1,Despesas!$M:$M,"Mensal")+SUMIFS(Despesas!$F:$F,Despesas!$J:$J,"&lt;="&amp;$A598,Despesas!$L:$L,"&gt;="&amp;$A598,Despesas!$C:$C,F$1,Despesas!$M:$M,$B598)</f>
        <v>13000</v>
      </c>
      <c r="G598" s="5">
        <f>SUMIFS(Despesas!$F:$F,Despesas!$J:$J,"&lt;="&amp;$A598,Despesas!$L:$L,"&gt;="&amp;$A598,Despesas!$C:$C,G$1,Despesas!$M:$M,"Mensal")+SUMIFS(Despesas!$F:$F,Despesas!$J:$J,"&lt;="&amp;$A598,Despesas!$L:$L,"&gt;="&amp;$A598,Despesas!$C:$C,G$1,Despesas!$M:$M,$B598)</f>
        <v>0</v>
      </c>
      <c r="H598" s="18">
        <f>SUMIFS(Despesas!$F:$F,Despesas!$J:$J,"&lt;="&amp;$A598,Despesas!$L:$L,"&gt;="&amp;$A598,Despesas!$C:$C,H$1,Despesas!$M:$M,"Mensal")+SUMIFS(Despesas!$F:$F,Despesas!$J:$J,"&lt;="&amp;$A598,Despesas!$L:$L,"&gt;="&amp;$A598,Despesas!$C:$C,H$1,Despesas!$M:$M,$B598)</f>
        <v>1000</v>
      </c>
      <c r="I598" s="18">
        <f>IF(Imóveis!$F$2="PRICE",IF(AND(Dados!$A598&gt;=Imóveis!$Q$2,Dados!$A598&lt;=Imóveis!$T$2),Imóveis!$U$2,0),IF((IF(AND(Dados!$A598&gt;=Imóveis!$Q$2,Dados!$A598&lt;=Imóveis!$T$2),Imóveis!$S$2-(DATEDIF(Imóveis!$Q$2,Dados!$A598,"m")),0))=0,0,((Imóveis!$N$2/Imóveis!$S$2)+((Imóveis!$N$2-((Imóveis!$S$2-(IF(AND(Dados!$A598&gt;=Imóveis!$Q$2,Dados!$A598&lt;=Imóveis!$T$2),Imóveis!$S$2-(DATEDIF(Imóveis!$Q$2,Dados!$A598,"m")),)))*(Imóveis!$N$2/Imóveis!$S$2)))*Imóveis!$P$2))))*IF(AND(Imóveis!$E$2&gt;0,Dados!$A598&gt;Imóveis!$E$2),0,1)</f>
        <v>0</v>
      </c>
      <c r="J598" s="18">
        <f>IF(Imóveis!$F$3="PRICE",IF(AND(Dados!$A598&gt;=Imóveis!$Q$3,Dados!$A598&lt;=Imóveis!$T$3),Imóveis!$U$3,0),IF((IF(AND(Dados!$A598&gt;=Imóveis!$Q$3,Dados!$A598&lt;=Imóveis!$T$3),Imóveis!$S$3-(DATEDIF(Imóveis!$Q$3,Dados!$A598,"m")),0))=0,0,((Imóveis!$N$3/Imóveis!$S$3)+((Imóveis!$N$3-((Imóveis!$S$3-(IF(AND(Dados!$A598&gt;=Imóveis!$Q$3,Dados!$A598&lt;=Imóveis!$T$3),Imóveis!$S$3-(DATEDIF(Imóveis!$Q$3,Dados!$A598,"m")),)))*(Imóveis!$N$3/Imóveis!$S$3)))*Imóveis!$P$3))))*IF(AND(Imóveis!$E$3&gt;0,Dados!$A598&gt;Imóveis!$E$3),0,1)</f>
        <v>0</v>
      </c>
      <c r="K598" s="18">
        <f>IF(Imóveis!$F$4="PRICE",IF(AND(Dados!$A598&gt;=Imóveis!$Q$4,Dados!$A598&lt;=Imóveis!$T$4),Imóveis!$U$4,0),IF((IF(AND(Dados!$A598&gt;=Imóveis!$Q$4,Dados!$A598&lt;=Imóveis!$T$4),Imóveis!$S$4-(DATEDIF(Imóveis!$Q$4,Dados!$A598,"m")),0))=0,0,((Imóveis!$N$4/Imóveis!$S$4)+((Imóveis!$N$4-((Imóveis!$S$4-(IF(AND(Dados!$A598&gt;=Imóveis!$Q$4,Dados!$A598&lt;=Imóveis!$T$4),Imóveis!$S$4-(DATEDIF(Imóveis!$Q$4,Dados!$A598,"m")),)))*(Imóveis!$N$4/Imóveis!$S$4)))*Imóveis!$P$4))))*IF(AND(Imóveis!$E$4&gt;0,Dados!$A598&gt;Imóveis!$E$4),0,1)</f>
        <v>0</v>
      </c>
      <c r="L598" s="18">
        <f>IF(Imóveis!$F$5="PRICE",IF(AND(Dados!$A598&gt;=Imóveis!$Q$5,Dados!$A598&lt;=Imóveis!$T$5),Imóveis!$U$5,0),IF((IF(AND(Dados!$A598&gt;=Imóveis!$Q$5,Dados!$A598&lt;=Imóveis!$T$5),Imóveis!$S$5-(DATEDIF(Imóveis!$Q$5,Dados!$A598,"m")),0))=0,0,((Imóveis!$N$5/Imóveis!$S$5)+((Imóveis!$N$5-((Imóveis!$S$5-(IF(AND(Dados!$A598 &gt;=Imóveis!$Q$5,Dados!$A598&lt;=Imóveis!$T$5),Imóveis!$S$5-(DATEDIF(Imóveis!$Q$5,Dados!$A598,"m")),)))*(Imóveis!$N$5/Imóveis!$S$5)))*Imóveis!$P$5))))*IF(AND(Imóveis!$E$5&gt;0,Dados!$A598&gt;Imóveis!$E$5),0,1)*Imóveis!$I$5</f>
        <v>0</v>
      </c>
      <c r="M598" s="18">
        <f>IF(Imóveis!$F$6="PRICE",IF(AND(Dados!$A598&gt;=Imóveis!$Q$6,Dados!$A598&lt;=Imóveis!$T$6),Imóveis!$U$6,0),IF((IF(AND(Dados!$A598&gt;=Imóveis!$Q$6,Dados!$A598&lt;=Imóveis!$T$6),Imóveis!$S$6-(DATEDIF(Imóveis!$Q$6,Dados!$A598,"m")),0))=0,0,((Imóveis!$N$6/Imóveis!$S$6)+((Imóveis!$N$6-((Imóveis!$S$6-(IF(AND(Dados!$A598&gt;=Imóveis!$Q$6,Dados!$A598&lt;=Imóveis!$T$6),Imóveis!$S$6-(DATEDIF(Imóveis!$Q$6,Dados!$A598,"m")),)))*(Imóveis!$N$6/Imóveis!$S$6)))*Imóveis!$P$6))))*IF(AND(Imóveis!$E$6&gt;0,Dados!$A598&gt;Imóveis!$E$6),0,1)*Imóveis!$I$6</f>
        <v>0</v>
      </c>
      <c r="N598" s="18">
        <f t="shared" si="77"/>
        <v>37000</v>
      </c>
      <c r="O598" s="18">
        <f>SUMIFS(Receitas!$F:$F,Receitas!$J:$J,"&lt;="&amp;$A598,Receitas!$L:$L,"&gt;="&amp;$A598,Receitas!$C:$C,O$1,Receitas!$M:$M,"Mensal")+SUMIFS(Receitas!$F:$F,Receitas!$J:$J,"&lt;="&amp;$A598,Receitas!$L:$L,"&gt;="&amp;$A598,Receitas!$C:$C,O$1,Receitas!$M:$M,$B598)</f>
        <v>0</v>
      </c>
      <c r="P598" s="18">
        <f>SUMIFS(Receitas!$F:$F,Receitas!$J:$J,"&lt;="&amp;$A598,Receitas!$L:$L,"&gt;="&amp;$A598,Receitas!$C:$C,P$1,Receitas!$M:$M,"Mensal")+SUMIFS(Receitas!$F:$F,Receitas!$J:$J,"&lt;="&amp;$A598,Receitas!$L:$L,"&gt;="&amp;$A598,Receitas!$C:$C,P$1,Receitas!$M:$M,$B598)</f>
        <v>0</v>
      </c>
      <c r="Q598" s="18">
        <f>SUMIFS(Receitas!$F:$F,Receitas!$J:$J,"&lt;="&amp;$A598,Receitas!$L:$L,"&gt;="&amp;$A598,Receitas!$C:$C,Q$1,Receitas!$M:$M,"Mensal")+SUMIFS(Receitas!$F:$F,Receitas!$J:$J,"&lt;="&amp;$A598,Receitas!$L:$L,"&gt;="&amp;$A598,Receitas!$C:$C,Q$1,Receitas!$M:$M,$B598)</f>
        <v>0</v>
      </c>
      <c r="R598" s="18" cm="1">
        <f t="array" ref="R598">(IF(AND(Membros!$F$2="Sim",A598&lt;=MAX(Membros!$E$2:$E$5)),Membros!K$2,IF(AND(A598&gt;=Membros!J$2,A598&lt;=MAX(Membros!$E$2:$E$5)),Membros!K$2,0))+IF(AND(Membros!$F$3="Sim",A598&lt;=MAX(Membros!$E$2:$E$5)),Membros!K$3,IF(AND(A598&gt;=Membros!J$3,A598&lt;=MAX(Membros!$E$2:$E$5)),Membros!K$3,0)))*IF(AND(COUNTIFS(Tabela3[Tipo],"Provedor",Tabela3[Simulação Seguro],"Sim")=2,A598&gt;=MAX(IF(Tabela3[Tipo]="Dependente",Tabela3[Expectativa de Vida (Data)]))),0,1)</f>
        <v>10000</v>
      </c>
      <c r="S598" s="18">
        <f t="shared" si="78"/>
        <v>10000</v>
      </c>
      <c r="U598" s="18">
        <f t="shared" ca="1" si="81"/>
        <v>39468538.768925138</v>
      </c>
      <c r="V598" s="18">
        <f>SUMIF(Imóveis!E:E,Dados!A:A,Imóveis!Z:Z)-SUMIF(Imóveis!E:E,Dados!A:A,Imóveis!Y:Y)</f>
        <v>0</v>
      </c>
      <c r="W598" s="18">
        <f>-SUMIF(Projetos!N:N,A598,Projetos!F:F)</f>
        <v>0</v>
      </c>
      <c r="X598" s="18">
        <f t="shared" si="75"/>
        <v>-27000</v>
      </c>
      <c r="Y598" s="26">
        <f ca="1">(U598*((Indicadores_Economicos!D$2+1)^(1/12)-1))</f>
        <v>129209.72551309039</v>
      </c>
      <c r="Z598" s="18">
        <f t="shared" ca="1" si="79"/>
        <v>39570748.494438231</v>
      </c>
      <c r="AA598" s="18">
        <f ca="1">Auxiliar_Projetos!E598</f>
        <v>2.7427410509345188E-9</v>
      </c>
      <c r="AB598" s="18">
        <f ca="1">Auxiliar_Projetos!K598</f>
        <v>2.1098008084111647E-9</v>
      </c>
      <c r="AC598" s="18">
        <f ca="1">IF(Z598-AA598-AB598&gt;Investimentos!$C$14,Investimentos!$C$14,IF(Z598-AA598-AB598&lt;Investimentos!$C$14,Z598-AA598-AB598,0))</f>
        <v>300000</v>
      </c>
      <c r="AD598" s="18">
        <f t="shared" ca="1" si="80"/>
        <v>39270748.494438231</v>
      </c>
      <c r="AE598" s="18"/>
    </row>
    <row r="599" spans="1:31" x14ac:dyDescent="0.2">
      <c r="A599" s="4">
        <v>63828</v>
      </c>
      <c r="B599" s="5" t="str">
        <f t="shared" si="76"/>
        <v>outubro</v>
      </c>
      <c r="C599" s="5" t="str">
        <f t="shared" si="74"/>
        <v>2074</v>
      </c>
      <c r="D599" s="5">
        <f>SUMIFS(Despesas!$F:$F,Despesas!$J:$J,"&lt;="&amp;$A599,Despesas!$L:$L,"&gt;="&amp;$A599,Despesas!$C:$C,D$1,Despesas!$M:$M,"Mensal")+SUMIFS(Despesas!$F:$F,Despesas!$J:$J,"&lt;="&amp;$A599,Despesas!$L:$L,"&gt;="&amp;$A599,Despesas!$C:$C,D$1,Despesas!$M:$M,$B599)</f>
        <v>23000</v>
      </c>
      <c r="E599" s="18">
        <f>SUMIFS(Despesas!$F:$F,Despesas!$J:$J,"&lt;="&amp;$A599,Despesas!$L:$L,"&gt;="&amp;$A599,Despesas!$C:$C,E$1,Despesas!$M:$M,"Mensal")+SUMIFS(Despesas!$F:$F,Despesas!$J:$J,"&lt;="&amp;$A599,Despesas!$L:$L,"&gt;="&amp;$A599,Despesas!$C:$C,E$1,Despesas!$M:$M,$B599)</f>
        <v>0</v>
      </c>
      <c r="F599" s="5">
        <f>SUMIFS(Despesas!$F:$F,Despesas!$J:$J,"&lt;="&amp;$A599,Despesas!$L:$L,"&gt;="&amp;$A599,Despesas!$C:$C,F$1,Despesas!$M:$M,"Mensal")+SUMIFS(Despesas!$F:$F,Despesas!$J:$J,"&lt;="&amp;$A599,Despesas!$L:$L,"&gt;="&amp;$A599,Despesas!$C:$C,F$1,Despesas!$M:$M,$B599)</f>
        <v>13000</v>
      </c>
      <c r="G599" s="5">
        <f>SUMIFS(Despesas!$F:$F,Despesas!$J:$J,"&lt;="&amp;$A599,Despesas!$L:$L,"&gt;="&amp;$A599,Despesas!$C:$C,G$1,Despesas!$M:$M,"Mensal")+SUMIFS(Despesas!$F:$F,Despesas!$J:$J,"&lt;="&amp;$A599,Despesas!$L:$L,"&gt;="&amp;$A599,Despesas!$C:$C,G$1,Despesas!$M:$M,$B599)</f>
        <v>0</v>
      </c>
      <c r="H599" s="18">
        <f>SUMIFS(Despesas!$F:$F,Despesas!$J:$J,"&lt;="&amp;$A599,Despesas!$L:$L,"&gt;="&amp;$A599,Despesas!$C:$C,H$1,Despesas!$M:$M,"Mensal")+SUMIFS(Despesas!$F:$F,Despesas!$J:$J,"&lt;="&amp;$A599,Despesas!$L:$L,"&gt;="&amp;$A599,Despesas!$C:$C,H$1,Despesas!$M:$M,$B599)</f>
        <v>1000</v>
      </c>
      <c r="I599" s="18">
        <f>IF(Imóveis!$F$2="PRICE",IF(AND(Dados!$A599&gt;=Imóveis!$Q$2,Dados!$A599&lt;=Imóveis!$T$2),Imóveis!$U$2,0),IF((IF(AND(Dados!$A599&gt;=Imóveis!$Q$2,Dados!$A599&lt;=Imóveis!$T$2),Imóveis!$S$2-(DATEDIF(Imóveis!$Q$2,Dados!$A599,"m")),0))=0,0,((Imóveis!$N$2/Imóveis!$S$2)+((Imóveis!$N$2-((Imóveis!$S$2-(IF(AND(Dados!$A599&gt;=Imóveis!$Q$2,Dados!$A599&lt;=Imóveis!$T$2),Imóveis!$S$2-(DATEDIF(Imóveis!$Q$2,Dados!$A599,"m")),)))*(Imóveis!$N$2/Imóveis!$S$2)))*Imóveis!$P$2))))*IF(AND(Imóveis!$E$2&gt;0,Dados!$A599&gt;Imóveis!$E$2),0,1)</f>
        <v>0</v>
      </c>
      <c r="J599" s="18">
        <f>IF(Imóveis!$F$3="PRICE",IF(AND(Dados!$A599&gt;=Imóveis!$Q$3,Dados!$A599&lt;=Imóveis!$T$3),Imóveis!$U$3,0),IF((IF(AND(Dados!$A599&gt;=Imóveis!$Q$3,Dados!$A599&lt;=Imóveis!$T$3),Imóveis!$S$3-(DATEDIF(Imóveis!$Q$3,Dados!$A599,"m")),0))=0,0,((Imóveis!$N$3/Imóveis!$S$3)+((Imóveis!$N$3-((Imóveis!$S$3-(IF(AND(Dados!$A599&gt;=Imóveis!$Q$3,Dados!$A599&lt;=Imóveis!$T$3),Imóveis!$S$3-(DATEDIF(Imóveis!$Q$3,Dados!$A599,"m")),)))*(Imóveis!$N$3/Imóveis!$S$3)))*Imóveis!$P$3))))*IF(AND(Imóveis!$E$3&gt;0,Dados!$A599&gt;Imóveis!$E$3),0,1)</f>
        <v>0</v>
      </c>
      <c r="K599" s="18">
        <f>IF(Imóveis!$F$4="PRICE",IF(AND(Dados!$A599&gt;=Imóveis!$Q$4,Dados!$A599&lt;=Imóveis!$T$4),Imóveis!$U$4,0),IF((IF(AND(Dados!$A599&gt;=Imóveis!$Q$4,Dados!$A599&lt;=Imóveis!$T$4),Imóveis!$S$4-(DATEDIF(Imóveis!$Q$4,Dados!$A599,"m")),0))=0,0,((Imóveis!$N$4/Imóveis!$S$4)+((Imóveis!$N$4-((Imóveis!$S$4-(IF(AND(Dados!$A599&gt;=Imóveis!$Q$4,Dados!$A599&lt;=Imóveis!$T$4),Imóveis!$S$4-(DATEDIF(Imóveis!$Q$4,Dados!$A599,"m")),)))*(Imóveis!$N$4/Imóveis!$S$4)))*Imóveis!$P$4))))*IF(AND(Imóveis!$E$4&gt;0,Dados!$A599&gt;Imóveis!$E$4),0,1)</f>
        <v>0</v>
      </c>
      <c r="L599" s="18">
        <f>IF(Imóveis!$F$5="PRICE",IF(AND(Dados!$A599&gt;=Imóveis!$Q$5,Dados!$A599&lt;=Imóveis!$T$5),Imóveis!$U$5,0),IF((IF(AND(Dados!$A599&gt;=Imóveis!$Q$5,Dados!$A599&lt;=Imóveis!$T$5),Imóveis!$S$5-(DATEDIF(Imóveis!$Q$5,Dados!$A599,"m")),0))=0,0,((Imóveis!$N$5/Imóveis!$S$5)+((Imóveis!$N$5-((Imóveis!$S$5-(IF(AND(Dados!$A599 &gt;=Imóveis!$Q$5,Dados!$A599&lt;=Imóveis!$T$5),Imóveis!$S$5-(DATEDIF(Imóveis!$Q$5,Dados!$A599,"m")),)))*(Imóveis!$N$5/Imóveis!$S$5)))*Imóveis!$P$5))))*IF(AND(Imóveis!$E$5&gt;0,Dados!$A599&gt;Imóveis!$E$5),0,1)*Imóveis!$I$5</f>
        <v>0</v>
      </c>
      <c r="M599" s="18">
        <f>IF(Imóveis!$F$6="PRICE",IF(AND(Dados!$A599&gt;=Imóveis!$Q$6,Dados!$A599&lt;=Imóveis!$T$6),Imóveis!$U$6,0),IF((IF(AND(Dados!$A599&gt;=Imóveis!$Q$6,Dados!$A599&lt;=Imóveis!$T$6),Imóveis!$S$6-(DATEDIF(Imóveis!$Q$6,Dados!$A599,"m")),0))=0,0,((Imóveis!$N$6/Imóveis!$S$6)+((Imóveis!$N$6-((Imóveis!$S$6-(IF(AND(Dados!$A599&gt;=Imóveis!$Q$6,Dados!$A599&lt;=Imóveis!$T$6),Imóveis!$S$6-(DATEDIF(Imóveis!$Q$6,Dados!$A599,"m")),)))*(Imóveis!$N$6/Imóveis!$S$6)))*Imóveis!$P$6))))*IF(AND(Imóveis!$E$6&gt;0,Dados!$A599&gt;Imóveis!$E$6),0,1)*Imóveis!$I$6</f>
        <v>0</v>
      </c>
      <c r="N599" s="18">
        <f t="shared" si="77"/>
        <v>37000</v>
      </c>
      <c r="O599" s="18">
        <f>SUMIFS(Receitas!$F:$F,Receitas!$J:$J,"&lt;="&amp;$A599,Receitas!$L:$L,"&gt;="&amp;$A599,Receitas!$C:$C,O$1,Receitas!$M:$M,"Mensal")+SUMIFS(Receitas!$F:$F,Receitas!$J:$J,"&lt;="&amp;$A599,Receitas!$L:$L,"&gt;="&amp;$A599,Receitas!$C:$C,O$1,Receitas!$M:$M,$B599)</f>
        <v>0</v>
      </c>
      <c r="P599" s="18">
        <f>SUMIFS(Receitas!$F:$F,Receitas!$J:$J,"&lt;="&amp;$A599,Receitas!$L:$L,"&gt;="&amp;$A599,Receitas!$C:$C,P$1,Receitas!$M:$M,"Mensal")+SUMIFS(Receitas!$F:$F,Receitas!$J:$J,"&lt;="&amp;$A599,Receitas!$L:$L,"&gt;="&amp;$A599,Receitas!$C:$C,P$1,Receitas!$M:$M,$B599)</f>
        <v>0</v>
      </c>
      <c r="Q599" s="18">
        <f>SUMIFS(Receitas!$F:$F,Receitas!$J:$J,"&lt;="&amp;$A599,Receitas!$L:$L,"&gt;="&amp;$A599,Receitas!$C:$C,Q$1,Receitas!$M:$M,"Mensal")+SUMIFS(Receitas!$F:$F,Receitas!$J:$J,"&lt;="&amp;$A599,Receitas!$L:$L,"&gt;="&amp;$A599,Receitas!$C:$C,Q$1,Receitas!$M:$M,$B599)</f>
        <v>0</v>
      </c>
      <c r="R599" s="18" cm="1">
        <f t="array" ref="R599">(IF(AND(Membros!$F$2="Sim",A599&lt;=MAX(Membros!$E$2:$E$5)),Membros!K$2,IF(AND(A599&gt;=Membros!J$2,A599&lt;=MAX(Membros!$E$2:$E$5)),Membros!K$2,0))+IF(AND(Membros!$F$3="Sim",A599&lt;=MAX(Membros!$E$2:$E$5)),Membros!K$3,IF(AND(A599&gt;=Membros!J$3,A599&lt;=MAX(Membros!$E$2:$E$5)),Membros!K$3,0)))*IF(AND(COUNTIFS(Tabela3[Tipo],"Provedor",Tabela3[Simulação Seguro],"Sim")=2,A599&gt;=MAX(IF(Tabela3[Tipo]="Dependente",Tabela3[Expectativa de Vida (Data)]))),0,1)</f>
        <v>10000</v>
      </c>
      <c r="S599" s="18">
        <f t="shared" si="78"/>
        <v>10000</v>
      </c>
      <c r="U599" s="18">
        <f t="shared" ca="1" si="81"/>
        <v>39570748.494438231</v>
      </c>
      <c r="V599" s="18">
        <f>SUMIF(Imóveis!E:E,Dados!A:A,Imóveis!Z:Z)-SUMIF(Imóveis!E:E,Dados!A:A,Imóveis!Y:Y)</f>
        <v>0</v>
      </c>
      <c r="W599" s="18">
        <f>-SUMIF(Projetos!N:N,A599,Projetos!F:F)</f>
        <v>0</v>
      </c>
      <c r="X599" s="18">
        <f t="shared" si="75"/>
        <v>-27000</v>
      </c>
      <c r="Y599" s="26">
        <f ca="1">(U599*((Indicadores_Economicos!D$2+1)^(1/12)-1))</f>
        <v>129544.33355763023</v>
      </c>
      <c r="Z599" s="18">
        <f t="shared" ca="1" si="79"/>
        <v>39673292.827995859</v>
      </c>
      <c r="AA599" s="18">
        <f ca="1">Auxiliar_Projetos!E599</f>
        <v>2.7517200714252332E-9</v>
      </c>
      <c r="AB599" s="18">
        <f ca="1">Auxiliar_Projetos!K599</f>
        <v>2.1167077472501757E-9</v>
      </c>
      <c r="AC599" s="18">
        <f ca="1">IF(Z599-AA599-AB599&gt;Investimentos!$C$14,Investimentos!$C$14,IF(Z599-AA599-AB599&lt;Investimentos!$C$14,Z599-AA599-AB599,0))</f>
        <v>300000</v>
      </c>
      <c r="AD599" s="18">
        <f t="shared" ca="1" si="80"/>
        <v>39373292.827995859</v>
      </c>
      <c r="AE599" s="18"/>
    </row>
    <row r="600" spans="1:31" x14ac:dyDescent="0.2">
      <c r="A600" s="4">
        <v>63859</v>
      </c>
      <c r="B600" s="5" t="str">
        <f t="shared" si="76"/>
        <v>novembro</v>
      </c>
      <c r="C600" s="5" t="str">
        <f t="shared" ref="C600:C663" si="82">TEXT(A600,"AAAA")</f>
        <v>2074</v>
      </c>
      <c r="D600" s="5">
        <f>SUMIFS(Despesas!$F:$F,Despesas!$J:$J,"&lt;="&amp;$A600,Despesas!$L:$L,"&gt;="&amp;$A600,Despesas!$C:$C,D$1,Despesas!$M:$M,"Mensal")+SUMIFS(Despesas!$F:$F,Despesas!$J:$J,"&lt;="&amp;$A600,Despesas!$L:$L,"&gt;="&amp;$A600,Despesas!$C:$C,D$1,Despesas!$M:$M,$B600)</f>
        <v>23000</v>
      </c>
      <c r="E600" s="18">
        <f>SUMIFS(Despesas!$F:$F,Despesas!$J:$J,"&lt;="&amp;$A600,Despesas!$L:$L,"&gt;="&amp;$A600,Despesas!$C:$C,E$1,Despesas!$M:$M,"Mensal")+SUMIFS(Despesas!$F:$F,Despesas!$J:$J,"&lt;="&amp;$A600,Despesas!$L:$L,"&gt;="&amp;$A600,Despesas!$C:$C,E$1,Despesas!$M:$M,$B600)</f>
        <v>0</v>
      </c>
      <c r="F600" s="5">
        <f>SUMIFS(Despesas!$F:$F,Despesas!$J:$J,"&lt;="&amp;$A600,Despesas!$L:$L,"&gt;="&amp;$A600,Despesas!$C:$C,F$1,Despesas!$M:$M,"Mensal")+SUMIFS(Despesas!$F:$F,Despesas!$J:$J,"&lt;="&amp;$A600,Despesas!$L:$L,"&gt;="&amp;$A600,Despesas!$C:$C,F$1,Despesas!$M:$M,$B600)</f>
        <v>13000</v>
      </c>
      <c r="G600" s="5">
        <f>SUMIFS(Despesas!$F:$F,Despesas!$J:$J,"&lt;="&amp;$A600,Despesas!$L:$L,"&gt;="&amp;$A600,Despesas!$C:$C,G$1,Despesas!$M:$M,"Mensal")+SUMIFS(Despesas!$F:$F,Despesas!$J:$J,"&lt;="&amp;$A600,Despesas!$L:$L,"&gt;="&amp;$A600,Despesas!$C:$C,G$1,Despesas!$M:$M,$B600)</f>
        <v>0</v>
      </c>
      <c r="H600" s="18">
        <f>SUMIFS(Despesas!$F:$F,Despesas!$J:$J,"&lt;="&amp;$A600,Despesas!$L:$L,"&gt;="&amp;$A600,Despesas!$C:$C,H$1,Despesas!$M:$M,"Mensal")+SUMIFS(Despesas!$F:$F,Despesas!$J:$J,"&lt;="&amp;$A600,Despesas!$L:$L,"&gt;="&amp;$A600,Despesas!$C:$C,H$1,Despesas!$M:$M,$B600)</f>
        <v>1000</v>
      </c>
      <c r="I600" s="18">
        <f>IF(Imóveis!$F$2="PRICE",IF(AND(Dados!$A600&gt;=Imóveis!$Q$2,Dados!$A600&lt;=Imóveis!$T$2),Imóveis!$U$2,0),IF((IF(AND(Dados!$A600&gt;=Imóveis!$Q$2,Dados!$A600&lt;=Imóveis!$T$2),Imóveis!$S$2-(DATEDIF(Imóveis!$Q$2,Dados!$A600,"m")),0))=0,0,((Imóveis!$N$2/Imóveis!$S$2)+((Imóveis!$N$2-((Imóveis!$S$2-(IF(AND(Dados!$A600&gt;=Imóveis!$Q$2,Dados!$A600&lt;=Imóveis!$T$2),Imóveis!$S$2-(DATEDIF(Imóveis!$Q$2,Dados!$A600,"m")),)))*(Imóveis!$N$2/Imóveis!$S$2)))*Imóveis!$P$2))))*IF(AND(Imóveis!$E$2&gt;0,Dados!$A600&gt;Imóveis!$E$2),0,1)</f>
        <v>0</v>
      </c>
      <c r="J600" s="18">
        <f>IF(Imóveis!$F$3="PRICE",IF(AND(Dados!$A600&gt;=Imóveis!$Q$3,Dados!$A600&lt;=Imóveis!$T$3),Imóveis!$U$3,0),IF((IF(AND(Dados!$A600&gt;=Imóveis!$Q$3,Dados!$A600&lt;=Imóveis!$T$3),Imóveis!$S$3-(DATEDIF(Imóveis!$Q$3,Dados!$A600,"m")),0))=0,0,((Imóveis!$N$3/Imóveis!$S$3)+((Imóveis!$N$3-((Imóveis!$S$3-(IF(AND(Dados!$A600&gt;=Imóveis!$Q$3,Dados!$A600&lt;=Imóveis!$T$3),Imóveis!$S$3-(DATEDIF(Imóveis!$Q$3,Dados!$A600,"m")),)))*(Imóveis!$N$3/Imóveis!$S$3)))*Imóveis!$P$3))))*IF(AND(Imóveis!$E$3&gt;0,Dados!$A600&gt;Imóveis!$E$3),0,1)</f>
        <v>0</v>
      </c>
      <c r="K600" s="18">
        <f>IF(Imóveis!$F$4="PRICE",IF(AND(Dados!$A600&gt;=Imóveis!$Q$4,Dados!$A600&lt;=Imóveis!$T$4),Imóveis!$U$4,0),IF((IF(AND(Dados!$A600&gt;=Imóveis!$Q$4,Dados!$A600&lt;=Imóveis!$T$4),Imóveis!$S$4-(DATEDIF(Imóveis!$Q$4,Dados!$A600,"m")),0))=0,0,((Imóveis!$N$4/Imóveis!$S$4)+((Imóveis!$N$4-((Imóveis!$S$4-(IF(AND(Dados!$A600&gt;=Imóveis!$Q$4,Dados!$A600&lt;=Imóveis!$T$4),Imóveis!$S$4-(DATEDIF(Imóveis!$Q$4,Dados!$A600,"m")),)))*(Imóveis!$N$4/Imóveis!$S$4)))*Imóveis!$P$4))))*IF(AND(Imóveis!$E$4&gt;0,Dados!$A600&gt;Imóveis!$E$4),0,1)</f>
        <v>0</v>
      </c>
      <c r="L600" s="18">
        <f>IF(Imóveis!$F$5="PRICE",IF(AND(Dados!$A600&gt;=Imóveis!$Q$5,Dados!$A600&lt;=Imóveis!$T$5),Imóveis!$U$5,0),IF((IF(AND(Dados!$A600&gt;=Imóveis!$Q$5,Dados!$A600&lt;=Imóveis!$T$5),Imóveis!$S$5-(DATEDIF(Imóveis!$Q$5,Dados!$A600,"m")),0))=0,0,((Imóveis!$N$5/Imóveis!$S$5)+((Imóveis!$N$5-((Imóveis!$S$5-(IF(AND(Dados!$A600 &gt;=Imóveis!$Q$5,Dados!$A600&lt;=Imóveis!$T$5),Imóveis!$S$5-(DATEDIF(Imóveis!$Q$5,Dados!$A600,"m")),)))*(Imóveis!$N$5/Imóveis!$S$5)))*Imóveis!$P$5))))*IF(AND(Imóveis!$E$5&gt;0,Dados!$A600&gt;Imóveis!$E$5),0,1)*Imóveis!$I$5</f>
        <v>0</v>
      </c>
      <c r="M600" s="18">
        <f>IF(Imóveis!$F$6="PRICE",IF(AND(Dados!$A600&gt;=Imóveis!$Q$6,Dados!$A600&lt;=Imóveis!$T$6),Imóveis!$U$6,0),IF((IF(AND(Dados!$A600&gt;=Imóveis!$Q$6,Dados!$A600&lt;=Imóveis!$T$6),Imóveis!$S$6-(DATEDIF(Imóveis!$Q$6,Dados!$A600,"m")),0))=0,0,((Imóveis!$N$6/Imóveis!$S$6)+((Imóveis!$N$6-((Imóveis!$S$6-(IF(AND(Dados!$A600&gt;=Imóveis!$Q$6,Dados!$A600&lt;=Imóveis!$T$6),Imóveis!$S$6-(DATEDIF(Imóveis!$Q$6,Dados!$A600,"m")),)))*(Imóveis!$N$6/Imóveis!$S$6)))*Imóveis!$P$6))))*IF(AND(Imóveis!$E$6&gt;0,Dados!$A600&gt;Imóveis!$E$6),0,1)*Imóveis!$I$6</f>
        <v>0</v>
      </c>
      <c r="N600" s="18">
        <f t="shared" si="77"/>
        <v>37000</v>
      </c>
      <c r="O600" s="18">
        <f>SUMIFS(Receitas!$F:$F,Receitas!$J:$J,"&lt;="&amp;$A600,Receitas!$L:$L,"&gt;="&amp;$A600,Receitas!$C:$C,O$1,Receitas!$M:$M,"Mensal")+SUMIFS(Receitas!$F:$F,Receitas!$J:$J,"&lt;="&amp;$A600,Receitas!$L:$L,"&gt;="&amp;$A600,Receitas!$C:$C,O$1,Receitas!$M:$M,$B600)</f>
        <v>0</v>
      </c>
      <c r="P600" s="18">
        <f>SUMIFS(Receitas!$F:$F,Receitas!$J:$J,"&lt;="&amp;$A600,Receitas!$L:$L,"&gt;="&amp;$A600,Receitas!$C:$C,P$1,Receitas!$M:$M,"Mensal")+SUMIFS(Receitas!$F:$F,Receitas!$J:$J,"&lt;="&amp;$A600,Receitas!$L:$L,"&gt;="&amp;$A600,Receitas!$C:$C,P$1,Receitas!$M:$M,$B600)</f>
        <v>0</v>
      </c>
      <c r="Q600" s="18">
        <f>SUMIFS(Receitas!$F:$F,Receitas!$J:$J,"&lt;="&amp;$A600,Receitas!$L:$L,"&gt;="&amp;$A600,Receitas!$C:$C,Q$1,Receitas!$M:$M,"Mensal")+SUMIFS(Receitas!$F:$F,Receitas!$J:$J,"&lt;="&amp;$A600,Receitas!$L:$L,"&gt;="&amp;$A600,Receitas!$C:$C,Q$1,Receitas!$M:$M,$B600)</f>
        <v>0</v>
      </c>
      <c r="R600" s="18" cm="1">
        <f t="array" ref="R600">(IF(AND(Membros!$F$2="Sim",A600&lt;=MAX(Membros!$E$2:$E$5)),Membros!K$2,IF(AND(A600&gt;=Membros!J$2,A600&lt;=MAX(Membros!$E$2:$E$5)),Membros!K$2,0))+IF(AND(Membros!$F$3="Sim",A600&lt;=MAX(Membros!$E$2:$E$5)),Membros!K$3,IF(AND(A600&gt;=Membros!J$3,A600&lt;=MAX(Membros!$E$2:$E$5)),Membros!K$3,0)))*IF(AND(COUNTIFS(Tabela3[Tipo],"Provedor",Tabela3[Simulação Seguro],"Sim")=2,A600&gt;=MAX(IF(Tabela3[Tipo]="Dependente",Tabela3[Expectativa de Vida (Data)]))),0,1)</f>
        <v>10000</v>
      </c>
      <c r="S600" s="18">
        <f t="shared" si="78"/>
        <v>10000</v>
      </c>
      <c r="U600" s="18">
        <f t="shared" ca="1" si="81"/>
        <v>39673292.827995859</v>
      </c>
      <c r="V600" s="18">
        <f>SUMIF(Imóveis!E:E,Dados!A:A,Imóveis!Z:Z)-SUMIF(Imóveis!E:E,Dados!A:A,Imóveis!Y:Y)</f>
        <v>0</v>
      </c>
      <c r="W600" s="18">
        <f>-SUMIF(Projetos!N:N,A600,Projetos!F:F)</f>
        <v>0</v>
      </c>
      <c r="X600" s="18">
        <f t="shared" si="75"/>
        <v>-27000</v>
      </c>
      <c r="Y600" s="26">
        <f ca="1">(U600*((Indicadores_Economicos!D$2+1)^(1/12)-1))</f>
        <v>129880.03702183692</v>
      </c>
      <c r="Z600" s="18">
        <f t="shared" ca="1" si="79"/>
        <v>39776172.865017697</v>
      </c>
      <c r="AA600" s="18">
        <f ca="1">Auxiliar_Projetos!E600</f>
        <v>2.7607284868925334E-9</v>
      </c>
      <c r="AB600" s="18">
        <f ca="1">Auxiliar_Projetos!K600</f>
        <v>2.1236372976096373E-9</v>
      </c>
      <c r="AC600" s="18">
        <f ca="1">IF(Z600-AA600-AB600&gt;Investimentos!$C$14,Investimentos!$C$14,IF(Z600-AA600-AB600&lt;Investimentos!$C$14,Z600-AA600-AB600,0))</f>
        <v>300000</v>
      </c>
      <c r="AD600" s="18">
        <f t="shared" ca="1" si="80"/>
        <v>39476172.865017697</v>
      </c>
      <c r="AE600" s="18"/>
    </row>
    <row r="601" spans="1:31" x14ac:dyDescent="0.2">
      <c r="A601" s="4">
        <v>63889</v>
      </c>
      <c r="B601" s="5" t="str">
        <f t="shared" si="76"/>
        <v>dezembro</v>
      </c>
      <c r="C601" s="5" t="str">
        <f t="shared" si="82"/>
        <v>2074</v>
      </c>
      <c r="D601" s="5">
        <f>SUMIFS(Despesas!$F:$F,Despesas!$J:$J,"&lt;="&amp;$A601,Despesas!$L:$L,"&gt;="&amp;$A601,Despesas!$C:$C,D$1,Despesas!$M:$M,"Mensal")+SUMIFS(Despesas!$F:$F,Despesas!$J:$J,"&lt;="&amp;$A601,Despesas!$L:$L,"&gt;="&amp;$A601,Despesas!$C:$C,D$1,Despesas!$M:$M,$B601)</f>
        <v>23000</v>
      </c>
      <c r="E601" s="18">
        <f>SUMIFS(Despesas!$F:$F,Despesas!$J:$J,"&lt;="&amp;$A601,Despesas!$L:$L,"&gt;="&amp;$A601,Despesas!$C:$C,E$1,Despesas!$M:$M,"Mensal")+SUMIFS(Despesas!$F:$F,Despesas!$J:$J,"&lt;="&amp;$A601,Despesas!$L:$L,"&gt;="&amp;$A601,Despesas!$C:$C,E$1,Despesas!$M:$M,$B601)</f>
        <v>0</v>
      </c>
      <c r="F601" s="5">
        <f>SUMIFS(Despesas!$F:$F,Despesas!$J:$J,"&lt;="&amp;$A601,Despesas!$L:$L,"&gt;="&amp;$A601,Despesas!$C:$C,F$1,Despesas!$M:$M,"Mensal")+SUMIFS(Despesas!$F:$F,Despesas!$J:$J,"&lt;="&amp;$A601,Despesas!$L:$L,"&gt;="&amp;$A601,Despesas!$C:$C,F$1,Despesas!$M:$M,$B601)</f>
        <v>13000</v>
      </c>
      <c r="G601" s="5">
        <f ca="1">SUMIFS(Despesas!$F:$F,Despesas!$J:$J,"&lt;="&amp;$A601,Despesas!$L:$L,"&gt;="&amp;$A601,Despesas!$C:$C,G$1,Despesas!$M:$M,"Mensal")+SUMIFS(Despesas!$F:$F,Despesas!$J:$J,"&lt;="&amp;$A601,Despesas!$L:$L,"&gt;="&amp;$A601,Despesas!$C:$C,G$1,Despesas!$M:$M,$B601)</f>
        <v>55757</v>
      </c>
      <c r="H601" s="18">
        <f>SUMIFS(Despesas!$F:$F,Despesas!$J:$J,"&lt;="&amp;$A601,Despesas!$L:$L,"&gt;="&amp;$A601,Despesas!$C:$C,H$1,Despesas!$M:$M,"Mensal")+SUMIFS(Despesas!$F:$F,Despesas!$J:$J,"&lt;="&amp;$A601,Despesas!$L:$L,"&gt;="&amp;$A601,Despesas!$C:$C,H$1,Despesas!$M:$M,$B601)</f>
        <v>1000</v>
      </c>
      <c r="I601" s="18">
        <f>IF(Imóveis!$F$2="PRICE",IF(AND(Dados!$A601&gt;=Imóveis!$Q$2,Dados!$A601&lt;=Imóveis!$T$2),Imóveis!$U$2,0),IF((IF(AND(Dados!$A601&gt;=Imóveis!$Q$2,Dados!$A601&lt;=Imóveis!$T$2),Imóveis!$S$2-(DATEDIF(Imóveis!$Q$2,Dados!$A601,"m")),0))=0,0,((Imóveis!$N$2/Imóveis!$S$2)+((Imóveis!$N$2-((Imóveis!$S$2-(IF(AND(Dados!$A601&gt;=Imóveis!$Q$2,Dados!$A601&lt;=Imóveis!$T$2),Imóveis!$S$2-(DATEDIF(Imóveis!$Q$2,Dados!$A601,"m")),)))*(Imóveis!$N$2/Imóveis!$S$2)))*Imóveis!$P$2))))*IF(AND(Imóveis!$E$2&gt;0,Dados!$A601&gt;Imóveis!$E$2),0,1)</f>
        <v>0</v>
      </c>
      <c r="J601" s="18">
        <f>IF(Imóveis!$F$3="PRICE",IF(AND(Dados!$A601&gt;=Imóveis!$Q$3,Dados!$A601&lt;=Imóveis!$T$3),Imóveis!$U$3,0),IF((IF(AND(Dados!$A601&gt;=Imóveis!$Q$3,Dados!$A601&lt;=Imóveis!$T$3),Imóveis!$S$3-(DATEDIF(Imóveis!$Q$3,Dados!$A601,"m")),0))=0,0,((Imóveis!$N$3/Imóveis!$S$3)+((Imóveis!$N$3-((Imóveis!$S$3-(IF(AND(Dados!$A601&gt;=Imóveis!$Q$3,Dados!$A601&lt;=Imóveis!$T$3),Imóveis!$S$3-(DATEDIF(Imóveis!$Q$3,Dados!$A601,"m")),)))*(Imóveis!$N$3/Imóveis!$S$3)))*Imóveis!$P$3))))*IF(AND(Imóveis!$E$3&gt;0,Dados!$A601&gt;Imóveis!$E$3),0,1)</f>
        <v>0</v>
      </c>
      <c r="K601" s="18">
        <f>IF(Imóveis!$F$4="PRICE",IF(AND(Dados!$A601&gt;=Imóveis!$Q$4,Dados!$A601&lt;=Imóveis!$T$4),Imóveis!$U$4,0),IF((IF(AND(Dados!$A601&gt;=Imóveis!$Q$4,Dados!$A601&lt;=Imóveis!$T$4),Imóveis!$S$4-(DATEDIF(Imóveis!$Q$4,Dados!$A601,"m")),0))=0,0,((Imóveis!$N$4/Imóveis!$S$4)+((Imóveis!$N$4-((Imóveis!$S$4-(IF(AND(Dados!$A601&gt;=Imóveis!$Q$4,Dados!$A601&lt;=Imóveis!$T$4),Imóveis!$S$4-(DATEDIF(Imóveis!$Q$4,Dados!$A601,"m")),)))*(Imóveis!$N$4/Imóveis!$S$4)))*Imóveis!$P$4))))*IF(AND(Imóveis!$E$4&gt;0,Dados!$A601&gt;Imóveis!$E$4),0,1)</f>
        <v>0</v>
      </c>
      <c r="L601" s="18">
        <f>IF(Imóveis!$F$5="PRICE",IF(AND(Dados!$A601&gt;=Imóveis!$Q$5,Dados!$A601&lt;=Imóveis!$T$5),Imóveis!$U$5,0),IF((IF(AND(Dados!$A601&gt;=Imóveis!$Q$5,Dados!$A601&lt;=Imóveis!$T$5),Imóveis!$S$5-(DATEDIF(Imóveis!$Q$5,Dados!$A601,"m")),0))=0,0,((Imóveis!$N$5/Imóveis!$S$5)+((Imóveis!$N$5-((Imóveis!$S$5-(IF(AND(Dados!$A601 &gt;=Imóveis!$Q$5,Dados!$A601&lt;=Imóveis!$T$5),Imóveis!$S$5-(DATEDIF(Imóveis!$Q$5,Dados!$A601,"m")),)))*(Imóveis!$N$5/Imóveis!$S$5)))*Imóveis!$P$5))))*IF(AND(Imóveis!$E$5&gt;0,Dados!$A601&gt;Imóveis!$E$5),0,1)*Imóveis!$I$5</f>
        <v>0</v>
      </c>
      <c r="M601" s="18">
        <f>IF(Imóveis!$F$6="PRICE",IF(AND(Dados!$A601&gt;=Imóveis!$Q$6,Dados!$A601&lt;=Imóveis!$T$6),Imóveis!$U$6,0),IF((IF(AND(Dados!$A601&gt;=Imóveis!$Q$6,Dados!$A601&lt;=Imóveis!$T$6),Imóveis!$S$6-(DATEDIF(Imóveis!$Q$6,Dados!$A601,"m")),0))=0,0,((Imóveis!$N$6/Imóveis!$S$6)+((Imóveis!$N$6-((Imóveis!$S$6-(IF(AND(Dados!$A601&gt;=Imóveis!$Q$6,Dados!$A601&lt;=Imóveis!$T$6),Imóveis!$S$6-(DATEDIF(Imóveis!$Q$6,Dados!$A601,"m")),)))*(Imóveis!$N$6/Imóveis!$S$6)))*Imóveis!$P$6))))*IF(AND(Imóveis!$E$6&gt;0,Dados!$A601&gt;Imóveis!$E$6),0,1)*Imóveis!$I$6</f>
        <v>0</v>
      </c>
      <c r="N601" s="18">
        <f t="shared" ca="1" si="77"/>
        <v>92757</v>
      </c>
      <c r="O601" s="18">
        <f>SUMIFS(Receitas!$F:$F,Receitas!$J:$J,"&lt;="&amp;$A601,Receitas!$L:$L,"&gt;="&amp;$A601,Receitas!$C:$C,O$1,Receitas!$M:$M,"Mensal")+SUMIFS(Receitas!$F:$F,Receitas!$J:$J,"&lt;="&amp;$A601,Receitas!$L:$L,"&gt;="&amp;$A601,Receitas!$C:$C,O$1,Receitas!$M:$M,$B601)</f>
        <v>0</v>
      </c>
      <c r="P601" s="18">
        <f>SUMIFS(Receitas!$F:$F,Receitas!$J:$J,"&lt;="&amp;$A601,Receitas!$L:$L,"&gt;="&amp;$A601,Receitas!$C:$C,P$1,Receitas!$M:$M,"Mensal")+SUMIFS(Receitas!$F:$F,Receitas!$J:$J,"&lt;="&amp;$A601,Receitas!$L:$L,"&gt;="&amp;$A601,Receitas!$C:$C,P$1,Receitas!$M:$M,$B601)</f>
        <v>0</v>
      </c>
      <c r="Q601" s="18">
        <f>SUMIFS(Receitas!$F:$F,Receitas!$J:$J,"&lt;="&amp;$A601,Receitas!$L:$L,"&gt;="&amp;$A601,Receitas!$C:$C,Q$1,Receitas!$M:$M,"Mensal")+SUMIFS(Receitas!$F:$F,Receitas!$J:$J,"&lt;="&amp;$A601,Receitas!$L:$L,"&gt;="&amp;$A601,Receitas!$C:$C,Q$1,Receitas!$M:$M,$B601)</f>
        <v>0</v>
      </c>
      <c r="R601" s="18" cm="1">
        <f t="array" ref="R601">(IF(AND(Membros!$F$2="Sim",A601&lt;=MAX(Membros!$E$2:$E$5)),Membros!K$2,IF(AND(A601&gt;=Membros!J$2,A601&lt;=MAX(Membros!$E$2:$E$5)),Membros!K$2,0))+IF(AND(Membros!$F$3="Sim",A601&lt;=MAX(Membros!$E$2:$E$5)),Membros!K$3,IF(AND(A601&gt;=Membros!J$3,A601&lt;=MAX(Membros!$E$2:$E$5)),Membros!K$3,0)))*IF(AND(COUNTIFS(Tabela3[Tipo],"Provedor",Tabela3[Simulação Seguro],"Sim")=2,A601&gt;=MAX(IF(Tabela3[Tipo]="Dependente",Tabela3[Expectativa de Vida (Data)]))),0,1)</f>
        <v>10000</v>
      </c>
      <c r="S601" s="18">
        <f t="shared" si="78"/>
        <v>10000</v>
      </c>
      <c r="U601" s="18">
        <f t="shared" ca="1" si="81"/>
        <v>39776172.865017697</v>
      </c>
      <c r="V601" s="18">
        <f>SUMIF(Imóveis!E:E,Dados!A:A,Imóveis!Z:Z)-SUMIF(Imóveis!E:E,Dados!A:A,Imóveis!Y:Y)</f>
        <v>0</v>
      </c>
      <c r="W601" s="18">
        <f>-SUMIF(Projetos!N:N,A601,Projetos!F:F)</f>
        <v>0</v>
      </c>
      <c r="X601" s="18">
        <f t="shared" ca="1" si="75"/>
        <v>-82757</v>
      </c>
      <c r="Y601" s="26">
        <f ca="1">(U601*((Indicadores_Economicos!D$2+1)^(1/12)-1))</f>
        <v>130216.83949182941</v>
      </c>
      <c r="Z601" s="18">
        <f t="shared" ca="1" si="79"/>
        <v>39823632.704509526</v>
      </c>
      <c r="AA601" s="18">
        <f ca="1">Auxiliar_Projetos!E601</f>
        <v>2.7697663935679235E-9</v>
      </c>
      <c r="AB601" s="18">
        <f ca="1">Auxiliar_Projetos!K601</f>
        <v>2.1305895335137834E-9</v>
      </c>
      <c r="AC601" s="18">
        <f ca="1">IF(Z601-AA601-AB601&gt;Investimentos!$C$14,Investimentos!$C$14,IF(Z601-AA601-AB601&lt;Investimentos!$C$14,Z601-AA601-AB601,0))</f>
        <v>300000</v>
      </c>
      <c r="AD601" s="18">
        <f t="shared" ca="1" si="80"/>
        <v>39523632.704509526</v>
      </c>
      <c r="AE601" s="18"/>
    </row>
    <row r="602" spans="1:31" x14ac:dyDescent="0.2">
      <c r="A602" s="4">
        <v>63920</v>
      </c>
      <c r="B602" s="5" t="str">
        <f t="shared" si="76"/>
        <v>janeiro</v>
      </c>
      <c r="C602" s="5" t="str">
        <f t="shared" si="82"/>
        <v>2075</v>
      </c>
      <c r="D602" s="5">
        <f>SUMIFS(Despesas!$F:$F,Despesas!$J:$J,"&lt;="&amp;$A602,Despesas!$L:$L,"&gt;="&amp;$A602,Despesas!$C:$C,D$1,Despesas!$M:$M,"Mensal")+SUMIFS(Despesas!$F:$F,Despesas!$J:$J,"&lt;="&amp;$A602,Despesas!$L:$L,"&gt;="&amp;$A602,Despesas!$C:$C,D$1,Despesas!$M:$M,$B602)</f>
        <v>23000</v>
      </c>
      <c r="E602" s="18">
        <f>SUMIFS(Despesas!$F:$F,Despesas!$J:$J,"&lt;="&amp;$A602,Despesas!$L:$L,"&gt;="&amp;$A602,Despesas!$C:$C,E$1,Despesas!$M:$M,"Mensal")+SUMIFS(Despesas!$F:$F,Despesas!$J:$J,"&lt;="&amp;$A602,Despesas!$L:$L,"&gt;="&amp;$A602,Despesas!$C:$C,E$1,Despesas!$M:$M,$B602)</f>
        <v>0</v>
      </c>
      <c r="F602" s="5">
        <f>SUMIFS(Despesas!$F:$F,Despesas!$J:$J,"&lt;="&amp;$A602,Despesas!$L:$L,"&gt;="&amp;$A602,Despesas!$C:$C,F$1,Despesas!$M:$M,"Mensal")+SUMIFS(Despesas!$F:$F,Despesas!$J:$J,"&lt;="&amp;$A602,Despesas!$L:$L,"&gt;="&amp;$A602,Despesas!$C:$C,F$1,Despesas!$M:$M,$B602)</f>
        <v>13000</v>
      </c>
      <c r="G602" s="5">
        <f>SUMIFS(Despesas!$F:$F,Despesas!$J:$J,"&lt;="&amp;$A602,Despesas!$L:$L,"&gt;="&amp;$A602,Despesas!$C:$C,G$1,Despesas!$M:$M,"Mensal")+SUMIFS(Despesas!$F:$F,Despesas!$J:$J,"&lt;="&amp;$A602,Despesas!$L:$L,"&gt;="&amp;$A602,Despesas!$C:$C,G$1,Despesas!$M:$M,$B602)</f>
        <v>0</v>
      </c>
      <c r="H602" s="18">
        <f>SUMIFS(Despesas!$F:$F,Despesas!$J:$J,"&lt;="&amp;$A602,Despesas!$L:$L,"&gt;="&amp;$A602,Despesas!$C:$C,H$1,Despesas!$M:$M,"Mensal")+SUMIFS(Despesas!$F:$F,Despesas!$J:$J,"&lt;="&amp;$A602,Despesas!$L:$L,"&gt;="&amp;$A602,Despesas!$C:$C,H$1,Despesas!$M:$M,$B602)</f>
        <v>1000</v>
      </c>
      <c r="I602" s="18">
        <f>IF(Imóveis!$F$2="PRICE",IF(AND(Dados!$A602&gt;=Imóveis!$Q$2,Dados!$A602&lt;=Imóveis!$T$2),Imóveis!$U$2,0),IF((IF(AND(Dados!$A602&gt;=Imóveis!$Q$2,Dados!$A602&lt;=Imóveis!$T$2),Imóveis!$S$2-(DATEDIF(Imóveis!$Q$2,Dados!$A602,"m")),0))=0,0,((Imóveis!$N$2/Imóveis!$S$2)+((Imóveis!$N$2-((Imóveis!$S$2-(IF(AND(Dados!$A602&gt;=Imóveis!$Q$2,Dados!$A602&lt;=Imóveis!$T$2),Imóveis!$S$2-(DATEDIF(Imóveis!$Q$2,Dados!$A602,"m")),)))*(Imóveis!$N$2/Imóveis!$S$2)))*Imóveis!$P$2))))*IF(AND(Imóveis!$E$2&gt;0,Dados!$A602&gt;Imóveis!$E$2),0,1)</f>
        <v>0</v>
      </c>
      <c r="J602" s="18">
        <f>IF(Imóveis!$F$3="PRICE",IF(AND(Dados!$A602&gt;=Imóveis!$Q$3,Dados!$A602&lt;=Imóveis!$T$3),Imóveis!$U$3,0),IF((IF(AND(Dados!$A602&gt;=Imóveis!$Q$3,Dados!$A602&lt;=Imóveis!$T$3),Imóveis!$S$3-(DATEDIF(Imóveis!$Q$3,Dados!$A602,"m")),0))=0,0,((Imóveis!$N$3/Imóveis!$S$3)+((Imóveis!$N$3-((Imóveis!$S$3-(IF(AND(Dados!$A602&gt;=Imóveis!$Q$3,Dados!$A602&lt;=Imóveis!$T$3),Imóveis!$S$3-(DATEDIF(Imóveis!$Q$3,Dados!$A602,"m")),)))*(Imóveis!$N$3/Imóveis!$S$3)))*Imóveis!$P$3))))*IF(AND(Imóveis!$E$3&gt;0,Dados!$A602&gt;Imóveis!$E$3),0,1)</f>
        <v>0</v>
      </c>
      <c r="K602" s="18">
        <f>IF(Imóveis!$F$4="PRICE",IF(AND(Dados!$A602&gt;=Imóveis!$Q$4,Dados!$A602&lt;=Imóveis!$T$4),Imóveis!$U$4,0),IF((IF(AND(Dados!$A602&gt;=Imóveis!$Q$4,Dados!$A602&lt;=Imóveis!$T$4),Imóveis!$S$4-(DATEDIF(Imóveis!$Q$4,Dados!$A602,"m")),0))=0,0,((Imóveis!$N$4/Imóveis!$S$4)+((Imóveis!$N$4-((Imóveis!$S$4-(IF(AND(Dados!$A602&gt;=Imóveis!$Q$4,Dados!$A602&lt;=Imóveis!$T$4),Imóveis!$S$4-(DATEDIF(Imóveis!$Q$4,Dados!$A602,"m")),)))*(Imóveis!$N$4/Imóveis!$S$4)))*Imóveis!$P$4))))*IF(AND(Imóveis!$E$4&gt;0,Dados!$A602&gt;Imóveis!$E$4),0,1)</f>
        <v>0</v>
      </c>
      <c r="L602" s="18">
        <f>IF(Imóveis!$F$5="PRICE",IF(AND(Dados!$A602&gt;=Imóveis!$Q$5,Dados!$A602&lt;=Imóveis!$T$5),Imóveis!$U$5,0),IF((IF(AND(Dados!$A602&gt;=Imóveis!$Q$5,Dados!$A602&lt;=Imóveis!$T$5),Imóveis!$S$5-(DATEDIF(Imóveis!$Q$5,Dados!$A602,"m")),0))=0,0,((Imóveis!$N$5/Imóveis!$S$5)+((Imóveis!$N$5-((Imóveis!$S$5-(IF(AND(Dados!$A602 &gt;=Imóveis!$Q$5,Dados!$A602&lt;=Imóveis!$T$5),Imóveis!$S$5-(DATEDIF(Imóveis!$Q$5,Dados!$A602,"m")),)))*(Imóveis!$N$5/Imóveis!$S$5)))*Imóveis!$P$5))))*IF(AND(Imóveis!$E$5&gt;0,Dados!$A602&gt;Imóveis!$E$5),0,1)*Imóveis!$I$5</f>
        <v>0</v>
      </c>
      <c r="M602" s="18">
        <f>IF(Imóveis!$F$6="PRICE",IF(AND(Dados!$A602&gt;=Imóveis!$Q$6,Dados!$A602&lt;=Imóveis!$T$6),Imóveis!$U$6,0),IF((IF(AND(Dados!$A602&gt;=Imóveis!$Q$6,Dados!$A602&lt;=Imóveis!$T$6),Imóveis!$S$6-(DATEDIF(Imóveis!$Q$6,Dados!$A602,"m")),0))=0,0,((Imóveis!$N$6/Imóveis!$S$6)+((Imóveis!$N$6-((Imóveis!$S$6-(IF(AND(Dados!$A602&gt;=Imóveis!$Q$6,Dados!$A602&lt;=Imóveis!$T$6),Imóveis!$S$6-(DATEDIF(Imóveis!$Q$6,Dados!$A602,"m")),)))*(Imóveis!$N$6/Imóveis!$S$6)))*Imóveis!$P$6))))*IF(AND(Imóveis!$E$6&gt;0,Dados!$A602&gt;Imóveis!$E$6),0,1)*Imóveis!$I$6</f>
        <v>0</v>
      </c>
      <c r="N602" s="18">
        <f t="shared" si="77"/>
        <v>37000</v>
      </c>
      <c r="O602" s="18">
        <f>SUMIFS(Receitas!$F:$F,Receitas!$J:$J,"&lt;="&amp;$A602,Receitas!$L:$L,"&gt;="&amp;$A602,Receitas!$C:$C,O$1,Receitas!$M:$M,"Mensal")+SUMIFS(Receitas!$F:$F,Receitas!$J:$J,"&lt;="&amp;$A602,Receitas!$L:$L,"&gt;="&amp;$A602,Receitas!$C:$C,O$1,Receitas!$M:$M,$B602)</f>
        <v>0</v>
      </c>
      <c r="P602" s="18">
        <f>SUMIFS(Receitas!$F:$F,Receitas!$J:$J,"&lt;="&amp;$A602,Receitas!$L:$L,"&gt;="&amp;$A602,Receitas!$C:$C,P$1,Receitas!$M:$M,"Mensal")+SUMIFS(Receitas!$F:$F,Receitas!$J:$J,"&lt;="&amp;$A602,Receitas!$L:$L,"&gt;="&amp;$A602,Receitas!$C:$C,P$1,Receitas!$M:$M,$B602)</f>
        <v>0</v>
      </c>
      <c r="Q602" s="18">
        <f>SUMIFS(Receitas!$F:$F,Receitas!$J:$J,"&lt;="&amp;$A602,Receitas!$L:$L,"&gt;="&amp;$A602,Receitas!$C:$C,Q$1,Receitas!$M:$M,"Mensal")+SUMIFS(Receitas!$F:$F,Receitas!$J:$J,"&lt;="&amp;$A602,Receitas!$L:$L,"&gt;="&amp;$A602,Receitas!$C:$C,Q$1,Receitas!$M:$M,$B602)</f>
        <v>0</v>
      </c>
      <c r="R602" s="18" cm="1">
        <f t="array" ref="R602">(IF(AND(Membros!$F$2="Sim",A602&lt;=MAX(Membros!$E$2:$E$5)),Membros!K$2,IF(AND(A602&gt;=Membros!J$2,A602&lt;=MAX(Membros!$E$2:$E$5)),Membros!K$2,0))+IF(AND(Membros!$F$3="Sim",A602&lt;=MAX(Membros!$E$2:$E$5)),Membros!K$3,IF(AND(A602&gt;=Membros!J$3,A602&lt;=MAX(Membros!$E$2:$E$5)),Membros!K$3,0)))*IF(AND(COUNTIFS(Tabela3[Tipo],"Provedor",Tabela3[Simulação Seguro],"Sim")=2,A602&gt;=MAX(IF(Tabela3[Tipo]="Dependente",Tabela3[Expectativa de Vida (Data)]))),0,1)</f>
        <v>10000</v>
      </c>
      <c r="S602" s="18">
        <f t="shared" si="78"/>
        <v>10000</v>
      </c>
      <c r="U602" s="18">
        <f t="shared" ca="1" si="81"/>
        <v>39823632.704509526</v>
      </c>
      <c r="V602" s="18">
        <f>SUMIF(Imóveis!E:E,Dados!A:A,Imóveis!Z:Z)-SUMIF(Imóveis!E:E,Dados!A:A,Imóveis!Y:Y)</f>
        <v>0</v>
      </c>
      <c r="W602" s="18">
        <f>-SUMIF(Projetos!N:N,A602,Projetos!F:F)</f>
        <v>0</v>
      </c>
      <c r="X602" s="18">
        <f t="shared" si="75"/>
        <v>-27000</v>
      </c>
      <c r="Y602" s="26">
        <f ca="1">(U602*((Indicadores_Economicos!D$2+1)^(1/12)-1))</f>
        <v>130372.21065643059</v>
      </c>
      <c r="Z602" s="18">
        <f t="shared" ca="1" si="79"/>
        <v>39927004.915165961</v>
      </c>
      <c r="AA602" s="18">
        <f ca="1">Auxiliar_Projetos!E602</f>
        <v>2.7788338879979443E-9</v>
      </c>
      <c r="AB602" s="18">
        <f ca="1">Auxiliar_Projetos!K602</f>
        <v>2.1375645292291842E-9</v>
      </c>
      <c r="AC602" s="18">
        <f ca="1">IF(Z602-AA602-AB602&gt;Investimentos!$C$14,Investimentos!$C$14,IF(Z602-AA602-AB602&lt;Investimentos!$C$14,Z602-AA602-AB602,0))</f>
        <v>300000</v>
      </c>
      <c r="AD602" s="18">
        <f t="shared" ca="1" si="80"/>
        <v>39627004.915165961</v>
      </c>
      <c r="AE602" s="18"/>
    </row>
    <row r="603" spans="1:31" x14ac:dyDescent="0.2">
      <c r="A603" s="4">
        <v>63951</v>
      </c>
      <c r="B603" s="5" t="str">
        <f t="shared" si="76"/>
        <v>fevereiro</v>
      </c>
      <c r="C603" s="5" t="str">
        <f t="shared" si="82"/>
        <v>2075</v>
      </c>
      <c r="D603" s="5">
        <f>SUMIFS(Despesas!$F:$F,Despesas!$J:$J,"&lt;="&amp;$A603,Despesas!$L:$L,"&gt;="&amp;$A603,Despesas!$C:$C,D$1,Despesas!$M:$M,"Mensal")+SUMIFS(Despesas!$F:$F,Despesas!$J:$J,"&lt;="&amp;$A603,Despesas!$L:$L,"&gt;="&amp;$A603,Despesas!$C:$C,D$1,Despesas!$M:$M,$B603)</f>
        <v>23000</v>
      </c>
      <c r="E603" s="18">
        <f>SUMIFS(Despesas!$F:$F,Despesas!$J:$J,"&lt;="&amp;$A603,Despesas!$L:$L,"&gt;="&amp;$A603,Despesas!$C:$C,E$1,Despesas!$M:$M,"Mensal")+SUMIFS(Despesas!$F:$F,Despesas!$J:$J,"&lt;="&amp;$A603,Despesas!$L:$L,"&gt;="&amp;$A603,Despesas!$C:$C,E$1,Despesas!$M:$M,$B603)</f>
        <v>0</v>
      </c>
      <c r="F603" s="5">
        <f>SUMIFS(Despesas!$F:$F,Despesas!$J:$J,"&lt;="&amp;$A603,Despesas!$L:$L,"&gt;="&amp;$A603,Despesas!$C:$C,F$1,Despesas!$M:$M,"Mensal")+SUMIFS(Despesas!$F:$F,Despesas!$J:$J,"&lt;="&amp;$A603,Despesas!$L:$L,"&gt;="&amp;$A603,Despesas!$C:$C,F$1,Despesas!$M:$M,$B603)</f>
        <v>13000</v>
      </c>
      <c r="G603" s="5">
        <f>SUMIFS(Despesas!$F:$F,Despesas!$J:$J,"&lt;="&amp;$A603,Despesas!$L:$L,"&gt;="&amp;$A603,Despesas!$C:$C,G$1,Despesas!$M:$M,"Mensal")+SUMIFS(Despesas!$F:$F,Despesas!$J:$J,"&lt;="&amp;$A603,Despesas!$L:$L,"&gt;="&amp;$A603,Despesas!$C:$C,G$1,Despesas!$M:$M,$B603)</f>
        <v>0</v>
      </c>
      <c r="H603" s="18">
        <f>SUMIFS(Despesas!$F:$F,Despesas!$J:$J,"&lt;="&amp;$A603,Despesas!$L:$L,"&gt;="&amp;$A603,Despesas!$C:$C,H$1,Despesas!$M:$M,"Mensal")+SUMIFS(Despesas!$F:$F,Despesas!$J:$J,"&lt;="&amp;$A603,Despesas!$L:$L,"&gt;="&amp;$A603,Despesas!$C:$C,H$1,Despesas!$M:$M,$B603)</f>
        <v>2200</v>
      </c>
      <c r="I603" s="18">
        <f>IF(Imóveis!$F$2="PRICE",IF(AND(Dados!$A603&gt;=Imóveis!$Q$2,Dados!$A603&lt;=Imóveis!$T$2),Imóveis!$U$2,0),IF((IF(AND(Dados!$A603&gt;=Imóveis!$Q$2,Dados!$A603&lt;=Imóveis!$T$2),Imóveis!$S$2-(DATEDIF(Imóveis!$Q$2,Dados!$A603,"m")),0))=0,0,((Imóveis!$N$2/Imóveis!$S$2)+((Imóveis!$N$2-((Imóveis!$S$2-(IF(AND(Dados!$A603&gt;=Imóveis!$Q$2,Dados!$A603&lt;=Imóveis!$T$2),Imóveis!$S$2-(DATEDIF(Imóveis!$Q$2,Dados!$A603,"m")),)))*(Imóveis!$N$2/Imóveis!$S$2)))*Imóveis!$P$2))))*IF(AND(Imóveis!$E$2&gt;0,Dados!$A603&gt;Imóveis!$E$2),0,1)</f>
        <v>0</v>
      </c>
      <c r="J603" s="18">
        <f>IF(Imóveis!$F$3="PRICE",IF(AND(Dados!$A603&gt;=Imóveis!$Q$3,Dados!$A603&lt;=Imóveis!$T$3),Imóveis!$U$3,0),IF((IF(AND(Dados!$A603&gt;=Imóveis!$Q$3,Dados!$A603&lt;=Imóveis!$T$3),Imóveis!$S$3-(DATEDIF(Imóveis!$Q$3,Dados!$A603,"m")),0))=0,0,((Imóveis!$N$3/Imóveis!$S$3)+((Imóveis!$N$3-((Imóveis!$S$3-(IF(AND(Dados!$A603&gt;=Imóveis!$Q$3,Dados!$A603&lt;=Imóveis!$T$3),Imóveis!$S$3-(DATEDIF(Imóveis!$Q$3,Dados!$A603,"m")),)))*(Imóveis!$N$3/Imóveis!$S$3)))*Imóveis!$P$3))))*IF(AND(Imóveis!$E$3&gt;0,Dados!$A603&gt;Imóveis!$E$3),0,1)</f>
        <v>0</v>
      </c>
      <c r="K603" s="18">
        <f>IF(Imóveis!$F$4="PRICE",IF(AND(Dados!$A603&gt;=Imóveis!$Q$4,Dados!$A603&lt;=Imóveis!$T$4),Imóveis!$U$4,0),IF((IF(AND(Dados!$A603&gt;=Imóveis!$Q$4,Dados!$A603&lt;=Imóveis!$T$4),Imóveis!$S$4-(DATEDIF(Imóveis!$Q$4,Dados!$A603,"m")),0))=0,0,((Imóveis!$N$4/Imóveis!$S$4)+((Imóveis!$N$4-((Imóveis!$S$4-(IF(AND(Dados!$A603&gt;=Imóveis!$Q$4,Dados!$A603&lt;=Imóveis!$T$4),Imóveis!$S$4-(DATEDIF(Imóveis!$Q$4,Dados!$A603,"m")),)))*(Imóveis!$N$4/Imóveis!$S$4)))*Imóveis!$P$4))))*IF(AND(Imóveis!$E$4&gt;0,Dados!$A603&gt;Imóveis!$E$4),0,1)</f>
        <v>0</v>
      </c>
      <c r="L603" s="18">
        <f>IF(Imóveis!$F$5="PRICE",IF(AND(Dados!$A603&gt;=Imóveis!$Q$5,Dados!$A603&lt;=Imóveis!$T$5),Imóveis!$U$5,0),IF((IF(AND(Dados!$A603&gt;=Imóveis!$Q$5,Dados!$A603&lt;=Imóveis!$T$5),Imóveis!$S$5-(DATEDIF(Imóveis!$Q$5,Dados!$A603,"m")),0))=0,0,((Imóveis!$N$5/Imóveis!$S$5)+((Imóveis!$N$5-((Imóveis!$S$5-(IF(AND(Dados!$A603 &gt;=Imóveis!$Q$5,Dados!$A603&lt;=Imóveis!$T$5),Imóveis!$S$5-(DATEDIF(Imóveis!$Q$5,Dados!$A603,"m")),)))*(Imóveis!$N$5/Imóveis!$S$5)))*Imóveis!$P$5))))*IF(AND(Imóveis!$E$5&gt;0,Dados!$A603&gt;Imóveis!$E$5),0,1)*Imóveis!$I$5</f>
        <v>0</v>
      </c>
      <c r="M603" s="18">
        <f>IF(Imóveis!$F$6="PRICE",IF(AND(Dados!$A603&gt;=Imóveis!$Q$6,Dados!$A603&lt;=Imóveis!$T$6),Imóveis!$U$6,0),IF((IF(AND(Dados!$A603&gt;=Imóveis!$Q$6,Dados!$A603&lt;=Imóveis!$T$6),Imóveis!$S$6-(DATEDIF(Imóveis!$Q$6,Dados!$A603,"m")),0))=0,0,((Imóveis!$N$6/Imóveis!$S$6)+((Imóveis!$N$6-((Imóveis!$S$6-(IF(AND(Dados!$A603&gt;=Imóveis!$Q$6,Dados!$A603&lt;=Imóveis!$T$6),Imóveis!$S$6-(DATEDIF(Imóveis!$Q$6,Dados!$A603,"m")),)))*(Imóveis!$N$6/Imóveis!$S$6)))*Imóveis!$P$6))))*IF(AND(Imóveis!$E$6&gt;0,Dados!$A603&gt;Imóveis!$E$6),0,1)*Imóveis!$I$6</f>
        <v>0</v>
      </c>
      <c r="N603" s="18">
        <f t="shared" si="77"/>
        <v>38200</v>
      </c>
      <c r="O603" s="18">
        <f>SUMIFS(Receitas!$F:$F,Receitas!$J:$J,"&lt;="&amp;$A603,Receitas!$L:$L,"&gt;="&amp;$A603,Receitas!$C:$C,O$1,Receitas!$M:$M,"Mensal")+SUMIFS(Receitas!$F:$F,Receitas!$J:$J,"&lt;="&amp;$A603,Receitas!$L:$L,"&gt;="&amp;$A603,Receitas!$C:$C,O$1,Receitas!$M:$M,$B603)</f>
        <v>0</v>
      </c>
      <c r="P603" s="18">
        <f>SUMIFS(Receitas!$F:$F,Receitas!$J:$J,"&lt;="&amp;$A603,Receitas!$L:$L,"&gt;="&amp;$A603,Receitas!$C:$C,P$1,Receitas!$M:$M,"Mensal")+SUMIFS(Receitas!$F:$F,Receitas!$J:$J,"&lt;="&amp;$A603,Receitas!$L:$L,"&gt;="&amp;$A603,Receitas!$C:$C,P$1,Receitas!$M:$M,$B603)</f>
        <v>0</v>
      </c>
      <c r="Q603" s="18">
        <f>SUMIFS(Receitas!$F:$F,Receitas!$J:$J,"&lt;="&amp;$A603,Receitas!$L:$L,"&gt;="&amp;$A603,Receitas!$C:$C,Q$1,Receitas!$M:$M,"Mensal")+SUMIFS(Receitas!$F:$F,Receitas!$J:$J,"&lt;="&amp;$A603,Receitas!$L:$L,"&gt;="&amp;$A603,Receitas!$C:$C,Q$1,Receitas!$M:$M,$B603)</f>
        <v>0</v>
      </c>
      <c r="R603" s="18" cm="1">
        <f t="array" ref="R603">(IF(AND(Membros!$F$2="Sim",A603&lt;=MAX(Membros!$E$2:$E$5)),Membros!K$2,IF(AND(A603&gt;=Membros!J$2,A603&lt;=MAX(Membros!$E$2:$E$5)),Membros!K$2,0))+IF(AND(Membros!$F$3="Sim",A603&lt;=MAX(Membros!$E$2:$E$5)),Membros!K$3,IF(AND(A603&gt;=Membros!J$3,A603&lt;=MAX(Membros!$E$2:$E$5)),Membros!K$3,0)))*IF(AND(COUNTIFS(Tabela3[Tipo],"Provedor",Tabela3[Simulação Seguro],"Sim")=2,A603&gt;=MAX(IF(Tabela3[Tipo]="Dependente",Tabela3[Expectativa de Vida (Data)]))),0,1)</f>
        <v>10000</v>
      </c>
      <c r="S603" s="18">
        <f t="shared" si="78"/>
        <v>10000</v>
      </c>
      <c r="U603" s="18">
        <f t="shared" ca="1" si="81"/>
        <v>39927004.915165961</v>
      </c>
      <c r="V603" s="18">
        <f>SUMIF(Imóveis!E:E,Dados!A:A,Imóveis!Z:Z)-SUMIF(Imóveis!E:E,Dados!A:A,Imóveis!Y:Y)</f>
        <v>0</v>
      </c>
      <c r="W603" s="18">
        <f>-SUMIF(Projetos!N:N,A603,Projetos!F:F)</f>
        <v>0</v>
      </c>
      <c r="X603" s="18">
        <f t="shared" si="75"/>
        <v>-28200</v>
      </c>
      <c r="Y603" s="26">
        <f ca="1">(U603*((Indicadores_Economicos!D$2+1)^(1/12)-1))</f>
        <v>130710.6243748304</v>
      </c>
      <c r="Z603" s="18">
        <f t="shared" ca="1" si="79"/>
        <v>40029515.53954079</v>
      </c>
      <c r="AA603" s="18">
        <f ca="1">Auxiliar_Projetos!E603</f>
        <v>2.7879310670452057E-9</v>
      </c>
      <c r="AB603" s="18">
        <f ca="1">Auxiliar_Projetos!K603</f>
        <v>2.1445623592655389E-9</v>
      </c>
      <c r="AC603" s="18">
        <f ca="1">IF(Z603-AA603-AB603&gt;Investimentos!$C$14,Investimentos!$C$14,IF(Z603-AA603-AB603&lt;Investimentos!$C$14,Z603-AA603-AB603,0))</f>
        <v>300000</v>
      </c>
      <c r="AD603" s="18">
        <f t="shared" ca="1" si="80"/>
        <v>39729515.53954079</v>
      </c>
      <c r="AE603" s="18"/>
    </row>
    <row r="604" spans="1:31" x14ac:dyDescent="0.2">
      <c r="A604" s="4">
        <v>63979</v>
      </c>
      <c r="B604" s="5" t="str">
        <f t="shared" si="76"/>
        <v>março</v>
      </c>
      <c r="C604" s="5" t="str">
        <f t="shared" si="82"/>
        <v>2075</v>
      </c>
      <c r="D604" s="5">
        <f>SUMIFS(Despesas!$F:$F,Despesas!$J:$J,"&lt;="&amp;$A604,Despesas!$L:$L,"&gt;="&amp;$A604,Despesas!$C:$C,D$1,Despesas!$M:$M,"Mensal")+SUMIFS(Despesas!$F:$F,Despesas!$J:$J,"&lt;="&amp;$A604,Despesas!$L:$L,"&gt;="&amp;$A604,Despesas!$C:$C,D$1,Despesas!$M:$M,$B604)</f>
        <v>23000</v>
      </c>
      <c r="E604" s="18">
        <f>SUMIFS(Despesas!$F:$F,Despesas!$J:$J,"&lt;="&amp;$A604,Despesas!$L:$L,"&gt;="&amp;$A604,Despesas!$C:$C,E$1,Despesas!$M:$M,"Mensal")+SUMIFS(Despesas!$F:$F,Despesas!$J:$J,"&lt;="&amp;$A604,Despesas!$L:$L,"&gt;="&amp;$A604,Despesas!$C:$C,E$1,Despesas!$M:$M,$B604)</f>
        <v>0</v>
      </c>
      <c r="F604" s="5">
        <f>SUMIFS(Despesas!$F:$F,Despesas!$J:$J,"&lt;="&amp;$A604,Despesas!$L:$L,"&gt;="&amp;$A604,Despesas!$C:$C,F$1,Despesas!$M:$M,"Mensal")+SUMIFS(Despesas!$F:$F,Despesas!$J:$J,"&lt;="&amp;$A604,Despesas!$L:$L,"&gt;="&amp;$A604,Despesas!$C:$C,F$1,Despesas!$M:$M,$B604)</f>
        <v>13000</v>
      </c>
      <c r="G604" s="5">
        <f>SUMIFS(Despesas!$F:$F,Despesas!$J:$J,"&lt;="&amp;$A604,Despesas!$L:$L,"&gt;="&amp;$A604,Despesas!$C:$C,G$1,Despesas!$M:$M,"Mensal")+SUMIFS(Despesas!$F:$F,Despesas!$J:$J,"&lt;="&amp;$A604,Despesas!$L:$L,"&gt;="&amp;$A604,Despesas!$C:$C,G$1,Despesas!$M:$M,$B604)</f>
        <v>0</v>
      </c>
      <c r="H604" s="18">
        <f>SUMIFS(Despesas!$F:$F,Despesas!$J:$J,"&lt;="&amp;$A604,Despesas!$L:$L,"&gt;="&amp;$A604,Despesas!$C:$C,H$1,Despesas!$M:$M,"Mensal")+SUMIFS(Despesas!$F:$F,Despesas!$J:$J,"&lt;="&amp;$A604,Despesas!$L:$L,"&gt;="&amp;$A604,Despesas!$C:$C,H$1,Despesas!$M:$M,$B604)</f>
        <v>1000</v>
      </c>
      <c r="I604" s="18">
        <f>IF(Imóveis!$F$2="PRICE",IF(AND(Dados!$A604&gt;=Imóveis!$Q$2,Dados!$A604&lt;=Imóveis!$T$2),Imóveis!$U$2,0),IF((IF(AND(Dados!$A604&gt;=Imóveis!$Q$2,Dados!$A604&lt;=Imóveis!$T$2),Imóveis!$S$2-(DATEDIF(Imóveis!$Q$2,Dados!$A604,"m")),0))=0,0,((Imóveis!$N$2/Imóveis!$S$2)+((Imóveis!$N$2-((Imóveis!$S$2-(IF(AND(Dados!$A604&gt;=Imóveis!$Q$2,Dados!$A604&lt;=Imóveis!$T$2),Imóveis!$S$2-(DATEDIF(Imóveis!$Q$2,Dados!$A604,"m")),)))*(Imóveis!$N$2/Imóveis!$S$2)))*Imóveis!$P$2))))*IF(AND(Imóveis!$E$2&gt;0,Dados!$A604&gt;Imóveis!$E$2),0,1)</f>
        <v>0</v>
      </c>
      <c r="J604" s="18">
        <f>IF(Imóveis!$F$3="PRICE",IF(AND(Dados!$A604&gt;=Imóveis!$Q$3,Dados!$A604&lt;=Imóveis!$T$3),Imóveis!$U$3,0),IF((IF(AND(Dados!$A604&gt;=Imóveis!$Q$3,Dados!$A604&lt;=Imóveis!$T$3),Imóveis!$S$3-(DATEDIF(Imóveis!$Q$3,Dados!$A604,"m")),0))=0,0,((Imóveis!$N$3/Imóveis!$S$3)+((Imóveis!$N$3-((Imóveis!$S$3-(IF(AND(Dados!$A604&gt;=Imóveis!$Q$3,Dados!$A604&lt;=Imóveis!$T$3),Imóveis!$S$3-(DATEDIF(Imóveis!$Q$3,Dados!$A604,"m")),)))*(Imóveis!$N$3/Imóveis!$S$3)))*Imóveis!$P$3))))*IF(AND(Imóveis!$E$3&gt;0,Dados!$A604&gt;Imóveis!$E$3),0,1)</f>
        <v>0</v>
      </c>
      <c r="K604" s="18">
        <f>IF(Imóveis!$F$4="PRICE",IF(AND(Dados!$A604&gt;=Imóveis!$Q$4,Dados!$A604&lt;=Imóveis!$T$4),Imóveis!$U$4,0),IF((IF(AND(Dados!$A604&gt;=Imóveis!$Q$4,Dados!$A604&lt;=Imóveis!$T$4),Imóveis!$S$4-(DATEDIF(Imóveis!$Q$4,Dados!$A604,"m")),0))=0,0,((Imóveis!$N$4/Imóveis!$S$4)+((Imóveis!$N$4-((Imóveis!$S$4-(IF(AND(Dados!$A604&gt;=Imóveis!$Q$4,Dados!$A604&lt;=Imóveis!$T$4),Imóveis!$S$4-(DATEDIF(Imóveis!$Q$4,Dados!$A604,"m")),)))*(Imóveis!$N$4/Imóveis!$S$4)))*Imóveis!$P$4))))*IF(AND(Imóveis!$E$4&gt;0,Dados!$A604&gt;Imóveis!$E$4),0,1)</f>
        <v>0</v>
      </c>
      <c r="L604" s="18">
        <f>IF(Imóveis!$F$5="PRICE",IF(AND(Dados!$A604&gt;=Imóveis!$Q$5,Dados!$A604&lt;=Imóveis!$T$5),Imóveis!$U$5,0),IF((IF(AND(Dados!$A604&gt;=Imóveis!$Q$5,Dados!$A604&lt;=Imóveis!$T$5),Imóveis!$S$5-(DATEDIF(Imóveis!$Q$5,Dados!$A604,"m")),0))=0,0,((Imóveis!$N$5/Imóveis!$S$5)+((Imóveis!$N$5-((Imóveis!$S$5-(IF(AND(Dados!$A604 &gt;=Imóveis!$Q$5,Dados!$A604&lt;=Imóveis!$T$5),Imóveis!$S$5-(DATEDIF(Imóveis!$Q$5,Dados!$A604,"m")),)))*(Imóveis!$N$5/Imóveis!$S$5)))*Imóveis!$P$5))))*IF(AND(Imóveis!$E$5&gt;0,Dados!$A604&gt;Imóveis!$E$5),0,1)*Imóveis!$I$5</f>
        <v>0</v>
      </c>
      <c r="M604" s="18">
        <f>IF(Imóveis!$F$6="PRICE",IF(AND(Dados!$A604&gt;=Imóveis!$Q$6,Dados!$A604&lt;=Imóveis!$T$6),Imóveis!$U$6,0),IF((IF(AND(Dados!$A604&gt;=Imóveis!$Q$6,Dados!$A604&lt;=Imóveis!$T$6),Imóveis!$S$6-(DATEDIF(Imóveis!$Q$6,Dados!$A604,"m")),0))=0,0,((Imóveis!$N$6/Imóveis!$S$6)+((Imóveis!$N$6-((Imóveis!$S$6-(IF(AND(Dados!$A604&gt;=Imóveis!$Q$6,Dados!$A604&lt;=Imóveis!$T$6),Imóveis!$S$6-(DATEDIF(Imóveis!$Q$6,Dados!$A604,"m")),)))*(Imóveis!$N$6/Imóveis!$S$6)))*Imóveis!$P$6))))*IF(AND(Imóveis!$E$6&gt;0,Dados!$A604&gt;Imóveis!$E$6),0,1)*Imóveis!$I$6</f>
        <v>0</v>
      </c>
      <c r="N604" s="18">
        <f t="shared" si="77"/>
        <v>37000</v>
      </c>
      <c r="O604" s="18">
        <f>SUMIFS(Receitas!$F:$F,Receitas!$J:$J,"&lt;="&amp;$A604,Receitas!$L:$L,"&gt;="&amp;$A604,Receitas!$C:$C,O$1,Receitas!$M:$M,"Mensal")+SUMIFS(Receitas!$F:$F,Receitas!$J:$J,"&lt;="&amp;$A604,Receitas!$L:$L,"&gt;="&amp;$A604,Receitas!$C:$C,O$1,Receitas!$M:$M,$B604)</f>
        <v>0</v>
      </c>
      <c r="P604" s="18">
        <f>SUMIFS(Receitas!$F:$F,Receitas!$J:$J,"&lt;="&amp;$A604,Receitas!$L:$L,"&gt;="&amp;$A604,Receitas!$C:$C,P$1,Receitas!$M:$M,"Mensal")+SUMIFS(Receitas!$F:$F,Receitas!$J:$J,"&lt;="&amp;$A604,Receitas!$L:$L,"&gt;="&amp;$A604,Receitas!$C:$C,P$1,Receitas!$M:$M,$B604)</f>
        <v>0</v>
      </c>
      <c r="Q604" s="18">
        <f>SUMIFS(Receitas!$F:$F,Receitas!$J:$J,"&lt;="&amp;$A604,Receitas!$L:$L,"&gt;="&amp;$A604,Receitas!$C:$C,Q$1,Receitas!$M:$M,"Mensal")+SUMIFS(Receitas!$F:$F,Receitas!$J:$J,"&lt;="&amp;$A604,Receitas!$L:$L,"&gt;="&amp;$A604,Receitas!$C:$C,Q$1,Receitas!$M:$M,$B604)</f>
        <v>0</v>
      </c>
      <c r="R604" s="18" cm="1">
        <f t="array" ref="R604">(IF(AND(Membros!$F$2="Sim",A604&lt;=MAX(Membros!$E$2:$E$5)),Membros!K$2,IF(AND(A604&gt;=Membros!J$2,A604&lt;=MAX(Membros!$E$2:$E$5)),Membros!K$2,0))+IF(AND(Membros!$F$3="Sim",A604&lt;=MAX(Membros!$E$2:$E$5)),Membros!K$3,IF(AND(A604&gt;=Membros!J$3,A604&lt;=MAX(Membros!$E$2:$E$5)),Membros!K$3,0)))*IF(AND(COUNTIFS(Tabela3[Tipo],"Provedor",Tabela3[Simulação Seguro],"Sim")=2,A604&gt;=MAX(IF(Tabela3[Tipo]="Dependente",Tabela3[Expectativa de Vida (Data)]))),0,1)</f>
        <v>10000</v>
      </c>
      <c r="S604" s="18">
        <f t="shared" si="78"/>
        <v>10000</v>
      </c>
      <c r="U604" s="18">
        <f t="shared" ca="1" si="81"/>
        <v>40029515.53954079</v>
      </c>
      <c r="V604" s="18">
        <f>SUMIF(Imóveis!E:E,Dados!A:A,Imóveis!Z:Z)-SUMIF(Imóveis!E:E,Dados!A:A,Imóveis!Y:Y)</f>
        <v>0</v>
      </c>
      <c r="W604" s="18">
        <f>-SUMIF(Projetos!N:N,A604,Projetos!F:F)</f>
        <v>0</v>
      </c>
      <c r="X604" s="18">
        <f t="shared" si="75"/>
        <v>-27000</v>
      </c>
      <c r="Y604" s="26">
        <f ca="1">(U604*((Indicadores_Economicos!D$2+1)^(1/12)-1))</f>
        <v>131046.21748394433</v>
      </c>
      <c r="Z604" s="18">
        <f t="shared" ca="1" si="79"/>
        <v>40133561.757024735</v>
      </c>
      <c r="AA604" s="18">
        <f ca="1">Auxiliar_Projetos!E604</f>
        <v>2.7970580278894197E-9</v>
      </c>
      <c r="AB604" s="18">
        <f ca="1">Auxiliar_Projetos!K604</f>
        <v>2.1515830983764731E-9</v>
      </c>
      <c r="AC604" s="18">
        <f ca="1">IF(Z604-AA604-AB604&gt;Investimentos!$C$14,Investimentos!$C$14,IF(Z604-AA604-AB604&lt;Investimentos!$C$14,Z604-AA604-AB604,0))</f>
        <v>300000</v>
      </c>
      <c r="AD604" s="18">
        <f t="shared" ca="1" si="80"/>
        <v>39833561.757024735</v>
      </c>
      <c r="AE604" s="18"/>
    </row>
    <row r="605" spans="1:31" x14ac:dyDescent="0.2">
      <c r="A605" s="4">
        <v>64010</v>
      </c>
      <c r="B605" s="5" t="str">
        <f t="shared" si="76"/>
        <v>abril</v>
      </c>
      <c r="C605" s="5" t="str">
        <f t="shared" si="82"/>
        <v>2075</v>
      </c>
      <c r="D605" s="5">
        <f>SUMIFS(Despesas!$F:$F,Despesas!$J:$J,"&lt;="&amp;$A605,Despesas!$L:$L,"&gt;="&amp;$A605,Despesas!$C:$C,D$1,Despesas!$M:$M,"Mensal")+SUMIFS(Despesas!$F:$F,Despesas!$J:$J,"&lt;="&amp;$A605,Despesas!$L:$L,"&gt;="&amp;$A605,Despesas!$C:$C,D$1,Despesas!$M:$M,$B605)</f>
        <v>23000</v>
      </c>
      <c r="E605" s="18">
        <f>SUMIFS(Despesas!$F:$F,Despesas!$J:$J,"&lt;="&amp;$A605,Despesas!$L:$L,"&gt;="&amp;$A605,Despesas!$C:$C,E$1,Despesas!$M:$M,"Mensal")+SUMIFS(Despesas!$F:$F,Despesas!$J:$J,"&lt;="&amp;$A605,Despesas!$L:$L,"&gt;="&amp;$A605,Despesas!$C:$C,E$1,Despesas!$M:$M,$B605)</f>
        <v>0</v>
      </c>
      <c r="F605" s="5">
        <f>SUMIFS(Despesas!$F:$F,Despesas!$J:$J,"&lt;="&amp;$A605,Despesas!$L:$L,"&gt;="&amp;$A605,Despesas!$C:$C,F$1,Despesas!$M:$M,"Mensal")+SUMIFS(Despesas!$F:$F,Despesas!$J:$J,"&lt;="&amp;$A605,Despesas!$L:$L,"&gt;="&amp;$A605,Despesas!$C:$C,F$1,Despesas!$M:$M,$B605)</f>
        <v>13000</v>
      </c>
      <c r="G605" s="5">
        <f>SUMIFS(Despesas!$F:$F,Despesas!$J:$J,"&lt;="&amp;$A605,Despesas!$L:$L,"&gt;="&amp;$A605,Despesas!$C:$C,G$1,Despesas!$M:$M,"Mensal")+SUMIFS(Despesas!$F:$F,Despesas!$J:$J,"&lt;="&amp;$A605,Despesas!$L:$L,"&gt;="&amp;$A605,Despesas!$C:$C,G$1,Despesas!$M:$M,$B605)</f>
        <v>0</v>
      </c>
      <c r="H605" s="18">
        <f>SUMIFS(Despesas!$F:$F,Despesas!$J:$J,"&lt;="&amp;$A605,Despesas!$L:$L,"&gt;="&amp;$A605,Despesas!$C:$C,H$1,Despesas!$M:$M,"Mensal")+SUMIFS(Despesas!$F:$F,Despesas!$J:$J,"&lt;="&amp;$A605,Despesas!$L:$L,"&gt;="&amp;$A605,Despesas!$C:$C,H$1,Despesas!$M:$M,$B605)</f>
        <v>1000</v>
      </c>
      <c r="I605" s="18">
        <f>IF(Imóveis!$F$2="PRICE",IF(AND(Dados!$A605&gt;=Imóveis!$Q$2,Dados!$A605&lt;=Imóveis!$T$2),Imóveis!$U$2,0),IF((IF(AND(Dados!$A605&gt;=Imóveis!$Q$2,Dados!$A605&lt;=Imóveis!$T$2),Imóveis!$S$2-(DATEDIF(Imóveis!$Q$2,Dados!$A605,"m")),0))=0,0,((Imóveis!$N$2/Imóveis!$S$2)+((Imóveis!$N$2-((Imóveis!$S$2-(IF(AND(Dados!$A605&gt;=Imóveis!$Q$2,Dados!$A605&lt;=Imóveis!$T$2),Imóveis!$S$2-(DATEDIF(Imóveis!$Q$2,Dados!$A605,"m")),)))*(Imóveis!$N$2/Imóveis!$S$2)))*Imóveis!$P$2))))*IF(AND(Imóveis!$E$2&gt;0,Dados!$A605&gt;Imóveis!$E$2),0,1)</f>
        <v>0</v>
      </c>
      <c r="J605" s="18">
        <f>IF(Imóveis!$F$3="PRICE",IF(AND(Dados!$A605&gt;=Imóveis!$Q$3,Dados!$A605&lt;=Imóveis!$T$3),Imóveis!$U$3,0),IF((IF(AND(Dados!$A605&gt;=Imóveis!$Q$3,Dados!$A605&lt;=Imóveis!$T$3),Imóveis!$S$3-(DATEDIF(Imóveis!$Q$3,Dados!$A605,"m")),0))=0,0,((Imóveis!$N$3/Imóveis!$S$3)+((Imóveis!$N$3-((Imóveis!$S$3-(IF(AND(Dados!$A605&gt;=Imóveis!$Q$3,Dados!$A605&lt;=Imóveis!$T$3),Imóveis!$S$3-(DATEDIF(Imóveis!$Q$3,Dados!$A605,"m")),)))*(Imóveis!$N$3/Imóveis!$S$3)))*Imóveis!$P$3))))*IF(AND(Imóveis!$E$3&gt;0,Dados!$A605&gt;Imóveis!$E$3),0,1)</f>
        <v>0</v>
      </c>
      <c r="K605" s="18">
        <f>IF(Imóveis!$F$4="PRICE",IF(AND(Dados!$A605&gt;=Imóveis!$Q$4,Dados!$A605&lt;=Imóveis!$T$4),Imóveis!$U$4,0),IF((IF(AND(Dados!$A605&gt;=Imóveis!$Q$4,Dados!$A605&lt;=Imóveis!$T$4),Imóveis!$S$4-(DATEDIF(Imóveis!$Q$4,Dados!$A605,"m")),0))=0,0,((Imóveis!$N$4/Imóveis!$S$4)+((Imóveis!$N$4-((Imóveis!$S$4-(IF(AND(Dados!$A605&gt;=Imóveis!$Q$4,Dados!$A605&lt;=Imóveis!$T$4),Imóveis!$S$4-(DATEDIF(Imóveis!$Q$4,Dados!$A605,"m")),)))*(Imóveis!$N$4/Imóveis!$S$4)))*Imóveis!$P$4))))*IF(AND(Imóveis!$E$4&gt;0,Dados!$A605&gt;Imóveis!$E$4),0,1)</f>
        <v>0</v>
      </c>
      <c r="L605" s="18">
        <f>IF(Imóveis!$F$5="PRICE",IF(AND(Dados!$A605&gt;=Imóveis!$Q$5,Dados!$A605&lt;=Imóveis!$T$5),Imóveis!$U$5,0),IF((IF(AND(Dados!$A605&gt;=Imóveis!$Q$5,Dados!$A605&lt;=Imóveis!$T$5),Imóveis!$S$5-(DATEDIF(Imóveis!$Q$5,Dados!$A605,"m")),0))=0,0,((Imóveis!$N$5/Imóveis!$S$5)+((Imóveis!$N$5-((Imóveis!$S$5-(IF(AND(Dados!$A605 &gt;=Imóveis!$Q$5,Dados!$A605&lt;=Imóveis!$T$5),Imóveis!$S$5-(DATEDIF(Imóveis!$Q$5,Dados!$A605,"m")),)))*(Imóveis!$N$5/Imóveis!$S$5)))*Imóveis!$P$5))))*IF(AND(Imóveis!$E$5&gt;0,Dados!$A605&gt;Imóveis!$E$5),0,1)*Imóveis!$I$5</f>
        <v>0</v>
      </c>
      <c r="M605" s="18">
        <f>IF(Imóveis!$F$6="PRICE",IF(AND(Dados!$A605&gt;=Imóveis!$Q$6,Dados!$A605&lt;=Imóveis!$T$6),Imóveis!$U$6,0),IF((IF(AND(Dados!$A605&gt;=Imóveis!$Q$6,Dados!$A605&lt;=Imóveis!$T$6),Imóveis!$S$6-(DATEDIF(Imóveis!$Q$6,Dados!$A605,"m")),0))=0,0,((Imóveis!$N$6/Imóveis!$S$6)+((Imóveis!$N$6-((Imóveis!$S$6-(IF(AND(Dados!$A605&gt;=Imóveis!$Q$6,Dados!$A605&lt;=Imóveis!$T$6),Imóveis!$S$6-(DATEDIF(Imóveis!$Q$6,Dados!$A605,"m")),)))*(Imóveis!$N$6/Imóveis!$S$6)))*Imóveis!$P$6))))*IF(AND(Imóveis!$E$6&gt;0,Dados!$A605&gt;Imóveis!$E$6),0,1)*Imóveis!$I$6</f>
        <v>0</v>
      </c>
      <c r="N605" s="18">
        <f t="shared" si="77"/>
        <v>37000</v>
      </c>
      <c r="O605" s="18">
        <f>SUMIFS(Receitas!$F:$F,Receitas!$J:$J,"&lt;="&amp;$A605,Receitas!$L:$L,"&gt;="&amp;$A605,Receitas!$C:$C,O$1,Receitas!$M:$M,"Mensal")+SUMIFS(Receitas!$F:$F,Receitas!$J:$J,"&lt;="&amp;$A605,Receitas!$L:$L,"&gt;="&amp;$A605,Receitas!$C:$C,O$1,Receitas!$M:$M,$B605)</f>
        <v>0</v>
      </c>
      <c r="P605" s="18">
        <f>SUMIFS(Receitas!$F:$F,Receitas!$J:$J,"&lt;="&amp;$A605,Receitas!$L:$L,"&gt;="&amp;$A605,Receitas!$C:$C,P$1,Receitas!$M:$M,"Mensal")+SUMIFS(Receitas!$F:$F,Receitas!$J:$J,"&lt;="&amp;$A605,Receitas!$L:$L,"&gt;="&amp;$A605,Receitas!$C:$C,P$1,Receitas!$M:$M,$B605)</f>
        <v>0</v>
      </c>
      <c r="Q605" s="18">
        <f>SUMIFS(Receitas!$F:$F,Receitas!$J:$J,"&lt;="&amp;$A605,Receitas!$L:$L,"&gt;="&amp;$A605,Receitas!$C:$C,Q$1,Receitas!$M:$M,"Mensal")+SUMIFS(Receitas!$F:$F,Receitas!$J:$J,"&lt;="&amp;$A605,Receitas!$L:$L,"&gt;="&amp;$A605,Receitas!$C:$C,Q$1,Receitas!$M:$M,$B605)</f>
        <v>0</v>
      </c>
      <c r="R605" s="18" cm="1">
        <f t="array" ref="R605">(IF(AND(Membros!$F$2="Sim",A605&lt;=MAX(Membros!$E$2:$E$5)),Membros!K$2,IF(AND(A605&gt;=Membros!J$2,A605&lt;=MAX(Membros!$E$2:$E$5)),Membros!K$2,0))+IF(AND(Membros!$F$3="Sim",A605&lt;=MAX(Membros!$E$2:$E$5)),Membros!K$3,IF(AND(A605&gt;=Membros!J$3,A605&lt;=MAX(Membros!$E$2:$E$5)),Membros!K$3,0)))*IF(AND(COUNTIFS(Tabela3[Tipo],"Provedor",Tabela3[Simulação Seguro],"Sim")=2,A605&gt;=MAX(IF(Tabela3[Tipo]="Dependente",Tabela3[Expectativa de Vida (Data)]))),0,1)</f>
        <v>10000</v>
      </c>
      <c r="S605" s="18">
        <f t="shared" si="78"/>
        <v>10000</v>
      </c>
      <c r="U605" s="18">
        <f t="shared" ca="1" si="81"/>
        <v>40133561.757024735</v>
      </c>
      <c r="V605" s="18">
        <f>SUMIF(Imóveis!E:E,Dados!A:A,Imóveis!Z:Z)-SUMIF(Imóveis!E:E,Dados!A:A,Imóveis!Y:Y)</f>
        <v>0</v>
      </c>
      <c r="W605" s="18">
        <f>-SUMIF(Projetos!N:N,A605,Projetos!F:F)</f>
        <v>0</v>
      </c>
      <c r="X605" s="18">
        <f t="shared" si="75"/>
        <v>-27000</v>
      </c>
      <c r="Y605" s="26">
        <f ca="1">(U605*((Indicadores_Economicos!D$2+1)^(1/12)-1))</f>
        <v>131386.83772530884</v>
      </c>
      <c r="Z605" s="18">
        <f t="shared" ca="1" si="79"/>
        <v>40237948.594750047</v>
      </c>
      <c r="AA605" s="18">
        <f ca="1">Auxiliar_Projetos!E605</f>
        <v>2.8062148680284402E-9</v>
      </c>
      <c r="AB605" s="18">
        <f ca="1">Auxiliar_Projetos!K605</f>
        <v>2.1586268215603351E-9</v>
      </c>
      <c r="AC605" s="18">
        <f ca="1">IF(Z605-AA605-AB605&gt;Investimentos!$C$14,Investimentos!$C$14,IF(Z605-AA605-AB605&lt;Investimentos!$C$14,Z605-AA605-AB605,0))</f>
        <v>300000</v>
      </c>
      <c r="AD605" s="18">
        <f t="shared" ca="1" si="80"/>
        <v>39937948.594750047</v>
      </c>
      <c r="AE605" s="18"/>
    </row>
    <row r="606" spans="1:31" x14ac:dyDescent="0.2">
      <c r="A606" s="4">
        <v>64040</v>
      </c>
      <c r="B606" s="5" t="str">
        <f t="shared" si="76"/>
        <v>maio</v>
      </c>
      <c r="C606" s="5" t="str">
        <f t="shared" si="82"/>
        <v>2075</v>
      </c>
      <c r="D606" s="5">
        <f>SUMIFS(Despesas!$F:$F,Despesas!$J:$J,"&lt;="&amp;$A606,Despesas!$L:$L,"&gt;="&amp;$A606,Despesas!$C:$C,D$1,Despesas!$M:$M,"Mensal")+SUMIFS(Despesas!$F:$F,Despesas!$J:$J,"&lt;="&amp;$A606,Despesas!$L:$L,"&gt;="&amp;$A606,Despesas!$C:$C,D$1,Despesas!$M:$M,$B606)</f>
        <v>23000</v>
      </c>
      <c r="E606" s="18">
        <f>SUMIFS(Despesas!$F:$F,Despesas!$J:$J,"&lt;="&amp;$A606,Despesas!$L:$L,"&gt;="&amp;$A606,Despesas!$C:$C,E$1,Despesas!$M:$M,"Mensal")+SUMIFS(Despesas!$F:$F,Despesas!$J:$J,"&lt;="&amp;$A606,Despesas!$L:$L,"&gt;="&amp;$A606,Despesas!$C:$C,E$1,Despesas!$M:$M,$B606)</f>
        <v>0</v>
      </c>
      <c r="F606" s="5">
        <f>SUMIFS(Despesas!$F:$F,Despesas!$J:$J,"&lt;="&amp;$A606,Despesas!$L:$L,"&gt;="&amp;$A606,Despesas!$C:$C,F$1,Despesas!$M:$M,"Mensal")+SUMIFS(Despesas!$F:$F,Despesas!$J:$J,"&lt;="&amp;$A606,Despesas!$L:$L,"&gt;="&amp;$A606,Despesas!$C:$C,F$1,Despesas!$M:$M,$B606)</f>
        <v>13000</v>
      </c>
      <c r="G606" s="5">
        <f>SUMIFS(Despesas!$F:$F,Despesas!$J:$J,"&lt;="&amp;$A606,Despesas!$L:$L,"&gt;="&amp;$A606,Despesas!$C:$C,G$1,Despesas!$M:$M,"Mensal")+SUMIFS(Despesas!$F:$F,Despesas!$J:$J,"&lt;="&amp;$A606,Despesas!$L:$L,"&gt;="&amp;$A606,Despesas!$C:$C,G$1,Despesas!$M:$M,$B606)</f>
        <v>0</v>
      </c>
      <c r="H606" s="18">
        <f>SUMIFS(Despesas!$F:$F,Despesas!$J:$J,"&lt;="&amp;$A606,Despesas!$L:$L,"&gt;="&amp;$A606,Despesas!$C:$C,H$1,Despesas!$M:$M,"Mensal")+SUMIFS(Despesas!$F:$F,Despesas!$J:$J,"&lt;="&amp;$A606,Despesas!$L:$L,"&gt;="&amp;$A606,Despesas!$C:$C,H$1,Despesas!$M:$M,$B606)</f>
        <v>1000</v>
      </c>
      <c r="I606" s="18">
        <f>IF(Imóveis!$F$2="PRICE",IF(AND(Dados!$A606&gt;=Imóveis!$Q$2,Dados!$A606&lt;=Imóveis!$T$2),Imóveis!$U$2,0),IF((IF(AND(Dados!$A606&gt;=Imóveis!$Q$2,Dados!$A606&lt;=Imóveis!$T$2),Imóveis!$S$2-(DATEDIF(Imóveis!$Q$2,Dados!$A606,"m")),0))=0,0,((Imóveis!$N$2/Imóveis!$S$2)+((Imóveis!$N$2-((Imóveis!$S$2-(IF(AND(Dados!$A606&gt;=Imóveis!$Q$2,Dados!$A606&lt;=Imóveis!$T$2),Imóveis!$S$2-(DATEDIF(Imóveis!$Q$2,Dados!$A606,"m")),)))*(Imóveis!$N$2/Imóveis!$S$2)))*Imóveis!$P$2))))*IF(AND(Imóveis!$E$2&gt;0,Dados!$A606&gt;Imóveis!$E$2),0,1)</f>
        <v>0</v>
      </c>
      <c r="J606" s="18">
        <f>IF(Imóveis!$F$3="PRICE",IF(AND(Dados!$A606&gt;=Imóveis!$Q$3,Dados!$A606&lt;=Imóveis!$T$3),Imóveis!$U$3,0),IF((IF(AND(Dados!$A606&gt;=Imóveis!$Q$3,Dados!$A606&lt;=Imóveis!$T$3),Imóveis!$S$3-(DATEDIF(Imóveis!$Q$3,Dados!$A606,"m")),0))=0,0,((Imóveis!$N$3/Imóveis!$S$3)+((Imóveis!$N$3-((Imóveis!$S$3-(IF(AND(Dados!$A606&gt;=Imóveis!$Q$3,Dados!$A606&lt;=Imóveis!$T$3),Imóveis!$S$3-(DATEDIF(Imóveis!$Q$3,Dados!$A606,"m")),)))*(Imóveis!$N$3/Imóveis!$S$3)))*Imóveis!$P$3))))*IF(AND(Imóveis!$E$3&gt;0,Dados!$A606&gt;Imóveis!$E$3),0,1)</f>
        <v>0</v>
      </c>
      <c r="K606" s="18">
        <f>IF(Imóveis!$F$4="PRICE",IF(AND(Dados!$A606&gt;=Imóveis!$Q$4,Dados!$A606&lt;=Imóveis!$T$4),Imóveis!$U$4,0),IF((IF(AND(Dados!$A606&gt;=Imóveis!$Q$4,Dados!$A606&lt;=Imóveis!$T$4),Imóveis!$S$4-(DATEDIF(Imóveis!$Q$4,Dados!$A606,"m")),0))=0,0,((Imóveis!$N$4/Imóveis!$S$4)+((Imóveis!$N$4-((Imóveis!$S$4-(IF(AND(Dados!$A606&gt;=Imóveis!$Q$4,Dados!$A606&lt;=Imóveis!$T$4),Imóveis!$S$4-(DATEDIF(Imóveis!$Q$4,Dados!$A606,"m")),)))*(Imóveis!$N$4/Imóveis!$S$4)))*Imóveis!$P$4))))*IF(AND(Imóveis!$E$4&gt;0,Dados!$A606&gt;Imóveis!$E$4),0,1)</f>
        <v>0</v>
      </c>
      <c r="L606" s="18">
        <f>IF(Imóveis!$F$5="PRICE",IF(AND(Dados!$A606&gt;=Imóveis!$Q$5,Dados!$A606&lt;=Imóveis!$T$5),Imóveis!$U$5,0),IF((IF(AND(Dados!$A606&gt;=Imóveis!$Q$5,Dados!$A606&lt;=Imóveis!$T$5),Imóveis!$S$5-(DATEDIF(Imóveis!$Q$5,Dados!$A606,"m")),0))=0,0,((Imóveis!$N$5/Imóveis!$S$5)+((Imóveis!$N$5-((Imóveis!$S$5-(IF(AND(Dados!$A606 &gt;=Imóveis!$Q$5,Dados!$A606&lt;=Imóveis!$T$5),Imóveis!$S$5-(DATEDIF(Imóveis!$Q$5,Dados!$A606,"m")),)))*(Imóveis!$N$5/Imóveis!$S$5)))*Imóveis!$P$5))))*IF(AND(Imóveis!$E$5&gt;0,Dados!$A606&gt;Imóveis!$E$5),0,1)*Imóveis!$I$5</f>
        <v>0</v>
      </c>
      <c r="M606" s="18">
        <f>IF(Imóveis!$F$6="PRICE",IF(AND(Dados!$A606&gt;=Imóveis!$Q$6,Dados!$A606&lt;=Imóveis!$T$6),Imóveis!$U$6,0),IF((IF(AND(Dados!$A606&gt;=Imóveis!$Q$6,Dados!$A606&lt;=Imóveis!$T$6),Imóveis!$S$6-(DATEDIF(Imóveis!$Q$6,Dados!$A606,"m")),0))=0,0,((Imóveis!$N$6/Imóveis!$S$6)+((Imóveis!$N$6-((Imóveis!$S$6-(IF(AND(Dados!$A606&gt;=Imóveis!$Q$6,Dados!$A606&lt;=Imóveis!$T$6),Imóveis!$S$6-(DATEDIF(Imóveis!$Q$6,Dados!$A606,"m")),)))*(Imóveis!$N$6/Imóveis!$S$6)))*Imóveis!$P$6))))*IF(AND(Imóveis!$E$6&gt;0,Dados!$A606&gt;Imóveis!$E$6),0,1)*Imóveis!$I$6</f>
        <v>0</v>
      </c>
      <c r="N606" s="18">
        <f t="shared" si="77"/>
        <v>37000</v>
      </c>
      <c r="O606" s="18">
        <f>SUMIFS(Receitas!$F:$F,Receitas!$J:$J,"&lt;="&amp;$A606,Receitas!$L:$L,"&gt;="&amp;$A606,Receitas!$C:$C,O$1,Receitas!$M:$M,"Mensal")+SUMIFS(Receitas!$F:$F,Receitas!$J:$J,"&lt;="&amp;$A606,Receitas!$L:$L,"&gt;="&amp;$A606,Receitas!$C:$C,O$1,Receitas!$M:$M,$B606)</f>
        <v>0</v>
      </c>
      <c r="P606" s="18">
        <f>SUMIFS(Receitas!$F:$F,Receitas!$J:$J,"&lt;="&amp;$A606,Receitas!$L:$L,"&gt;="&amp;$A606,Receitas!$C:$C,P$1,Receitas!$M:$M,"Mensal")+SUMIFS(Receitas!$F:$F,Receitas!$J:$J,"&lt;="&amp;$A606,Receitas!$L:$L,"&gt;="&amp;$A606,Receitas!$C:$C,P$1,Receitas!$M:$M,$B606)</f>
        <v>0</v>
      </c>
      <c r="Q606" s="18">
        <f>SUMIFS(Receitas!$F:$F,Receitas!$J:$J,"&lt;="&amp;$A606,Receitas!$L:$L,"&gt;="&amp;$A606,Receitas!$C:$C,Q$1,Receitas!$M:$M,"Mensal")+SUMIFS(Receitas!$F:$F,Receitas!$J:$J,"&lt;="&amp;$A606,Receitas!$L:$L,"&gt;="&amp;$A606,Receitas!$C:$C,Q$1,Receitas!$M:$M,$B606)</f>
        <v>0</v>
      </c>
      <c r="R606" s="18" cm="1">
        <f t="array" ref="R606">(IF(AND(Membros!$F$2="Sim",A606&lt;=MAX(Membros!$E$2:$E$5)),Membros!K$2,IF(AND(A606&gt;=Membros!J$2,A606&lt;=MAX(Membros!$E$2:$E$5)),Membros!K$2,0))+IF(AND(Membros!$F$3="Sim",A606&lt;=MAX(Membros!$E$2:$E$5)),Membros!K$3,IF(AND(A606&gt;=Membros!J$3,A606&lt;=MAX(Membros!$E$2:$E$5)),Membros!K$3,0)))*IF(AND(COUNTIFS(Tabela3[Tipo],"Provedor",Tabela3[Simulação Seguro],"Sim")=2,A606&gt;=MAX(IF(Tabela3[Tipo]="Dependente",Tabela3[Expectativa de Vida (Data)]))),0,1)</f>
        <v>10000</v>
      </c>
      <c r="S606" s="18">
        <f t="shared" si="78"/>
        <v>10000</v>
      </c>
      <c r="U606" s="18">
        <f t="shared" ca="1" si="81"/>
        <v>40237948.594750047</v>
      </c>
      <c r="V606" s="18">
        <f>SUMIF(Imóveis!E:E,Dados!A:A,Imóveis!Z:Z)-SUMIF(Imóveis!E:E,Dados!A:A,Imóveis!Y:Y)</f>
        <v>0</v>
      </c>
      <c r="W606" s="18">
        <f>-SUMIF(Projetos!N:N,A606,Projetos!F:F)</f>
        <v>0</v>
      </c>
      <c r="X606" s="18">
        <f t="shared" si="75"/>
        <v>-27000</v>
      </c>
      <c r="Y606" s="26">
        <f ca="1">(U606*((Indicadores_Economicos!D$2+1)^(1/12)-1))</f>
        <v>131728.57306870812</v>
      </c>
      <c r="Z606" s="18">
        <f t="shared" ca="1" si="79"/>
        <v>40342677.167818755</v>
      </c>
      <c r="AA606" s="18">
        <f ca="1">Auxiliar_Projetos!E606</f>
        <v>2.8154016852793029E-9</v>
      </c>
      <c r="AB606" s="18">
        <f ca="1">Auxiliar_Projetos!K606</f>
        <v>2.1656936040609987E-9</v>
      </c>
      <c r="AC606" s="18">
        <f ca="1">IF(Z606-AA606-AB606&gt;Investimentos!$C$14,Investimentos!$C$14,IF(Z606-AA606-AB606&lt;Investimentos!$C$14,Z606-AA606-AB606,0))</f>
        <v>300000</v>
      </c>
      <c r="AD606" s="18">
        <f t="shared" ca="1" si="80"/>
        <v>40042677.167818755</v>
      </c>
      <c r="AE606" s="18"/>
    </row>
    <row r="607" spans="1:31" x14ac:dyDescent="0.2">
      <c r="A607" s="4">
        <v>64071</v>
      </c>
      <c r="B607" s="5" t="str">
        <f t="shared" si="76"/>
        <v>junho</v>
      </c>
      <c r="C607" s="5" t="str">
        <f t="shared" si="82"/>
        <v>2075</v>
      </c>
      <c r="D607" s="5">
        <f>SUMIFS(Despesas!$F:$F,Despesas!$J:$J,"&lt;="&amp;$A607,Despesas!$L:$L,"&gt;="&amp;$A607,Despesas!$C:$C,D$1,Despesas!$M:$M,"Mensal")+SUMIFS(Despesas!$F:$F,Despesas!$J:$J,"&lt;="&amp;$A607,Despesas!$L:$L,"&gt;="&amp;$A607,Despesas!$C:$C,D$1,Despesas!$M:$M,$B607)</f>
        <v>23000</v>
      </c>
      <c r="E607" s="18">
        <f>SUMIFS(Despesas!$F:$F,Despesas!$J:$J,"&lt;="&amp;$A607,Despesas!$L:$L,"&gt;="&amp;$A607,Despesas!$C:$C,E$1,Despesas!$M:$M,"Mensal")+SUMIFS(Despesas!$F:$F,Despesas!$J:$J,"&lt;="&amp;$A607,Despesas!$L:$L,"&gt;="&amp;$A607,Despesas!$C:$C,E$1,Despesas!$M:$M,$B607)</f>
        <v>0</v>
      </c>
      <c r="F607" s="5">
        <f>SUMIFS(Despesas!$F:$F,Despesas!$J:$J,"&lt;="&amp;$A607,Despesas!$L:$L,"&gt;="&amp;$A607,Despesas!$C:$C,F$1,Despesas!$M:$M,"Mensal")+SUMIFS(Despesas!$F:$F,Despesas!$J:$J,"&lt;="&amp;$A607,Despesas!$L:$L,"&gt;="&amp;$A607,Despesas!$C:$C,F$1,Despesas!$M:$M,$B607)</f>
        <v>13000</v>
      </c>
      <c r="G607" s="5">
        <f>SUMIFS(Despesas!$F:$F,Despesas!$J:$J,"&lt;="&amp;$A607,Despesas!$L:$L,"&gt;="&amp;$A607,Despesas!$C:$C,G$1,Despesas!$M:$M,"Mensal")+SUMIFS(Despesas!$F:$F,Despesas!$J:$J,"&lt;="&amp;$A607,Despesas!$L:$L,"&gt;="&amp;$A607,Despesas!$C:$C,G$1,Despesas!$M:$M,$B607)</f>
        <v>0</v>
      </c>
      <c r="H607" s="18">
        <f>SUMIFS(Despesas!$F:$F,Despesas!$J:$J,"&lt;="&amp;$A607,Despesas!$L:$L,"&gt;="&amp;$A607,Despesas!$C:$C,H$1,Despesas!$M:$M,"Mensal")+SUMIFS(Despesas!$F:$F,Despesas!$J:$J,"&lt;="&amp;$A607,Despesas!$L:$L,"&gt;="&amp;$A607,Despesas!$C:$C,H$1,Despesas!$M:$M,$B607)</f>
        <v>1000</v>
      </c>
      <c r="I607" s="18">
        <f>IF(Imóveis!$F$2="PRICE",IF(AND(Dados!$A607&gt;=Imóveis!$Q$2,Dados!$A607&lt;=Imóveis!$T$2),Imóveis!$U$2,0),IF((IF(AND(Dados!$A607&gt;=Imóveis!$Q$2,Dados!$A607&lt;=Imóveis!$T$2),Imóveis!$S$2-(DATEDIF(Imóveis!$Q$2,Dados!$A607,"m")),0))=0,0,((Imóveis!$N$2/Imóveis!$S$2)+((Imóveis!$N$2-((Imóveis!$S$2-(IF(AND(Dados!$A607&gt;=Imóveis!$Q$2,Dados!$A607&lt;=Imóveis!$T$2),Imóveis!$S$2-(DATEDIF(Imóveis!$Q$2,Dados!$A607,"m")),)))*(Imóveis!$N$2/Imóveis!$S$2)))*Imóveis!$P$2))))*IF(AND(Imóveis!$E$2&gt;0,Dados!$A607&gt;Imóveis!$E$2),0,1)</f>
        <v>0</v>
      </c>
      <c r="J607" s="18">
        <f>IF(Imóveis!$F$3="PRICE",IF(AND(Dados!$A607&gt;=Imóveis!$Q$3,Dados!$A607&lt;=Imóveis!$T$3),Imóveis!$U$3,0),IF((IF(AND(Dados!$A607&gt;=Imóveis!$Q$3,Dados!$A607&lt;=Imóveis!$T$3),Imóveis!$S$3-(DATEDIF(Imóveis!$Q$3,Dados!$A607,"m")),0))=0,0,((Imóveis!$N$3/Imóveis!$S$3)+((Imóveis!$N$3-((Imóveis!$S$3-(IF(AND(Dados!$A607&gt;=Imóveis!$Q$3,Dados!$A607&lt;=Imóveis!$T$3),Imóveis!$S$3-(DATEDIF(Imóveis!$Q$3,Dados!$A607,"m")),)))*(Imóveis!$N$3/Imóveis!$S$3)))*Imóveis!$P$3))))*IF(AND(Imóveis!$E$3&gt;0,Dados!$A607&gt;Imóveis!$E$3),0,1)</f>
        <v>0</v>
      </c>
      <c r="K607" s="18">
        <f>IF(Imóveis!$F$4="PRICE",IF(AND(Dados!$A607&gt;=Imóveis!$Q$4,Dados!$A607&lt;=Imóveis!$T$4),Imóveis!$U$4,0),IF((IF(AND(Dados!$A607&gt;=Imóveis!$Q$4,Dados!$A607&lt;=Imóveis!$T$4),Imóveis!$S$4-(DATEDIF(Imóveis!$Q$4,Dados!$A607,"m")),0))=0,0,((Imóveis!$N$4/Imóveis!$S$4)+((Imóveis!$N$4-((Imóveis!$S$4-(IF(AND(Dados!$A607&gt;=Imóveis!$Q$4,Dados!$A607&lt;=Imóveis!$T$4),Imóveis!$S$4-(DATEDIF(Imóveis!$Q$4,Dados!$A607,"m")),)))*(Imóveis!$N$4/Imóveis!$S$4)))*Imóveis!$P$4))))*IF(AND(Imóveis!$E$4&gt;0,Dados!$A607&gt;Imóveis!$E$4),0,1)</f>
        <v>0</v>
      </c>
      <c r="L607" s="18">
        <f>IF(Imóveis!$F$5="PRICE",IF(AND(Dados!$A607&gt;=Imóveis!$Q$5,Dados!$A607&lt;=Imóveis!$T$5),Imóveis!$U$5,0),IF((IF(AND(Dados!$A607&gt;=Imóveis!$Q$5,Dados!$A607&lt;=Imóveis!$T$5),Imóveis!$S$5-(DATEDIF(Imóveis!$Q$5,Dados!$A607,"m")),0))=0,0,((Imóveis!$N$5/Imóveis!$S$5)+((Imóveis!$N$5-((Imóveis!$S$5-(IF(AND(Dados!$A607 &gt;=Imóveis!$Q$5,Dados!$A607&lt;=Imóveis!$T$5),Imóveis!$S$5-(DATEDIF(Imóveis!$Q$5,Dados!$A607,"m")),)))*(Imóveis!$N$5/Imóveis!$S$5)))*Imóveis!$P$5))))*IF(AND(Imóveis!$E$5&gt;0,Dados!$A607&gt;Imóveis!$E$5),0,1)*Imóveis!$I$5</f>
        <v>0</v>
      </c>
      <c r="M607" s="18">
        <f>IF(Imóveis!$F$6="PRICE",IF(AND(Dados!$A607&gt;=Imóveis!$Q$6,Dados!$A607&lt;=Imóveis!$T$6),Imóveis!$U$6,0),IF((IF(AND(Dados!$A607&gt;=Imóveis!$Q$6,Dados!$A607&lt;=Imóveis!$T$6),Imóveis!$S$6-(DATEDIF(Imóveis!$Q$6,Dados!$A607,"m")),0))=0,0,((Imóveis!$N$6/Imóveis!$S$6)+((Imóveis!$N$6-((Imóveis!$S$6-(IF(AND(Dados!$A607&gt;=Imóveis!$Q$6,Dados!$A607&lt;=Imóveis!$T$6),Imóveis!$S$6-(DATEDIF(Imóveis!$Q$6,Dados!$A607,"m")),)))*(Imóveis!$N$6/Imóveis!$S$6)))*Imóveis!$P$6))))*IF(AND(Imóveis!$E$6&gt;0,Dados!$A607&gt;Imóveis!$E$6),0,1)*Imóveis!$I$6</f>
        <v>0</v>
      </c>
      <c r="N607" s="18">
        <f t="shared" si="77"/>
        <v>37000</v>
      </c>
      <c r="O607" s="18">
        <f>SUMIFS(Receitas!$F:$F,Receitas!$J:$J,"&lt;="&amp;$A607,Receitas!$L:$L,"&gt;="&amp;$A607,Receitas!$C:$C,O$1,Receitas!$M:$M,"Mensal")+SUMIFS(Receitas!$F:$F,Receitas!$J:$J,"&lt;="&amp;$A607,Receitas!$L:$L,"&gt;="&amp;$A607,Receitas!$C:$C,O$1,Receitas!$M:$M,$B607)</f>
        <v>0</v>
      </c>
      <c r="P607" s="18">
        <f>SUMIFS(Receitas!$F:$F,Receitas!$J:$J,"&lt;="&amp;$A607,Receitas!$L:$L,"&gt;="&amp;$A607,Receitas!$C:$C,P$1,Receitas!$M:$M,"Mensal")+SUMIFS(Receitas!$F:$F,Receitas!$J:$J,"&lt;="&amp;$A607,Receitas!$L:$L,"&gt;="&amp;$A607,Receitas!$C:$C,P$1,Receitas!$M:$M,$B607)</f>
        <v>0</v>
      </c>
      <c r="Q607" s="18">
        <f>SUMIFS(Receitas!$F:$F,Receitas!$J:$J,"&lt;="&amp;$A607,Receitas!$L:$L,"&gt;="&amp;$A607,Receitas!$C:$C,Q$1,Receitas!$M:$M,"Mensal")+SUMIFS(Receitas!$F:$F,Receitas!$J:$J,"&lt;="&amp;$A607,Receitas!$L:$L,"&gt;="&amp;$A607,Receitas!$C:$C,Q$1,Receitas!$M:$M,$B607)</f>
        <v>0</v>
      </c>
      <c r="R607" s="18" cm="1">
        <f t="array" ref="R607">(IF(AND(Membros!$F$2="Sim",A607&lt;=MAX(Membros!$E$2:$E$5)),Membros!K$2,IF(AND(A607&gt;=Membros!J$2,A607&lt;=MAX(Membros!$E$2:$E$5)),Membros!K$2,0))+IF(AND(Membros!$F$3="Sim",A607&lt;=MAX(Membros!$E$2:$E$5)),Membros!K$3,IF(AND(A607&gt;=Membros!J$3,A607&lt;=MAX(Membros!$E$2:$E$5)),Membros!K$3,0)))*IF(AND(COUNTIFS(Tabela3[Tipo],"Provedor",Tabela3[Simulação Seguro],"Sim")=2,A607&gt;=MAX(IF(Tabela3[Tipo]="Dependente",Tabela3[Expectativa de Vida (Data)]))),0,1)</f>
        <v>10000</v>
      </c>
      <c r="S607" s="18">
        <f t="shared" si="78"/>
        <v>10000</v>
      </c>
      <c r="U607" s="18">
        <f t="shared" ca="1" si="81"/>
        <v>40342677.167818755</v>
      </c>
      <c r="V607" s="18">
        <f>SUMIF(Imóveis!E:E,Dados!A:A,Imóveis!Z:Z)-SUMIF(Imóveis!E:E,Dados!A:A,Imóveis!Y:Y)</f>
        <v>0</v>
      </c>
      <c r="W607" s="18">
        <f>-SUMIF(Projetos!N:N,A607,Projetos!F:F)</f>
        <v>0</v>
      </c>
      <c r="X607" s="18">
        <f t="shared" si="75"/>
        <v>-27000</v>
      </c>
      <c r="Y607" s="26">
        <f ca="1">(U607*((Indicadores_Economicos!D$2+1)^(1/12)-1))</f>
        <v>132071.4271646961</v>
      </c>
      <c r="Z607" s="18">
        <f t="shared" ca="1" si="79"/>
        <v>40447748.594983451</v>
      </c>
      <c r="AA607" s="18">
        <f ca="1">Auxiliar_Projetos!E607</f>
        <v>2.8246185777792715E-9</v>
      </c>
      <c r="AB607" s="18">
        <f ca="1">Auxiliar_Projetos!K607</f>
        <v>2.1727835213686671E-9</v>
      </c>
      <c r="AC607" s="18">
        <f ca="1">IF(Z607-AA607-AB607&gt;Investimentos!$C$14,Investimentos!$C$14,IF(Z607-AA607-AB607&lt;Investimentos!$C$14,Z607-AA607-AB607,0))</f>
        <v>300000</v>
      </c>
      <c r="AD607" s="18">
        <f t="shared" ca="1" si="80"/>
        <v>40147748.594983451</v>
      </c>
      <c r="AE607" s="18"/>
    </row>
    <row r="608" spans="1:31" x14ac:dyDescent="0.2">
      <c r="A608" s="4">
        <v>64101</v>
      </c>
      <c r="B608" s="5" t="str">
        <f t="shared" si="76"/>
        <v>julho</v>
      </c>
      <c r="C608" s="5" t="str">
        <f t="shared" si="82"/>
        <v>2075</v>
      </c>
      <c r="D608" s="5">
        <f>SUMIFS(Despesas!$F:$F,Despesas!$J:$J,"&lt;="&amp;$A608,Despesas!$L:$L,"&gt;="&amp;$A608,Despesas!$C:$C,D$1,Despesas!$M:$M,"Mensal")+SUMIFS(Despesas!$F:$F,Despesas!$J:$J,"&lt;="&amp;$A608,Despesas!$L:$L,"&gt;="&amp;$A608,Despesas!$C:$C,D$1,Despesas!$M:$M,$B608)</f>
        <v>23000</v>
      </c>
      <c r="E608" s="18">
        <f>SUMIFS(Despesas!$F:$F,Despesas!$J:$J,"&lt;="&amp;$A608,Despesas!$L:$L,"&gt;="&amp;$A608,Despesas!$C:$C,E$1,Despesas!$M:$M,"Mensal")+SUMIFS(Despesas!$F:$F,Despesas!$J:$J,"&lt;="&amp;$A608,Despesas!$L:$L,"&gt;="&amp;$A608,Despesas!$C:$C,E$1,Despesas!$M:$M,$B608)</f>
        <v>0</v>
      </c>
      <c r="F608" s="5">
        <f>SUMIFS(Despesas!$F:$F,Despesas!$J:$J,"&lt;="&amp;$A608,Despesas!$L:$L,"&gt;="&amp;$A608,Despesas!$C:$C,F$1,Despesas!$M:$M,"Mensal")+SUMIFS(Despesas!$F:$F,Despesas!$J:$J,"&lt;="&amp;$A608,Despesas!$L:$L,"&gt;="&amp;$A608,Despesas!$C:$C,F$1,Despesas!$M:$M,$B608)</f>
        <v>13000</v>
      </c>
      <c r="G608" s="5">
        <f ca="1">SUMIFS(Despesas!$F:$F,Despesas!$J:$J,"&lt;="&amp;$A608,Despesas!$L:$L,"&gt;="&amp;$A608,Despesas!$C:$C,G$1,Despesas!$M:$M,"Mensal")+SUMIFS(Despesas!$F:$F,Despesas!$J:$J,"&lt;="&amp;$A608,Despesas!$L:$L,"&gt;="&amp;$A608,Despesas!$C:$C,G$1,Despesas!$M:$M,$B608)</f>
        <v>55757</v>
      </c>
      <c r="H608" s="18">
        <f>SUMIFS(Despesas!$F:$F,Despesas!$J:$J,"&lt;="&amp;$A608,Despesas!$L:$L,"&gt;="&amp;$A608,Despesas!$C:$C,H$1,Despesas!$M:$M,"Mensal")+SUMIFS(Despesas!$F:$F,Despesas!$J:$J,"&lt;="&amp;$A608,Despesas!$L:$L,"&gt;="&amp;$A608,Despesas!$C:$C,H$1,Despesas!$M:$M,$B608)</f>
        <v>1000</v>
      </c>
      <c r="I608" s="18">
        <f>IF(Imóveis!$F$2="PRICE",IF(AND(Dados!$A608&gt;=Imóveis!$Q$2,Dados!$A608&lt;=Imóveis!$T$2),Imóveis!$U$2,0),IF((IF(AND(Dados!$A608&gt;=Imóveis!$Q$2,Dados!$A608&lt;=Imóveis!$T$2),Imóveis!$S$2-(DATEDIF(Imóveis!$Q$2,Dados!$A608,"m")),0))=0,0,((Imóveis!$N$2/Imóveis!$S$2)+((Imóveis!$N$2-((Imóveis!$S$2-(IF(AND(Dados!$A608&gt;=Imóveis!$Q$2,Dados!$A608&lt;=Imóveis!$T$2),Imóveis!$S$2-(DATEDIF(Imóveis!$Q$2,Dados!$A608,"m")),)))*(Imóveis!$N$2/Imóveis!$S$2)))*Imóveis!$P$2))))*IF(AND(Imóveis!$E$2&gt;0,Dados!$A608&gt;Imóveis!$E$2),0,1)</f>
        <v>0</v>
      </c>
      <c r="J608" s="18">
        <f>IF(Imóveis!$F$3="PRICE",IF(AND(Dados!$A608&gt;=Imóveis!$Q$3,Dados!$A608&lt;=Imóveis!$T$3),Imóveis!$U$3,0),IF((IF(AND(Dados!$A608&gt;=Imóveis!$Q$3,Dados!$A608&lt;=Imóveis!$T$3),Imóveis!$S$3-(DATEDIF(Imóveis!$Q$3,Dados!$A608,"m")),0))=0,0,((Imóveis!$N$3/Imóveis!$S$3)+((Imóveis!$N$3-((Imóveis!$S$3-(IF(AND(Dados!$A608&gt;=Imóveis!$Q$3,Dados!$A608&lt;=Imóveis!$T$3),Imóveis!$S$3-(DATEDIF(Imóveis!$Q$3,Dados!$A608,"m")),)))*(Imóveis!$N$3/Imóveis!$S$3)))*Imóveis!$P$3))))*IF(AND(Imóveis!$E$3&gt;0,Dados!$A608&gt;Imóveis!$E$3),0,1)</f>
        <v>0</v>
      </c>
      <c r="K608" s="18">
        <f>IF(Imóveis!$F$4="PRICE",IF(AND(Dados!$A608&gt;=Imóveis!$Q$4,Dados!$A608&lt;=Imóveis!$T$4),Imóveis!$U$4,0),IF((IF(AND(Dados!$A608&gt;=Imóveis!$Q$4,Dados!$A608&lt;=Imóveis!$T$4),Imóveis!$S$4-(DATEDIF(Imóveis!$Q$4,Dados!$A608,"m")),0))=0,0,((Imóveis!$N$4/Imóveis!$S$4)+((Imóveis!$N$4-((Imóveis!$S$4-(IF(AND(Dados!$A608&gt;=Imóveis!$Q$4,Dados!$A608&lt;=Imóveis!$T$4),Imóveis!$S$4-(DATEDIF(Imóveis!$Q$4,Dados!$A608,"m")),)))*(Imóveis!$N$4/Imóveis!$S$4)))*Imóveis!$P$4))))*IF(AND(Imóveis!$E$4&gt;0,Dados!$A608&gt;Imóveis!$E$4),0,1)</f>
        <v>0</v>
      </c>
      <c r="L608" s="18">
        <f>IF(Imóveis!$F$5="PRICE",IF(AND(Dados!$A608&gt;=Imóveis!$Q$5,Dados!$A608&lt;=Imóveis!$T$5),Imóveis!$U$5,0),IF((IF(AND(Dados!$A608&gt;=Imóveis!$Q$5,Dados!$A608&lt;=Imóveis!$T$5),Imóveis!$S$5-(DATEDIF(Imóveis!$Q$5,Dados!$A608,"m")),0))=0,0,((Imóveis!$N$5/Imóveis!$S$5)+((Imóveis!$N$5-((Imóveis!$S$5-(IF(AND(Dados!$A608 &gt;=Imóveis!$Q$5,Dados!$A608&lt;=Imóveis!$T$5),Imóveis!$S$5-(DATEDIF(Imóveis!$Q$5,Dados!$A608,"m")),)))*(Imóveis!$N$5/Imóveis!$S$5)))*Imóveis!$P$5))))*IF(AND(Imóveis!$E$5&gt;0,Dados!$A608&gt;Imóveis!$E$5),0,1)*Imóveis!$I$5</f>
        <v>0</v>
      </c>
      <c r="M608" s="18">
        <f>IF(Imóveis!$F$6="PRICE",IF(AND(Dados!$A608&gt;=Imóveis!$Q$6,Dados!$A608&lt;=Imóveis!$T$6),Imóveis!$U$6,0),IF((IF(AND(Dados!$A608&gt;=Imóveis!$Q$6,Dados!$A608&lt;=Imóveis!$T$6),Imóveis!$S$6-(DATEDIF(Imóveis!$Q$6,Dados!$A608,"m")),0))=0,0,((Imóveis!$N$6/Imóveis!$S$6)+((Imóveis!$N$6-((Imóveis!$S$6-(IF(AND(Dados!$A608&gt;=Imóveis!$Q$6,Dados!$A608&lt;=Imóveis!$T$6),Imóveis!$S$6-(DATEDIF(Imóveis!$Q$6,Dados!$A608,"m")),)))*(Imóveis!$N$6/Imóveis!$S$6)))*Imóveis!$P$6))))*IF(AND(Imóveis!$E$6&gt;0,Dados!$A608&gt;Imóveis!$E$6),0,1)*Imóveis!$I$6</f>
        <v>0</v>
      </c>
      <c r="N608" s="18">
        <f t="shared" ca="1" si="77"/>
        <v>92757</v>
      </c>
      <c r="O608" s="18">
        <f>SUMIFS(Receitas!$F:$F,Receitas!$J:$J,"&lt;="&amp;$A608,Receitas!$L:$L,"&gt;="&amp;$A608,Receitas!$C:$C,O$1,Receitas!$M:$M,"Mensal")+SUMIFS(Receitas!$F:$F,Receitas!$J:$J,"&lt;="&amp;$A608,Receitas!$L:$L,"&gt;="&amp;$A608,Receitas!$C:$C,O$1,Receitas!$M:$M,$B608)</f>
        <v>0</v>
      </c>
      <c r="P608" s="18">
        <f>SUMIFS(Receitas!$F:$F,Receitas!$J:$J,"&lt;="&amp;$A608,Receitas!$L:$L,"&gt;="&amp;$A608,Receitas!$C:$C,P$1,Receitas!$M:$M,"Mensal")+SUMIFS(Receitas!$F:$F,Receitas!$J:$J,"&lt;="&amp;$A608,Receitas!$L:$L,"&gt;="&amp;$A608,Receitas!$C:$C,P$1,Receitas!$M:$M,$B608)</f>
        <v>0</v>
      </c>
      <c r="Q608" s="18">
        <f>SUMIFS(Receitas!$F:$F,Receitas!$J:$J,"&lt;="&amp;$A608,Receitas!$L:$L,"&gt;="&amp;$A608,Receitas!$C:$C,Q$1,Receitas!$M:$M,"Mensal")+SUMIFS(Receitas!$F:$F,Receitas!$J:$J,"&lt;="&amp;$A608,Receitas!$L:$L,"&gt;="&amp;$A608,Receitas!$C:$C,Q$1,Receitas!$M:$M,$B608)</f>
        <v>0</v>
      </c>
      <c r="R608" s="18" cm="1">
        <f t="array" ref="R608">(IF(AND(Membros!$F$2="Sim",A608&lt;=MAX(Membros!$E$2:$E$5)),Membros!K$2,IF(AND(A608&gt;=Membros!J$2,A608&lt;=MAX(Membros!$E$2:$E$5)),Membros!K$2,0))+IF(AND(Membros!$F$3="Sim",A608&lt;=MAX(Membros!$E$2:$E$5)),Membros!K$3,IF(AND(A608&gt;=Membros!J$3,A608&lt;=MAX(Membros!$E$2:$E$5)),Membros!K$3,0)))*IF(AND(COUNTIFS(Tabela3[Tipo],"Provedor",Tabela3[Simulação Seguro],"Sim")=2,A608&gt;=MAX(IF(Tabela3[Tipo]="Dependente",Tabela3[Expectativa de Vida (Data)]))),0,1)</f>
        <v>10000</v>
      </c>
      <c r="S608" s="18">
        <f t="shared" si="78"/>
        <v>10000</v>
      </c>
      <c r="U608" s="18">
        <f t="shared" ca="1" si="81"/>
        <v>40447748.594983451</v>
      </c>
      <c r="V608" s="18">
        <f>SUMIF(Imóveis!E:E,Dados!A:A,Imóveis!Z:Z)-SUMIF(Imóveis!E:E,Dados!A:A,Imóveis!Y:Y)</f>
        <v>0</v>
      </c>
      <c r="W608" s="18">
        <f>-SUMIF(Projetos!N:N,A608,Projetos!F:F)</f>
        <v>0</v>
      </c>
      <c r="X608" s="18">
        <f t="shared" ca="1" si="75"/>
        <v>-82757</v>
      </c>
      <c r="Y608" s="26">
        <f ca="1">(U608*((Indicadores_Economicos!D$2+1)^(1/12)-1))</f>
        <v>132415.40367577758</v>
      </c>
      <c r="Z608" s="18">
        <f t="shared" ca="1" si="79"/>
        <v>40497406.998659231</v>
      </c>
      <c r="AA608" s="18">
        <f ca="1">Auxiliar_Projetos!E608</f>
        <v>2.8338656439868855E-9</v>
      </c>
      <c r="AB608" s="18">
        <f ca="1">Auxiliar_Projetos!K608</f>
        <v>2.179896649220678E-9</v>
      </c>
      <c r="AC608" s="18">
        <f ca="1">IF(Z608-AA608-AB608&gt;Investimentos!$C$14,Investimentos!$C$14,IF(Z608-AA608-AB608&lt;Investimentos!$C$14,Z608-AA608-AB608,0))</f>
        <v>300000</v>
      </c>
      <c r="AD608" s="18">
        <f t="shared" ca="1" si="80"/>
        <v>40197406.998659231</v>
      </c>
      <c r="AE608" s="18"/>
    </row>
    <row r="609" spans="1:31" x14ac:dyDescent="0.2">
      <c r="A609" s="4">
        <v>64132</v>
      </c>
      <c r="B609" s="5" t="str">
        <f t="shared" si="76"/>
        <v>agosto</v>
      </c>
      <c r="C609" s="5" t="str">
        <f t="shared" si="82"/>
        <v>2075</v>
      </c>
      <c r="D609" s="5">
        <f>SUMIFS(Despesas!$F:$F,Despesas!$J:$J,"&lt;="&amp;$A609,Despesas!$L:$L,"&gt;="&amp;$A609,Despesas!$C:$C,D$1,Despesas!$M:$M,"Mensal")+SUMIFS(Despesas!$F:$F,Despesas!$J:$J,"&lt;="&amp;$A609,Despesas!$L:$L,"&gt;="&amp;$A609,Despesas!$C:$C,D$1,Despesas!$M:$M,$B609)</f>
        <v>23000</v>
      </c>
      <c r="E609" s="18">
        <f>SUMIFS(Despesas!$F:$F,Despesas!$J:$J,"&lt;="&amp;$A609,Despesas!$L:$L,"&gt;="&amp;$A609,Despesas!$C:$C,E$1,Despesas!$M:$M,"Mensal")+SUMIFS(Despesas!$F:$F,Despesas!$J:$J,"&lt;="&amp;$A609,Despesas!$L:$L,"&gt;="&amp;$A609,Despesas!$C:$C,E$1,Despesas!$M:$M,$B609)</f>
        <v>0</v>
      </c>
      <c r="F609" s="5">
        <f>SUMIFS(Despesas!$F:$F,Despesas!$J:$J,"&lt;="&amp;$A609,Despesas!$L:$L,"&gt;="&amp;$A609,Despesas!$C:$C,F$1,Despesas!$M:$M,"Mensal")+SUMIFS(Despesas!$F:$F,Despesas!$J:$J,"&lt;="&amp;$A609,Despesas!$L:$L,"&gt;="&amp;$A609,Despesas!$C:$C,F$1,Despesas!$M:$M,$B609)</f>
        <v>13000</v>
      </c>
      <c r="G609" s="5">
        <f>SUMIFS(Despesas!$F:$F,Despesas!$J:$J,"&lt;="&amp;$A609,Despesas!$L:$L,"&gt;="&amp;$A609,Despesas!$C:$C,G$1,Despesas!$M:$M,"Mensal")+SUMIFS(Despesas!$F:$F,Despesas!$J:$J,"&lt;="&amp;$A609,Despesas!$L:$L,"&gt;="&amp;$A609,Despesas!$C:$C,G$1,Despesas!$M:$M,$B609)</f>
        <v>0</v>
      </c>
      <c r="H609" s="18">
        <f>SUMIFS(Despesas!$F:$F,Despesas!$J:$J,"&lt;="&amp;$A609,Despesas!$L:$L,"&gt;="&amp;$A609,Despesas!$C:$C,H$1,Despesas!$M:$M,"Mensal")+SUMIFS(Despesas!$F:$F,Despesas!$J:$J,"&lt;="&amp;$A609,Despesas!$L:$L,"&gt;="&amp;$A609,Despesas!$C:$C,H$1,Despesas!$M:$M,$B609)</f>
        <v>1000</v>
      </c>
      <c r="I609" s="18">
        <f>IF(Imóveis!$F$2="PRICE",IF(AND(Dados!$A609&gt;=Imóveis!$Q$2,Dados!$A609&lt;=Imóveis!$T$2),Imóveis!$U$2,0),IF((IF(AND(Dados!$A609&gt;=Imóveis!$Q$2,Dados!$A609&lt;=Imóveis!$T$2),Imóveis!$S$2-(DATEDIF(Imóveis!$Q$2,Dados!$A609,"m")),0))=0,0,((Imóveis!$N$2/Imóveis!$S$2)+((Imóveis!$N$2-((Imóveis!$S$2-(IF(AND(Dados!$A609&gt;=Imóveis!$Q$2,Dados!$A609&lt;=Imóveis!$T$2),Imóveis!$S$2-(DATEDIF(Imóveis!$Q$2,Dados!$A609,"m")),)))*(Imóveis!$N$2/Imóveis!$S$2)))*Imóveis!$P$2))))*IF(AND(Imóveis!$E$2&gt;0,Dados!$A609&gt;Imóveis!$E$2),0,1)</f>
        <v>0</v>
      </c>
      <c r="J609" s="18">
        <f>IF(Imóveis!$F$3="PRICE",IF(AND(Dados!$A609&gt;=Imóveis!$Q$3,Dados!$A609&lt;=Imóveis!$T$3),Imóveis!$U$3,0),IF((IF(AND(Dados!$A609&gt;=Imóveis!$Q$3,Dados!$A609&lt;=Imóveis!$T$3),Imóveis!$S$3-(DATEDIF(Imóveis!$Q$3,Dados!$A609,"m")),0))=0,0,((Imóveis!$N$3/Imóveis!$S$3)+((Imóveis!$N$3-((Imóveis!$S$3-(IF(AND(Dados!$A609&gt;=Imóveis!$Q$3,Dados!$A609&lt;=Imóveis!$T$3),Imóveis!$S$3-(DATEDIF(Imóveis!$Q$3,Dados!$A609,"m")),)))*(Imóveis!$N$3/Imóveis!$S$3)))*Imóveis!$P$3))))*IF(AND(Imóveis!$E$3&gt;0,Dados!$A609&gt;Imóveis!$E$3),0,1)</f>
        <v>0</v>
      </c>
      <c r="K609" s="18">
        <f>IF(Imóveis!$F$4="PRICE",IF(AND(Dados!$A609&gt;=Imóveis!$Q$4,Dados!$A609&lt;=Imóveis!$T$4),Imóveis!$U$4,0),IF((IF(AND(Dados!$A609&gt;=Imóveis!$Q$4,Dados!$A609&lt;=Imóveis!$T$4),Imóveis!$S$4-(DATEDIF(Imóveis!$Q$4,Dados!$A609,"m")),0))=0,0,((Imóveis!$N$4/Imóveis!$S$4)+((Imóveis!$N$4-((Imóveis!$S$4-(IF(AND(Dados!$A609&gt;=Imóveis!$Q$4,Dados!$A609&lt;=Imóveis!$T$4),Imóveis!$S$4-(DATEDIF(Imóveis!$Q$4,Dados!$A609,"m")),)))*(Imóveis!$N$4/Imóveis!$S$4)))*Imóveis!$P$4))))*IF(AND(Imóveis!$E$4&gt;0,Dados!$A609&gt;Imóveis!$E$4),0,1)</f>
        <v>0</v>
      </c>
      <c r="L609" s="18">
        <f>IF(Imóveis!$F$5="PRICE",IF(AND(Dados!$A609&gt;=Imóveis!$Q$5,Dados!$A609&lt;=Imóveis!$T$5),Imóveis!$U$5,0),IF((IF(AND(Dados!$A609&gt;=Imóveis!$Q$5,Dados!$A609&lt;=Imóveis!$T$5),Imóveis!$S$5-(DATEDIF(Imóveis!$Q$5,Dados!$A609,"m")),0))=0,0,((Imóveis!$N$5/Imóveis!$S$5)+((Imóveis!$N$5-((Imóveis!$S$5-(IF(AND(Dados!$A609 &gt;=Imóveis!$Q$5,Dados!$A609&lt;=Imóveis!$T$5),Imóveis!$S$5-(DATEDIF(Imóveis!$Q$5,Dados!$A609,"m")),)))*(Imóveis!$N$5/Imóveis!$S$5)))*Imóveis!$P$5))))*IF(AND(Imóveis!$E$5&gt;0,Dados!$A609&gt;Imóveis!$E$5),0,1)*Imóveis!$I$5</f>
        <v>0</v>
      </c>
      <c r="M609" s="18">
        <f>IF(Imóveis!$F$6="PRICE",IF(AND(Dados!$A609&gt;=Imóveis!$Q$6,Dados!$A609&lt;=Imóveis!$T$6),Imóveis!$U$6,0),IF((IF(AND(Dados!$A609&gt;=Imóveis!$Q$6,Dados!$A609&lt;=Imóveis!$T$6),Imóveis!$S$6-(DATEDIF(Imóveis!$Q$6,Dados!$A609,"m")),0))=0,0,((Imóveis!$N$6/Imóveis!$S$6)+((Imóveis!$N$6-((Imóveis!$S$6-(IF(AND(Dados!$A609&gt;=Imóveis!$Q$6,Dados!$A609&lt;=Imóveis!$T$6),Imóveis!$S$6-(DATEDIF(Imóveis!$Q$6,Dados!$A609,"m")),)))*(Imóveis!$N$6/Imóveis!$S$6)))*Imóveis!$P$6))))*IF(AND(Imóveis!$E$6&gt;0,Dados!$A609&gt;Imóveis!$E$6),0,1)*Imóveis!$I$6</f>
        <v>0</v>
      </c>
      <c r="N609" s="18">
        <f t="shared" si="77"/>
        <v>37000</v>
      </c>
      <c r="O609" s="18">
        <f>SUMIFS(Receitas!$F:$F,Receitas!$J:$J,"&lt;="&amp;$A609,Receitas!$L:$L,"&gt;="&amp;$A609,Receitas!$C:$C,O$1,Receitas!$M:$M,"Mensal")+SUMIFS(Receitas!$F:$F,Receitas!$J:$J,"&lt;="&amp;$A609,Receitas!$L:$L,"&gt;="&amp;$A609,Receitas!$C:$C,O$1,Receitas!$M:$M,$B609)</f>
        <v>0</v>
      </c>
      <c r="P609" s="18">
        <f>SUMIFS(Receitas!$F:$F,Receitas!$J:$J,"&lt;="&amp;$A609,Receitas!$L:$L,"&gt;="&amp;$A609,Receitas!$C:$C,P$1,Receitas!$M:$M,"Mensal")+SUMIFS(Receitas!$F:$F,Receitas!$J:$J,"&lt;="&amp;$A609,Receitas!$L:$L,"&gt;="&amp;$A609,Receitas!$C:$C,P$1,Receitas!$M:$M,$B609)</f>
        <v>0</v>
      </c>
      <c r="Q609" s="18">
        <f>SUMIFS(Receitas!$F:$F,Receitas!$J:$J,"&lt;="&amp;$A609,Receitas!$L:$L,"&gt;="&amp;$A609,Receitas!$C:$C,Q$1,Receitas!$M:$M,"Mensal")+SUMIFS(Receitas!$F:$F,Receitas!$J:$J,"&lt;="&amp;$A609,Receitas!$L:$L,"&gt;="&amp;$A609,Receitas!$C:$C,Q$1,Receitas!$M:$M,$B609)</f>
        <v>0</v>
      </c>
      <c r="R609" s="18" cm="1">
        <f t="array" ref="R609">(IF(AND(Membros!$F$2="Sim",A609&lt;=MAX(Membros!$E$2:$E$5)),Membros!K$2,IF(AND(A609&gt;=Membros!J$2,A609&lt;=MAX(Membros!$E$2:$E$5)),Membros!K$2,0))+IF(AND(Membros!$F$3="Sim",A609&lt;=MAX(Membros!$E$2:$E$5)),Membros!K$3,IF(AND(A609&gt;=Membros!J$3,A609&lt;=MAX(Membros!$E$2:$E$5)),Membros!K$3,0)))*IF(AND(COUNTIFS(Tabela3[Tipo],"Provedor",Tabela3[Simulação Seguro],"Sim")=2,A609&gt;=MAX(IF(Tabela3[Tipo]="Dependente",Tabela3[Expectativa de Vida (Data)]))),0,1)</f>
        <v>10000</v>
      </c>
      <c r="S609" s="18">
        <f t="shared" si="78"/>
        <v>10000</v>
      </c>
      <c r="U609" s="18">
        <f t="shared" ca="1" si="81"/>
        <v>40497406.998659231</v>
      </c>
      <c r="V609" s="18">
        <f>SUMIF(Imóveis!E:E,Dados!A:A,Imóveis!Z:Z)-SUMIF(Imóveis!E:E,Dados!A:A,Imóveis!Y:Y)</f>
        <v>0</v>
      </c>
      <c r="W609" s="18">
        <f>-SUMIF(Projetos!N:N,A609,Projetos!F:F)</f>
        <v>0</v>
      </c>
      <c r="X609" s="18">
        <f t="shared" si="75"/>
        <v>-27000</v>
      </c>
      <c r="Y609" s="26">
        <f ca="1">(U609*((Indicadores_Economicos!D$2+1)^(1/12)-1))</f>
        <v>132577.97236741148</v>
      </c>
      <c r="Z609" s="18">
        <f t="shared" ca="1" si="79"/>
        <v>40602984.971026644</v>
      </c>
      <c r="AA609" s="18">
        <f ca="1">Auxiliar_Projetos!E609</f>
        <v>2.8431429826830122E-9</v>
      </c>
      <c r="AB609" s="18">
        <f ca="1">Auxiliar_Projetos!K609</f>
        <v>2.1870330636023137E-9</v>
      </c>
      <c r="AC609" s="18">
        <f ca="1">IF(Z609-AA609-AB609&gt;Investimentos!$C$14,Investimentos!$C$14,IF(Z609-AA609-AB609&lt;Investimentos!$C$14,Z609-AA609-AB609,0))</f>
        <v>300000</v>
      </c>
      <c r="AD609" s="18">
        <f t="shared" ca="1" si="80"/>
        <v>40302984.971026644</v>
      </c>
      <c r="AE609" s="18"/>
    </row>
    <row r="610" spans="1:31" x14ac:dyDescent="0.2">
      <c r="A610" s="4">
        <v>64163</v>
      </c>
      <c r="B610" s="5" t="str">
        <f t="shared" si="76"/>
        <v>setembro</v>
      </c>
      <c r="C610" s="5" t="str">
        <f t="shared" si="82"/>
        <v>2075</v>
      </c>
      <c r="D610" s="5">
        <f>SUMIFS(Despesas!$F:$F,Despesas!$J:$J,"&lt;="&amp;$A610,Despesas!$L:$L,"&gt;="&amp;$A610,Despesas!$C:$C,D$1,Despesas!$M:$M,"Mensal")+SUMIFS(Despesas!$F:$F,Despesas!$J:$J,"&lt;="&amp;$A610,Despesas!$L:$L,"&gt;="&amp;$A610,Despesas!$C:$C,D$1,Despesas!$M:$M,$B610)</f>
        <v>23000</v>
      </c>
      <c r="E610" s="18">
        <f>SUMIFS(Despesas!$F:$F,Despesas!$J:$J,"&lt;="&amp;$A610,Despesas!$L:$L,"&gt;="&amp;$A610,Despesas!$C:$C,E$1,Despesas!$M:$M,"Mensal")+SUMIFS(Despesas!$F:$F,Despesas!$J:$J,"&lt;="&amp;$A610,Despesas!$L:$L,"&gt;="&amp;$A610,Despesas!$C:$C,E$1,Despesas!$M:$M,$B610)</f>
        <v>0</v>
      </c>
      <c r="F610" s="5">
        <f>SUMIFS(Despesas!$F:$F,Despesas!$J:$J,"&lt;="&amp;$A610,Despesas!$L:$L,"&gt;="&amp;$A610,Despesas!$C:$C,F$1,Despesas!$M:$M,"Mensal")+SUMIFS(Despesas!$F:$F,Despesas!$J:$J,"&lt;="&amp;$A610,Despesas!$L:$L,"&gt;="&amp;$A610,Despesas!$C:$C,F$1,Despesas!$M:$M,$B610)</f>
        <v>13000</v>
      </c>
      <c r="G610" s="5">
        <f>SUMIFS(Despesas!$F:$F,Despesas!$J:$J,"&lt;="&amp;$A610,Despesas!$L:$L,"&gt;="&amp;$A610,Despesas!$C:$C,G$1,Despesas!$M:$M,"Mensal")+SUMIFS(Despesas!$F:$F,Despesas!$J:$J,"&lt;="&amp;$A610,Despesas!$L:$L,"&gt;="&amp;$A610,Despesas!$C:$C,G$1,Despesas!$M:$M,$B610)</f>
        <v>0</v>
      </c>
      <c r="H610" s="18">
        <f>SUMIFS(Despesas!$F:$F,Despesas!$J:$J,"&lt;="&amp;$A610,Despesas!$L:$L,"&gt;="&amp;$A610,Despesas!$C:$C,H$1,Despesas!$M:$M,"Mensal")+SUMIFS(Despesas!$F:$F,Despesas!$J:$J,"&lt;="&amp;$A610,Despesas!$L:$L,"&gt;="&amp;$A610,Despesas!$C:$C,H$1,Despesas!$M:$M,$B610)</f>
        <v>1000</v>
      </c>
      <c r="I610" s="18">
        <f>IF(Imóveis!$F$2="PRICE",IF(AND(Dados!$A610&gt;=Imóveis!$Q$2,Dados!$A610&lt;=Imóveis!$T$2),Imóveis!$U$2,0),IF((IF(AND(Dados!$A610&gt;=Imóveis!$Q$2,Dados!$A610&lt;=Imóveis!$T$2),Imóveis!$S$2-(DATEDIF(Imóveis!$Q$2,Dados!$A610,"m")),0))=0,0,((Imóveis!$N$2/Imóveis!$S$2)+((Imóveis!$N$2-((Imóveis!$S$2-(IF(AND(Dados!$A610&gt;=Imóveis!$Q$2,Dados!$A610&lt;=Imóveis!$T$2),Imóveis!$S$2-(DATEDIF(Imóveis!$Q$2,Dados!$A610,"m")),)))*(Imóveis!$N$2/Imóveis!$S$2)))*Imóveis!$P$2))))*IF(AND(Imóveis!$E$2&gt;0,Dados!$A610&gt;Imóveis!$E$2),0,1)</f>
        <v>0</v>
      </c>
      <c r="J610" s="18">
        <f>IF(Imóveis!$F$3="PRICE",IF(AND(Dados!$A610&gt;=Imóveis!$Q$3,Dados!$A610&lt;=Imóveis!$T$3),Imóveis!$U$3,0),IF((IF(AND(Dados!$A610&gt;=Imóveis!$Q$3,Dados!$A610&lt;=Imóveis!$T$3),Imóveis!$S$3-(DATEDIF(Imóveis!$Q$3,Dados!$A610,"m")),0))=0,0,((Imóveis!$N$3/Imóveis!$S$3)+((Imóveis!$N$3-((Imóveis!$S$3-(IF(AND(Dados!$A610&gt;=Imóveis!$Q$3,Dados!$A610&lt;=Imóveis!$T$3),Imóveis!$S$3-(DATEDIF(Imóveis!$Q$3,Dados!$A610,"m")),)))*(Imóveis!$N$3/Imóveis!$S$3)))*Imóveis!$P$3))))*IF(AND(Imóveis!$E$3&gt;0,Dados!$A610&gt;Imóveis!$E$3),0,1)</f>
        <v>0</v>
      </c>
      <c r="K610" s="18">
        <f>IF(Imóveis!$F$4="PRICE",IF(AND(Dados!$A610&gt;=Imóveis!$Q$4,Dados!$A610&lt;=Imóveis!$T$4),Imóveis!$U$4,0),IF((IF(AND(Dados!$A610&gt;=Imóveis!$Q$4,Dados!$A610&lt;=Imóveis!$T$4),Imóveis!$S$4-(DATEDIF(Imóveis!$Q$4,Dados!$A610,"m")),0))=0,0,((Imóveis!$N$4/Imóveis!$S$4)+((Imóveis!$N$4-((Imóveis!$S$4-(IF(AND(Dados!$A610&gt;=Imóveis!$Q$4,Dados!$A610&lt;=Imóveis!$T$4),Imóveis!$S$4-(DATEDIF(Imóveis!$Q$4,Dados!$A610,"m")),)))*(Imóveis!$N$4/Imóveis!$S$4)))*Imóveis!$P$4))))*IF(AND(Imóveis!$E$4&gt;0,Dados!$A610&gt;Imóveis!$E$4),0,1)</f>
        <v>0</v>
      </c>
      <c r="L610" s="18">
        <f>IF(Imóveis!$F$5="PRICE",IF(AND(Dados!$A610&gt;=Imóveis!$Q$5,Dados!$A610&lt;=Imóveis!$T$5),Imóveis!$U$5,0),IF((IF(AND(Dados!$A610&gt;=Imóveis!$Q$5,Dados!$A610&lt;=Imóveis!$T$5),Imóveis!$S$5-(DATEDIF(Imóveis!$Q$5,Dados!$A610,"m")),0))=0,0,((Imóveis!$N$5/Imóveis!$S$5)+((Imóveis!$N$5-((Imóveis!$S$5-(IF(AND(Dados!$A610 &gt;=Imóveis!$Q$5,Dados!$A610&lt;=Imóveis!$T$5),Imóveis!$S$5-(DATEDIF(Imóveis!$Q$5,Dados!$A610,"m")),)))*(Imóveis!$N$5/Imóveis!$S$5)))*Imóveis!$P$5))))*IF(AND(Imóveis!$E$5&gt;0,Dados!$A610&gt;Imóveis!$E$5),0,1)*Imóveis!$I$5</f>
        <v>0</v>
      </c>
      <c r="M610" s="18">
        <f>IF(Imóveis!$F$6="PRICE",IF(AND(Dados!$A610&gt;=Imóveis!$Q$6,Dados!$A610&lt;=Imóveis!$T$6),Imóveis!$U$6,0),IF((IF(AND(Dados!$A610&gt;=Imóveis!$Q$6,Dados!$A610&lt;=Imóveis!$T$6),Imóveis!$S$6-(DATEDIF(Imóveis!$Q$6,Dados!$A610,"m")),0))=0,0,((Imóveis!$N$6/Imóveis!$S$6)+((Imóveis!$N$6-((Imóveis!$S$6-(IF(AND(Dados!$A610&gt;=Imóveis!$Q$6,Dados!$A610&lt;=Imóveis!$T$6),Imóveis!$S$6-(DATEDIF(Imóveis!$Q$6,Dados!$A610,"m")),)))*(Imóveis!$N$6/Imóveis!$S$6)))*Imóveis!$P$6))))*IF(AND(Imóveis!$E$6&gt;0,Dados!$A610&gt;Imóveis!$E$6),0,1)*Imóveis!$I$6</f>
        <v>0</v>
      </c>
      <c r="N610" s="18">
        <f t="shared" si="77"/>
        <v>37000</v>
      </c>
      <c r="O610" s="18">
        <f>SUMIFS(Receitas!$F:$F,Receitas!$J:$J,"&lt;="&amp;$A610,Receitas!$L:$L,"&gt;="&amp;$A610,Receitas!$C:$C,O$1,Receitas!$M:$M,"Mensal")+SUMIFS(Receitas!$F:$F,Receitas!$J:$J,"&lt;="&amp;$A610,Receitas!$L:$L,"&gt;="&amp;$A610,Receitas!$C:$C,O$1,Receitas!$M:$M,$B610)</f>
        <v>0</v>
      </c>
      <c r="P610" s="18">
        <f>SUMIFS(Receitas!$F:$F,Receitas!$J:$J,"&lt;="&amp;$A610,Receitas!$L:$L,"&gt;="&amp;$A610,Receitas!$C:$C,P$1,Receitas!$M:$M,"Mensal")+SUMIFS(Receitas!$F:$F,Receitas!$J:$J,"&lt;="&amp;$A610,Receitas!$L:$L,"&gt;="&amp;$A610,Receitas!$C:$C,P$1,Receitas!$M:$M,$B610)</f>
        <v>0</v>
      </c>
      <c r="Q610" s="18">
        <f>SUMIFS(Receitas!$F:$F,Receitas!$J:$J,"&lt;="&amp;$A610,Receitas!$L:$L,"&gt;="&amp;$A610,Receitas!$C:$C,Q$1,Receitas!$M:$M,"Mensal")+SUMIFS(Receitas!$F:$F,Receitas!$J:$J,"&lt;="&amp;$A610,Receitas!$L:$L,"&gt;="&amp;$A610,Receitas!$C:$C,Q$1,Receitas!$M:$M,$B610)</f>
        <v>0</v>
      </c>
      <c r="R610" s="18" cm="1">
        <f t="array" ref="R610">(IF(AND(Membros!$F$2="Sim",A610&lt;=MAX(Membros!$E$2:$E$5)),Membros!K$2,IF(AND(A610&gt;=Membros!J$2,A610&lt;=MAX(Membros!$E$2:$E$5)),Membros!K$2,0))+IF(AND(Membros!$F$3="Sim",A610&lt;=MAX(Membros!$E$2:$E$5)),Membros!K$3,IF(AND(A610&gt;=Membros!J$3,A610&lt;=MAX(Membros!$E$2:$E$5)),Membros!K$3,0)))*IF(AND(COUNTIFS(Tabela3[Tipo],"Provedor",Tabela3[Simulação Seguro],"Sim")=2,A610&gt;=MAX(IF(Tabela3[Tipo]="Dependente",Tabela3[Expectativa de Vida (Data)]))),0,1)</f>
        <v>10000</v>
      </c>
      <c r="S610" s="18">
        <f t="shared" si="78"/>
        <v>10000</v>
      </c>
      <c r="U610" s="18">
        <f t="shared" ca="1" si="81"/>
        <v>40602984.971026644</v>
      </c>
      <c r="V610" s="18">
        <f>SUMIF(Imóveis!E:E,Dados!A:A,Imóveis!Z:Z)-SUMIF(Imóveis!E:E,Dados!A:A,Imóveis!Y:Y)</f>
        <v>0</v>
      </c>
      <c r="W610" s="18">
        <f>-SUMIF(Projetos!N:N,A610,Projetos!F:F)</f>
        <v>0</v>
      </c>
      <c r="X610" s="18">
        <f t="shared" si="75"/>
        <v>-27000</v>
      </c>
      <c r="Y610" s="26">
        <f ca="1">(U610*((Indicadores_Economicos!D$2+1)^(1/12)-1))</f>
        <v>132923.60717567455</v>
      </c>
      <c r="Z610" s="18">
        <f t="shared" ca="1" si="79"/>
        <v>40708908.578202322</v>
      </c>
      <c r="AA610" s="18">
        <f ca="1">Auxiliar_Projetos!E610</f>
        <v>2.8524506929719011E-9</v>
      </c>
      <c r="AB610" s="18">
        <f ca="1">Auxiliar_Projetos!K610</f>
        <v>2.194192840747613E-9</v>
      </c>
      <c r="AC610" s="18">
        <f ca="1">IF(Z610-AA610-AB610&gt;Investimentos!$C$14,Investimentos!$C$14,IF(Z610-AA610-AB610&lt;Investimentos!$C$14,Z610-AA610-AB610,0))</f>
        <v>300000</v>
      </c>
      <c r="AD610" s="18">
        <f t="shared" ca="1" si="80"/>
        <v>40408908.578202322</v>
      </c>
      <c r="AE610" s="18"/>
    </row>
    <row r="611" spans="1:31" x14ac:dyDescent="0.2">
      <c r="A611" s="4">
        <v>64193</v>
      </c>
      <c r="B611" s="5" t="str">
        <f t="shared" si="76"/>
        <v>outubro</v>
      </c>
      <c r="C611" s="5" t="str">
        <f t="shared" si="82"/>
        <v>2075</v>
      </c>
      <c r="D611" s="5">
        <f>SUMIFS(Despesas!$F:$F,Despesas!$J:$J,"&lt;="&amp;$A611,Despesas!$L:$L,"&gt;="&amp;$A611,Despesas!$C:$C,D$1,Despesas!$M:$M,"Mensal")+SUMIFS(Despesas!$F:$F,Despesas!$J:$J,"&lt;="&amp;$A611,Despesas!$L:$L,"&gt;="&amp;$A611,Despesas!$C:$C,D$1,Despesas!$M:$M,$B611)</f>
        <v>23000</v>
      </c>
      <c r="E611" s="18">
        <f>SUMIFS(Despesas!$F:$F,Despesas!$J:$J,"&lt;="&amp;$A611,Despesas!$L:$L,"&gt;="&amp;$A611,Despesas!$C:$C,E$1,Despesas!$M:$M,"Mensal")+SUMIFS(Despesas!$F:$F,Despesas!$J:$J,"&lt;="&amp;$A611,Despesas!$L:$L,"&gt;="&amp;$A611,Despesas!$C:$C,E$1,Despesas!$M:$M,$B611)</f>
        <v>0</v>
      </c>
      <c r="F611" s="5">
        <f>SUMIFS(Despesas!$F:$F,Despesas!$J:$J,"&lt;="&amp;$A611,Despesas!$L:$L,"&gt;="&amp;$A611,Despesas!$C:$C,F$1,Despesas!$M:$M,"Mensal")+SUMIFS(Despesas!$F:$F,Despesas!$J:$J,"&lt;="&amp;$A611,Despesas!$L:$L,"&gt;="&amp;$A611,Despesas!$C:$C,F$1,Despesas!$M:$M,$B611)</f>
        <v>13000</v>
      </c>
      <c r="G611" s="5">
        <f>SUMIFS(Despesas!$F:$F,Despesas!$J:$J,"&lt;="&amp;$A611,Despesas!$L:$L,"&gt;="&amp;$A611,Despesas!$C:$C,G$1,Despesas!$M:$M,"Mensal")+SUMIFS(Despesas!$F:$F,Despesas!$J:$J,"&lt;="&amp;$A611,Despesas!$L:$L,"&gt;="&amp;$A611,Despesas!$C:$C,G$1,Despesas!$M:$M,$B611)</f>
        <v>0</v>
      </c>
      <c r="H611" s="18">
        <f>SUMIFS(Despesas!$F:$F,Despesas!$J:$J,"&lt;="&amp;$A611,Despesas!$L:$L,"&gt;="&amp;$A611,Despesas!$C:$C,H$1,Despesas!$M:$M,"Mensal")+SUMIFS(Despesas!$F:$F,Despesas!$J:$J,"&lt;="&amp;$A611,Despesas!$L:$L,"&gt;="&amp;$A611,Despesas!$C:$C,H$1,Despesas!$M:$M,$B611)</f>
        <v>1000</v>
      </c>
      <c r="I611" s="18">
        <f>IF(Imóveis!$F$2="PRICE",IF(AND(Dados!$A611&gt;=Imóveis!$Q$2,Dados!$A611&lt;=Imóveis!$T$2),Imóveis!$U$2,0),IF((IF(AND(Dados!$A611&gt;=Imóveis!$Q$2,Dados!$A611&lt;=Imóveis!$T$2),Imóveis!$S$2-(DATEDIF(Imóveis!$Q$2,Dados!$A611,"m")),0))=0,0,((Imóveis!$N$2/Imóveis!$S$2)+((Imóveis!$N$2-((Imóveis!$S$2-(IF(AND(Dados!$A611&gt;=Imóveis!$Q$2,Dados!$A611&lt;=Imóveis!$T$2),Imóveis!$S$2-(DATEDIF(Imóveis!$Q$2,Dados!$A611,"m")),)))*(Imóveis!$N$2/Imóveis!$S$2)))*Imóveis!$P$2))))*IF(AND(Imóveis!$E$2&gt;0,Dados!$A611&gt;Imóveis!$E$2),0,1)</f>
        <v>0</v>
      </c>
      <c r="J611" s="18">
        <f>IF(Imóveis!$F$3="PRICE",IF(AND(Dados!$A611&gt;=Imóveis!$Q$3,Dados!$A611&lt;=Imóveis!$T$3),Imóveis!$U$3,0),IF((IF(AND(Dados!$A611&gt;=Imóveis!$Q$3,Dados!$A611&lt;=Imóveis!$T$3),Imóveis!$S$3-(DATEDIF(Imóveis!$Q$3,Dados!$A611,"m")),0))=0,0,((Imóveis!$N$3/Imóveis!$S$3)+((Imóveis!$N$3-((Imóveis!$S$3-(IF(AND(Dados!$A611&gt;=Imóveis!$Q$3,Dados!$A611&lt;=Imóveis!$T$3),Imóveis!$S$3-(DATEDIF(Imóveis!$Q$3,Dados!$A611,"m")),)))*(Imóveis!$N$3/Imóveis!$S$3)))*Imóveis!$P$3))))*IF(AND(Imóveis!$E$3&gt;0,Dados!$A611&gt;Imóveis!$E$3),0,1)</f>
        <v>0</v>
      </c>
      <c r="K611" s="18">
        <f>IF(Imóveis!$F$4="PRICE",IF(AND(Dados!$A611&gt;=Imóveis!$Q$4,Dados!$A611&lt;=Imóveis!$T$4),Imóveis!$U$4,0),IF((IF(AND(Dados!$A611&gt;=Imóveis!$Q$4,Dados!$A611&lt;=Imóveis!$T$4),Imóveis!$S$4-(DATEDIF(Imóveis!$Q$4,Dados!$A611,"m")),0))=0,0,((Imóveis!$N$4/Imóveis!$S$4)+((Imóveis!$N$4-((Imóveis!$S$4-(IF(AND(Dados!$A611&gt;=Imóveis!$Q$4,Dados!$A611&lt;=Imóveis!$T$4),Imóveis!$S$4-(DATEDIF(Imóveis!$Q$4,Dados!$A611,"m")),)))*(Imóveis!$N$4/Imóveis!$S$4)))*Imóveis!$P$4))))*IF(AND(Imóveis!$E$4&gt;0,Dados!$A611&gt;Imóveis!$E$4),0,1)</f>
        <v>0</v>
      </c>
      <c r="L611" s="18">
        <f>IF(Imóveis!$F$5="PRICE",IF(AND(Dados!$A611&gt;=Imóveis!$Q$5,Dados!$A611&lt;=Imóveis!$T$5),Imóveis!$U$5,0),IF((IF(AND(Dados!$A611&gt;=Imóveis!$Q$5,Dados!$A611&lt;=Imóveis!$T$5),Imóveis!$S$5-(DATEDIF(Imóveis!$Q$5,Dados!$A611,"m")),0))=0,0,((Imóveis!$N$5/Imóveis!$S$5)+((Imóveis!$N$5-((Imóveis!$S$5-(IF(AND(Dados!$A611 &gt;=Imóveis!$Q$5,Dados!$A611&lt;=Imóveis!$T$5),Imóveis!$S$5-(DATEDIF(Imóveis!$Q$5,Dados!$A611,"m")),)))*(Imóveis!$N$5/Imóveis!$S$5)))*Imóveis!$P$5))))*IF(AND(Imóveis!$E$5&gt;0,Dados!$A611&gt;Imóveis!$E$5),0,1)*Imóveis!$I$5</f>
        <v>0</v>
      </c>
      <c r="M611" s="18">
        <f>IF(Imóveis!$F$6="PRICE",IF(AND(Dados!$A611&gt;=Imóveis!$Q$6,Dados!$A611&lt;=Imóveis!$T$6),Imóveis!$U$6,0),IF((IF(AND(Dados!$A611&gt;=Imóveis!$Q$6,Dados!$A611&lt;=Imóveis!$T$6),Imóveis!$S$6-(DATEDIF(Imóveis!$Q$6,Dados!$A611,"m")),0))=0,0,((Imóveis!$N$6/Imóveis!$S$6)+((Imóveis!$N$6-((Imóveis!$S$6-(IF(AND(Dados!$A611&gt;=Imóveis!$Q$6,Dados!$A611&lt;=Imóveis!$T$6),Imóveis!$S$6-(DATEDIF(Imóveis!$Q$6,Dados!$A611,"m")),)))*(Imóveis!$N$6/Imóveis!$S$6)))*Imóveis!$P$6))))*IF(AND(Imóveis!$E$6&gt;0,Dados!$A611&gt;Imóveis!$E$6),0,1)*Imóveis!$I$6</f>
        <v>0</v>
      </c>
      <c r="N611" s="18">
        <f t="shared" si="77"/>
        <v>37000</v>
      </c>
      <c r="O611" s="18">
        <f>SUMIFS(Receitas!$F:$F,Receitas!$J:$J,"&lt;="&amp;$A611,Receitas!$L:$L,"&gt;="&amp;$A611,Receitas!$C:$C,O$1,Receitas!$M:$M,"Mensal")+SUMIFS(Receitas!$F:$F,Receitas!$J:$J,"&lt;="&amp;$A611,Receitas!$L:$L,"&gt;="&amp;$A611,Receitas!$C:$C,O$1,Receitas!$M:$M,$B611)</f>
        <v>0</v>
      </c>
      <c r="P611" s="18">
        <f>SUMIFS(Receitas!$F:$F,Receitas!$J:$J,"&lt;="&amp;$A611,Receitas!$L:$L,"&gt;="&amp;$A611,Receitas!$C:$C,P$1,Receitas!$M:$M,"Mensal")+SUMIFS(Receitas!$F:$F,Receitas!$J:$J,"&lt;="&amp;$A611,Receitas!$L:$L,"&gt;="&amp;$A611,Receitas!$C:$C,P$1,Receitas!$M:$M,$B611)</f>
        <v>0</v>
      </c>
      <c r="Q611" s="18">
        <f>SUMIFS(Receitas!$F:$F,Receitas!$J:$J,"&lt;="&amp;$A611,Receitas!$L:$L,"&gt;="&amp;$A611,Receitas!$C:$C,Q$1,Receitas!$M:$M,"Mensal")+SUMIFS(Receitas!$F:$F,Receitas!$J:$J,"&lt;="&amp;$A611,Receitas!$L:$L,"&gt;="&amp;$A611,Receitas!$C:$C,Q$1,Receitas!$M:$M,$B611)</f>
        <v>0</v>
      </c>
      <c r="R611" s="18" cm="1">
        <f t="array" ref="R611">(IF(AND(Membros!$F$2="Sim",A611&lt;=MAX(Membros!$E$2:$E$5)),Membros!K$2,IF(AND(A611&gt;=Membros!J$2,A611&lt;=MAX(Membros!$E$2:$E$5)),Membros!K$2,0))+IF(AND(Membros!$F$3="Sim",A611&lt;=MAX(Membros!$E$2:$E$5)),Membros!K$3,IF(AND(A611&gt;=Membros!J$3,A611&lt;=MAX(Membros!$E$2:$E$5)),Membros!K$3,0)))*IF(AND(COUNTIFS(Tabela3[Tipo],"Provedor",Tabela3[Simulação Seguro],"Sim")=2,A611&gt;=MAX(IF(Tabela3[Tipo]="Dependente",Tabela3[Expectativa de Vida (Data)]))),0,1)</f>
        <v>10000</v>
      </c>
      <c r="S611" s="18">
        <f t="shared" si="78"/>
        <v>10000</v>
      </c>
      <c r="U611" s="18">
        <f t="shared" ca="1" si="81"/>
        <v>40708908.578202322</v>
      </c>
      <c r="V611" s="18">
        <f>SUMIF(Imóveis!E:E,Dados!A:A,Imóveis!Z:Z)-SUMIF(Imóveis!E:E,Dados!A:A,Imóveis!Y:Y)</f>
        <v>0</v>
      </c>
      <c r="W611" s="18">
        <f>-SUMIF(Projetos!N:N,A611,Projetos!F:F)</f>
        <v>0</v>
      </c>
      <c r="X611" s="18">
        <f t="shared" si="75"/>
        <v>-27000</v>
      </c>
      <c r="Y611" s="26">
        <f ca="1">(U611*((Indicadores_Economicos!D$2+1)^(1/12)-1))</f>
        <v>133270.37350235958</v>
      </c>
      <c r="Z611" s="18">
        <f t="shared" ca="1" si="79"/>
        <v>40815178.951704681</v>
      </c>
      <c r="AA611" s="18">
        <f ca="1">Auxiliar_Projetos!E611</f>
        <v>2.8617888742822442E-9</v>
      </c>
      <c r="AB611" s="18">
        <f ca="1">Auxiliar_Projetos!K611</f>
        <v>2.2013760571401843E-9</v>
      </c>
      <c r="AC611" s="18">
        <f ca="1">IF(Z611-AA611-AB611&gt;Investimentos!$C$14,Investimentos!$C$14,IF(Z611-AA611-AB611&lt;Investimentos!$C$14,Z611-AA611-AB611,0))</f>
        <v>300000</v>
      </c>
      <c r="AD611" s="18">
        <f t="shared" ca="1" si="80"/>
        <v>40515178.951704681</v>
      </c>
      <c r="AE611" s="18"/>
    </row>
    <row r="612" spans="1:31" x14ac:dyDescent="0.2">
      <c r="A612" s="4">
        <v>64224</v>
      </c>
      <c r="B612" s="5" t="str">
        <f t="shared" si="76"/>
        <v>novembro</v>
      </c>
      <c r="C612" s="5" t="str">
        <f t="shared" si="82"/>
        <v>2075</v>
      </c>
      <c r="D612" s="5">
        <f>SUMIFS(Despesas!$F:$F,Despesas!$J:$J,"&lt;="&amp;$A612,Despesas!$L:$L,"&gt;="&amp;$A612,Despesas!$C:$C,D$1,Despesas!$M:$M,"Mensal")+SUMIFS(Despesas!$F:$F,Despesas!$J:$J,"&lt;="&amp;$A612,Despesas!$L:$L,"&gt;="&amp;$A612,Despesas!$C:$C,D$1,Despesas!$M:$M,$B612)</f>
        <v>23000</v>
      </c>
      <c r="E612" s="18">
        <f>SUMIFS(Despesas!$F:$F,Despesas!$J:$J,"&lt;="&amp;$A612,Despesas!$L:$L,"&gt;="&amp;$A612,Despesas!$C:$C,E$1,Despesas!$M:$M,"Mensal")+SUMIFS(Despesas!$F:$F,Despesas!$J:$J,"&lt;="&amp;$A612,Despesas!$L:$L,"&gt;="&amp;$A612,Despesas!$C:$C,E$1,Despesas!$M:$M,$B612)</f>
        <v>0</v>
      </c>
      <c r="F612" s="5">
        <f>SUMIFS(Despesas!$F:$F,Despesas!$J:$J,"&lt;="&amp;$A612,Despesas!$L:$L,"&gt;="&amp;$A612,Despesas!$C:$C,F$1,Despesas!$M:$M,"Mensal")+SUMIFS(Despesas!$F:$F,Despesas!$J:$J,"&lt;="&amp;$A612,Despesas!$L:$L,"&gt;="&amp;$A612,Despesas!$C:$C,F$1,Despesas!$M:$M,$B612)</f>
        <v>13000</v>
      </c>
      <c r="G612" s="5">
        <f>SUMIFS(Despesas!$F:$F,Despesas!$J:$J,"&lt;="&amp;$A612,Despesas!$L:$L,"&gt;="&amp;$A612,Despesas!$C:$C,G$1,Despesas!$M:$M,"Mensal")+SUMIFS(Despesas!$F:$F,Despesas!$J:$J,"&lt;="&amp;$A612,Despesas!$L:$L,"&gt;="&amp;$A612,Despesas!$C:$C,G$1,Despesas!$M:$M,$B612)</f>
        <v>0</v>
      </c>
      <c r="H612" s="18">
        <f>SUMIFS(Despesas!$F:$F,Despesas!$J:$J,"&lt;="&amp;$A612,Despesas!$L:$L,"&gt;="&amp;$A612,Despesas!$C:$C,H$1,Despesas!$M:$M,"Mensal")+SUMIFS(Despesas!$F:$F,Despesas!$J:$J,"&lt;="&amp;$A612,Despesas!$L:$L,"&gt;="&amp;$A612,Despesas!$C:$C,H$1,Despesas!$M:$M,$B612)</f>
        <v>1000</v>
      </c>
      <c r="I612" s="18">
        <f>IF(Imóveis!$F$2="PRICE",IF(AND(Dados!$A612&gt;=Imóveis!$Q$2,Dados!$A612&lt;=Imóveis!$T$2),Imóveis!$U$2,0),IF((IF(AND(Dados!$A612&gt;=Imóveis!$Q$2,Dados!$A612&lt;=Imóveis!$T$2),Imóveis!$S$2-(DATEDIF(Imóveis!$Q$2,Dados!$A612,"m")),0))=0,0,((Imóveis!$N$2/Imóveis!$S$2)+((Imóveis!$N$2-((Imóveis!$S$2-(IF(AND(Dados!$A612&gt;=Imóveis!$Q$2,Dados!$A612&lt;=Imóveis!$T$2),Imóveis!$S$2-(DATEDIF(Imóveis!$Q$2,Dados!$A612,"m")),)))*(Imóveis!$N$2/Imóveis!$S$2)))*Imóveis!$P$2))))*IF(AND(Imóveis!$E$2&gt;0,Dados!$A612&gt;Imóveis!$E$2),0,1)</f>
        <v>0</v>
      </c>
      <c r="J612" s="18">
        <f>IF(Imóveis!$F$3="PRICE",IF(AND(Dados!$A612&gt;=Imóveis!$Q$3,Dados!$A612&lt;=Imóveis!$T$3),Imóveis!$U$3,0),IF((IF(AND(Dados!$A612&gt;=Imóveis!$Q$3,Dados!$A612&lt;=Imóveis!$T$3),Imóveis!$S$3-(DATEDIF(Imóveis!$Q$3,Dados!$A612,"m")),0))=0,0,((Imóveis!$N$3/Imóveis!$S$3)+((Imóveis!$N$3-((Imóveis!$S$3-(IF(AND(Dados!$A612&gt;=Imóveis!$Q$3,Dados!$A612&lt;=Imóveis!$T$3),Imóveis!$S$3-(DATEDIF(Imóveis!$Q$3,Dados!$A612,"m")),)))*(Imóveis!$N$3/Imóveis!$S$3)))*Imóveis!$P$3))))*IF(AND(Imóveis!$E$3&gt;0,Dados!$A612&gt;Imóveis!$E$3),0,1)</f>
        <v>0</v>
      </c>
      <c r="K612" s="18">
        <f>IF(Imóveis!$F$4="PRICE",IF(AND(Dados!$A612&gt;=Imóveis!$Q$4,Dados!$A612&lt;=Imóveis!$T$4),Imóveis!$U$4,0),IF((IF(AND(Dados!$A612&gt;=Imóveis!$Q$4,Dados!$A612&lt;=Imóveis!$T$4),Imóveis!$S$4-(DATEDIF(Imóveis!$Q$4,Dados!$A612,"m")),0))=0,0,((Imóveis!$N$4/Imóveis!$S$4)+((Imóveis!$N$4-((Imóveis!$S$4-(IF(AND(Dados!$A612&gt;=Imóveis!$Q$4,Dados!$A612&lt;=Imóveis!$T$4),Imóveis!$S$4-(DATEDIF(Imóveis!$Q$4,Dados!$A612,"m")),)))*(Imóveis!$N$4/Imóveis!$S$4)))*Imóveis!$P$4))))*IF(AND(Imóveis!$E$4&gt;0,Dados!$A612&gt;Imóveis!$E$4),0,1)</f>
        <v>0</v>
      </c>
      <c r="L612" s="18">
        <f>IF(Imóveis!$F$5="PRICE",IF(AND(Dados!$A612&gt;=Imóveis!$Q$5,Dados!$A612&lt;=Imóveis!$T$5),Imóveis!$U$5,0),IF((IF(AND(Dados!$A612&gt;=Imóveis!$Q$5,Dados!$A612&lt;=Imóveis!$T$5),Imóveis!$S$5-(DATEDIF(Imóveis!$Q$5,Dados!$A612,"m")),0))=0,0,((Imóveis!$N$5/Imóveis!$S$5)+((Imóveis!$N$5-((Imóveis!$S$5-(IF(AND(Dados!$A612 &gt;=Imóveis!$Q$5,Dados!$A612&lt;=Imóveis!$T$5),Imóveis!$S$5-(DATEDIF(Imóveis!$Q$5,Dados!$A612,"m")),)))*(Imóveis!$N$5/Imóveis!$S$5)))*Imóveis!$P$5))))*IF(AND(Imóveis!$E$5&gt;0,Dados!$A612&gt;Imóveis!$E$5),0,1)*Imóveis!$I$5</f>
        <v>0</v>
      </c>
      <c r="M612" s="18">
        <f>IF(Imóveis!$F$6="PRICE",IF(AND(Dados!$A612&gt;=Imóveis!$Q$6,Dados!$A612&lt;=Imóveis!$T$6),Imóveis!$U$6,0),IF((IF(AND(Dados!$A612&gt;=Imóveis!$Q$6,Dados!$A612&lt;=Imóveis!$T$6),Imóveis!$S$6-(DATEDIF(Imóveis!$Q$6,Dados!$A612,"m")),0))=0,0,((Imóveis!$N$6/Imóveis!$S$6)+((Imóveis!$N$6-((Imóveis!$S$6-(IF(AND(Dados!$A612&gt;=Imóveis!$Q$6,Dados!$A612&lt;=Imóveis!$T$6),Imóveis!$S$6-(DATEDIF(Imóveis!$Q$6,Dados!$A612,"m")),)))*(Imóveis!$N$6/Imóveis!$S$6)))*Imóveis!$P$6))))*IF(AND(Imóveis!$E$6&gt;0,Dados!$A612&gt;Imóveis!$E$6),0,1)*Imóveis!$I$6</f>
        <v>0</v>
      </c>
      <c r="N612" s="18">
        <f t="shared" si="77"/>
        <v>37000</v>
      </c>
      <c r="O612" s="18">
        <f>SUMIFS(Receitas!$F:$F,Receitas!$J:$J,"&lt;="&amp;$A612,Receitas!$L:$L,"&gt;="&amp;$A612,Receitas!$C:$C,O$1,Receitas!$M:$M,"Mensal")+SUMIFS(Receitas!$F:$F,Receitas!$J:$J,"&lt;="&amp;$A612,Receitas!$L:$L,"&gt;="&amp;$A612,Receitas!$C:$C,O$1,Receitas!$M:$M,$B612)</f>
        <v>0</v>
      </c>
      <c r="P612" s="18">
        <f>SUMIFS(Receitas!$F:$F,Receitas!$J:$J,"&lt;="&amp;$A612,Receitas!$L:$L,"&gt;="&amp;$A612,Receitas!$C:$C,P$1,Receitas!$M:$M,"Mensal")+SUMIFS(Receitas!$F:$F,Receitas!$J:$J,"&lt;="&amp;$A612,Receitas!$L:$L,"&gt;="&amp;$A612,Receitas!$C:$C,P$1,Receitas!$M:$M,$B612)</f>
        <v>0</v>
      </c>
      <c r="Q612" s="18">
        <f>SUMIFS(Receitas!$F:$F,Receitas!$J:$J,"&lt;="&amp;$A612,Receitas!$L:$L,"&gt;="&amp;$A612,Receitas!$C:$C,Q$1,Receitas!$M:$M,"Mensal")+SUMIFS(Receitas!$F:$F,Receitas!$J:$J,"&lt;="&amp;$A612,Receitas!$L:$L,"&gt;="&amp;$A612,Receitas!$C:$C,Q$1,Receitas!$M:$M,$B612)</f>
        <v>0</v>
      </c>
      <c r="R612" s="18" cm="1">
        <f t="array" ref="R612">(IF(AND(Membros!$F$2="Sim",A612&lt;=MAX(Membros!$E$2:$E$5)),Membros!K$2,IF(AND(A612&gt;=Membros!J$2,A612&lt;=MAX(Membros!$E$2:$E$5)),Membros!K$2,0))+IF(AND(Membros!$F$3="Sim",A612&lt;=MAX(Membros!$E$2:$E$5)),Membros!K$3,IF(AND(A612&gt;=Membros!J$3,A612&lt;=MAX(Membros!$E$2:$E$5)),Membros!K$3,0)))*IF(AND(COUNTIFS(Tabela3[Tipo],"Provedor",Tabela3[Simulação Seguro],"Sim")=2,A612&gt;=MAX(IF(Tabela3[Tipo]="Dependente",Tabela3[Expectativa de Vida (Data)]))),0,1)</f>
        <v>10000</v>
      </c>
      <c r="S612" s="18">
        <f t="shared" si="78"/>
        <v>10000</v>
      </c>
      <c r="U612" s="18">
        <f t="shared" ca="1" si="81"/>
        <v>40815178.951704681</v>
      </c>
      <c r="V612" s="18">
        <f>SUMIF(Imóveis!E:E,Dados!A:A,Imóveis!Z:Z)-SUMIF(Imóveis!E:E,Dados!A:A,Imóveis!Y:Y)</f>
        <v>0</v>
      </c>
      <c r="W612" s="18">
        <f>-SUMIF(Projetos!N:N,A612,Projetos!F:F)</f>
        <v>0</v>
      </c>
      <c r="X612" s="18">
        <f t="shared" si="75"/>
        <v>-27000</v>
      </c>
      <c r="Y612" s="26">
        <f ca="1">(U612*((Indicadores_Economicos!D$2+1)^(1/12)-1))</f>
        <v>133618.2750517634</v>
      </c>
      <c r="Z612" s="18">
        <f t="shared" ca="1" si="79"/>
        <v>40921797.226756446</v>
      </c>
      <c r="AA612" s="18">
        <f ca="1">Auxiliar_Projetos!E612</f>
        <v>2.871157626368236E-9</v>
      </c>
      <c r="AB612" s="18">
        <f ca="1">Auxiliar_Projetos!K612</f>
        <v>2.2085827895140244E-9</v>
      </c>
      <c r="AC612" s="18">
        <f ca="1">IF(Z612-AA612-AB612&gt;Investimentos!$C$14,Investimentos!$C$14,IF(Z612-AA612-AB612&lt;Investimentos!$C$14,Z612-AA612-AB612,0))</f>
        <v>300000</v>
      </c>
      <c r="AD612" s="18">
        <f t="shared" ca="1" si="80"/>
        <v>40621797.226756446</v>
      </c>
      <c r="AE612" s="18"/>
    </row>
    <row r="613" spans="1:31" x14ac:dyDescent="0.2">
      <c r="A613" s="4">
        <v>64254</v>
      </c>
      <c r="B613" s="5" t="str">
        <f t="shared" si="76"/>
        <v>dezembro</v>
      </c>
      <c r="C613" s="5" t="str">
        <f t="shared" si="82"/>
        <v>2075</v>
      </c>
      <c r="D613" s="5">
        <f>SUMIFS(Despesas!$F:$F,Despesas!$J:$J,"&lt;="&amp;$A613,Despesas!$L:$L,"&gt;="&amp;$A613,Despesas!$C:$C,D$1,Despesas!$M:$M,"Mensal")+SUMIFS(Despesas!$F:$F,Despesas!$J:$J,"&lt;="&amp;$A613,Despesas!$L:$L,"&gt;="&amp;$A613,Despesas!$C:$C,D$1,Despesas!$M:$M,$B613)</f>
        <v>23000</v>
      </c>
      <c r="E613" s="18">
        <f>SUMIFS(Despesas!$F:$F,Despesas!$J:$J,"&lt;="&amp;$A613,Despesas!$L:$L,"&gt;="&amp;$A613,Despesas!$C:$C,E$1,Despesas!$M:$M,"Mensal")+SUMIFS(Despesas!$F:$F,Despesas!$J:$J,"&lt;="&amp;$A613,Despesas!$L:$L,"&gt;="&amp;$A613,Despesas!$C:$C,E$1,Despesas!$M:$M,$B613)</f>
        <v>0</v>
      </c>
      <c r="F613" s="5">
        <f>SUMIFS(Despesas!$F:$F,Despesas!$J:$J,"&lt;="&amp;$A613,Despesas!$L:$L,"&gt;="&amp;$A613,Despesas!$C:$C,F$1,Despesas!$M:$M,"Mensal")+SUMIFS(Despesas!$F:$F,Despesas!$J:$J,"&lt;="&amp;$A613,Despesas!$L:$L,"&gt;="&amp;$A613,Despesas!$C:$C,F$1,Despesas!$M:$M,$B613)</f>
        <v>13000</v>
      </c>
      <c r="G613" s="5">
        <f ca="1">SUMIFS(Despesas!$F:$F,Despesas!$J:$J,"&lt;="&amp;$A613,Despesas!$L:$L,"&gt;="&amp;$A613,Despesas!$C:$C,G$1,Despesas!$M:$M,"Mensal")+SUMIFS(Despesas!$F:$F,Despesas!$J:$J,"&lt;="&amp;$A613,Despesas!$L:$L,"&gt;="&amp;$A613,Despesas!$C:$C,G$1,Despesas!$M:$M,$B613)</f>
        <v>55757</v>
      </c>
      <c r="H613" s="18">
        <f>SUMIFS(Despesas!$F:$F,Despesas!$J:$J,"&lt;="&amp;$A613,Despesas!$L:$L,"&gt;="&amp;$A613,Despesas!$C:$C,H$1,Despesas!$M:$M,"Mensal")+SUMIFS(Despesas!$F:$F,Despesas!$J:$J,"&lt;="&amp;$A613,Despesas!$L:$L,"&gt;="&amp;$A613,Despesas!$C:$C,H$1,Despesas!$M:$M,$B613)</f>
        <v>1000</v>
      </c>
      <c r="I613" s="18">
        <f>IF(Imóveis!$F$2="PRICE",IF(AND(Dados!$A613&gt;=Imóveis!$Q$2,Dados!$A613&lt;=Imóveis!$T$2),Imóveis!$U$2,0),IF((IF(AND(Dados!$A613&gt;=Imóveis!$Q$2,Dados!$A613&lt;=Imóveis!$T$2),Imóveis!$S$2-(DATEDIF(Imóveis!$Q$2,Dados!$A613,"m")),0))=0,0,((Imóveis!$N$2/Imóveis!$S$2)+((Imóveis!$N$2-((Imóveis!$S$2-(IF(AND(Dados!$A613&gt;=Imóveis!$Q$2,Dados!$A613&lt;=Imóveis!$T$2),Imóveis!$S$2-(DATEDIF(Imóveis!$Q$2,Dados!$A613,"m")),)))*(Imóveis!$N$2/Imóveis!$S$2)))*Imóveis!$P$2))))*IF(AND(Imóveis!$E$2&gt;0,Dados!$A613&gt;Imóveis!$E$2),0,1)</f>
        <v>0</v>
      </c>
      <c r="J613" s="18">
        <f>IF(Imóveis!$F$3="PRICE",IF(AND(Dados!$A613&gt;=Imóveis!$Q$3,Dados!$A613&lt;=Imóveis!$T$3),Imóveis!$U$3,0),IF((IF(AND(Dados!$A613&gt;=Imóveis!$Q$3,Dados!$A613&lt;=Imóveis!$T$3),Imóveis!$S$3-(DATEDIF(Imóveis!$Q$3,Dados!$A613,"m")),0))=0,0,((Imóveis!$N$3/Imóveis!$S$3)+((Imóveis!$N$3-((Imóveis!$S$3-(IF(AND(Dados!$A613&gt;=Imóveis!$Q$3,Dados!$A613&lt;=Imóveis!$T$3),Imóveis!$S$3-(DATEDIF(Imóveis!$Q$3,Dados!$A613,"m")),)))*(Imóveis!$N$3/Imóveis!$S$3)))*Imóveis!$P$3))))*IF(AND(Imóveis!$E$3&gt;0,Dados!$A613&gt;Imóveis!$E$3),0,1)</f>
        <v>0</v>
      </c>
      <c r="K613" s="18">
        <f>IF(Imóveis!$F$4="PRICE",IF(AND(Dados!$A613&gt;=Imóveis!$Q$4,Dados!$A613&lt;=Imóveis!$T$4),Imóveis!$U$4,0),IF((IF(AND(Dados!$A613&gt;=Imóveis!$Q$4,Dados!$A613&lt;=Imóveis!$T$4),Imóveis!$S$4-(DATEDIF(Imóveis!$Q$4,Dados!$A613,"m")),0))=0,0,((Imóveis!$N$4/Imóveis!$S$4)+((Imóveis!$N$4-((Imóveis!$S$4-(IF(AND(Dados!$A613&gt;=Imóveis!$Q$4,Dados!$A613&lt;=Imóveis!$T$4),Imóveis!$S$4-(DATEDIF(Imóveis!$Q$4,Dados!$A613,"m")),)))*(Imóveis!$N$4/Imóveis!$S$4)))*Imóveis!$P$4))))*IF(AND(Imóveis!$E$4&gt;0,Dados!$A613&gt;Imóveis!$E$4),0,1)</f>
        <v>0</v>
      </c>
      <c r="L613" s="18">
        <f>IF(Imóveis!$F$5="PRICE",IF(AND(Dados!$A613&gt;=Imóveis!$Q$5,Dados!$A613&lt;=Imóveis!$T$5),Imóveis!$U$5,0),IF((IF(AND(Dados!$A613&gt;=Imóveis!$Q$5,Dados!$A613&lt;=Imóveis!$T$5),Imóveis!$S$5-(DATEDIF(Imóveis!$Q$5,Dados!$A613,"m")),0))=0,0,((Imóveis!$N$5/Imóveis!$S$5)+((Imóveis!$N$5-((Imóveis!$S$5-(IF(AND(Dados!$A613 &gt;=Imóveis!$Q$5,Dados!$A613&lt;=Imóveis!$T$5),Imóveis!$S$5-(DATEDIF(Imóveis!$Q$5,Dados!$A613,"m")),)))*(Imóveis!$N$5/Imóveis!$S$5)))*Imóveis!$P$5))))*IF(AND(Imóveis!$E$5&gt;0,Dados!$A613&gt;Imóveis!$E$5),0,1)*Imóveis!$I$5</f>
        <v>0</v>
      </c>
      <c r="M613" s="18">
        <f>IF(Imóveis!$F$6="PRICE",IF(AND(Dados!$A613&gt;=Imóveis!$Q$6,Dados!$A613&lt;=Imóveis!$T$6),Imóveis!$U$6,0),IF((IF(AND(Dados!$A613&gt;=Imóveis!$Q$6,Dados!$A613&lt;=Imóveis!$T$6),Imóveis!$S$6-(DATEDIF(Imóveis!$Q$6,Dados!$A613,"m")),0))=0,0,((Imóveis!$N$6/Imóveis!$S$6)+((Imóveis!$N$6-((Imóveis!$S$6-(IF(AND(Dados!$A613&gt;=Imóveis!$Q$6,Dados!$A613&lt;=Imóveis!$T$6),Imóveis!$S$6-(DATEDIF(Imóveis!$Q$6,Dados!$A613,"m")),)))*(Imóveis!$N$6/Imóveis!$S$6)))*Imóveis!$P$6))))*IF(AND(Imóveis!$E$6&gt;0,Dados!$A613&gt;Imóveis!$E$6),0,1)*Imóveis!$I$6</f>
        <v>0</v>
      </c>
      <c r="N613" s="18">
        <f t="shared" ca="1" si="77"/>
        <v>92757</v>
      </c>
      <c r="O613" s="18">
        <f>SUMIFS(Receitas!$F:$F,Receitas!$J:$J,"&lt;="&amp;$A613,Receitas!$L:$L,"&gt;="&amp;$A613,Receitas!$C:$C,O$1,Receitas!$M:$M,"Mensal")+SUMIFS(Receitas!$F:$F,Receitas!$J:$J,"&lt;="&amp;$A613,Receitas!$L:$L,"&gt;="&amp;$A613,Receitas!$C:$C,O$1,Receitas!$M:$M,$B613)</f>
        <v>0</v>
      </c>
      <c r="P613" s="18">
        <f>SUMIFS(Receitas!$F:$F,Receitas!$J:$J,"&lt;="&amp;$A613,Receitas!$L:$L,"&gt;="&amp;$A613,Receitas!$C:$C,P$1,Receitas!$M:$M,"Mensal")+SUMIFS(Receitas!$F:$F,Receitas!$J:$J,"&lt;="&amp;$A613,Receitas!$L:$L,"&gt;="&amp;$A613,Receitas!$C:$C,P$1,Receitas!$M:$M,$B613)</f>
        <v>0</v>
      </c>
      <c r="Q613" s="18">
        <f>SUMIFS(Receitas!$F:$F,Receitas!$J:$J,"&lt;="&amp;$A613,Receitas!$L:$L,"&gt;="&amp;$A613,Receitas!$C:$C,Q$1,Receitas!$M:$M,"Mensal")+SUMIFS(Receitas!$F:$F,Receitas!$J:$J,"&lt;="&amp;$A613,Receitas!$L:$L,"&gt;="&amp;$A613,Receitas!$C:$C,Q$1,Receitas!$M:$M,$B613)</f>
        <v>0</v>
      </c>
      <c r="R613" s="18" cm="1">
        <f t="array" ref="R613">(IF(AND(Membros!$F$2="Sim",A613&lt;=MAX(Membros!$E$2:$E$5)),Membros!K$2,IF(AND(A613&gt;=Membros!J$2,A613&lt;=MAX(Membros!$E$2:$E$5)),Membros!K$2,0))+IF(AND(Membros!$F$3="Sim",A613&lt;=MAX(Membros!$E$2:$E$5)),Membros!K$3,IF(AND(A613&gt;=Membros!J$3,A613&lt;=MAX(Membros!$E$2:$E$5)),Membros!K$3,0)))*IF(AND(COUNTIFS(Tabela3[Tipo],"Provedor",Tabela3[Simulação Seguro],"Sim")=2,A613&gt;=MAX(IF(Tabela3[Tipo]="Dependente",Tabela3[Expectativa de Vida (Data)]))),0,1)</f>
        <v>10000</v>
      </c>
      <c r="S613" s="18">
        <f t="shared" si="78"/>
        <v>10000</v>
      </c>
      <c r="U613" s="18">
        <f t="shared" ca="1" si="81"/>
        <v>40921797.226756446</v>
      </c>
      <c r="V613" s="18">
        <f>SUMIF(Imóveis!E:E,Dados!A:A,Imóveis!Z:Z)-SUMIF(Imóveis!E:E,Dados!A:A,Imóveis!Y:Y)</f>
        <v>0</v>
      </c>
      <c r="W613" s="18">
        <f>-SUMIF(Projetos!N:N,A613,Projetos!F:F)</f>
        <v>0</v>
      </c>
      <c r="X613" s="18">
        <f t="shared" ca="1" si="75"/>
        <v>-82757</v>
      </c>
      <c r="Y613" s="26">
        <f ca="1">(U613*((Indicadores_Economicos!D$2+1)^(1/12)-1))</f>
        <v>133967.31554030979</v>
      </c>
      <c r="Z613" s="18">
        <f t="shared" ca="1" si="79"/>
        <v>40973007.542296752</v>
      </c>
      <c r="AA613" s="18">
        <f ca="1">Auxiliar_Projetos!E613</f>
        <v>2.8805570493106414E-9</v>
      </c>
      <c r="AB613" s="18">
        <f ca="1">Auxiliar_Projetos!K613</f>
        <v>2.2158131148543363E-9</v>
      </c>
      <c r="AC613" s="18">
        <f ca="1">IF(Z613-AA613-AB613&gt;Investimentos!$C$14,Investimentos!$C$14,IF(Z613-AA613-AB613&lt;Investimentos!$C$14,Z613-AA613-AB613,0))</f>
        <v>300000</v>
      </c>
      <c r="AD613" s="18">
        <f t="shared" ca="1" si="80"/>
        <v>40673007.542296752</v>
      </c>
      <c r="AE613" s="18"/>
    </row>
    <row r="614" spans="1:31" x14ac:dyDescent="0.2">
      <c r="A614" s="4">
        <v>64285</v>
      </c>
      <c r="B614" s="5" t="str">
        <f t="shared" si="76"/>
        <v>janeiro</v>
      </c>
      <c r="C614" s="5" t="str">
        <f t="shared" si="82"/>
        <v>2076</v>
      </c>
      <c r="D614" s="5">
        <f>SUMIFS(Despesas!$F:$F,Despesas!$J:$J,"&lt;="&amp;$A614,Despesas!$L:$L,"&gt;="&amp;$A614,Despesas!$C:$C,D$1,Despesas!$M:$M,"Mensal")+SUMIFS(Despesas!$F:$F,Despesas!$J:$J,"&lt;="&amp;$A614,Despesas!$L:$L,"&gt;="&amp;$A614,Despesas!$C:$C,D$1,Despesas!$M:$M,$B614)</f>
        <v>23000</v>
      </c>
      <c r="E614" s="18">
        <f>SUMIFS(Despesas!$F:$F,Despesas!$J:$J,"&lt;="&amp;$A614,Despesas!$L:$L,"&gt;="&amp;$A614,Despesas!$C:$C,E$1,Despesas!$M:$M,"Mensal")+SUMIFS(Despesas!$F:$F,Despesas!$J:$J,"&lt;="&amp;$A614,Despesas!$L:$L,"&gt;="&amp;$A614,Despesas!$C:$C,E$1,Despesas!$M:$M,$B614)</f>
        <v>0</v>
      </c>
      <c r="F614" s="5">
        <f>SUMIFS(Despesas!$F:$F,Despesas!$J:$J,"&lt;="&amp;$A614,Despesas!$L:$L,"&gt;="&amp;$A614,Despesas!$C:$C,F$1,Despesas!$M:$M,"Mensal")+SUMIFS(Despesas!$F:$F,Despesas!$J:$J,"&lt;="&amp;$A614,Despesas!$L:$L,"&gt;="&amp;$A614,Despesas!$C:$C,F$1,Despesas!$M:$M,$B614)</f>
        <v>13000</v>
      </c>
      <c r="G614" s="5">
        <f>SUMIFS(Despesas!$F:$F,Despesas!$J:$J,"&lt;="&amp;$A614,Despesas!$L:$L,"&gt;="&amp;$A614,Despesas!$C:$C,G$1,Despesas!$M:$M,"Mensal")+SUMIFS(Despesas!$F:$F,Despesas!$J:$J,"&lt;="&amp;$A614,Despesas!$L:$L,"&gt;="&amp;$A614,Despesas!$C:$C,G$1,Despesas!$M:$M,$B614)</f>
        <v>0</v>
      </c>
      <c r="H614" s="18">
        <f>SUMIFS(Despesas!$F:$F,Despesas!$J:$J,"&lt;="&amp;$A614,Despesas!$L:$L,"&gt;="&amp;$A614,Despesas!$C:$C,H$1,Despesas!$M:$M,"Mensal")+SUMIFS(Despesas!$F:$F,Despesas!$J:$J,"&lt;="&amp;$A614,Despesas!$L:$L,"&gt;="&amp;$A614,Despesas!$C:$C,H$1,Despesas!$M:$M,$B614)</f>
        <v>1000</v>
      </c>
      <c r="I614" s="18">
        <f>IF(Imóveis!$F$2="PRICE",IF(AND(Dados!$A614&gt;=Imóveis!$Q$2,Dados!$A614&lt;=Imóveis!$T$2),Imóveis!$U$2,0),IF((IF(AND(Dados!$A614&gt;=Imóveis!$Q$2,Dados!$A614&lt;=Imóveis!$T$2),Imóveis!$S$2-(DATEDIF(Imóveis!$Q$2,Dados!$A614,"m")),0))=0,0,((Imóveis!$N$2/Imóveis!$S$2)+((Imóveis!$N$2-((Imóveis!$S$2-(IF(AND(Dados!$A614&gt;=Imóveis!$Q$2,Dados!$A614&lt;=Imóveis!$T$2),Imóveis!$S$2-(DATEDIF(Imóveis!$Q$2,Dados!$A614,"m")),)))*(Imóveis!$N$2/Imóveis!$S$2)))*Imóveis!$P$2))))*IF(AND(Imóveis!$E$2&gt;0,Dados!$A614&gt;Imóveis!$E$2),0,1)</f>
        <v>0</v>
      </c>
      <c r="J614" s="18">
        <f>IF(Imóveis!$F$3="PRICE",IF(AND(Dados!$A614&gt;=Imóveis!$Q$3,Dados!$A614&lt;=Imóveis!$T$3),Imóveis!$U$3,0),IF((IF(AND(Dados!$A614&gt;=Imóveis!$Q$3,Dados!$A614&lt;=Imóveis!$T$3),Imóveis!$S$3-(DATEDIF(Imóveis!$Q$3,Dados!$A614,"m")),0))=0,0,((Imóveis!$N$3/Imóveis!$S$3)+((Imóveis!$N$3-((Imóveis!$S$3-(IF(AND(Dados!$A614&gt;=Imóveis!$Q$3,Dados!$A614&lt;=Imóveis!$T$3),Imóveis!$S$3-(DATEDIF(Imóveis!$Q$3,Dados!$A614,"m")),)))*(Imóveis!$N$3/Imóveis!$S$3)))*Imóveis!$P$3))))*IF(AND(Imóveis!$E$3&gt;0,Dados!$A614&gt;Imóveis!$E$3),0,1)</f>
        <v>0</v>
      </c>
      <c r="K614" s="18">
        <f>IF(Imóveis!$F$4="PRICE",IF(AND(Dados!$A614&gt;=Imóveis!$Q$4,Dados!$A614&lt;=Imóveis!$T$4),Imóveis!$U$4,0),IF((IF(AND(Dados!$A614&gt;=Imóveis!$Q$4,Dados!$A614&lt;=Imóveis!$T$4),Imóveis!$S$4-(DATEDIF(Imóveis!$Q$4,Dados!$A614,"m")),0))=0,0,((Imóveis!$N$4/Imóveis!$S$4)+((Imóveis!$N$4-((Imóveis!$S$4-(IF(AND(Dados!$A614&gt;=Imóveis!$Q$4,Dados!$A614&lt;=Imóveis!$T$4),Imóveis!$S$4-(DATEDIF(Imóveis!$Q$4,Dados!$A614,"m")),)))*(Imóveis!$N$4/Imóveis!$S$4)))*Imóveis!$P$4))))*IF(AND(Imóveis!$E$4&gt;0,Dados!$A614&gt;Imóveis!$E$4),0,1)</f>
        <v>0</v>
      </c>
      <c r="L614" s="18">
        <f>IF(Imóveis!$F$5="PRICE",IF(AND(Dados!$A614&gt;=Imóveis!$Q$5,Dados!$A614&lt;=Imóveis!$T$5),Imóveis!$U$5,0),IF((IF(AND(Dados!$A614&gt;=Imóveis!$Q$5,Dados!$A614&lt;=Imóveis!$T$5),Imóveis!$S$5-(DATEDIF(Imóveis!$Q$5,Dados!$A614,"m")),0))=0,0,((Imóveis!$N$5/Imóveis!$S$5)+((Imóveis!$N$5-((Imóveis!$S$5-(IF(AND(Dados!$A614 &gt;=Imóveis!$Q$5,Dados!$A614&lt;=Imóveis!$T$5),Imóveis!$S$5-(DATEDIF(Imóveis!$Q$5,Dados!$A614,"m")),)))*(Imóveis!$N$5/Imóveis!$S$5)))*Imóveis!$P$5))))*IF(AND(Imóveis!$E$5&gt;0,Dados!$A614&gt;Imóveis!$E$5),0,1)*Imóveis!$I$5</f>
        <v>0</v>
      </c>
      <c r="M614" s="18">
        <f>IF(Imóveis!$F$6="PRICE",IF(AND(Dados!$A614&gt;=Imóveis!$Q$6,Dados!$A614&lt;=Imóveis!$T$6),Imóveis!$U$6,0),IF((IF(AND(Dados!$A614&gt;=Imóveis!$Q$6,Dados!$A614&lt;=Imóveis!$T$6),Imóveis!$S$6-(DATEDIF(Imóveis!$Q$6,Dados!$A614,"m")),0))=0,0,((Imóveis!$N$6/Imóveis!$S$6)+((Imóveis!$N$6-((Imóveis!$S$6-(IF(AND(Dados!$A614&gt;=Imóveis!$Q$6,Dados!$A614&lt;=Imóveis!$T$6),Imóveis!$S$6-(DATEDIF(Imóveis!$Q$6,Dados!$A614,"m")),)))*(Imóveis!$N$6/Imóveis!$S$6)))*Imóveis!$P$6))))*IF(AND(Imóveis!$E$6&gt;0,Dados!$A614&gt;Imóveis!$E$6),0,1)*Imóveis!$I$6</f>
        <v>0</v>
      </c>
      <c r="N614" s="18">
        <f t="shared" si="77"/>
        <v>37000</v>
      </c>
      <c r="O614" s="18">
        <f>SUMIFS(Receitas!$F:$F,Receitas!$J:$J,"&lt;="&amp;$A614,Receitas!$L:$L,"&gt;="&amp;$A614,Receitas!$C:$C,O$1,Receitas!$M:$M,"Mensal")+SUMIFS(Receitas!$F:$F,Receitas!$J:$J,"&lt;="&amp;$A614,Receitas!$L:$L,"&gt;="&amp;$A614,Receitas!$C:$C,O$1,Receitas!$M:$M,$B614)</f>
        <v>0</v>
      </c>
      <c r="P614" s="18">
        <f>SUMIFS(Receitas!$F:$F,Receitas!$J:$J,"&lt;="&amp;$A614,Receitas!$L:$L,"&gt;="&amp;$A614,Receitas!$C:$C,P$1,Receitas!$M:$M,"Mensal")+SUMIFS(Receitas!$F:$F,Receitas!$J:$J,"&lt;="&amp;$A614,Receitas!$L:$L,"&gt;="&amp;$A614,Receitas!$C:$C,P$1,Receitas!$M:$M,$B614)</f>
        <v>0</v>
      </c>
      <c r="Q614" s="18">
        <f>SUMIFS(Receitas!$F:$F,Receitas!$J:$J,"&lt;="&amp;$A614,Receitas!$L:$L,"&gt;="&amp;$A614,Receitas!$C:$C,Q$1,Receitas!$M:$M,"Mensal")+SUMIFS(Receitas!$F:$F,Receitas!$J:$J,"&lt;="&amp;$A614,Receitas!$L:$L,"&gt;="&amp;$A614,Receitas!$C:$C,Q$1,Receitas!$M:$M,$B614)</f>
        <v>0</v>
      </c>
      <c r="R614" s="18" cm="1">
        <f t="array" ref="R614">(IF(AND(Membros!$F$2="Sim",A614&lt;=MAX(Membros!$E$2:$E$5)),Membros!K$2,IF(AND(A614&gt;=Membros!J$2,A614&lt;=MAX(Membros!$E$2:$E$5)),Membros!K$2,0))+IF(AND(Membros!$F$3="Sim",A614&lt;=MAX(Membros!$E$2:$E$5)),Membros!K$3,IF(AND(A614&gt;=Membros!J$3,A614&lt;=MAX(Membros!$E$2:$E$5)),Membros!K$3,0)))*IF(AND(COUNTIFS(Tabela3[Tipo],"Provedor",Tabela3[Simulação Seguro],"Sim")=2,A614&gt;=MAX(IF(Tabela3[Tipo]="Dependente",Tabela3[Expectativa de Vida (Data)]))),0,1)</f>
        <v>10000</v>
      </c>
      <c r="S614" s="18">
        <f t="shared" si="78"/>
        <v>10000</v>
      </c>
      <c r="U614" s="18">
        <f t="shared" ca="1" si="81"/>
        <v>40973007.542296752</v>
      </c>
      <c r="V614" s="18">
        <f>SUMIF(Imóveis!E:E,Dados!A:A,Imóveis!Z:Z)-SUMIF(Imóveis!E:E,Dados!A:A,Imóveis!Y:Y)</f>
        <v>0</v>
      </c>
      <c r="W614" s="18">
        <f>-SUMIF(Projetos!N:N,A614,Projetos!F:F)</f>
        <v>0</v>
      </c>
      <c r="X614" s="18">
        <f t="shared" si="75"/>
        <v>-27000</v>
      </c>
      <c r="Y614" s="26">
        <f ca="1">(U614*((Indicadores_Economicos!D$2+1)^(1/12)-1))</f>
        <v>134134.96478755306</v>
      </c>
      <c r="Z614" s="18">
        <f t="shared" ca="1" si="79"/>
        <v>41080142.507084303</v>
      </c>
      <c r="AA614" s="18">
        <f ca="1">Auxiliar_Projetos!E614</f>
        <v>2.889987243517863E-9</v>
      </c>
      <c r="AB614" s="18">
        <f ca="1">Auxiliar_Projetos!K614</f>
        <v>2.2230671103983532E-9</v>
      </c>
      <c r="AC614" s="18">
        <f ca="1">IF(Z614-AA614-AB614&gt;Investimentos!$C$14,Investimentos!$C$14,IF(Z614-AA614-AB614&lt;Investimentos!$C$14,Z614-AA614-AB614,0))</f>
        <v>300000</v>
      </c>
      <c r="AD614" s="18">
        <f t="shared" ca="1" si="80"/>
        <v>40780142.507084303</v>
      </c>
      <c r="AE614" s="18"/>
    </row>
    <row r="615" spans="1:31" x14ac:dyDescent="0.2">
      <c r="A615" s="4">
        <v>64316</v>
      </c>
      <c r="B615" s="5" t="str">
        <f t="shared" si="76"/>
        <v>fevereiro</v>
      </c>
      <c r="C615" s="5" t="str">
        <f t="shared" si="82"/>
        <v>2076</v>
      </c>
      <c r="D615" s="5">
        <f>SUMIFS(Despesas!$F:$F,Despesas!$J:$J,"&lt;="&amp;$A615,Despesas!$L:$L,"&gt;="&amp;$A615,Despesas!$C:$C,D$1,Despesas!$M:$M,"Mensal")+SUMIFS(Despesas!$F:$F,Despesas!$J:$J,"&lt;="&amp;$A615,Despesas!$L:$L,"&gt;="&amp;$A615,Despesas!$C:$C,D$1,Despesas!$M:$M,$B615)</f>
        <v>23000</v>
      </c>
      <c r="E615" s="18">
        <f>SUMIFS(Despesas!$F:$F,Despesas!$J:$J,"&lt;="&amp;$A615,Despesas!$L:$L,"&gt;="&amp;$A615,Despesas!$C:$C,E$1,Despesas!$M:$M,"Mensal")+SUMIFS(Despesas!$F:$F,Despesas!$J:$J,"&lt;="&amp;$A615,Despesas!$L:$L,"&gt;="&amp;$A615,Despesas!$C:$C,E$1,Despesas!$M:$M,$B615)</f>
        <v>0</v>
      </c>
      <c r="F615" s="5">
        <f>SUMIFS(Despesas!$F:$F,Despesas!$J:$J,"&lt;="&amp;$A615,Despesas!$L:$L,"&gt;="&amp;$A615,Despesas!$C:$C,F$1,Despesas!$M:$M,"Mensal")+SUMIFS(Despesas!$F:$F,Despesas!$J:$J,"&lt;="&amp;$A615,Despesas!$L:$L,"&gt;="&amp;$A615,Despesas!$C:$C,F$1,Despesas!$M:$M,$B615)</f>
        <v>13000</v>
      </c>
      <c r="G615" s="5">
        <f>SUMIFS(Despesas!$F:$F,Despesas!$J:$J,"&lt;="&amp;$A615,Despesas!$L:$L,"&gt;="&amp;$A615,Despesas!$C:$C,G$1,Despesas!$M:$M,"Mensal")+SUMIFS(Despesas!$F:$F,Despesas!$J:$J,"&lt;="&amp;$A615,Despesas!$L:$L,"&gt;="&amp;$A615,Despesas!$C:$C,G$1,Despesas!$M:$M,$B615)</f>
        <v>0</v>
      </c>
      <c r="H615" s="18">
        <f>SUMIFS(Despesas!$F:$F,Despesas!$J:$J,"&lt;="&amp;$A615,Despesas!$L:$L,"&gt;="&amp;$A615,Despesas!$C:$C,H$1,Despesas!$M:$M,"Mensal")+SUMIFS(Despesas!$F:$F,Despesas!$J:$J,"&lt;="&amp;$A615,Despesas!$L:$L,"&gt;="&amp;$A615,Despesas!$C:$C,H$1,Despesas!$M:$M,$B615)</f>
        <v>2200</v>
      </c>
      <c r="I615" s="18">
        <f>IF(Imóveis!$F$2="PRICE",IF(AND(Dados!$A615&gt;=Imóveis!$Q$2,Dados!$A615&lt;=Imóveis!$T$2),Imóveis!$U$2,0),IF((IF(AND(Dados!$A615&gt;=Imóveis!$Q$2,Dados!$A615&lt;=Imóveis!$T$2),Imóveis!$S$2-(DATEDIF(Imóveis!$Q$2,Dados!$A615,"m")),0))=0,0,((Imóveis!$N$2/Imóveis!$S$2)+((Imóveis!$N$2-((Imóveis!$S$2-(IF(AND(Dados!$A615&gt;=Imóveis!$Q$2,Dados!$A615&lt;=Imóveis!$T$2),Imóveis!$S$2-(DATEDIF(Imóveis!$Q$2,Dados!$A615,"m")),)))*(Imóveis!$N$2/Imóveis!$S$2)))*Imóveis!$P$2))))*IF(AND(Imóveis!$E$2&gt;0,Dados!$A615&gt;Imóveis!$E$2),0,1)</f>
        <v>0</v>
      </c>
      <c r="J615" s="18">
        <f>IF(Imóveis!$F$3="PRICE",IF(AND(Dados!$A615&gt;=Imóveis!$Q$3,Dados!$A615&lt;=Imóveis!$T$3),Imóveis!$U$3,0),IF((IF(AND(Dados!$A615&gt;=Imóveis!$Q$3,Dados!$A615&lt;=Imóveis!$T$3),Imóveis!$S$3-(DATEDIF(Imóveis!$Q$3,Dados!$A615,"m")),0))=0,0,((Imóveis!$N$3/Imóveis!$S$3)+((Imóveis!$N$3-((Imóveis!$S$3-(IF(AND(Dados!$A615&gt;=Imóveis!$Q$3,Dados!$A615&lt;=Imóveis!$T$3),Imóveis!$S$3-(DATEDIF(Imóveis!$Q$3,Dados!$A615,"m")),)))*(Imóveis!$N$3/Imóveis!$S$3)))*Imóveis!$P$3))))*IF(AND(Imóveis!$E$3&gt;0,Dados!$A615&gt;Imóveis!$E$3),0,1)</f>
        <v>0</v>
      </c>
      <c r="K615" s="18">
        <f>IF(Imóveis!$F$4="PRICE",IF(AND(Dados!$A615&gt;=Imóveis!$Q$4,Dados!$A615&lt;=Imóveis!$T$4),Imóveis!$U$4,0),IF((IF(AND(Dados!$A615&gt;=Imóveis!$Q$4,Dados!$A615&lt;=Imóveis!$T$4),Imóveis!$S$4-(DATEDIF(Imóveis!$Q$4,Dados!$A615,"m")),0))=0,0,((Imóveis!$N$4/Imóveis!$S$4)+((Imóveis!$N$4-((Imóveis!$S$4-(IF(AND(Dados!$A615&gt;=Imóveis!$Q$4,Dados!$A615&lt;=Imóveis!$T$4),Imóveis!$S$4-(DATEDIF(Imóveis!$Q$4,Dados!$A615,"m")),)))*(Imóveis!$N$4/Imóveis!$S$4)))*Imóveis!$P$4))))*IF(AND(Imóveis!$E$4&gt;0,Dados!$A615&gt;Imóveis!$E$4),0,1)</f>
        <v>0</v>
      </c>
      <c r="L615" s="18">
        <f>IF(Imóveis!$F$5="PRICE",IF(AND(Dados!$A615&gt;=Imóveis!$Q$5,Dados!$A615&lt;=Imóveis!$T$5),Imóveis!$U$5,0),IF((IF(AND(Dados!$A615&gt;=Imóveis!$Q$5,Dados!$A615&lt;=Imóveis!$T$5),Imóveis!$S$5-(DATEDIF(Imóveis!$Q$5,Dados!$A615,"m")),0))=0,0,((Imóveis!$N$5/Imóveis!$S$5)+((Imóveis!$N$5-((Imóveis!$S$5-(IF(AND(Dados!$A615 &gt;=Imóveis!$Q$5,Dados!$A615&lt;=Imóveis!$T$5),Imóveis!$S$5-(DATEDIF(Imóveis!$Q$5,Dados!$A615,"m")),)))*(Imóveis!$N$5/Imóveis!$S$5)))*Imóveis!$P$5))))*IF(AND(Imóveis!$E$5&gt;0,Dados!$A615&gt;Imóveis!$E$5),0,1)*Imóveis!$I$5</f>
        <v>0</v>
      </c>
      <c r="M615" s="18">
        <f>IF(Imóveis!$F$6="PRICE",IF(AND(Dados!$A615&gt;=Imóveis!$Q$6,Dados!$A615&lt;=Imóveis!$T$6),Imóveis!$U$6,0),IF((IF(AND(Dados!$A615&gt;=Imóveis!$Q$6,Dados!$A615&lt;=Imóveis!$T$6),Imóveis!$S$6-(DATEDIF(Imóveis!$Q$6,Dados!$A615,"m")),0))=0,0,((Imóveis!$N$6/Imóveis!$S$6)+((Imóveis!$N$6-((Imóveis!$S$6-(IF(AND(Dados!$A615&gt;=Imóveis!$Q$6,Dados!$A615&lt;=Imóveis!$T$6),Imóveis!$S$6-(DATEDIF(Imóveis!$Q$6,Dados!$A615,"m")),)))*(Imóveis!$N$6/Imóveis!$S$6)))*Imóveis!$P$6))))*IF(AND(Imóveis!$E$6&gt;0,Dados!$A615&gt;Imóveis!$E$6),0,1)*Imóveis!$I$6</f>
        <v>0</v>
      </c>
      <c r="N615" s="18">
        <f t="shared" si="77"/>
        <v>38200</v>
      </c>
      <c r="O615" s="18">
        <f>SUMIFS(Receitas!$F:$F,Receitas!$J:$J,"&lt;="&amp;$A615,Receitas!$L:$L,"&gt;="&amp;$A615,Receitas!$C:$C,O$1,Receitas!$M:$M,"Mensal")+SUMIFS(Receitas!$F:$F,Receitas!$J:$J,"&lt;="&amp;$A615,Receitas!$L:$L,"&gt;="&amp;$A615,Receitas!$C:$C,O$1,Receitas!$M:$M,$B615)</f>
        <v>0</v>
      </c>
      <c r="P615" s="18">
        <f>SUMIFS(Receitas!$F:$F,Receitas!$J:$J,"&lt;="&amp;$A615,Receitas!$L:$L,"&gt;="&amp;$A615,Receitas!$C:$C,P$1,Receitas!$M:$M,"Mensal")+SUMIFS(Receitas!$F:$F,Receitas!$J:$J,"&lt;="&amp;$A615,Receitas!$L:$L,"&gt;="&amp;$A615,Receitas!$C:$C,P$1,Receitas!$M:$M,$B615)</f>
        <v>0</v>
      </c>
      <c r="Q615" s="18">
        <f>SUMIFS(Receitas!$F:$F,Receitas!$J:$J,"&lt;="&amp;$A615,Receitas!$L:$L,"&gt;="&amp;$A615,Receitas!$C:$C,Q$1,Receitas!$M:$M,"Mensal")+SUMIFS(Receitas!$F:$F,Receitas!$J:$J,"&lt;="&amp;$A615,Receitas!$L:$L,"&gt;="&amp;$A615,Receitas!$C:$C,Q$1,Receitas!$M:$M,$B615)</f>
        <v>0</v>
      </c>
      <c r="R615" s="18" cm="1">
        <f t="array" ref="R615">(IF(AND(Membros!$F$2="Sim",A615&lt;=MAX(Membros!$E$2:$E$5)),Membros!K$2,IF(AND(A615&gt;=Membros!J$2,A615&lt;=MAX(Membros!$E$2:$E$5)),Membros!K$2,0))+IF(AND(Membros!$F$3="Sim",A615&lt;=MAX(Membros!$E$2:$E$5)),Membros!K$3,IF(AND(A615&gt;=Membros!J$3,A615&lt;=MAX(Membros!$E$2:$E$5)),Membros!K$3,0)))*IF(AND(COUNTIFS(Tabela3[Tipo],"Provedor",Tabela3[Simulação Seguro],"Sim")=2,A615&gt;=MAX(IF(Tabela3[Tipo]="Dependente",Tabela3[Expectativa de Vida (Data)]))),0,1)</f>
        <v>10000</v>
      </c>
      <c r="S615" s="18">
        <f t="shared" si="78"/>
        <v>10000</v>
      </c>
      <c r="U615" s="18">
        <f t="shared" ca="1" si="81"/>
        <v>41080142.507084303</v>
      </c>
      <c r="V615" s="18">
        <f>SUMIF(Imóveis!E:E,Dados!A:A,Imóveis!Z:Z)-SUMIF(Imóveis!E:E,Dados!A:A,Imóveis!Y:Y)</f>
        <v>0</v>
      </c>
      <c r="W615" s="18">
        <f>-SUMIF(Projetos!N:N,A615,Projetos!F:F)</f>
        <v>0</v>
      </c>
      <c r="X615" s="18">
        <f t="shared" si="75"/>
        <v>-28200</v>
      </c>
      <c r="Y615" s="26">
        <f ca="1">(U615*((Indicadores_Economicos!D$2+1)^(1/12)-1))</f>
        <v>134485.69678384255</v>
      </c>
      <c r="Z615" s="18">
        <f t="shared" ca="1" si="79"/>
        <v>41186428.203868143</v>
      </c>
      <c r="AA615" s="18">
        <f ca="1">Auxiliar_Projetos!E615</f>
        <v>2.8994483097270148E-9</v>
      </c>
      <c r="AB615" s="18">
        <f ca="1">Auxiliar_Projetos!K615</f>
        <v>2.2303448536361622E-9</v>
      </c>
      <c r="AC615" s="18">
        <f ca="1">IF(Z615-AA615-AB615&gt;Investimentos!$C$14,Investimentos!$C$14,IF(Z615-AA615-AB615&lt;Investimentos!$C$14,Z615-AA615-AB615,0))</f>
        <v>300000</v>
      </c>
      <c r="AD615" s="18">
        <f t="shared" ca="1" si="80"/>
        <v>40886428.203868143</v>
      </c>
      <c r="AE615" s="18"/>
    </row>
    <row r="616" spans="1:31" x14ac:dyDescent="0.2">
      <c r="A616" s="4">
        <v>64345</v>
      </c>
      <c r="B616" s="5" t="str">
        <f t="shared" si="76"/>
        <v>março</v>
      </c>
      <c r="C616" s="5" t="str">
        <f t="shared" si="82"/>
        <v>2076</v>
      </c>
      <c r="D616" s="5">
        <f>SUMIFS(Despesas!$F:$F,Despesas!$J:$J,"&lt;="&amp;$A616,Despesas!$L:$L,"&gt;="&amp;$A616,Despesas!$C:$C,D$1,Despesas!$M:$M,"Mensal")+SUMIFS(Despesas!$F:$F,Despesas!$J:$J,"&lt;="&amp;$A616,Despesas!$L:$L,"&gt;="&amp;$A616,Despesas!$C:$C,D$1,Despesas!$M:$M,$B616)</f>
        <v>23000</v>
      </c>
      <c r="E616" s="18">
        <f>SUMIFS(Despesas!$F:$F,Despesas!$J:$J,"&lt;="&amp;$A616,Despesas!$L:$L,"&gt;="&amp;$A616,Despesas!$C:$C,E$1,Despesas!$M:$M,"Mensal")+SUMIFS(Despesas!$F:$F,Despesas!$J:$J,"&lt;="&amp;$A616,Despesas!$L:$L,"&gt;="&amp;$A616,Despesas!$C:$C,E$1,Despesas!$M:$M,$B616)</f>
        <v>0</v>
      </c>
      <c r="F616" s="5">
        <f>SUMIFS(Despesas!$F:$F,Despesas!$J:$J,"&lt;="&amp;$A616,Despesas!$L:$L,"&gt;="&amp;$A616,Despesas!$C:$C,F$1,Despesas!$M:$M,"Mensal")+SUMIFS(Despesas!$F:$F,Despesas!$J:$J,"&lt;="&amp;$A616,Despesas!$L:$L,"&gt;="&amp;$A616,Despesas!$C:$C,F$1,Despesas!$M:$M,$B616)</f>
        <v>13000</v>
      </c>
      <c r="G616" s="5">
        <f>SUMIFS(Despesas!$F:$F,Despesas!$J:$J,"&lt;="&amp;$A616,Despesas!$L:$L,"&gt;="&amp;$A616,Despesas!$C:$C,G$1,Despesas!$M:$M,"Mensal")+SUMIFS(Despesas!$F:$F,Despesas!$J:$J,"&lt;="&amp;$A616,Despesas!$L:$L,"&gt;="&amp;$A616,Despesas!$C:$C,G$1,Despesas!$M:$M,$B616)</f>
        <v>0</v>
      </c>
      <c r="H616" s="18">
        <f>SUMIFS(Despesas!$F:$F,Despesas!$J:$J,"&lt;="&amp;$A616,Despesas!$L:$L,"&gt;="&amp;$A616,Despesas!$C:$C,H$1,Despesas!$M:$M,"Mensal")+SUMIFS(Despesas!$F:$F,Despesas!$J:$J,"&lt;="&amp;$A616,Despesas!$L:$L,"&gt;="&amp;$A616,Despesas!$C:$C,H$1,Despesas!$M:$M,$B616)</f>
        <v>1000</v>
      </c>
      <c r="I616" s="18">
        <f>IF(Imóveis!$F$2="PRICE",IF(AND(Dados!$A616&gt;=Imóveis!$Q$2,Dados!$A616&lt;=Imóveis!$T$2),Imóveis!$U$2,0),IF((IF(AND(Dados!$A616&gt;=Imóveis!$Q$2,Dados!$A616&lt;=Imóveis!$T$2),Imóveis!$S$2-(DATEDIF(Imóveis!$Q$2,Dados!$A616,"m")),0))=0,0,((Imóveis!$N$2/Imóveis!$S$2)+((Imóveis!$N$2-((Imóveis!$S$2-(IF(AND(Dados!$A616&gt;=Imóveis!$Q$2,Dados!$A616&lt;=Imóveis!$T$2),Imóveis!$S$2-(DATEDIF(Imóveis!$Q$2,Dados!$A616,"m")),)))*(Imóveis!$N$2/Imóveis!$S$2)))*Imóveis!$P$2))))*IF(AND(Imóveis!$E$2&gt;0,Dados!$A616&gt;Imóveis!$E$2),0,1)</f>
        <v>0</v>
      </c>
      <c r="J616" s="18">
        <f>IF(Imóveis!$F$3="PRICE",IF(AND(Dados!$A616&gt;=Imóveis!$Q$3,Dados!$A616&lt;=Imóveis!$T$3),Imóveis!$U$3,0),IF((IF(AND(Dados!$A616&gt;=Imóveis!$Q$3,Dados!$A616&lt;=Imóveis!$T$3),Imóveis!$S$3-(DATEDIF(Imóveis!$Q$3,Dados!$A616,"m")),0))=0,0,((Imóveis!$N$3/Imóveis!$S$3)+((Imóveis!$N$3-((Imóveis!$S$3-(IF(AND(Dados!$A616&gt;=Imóveis!$Q$3,Dados!$A616&lt;=Imóveis!$T$3),Imóveis!$S$3-(DATEDIF(Imóveis!$Q$3,Dados!$A616,"m")),)))*(Imóveis!$N$3/Imóveis!$S$3)))*Imóveis!$P$3))))*IF(AND(Imóveis!$E$3&gt;0,Dados!$A616&gt;Imóveis!$E$3),0,1)</f>
        <v>0</v>
      </c>
      <c r="K616" s="18">
        <f>IF(Imóveis!$F$4="PRICE",IF(AND(Dados!$A616&gt;=Imóveis!$Q$4,Dados!$A616&lt;=Imóveis!$T$4),Imóveis!$U$4,0),IF((IF(AND(Dados!$A616&gt;=Imóveis!$Q$4,Dados!$A616&lt;=Imóveis!$T$4),Imóveis!$S$4-(DATEDIF(Imóveis!$Q$4,Dados!$A616,"m")),0))=0,0,((Imóveis!$N$4/Imóveis!$S$4)+((Imóveis!$N$4-((Imóveis!$S$4-(IF(AND(Dados!$A616&gt;=Imóveis!$Q$4,Dados!$A616&lt;=Imóveis!$T$4),Imóveis!$S$4-(DATEDIF(Imóveis!$Q$4,Dados!$A616,"m")),)))*(Imóveis!$N$4/Imóveis!$S$4)))*Imóveis!$P$4))))*IF(AND(Imóveis!$E$4&gt;0,Dados!$A616&gt;Imóveis!$E$4),0,1)</f>
        <v>0</v>
      </c>
      <c r="L616" s="18">
        <f>IF(Imóveis!$F$5="PRICE",IF(AND(Dados!$A616&gt;=Imóveis!$Q$5,Dados!$A616&lt;=Imóveis!$T$5),Imóveis!$U$5,0),IF((IF(AND(Dados!$A616&gt;=Imóveis!$Q$5,Dados!$A616&lt;=Imóveis!$T$5),Imóveis!$S$5-(DATEDIF(Imóveis!$Q$5,Dados!$A616,"m")),0))=0,0,((Imóveis!$N$5/Imóveis!$S$5)+((Imóveis!$N$5-((Imóveis!$S$5-(IF(AND(Dados!$A616 &gt;=Imóveis!$Q$5,Dados!$A616&lt;=Imóveis!$T$5),Imóveis!$S$5-(DATEDIF(Imóveis!$Q$5,Dados!$A616,"m")),)))*(Imóveis!$N$5/Imóveis!$S$5)))*Imóveis!$P$5))))*IF(AND(Imóveis!$E$5&gt;0,Dados!$A616&gt;Imóveis!$E$5),0,1)*Imóveis!$I$5</f>
        <v>0</v>
      </c>
      <c r="M616" s="18">
        <f>IF(Imóveis!$F$6="PRICE",IF(AND(Dados!$A616&gt;=Imóveis!$Q$6,Dados!$A616&lt;=Imóveis!$T$6),Imóveis!$U$6,0),IF((IF(AND(Dados!$A616&gt;=Imóveis!$Q$6,Dados!$A616&lt;=Imóveis!$T$6),Imóveis!$S$6-(DATEDIF(Imóveis!$Q$6,Dados!$A616,"m")),0))=0,0,((Imóveis!$N$6/Imóveis!$S$6)+((Imóveis!$N$6-((Imóveis!$S$6-(IF(AND(Dados!$A616&gt;=Imóveis!$Q$6,Dados!$A616&lt;=Imóveis!$T$6),Imóveis!$S$6-(DATEDIF(Imóveis!$Q$6,Dados!$A616,"m")),)))*(Imóveis!$N$6/Imóveis!$S$6)))*Imóveis!$P$6))))*IF(AND(Imóveis!$E$6&gt;0,Dados!$A616&gt;Imóveis!$E$6),0,1)*Imóveis!$I$6</f>
        <v>0</v>
      </c>
      <c r="N616" s="18">
        <f t="shared" si="77"/>
        <v>37000</v>
      </c>
      <c r="O616" s="18">
        <f>SUMIFS(Receitas!$F:$F,Receitas!$J:$J,"&lt;="&amp;$A616,Receitas!$L:$L,"&gt;="&amp;$A616,Receitas!$C:$C,O$1,Receitas!$M:$M,"Mensal")+SUMIFS(Receitas!$F:$F,Receitas!$J:$J,"&lt;="&amp;$A616,Receitas!$L:$L,"&gt;="&amp;$A616,Receitas!$C:$C,O$1,Receitas!$M:$M,$B616)</f>
        <v>0</v>
      </c>
      <c r="P616" s="18">
        <f>SUMIFS(Receitas!$F:$F,Receitas!$J:$J,"&lt;="&amp;$A616,Receitas!$L:$L,"&gt;="&amp;$A616,Receitas!$C:$C,P$1,Receitas!$M:$M,"Mensal")+SUMIFS(Receitas!$F:$F,Receitas!$J:$J,"&lt;="&amp;$A616,Receitas!$L:$L,"&gt;="&amp;$A616,Receitas!$C:$C,P$1,Receitas!$M:$M,$B616)</f>
        <v>0</v>
      </c>
      <c r="Q616" s="18">
        <f>SUMIFS(Receitas!$F:$F,Receitas!$J:$J,"&lt;="&amp;$A616,Receitas!$L:$L,"&gt;="&amp;$A616,Receitas!$C:$C,Q$1,Receitas!$M:$M,"Mensal")+SUMIFS(Receitas!$F:$F,Receitas!$J:$J,"&lt;="&amp;$A616,Receitas!$L:$L,"&gt;="&amp;$A616,Receitas!$C:$C,Q$1,Receitas!$M:$M,$B616)</f>
        <v>0</v>
      </c>
      <c r="R616" s="18" cm="1">
        <f t="array" ref="R616">(IF(AND(Membros!$F$2="Sim",A616&lt;=MAX(Membros!$E$2:$E$5)),Membros!K$2,IF(AND(A616&gt;=Membros!J$2,A616&lt;=MAX(Membros!$E$2:$E$5)),Membros!K$2,0))+IF(AND(Membros!$F$3="Sim",A616&lt;=MAX(Membros!$E$2:$E$5)),Membros!K$3,IF(AND(A616&gt;=Membros!J$3,A616&lt;=MAX(Membros!$E$2:$E$5)),Membros!K$3,0)))*IF(AND(COUNTIFS(Tabela3[Tipo],"Provedor",Tabela3[Simulação Seguro],"Sim")=2,A616&gt;=MAX(IF(Tabela3[Tipo]="Dependente",Tabela3[Expectativa de Vida (Data)]))),0,1)</f>
        <v>10000</v>
      </c>
      <c r="S616" s="18">
        <f t="shared" si="78"/>
        <v>10000</v>
      </c>
      <c r="U616" s="18">
        <f t="shared" ca="1" si="81"/>
        <v>41186428.203868143</v>
      </c>
      <c r="V616" s="18">
        <f>SUMIF(Imóveis!E:E,Dados!A:A,Imóveis!Z:Z)-SUMIF(Imóveis!E:E,Dados!A:A,Imóveis!Y:Y)</f>
        <v>0</v>
      </c>
      <c r="W616" s="18">
        <f>-SUMIF(Projetos!N:N,A616,Projetos!F:F)</f>
        <v>0</v>
      </c>
      <c r="X616" s="18">
        <f t="shared" si="75"/>
        <v>-27000</v>
      </c>
      <c r="Y616" s="26">
        <f ca="1">(U616*((Indicadores_Economicos!D$2+1)^(1/12)-1))</f>
        <v>134833.64849768253</v>
      </c>
      <c r="Z616" s="18">
        <f t="shared" ca="1" si="79"/>
        <v>41294261.852365829</v>
      </c>
      <c r="AA616" s="18">
        <f ca="1">Auxiliar_Projetos!E616</f>
        <v>2.9089403490049975E-9</v>
      </c>
      <c r="AB616" s="18">
        <f ca="1">Auxiliar_Projetos!K616</f>
        <v>2.2376464223115337E-9</v>
      </c>
      <c r="AC616" s="18">
        <f ca="1">IF(Z616-AA616-AB616&gt;Investimentos!$C$14,Investimentos!$C$14,IF(Z616-AA616-AB616&lt;Investimentos!$C$14,Z616-AA616-AB616,0))</f>
        <v>300000</v>
      </c>
      <c r="AD616" s="18">
        <f t="shared" ca="1" si="80"/>
        <v>40994261.852365829</v>
      </c>
      <c r="AE616" s="18"/>
    </row>
    <row r="617" spans="1:31" x14ac:dyDescent="0.2">
      <c r="A617" s="4">
        <v>64376</v>
      </c>
      <c r="B617" s="5" t="str">
        <f t="shared" si="76"/>
        <v>abril</v>
      </c>
      <c r="C617" s="5" t="str">
        <f t="shared" si="82"/>
        <v>2076</v>
      </c>
      <c r="D617" s="5">
        <f>SUMIFS(Despesas!$F:$F,Despesas!$J:$J,"&lt;="&amp;$A617,Despesas!$L:$L,"&gt;="&amp;$A617,Despesas!$C:$C,D$1,Despesas!$M:$M,"Mensal")+SUMIFS(Despesas!$F:$F,Despesas!$J:$J,"&lt;="&amp;$A617,Despesas!$L:$L,"&gt;="&amp;$A617,Despesas!$C:$C,D$1,Despesas!$M:$M,$B617)</f>
        <v>23000</v>
      </c>
      <c r="E617" s="18">
        <f>SUMIFS(Despesas!$F:$F,Despesas!$J:$J,"&lt;="&amp;$A617,Despesas!$L:$L,"&gt;="&amp;$A617,Despesas!$C:$C,E$1,Despesas!$M:$M,"Mensal")+SUMIFS(Despesas!$F:$F,Despesas!$J:$J,"&lt;="&amp;$A617,Despesas!$L:$L,"&gt;="&amp;$A617,Despesas!$C:$C,E$1,Despesas!$M:$M,$B617)</f>
        <v>0</v>
      </c>
      <c r="F617" s="5">
        <f>SUMIFS(Despesas!$F:$F,Despesas!$J:$J,"&lt;="&amp;$A617,Despesas!$L:$L,"&gt;="&amp;$A617,Despesas!$C:$C,F$1,Despesas!$M:$M,"Mensal")+SUMIFS(Despesas!$F:$F,Despesas!$J:$J,"&lt;="&amp;$A617,Despesas!$L:$L,"&gt;="&amp;$A617,Despesas!$C:$C,F$1,Despesas!$M:$M,$B617)</f>
        <v>13000</v>
      </c>
      <c r="G617" s="5">
        <f>SUMIFS(Despesas!$F:$F,Despesas!$J:$J,"&lt;="&amp;$A617,Despesas!$L:$L,"&gt;="&amp;$A617,Despesas!$C:$C,G$1,Despesas!$M:$M,"Mensal")+SUMIFS(Despesas!$F:$F,Despesas!$J:$J,"&lt;="&amp;$A617,Despesas!$L:$L,"&gt;="&amp;$A617,Despesas!$C:$C,G$1,Despesas!$M:$M,$B617)</f>
        <v>0</v>
      </c>
      <c r="H617" s="18">
        <f>SUMIFS(Despesas!$F:$F,Despesas!$J:$J,"&lt;="&amp;$A617,Despesas!$L:$L,"&gt;="&amp;$A617,Despesas!$C:$C,H$1,Despesas!$M:$M,"Mensal")+SUMIFS(Despesas!$F:$F,Despesas!$J:$J,"&lt;="&amp;$A617,Despesas!$L:$L,"&gt;="&amp;$A617,Despesas!$C:$C,H$1,Despesas!$M:$M,$B617)</f>
        <v>1000</v>
      </c>
      <c r="I617" s="18">
        <f>IF(Imóveis!$F$2="PRICE",IF(AND(Dados!$A617&gt;=Imóveis!$Q$2,Dados!$A617&lt;=Imóveis!$T$2),Imóveis!$U$2,0),IF((IF(AND(Dados!$A617&gt;=Imóveis!$Q$2,Dados!$A617&lt;=Imóveis!$T$2),Imóveis!$S$2-(DATEDIF(Imóveis!$Q$2,Dados!$A617,"m")),0))=0,0,((Imóveis!$N$2/Imóveis!$S$2)+((Imóveis!$N$2-((Imóveis!$S$2-(IF(AND(Dados!$A617&gt;=Imóveis!$Q$2,Dados!$A617&lt;=Imóveis!$T$2),Imóveis!$S$2-(DATEDIF(Imóveis!$Q$2,Dados!$A617,"m")),)))*(Imóveis!$N$2/Imóveis!$S$2)))*Imóveis!$P$2))))*IF(AND(Imóveis!$E$2&gt;0,Dados!$A617&gt;Imóveis!$E$2),0,1)</f>
        <v>0</v>
      </c>
      <c r="J617" s="18">
        <f>IF(Imóveis!$F$3="PRICE",IF(AND(Dados!$A617&gt;=Imóveis!$Q$3,Dados!$A617&lt;=Imóveis!$T$3),Imóveis!$U$3,0),IF((IF(AND(Dados!$A617&gt;=Imóveis!$Q$3,Dados!$A617&lt;=Imóveis!$T$3),Imóveis!$S$3-(DATEDIF(Imóveis!$Q$3,Dados!$A617,"m")),0))=0,0,((Imóveis!$N$3/Imóveis!$S$3)+((Imóveis!$N$3-((Imóveis!$S$3-(IF(AND(Dados!$A617&gt;=Imóveis!$Q$3,Dados!$A617&lt;=Imóveis!$T$3),Imóveis!$S$3-(DATEDIF(Imóveis!$Q$3,Dados!$A617,"m")),)))*(Imóveis!$N$3/Imóveis!$S$3)))*Imóveis!$P$3))))*IF(AND(Imóveis!$E$3&gt;0,Dados!$A617&gt;Imóveis!$E$3),0,1)</f>
        <v>0</v>
      </c>
      <c r="K617" s="18">
        <f>IF(Imóveis!$F$4="PRICE",IF(AND(Dados!$A617&gt;=Imóveis!$Q$4,Dados!$A617&lt;=Imóveis!$T$4),Imóveis!$U$4,0),IF((IF(AND(Dados!$A617&gt;=Imóveis!$Q$4,Dados!$A617&lt;=Imóveis!$T$4),Imóveis!$S$4-(DATEDIF(Imóveis!$Q$4,Dados!$A617,"m")),0))=0,0,((Imóveis!$N$4/Imóveis!$S$4)+((Imóveis!$N$4-((Imóveis!$S$4-(IF(AND(Dados!$A617&gt;=Imóveis!$Q$4,Dados!$A617&lt;=Imóveis!$T$4),Imóveis!$S$4-(DATEDIF(Imóveis!$Q$4,Dados!$A617,"m")),)))*(Imóveis!$N$4/Imóveis!$S$4)))*Imóveis!$P$4))))*IF(AND(Imóveis!$E$4&gt;0,Dados!$A617&gt;Imóveis!$E$4),0,1)</f>
        <v>0</v>
      </c>
      <c r="L617" s="18">
        <f>IF(Imóveis!$F$5="PRICE",IF(AND(Dados!$A617&gt;=Imóveis!$Q$5,Dados!$A617&lt;=Imóveis!$T$5),Imóveis!$U$5,0),IF((IF(AND(Dados!$A617&gt;=Imóveis!$Q$5,Dados!$A617&lt;=Imóveis!$T$5),Imóveis!$S$5-(DATEDIF(Imóveis!$Q$5,Dados!$A617,"m")),0))=0,0,((Imóveis!$N$5/Imóveis!$S$5)+((Imóveis!$N$5-((Imóveis!$S$5-(IF(AND(Dados!$A617 &gt;=Imóveis!$Q$5,Dados!$A617&lt;=Imóveis!$T$5),Imóveis!$S$5-(DATEDIF(Imóveis!$Q$5,Dados!$A617,"m")),)))*(Imóveis!$N$5/Imóveis!$S$5)))*Imóveis!$P$5))))*IF(AND(Imóveis!$E$5&gt;0,Dados!$A617&gt;Imóveis!$E$5),0,1)*Imóveis!$I$5</f>
        <v>0</v>
      </c>
      <c r="M617" s="18">
        <f>IF(Imóveis!$F$6="PRICE",IF(AND(Dados!$A617&gt;=Imóveis!$Q$6,Dados!$A617&lt;=Imóveis!$T$6),Imóveis!$U$6,0),IF((IF(AND(Dados!$A617&gt;=Imóveis!$Q$6,Dados!$A617&lt;=Imóveis!$T$6),Imóveis!$S$6-(DATEDIF(Imóveis!$Q$6,Dados!$A617,"m")),0))=0,0,((Imóveis!$N$6/Imóveis!$S$6)+((Imóveis!$N$6-((Imóveis!$S$6-(IF(AND(Dados!$A617&gt;=Imóveis!$Q$6,Dados!$A617&lt;=Imóveis!$T$6),Imóveis!$S$6-(DATEDIF(Imóveis!$Q$6,Dados!$A617,"m")),)))*(Imóveis!$N$6/Imóveis!$S$6)))*Imóveis!$P$6))))*IF(AND(Imóveis!$E$6&gt;0,Dados!$A617&gt;Imóveis!$E$6),0,1)*Imóveis!$I$6</f>
        <v>0</v>
      </c>
      <c r="N617" s="18">
        <f t="shared" si="77"/>
        <v>37000</v>
      </c>
      <c r="O617" s="18">
        <f>SUMIFS(Receitas!$F:$F,Receitas!$J:$J,"&lt;="&amp;$A617,Receitas!$L:$L,"&gt;="&amp;$A617,Receitas!$C:$C,O$1,Receitas!$M:$M,"Mensal")+SUMIFS(Receitas!$F:$F,Receitas!$J:$J,"&lt;="&amp;$A617,Receitas!$L:$L,"&gt;="&amp;$A617,Receitas!$C:$C,O$1,Receitas!$M:$M,$B617)</f>
        <v>0</v>
      </c>
      <c r="P617" s="18">
        <f>SUMIFS(Receitas!$F:$F,Receitas!$J:$J,"&lt;="&amp;$A617,Receitas!$L:$L,"&gt;="&amp;$A617,Receitas!$C:$C,P$1,Receitas!$M:$M,"Mensal")+SUMIFS(Receitas!$F:$F,Receitas!$J:$J,"&lt;="&amp;$A617,Receitas!$L:$L,"&gt;="&amp;$A617,Receitas!$C:$C,P$1,Receitas!$M:$M,$B617)</f>
        <v>0</v>
      </c>
      <c r="Q617" s="18">
        <f>SUMIFS(Receitas!$F:$F,Receitas!$J:$J,"&lt;="&amp;$A617,Receitas!$L:$L,"&gt;="&amp;$A617,Receitas!$C:$C,Q$1,Receitas!$M:$M,"Mensal")+SUMIFS(Receitas!$F:$F,Receitas!$J:$J,"&lt;="&amp;$A617,Receitas!$L:$L,"&gt;="&amp;$A617,Receitas!$C:$C,Q$1,Receitas!$M:$M,$B617)</f>
        <v>0</v>
      </c>
      <c r="R617" s="18" cm="1">
        <f t="array" ref="R617">(IF(AND(Membros!$F$2="Sim",A617&lt;=MAX(Membros!$E$2:$E$5)),Membros!K$2,IF(AND(A617&gt;=Membros!J$2,A617&lt;=MAX(Membros!$E$2:$E$5)),Membros!K$2,0))+IF(AND(Membros!$F$3="Sim",A617&lt;=MAX(Membros!$E$2:$E$5)),Membros!K$3,IF(AND(A617&gt;=Membros!J$3,A617&lt;=MAX(Membros!$E$2:$E$5)),Membros!K$3,0)))*IF(AND(COUNTIFS(Tabela3[Tipo],"Provedor",Tabela3[Simulação Seguro],"Sim")=2,A617&gt;=MAX(IF(Tabela3[Tipo]="Dependente",Tabela3[Expectativa de Vida (Data)]))),0,1)</f>
        <v>10000</v>
      </c>
      <c r="S617" s="18">
        <f t="shared" si="78"/>
        <v>10000</v>
      </c>
      <c r="U617" s="18">
        <f t="shared" ca="1" si="81"/>
        <v>41294261.852365829</v>
      </c>
      <c r="V617" s="18">
        <f>SUMIF(Imóveis!E:E,Dados!A:A,Imóveis!Z:Z)-SUMIF(Imóveis!E:E,Dados!A:A,Imóveis!Y:Y)</f>
        <v>0</v>
      </c>
      <c r="W617" s="18">
        <f>-SUMIF(Projetos!N:N,A617,Projetos!F:F)</f>
        <v>0</v>
      </c>
      <c r="X617" s="18">
        <f t="shared" si="75"/>
        <v>-27000</v>
      </c>
      <c r="Y617" s="26">
        <f ca="1">(U617*((Indicadores_Economicos!D$2+1)^(1/12)-1))</f>
        <v>135186.66780262906</v>
      </c>
      <c r="Z617" s="18">
        <f t="shared" ca="1" si="79"/>
        <v>41402448.520168461</v>
      </c>
      <c r="AA617" s="18">
        <f ca="1">Auxiliar_Projetos!E617</f>
        <v>2.9184634627495785E-9</v>
      </c>
      <c r="AB617" s="18">
        <f ca="1">Auxiliar_Projetos!K617</f>
        <v>2.2449718944227502E-9</v>
      </c>
      <c r="AC617" s="18">
        <f ca="1">IF(Z617-AA617-AB617&gt;Investimentos!$C$14,Investimentos!$C$14,IF(Z617-AA617-AB617&lt;Investimentos!$C$14,Z617-AA617-AB617,0))</f>
        <v>300000</v>
      </c>
      <c r="AD617" s="18">
        <f t="shared" ca="1" si="80"/>
        <v>41102448.520168461</v>
      </c>
      <c r="AE617" s="18"/>
    </row>
    <row r="618" spans="1:31" x14ac:dyDescent="0.2">
      <c r="A618" s="4">
        <v>64406</v>
      </c>
      <c r="B618" s="5" t="str">
        <f t="shared" si="76"/>
        <v>maio</v>
      </c>
      <c r="C618" s="5" t="str">
        <f t="shared" si="82"/>
        <v>2076</v>
      </c>
      <c r="D618" s="5">
        <f>SUMIFS(Despesas!$F:$F,Despesas!$J:$J,"&lt;="&amp;$A618,Despesas!$L:$L,"&gt;="&amp;$A618,Despesas!$C:$C,D$1,Despesas!$M:$M,"Mensal")+SUMIFS(Despesas!$F:$F,Despesas!$J:$J,"&lt;="&amp;$A618,Despesas!$L:$L,"&gt;="&amp;$A618,Despesas!$C:$C,D$1,Despesas!$M:$M,$B618)</f>
        <v>23000</v>
      </c>
      <c r="E618" s="18">
        <f>SUMIFS(Despesas!$F:$F,Despesas!$J:$J,"&lt;="&amp;$A618,Despesas!$L:$L,"&gt;="&amp;$A618,Despesas!$C:$C,E$1,Despesas!$M:$M,"Mensal")+SUMIFS(Despesas!$F:$F,Despesas!$J:$J,"&lt;="&amp;$A618,Despesas!$L:$L,"&gt;="&amp;$A618,Despesas!$C:$C,E$1,Despesas!$M:$M,$B618)</f>
        <v>0</v>
      </c>
      <c r="F618" s="5">
        <f>SUMIFS(Despesas!$F:$F,Despesas!$J:$J,"&lt;="&amp;$A618,Despesas!$L:$L,"&gt;="&amp;$A618,Despesas!$C:$C,F$1,Despesas!$M:$M,"Mensal")+SUMIFS(Despesas!$F:$F,Despesas!$J:$J,"&lt;="&amp;$A618,Despesas!$L:$L,"&gt;="&amp;$A618,Despesas!$C:$C,F$1,Despesas!$M:$M,$B618)</f>
        <v>13000</v>
      </c>
      <c r="G618" s="5">
        <f>SUMIFS(Despesas!$F:$F,Despesas!$J:$J,"&lt;="&amp;$A618,Despesas!$L:$L,"&gt;="&amp;$A618,Despesas!$C:$C,G$1,Despesas!$M:$M,"Mensal")+SUMIFS(Despesas!$F:$F,Despesas!$J:$J,"&lt;="&amp;$A618,Despesas!$L:$L,"&gt;="&amp;$A618,Despesas!$C:$C,G$1,Despesas!$M:$M,$B618)</f>
        <v>0</v>
      </c>
      <c r="H618" s="18">
        <f>SUMIFS(Despesas!$F:$F,Despesas!$J:$J,"&lt;="&amp;$A618,Despesas!$L:$L,"&gt;="&amp;$A618,Despesas!$C:$C,H$1,Despesas!$M:$M,"Mensal")+SUMIFS(Despesas!$F:$F,Despesas!$J:$J,"&lt;="&amp;$A618,Despesas!$L:$L,"&gt;="&amp;$A618,Despesas!$C:$C,H$1,Despesas!$M:$M,$B618)</f>
        <v>1000</v>
      </c>
      <c r="I618" s="18">
        <f>IF(Imóveis!$F$2="PRICE",IF(AND(Dados!$A618&gt;=Imóveis!$Q$2,Dados!$A618&lt;=Imóveis!$T$2),Imóveis!$U$2,0),IF((IF(AND(Dados!$A618&gt;=Imóveis!$Q$2,Dados!$A618&lt;=Imóveis!$T$2),Imóveis!$S$2-(DATEDIF(Imóveis!$Q$2,Dados!$A618,"m")),0))=0,0,((Imóveis!$N$2/Imóveis!$S$2)+((Imóveis!$N$2-((Imóveis!$S$2-(IF(AND(Dados!$A618&gt;=Imóveis!$Q$2,Dados!$A618&lt;=Imóveis!$T$2),Imóveis!$S$2-(DATEDIF(Imóveis!$Q$2,Dados!$A618,"m")),)))*(Imóveis!$N$2/Imóveis!$S$2)))*Imóveis!$P$2))))*IF(AND(Imóveis!$E$2&gt;0,Dados!$A618&gt;Imóveis!$E$2),0,1)</f>
        <v>0</v>
      </c>
      <c r="J618" s="18">
        <f>IF(Imóveis!$F$3="PRICE",IF(AND(Dados!$A618&gt;=Imóveis!$Q$3,Dados!$A618&lt;=Imóveis!$T$3),Imóveis!$U$3,0),IF((IF(AND(Dados!$A618&gt;=Imóveis!$Q$3,Dados!$A618&lt;=Imóveis!$T$3),Imóveis!$S$3-(DATEDIF(Imóveis!$Q$3,Dados!$A618,"m")),0))=0,0,((Imóveis!$N$3/Imóveis!$S$3)+((Imóveis!$N$3-((Imóveis!$S$3-(IF(AND(Dados!$A618&gt;=Imóveis!$Q$3,Dados!$A618&lt;=Imóveis!$T$3),Imóveis!$S$3-(DATEDIF(Imóveis!$Q$3,Dados!$A618,"m")),)))*(Imóveis!$N$3/Imóveis!$S$3)))*Imóveis!$P$3))))*IF(AND(Imóveis!$E$3&gt;0,Dados!$A618&gt;Imóveis!$E$3),0,1)</f>
        <v>0</v>
      </c>
      <c r="K618" s="18">
        <f>IF(Imóveis!$F$4="PRICE",IF(AND(Dados!$A618&gt;=Imóveis!$Q$4,Dados!$A618&lt;=Imóveis!$T$4),Imóveis!$U$4,0),IF((IF(AND(Dados!$A618&gt;=Imóveis!$Q$4,Dados!$A618&lt;=Imóveis!$T$4),Imóveis!$S$4-(DATEDIF(Imóveis!$Q$4,Dados!$A618,"m")),0))=0,0,((Imóveis!$N$4/Imóveis!$S$4)+((Imóveis!$N$4-((Imóveis!$S$4-(IF(AND(Dados!$A618&gt;=Imóveis!$Q$4,Dados!$A618&lt;=Imóveis!$T$4),Imóveis!$S$4-(DATEDIF(Imóveis!$Q$4,Dados!$A618,"m")),)))*(Imóveis!$N$4/Imóveis!$S$4)))*Imóveis!$P$4))))*IF(AND(Imóveis!$E$4&gt;0,Dados!$A618&gt;Imóveis!$E$4),0,1)</f>
        <v>0</v>
      </c>
      <c r="L618" s="18">
        <f>IF(Imóveis!$F$5="PRICE",IF(AND(Dados!$A618&gt;=Imóveis!$Q$5,Dados!$A618&lt;=Imóveis!$T$5),Imóveis!$U$5,0),IF((IF(AND(Dados!$A618&gt;=Imóveis!$Q$5,Dados!$A618&lt;=Imóveis!$T$5),Imóveis!$S$5-(DATEDIF(Imóveis!$Q$5,Dados!$A618,"m")),0))=0,0,((Imóveis!$N$5/Imóveis!$S$5)+((Imóveis!$N$5-((Imóveis!$S$5-(IF(AND(Dados!$A618 &gt;=Imóveis!$Q$5,Dados!$A618&lt;=Imóveis!$T$5),Imóveis!$S$5-(DATEDIF(Imóveis!$Q$5,Dados!$A618,"m")),)))*(Imóveis!$N$5/Imóveis!$S$5)))*Imóveis!$P$5))))*IF(AND(Imóveis!$E$5&gt;0,Dados!$A618&gt;Imóveis!$E$5),0,1)*Imóveis!$I$5</f>
        <v>0</v>
      </c>
      <c r="M618" s="18">
        <f>IF(Imóveis!$F$6="PRICE",IF(AND(Dados!$A618&gt;=Imóveis!$Q$6,Dados!$A618&lt;=Imóveis!$T$6),Imóveis!$U$6,0),IF((IF(AND(Dados!$A618&gt;=Imóveis!$Q$6,Dados!$A618&lt;=Imóveis!$T$6),Imóveis!$S$6-(DATEDIF(Imóveis!$Q$6,Dados!$A618,"m")),0))=0,0,((Imóveis!$N$6/Imóveis!$S$6)+((Imóveis!$N$6-((Imóveis!$S$6-(IF(AND(Dados!$A618&gt;=Imóveis!$Q$6,Dados!$A618&lt;=Imóveis!$T$6),Imóveis!$S$6-(DATEDIF(Imóveis!$Q$6,Dados!$A618,"m")),)))*(Imóveis!$N$6/Imóveis!$S$6)))*Imóveis!$P$6))))*IF(AND(Imóveis!$E$6&gt;0,Dados!$A618&gt;Imóveis!$E$6),0,1)*Imóveis!$I$6</f>
        <v>0</v>
      </c>
      <c r="N618" s="18">
        <f t="shared" si="77"/>
        <v>37000</v>
      </c>
      <c r="O618" s="18">
        <f>SUMIFS(Receitas!$F:$F,Receitas!$J:$J,"&lt;="&amp;$A618,Receitas!$L:$L,"&gt;="&amp;$A618,Receitas!$C:$C,O$1,Receitas!$M:$M,"Mensal")+SUMIFS(Receitas!$F:$F,Receitas!$J:$J,"&lt;="&amp;$A618,Receitas!$L:$L,"&gt;="&amp;$A618,Receitas!$C:$C,O$1,Receitas!$M:$M,$B618)</f>
        <v>0</v>
      </c>
      <c r="P618" s="18">
        <f>SUMIFS(Receitas!$F:$F,Receitas!$J:$J,"&lt;="&amp;$A618,Receitas!$L:$L,"&gt;="&amp;$A618,Receitas!$C:$C,P$1,Receitas!$M:$M,"Mensal")+SUMIFS(Receitas!$F:$F,Receitas!$J:$J,"&lt;="&amp;$A618,Receitas!$L:$L,"&gt;="&amp;$A618,Receitas!$C:$C,P$1,Receitas!$M:$M,$B618)</f>
        <v>0</v>
      </c>
      <c r="Q618" s="18">
        <f>SUMIFS(Receitas!$F:$F,Receitas!$J:$J,"&lt;="&amp;$A618,Receitas!$L:$L,"&gt;="&amp;$A618,Receitas!$C:$C,Q$1,Receitas!$M:$M,"Mensal")+SUMIFS(Receitas!$F:$F,Receitas!$J:$J,"&lt;="&amp;$A618,Receitas!$L:$L,"&gt;="&amp;$A618,Receitas!$C:$C,Q$1,Receitas!$M:$M,$B618)</f>
        <v>0</v>
      </c>
      <c r="R618" s="18" cm="1">
        <f t="array" ref="R618">(IF(AND(Membros!$F$2="Sim",A618&lt;=MAX(Membros!$E$2:$E$5)),Membros!K$2,IF(AND(A618&gt;=Membros!J$2,A618&lt;=MAX(Membros!$E$2:$E$5)),Membros!K$2,0))+IF(AND(Membros!$F$3="Sim",A618&lt;=MAX(Membros!$E$2:$E$5)),Membros!K$3,IF(AND(A618&gt;=Membros!J$3,A618&lt;=MAX(Membros!$E$2:$E$5)),Membros!K$3,0)))*IF(AND(COUNTIFS(Tabela3[Tipo],"Provedor",Tabela3[Simulação Seguro],"Sim")=2,A618&gt;=MAX(IF(Tabela3[Tipo]="Dependente",Tabela3[Expectativa de Vida (Data)]))),0,1)</f>
        <v>10000</v>
      </c>
      <c r="S618" s="18">
        <f t="shared" si="78"/>
        <v>10000</v>
      </c>
      <c r="U618" s="18">
        <f t="shared" ca="1" si="81"/>
        <v>41402448.520168461</v>
      </c>
      <c r="V618" s="18">
        <f>SUMIF(Imóveis!E:E,Dados!A:A,Imóveis!Z:Z)-SUMIF(Imóveis!E:E,Dados!A:A,Imóveis!Y:Y)</f>
        <v>0</v>
      </c>
      <c r="W618" s="18">
        <f>-SUMIF(Projetos!N:N,A618,Projetos!F:F)</f>
        <v>0</v>
      </c>
      <c r="X618" s="18">
        <f t="shared" si="75"/>
        <v>-27000</v>
      </c>
      <c r="Y618" s="26">
        <f ca="1">(U618*((Indicadores_Economicos!D$2+1)^(1/12)-1))</f>
        <v>135540.84280091806</v>
      </c>
      <c r="Z618" s="18">
        <f t="shared" ca="1" si="79"/>
        <v>41510989.362969376</v>
      </c>
      <c r="AA618" s="18">
        <f ca="1">Auxiliar_Projetos!E618</f>
        <v>2.9280177526904758E-9</v>
      </c>
      <c r="AB618" s="18">
        <f ca="1">Auxiliar_Projetos!K618</f>
        <v>2.2523213482234406E-9</v>
      </c>
      <c r="AC618" s="18">
        <f ca="1">IF(Z618-AA618-AB618&gt;Investimentos!$C$14,Investimentos!$C$14,IF(Z618-AA618-AB618&lt;Investimentos!$C$14,Z618-AA618-AB618,0))</f>
        <v>300000</v>
      </c>
      <c r="AD618" s="18">
        <f t="shared" ca="1" si="80"/>
        <v>41210989.362969376</v>
      </c>
      <c r="AE618" s="18"/>
    </row>
    <row r="619" spans="1:31" x14ac:dyDescent="0.2">
      <c r="A619" s="4">
        <v>64437</v>
      </c>
      <c r="B619" s="5" t="str">
        <f t="shared" si="76"/>
        <v>junho</v>
      </c>
      <c r="C619" s="5" t="str">
        <f t="shared" si="82"/>
        <v>2076</v>
      </c>
      <c r="D619" s="5">
        <f>SUMIFS(Despesas!$F:$F,Despesas!$J:$J,"&lt;="&amp;$A619,Despesas!$L:$L,"&gt;="&amp;$A619,Despesas!$C:$C,D$1,Despesas!$M:$M,"Mensal")+SUMIFS(Despesas!$F:$F,Despesas!$J:$J,"&lt;="&amp;$A619,Despesas!$L:$L,"&gt;="&amp;$A619,Despesas!$C:$C,D$1,Despesas!$M:$M,$B619)</f>
        <v>23000</v>
      </c>
      <c r="E619" s="18">
        <f>SUMIFS(Despesas!$F:$F,Despesas!$J:$J,"&lt;="&amp;$A619,Despesas!$L:$L,"&gt;="&amp;$A619,Despesas!$C:$C,E$1,Despesas!$M:$M,"Mensal")+SUMIFS(Despesas!$F:$F,Despesas!$J:$J,"&lt;="&amp;$A619,Despesas!$L:$L,"&gt;="&amp;$A619,Despesas!$C:$C,E$1,Despesas!$M:$M,$B619)</f>
        <v>0</v>
      </c>
      <c r="F619" s="5">
        <f>SUMIFS(Despesas!$F:$F,Despesas!$J:$J,"&lt;="&amp;$A619,Despesas!$L:$L,"&gt;="&amp;$A619,Despesas!$C:$C,F$1,Despesas!$M:$M,"Mensal")+SUMIFS(Despesas!$F:$F,Despesas!$J:$J,"&lt;="&amp;$A619,Despesas!$L:$L,"&gt;="&amp;$A619,Despesas!$C:$C,F$1,Despesas!$M:$M,$B619)</f>
        <v>13000</v>
      </c>
      <c r="G619" s="5">
        <f>SUMIFS(Despesas!$F:$F,Despesas!$J:$J,"&lt;="&amp;$A619,Despesas!$L:$L,"&gt;="&amp;$A619,Despesas!$C:$C,G$1,Despesas!$M:$M,"Mensal")+SUMIFS(Despesas!$F:$F,Despesas!$J:$J,"&lt;="&amp;$A619,Despesas!$L:$L,"&gt;="&amp;$A619,Despesas!$C:$C,G$1,Despesas!$M:$M,$B619)</f>
        <v>0</v>
      </c>
      <c r="H619" s="18">
        <f>SUMIFS(Despesas!$F:$F,Despesas!$J:$J,"&lt;="&amp;$A619,Despesas!$L:$L,"&gt;="&amp;$A619,Despesas!$C:$C,H$1,Despesas!$M:$M,"Mensal")+SUMIFS(Despesas!$F:$F,Despesas!$J:$J,"&lt;="&amp;$A619,Despesas!$L:$L,"&gt;="&amp;$A619,Despesas!$C:$C,H$1,Despesas!$M:$M,$B619)</f>
        <v>1000</v>
      </c>
      <c r="I619" s="18">
        <f>IF(Imóveis!$F$2="PRICE",IF(AND(Dados!$A619&gt;=Imóveis!$Q$2,Dados!$A619&lt;=Imóveis!$T$2),Imóveis!$U$2,0),IF((IF(AND(Dados!$A619&gt;=Imóveis!$Q$2,Dados!$A619&lt;=Imóveis!$T$2),Imóveis!$S$2-(DATEDIF(Imóveis!$Q$2,Dados!$A619,"m")),0))=0,0,((Imóveis!$N$2/Imóveis!$S$2)+((Imóveis!$N$2-((Imóveis!$S$2-(IF(AND(Dados!$A619&gt;=Imóveis!$Q$2,Dados!$A619&lt;=Imóveis!$T$2),Imóveis!$S$2-(DATEDIF(Imóveis!$Q$2,Dados!$A619,"m")),)))*(Imóveis!$N$2/Imóveis!$S$2)))*Imóveis!$P$2))))*IF(AND(Imóveis!$E$2&gt;0,Dados!$A619&gt;Imóveis!$E$2),0,1)</f>
        <v>0</v>
      </c>
      <c r="J619" s="18">
        <f>IF(Imóveis!$F$3="PRICE",IF(AND(Dados!$A619&gt;=Imóveis!$Q$3,Dados!$A619&lt;=Imóveis!$T$3),Imóveis!$U$3,0),IF((IF(AND(Dados!$A619&gt;=Imóveis!$Q$3,Dados!$A619&lt;=Imóveis!$T$3),Imóveis!$S$3-(DATEDIF(Imóveis!$Q$3,Dados!$A619,"m")),0))=0,0,((Imóveis!$N$3/Imóveis!$S$3)+((Imóveis!$N$3-((Imóveis!$S$3-(IF(AND(Dados!$A619&gt;=Imóveis!$Q$3,Dados!$A619&lt;=Imóveis!$T$3),Imóveis!$S$3-(DATEDIF(Imóveis!$Q$3,Dados!$A619,"m")),)))*(Imóveis!$N$3/Imóveis!$S$3)))*Imóveis!$P$3))))*IF(AND(Imóveis!$E$3&gt;0,Dados!$A619&gt;Imóveis!$E$3),0,1)</f>
        <v>0</v>
      </c>
      <c r="K619" s="18">
        <f>IF(Imóveis!$F$4="PRICE",IF(AND(Dados!$A619&gt;=Imóveis!$Q$4,Dados!$A619&lt;=Imóveis!$T$4),Imóveis!$U$4,0),IF((IF(AND(Dados!$A619&gt;=Imóveis!$Q$4,Dados!$A619&lt;=Imóveis!$T$4),Imóveis!$S$4-(DATEDIF(Imóveis!$Q$4,Dados!$A619,"m")),0))=0,0,((Imóveis!$N$4/Imóveis!$S$4)+((Imóveis!$N$4-((Imóveis!$S$4-(IF(AND(Dados!$A619&gt;=Imóveis!$Q$4,Dados!$A619&lt;=Imóveis!$T$4),Imóveis!$S$4-(DATEDIF(Imóveis!$Q$4,Dados!$A619,"m")),)))*(Imóveis!$N$4/Imóveis!$S$4)))*Imóveis!$P$4))))*IF(AND(Imóveis!$E$4&gt;0,Dados!$A619&gt;Imóveis!$E$4),0,1)</f>
        <v>0</v>
      </c>
      <c r="L619" s="18">
        <f>IF(Imóveis!$F$5="PRICE",IF(AND(Dados!$A619&gt;=Imóveis!$Q$5,Dados!$A619&lt;=Imóveis!$T$5),Imóveis!$U$5,0),IF((IF(AND(Dados!$A619&gt;=Imóveis!$Q$5,Dados!$A619&lt;=Imóveis!$T$5),Imóveis!$S$5-(DATEDIF(Imóveis!$Q$5,Dados!$A619,"m")),0))=0,0,((Imóveis!$N$5/Imóveis!$S$5)+((Imóveis!$N$5-((Imóveis!$S$5-(IF(AND(Dados!$A619 &gt;=Imóveis!$Q$5,Dados!$A619&lt;=Imóveis!$T$5),Imóveis!$S$5-(DATEDIF(Imóveis!$Q$5,Dados!$A619,"m")),)))*(Imóveis!$N$5/Imóveis!$S$5)))*Imóveis!$P$5))))*IF(AND(Imóveis!$E$5&gt;0,Dados!$A619&gt;Imóveis!$E$5),0,1)*Imóveis!$I$5</f>
        <v>0</v>
      </c>
      <c r="M619" s="18">
        <f>IF(Imóveis!$F$6="PRICE",IF(AND(Dados!$A619&gt;=Imóveis!$Q$6,Dados!$A619&lt;=Imóveis!$T$6),Imóveis!$U$6,0),IF((IF(AND(Dados!$A619&gt;=Imóveis!$Q$6,Dados!$A619&lt;=Imóveis!$T$6),Imóveis!$S$6-(DATEDIF(Imóveis!$Q$6,Dados!$A619,"m")),0))=0,0,((Imóveis!$N$6/Imóveis!$S$6)+((Imóveis!$N$6-((Imóveis!$S$6-(IF(AND(Dados!$A619&gt;=Imóveis!$Q$6,Dados!$A619&lt;=Imóveis!$T$6),Imóveis!$S$6-(DATEDIF(Imóveis!$Q$6,Dados!$A619,"m")),)))*(Imóveis!$N$6/Imóveis!$S$6)))*Imóveis!$P$6))))*IF(AND(Imóveis!$E$6&gt;0,Dados!$A619&gt;Imóveis!$E$6),0,1)*Imóveis!$I$6</f>
        <v>0</v>
      </c>
      <c r="N619" s="18">
        <f t="shared" si="77"/>
        <v>37000</v>
      </c>
      <c r="O619" s="18">
        <f>SUMIFS(Receitas!$F:$F,Receitas!$J:$J,"&lt;="&amp;$A619,Receitas!$L:$L,"&gt;="&amp;$A619,Receitas!$C:$C,O$1,Receitas!$M:$M,"Mensal")+SUMIFS(Receitas!$F:$F,Receitas!$J:$J,"&lt;="&amp;$A619,Receitas!$L:$L,"&gt;="&amp;$A619,Receitas!$C:$C,O$1,Receitas!$M:$M,$B619)</f>
        <v>0</v>
      </c>
      <c r="P619" s="18">
        <f>SUMIFS(Receitas!$F:$F,Receitas!$J:$J,"&lt;="&amp;$A619,Receitas!$L:$L,"&gt;="&amp;$A619,Receitas!$C:$C,P$1,Receitas!$M:$M,"Mensal")+SUMIFS(Receitas!$F:$F,Receitas!$J:$J,"&lt;="&amp;$A619,Receitas!$L:$L,"&gt;="&amp;$A619,Receitas!$C:$C,P$1,Receitas!$M:$M,$B619)</f>
        <v>0</v>
      </c>
      <c r="Q619" s="18">
        <f>SUMIFS(Receitas!$F:$F,Receitas!$J:$J,"&lt;="&amp;$A619,Receitas!$L:$L,"&gt;="&amp;$A619,Receitas!$C:$C,Q$1,Receitas!$M:$M,"Mensal")+SUMIFS(Receitas!$F:$F,Receitas!$J:$J,"&lt;="&amp;$A619,Receitas!$L:$L,"&gt;="&amp;$A619,Receitas!$C:$C,Q$1,Receitas!$M:$M,$B619)</f>
        <v>0</v>
      </c>
      <c r="R619" s="18" cm="1">
        <f t="array" ref="R619">(IF(AND(Membros!$F$2="Sim",A619&lt;=MAX(Membros!$E$2:$E$5)),Membros!K$2,IF(AND(A619&gt;=Membros!J$2,A619&lt;=MAX(Membros!$E$2:$E$5)),Membros!K$2,0))+IF(AND(Membros!$F$3="Sim",A619&lt;=MAX(Membros!$E$2:$E$5)),Membros!K$3,IF(AND(A619&gt;=Membros!J$3,A619&lt;=MAX(Membros!$E$2:$E$5)),Membros!K$3,0)))*IF(AND(COUNTIFS(Tabela3[Tipo],"Provedor",Tabela3[Simulação Seguro],"Sim")=2,A619&gt;=MAX(IF(Tabela3[Tipo]="Dependente",Tabela3[Expectativa de Vida (Data)]))),0,1)</f>
        <v>10000</v>
      </c>
      <c r="S619" s="18">
        <f t="shared" si="78"/>
        <v>10000</v>
      </c>
      <c r="U619" s="18">
        <f t="shared" ca="1" si="81"/>
        <v>41510989.362969376</v>
      </c>
      <c r="V619" s="18">
        <f>SUMIF(Imóveis!E:E,Dados!A:A,Imóveis!Z:Z)-SUMIF(Imóveis!E:E,Dados!A:A,Imóveis!Y:Y)</f>
        <v>0</v>
      </c>
      <c r="W619" s="18">
        <f>-SUMIF(Projetos!N:N,A619,Projetos!F:F)</f>
        <v>0</v>
      </c>
      <c r="X619" s="18">
        <f t="shared" si="75"/>
        <v>-27000</v>
      </c>
      <c r="Y619" s="26">
        <f ca="1">(U619*((Indicadores_Economicos!D$2+1)^(1/12)-1))</f>
        <v>135896.17727598883</v>
      </c>
      <c r="Z619" s="18">
        <f t="shared" ca="1" si="79"/>
        <v>41619885.540245362</v>
      </c>
      <c r="AA619" s="18">
        <f ca="1">Auxiliar_Projetos!E619</f>
        <v>2.9376033208904432E-9</v>
      </c>
      <c r="AB619" s="18">
        <f ca="1">Auxiliar_Projetos!K619</f>
        <v>2.2596948622234154E-9</v>
      </c>
      <c r="AC619" s="18">
        <f ca="1">IF(Z619-AA619-AB619&gt;Investimentos!$C$14,Investimentos!$C$14,IF(Z619-AA619-AB619&lt;Investimentos!$C$14,Z619-AA619-AB619,0))</f>
        <v>300000</v>
      </c>
      <c r="AD619" s="18">
        <f t="shared" ca="1" si="80"/>
        <v>41319885.540245362</v>
      </c>
      <c r="AE619" s="18"/>
    </row>
    <row r="620" spans="1:31" x14ac:dyDescent="0.2">
      <c r="A620" s="4">
        <v>64467</v>
      </c>
      <c r="B620" s="5" t="str">
        <f t="shared" si="76"/>
        <v>julho</v>
      </c>
      <c r="C620" s="5" t="str">
        <f t="shared" si="82"/>
        <v>2076</v>
      </c>
      <c r="D620" s="5">
        <f>SUMIFS(Despesas!$F:$F,Despesas!$J:$J,"&lt;="&amp;$A620,Despesas!$L:$L,"&gt;="&amp;$A620,Despesas!$C:$C,D$1,Despesas!$M:$M,"Mensal")+SUMIFS(Despesas!$F:$F,Despesas!$J:$J,"&lt;="&amp;$A620,Despesas!$L:$L,"&gt;="&amp;$A620,Despesas!$C:$C,D$1,Despesas!$M:$M,$B620)</f>
        <v>23000</v>
      </c>
      <c r="E620" s="18">
        <f>SUMIFS(Despesas!$F:$F,Despesas!$J:$J,"&lt;="&amp;$A620,Despesas!$L:$L,"&gt;="&amp;$A620,Despesas!$C:$C,E$1,Despesas!$M:$M,"Mensal")+SUMIFS(Despesas!$F:$F,Despesas!$J:$J,"&lt;="&amp;$A620,Despesas!$L:$L,"&gt;="&amp;$A620,Despesas!$C:$C,E$1,Despesas!$M:$M,$B620)</f>
        <v>0</v>
      </c>
      <c r="F620" s="5">
        <f>SUMIFS(Despesas!$F:$F,Despesas!$J:$J,"&lt;="&amp;$A620,Despesas!$L:$L,"&gt;="&amp;$A620,Despesas!$C:$C,F$1,Despesas!$M:$M,"Mensal")+SUMIFS(Despesas!$F:$F,Despesas!$J:$J,"&lt;="&amp;$A620,Despesas!$L:$L,"&gt;="&amp;$A620,Despesas!$C:$C,F$1,Despesas!$M:$M,$B620)</f>
        <v>13000</v>
      </c>
      <c r="G620" s="5">
        <f ca="1">SUMIFS(Despesas!$F:$F,Despesas!$J:$J,"&lt;="&amp;$A620,Despesas!$L:$L,"&gt;="&amp;$A620,Despesas!$C:$C,G$1,Despesas!$M:$M,"Mensal")+SUMIFS(Despesas!$F:$F,Despesas!$J:$J,"&lt;="&amp;$A620,Despesas!$L:$L,"&gt;="&amp;$A620,Despesas!$C:$C,G$1,Despesas!$M:$M,$B620)</f>
        <v>55757</v>
      </c>
      <c r="H620" s="18">
        <f>SUMIFS(Despesas!$F:$F,Despesas!$J:$J,"&lt;="&amp;$A620,Despesas!$L:$L,"&gt;="&amp;$A620,Despesas!$C:$C,H$1,Despesas!$M:$M,"Mensal")+SUMIFS(Despesas!$F:$F,Despesas!$J:$J,"&lt;="&amp;$A620,Despesas!$L:$L,"&gt;="&amp;$A620,Despesas!$C:$C,H$1,Despesas!$M:$M,$B620)</f>
        <v>1000</v>
      </c>
      <c r="I620" s="18">
        <f>IF(Imóveis!$F$2="PRICE",IF(AND(Dados!$A620&gt;=Imóveis!$Q$2,Dados!$A620&lt;=Imóveis!$T$2),Imóveis!$U$2,0),IF((IF(AND(Dados!$A620&gt;=Imóveis!$Q$2,Dados!$A620&lt;=Imóveis!$T$2),Imóveis!$S$2-(DATEDIF(Imóveis!$Q$2,Dados!$A620,"m")),0))=0,0,((Imóveis!$N$2/Imóveis!$S$2)+((Imóveis!$N$2-((Imóveis!$S$2-(IF(AND(Dados!$A620&gt;=Imóveis!$Q$2,Dados!$A620&lt;=Imóveis!$T$2),Imóveis!$S$2-(DATEDIF(Imóveis!$Q$2,Dados!$A620,"m")),)))*(Imóveis!$N$2/Imóveis!$S$2)))*Imóveis!$P$2))))*IF(AND(Imóveis!$E$2&gt;0,Dados!$A620&gt;Imóveis!$E$2),0,1)</f>
        <v>0</v>
      </c>
      <c r="J620" s="18">
        <f>IF(Imóveis!$F$3="PRICE",IF(AND(Dados!$A620&gt;=Imóveis!$Q$3,Dados!$A620&lt;=Imóveis!$T$3),Imóveis!$U$3,0),IF((IF(AND(Dados!$A620&gt;=Imóveis!$Q$3,Dados!$A620&lt;=Imóveis!$T$3),Imóveis!$S$3-(DATEDIF(Imóveis!$Q$3,Dados!$A620,"m")),0))=0,0,((Imóveis!$N$3/Imóveis!$S$3)+((Imóveis!$N$3-((Imóveis!$S$3-(IF(AND(Dados!$A620&gt;=Imóveis!$Q$3,Dados!$A620&lt;=Imóveis!$T$3),Imóveis!$S$3-(DATEDIF(Imóveis!$Q$3,Dados!$A620,"m")),)))*(Imóveis!$N$3/Imóveis!$S$3)))*Imóveis!$P$3))))*IF(AND(Imóveis!$E$3&gt;0,Dados!$A620&gt;Imóveis!$E$3),0,1)</f>
        <v>0</v>
      </c>
      <c r="K620" s="18">
        <f>IF(Imóveis!$F$4="PRICE",IF(AND(Dados!$A620&gt;=Imóveis!$Q$4,Dados!$A620&lt;=Imóveis!$T$4),Imóveis!$U$4,0),IF((IF(AND(Dados!$A620&gt;=Imóveis!$Q$4,Dados!$A620&lt;=Imóveis!$T$4),Imóveis!$S$4-(DATEDIF(Imóveis!$Q$4,Dados!$A620,"m")),0))=0,0,((Imóveis!$N$4/Imóveis!$S$4)+((Imóveis!$N$4-((Imóveis!$S$4-(IF(AND(Dados!$A620&gt;=Imóveis!$Q$4,Dados!$A620&lt;=Imóveis!$T$4),Imóveis!$S$4-(DATEDIF(Imóveis!$Q$4,Dados!$A620,"m")),)))*(Imóveis!$N$4/Imóveis!$S$4)))*Imóveis!$P$4))))*IF(AND(Imóveis!$E$4&gt;0,Dados!$A620&gt;Imóveis!$E$4),0,1)</f>
        <v>0</v>
      </c>
      <c r="L620" s="18">
        <f>IF(Imóveis!$F$5="PRICE",IF(AND(Dados!$A620&gt;=Imóveis!$Q$5,Dados!$A620&lt;=Imóveis!$T$5),Imóveis!$U$5,0),IF((IF(AND(Dados!$A620&gt;=Imóveis!$Q$5,Dados!$A620&lt;=Imóveis!$T$5),Imóveis!$S$5-(DATEDIF(Imóveis!$Q$5,Dados!$A620,"m")),0))=0,0,((Imóveis!$N$5/Imóveis!$S$5)+((Imóveis!$N$5-((Imóveis!$S$5-(IF(AND(Dados!$A620 &gt;=Imóveis!$Q$5,Dados!$A620&lt;=Imóveis!$T$5),Imóveis!$S$5-(DATEDIF(Imóveis!$Q$5,Dados!$A620,"m")),)))*(Imóveis!$N$5/Imóveis!$S$5)))*Imóveis!$P$5))))*IF(AND(Imóveis!$E$5&gt;0,Dados!$A620&gt;Imóveis!$E$5),0,1)*Imóveis!$I$5</f>
        <v>0</v>
      </c>
      <c r="M620" s="18">
        <f>IF(Imóveis!$F$6="PRICE",IF(AND(Dados!$A620&gt;=Imóveis!$Q$6,Dados!$A620&lt;=Imóveis!$T$6),Imóveis!$U$6,0),IF((IF(AND(Dados!$A620&gt;=Imóveis!$Q$6,Dados!$A620&lt;=Imóveis!$T$6),Imóveis!$S$6-(DATEDIF(Imóveis!$Q$6,Dados!$A620,"m")),0))=0,0,((Imóveis!$N$6/Imóveis!$S$6)+((Imóveis!$N$6-((Imóveis!$S$6-(IF(AND(Dados!$A620&gt;=Imóveis!$Q$6,Dados!$A620&lt;=Imóveis!$T$6),Imóveis!$S$6-(DATEDIF(Imóveis!$Q$6,Dados!$A620,"m")),)))*(Imóveis!$N$6/Imóveis!$S$6)))*Imóveis!$P$6))))*IF(AND(Imóveis!$E$6&gt;0,Dados!$A620&gt;Imóveis!$E$6),0,1)*Imóveis!$I$6</f>
        <v>0</v>
      </c>
      <c r="N620" s="18">
        <f t="shared" ca="1" si="77"/>
        <v>92757</v>
      </c>
      <c r="O620" s="18">
        <f>SUMIFS(Receitas!$F:$F,Receitas!$J:$J,"&lt;="&amp;$A620,Receitas!$L:$L,"&gt;="&amp;$A620,Receitas!$C:$C,O$1,Receitas!$M:$M,"Mensal")+SUMIFS(Receitas!$F:$F,Receitas!$J:$J,"&lt;="&amp;$A620,Receitas!$L:$L,"&gt;="&amp;$A620,Receitas!$C:$C,O$1,Receitas!$M:$M,$B620)</f>
        <v>0</v>
      </c>
      <c r="P620" s="18">
        <f>SUMIFS(Receitas!$F:$F,Receitas!$J:$J,"&lt;="&amp;$A620,Receitas!$L:$L,"&gt;="&amp;$A620,Receitas!$C:$C,P$1,Receitas!$M:$M,"Mensal")+SUMIFS(Receitas!$F:$F,Receitas!$J:$J,"&lt;="&amp;$A620,Receitas!$L:$L,"&gt;="&amp;$A620,Receitas!$C:$C,P$1,Receitas!$M:$M,$B620)</f>
        <v>0</v>
      </c>
      <c r="Q620" s="18">
        <f>SUMIFS(Receitas!$F:$F,Receitas!$J:$J,"&lt;="&amp;$A620,Receitas!$L:$L,"&gt;="&amp;$A620,Receitas!$C:$C,Q$1,Receitas!$M:$M,"Mensal")+SUMIFS(Receitas!$F:$F,Receitas!$J:$J,"&lt;="&amp;$A620,Receitas!$L:$L,"&gt;="&amp;$A620,Receitas!$C:$C,Q$1,Receitas!$M:$M,$B620)</f>
        <v>0</v>
      </c>
      <c r="R620" s="18" cm="1">
        <f t="array" ref="R620">(IF(AND(Membros!$F$2="Sim",A620&lt;=MAX(Membros!$E$2:$E$5)),Membros!K$2,IF(AND(A620&gt;=Membros!J$2,A620&lt;=MAX(Membros!$E$2:$E$5)),Membros!K$2,0))+IF(AND(Membros!$F$3="Sim",A620&lt;=MAX(Membros!$E$2:$E$5)),Membros!K$3,IF(AND(A620&gt;=Membros!J$3,A620&lt;=MAX(Membros!$E$2:$E$5)),Membros!K$3,0)))*IF(AND(COUNTIFS(Tabela3[Tipo],"Provedor",Tabela3[Simulação Seguro],"Sim")=2,A620&gt;=MAX(IF(Tabela3[Tipo]="Dependente",Tabela3[Expectativa de Vida (Data)]))),0,1)</f>
        <v>10000</v>
      </c>
      <c r="S620" s="18">
        <f t="shared" si="78"/>
        <v>10000</v>
      </c>
      <c r="U620" s="18">
        <f t="shared" ca="1" si="81"/>
        <v>41619885.540245362</v>
      </c>
      <c r="V620" s="18">
        <f>SUMIF(Imóveis!E:E,Dados!A:A,Imóveis!Z:Z)-SUMIF(Imóveis!E:E,Dados!A:A,Imóveis!Y:Y)</f>
        <v>0</v>
      </c>
      <c r="W620" s="18">
        <f>-SUMIF(Projetos!N:N,A620,Projetos!F:F)</f>
        <v>0</v>
      </c>
      <c r="X620" s="18">
        <f t="shared" ca="1" si="75"/>
        <v>-82757</v>
      </c>
      <c r="Y620" s="26">
        <f ca="1">(U620*((Indicadores_Economicos!D$2+1)^(1/12)-1))</f>
        <v>136252.67502366661</v>
      </c>
      <c r="Z620" s="18">
        <f t="shared" ca="1" si="79"/>
        <v>41673381.215269029</v>
      </c>
      <c r="AA620" s="18">
        <f ca="1">Auxiliar_Projetos!E620</f>
        <v>2.9472202697463619E-9</v>
      </c>
      <c r="AB620" s="18">
        <f ca="1">Auxiliar_Projetos!K620</f>
        <v>2.2670925151895067E-9</v>
      </c>
      <c r="AC620" s="18">
        <f ca="1">IF(Z620-AA620-AB620&gt;Investimentos!$C$14,Investimentos!$C$14,IF(Z620-AA620-AB620&lt;Investimentos!$C$14,Z620-AA620-AB620,0))</f>
        <v>300000</v>
      </c>
      <c r="AD620" s="18">
        <f t="shared" ca="1" si="80"/>
        <v>41373381.215269029</v>
      </c>
      <c r="AE620" s="18"/>
    </row>
    <row r="621" spans="1:31" x14ac:dyDescent="0.2">
      <c r="A621" s="4">
        <v>64498</v>
      </c>
      <c r="B621" s="5" t="str">
        <f t="shared" si="76"/>
        <v>agosto</v>
      </c>
      <c r="C621" s="5" t="str">
        <f t="shared" si="82"/>
        <v>2076</v>
      </c>
      <c r="D621" s="5">
        <f>SUMIFS(Despesas!$F:$F,Despesas!$J:$J,"&lt;="&amp;$A621,Despesas!$L:$L,"&gt;="&amp;$A621,Despesas!$C:$C,D$1,Despesas!$M:$M,"Mensal")+SUMIFS(Despesas!$F:$F,Despesas!$J:$J,"&lt;="&amp;$A621,Despesas!$L:$L,"&gt;="&amp;$A621,Despesas!$C:$C,D$1,Despesas!$M:$M,$B621)</f>
        <v>23000</v>
      </c>
      <c r="E621" s="18">
        <f>SUMIFS(Despesas!$F:$F,Despesas!$J:$J,"&lt;="&amp;$A621,Despesas!$L:$L,"&gt;="&amp;$A621,Despesas!$C:$C,E$1,Despesas!$M:$M,"Mensal")+SUMIFS(Despesas!$F:$F,Despesas!$J:$J,"&lt;="&amp;$A621,Despesas!$L:$L,"&gt;="&amp;$A621,Despesas!$C:$C,E$1,Despesas!$M:$M,$B621)</f>
        <v>0</v>
      </c>
      <c r="F621" s="5">
        <f>SUMIFS(Despesas!$F:$F,Despesas!$J:$J,"&lt;="&amp;$A621,Despesas!$L:$L,"&gt;="&amp;$A621,Despesas!$C:$C,F$1,Despesas!$M:$M,"Mensal")+SUMIFS(Despesas!$F:$F,Despesas!$J:$J,"&lt;="&amp;$A621,Despesas!$L:$L,"&gt;="&amp;$A621,Despesas!$C:$C,F$1,Despesas!$M:$M,$B621)</f>
        <v>13000</v>
      </c>
      <c r="G621" s="5">
        <f>SUMIFS(Despesas!$F:$F,Despesas!$J:$J,"&lt;="&amp;$A621,Despesas!$L:$L,"&gt;="&amp;$A621,Despesas!$C:$C,G$1,Despesas!$M:$M,"Mensal")+SUMIFS(Despesas!$F:$F,Despesas!$J:$J,"&lt;="&amp;$A621,Despesas!$L:$L,"&gt;="&amp;$A621,Despesas!$C:$C,G$1,Despesas!$M:$M,$B621)</f>
        <v>0</v>
      </c>
      <c r="H621" s="18">
        <f>SUMIFS(Despesas!$F:$F,Despesas!$J:$J,"&lt;="&amp;$A621,Despesas!$L:$L,"&gt;="&amp;$A621,Despesas!$C:$C,H$1,Despesas!$M:$M,"Mensal")+SUMIFS(Despesas!$F:$F,Despesas!$J:$J,"&lt;="&amp;$A621,Despesas!$L:$L,"&gt;="&amp;$A621,Despesas!$C:$C,H$1,Despesas!$M:$M,$B621)</f>
        <v>1000</v>
      </c>
      <c r="I621" s="18">
        <f>IF(Imóveis!$F$2="PRICE",IF(AND(Dados!$A621&gt;=Imóveis!$Q$2,Dados!$A621&lt;=Imóveis!$T$2),Imóveis!$U$2,0),IF((IF(AND(Dados!$A621&gt;=Imóveis!$Q$2,Dados!$A621&lt;=Imóveis!$T$2),Imóveis!$S$2-(DATEDIF(Imóveis!$Q$2,Dados!$A621,"m")),0))=0,0,((Imóveis!$N$2/Imóveis!$S$2)+((Imóveis!$N$2-((Imóveis!$S$2-(IF(AND(Dados!$A621&gt;=Imóveis!$Q$2,Dados!$A621&lt;=Imóveis!$T$2),Imóveis!$S$2-(DATEDIF(Imóveis!$Q$2,Dados!$A621,"m")),)))*(Imóveis!$N$2/Imóveis!$S$2)))*Imóveis!$P$2))))*IF(AND(Imóveis!$E$2&gt;0,Dados!$A621&gt;Imóveis!$E$2),0,1)</f>
        <v>0</v>
      </c>
      <c r="J621" s="18">
        <f>IF(Imóveis!$F$3="PRICE",IF(AND(Dados!$A621&gt;=Imóveis!$Q$3,Dados!$A621&lt;=Imóveis!$T$3),Imóveis!$U$3,0),IF((IF(AND(Dados!$A621&gt;=Imóveis!$Q$3,Dados!$A621&lt;=Imóveis!$T$3),Imóveis!$S$3-(DATEDIF(Imóveis!$Q$3,Dados!$A621,"m")),0))=0,0,((Imóveis!$N$3/Imóveis!$S$3)+((Imóveis!$N$3-((Imóveis!$S$3-(IF(AND(Dados!$A621&gt;=Imóveis!$Q$3,Dados!$A621&lt;=Imóveis!$T$3),Imóveis!$S$3-(DATEDIF(Imóveis!$Q$3,Dados!$A621,"m")),)))*(Imóveis!$N$3/Imóveis!$S$3)))*Imóveis!$P$3))))*IF(AND(Imóveis!$E$3&gt;0,Dados!$A621&gt;Imóveis!$E$3),0,1)</f>
        <v>0</v>
      </c>
      <c r="K621" s="18">
        <f>IF(Imóveis!$F$4="PRICE",IF(AND(Dados!$A621&gt;=Imóveis!$Q$4,Dados!$A621&lt;=Imóveis!$T$4),Imóveis!$U$4,0),IF((IF(AND(Dados!$A621&gt;=Imóveis!$Q$4,Dados!$A621&lt;=Imóveis!$T$4),Imóveis!$S$4-(DATEDIF(Imóveis!$Q$4,Dados!$A621,"m")),0))=0,0,((Imóveis!$N$4/Imóveis!$S$4)+((Imóveis!$N$4-((Imóveis!$S$4-(IF(AND(Dados!$A621&gt;=Imóveis!$Q$4,Dados!$A621&lt;=Imóveis!$T$4),Imóveis!$S$4-(DATEDIF(Imóveis!$Q$4,Dados!$A621,"m")),)))*(Imóveis!$N$4/Imóveis!$S$4)))*Imóveis!$P$4))))*IF(AND(Imóveis!$E$4&gt;0,Dados!$A621&gt;Imóveis!$E$4),0,1)</f>
        <v>0</v>
      </c>
      <c r="L621" s="18">
        <f>IF(Imóveis!$F$5="PRICE",IF(AND(Dados!$A621&gt;=Imóveis!$Q$5,Dados!$A621&lt;=Imóveis!$T$5),Imóveis!$U$5,0),IF((IF(AND(Dados!$A621&gt;=Imóveis!$Q$5,Dados!$A621&lt;=Imóveis!$T$5),Imóveis!$S$5-(DATEDIF(Imóveis!$Q$5,Dados!$A621,"m")),0))=0,0,((Imóveis!$N$5/Imóveis!$S$5)+((Imóveis!$N$5-((Imóveis!$S$5-(IF(AND(Dados!$A621 &gt;=Imóveis!$Q$5,Dados!$A621&lt;=Imóveis!$T$5),Imóveis!$S$5-(DATEDIF(Imóveis!$Q$5,Dados!$A621,"m")),)))*(Imóveis!$N$5/Imóveis!$S$5)))*Imóveis!$P$5))))*IF(AND(Imóveis!$E$5&gt;0,Dados!$A621&gt;Imóveis!$E$5),0,1)*Imóveis!$I$5</f>
        <v>0</v>
      </c>
      <c r="M621" s="18">
        <f>IF(Imóveis!$F$6="PRICE",IF(AND(Dados!$A621&gt;=Imóveis!$Q$6,Dados!$A621&lt;=Imóveis!$T$6),Imóveis!$U$6,0),IF((IF(AND(Dados!$A621&gt;=Imóveis!$Q$6,Dados!$A621&lt;=Imóveis!$T$6),Imóveis!$S$6-(DATEDIF(Imóveis!$Q$6,Dados!$A621,"m")),0))=0,0,((Imóveis!$N$6/Imóveis!$S$6)+((Imóveis!$N$6-((Imóveis!$S$6-(IF(AND(Dados!$A621&gt;=Imóveis!$Q$6,Dados!$A621&lt;=Imóveis!$T$6),Imóveis!$S$6-(DATEDIF(Imóveis!$Q$6,Dados!$A621,"m")),)))*(Imóveis!$N$6/Imóveis!$S$6)))*Imóveis!$P$6))))*IF(AND(Imóveis!$E$6&gt;0,Dados!$A621&gt;Imóveis!$E$6),0,1)*Imóveis!$I$6</f>
        <v>0</v>
      </c>
      <c r="N621" s="18">
        <f t="shared" si="77"/>
        <v>37000</v>
      </c>
      <c r="O621" s="18">
        <f>SUMIFS(Receitas!$F:$F,Receitas!$J:$J,"&lt;="&amp;$A621,Receitas!$L:$L,"&gt;="&amp;$A621,Receitas!$C:$C,O$1,Receitas!$M:$M,"Mensal")+SUMIFS(Receitas!$F:$F,Receitas!$J:$J,"&lt;="&amp;$A621,Receitas!$L:$L,"&gt;="&amp;$A621,Receitas!$C:$C,O$1,Receitas!$M:$M,$B621)</f>
        <v>0</v>
      </c>
      <c r="P621" s="18">
        <f>SUMIFS(Receitas!$F:$F,Receitas!$J:$J,"&lt;="&amp;$A621,Receitas!$L:$L,"&gt;="&amp;$A621,Receitas!$C:$C,P$1,Receitas!$M:$M,"Mensal")+SUMIFS(Receitas!$F:$F,Receitas!$J:$J,"&lt;="&amp;$A621,Receitas!$L:$L,"&gt;="&amp;$A621,Receitas!$C:$C,P$1,Receitas!$M:$M,$B621)</f>
        <v>0</v>
      </c>
      <c r="Q621" s="18">
        <f>SUMIFS(Receitas!$F:$F,Receitas!$J:$J,"&lt;="&amp;$A621,Receitas!$L:$L,"&gt;="&amp;$A621,Receitas!$C:$C,Q$1,Receitas!$M:$M,"Mensal")+SUMIFS(Receitas!$F:$F,Receitas!$J:$J,"&lt;="&amp;$A621,Receitas!$L:$L,"&gt;="&amp;$A621,Receitas!$C:$C,Q$1,Receitas!$M:$M,$B621)</f>
        <v>0</v>
      </c>
      <c r="R621" s="18" cm="1">
        <f t="array" ref="R621">(IF(AND(Membros!$F$2="Sim",A621&lt;=MAX(Membros!$E$2:$E$5)),Membros!K$2,IF(AND(A621&gt;=Membros!J$2,A621&lt;=MAX(Membros!$E$2:$E$5)),Membros!K$2,0))+IF(AND(Membros!$F$3="Sim",A621&lt;=MAX(Membros!$E$2:$E$5)),Membros!K$3,IF(AND(A621&gt;=Membros!J$3,A621&lt;=MAX(Membros!$E$2:$E$5)),Membros!K$3,0)))*IF(AND(COUNTIFS(Tabela3[Tipo],"Provedor",Tabela3[Simulação Seguro],"Sim")=2,A621&gt;=MAX(IF(Tabela3[Tipo]="Dependente",Tabela3[Expectativa de Vida (Data)]))),0,1)</f>
        <v>10000</v>
      </c>
      <c r="S621" s="18">
        <f t="shared" si="78"/>
        <v>10000</v>
      </c>
      <c r="U621" s="18">
        <f t="shared" ca="1" si="81"/>
        <v>41673381.215269029</v>
      </c>
      <c r="V621" s="18">
        <f>SUMIF(Imóveis!E:E,Dados!A:A,Imóveis!Z:Z)-SUMIF(Imóveis!E:E,Dados!A:A,Imóveis!Y:Y)</f>
        <v>0</v>
      </c>
      <c r="W621" s="18">
        <f>-SUMIF(Projetos!N:N,A621,Projetos!F:F)</f>
        <v>0</v>
      </c>
      <c r="X621" s="18">
        <f t="shared" si="75"/>
        <v>-27000</v>
      </c>
      <c r="Y621" s="26">
        <f ca="1">(U621*((Indicadores_Economicos!D$2+1)^(1/12)-1))</f>
        <v>136427.80594316716</v>
      </c>
      <c r="Z621" s="18">
        <f t="shared" ca="1" si="79"/>
        <v>41782809.021212198</v>
      </c>
      <c r="AA621" s="18">
        <f ca="1">Auxiliar_Projetos!E621</f>
        <v>2.9568687019903334E-9</v>
      </c>
      <c r="AB621" s="18">
        <f ca="1">Auxiliar_Projetos!K621</f>
        <v>2.274514386146408E-9</v>
      </c>
      <c r="AC621" s="18">
        <f ca="1">IF(Z621-AA621-AB621&gt;Investimentos!$C$14,Investimentos!$C$14,IF(Z621-AA621-AB621&lt;Investimentos!$C$14,Z621-AA621-AB621,0))</f>
        <v>300000</v>
      </c>
      <c r="AD621" s="18">
        <f t="shared" ca="1" si="80"/>
        <v>41482809.021212198</v>
      </c>
      <c r="AE621" s="18"/>
    </row>
    <row r="622" spans="1:31" x14ac:dyDescent="0.2">
      <c r="A622" s="4">
        <v>64529</v>
      </c>
      <c r="B622" s="5" t="str">
        <f t="shared" si="76"/>
        <v>setembro</v>
      </c>
      <c r="C622" s="5" t="str">
        <f t="shared" si="82"/>
        <v>2076</v>
      </c>
      <c r="D622" s="5">
        <f>SUMIFS(Despesas!$F:$F,Despesas!$J:$J,"&lt;="&amp;$A622,Despesas!$L:$L,"&gt;="&amp;$A622,Despesas!$C:$C,D$1,Despesas!$M:$M,"Mensal")+SUMIFS(Despesas!$F:$F,Despesas!$J:$J,"&lt;="&amp;$A622,Despesas!$L:$L,"&gt;="&amp;$A622,Despesas!$C:$C,D$1,Despesas!$M:$M,$B622)</f>
        <v>23000</v>
      </c>
      <c r="E622" s="18">
        <f>SUMIFS(Despesas!$F:$F,Despesas!$J:$J,"&lt;="&amp;$A622,Despesas!$L:$L,"&gt;="&amp;$A622,Despesas!$C:$C,E$1,Despesas!$M:$M,"Mensal")+SUMIFS(Despesas!$F:$F,Despesas!$J:$J,"&lt;="&amp;$A622,Despesas!$L:$L,"&gt;="&amp;$A622,Despesas!$C:$C,E$1,Despesas!$M:$M,$B622)</f>
        <v>0</v>
      </c>
      <c r="F622" s="5">
        <f>SUMIFS(Despesas!$F:$F,Despesas!$J:$J,"&lt;="&amp;$A622,Despesas!$L:$L,"&gt;="&amp;$A622,Despesas!$C:$C,F$1,Despesas!$M:$M,"Mensal")+SUMIFS(Despesas!$F:$F,Despesas!$J:$J,"&lt;="&amp;$A622,Despesas!$L:$L,"&gt;="&amp;$A622,Despesas!$C:$C,F$1,Despesas!$M:$M,$B622)</f>
        <v>13000</v>
      </c>
      <c r="G622" s="5">
        <f>SUMIFS(Despesas!$F:$F,Despesas!$J:$J,"&lt;="&amp;$A622,Despesas!$L:$L,"&gt;="&amp;$A622,Despesas!$C:$C,G$1,Despesas!$M:$M,"Mensal")+SUMIFS(Despesas!$F:$F,Despesas!$J:$J,"&lt;="&amp;$A622,Despesas!$L:$L,"&gt;="&amp;$A622,Despesas!$C:$C,G$1,Despesas!$M:$M,$B622)</f>
        <v>0</v>
      </c>
      <c r="H622" s="18">
        <f>SUMIFS(Despesas!$F:$F,Despesas!$J:$J,"&lt;="&amp;$A622,Despesas!$L:$L,"&gt;="&amp;$A622,Despesas!$C:$C,H$1,Despesas!$M:$M,"Mensal")+SUMIFS(Despesas!$F:$F,Despesas!$J:$J,"&lt;="&amp;$A622,Despesas!$L:$L,"&gt;="&amp;$A622,Despesas!$C:$C,H$1,Despesas!$M:$M,$B622)</f>
        <v>1000</v>
      </c>
      <c r="I622" s="18">
        <f>IF(Imóveis!$F$2="PRICE",IF(AND(Dados!$A622&gt;=Imóveis!$Q$2,Dados!$A622&lt;=Imóveis!$T$2),Imóveis!$U$2,0),IF((IF(AND(Dados!$A622&gt;=Imóveis!$Q$2,Dados!$A622&lt;=Imóveis!$T$2),Imóveis!$S$2-(DATEDIF(Imóveis!$Q$2,Dados!$A622,"m")),0))=0,0,((Imóveis!$N$2/Imóveis!$S$2)+((Imóveis!$N$2-((Imóveis!$S$2-(IF(AND(Dados!$A622&gt;=Imóveis!$Q$2,Dados!$A622&lt;=Imóveis!$T$2),Imóveis!$S$2-(DATEDIF(Imóveis!$Q$2,Dados!$A622,"m")),)))*(Imóveis!$N$2/Imóveis!$S$2)))*Imóveis!$P$2))))*IF(AND(Imóveis!$E$2&gt;0,Dados!$A622&gt;Imóveis!$E$2),0,1)</f>
        <v>0</v>
      </c>
      <c r="J622" s="18">
        <f>IF(Imóveis!$F$3="PRICE",IF(AND(Dados!$A622&gt;=Imóveis!$Q$3,Dados!$A622&lt;=Imóveis!$T$3),Imóveis!$U$3,0),IF((IF(AND(Dados!$A622&gt;=Imóveis!$Q$3,Dados!$A622&lt;=Imóveis!$T$3),Imóveis!$S$3-(DATEDIF(Imóveis!$Q$3,Dados!$A622,"m")),0))=0,0,((Imóveis!$N$3/Imóveis!$S$3)+((Imóveis!$N$3-((Imóveis!$S$3-(IF(AND(Dados!$A622&gt;=Imóveis!$Q$3,Dados!$A622&lt;=Imóveis!$T$3),Imóveis!$S$3-(DATEDIF(Imóveis!$Q$3,Dados!$A622,"m")),)))*(Imóveis!$N$3/Imóveis!$S$3)))*Imóveis!$P$3))))*IF(AND(Imóveis!$E$3&gt;0,Dados!$A622&gt;Imóveis!$E$3),0,1)</f>
        <v>0</v>
      </c>
      <c r="K622" s="18">
        <f>IF(Imóveis!$F$4="PRICE",IF(AND(Dados!$A622&gt;=Imóveis!$Q$4,Dados!$A622&lt;=Imóveis!$T$4),Imóveis!$U$4,0),IF((IF(AND(Dados!$A622&gt;=Imóveis!$Q$4,Dados!$A622&lt;=Imóveis!$T$4),Imóveis!$S$4-(DATEDIF(Imóveis!$Q$4,Dados!$A622,"m")),0))=0,0,((Imóveis!$N$4/Imóveis!$S$4)+((Imóveis!$N$4-((Imóveis!$S$4-(IF(AND(Dados!$A622&gt;=Imóveis!$Q$4,Dados!$A622&lt;=Imóveis!$T$4),Imóveis!$S$4-(DATEDIF(Imóveis!$Q$4,Dados!$A622,"m")),)))*(Imóveis!$N$4/Imóveis!$S$4)))*Imóveis!$P$4))))*IF(AND(Imóveis!$E$4&gt;0,Dados!$A622&gt;Imóveis!$E$4),0,1)</f>
        <v>0</v>
      </c>
      <c r="L622" s="18">
        <f>IF(Imóveis!$F$5="PRICE",IF(AND(Dados!$A622&gt;=Imóveis!$Q$5,Dados!$A622&lt;=Imóveis!$T$5),Imóveis!$U$5,0),IF((IF(AND(Dados!$A622&gt;=Imóveis!$Q$5,Dados!$A622&lt;=Imóveis!$T$5),Imóveis!$S$5-(DATEDIF(Imóveis!$Q$5,Dados!$A622,"m")),0))=0,0,((Imóveis!$N$5/Imóveis!$S$5)+((Imóveis!$N$5-((Imóveis!$S$5-(IF(AND(Dados!$A622 &gt;=Imóveis!$Q$5,Dados!$A622&lt;=Imóveis!$T$5),Imóveis!$S$5-(DATEDIF(Imóveis!$Q$5,Dados!$A622,"m")),)))*(Imóveis!$N$5/Imóveis!$S$5)))*Imóveis!$P$5))))*IF(AND(Imóveis!$E$5&gt;0,Dados!$A622&gt;Imóveis!$E$5),0,1)*Imóveis!$I$5</f>
        <v>0</v>
      </c>
      <c r="M622" s="18">
        <f>IF(Imóveis!$F$6="PRICE",IF(AND(Dados!$A622&gt;=Imóveis!$Q$6,Dados!$A622&lt;=Imóveis!$T$6),Imóveis!$U$6,0),IF((IF(AND(Dados!$A622&gt;=Imóveis!$Q$6,Dados!$A622&lt;=Imóveis!$T$6),Imóveis!$S$6-(DATEDIF(Imóveis!$Q$6,Dados!$A622,"m")),0))=0,0,((Imóveis!$N$6/Imóveis!$S$6)+((Imóveis!$N$6-((Imóveis!$S$6-(IF(AND(Dados!$A622&gt;=Imóveis!$Q$6,Dados!$A622&lt;=Imóveis!$T$6),Imóveis!$S$6-(DATEDIF(Imóveis!$Q$6,Dados!$A622,"m")),)))*(Imóveis!$N$6/Imóveis!$S$6)))*Imóveis!$P$6))))*IF(AND(Imóveis!$E$6&gt;0,Dados!$A622&gt;Imóveis!$E$6),0,1)*Imóveis!$I$6</f>
        <v>0</v>
      </c>
      <c r="N622" s="18">
        <f t="shared" si="77"/>
        <v>37000</v>
      </c>
      <c r="O622" s="18">
        <f>SUMIFS(Receitas!$F:$F,Receitas!$J:$J,"&lt;="&amp;$A622,Receitas!$L:$L,"&gt;="&amp;$A622,Receitas!$C:$C,O$1,Receitas!$M:$M,"Mensal")+SUMIFS(Receitas!$F:$F,Receitas!$J:$J,"&lt;="&amp;$A622,Receitas!$L:$L,"&gt;="&amp;$A622,Receitas!$C:$C,O$1,Receitas!$M:$M,$B622)</f>
        <v>0</v>
      </c>
      <c r="P622" s="18">
        <f>SUMIFS(Receitas!$F:$F,Receitas!$J:$J,"&lt;="&amp;$A622,Receitas!$L:$L,"&gt;="&amp;$A622,Receitas!$C:$C,P$1,Receitas!$M:$M,"Mensal")+SUMIFS(Receitas!$F:$F,Receitas!$J:$J,"&lt;="&amp;$A622,Receitas!$L:$L,"&gt;="&amp;$A622,Receitas!$C:$C,P$1,Receitas!$M:$M,$B622)</f>
        <v>0</v>
      </c>
      <c r="Q622" s="18">
        <f>SUMIFS(Receitas!$F:$F,Receitas!$J:$J,"&lt;="&amp;$A622,Receitas!$L:$L,"&gt;="&amp;$A622,Receitas!$C:$C,Q$1,Receitas!$M:$M,"Mensal")+SUMIFS(Receitas!$F:$F,Receitas!$J:$J,"&lt;="&amp;$A622,Receitas!$L:$L,"&gt;="&amp;$A622,Receitas!$C:$C,Q$1,Receitas!$M:$M,$B622)</f>
        <v>0</v>
      </c>
      <c r="R622" s="18" cm="1">
        <f t="array" ref="R622">(IF(AND(Membros!$F$2="Sim",A622&lt;=MAX(Membros!$E$2:$E$5)),Membros!K$2,IF(AND(A622&gt;=Membros!J$2,A622&lt;=MAX(Membros!$E$2:$E$5)),Membros!K$2,0))+IF(AND(Membros!$F$3="Sim",A622&lt;=MAX(Membros!$E$2:$E$5)),Membros!K$3,IF(AND(A622&gt;=Membros!J$3,A622&lt;=MAX(Membros!$E$2:$E$5)),Membros!K$3,0)))*IF(AND(COUNTIFS(Tabela3[Tipo],"Provedor",Tabela3[Simulação Seguro],"Sim")=2,A622&gt;=MAX(IF(Tabela3[Tipo]="Dependente",Tabela3[Expectativa de Vida (Data)]))),0,1)</f>
        <v>10000</v>
      </c>
      <c r="S622" s="18">
        <f t="shared" si="78"/>
        <v>10000</v>
      </c>
      <c r="U622" s="18">
        <f t="shared" ca="1" si="81"/>
        <v>41782809.021212198</v>
      </c>
      <c r="V622" s="18">
        <f>SUMIF(Imóveis!E:E,Dados!A:A,Imóveis!Z:Z)-SUMIF(Imóveis!E:E,Dados!A:A,Imóveis!Y:Y)</f>
        <v>0</v>
      </c>
      <c r="W622" s="18">
        <f>-SUMIF(Projetos!N:N,A622,Projetos!F:F)</f>
        <v>0</v>
      </c>
      <c r="X622" s="18">
        <f t="shared" si="75"/>
        <v>-27000</v>
      </c>
      <c r="Y622" s="26">
        <f ca="1">(U622*((Indicadores_Economicos!D$2+1)^(1/12)-1))</f>
        <v>136786.04410476206</v>
      </c>
      <c r="Z622" s="18">
        <f t="shared" ca="1" si="79"/>
        <v>41892595.06531696</v>
      </c>
      <c r="AA622" s="18">
        <f ca="1">Auxiliar_Projetos!E622</f>
        <v>2.9665487206907781E-9</v>
      </c>
      <c r="AB622" s="18">
        <f ca="1">Auxiliar_Projetos!K622</f>
        <v>2.2819605543775192E-9</v>
      </c>
      <c r="AC622" s="18">
        <f ca="1">IF(Z622-AA622-AB622&gt;Investimentos!$C$14,Investimentos!$C$14,IF(Z622-AA622-AB622&lt;Investimentos!$C$14,Z622-AA622-AB622,0))</f>
        <v>300000</v>
      </c>
      <c r="AD622" s="18">
        <f t="shared" ca="1" si="80"/>
        <v>41592595.06531696</v>
      </c>
      <c r="AE622" s="18"/>
    </row>
    <row r="623" spans="1:31" x14ac:dyDescent="0.2">
      <c r="A623" s="4">
        <v>64559</v>
      </c>
      <c r="B623" s="5" t="str">
        <f t="shared" si="76"/>
        <v>outubro</v>
      </c>
      <c r="C623" s="5" t="str">
        <f t="shared" si="82"/>
        <v>2076</v>
      </c>
      <c r="D623" s="5">
        <f>SUMIFS(Despesas!$F:$F,Despesas!$J:$J,"&lt;="&amp;$A623,Despesas!$L:$L,"&gt;="&amp;$A623,Despesas!$C:$C,D$1,Despesas!$M:$M,"Mensal")+SUMIFS(Despesas!$F:$F,Despesas!$J:$J,"&lt;="&amp;$A623,Despesas!$L:$L,"&gt;="&amp;$A623,Despesas!$C:$C,D$1,Despesas!$M:$M,$B623)</f>
        <v>23000</v>
      </c>
      <c r="E623" s="18">
        <f>SUMIFS(Despesas!$F:$F,Despesas!$J:$J,"&lt;="&amp;$A623,Despesas!$L:$L,"&gt;="&amp;$A623,Despesas!$C:$C,E$1,Despesas!$M:$M,"Mensal")+SUMIFS(Despesas!$F:$F,Despesas!$J:$J,"&lt;="&amp;$A623,Despesas!$L:$L,"&gt;="&amp;$A623,Despesas!$C:$C,E$1,Despesas!$M:$M,$B623)</f>
        <v>0</v>
      </c>
      <c r="F623" s="5">
        <f>SUMIFS(Despesas!$F:$F,Despesas!$J:$J,"&lt;="&amp;$A623,Despesas!$L:$L,"&gt;="&amp;$A623,Despesas!$C:$C,F$1,Despesas!$M:$M,"Mensal")+SUMIFS(Despesas!$F:$F,Despesas!$J:$J,"&lt;="&amp;$A623,Despesas!$L:$L,"&gt;="&amp;$A623,Despesas!$C:$C,F$1,Despesas!$M:$M,$B623)</f>
        <v>13000</v>
      </c>
      <c r="G623" s="5">
        <f>SUMIFS(Despesas!$F:$F,Despesas!$J:$J,"&lt;="&amp;$A623,Despesas!$L:$L,"&gt;="&amp;$A623,Despesas!$C:$C,G$1,Despesas!$M:$M,"Mensal")+SUMIFS(Despesas!$F:$F,Despesas!$J:$J,"&lt;="&amp;$A623,Despesas!$L:$L,"&gt;="&amp;$A623,Despesas!$C:$C,G$1,Despesas!$M:$M,$B623)</f>
        <v>0</v>
      </c>
      <c r="H623" s="18">
        <f>SUMIFS(Despesas!$F:$F,Despesas!$J:$J,"&lt;="&amp;$A623,Despesas!$L:$L,"&gt;="&amp;$A623,Despesas!$C:$C,H$1,Despesas!$M:$M,"Mensal")+SUMIFS(Despesas!$F:$F,Despesas!$J:$J,"&lt;="&amp;$A623,Despesas!$L:$L,"&gt;="&amp;$A623,Despesas!$C:$C,H$1,Despesas!$M:$M,$B623)</f>
        <v>1000</v>
      </c>
      <c r="I623" s="18">
        <f>IF(Imóveis!$F$2="PRICE",IF(AND(Dados!$A623&gt;=Imóveis!$Q$2,Dados!$A623&lt;=Imóveis!$T$2),Imóveis!$U$2,0),IF((IF(AND(Dados!$A623&gt;=Imóveis!$Q$2,Dados!$A623&lt;=Imóveis!$T$2),Imóveis!$S$2-(DATEDIF(Imóveis!$Q$2,Dados!$A623,"m")),0))=0,0,((Imóveis!$N$2/Imóveis!$S$2)+((Imóveis!$N$2-((Imóveis!$S$2-(IF(AND(Dados!$A623&gt;=Imóveis!$Q$2,Dados!$A623&lt;=Imóveis!$T$2),Imóveis!$S$2-(DATEDIF(Imóveis!$Q$2,Dados!$A623,"m")),)))*(Imóveis!$N$2/Imóveis!$S$2)))*Imóveis!$P$2))))*IF(AND(Imóveis!$E$2&gt;0,Dados!$A623&gt;Imóveis!$E$2),0,1)</f>
        <v>0</v>
      </c>
      <c r="J623" s="18">
        <f>IF(Imóveis!$F$3="PRICE",IF(AND(Dados!$A623&gt;=Imóveis!$Q$3,Dados!$A623&lt;=Imóveis!$T$3),Imóveis!$U$3,0),IF((IF(AND(Dados!$A623&gt;=Imóveis!$Q$3,Dados!$A623&lt;=Imóveis!$T$3),Imóveis!$S$3-(DATEDIF(Imóveis!$Q$3,Dados!$A623,"m")),0))=0,0,((Imóveis!$N$3/Imóveis!$S$3)+((Imóveis!$N$3-((Imóveis!$S$3-(IF(AND(Dados!$A623&gt;=Imóveis!$Q$3,Dados!$A623&lt;=Imóveis!$T$3),Imóveis!$S$3-(DATEDIF(Imóveis!$Q$3,Dados!$A623,"m")),)))*(Imóveis!$N$3/Imóveis!$S$3)))*Imóveis!$P$3))))*IF(AND(Imóveis!$E$3&gt;0,Dados!$A623&gt;Imóveis!$E$3),0,1)</f>
        <v>0</v>
      </c>
      <c r="K623" s="18">
        <f>IF(Imóveis!$F$4="PRICE",IF(AND(Dados!$A623&gt;=Imóveis!$Q$4,Dados!$A623&lt;=Imóveis!$T$4),Imóveis!$U$4,0),IF((IF(AND(Dados!$A623&gt;=Imóveis!$Q$4,Dados!$A623&lt;=Imóveis!$T$4),Imóveis!$S$4-(DATEDIF(Imóveis!$Q$4,Dados!$A623,"m")),0))=0,0,((Imóveis!$N$4/Imóveis!$S$4)+((Imóveis!$N$4-((Imóveis!$S$4-(IF(AND(Dados!$A623&gt;=Imóveis!$Q$4,Dados!$A623&lt;=Imóveis!$T$4),Imóveis!$S$4-(DATEDIF(Imóveis!$Q$4,Dados!$A623,"m")),)))*(Imóveis!$N$4/Imóveis!$S$4)))*Imóveis!$P$4))))*IF(AND(Imóveis!$E$4&gt;0,Dados!$A623&gt;Imóveis!$E$4),0,1)</f>
        <v>0</v>
      </c>
      <c r="L623" s="18">
        <f>IF(Imóveis!$F$5="PRICE",IF(AND(Dados!$A623&gt;=Imóveis!$Q$5,Dados!$A623&lt;=Imóveis!$T$5),Imóveis!$U$5,0),IF((IF(AND(Dados!$A623&gt;=Imóveis!$Q$5,Dados!$A623&lt;=Imóveis!$T$5),Imóveis!$S$5-(DATEDIF(Imóveis!$Q$5,Dados!$A623,"m")),0))=0,0,((Imóveis!$N$5/Imóveis!$S$5)+((Imóveis!$N$5-((Imóveis!$S$5-(IF(AND(Dados!$A623 &gt;=Imóveis!$Q$5,Dados!$A623&lt;=Imóveis!$T$5),Imóveis!$S$5-(DATEDIF(Imóveis!$Q$5,Dados!$A623,"m")),)))*(Imóveis!$N$5/Imóveis!$S$5)))*Imóveis!$P$5))))*IF(AND(Imóveis!$E$5&gt;0,Dados!$A623&gt;Imóveis!$E$5),0,1)*Imóveis!$I$5</f>
        <v>0</v>
      </c>
      <c r="M623" s="18">
        <f>IF(Imóveis!$F$6="PRICE",IF(AND(Dados!$A623&gt;=Imóveis!$Q$6,Dados!$A623&lt;=Imóveis!$T$6),Imóveis!$U$6,0),IF((IF(AND(Dados!$A623&gt;=Imóveis!$Q$6,Dados!$A623&lt;=Imóveis!$T$6),Imóveis!$S$6-(DATEDIF(Imóveis!$Q$6,Dados!$A623,"m")),0))=0,0,((Imóveis!$N$6/Imóveis!$S$6)+((Imóveis!$N$6-((Imóveis!$S$6-(IF(AND(Dados!$A623&gt;=Imóveis!$Q$6,Dados!$A623&lt;=Imóveis!$T$6),Imóveis!$S$6-(DATEDIF(Imóveis!$Q$6,Dados!$A623,"m")),)))*(Imóveis!$N$6/Imóveis!$S$6)))*Imóveis!$P$6))))*IF(AND(Imóveis!$E$6&gt;0,Dados!$A623&gt;Imóveis!$E$6),0,1)*Imóveis!$I$6</f>
        <v>0</v>
      </c>
      <c r="N623" s="18">
        <f t="shared" si="77"/>
        <v>37000</v>
      </c>
      <c r="O623" s="18">
        <f>SUMIFS(Receitas!$F:$F,Receitas!$J:$J,"&lt;="&amp;$A623,Receitas!$L:$L,"&gt;="&amp;$A623,Receitas!$C:$C,O$1,Receitas!$M:$M,"Mensal")+SUMIFS(Receitas!$F:$F,Receitas!$J:$J,"&lt;="&amp;$A623,Receitas!$L:$L,"&gt;="&amp;$A623,Receitas!$C:$C,O$1,Receitas!$M:$M,$B623)</f>
        <v>0</v>
      </c>
      <c r="P623" s="18">
        <f>SUMIFS(Receitas!$F:$F,Receitas!$J:$J,"&lt;="&amp;$A623,Receitas!$L:$L,"&gt;="&amp;$A623,Receitas!$C:$C,P$1,Receitas!$M:$M,"Mensal")+SUMIFS(Receitas!$F:$F,Receitas!$J:$J,"&lt;="&amp;$A623,Receitas!$L:$L,"&gt;="&amp;$A623,Receitas!$C:$C,P$1,Receitas!$M:$M,$B623)</f>
        <v>0</v>
      </c>
      <c r="Q623" s="18">
        <f>SUMIFS(Receitas!$F:$F,Receitas!$J:$J,"&lt;="&amp;$A623,Receitas!$L:$L,"&gt;="&amp;$A623,Receitas!$C:$C,Q$1,Receitas!$M:$M,"Mensal")+SUMIFS(Receitas!$F:$F,Receitas!$J:$J,"&lt;="&amp;$A623,Receitas!$L:$L,"&gt;="&amp;$A623,Receitas!$C:$C,Q$1,Receitas!$M:$M,$B623)</f>
        <v>0</v>
      </c>
      <c r="R623" s="18" cm="1">
        <f t="array" ref="R623">(IF(AND(Membros!$F$2="Sim",A623&lt;=MAX(Membros!$E$2:$E$5)),Membros!K$2,IF(AND(A623&gt;=Membros!J$2,A623&lt;=MAX(Membros!$E$2:$E$5)),Membros!K$2,0))+IF(AND(Membros!$F$3="Sim",A623&lt;=MAX(Membros!$E$2:$E$5)),Membros!K$3,IF(AND(A623&gt;=Membros!J$3,A623&lt;=MAX(Membros!$E$2:$E$5)),Membros!K$3,0)))*IF(AND(COUNTIFS(Tabela3[Tipo],"Provedor",Tabela3[Simulação Seguro],"Sim")=2,A623&gt;=MAX(IF(Tabela3[Tipo]="Dependente",Tabela3[Expectativa de Vida (Data)]))),0,1)</f>
        <v>10000</v>
      </c>
      <c r="S623" s="18">
        <f t="shared" si="78"/>
        <v>10000</v>
      </c>
      <c r="U623" s="18">
        <f t="shared" ca="1" si="81"/>
        <v>41892595.06531696</v>
      </c>
      <c r="V623" s="18">
        <f>SUMIF(Imóveis!E:E,Dados!A:A,Imóveis!Z:Z)-SUMIF(Imóveis!E:E,Dados!A:A,Imóveis!Y:Y)</f>
        <v>0</v>
      </c>
      <c r="W623" s="18">
        <f>-SUMIF(Projetos!N:N,A623,Projetos!F:F)</f>
        <v>0</v>
      </c>
      <c r="X623" s="18">
        <f t="shared" si="75"/>
        <v>-27000</v>
      </c>
      <c r="Y623" s="26">
        <f ca="1">(U623*((Indicadores_Economicos!D$2+1)^(1/12)-1))</f>
        <v>137145.45504487806</v>
      </c>
      <c r="Z623" s="18">
        <f t="shared" ca="1" si="79"/>
        <v>42002740.520361841</v>
      </c>
      <c r="AA623" s="18">
        <f ca="1">Auxiliar_Projetos!E623</f>
        <v>2.9762604292535347E-9</v>
      </c>
      <c r="AB623" s="18">
        <f ca="1">Auxiliar_Projetos!K623</f>
        <v>2.2894310994257935E-9</v>
      </c>
      <c r="AC623" s="18">
        <f ca="1">IF(Z623-AA623-AB623&gt;Investimentos!$C$14,Investimentos!$C$14,IF(Z623-AA623-AB623&lt;Investimentos!$C$14,Z623-AA623-AB623,0))</f>
        <v>300000</v>
      </c>
      <c r="AD623" s="18">
        <f t="shared" ca="1" si="80"/>
        <v>41702740.520361841</v>
      </c>
      <c r="AE623" s="18"/>
    </row>
    <row r="624" spans="1:31" x14ac:dyDescent="0.2">
      <c r="A624" s="4">
        <v>64590</v>
      </c>
      <c r="B624" s="5" t="str">
        <f t="shared" si="76"/>
        <v>novembro</v>
      </c>
      <c r="C624" s="5" t="str">
        <f t="shared" si="82"/>
        <v>2076</v>
      </c>
      <c r="D624" s="5">
        <f>SUMIFS(Despesas!$F:$F,Despesas!$J:$J,"&lt;="&amp;$A624,Despesas!$L:$L,"&gt;="&amp;$A624,Despesas!$C:$C,D$1,Despesas!$M:$M,"Mensal")+SUMIFS(Despesas!$F:$F,Despesas!$J:$J,"&lt;="&amp;$A624,Despesas!$L:$L,"&gt;="&amp;$A624,Despesas!$C:$C,D$1,Despesas!$M:$M,$B624)</f>
        <v>23000</v>
      </c>
      <c r="E624" s="18">
        <f>SUMIFS(Despesas!$F:$F,Despesas!$J:$J,"&lt;="&amp;$A624,Despesas!$L:$L,"&gt;="&amp;$A624,Despesas!$C:$C,E$1,Despesas!$M:$M,"Mensal")+SUMIFS(Despesas!$F:$F,Despesas!$J:$J,"&lt;="&amp;$A624,Despesas!$L:$L,"&gt;="&amp;$A624,Despesas!$C:$C,E$1,Despesas!$M:$M,$B624)</f>
        <v>0</v>
      </c>
      <c r="F624" s="5">
        <f>SUMIFS(Despesas!$F:$F,Despesas!$J:$J,"&lt;="&amp;$A624,Despesas!$L:$L,"&gt;="&amp;$A624,Despesas!$C:$C,F$1,Despesas!$M:$M,"Mensal")+SUMIFS(Despesas!$F:$F,Despesas!$J:$J,"&lt;="&amp;$A624,Despesas!$L:$L,"&gt;="&amp;$A624,Despesas!$C:$C,F$1,Despesas!$M:$M,$B624)</f>
        <v>13000</v>
      </c>
      <c r="G624" s="5">
        <f>SUMIFS(Despesas!$F:$F,Despesas!$J:$J,"&lt;="&amp;$A624,Despesas!$L:$L,"&gt;="&amp;$A624,Despesas!$C:$C,G$1,Despesas!$M:$M,"Mensal")+SUMIFS(Despesas!$F:$F,Despesas!$J:$J,"&lt;="&amp;$A624,Despesas!$L:$L,"&gt;="&amp;$A624,Despesas!$C:$C,G$1,Despesas!$M:$M,$B624)</f>
        <v>0</v>
      </c>
      <c r="H624" s="18">
        <f>SUMIFS(Despesas!$F:$F,Despesas!$J:$J,"&lt;="&amp;$A624,Despesas!$L:$L,"&gt;="&amp;$A624,Despesas!$C:$C,H$1,Despesas!$M:$M,"Mensal")+SUMIFS(Despesas!$F:$F,Despesas!$J:$J,"&lt;="&amp;$A624,Despesas!$L:$L,"&gt;="&amp;$A624,Despesas!$C:$C,H$1,Despesas!$M:$M,$B624)</f>
        <v>1000</v>
      </c>
      <c r="I624" s="18">
        <f>IF(Imóveis!$F$2="PRICE",IF(AND(Dados!$A624&gt;=Imóveis!$Q$2,Dados!$A624&lt;=Imóveis!$T$2),Imóveis!$U$2,0),IF((IF(AND(Dados!$A624&gt;=Imóveis!$Q$2,Dados!$A624&lt;=Imóveis!$T$2),Imóveis!$S$2-(DATEDIF(Imóveis!$Q$2,Dados!$A624,"m")),0))=0,0,((Imóveis!$N$2/Imóveis!$S$2)+((Imóveis!$N$2-((Imóveis!$S$2-(IF(AND(Dados!$A624&gt;=Imóveis!$Q$2,Dados!$A624&lt;=Imóveis!$T$2),Imóveis!$S$2-(DATEDIF(Imóveis!$Q$2,Dados!$A624,"m")),)))*(Imóveis!$N$2/Imóveis!$S$2)))*Imóveis!$P$2))))*IF(AND(Imóveis!$E$2&gt;0,Dados!$A624&gt;Imóveis!$E$2),0,1)</f>
        <v>0</v>
      </c>
      <c r="J624" s="18">
        <f>IF(Imóveis!$F$3="PRICE",IF(AND(Dados!$A624&gt;=Imóveis!$Q$3,Dados!$A624&lt;=Imóveis!$T$3),Imóveis!$U$3,0),IF((IF(AND(Dados!$A624&gt;=Imóveis!$Q$3,Dados!$A624&lt;=Imóveis!$T$3),Imóveis!$S$3-(DATEDIF(Imóveis!$Q$3,Dados!$A624,"m")),0))=0,0,((Imóveis!$N$3/Imóveis!$S$3)+((Imóveis!$N$3-((Imóveis!$S$3-(IF(AND(Dados!$A624&gt;=Imóveis!$Q$3,Dados!$A624&lt;=Imóveis!$T$3),Imóveis!$S$3-(DATEDIF(Imóveis!$Q$3,Dados!$A624,"m")),)))*(Imóveis!$N$3/Imóveis!$S$3)))*Imóveis!$P$3))))*IF(AND(Imóveis!$E$3&gt;0,Dados!$A624&gt;Imóveis!$E$3),0,1)</f>
        <v>0</v>
      </c>
      <c r="K624" s="18">
        <f>IF(Imóveis!$F$4="PRICE",IF(AND(Dados!$A624&gt;=Imóveis!$Q$4,Dados!$A624&lt;=Imóveis!$T$4),Imóveis!$U$4,0),IF((IF(AND(Dados!$A624&gt;=Imóveis!$Q$4,Dados!$A624&lt;=Imóveis!$T$4),Imóveis!$S$4-(DATEDIF(Imóveis!$Q$4,Dados!$A624,"m")),0))=0,0,((Imóveis!$N$4/Imóveis!$S$4)+((Imóveis!$N$4-((Imóveis!$S$4-(IF(AND(Dados!$A624&gt;=Imóveis!$Q$4,Dados!$A624&lt;=Imóveis!$T$4),Imóveis!$S$4-(DATEDIF(Imóveis!$Q$4,Dados!$A624,"m")),)))*(Imóveis!$N$4/Imóveis!$S$4)))*Imóveis!$P$4))))*IF(AND(Imóveis!$E$4&gt;0,Dados!$A624&gt;Imóveis!$E$4),0,1)</f>
        <v>0</v>
      </c>
      <c r="L624" s="18">
        <f>IF(Imóveis!$F$5="PRICE",IF(AND(Dados!$A624&gt;=Imóveis!$Q$5,Dados!$A624&lt;=Imóveis!$T$5),Imóveis!$U$5,0),IF((IF(AND(Dados!$A624&gt;=Imóveis!$Q$5,Dados!$A624&lt;=Imóveis!$T$5),Imóveis!$S$5-(DATEDIF(Imóveis!$Q$5,Dados!$A624,"m")),0))=0,0,((Imóveis!$N$5/Imóveis!$S$5)+((Imóveis!$N$5-((Imóveis!$S$5-(IF(AND(Dados!$A624 &gt;=Imóveis!$Q$5,Dados!$A624&lt;=Imóveis!$T$5),Imóveis!$S$5-(DATEDIF(Imóveis!$Q$5,Dados!$A624,"m")),)))*(Imóveis!$N$5/Imóveis!$S$5)))*Imóveis!$P$5))))*IF(AND(Imóveis!$E$5&gt;0,Dados!$A624&gt;Imóveis!$E$5),0,1)*Imóveis!$I$5</f>
        <v>0</v>
      </c>
      <c r="M624" s="18">
        <f>IF(Imóveis!$F$6="PRICE",IF(AND(Dados!$A624&gt;=Imóveis!$Q$6,Dados!$A624&lt;=Imóveis!$T$6),Imóveis!$U$6,0),IF((IF(AND(Dados!$A624&gt;=Imóveis!$Q$6,Dados!$A624&lt;=Imóveis!$T$6),Imóveis!$S$6-(DATEDIF(Imóveis!$Q$6,Dados!$A624,"m")),0))=0,0,((Imóveis!$N$6/Imóveis!$S$6)+((Imóveis!$N$6-((Imóveis!$S$6-(IF(AND(Dados!$A624&gt;=Imóveis!$Q$6,Dados!$A624&lt;=Imóveis!$T$6),Imóveis!$S$6-(DATEDIF(Imóveis!$Q$6,Dados!$A624,"m")),)))*(Imóveis!$N$6/Imóveis!$S$6)))*Imóveis!$P$6))))*IF(AND(Imóveis!$E$6&gt;0,Dados!$A624&gt;Imóveis!$E$6),0,1)*Imóveis!$I$6</f>
        <v>0</v>
      </c>
      <c r="N624" s="18">
        <f t="shared" si="77"/>
        <v>37000</v>
      </c>
      <c r="O624" s="18">
        <f>SUMIFS(Receitas!$F:$F,Receitas!$J:$J,"&lt;="&amp;$A624,Receitas!$L:$L,"&gt;="&amp;$A624,Receitas!$C:$C,O$1,Receitas!$M:$M,"Mensal")+SUMIFS(Receitas!$F:$F,Receitas!$J:$J,"&lt;="&amp;$A624,Receitas!$L:$L,"&gt;="&amp;$A624,Receitas!$C:$C,O$1,Receitas!$M:$M,$B624)</f>
        <v>0</v>
      </c>
      <c r="P624" s="18">
        <f>SUMIFS(Receitas!$F:$F,Receitas!$J:$J,"&lt;="&amp;$A624,Receitas!$L:$L,"&gt;="&amp;$A624,Receitas!$C:$C,P$1,Receitas!$M:$M,"Mensal")+SUMIFS(Receitas!$F:$F,Receitas!$J:$J,"&lt;="&amp;$A624,Receitas!$L:$L,"&gt;="&amp;$A624,Receitas!$C:$C,P$1,Receitas!$M:$M,$B624)</f>
        <v>0</v>
      </c>
      <c r="Q624" s="18">
        <f>SUMIFS(Receitas!$F:$F,Receitas!$J:$J,"&lt;="&amp;$A624,Receitas!$L:$L,"&gt;="&amp;$A624,Receitas!$C:$C,Q$1,Receitas!$M:$M,"Mensal")+SUMIFS(Receitas!$F:$F,Receitas!$J:$J,"&lt;="&amp;$A624,Receitas!$L:$L,"&gt;="&amp;$A624,Receitas!$C:$C,Q$1,Receitas!$M:$M,$B624)</f>
        <v>0</v>
      </c>
      <c r="R624" s="18" cm="1">
        <f t="array" ref="R624">(IF(AND(Membros!$F$2="Sim",A624&lt;=MAX(Membros!$E$2:$E$5)),Membros!K$2,IF(AND(A624&gt;=Membros!J$2,A624&lt;=MAX(Membros!$E$2:$E$5)),Membros!K$2,0))+IF(AND(Membros!$F$3="Sim",A624&lt;=MAX(Membros!$E$2:$E$5)),Membros!K$3,IF(AND(A624&gt;=Membros!J$3,A624&lt;=MAX(Membros!$E$2:$E$5)),Membros!K$3,0)))*IF(AND(COUNTIFS(Tabela3[Tipo],"Provedor",Tabela3[Simulação Seguro],"Sim")=2,A624&gt;=MAX(IF(Tabela3[Tipo]="Dependente",Tabela3[Expectativa de Vida (Data)]))),0,1)</f>
        <v>10000</v>
      </c>
      <c r="S624" s="18">
        <f t="shared" si="78"/>
        <v>10000</v>
      </c>
      <c r="U624" s="18">
        <f t="shared" ca="1" si="81"/>
        <v>42002740.520361841</v>
      </c>
      <c r="V624" s="18">
        <f>SUMIF(Imóveis!E:E,Dados!A:A,Imóveis!Z:Z)-SUMIF(Imóveis!E:E,Dados!A:A,Imóveis!Y:Y)</f>
        <v>0</v>
      </c>
      <c r="W624" s="18">
        <f>-SUMIF(Projetos!N:N,A624,Projetos!F:F)</f>
        <v>0</v>
      </c>
      <c r="X624" s="18">
        <f t="shared" si="75"/>
        <v>-27000</v>
      </c>
      <c r="Y624" s="26">
        <f ca="1">(U624*((Indicadores_Economicos!D$2+1)^(1/12)-1))</f>
        <v>137506.04260288688</v>
      </c>
      <c r="Z624" s="18">
        <f t="shared" ca="1" si="79"/>
        <v>42113246.56296473</v>
      </c>
      <c r="AA624" s="18">
        <f ca="1">Auxiliar_Projetos!E624</f>
        <v>2.9860039314229663E-9</v>
      </c>
      <c r="AB624" s="18">
        <f ca="1">Auxiliar_Projetos!K624</f>
        <v>2.2969261010945873E-9</v>
      </c>
      <c r="AC624" s="18">
        <f ca="1">IF(Z624-AA624-AB624&gt;Investimentos!$C$14,Investimentos!$C$14,IF(Z624-AA624-AB624&lt;Investimentos!$C$14,Z624-AA624-AB624,0))</f>
        <v>300000</v>
      </c>
      <c r="AD624" s="18">
        <f t="shared" ca="1" si="80"/>
        <v>41813246.56296473</v>
      </c>
      <c r="AE624" s="18"/>
    </row>
    <row r="625" spans="1:31" x14ac:dyDescent="0.2">
      <c r="A625" s="4">
        <v>64620</v>
      </c>
      <c r="B625" s="5" t="str">
        <f t="shared" si="76"/>
        <v>dezembro</v>
      </c>
      <c r="C625" s="5" t="str">
        <f t="shared" si="82"/>
        <v>2076</v>
      </c>
      <c r="D625" s="5">
        <f>SUMIFS(Despesas!$F:$F,Despesas!$J:$J,"&lt;="&amp;$A625,Despesas!$L:$L,"&gt;="&amp;$A625,Despesas!$C:$C,D$1,Despesas!$M:$M,"Mensal")+SUMIFS(Despesas!$F:$F,Despesas!$J:$J,"&lt;="&amp;$A625,Despesas!$L:$L,"&gt;="&amp;$A625,Despesas!$C:$C,D$1,Despesas!$M:$M,$B625)</f>
        <v>23000</v>
      </c>
      <c r="E625" s="18">
        <f>SUMIFS(Despesas!$F:$F,Despesas!$J:$J,"&lt;="&amp;$A625,Despesas!$L:$L,"&gt;="&amp;$A625,Despesas!$C:$C,E$1,Despesas!$M:$M,"Mensal")+SUMIFS(Despesas!$F:$F,Despesas!$J:$J,"&lt;="&amp;$A625,Despesas!$L:$L,"&gt;="&amp;$A625,Despesas!$C:$C,E$1,Despesas!$M:$M,$B625)</f>
        <v>0</v>
      </c>
      <c r="F625" s="5">
        <f>SUMIFS(Despesas!$F:$F,Despesas!$J:$J,"&lt;="&amp;$A625,Despesas!$L:$L,"&gt;="&amp;$A625,Despesas!$C:$C,F$1,Despesas!$M:$M,"Mensal")+SUMIFS(Despesas!$F:$F,Despesas!$J:$J,"&lt;="&amp;$A625,Despesas!$L:$L,"&gt;="&amp;$A625,Despesas!$C:$C,F$1,Despesas!$M:$M,$B625)</f>
        <v>13000</v>
      </c>
      <c r="G625" s="5">
        <f ca="1">SUMIFS(Despesas!$F:$F,Despesas!$J:$J,"&lt;="&amp;$A625,Despesas!$L:$L,"&gt;="&amp;$A625,Despesas!$C:$C,G$1,Despesas!$M:$M,"Mensal")+SUMIFS(Despesas!$F:$F,Despesas!$J:$J,"&lt;="&amp;$A625,Despesas!$L:$L,"&gt;="&amp;$A625,Despesas!$C:$C,G$1,Despesas!$M:$M,$B625)</f>
        <v>55757</v>
      </c>
      <c r="H625" s="18">
        <f>SUMIFS(Despesas!$F:$F,Despesas!$J:$J,"&lt;="&amp;$A625,Despesas!$L:$L,"&gt;="&amp;$A625,Despesas!$C:$C,H$1,Despesas!$M:$M,"Mensal")+SUMIFS(Despesas!$F:$F,Despesas!$J:$J,"&lt;="&amp;$A625,Despesas!$L:$L,"&gt;="&amp;$A625,Despesas!$C:$C,H$1,Despesas!$M:$M,$B625)</f>
        <v>1000</v>
      </c>
      <c r="I625" s="18">
        <f>IF(Imóveis!$F$2="PRICE",IF(AND(Dados!$A625&gt;=Imóveis!$Q$2,Dados!$A625&lt;=Imóveis!$T$2),Imóveis!$U$2,0),IF((IF(AND(Dados!$A625&gt;=Imóveis!$Q$2,Dados!$A625&lt;=Imóveis!$T$2),Imóveis!$S$2-(DATEDIF(Imóveis!$Q$2,Dados!$A625,"m")),0))=0,0,((Imóveis!$N$2/Imóveis!$S$2)+((Imóveis!$N$2-((Imóveis!$S$2-(IF(AND(Dados!$A625&gt;=Imóveis!$Q$2,Dados!$A625&lt;=Imóveis!$T$2),Imóveis!$S$2-(DATEDIF(Imóveis!$Q$2,Dados!$A625,"m")),)))*(Imóveis!$N$2/Imóveis!$S$2)))*Imóveis!$P$2))))*IF(AND(Imóveis!$E$2&gt;0,Dados!$A625&gt;Imóveis!$E$2),0,1)</f>
        <v>0</v>
      </c>
      <c r="J625" s="18">
        <f>IF(Imóveis!$F$3="PRICE",IF(AND(Dados!$A625&gt;=Imóveis!$Q$3,Dados!$A625&lt;=Imóveis!$T$3),Imóveis!$U$3,0),IF((IF(AND(Dados!$A625&gt;=Imóveis!$Q$3,Dados!$A625&lt;=Imóveis!$T$3),Imóveis!$S$3-(DATEDIF(Imóveis!$Q$3,Dados!$A625,"m")),0))=0,0,((Imóveis!$N$3/Imóveis!$S$3)+((Imóveis!$N$3-((Imóveis!$S$3-(IF(AND(Dados!$A625&gt;=Imóveis!$Q$3,Dados!$A625&lt;=Imóveis!$T$3),Imóveis!$S$3-(DATEDIF(Imóveis!$Q$3,Dados!$A625,"m")),)))*(Imóveis!$N$3/Imóveis!$S$3)))*Imóveis!$P$3))))*IF(AND(Imóveis!$E$3&gt;0,Dados!$A625&gt;Imóveis!$E$3),0,1)</f>
        <v>0</v>
      </c>
      <c r="K625" s="18">
        <f>IF(Imóveis!$F$4="PRICE",IF(AND(Dados!$A625&gt;=Imóveis!$Q$4,Dados!$A625&lt;=Imóveis!$T$4),Imóveis!$U$4,0),IF((IF(AND(Dados!$A625&gt;=Imóveis!$Q$4,Dados!$A625&lt;=Imóveis!$T$4),Imóveis!$S$4-(DATEDIF(Imóveis!$Q$4,Dados!$A625,"m")),0))=0,0,((Imóveis!$N$4/Imóveis!$S$4)+((Imóveis!$N$4-((Imóveis!$S$4-(IF(AND(Dados!$A625&gt;=Imóveis!$Q$4,Dados!$A625&lt;=Imóveis!$T$4),Imóveis!$S$4-(DATEDIF(Imóveis!$Q$4,Dados!$A625,"m")),)))*(Imóveis!$N$4/Imóveis!$S$4)))*Imóveis!$P$4))))*IF(AND(Imóveis!$E$4&gt;0,Dados!$A625&gt;Imóveis!$E$4),0,1)</f>
        <v>0</v>
      </c>
      <c r="L625" s="18">
        <f>IF(Imóveis!$F$5="PRICE",IF(AND(Dados!$A625&gt;=Imóveis!$Q$5,Dados!$A625&lt;=Imóveis!$T$5),Imóveis!$U$5,0),IF((IF(AND(Dados!$A625&gt;=Imóveis!$Q$5,Dados!$A625&lt;=Imóveis!$T$5),Imóveis!$S$5-(DATEDIF(Imóveis!$Q$5,Dados!$A625,"m")),0))=0,0,((Imóveis!$N$5/Imóveis!$S$5)+((Imóveis!$N$5-((Imóveis!$S$5-(IF(AND(Dados!$A625 &gt;=Imóveis!$Q$5,Dados!$A625&lt;=Imóveis!$T$5),Imóveis!$S$5-(DATEDIF(Imóveis!$Q$5,Dados!$A625,"m")),)))*(Imóveis!$N$5/Imóveis!$S$5)))*Imóveis!$P$5))))*IF(AND(Imóveis!$E$5&gt;0,Dados!$A625&gt;Imóveis!$E$5),0,1)*Imóveis!$I$5</f>
        <v>0</v>
      </c>
      <c r="M625" s="18">
        <f>IF(Imóveis!$F$6="PRICE",IF(AND(Dados!$A625&gt;=Imóveis!$Q$6,Dados!$A625&lt;=Imóveis!$T$6),Imóveis!$U$6,0),IF((IF(AND(Dados!$A625&gt;=Imóveis!$Q$6,Dados!$A625&lt;=Imóveis!$T$6),Imóveis!$S$6-(DATEDIF(Imóveis!$Q$6,Dados!$A625,"m")),0))=0,0,((Imóveis!$N$6/Imóveis!$S$6)+((Imóveis!$N$6-((Imóveis!$S$6-(IF(AND(Dados!$A625&gt;=Imóveis!$Q$6,Dados!$A625&lt;=Imóveis!$T$6),Imóveis!$S$6-(DATEDIF(Imóveis!$Q$6,Dados!$A625,"m")),)))*(Imóveis!$N$6/Imóveis!$S$6)))*Imóveis!$P$6))))*IF(AND(Imóveis!$E$6&gt;0,Dados!$A625&gt;Imóveis!$E$6),0,1)*Imóveis!$I$6</f>
        <v>0</v>
      </c>
      <c r="N625" s="18">
        <f t="shared" ca="1" si="77"/>
        <v>92757</v>
      </c>
      <c r="O625" s="18">
        <f>SUMIFS(Receitas!$F:$F,Receitas!$J:$J,"&lt;="&amp;$A625,Receitas!$L:$L,"&gt;="&amp;$A625,Receitas!$C:$C,O$1,Receitas!$M:$M,"Mensal")+SUMIFS(Receitas!$F:$F,Receitas!$J:$J,"&lt;="&amp;$A625,Receitas!$L:$L,"&gt;="&amp;$A625,Receitas!$C:$C,O$1,Receitas!$M:$M,$B625)</f>
        <v>0</v>
      </c>
      <c r="P625" s="18">
        <f>SUMIFS(Receitas!$F:$F,Receitas!$J:$J,"&lt;="&amp;$A625,Receitas!$L:$L,"&gt;="&amp;$A625,Receitas!$C:$C,P$1,Receitas!$M:$M,"Mensal")+SUMIFS(Receitas!$F:$F,Receitas!$J:$J,"&lt;="&amp;$A625,Receitas!$L:$L,"&gt;="&amp;$A625,Receitas!$C:$C,P$1,Receitas!$M:$M,$B625)</f>
        <v>0</v>
      </c>
      <c r="Q625" s="18">
        <f>SUMIFS(Receitas!$F:$F,Receitas!$J:$J,"&lt;="&amp;$A625,Receitas!$L:$L,"&gt;="&amp;$A625,Receitas!$C:$C,Q$1,Receitas!$M:$M,"Mensal")+SUMIFS(Receitas!$F:$F,Receitas!$J:$J,"&lt;="&amp;$A625,Receitas!$L:$L,"&gt;="&amp;$A625,Receitas!$C:$C,Q$1,Receitas!$M:$M,$B625)</f>
        <v>0</v>
      </c>
      <c r="R625" s="18" cm="1">
        <f t="array" ref="R625">(IF(AND(Membros!$F$2="Sim",A625&lt;=MAX(Membros!$E$2:$E$5)),Membros!K$2,IF(AND(A625&gt;=Membros!J$2,A625&lt;=MAX(Membros!$E$2:$E$5)),Membros!K$2,0))+IF(AND(Membros!$F$3="Sim",A625&lt;=MAX(Membros!$E$2:$E$5)),Membros!K$3,IF(AND(A625&gt;=Membros!J$3,A625&lt;=MAX(Membros!$E$2:$E$5)),Membros!K$3,0)))*IF(AND(COUNTIFS(Tabela3[Tipo],"Provedor",Tabela3[Simulação Seguro],"Sim")=2,A625&gt;=MAX(IF(Tabela3[Tipo]="Dependente",Tabela3[Expectativa de Vida (Data)]))),0,1)</f>
        <v>10000</v>
      </c>
      <c r="S625" s="18">
        <f t="shared" si="78"/>
        <v>10000</v>
      </c>
      <c r="U625" s="18">
        <f t="shared" ca="1" si="81"/>
        <v>42113246.56296473</v>
      </c>
      <c r="V625" s="18">
        <f>SUMIF(Imóveis!E:E,Dados!A:A,Imóveis!Z:Z)-SUMIF(Imóveis!E:E,Dados!A:A,Imóveis!Y:Y)</f>
        <v>0</v>
      </c>
      <c r="W625" s="18">
        <f>-SUMIF(Projetos!N:N,A625,Projetos!F:F)</f>
        <v>0</v>
      </c>
      <c r="X625" s="18">
        <f t="shared" ca="1" si="75"/>
        <v>-82757</v>
      </c>
      <c r="Y625" s="26">
        <f ca="1">(U625*((Indicadores_Economicos!D$2+1)^(1/12)-1))</f>
        <v>137867.81063072933</v>
      </c>
      <c r="Z625" s="18">
        <f t="shared" ca="1" si="79"/>
        <v>42168357.373595461</v>
      </c>
      <c r="AA625" s="18">
        <f ca="1">Auxiliar_Projetos!E625</f>
        <v>2.9957793312830679E-9</v>
      </c>
      <c r="AB625" s="18">
        <f ca="1">Auxiliar_Projetos!K625</f>
        <v>2.3044456394485115E-9</v>
      </c>
      <c r="AC625" s="18">
        <f ca="1">IF(Z625-AA625-AB625&gt;Investimentos!$C$14,Investimentos!$C$14,IF(Z625-AA625-AB625&lt;Investimentos!$C$14,Z625-AA625-AB625,0))</f>
        <v>300000</v>
      </c>
      <c r="AD625" s="18">
        <f t="shared" ca="1" si="80"/>
        <v>41868357.373595461</v>
      </c>
      <c r="AE625" s="18"/>
    </row>
    <row r="626" spans="1:31" x14ac:dyDescent="0.2">
      <c r="A626" s="4">
        <v>64651</v>
      </c>
      <c r="B626" s="5" t="str">
        <f t="shared" si="76"/>
        <v>janeiro</v>
      </c>
      <c r="C626" s="5" t="str">
        <f t="shared" si="82"/>
        <v>2077</v>
      </c>
      <c r="D626" s="5">
        <f>SUMIFS(Despesas!$F:$F,Despesas!$J:$J,"&lt;="&amp;$A626,Despesas!$L:$L,"&gt;="&amp;$A626,Despesas!$C:$C,D$1,Despesas!$M:$M,"Mensal")+SUMIFS(Despesas!$F:$F,Despesas!$J:$J,"&lt;="&amp;$A626,Despesas!$L:$L,"&gt;="&amp;$A626,Despesas!$C:$C,D$1,Despesas!$M:$M,$B626)</f>
        <v>23000</v>
      </c>
      <c r="E626" s="18">
        <f>SUMIFS(Despesas!$F:$F,Despesas!$J:$J,"&lt;="&amp;$A626,Despesas!$L:$L,"&gt;="&amp;$A626,Despesas!$C:$C,E$1,Despesas!$M:$M,"Mensal")+SUMIFS(Despesas!$F:$F,Despesas!$J:$J,"&lt;="&amp;$A626,Despesas!$L:$L,"&gt;="&amp;$A626,Despesas!$C:$C,E$1,Despesas!$M:$M,$B626)</f>
        <v>0</v>
      </c>
      <c r="F626" s="5">
        <f>SUMIFS(Despesas!$F:$F,Despesas!$J:$J,"&lt;="&amp;$A626,Despesas!$L:$L,"&gt;="&amp;$A626,Despesas!$C:$C,F$1,Despesas!$M:$M,"Mensal")+SUMIFS(Despesas!$F:$F,Despesas!$J:$J,"&lt;="&amp;$A626,Despesas!$L:$L,"&gt;="&amp;$A626,Despesas!$C:$C,F$1,Despesas!$M:$M,$B626)</f>
        <v>13000</v>
      </c>
      <c r="G626" s="5">
        <f>SUMIFS(Despesas!$F:$F,Despesas!$J:$J,"&lt;="&amp;$A626,Despesas!$L:$L,"&gt;="&amp;$A626,Despesas!$C:$C,G$1,Despesas!$M:$M,"Mensal")+SUMIFS(Despesas!$F:$F,Despesas!$J:$J,"&lt;="&amp;$A626,Despesas!$L:$L,"&gt;="&amp;$A626,Despesas!$C:$C,G$1,Despesas!$M:$M,$B626)</f>
        <v>0</v>
      </c>
      <c r="H626" s="18">
        <f>SUMIFS(Despesas!$F:$F,Despesas!$J:$J,"&lt;="&amp;$A626,Despesas!$L:$L,"&gt;="&amp;$A626,Despesas!$C:$C,H$1,Despesas!$M:$M,"Mensal")+SUMIFS(Despesas!$F:$F,Despesas!$J:$J,"&lt;="&amp;$A626,Despesas!$L:$L,"&gt;="&amp;$A626,Despesas!$C:$C,H$1,Despesas!$M:$M,$B626)</f>
        <v>1000</v>
      </c>
      <c r="I626" s="18">
        <f>IF(Imóveis!$F$2="PRICE",IF(AND(Dados!$A626&gt;=Imóveis!$Q$2,Dados!$A626&lt;=Imóveis!$T$2),Imóveis!$U$2,0),IF((IF(AND(Dados!$A626&gt;=Imóveis!$Q$2,Dados!$A626&lt;=Imóveis!$T$2),Imóveis!$S$2-(DATEDIF(Imóveis!$Q$2,Dados!$A626,"m")),0))=0,0,((Imóveis!$N$2/Imóveis!$S$2)+((Imóveis!$N$2-((Imóveis!$S$2-(IF(AND(Dados!$A626&gt;=Imóveis!$Q$2,Dados!$A626&lt;=Imóveis!$T$2),Imóveis!$S$2-(DATEDIF(Imóveis!$Q$2,Dados!$A626,"m")),)))*(Imóveis!$N$2/Imóveis!$S$2)))*Imóveis!$P$2))))*IF(AND(Imóveis!$E$2&gt;0,Dados!$A626&gt;Imóveis!$E$2),0,1)</f>
        <v>0</v>
      </c>
      <c r="J626" s="18">
        <f>IF(Imóveis!$F$3="PRICE",IF(AND(Dados!$A626&gt;=Imóveis!$Q$3,Dados!$A626&lt;=Imóveis!$T$3),Imóveis!$U$3,0),IF((IF(AND(Dados!$A626&gt;=Imóveis!$Q$3,Dados!$A626&lt;=Imóveis!$T$3),Imóveis!$S$3-(DATEDIF(Imóveis!$Q$3,Dados!$A626,"m")),0))=0,0,((Imóveis!$N$3/Imóveis!$S$3)+((Imóveis!$N$3-((Imóveis!$S$3-(IF(AND(Dados!$A626&gt;=Imóveis!$Q$3,Dados!$A626&lt;=Imóveis!$T$3),Imóveis!$S$3-(DATEDIF(Imóveis!$Q$3,Dados!$A626,"m")),)))*(Imóveis!$N$3/Imóveis!$S$3)))*Imóveis!$P$3))))*IF(AND(Imóveis!$E$3&gt;0,Dados!$A626&gt;Imóveis!$E$3),0,1)</f>
        <v>0</v>
      </c>
      <c r="K626" s="18">
        <f>IF(Imóveis!$F$4="PRICE",IF(AND(Dados!$A626&gt;=Imóveis!$Q$4,Dados!$A626&lt;=Imóveis!$T$4),Imóveis!$U$4,0),IF((IF(AND(Dados!$A626&gt;=Imóveis!$Q$4,Dados!$A626&lt;=Imóveis!$T$4),Imóveis!$S$4-(DATEDIF(Imóveis!$Q$4,Dados!$A626,"m")),0))=0,0,((Imóveis!$N$4/Imóveis!$S$4)+((Imóveis!$N$4-((Imóveis!$S$4-(IF(AND(Dados!$A626&gt;=Imóveis!$Q$4,Dados!$A626&lt;=Imóveis!$T$4),Imóveis!$S$4-(DATEDIF(Imóveis!$Q$4,Dados!$A626,"m")),)))*(Imóveis!$N$4/Imóveis!$S$4)))*Imóveis!$P$4))))*IF(AND(Imóveis!$E$4&gt;0,Dados!$A626&gt;Imóveis!$E$4),0,1)</f>
        <v>0</v>
      </c>
      <c r="L626" s="18">
        <f>IF(Imóveis!$F$5="PRICE",IF(AND(Dados!$A626&gt;=Imóveis!$Q$5,Dados!$A626&lt;=Imóveis!$T$5),Imóveis!$U$5,0),IF((IF(AND(Dados!$A626&gt;=Imóveis!$Q$5,Dados!$A626&lt;=Imóveis!$T$5),Imóveis!$S$5-(DATEDIF(Imóveis!$Q$5,Dados!$A626,"m")),0))=0,0,((Imóveis!$N$5/Imóveis!$S$5)+((Imóveis!$N$5-((Imóveis!$S$5-(IF(AND(Dados!$A626 &gt;=Imóveis!$Q$5,Dados!$A626&lt;=Imóveis!$T$5),Imóveis!$S$5-(DATEDIF(Imóveis!$Q$5,Dados!$A626,"m")),)))*(Imóveis!$N$5/Imóveis!$S$5)))*Imóveis!$P$5))))*IF(AND(Imóveis!$E$5&gt;0,Dados!$A626&gt;Imóveis!$E$5),0,1)*Imóveis!$I$5</f>
        <v>0</v>
      </c>
      <c r="M626" s="18">
        <f>IF(Imóveis!$F$6="PRICE",IF(AND(Dados!$A626&gt;=Imóveis!$Q$6,Dados!$A626&lt;=Imóveis!$T$6),Imóveis!$U$6,0),IF((IF(AND(Dados!$A626&gt;=Imóveis!$Q$6,Dados!$A626&lt;=Imóveis!$T$6),Imóveis!$S$6-(DATEDIF(Imóveis!$Q$6,Dados!$A626,"m")),0))=0,0,((Imóveis!$N$6/Imóveis!$S$6)+((Imóveis!$N$6-((Imóveis!$S$6-(IF(AND(Dados!$A626&gt;=Imóveis!$Q$6,Dados!$A626&lt;=Imóveis!$T$6),Imóveis!$S$6-(DATEDIF(Imóveis!$Q$6,Dados!$A626,"m")),)))*(Imóveis!$N$6/Imóveis!$S$6)))*Imóveis!$P$6))))*IF(AND(Imóveis!$E$6&gt;0,Dados!$A626&gt;Imóveis!$E$6),0,1)*Imóveis!$I$6</f>
        <v>0</v>
      </c>
      <c r="N626" s="18">
        <f t="shared" si="77"/>
        <v>37000</v>
      </c>
      <c r="O626" s="18">
        <f>SUMIFS(Receitas!$F:$F,Receitas!$J:$J,"&lt;="&amp;$A626,Receitas!$L:$L,"&gt;="&amp;$A626,Receitas!$C:$C,O$1,Receitas!$M:$M,"Mensal")+SUMIFS(Receitas!$F:$F,Receitas!$J:$J,"&lt;="&amp;$A626,Receitas!$L:$L,"&gt;="&amp;$A626,Receitas!$C:$C,O$1,Receitas!$M:$M,$B626)</f>
        <v>0</v>
      </c>
      <c r="P626" s="18">
        <f>SUMIFS(Receitas!$F:$F,Receitas!$J:$J,"&lt;="&amp;$A626,Receitas!$L:$L,"&gt;="&amp;$A626,Receitas!$C:$C,P$1,Receitas!$M:$M,"Mensal")+SUMIFS(Receitas!$F:$F,Receitas!$J:$J,"&lt;="&amp;$A626,Receitas!$L:$L,"&gt;="&amp;$A626,Receitas!$C:$C,P$1,Receitas!$M:$M,$B626)</f>
        <v>0</v>
      </c>
      <c r="Q626" s="18">
        <f>SUMIFS(Receitas!$F:$F,Receitas!$J:$J,"&lt;="&amp;$A626,Receitas!$L:$L,"&gt;="&amp;$A626,Receitas!$C:$C,Q$1,Receitas!$M:$M,"Mensal")+SUMIFS(Receitas!$F:$F,Receitas!$J:$J,"&lt;="&amp;$A626,Receitas!$L:$L,"&gt;="&amp;$A626,Receitas!$C:$C,Q$1,Receitas!$M:$M,$B626)</f>
        <v>0</v>
      </c>
      <c r="R626" s="18" cm="1">
        <f t="array" ref="R626">(IF(AND(Membros!$F$2="Sim",A626&lt;=MAX(Membros!$E$2:$E$5)),Membros!K$2,IF(AND(A626&gt;=Membros!J$2,A626&lt;=MAX(Membros!$E$2:$E$5)),Membros!K$2,0))+IF(AND(Membros!$F$3="Sim",A626&lt;=MAX(Membros!$E$2:$E$5)),Membros!K$3,IF(AND(A626&gt;=Membros!J$3,A626&lt;=MAX(Membros!$E$2:$E$5)),Membros!K$3,0)))*IF(AND(COUNTIFS(Tabela3[Tipo],"Provedor",Tabela3[Simulação Seguro],"Sim")=2,A626&gt;=MAX(IF(Tabela3[Tipo]="Dependente",Tabela3[Expectativa de Vida (Data)]))),0,1)</f>
        <v>10000</v>
      </c>
      <c r="S626" s="18">
        <f t="shared" si="78"/>
        <v>10000</v>
      </c>
      <c r="U626" s="18">
        <f t="shared" ca="1" si="81"/>
        <v>42168357.373595461</v>
      </c>
      <c r="V626" s="18">
        <f>SUMIF(Imóveis!E:E,Dados!A:A,Imóveis!Z:Z)-SUMIF(Imóveis!E:E,Dados!A:A,Imóveis!Y:Y)</f>
        <v>0</v>
      </c>
      <c r="W626" s="18">
        <f>-SUMIF(Projetos!N:N,A626,Projetos!F:F)</f>
        <v>0</v>
      </c>
      <c r="X626" s="18">
        <f t="shared" si="75"/>
        <v>-27000</v>
      </c>
      <c r="Y626" s="26">
        <f ca="1">(U626*((Indicadores_Economicos!D$2+1)^(1/12)-1))</f>
        <v>138048.22908392039</v>
      </c>
      <c r="Z626" s="18">
        <f t="shared" ca="1" si="79"/>
        <v>42279405.602679379</v>
      </c>
      <c r="AA626" s="18">
        <f ca="1">Auxiliar_Projetos!E626</f>
        <v>3.0055867332585786E-9</v>
      </c>
      <c r="AB626" s="18">
        <f ca="1">Auxiliar_Projetos!K626</f>
        <v>2.3119897948142889E-9</v>
      </c>
      <c r="AC626" s="18">
        <f ca="1">IF(Z626-AA626-AB626&gt;Investimentos!$C$14,Investimentos!$C$14,IF(Z626-AA626-AB626&lt;Investimentos!$C$14,Z626-AA626-AB626,0))</f>
        <v>300000</v>
      </c>
      <c r="AD626" s="18">
        <f t="shared" ca="1" si="80"/>
        <v>41979405.602679379</v>
      </c>
      <c r="AE626" s="18"/>
    </row>
    <row r="627" spans="1:31" x14ac:dyDescent="0.2">
      <c r="A627" s="4">
        <v>64682</v>
      </c>
      <c r="B627" s="5" t="str">
        <f t="shared" si="76"/>
        <v>fevereiro</v>
      </c>
      <c r="C627" s="5" t="str">
        <f t="shared" si="82"/>
        <v>2077</v>
      </c>
      <c r="D627" s="5">
        <f>SUMIFS(Despesas!$F:$F,Despesas!$J:$J,"&lt;="&amp;$A627,Despesas!$L:$L,"&gt;="&amp;$A627,Despesas!$C:$C,D$1,Despesas!$M:$M,"Mensal")+SUMIFS(Despesas!$F:$F,Despesas!$J:$J,"&lt;="&amp;$A627,Despesas!$L:$L,"&gt;="&amp;$A627,Despesas!$C:$C,D$1,Despesas!$M:$M,$B627)</f>
        <v>23000</v>
      </c>
      <c r="E627" s="18">
        <f>SUMIFS(Despesas!$F:$F,Despesas!$J:$J,"&lt;="&amp;$A627,Despesas!$L:$L,"&gt;="&amp;$A627,Despesas!$C:$C,E$1,Despesas!$M:$M,"Mensal")+SUMIFS(Despesas!$F:$F,Despesas!$J:$J,"&lt;="&amp;$A627,Despesas!$L:$L,"&gt;="&amp;$A627,Despesas!$C:$C,E$1,Despesas!$M:$M,$B627)</f>
        <v>0</v>
      </c>
      <c r="F627" s="5">
        <f>SUMIFS(Despesas!$F:$F,Despesas!$J:$J,"&lt;="&amp;$A627,Despesas!$L:$L,"&gt;="&amp;$A627,Despesas!$C:$C,F$1,Despesas!$M:$M,"Mensal")+SUMIFS(Despesas!$F:$F,Despesas!$J:$J,"&lt;="&amp;$A627,Despesas!$L:$L,"&gt;="&amp;$A627,Despesas!$C:$C,F$1,Despesas!$M:$M,$B627)</f>
        <v>13000</v>
      </c>
      <c r="G627" s="5">
        <f>SUMIFS(Despesas!$F:$F,Despesas!$J:$J,"&lt;="&amp;$A627,Despesas!$L:$L,"&gt;="&amp;$A627,Despesas!$C:$C,G$1,Despesas!$M:$M,"Mensal")+SUMIFS(Despesas!$F:$F,Despesas!$J:$J,"&lt;="&amp;$A627,Despesas!$L:$L,"&gt;="&amp;$A627,Despesas!$C:$C,G$1,Despesas!$M:$M,$B627)</f>
        <v>0</v>
      </c>
      <c r="H627" s="18">
        <f>SUMIFS(Despesas!$F:$F,Despesas!$J:$J,"&lt;="&amp;$A627,Despesas!$L:$L,"&gt;="&amp;$A627,Despesas!$C:$C,H$1,Despesas!$M:$M,"Mensal")+SUMIFS(Despesas!$F:$F,Despesas!$J:$J,"&lt;="&amp;$A627,Despesas!$L:$L,"&gt;="&amp;$A627,Despesas!$C:$C,H$1,Despesas!$M:$M,$B627)</f>
        <v>2200</v>
      </c>
      <c r="I627" s="18">
        <f>IF(Imóveis!$F$2="PRICE",IF(AND(Dados!$A627&gt;=Imóveis!$Q$2,Dados!$A627&lt;=Imóveis!$T$2),Imóveis!$U$2,0),IF((IF(AND(Dados!$A627&gt;=Imóveis!$Q$2,Dados!$A627&lt;=Imóveis!$T$2),Imóveis!$S$2-(DATEDIF(Imóveis!$Q$2,Dados!$A627,"m")),0))=0,0,((Imóveis!$N$2/Imóveis!$S$2)+((Imóveis!$N$2-((Imóveis!$S$2-(IF(AND(Dados!$A627&gt;=Imóveis!$Q$2,Dados!$A627&lt;=Imóveis!$T$2),Imóveis!$S$2-(DATEDIF(Imóveis!$Q$2,Dados!$A627,"m")),)))*(Imóveis!$N$2/Imóveis!$S$2)))*Imóveis!$P$2))))*IF(AND(Imóveis!$E$2&gt;0,Dados!$A627&gt;Imóveis!$E$2),0,1)</f>
        <v>0</v>
      </c>
      <c r="J627" s="18">
        <f>IF(Imóveis!$F$3="PRICE",IF(AND(Dados!$A627&gt;=Imóveis!$Q$3,Dados!$A627&lt;=Imóveis!$T$3),Imóveis!$U$3,0),IF((IF(AND(Dados!$A627&gt;=Imóveis!$Q$3,Dados!$A627&lt;=Imóveis!$T$3),Imóveis!$S$3-(DATEDIF(Imóveis!$Q$3,Dados!$A627,"m")),0))=0,0,((Imóveis!$N$3/Imóveis!$S$3)+((Imóveis!$N$3-((Imóveis!$S$3-(IF(AND(Dados!$A627&gt;=Imóveis!$Q$3,Dados!$A627&lt;=Imóveis!$T$3),Imóveis!$S$3-(DATEDIF(Imóveis!$Q$3,Dados!$A627,"m")),)))*(Imóveis!$N$3/Imóveis!$S$3)))*Imóveis!$P$3))))*IF(AND(Imóveis!$E$3&gt;0,Dados!$A627&gt;Imóveis!$E$3),0,1)</f>
        <v>0</v>
      </c>
      <c r="K627" s="18">
        <f>IF(Imóveis!$F$4="PRICE",IF(AND(Dados!$A627&gt;=Imóveis!$Q$4,Dados!$A627&lt;=Imóveis!$T$4),Imóveis!$U$4,0),IF((IF(AND(Dados!$A627&gt;=Imóveis!$Q$4,Dados!$A627&lt;=Imóveis!$T$4),Imóveis!$S$4-(DATEDIF(Imóveis!$Q$4,Dados!$A627,"m")),0))=0,0,((Imóveis!$N$4/Imóveis!$S$4)+((Imóveis!$N$4-((Imóveis!$S$4-(IF(AND(Dados!$A627&gt;=Imóveis!$Q$4,Dados!$A627&lt;=Imóveis!$T$4),Imóveis!$S$4-(DATEDIF(Imóveis!$Q$4,Dados!$A627,"m")),)))*(Imóveis!$N$4/Imóveis!$S$4)))*Imóveis!$P$4))))*IF(AND(Imóveis!$E$4&gt;0,Dados!$A627&gt;Imóveis!$E$4),0,1)</f>
        <v>0</v>
      </c>
      <c r="L627" s="18">
        <f>IF(Imóveis!$F$5="PRICE",IF(AND(Dados!$A627&gt;=Imóveis!$Q$5,Dados!$A627&lt;=Imóveis!$T$5),Imóveis!$U$5,0),IF((IF(AND(Dados!$A627&gt;=Imóveis!$Q$5,Dados!$A627&lt;=Imóveis!$T$5),Imóveis!$S$5-(DATEDIF(Imóveis!$Q$5,Dados!$A627,"m")),0))=0,0,((Imóveis!$N$5/Imóveis!$S$5)+((Imóveis!$N$5-((Imóveis!$S$5-(IF(AND(Dados!$A627 &gt;=Imóveis!$Q$5,Dados!$A627&lt;=Imóveis!$T$5),Imóveis!$S$5-(DATEDIF(Imóveis!$Q$5,Dados!$A627,"m")),)))*(Imóveis!$N$5/Imóveis!$S$5)))*Imóveis!$P$5))))*IF(AND(Imóveis!$E$5&gt;0,Dados!$A627&gt;Imóveis!$E$5),0,1)*Imóveis!$I$5</f>
        <v>0</v>
      </c>
      <c r="M627" s="18">
        <f>IF(Imóveis!$F$6="PRICE",IF(AND(Dados!$A627&gt;=Imóveis!$Q$6,Dados!$A627&lt;=Imóveis!$T$6),Imóveis!$U$6,0),IF((IF(AND(Dados!$A627&gt;=Imóveis!$Q$6,Dados!$A627&lt;=Imóveis!$T$6),Imóveis!$S$6-(DATEDIF(Imóveis!$Q$6,Dados!$A627,"m")),0))=0,0,((Imóveis!$N$6/Imóveis!$S$6)+((Imóveis!$N$6-((Imóveis!$S$6-(IF(AND(Dados!$A627&gt;=Imóveis!$Q$6,Dados!$A627&lt;=Imóveis!$T$6),Imóveis!$S$6-(DATEDIF(Imóveis!$Q$6,Dados!$A627,"m")),)))*(Imóveis!$N$6/Imóveis!$S$6)))*Imóveis!$P$6))))*IF(AND(Imóveis!$E$6&gt;0,Dados!$A627&gt;Imóveis!$E$6),0,1)*Imóveis!$I$6</f>
        <v>0</v>
      </c>
      <c r="N627" s="18">
        <f t="shared" si="77"/>
        <v>38200</v>
      </c>
      <c r="O627" s="18">
        <f>SUMIFS(Receitas!$F:$F,Receitas!$J:$J,"&lt;="&amp;$A627,Receitas!$L:$L,"&gt;="&amp;$A627,Receitas!$C:$C,O$1,Receitas!$M:$M,"Mensal")+SUMIFS(Receitas!$F:$F,Receitas!$J:$J,"&lt;="&amp;$A627,Receitas!$L:$L,"&gt;="&amp;$A627,Receitas!$C:$C,O$1,Receitas!$M:$M,$B627)</f>
        <v>0</v>
      </c>
      <c r="P627" s="18">
        <f>SUMIFS(Receitas!$F:$F,Receitas!$J:$J,"&lt;="&amp;$A627,Receitas!$L:$L,"&gt;="&amp;$A627,Receitas!$C:$C,P$1,Receitas!$M:$M,"Mensal")+SUMIFS(Receitas!$F:$F,Receitas!$J:$J,"&lt;="&amp;$A627,Receitas!$L:$L,"&gt;="&amp;$A627,Receitas!$C:$C,P$1,Receitas!$M:$M,$B627)</f>
        <v>0</v>
      </c>
      <c r="Q627" s="18">
        <f>SUMIFS(Receitas!$F:$F,Receitas!$J:$J,"&lt;="&amp;$A627,Receitas!$L:$L,"&gt;="&amp;$A627,Receitas!$C:$C,Q$1,Receitas!$M:$M,"Mensal")+SUMIFS(Receitas!$F:$F,Receitas!$J:$J,"&lt;="&amp;$A627,Receitas!$L:$L,"&gt;="&amp;$A627,Receitas!$C:$C,Q$1,Receitas!$M:$M,$B627)</f>
        <v>0</v>
      </c>
      <c r="R627" s="18" cm="1">
        <f t="array" ref="R627">(IF(AND(Membros!$F$2="Sim",A627&lt;=MAX(Membros!$E$2:$E$5)),Membros!K$2,IF(AND(A627&gt;=Membros!J$2,A627&lt;=MAX(Membros!$E$2:$E$5)),Membros!K$2,0))+IF(AND(Membros!$F$3="Sim",A627&lt;=MAX(Membros!$E$2:$E$5)),Membros!K$3,IF(AND(A627&gt;=Membros!J$3,A627&lt;=MAX(Membros!$E$2:$E$5)),Membros!K$3,0)))*IF(AND(COUNTIFS(Tabela3[Tipo],"Provedor",Tabela3[Simulação Seguro],"Sim")=2,A627&gt;=MAX(IF(Tabela3[Tipo]="Dependente",Tabela3[Expectativa de Vida (Data)]))),0,1)</f>
        <v>10000</v>
      </c>
      <c r="S627" s="18">
        <f t="shared" si="78"/>
        <v>10000</v>
      </c>
      <c r="U627" s="18">
        <f t="shared" ca="1" si="81"/>
        <v>42279405.602679379</v>
      </c>
      <c r="V627" s="18">
        <f>SUMIF(Imóveis!E:E,Dados!A:A,Imóveis!Z:Z)-SUMIF(Imóveis!E:E,Dados!A:A,Imóveis!Y:Y)</f>
        <v>0</v>
      </c>
      <c r="W627" s="18">
        <f>-SUMIF(Projetos!N:N,A627,Projetos!F:F)</f>
        <v>0</v>
      </c>
      <c r="X627" s="18">
        <f t="shared" si="75"/>
        <v>-28200</v>
      </c>
      <c r="Y627" s="26">
        <f ca="1">(U627*((Indicadores_Economicos!D$2+1)^(1/12)-1))</f>
        <v>138411.77208921517</v>
      </c>
      <c r="Z627" s="18">
        <f t="shared" ca="1" si="79"/>
        <v>42389617.374768592</v>
      </c>
      <c r="AA627" s="18">
        <f ca="1">Auxiliar_Projetos!E627</f>
        <v>3.0154262421160963E-9</v>
      </c>
      <c r="AB627" s="18">
        <f ca="1">Auxiliar_Projetos!K627</f>
        <v>2.3195586477816101E-9</v>
      </c>
      <c r="AC627" s="18">
        <f ca="1">IF(Z627-AA627-AB627&gt;Investimentos!$C$14,Investimentos!$C$14,IF(Z627-AA627-AB627&lt;Investimentos!$C$14,Z627-AA627-AB627,0))</f>
        <v>300000</v>
      </c>
      <c r="AD627" s="18">
        <f t="shared" ca="1" si="80"/>
        <v>42089617.374768592</v>
      </c>
      <c r="AE627" s="18"/>
    </row>
    <row r="628" spans="1:31" x14ac:dyDescent="0.2">
      <c r="A628" s="4">
        <v>64710</v>
      </c>
      <c r="B628" s="5" t="str">
        <f t="shared" si="76"/>
        <v>março</v>
      </c>
      <c r="C628" s="5" t="str">
        <f t="shared" si="82"/>
        <v>2077</v>
      </c>
      <c r="D628" s="5">
        <f>SUMIFS(Despesas!$F:$F,Despesas!$J:$J,"&lt;="&amp;$A628,Despesas!$L:$L,"&gt;="&amp;$A628,Despesas!$C:$C,D$1,Despesas!$M:$M,"Mensal")+SUMIFS(Despesas!$F:$F,Despesas!$J:$J,"&lt;="&amp;$A628,Despesas!$L:$L,"&gt;="&amp;$A628,Despesas!$C:$C,D$1,Despesas!$M:$M,$B628)</f>
        <v>23000</v>
      </c>
      <c r="E628" s="18">
        <f>SUMIFS(Despesas!$F:$F,Despesas!$J:$J,"&lt;="&amp;$A628,Despesas!$L:$L,"&gt;="&amp;$A628,Despesas!$C:$C,E$1,Despesas!$M:$M,"Mensal")+SUMIFS(Despesas!$F:$F,Despesas!$J:$J,"&lt;="&amp;$A628,Despesas!$L:$L,"&gt;="&amp;$A628,Despesas!$C:$C,E$1,Despesas!$M:$M,$B628)</f>
        <v>0</v>
      </c>
      <c r="F628" s="5">
        <f>SUMIFS(Despesas!$F:$F,Despesas!$J:$J,"&lt;="&amp;$A628,Despesas!$L:$L,"&gt;="&amp;$A628,Despesas!$C:$C,F$1,Despesas!$M:$M,"Mensal")+SUMIFS(Despesas!$F:$F,Despesas!$J:$J,"&lt;="&amp;$A628,Despesas!$L:$L,"&gt;="&amp;$A628,Despesas!$C:$C,F$1,Despesas!$M:$M,$B628)</f>
        <v>13000</v>
      </c>
      <c r="G628" s="5">
        <f>SUMIFS(Despesas!$F:$F,Despesas!$J:$J,"&lt;="&amp;$A628,Despesas!$L:$L,"&gt;="&amp;$A628,Despesas!$C:$C,G$1,Despesas!$M:$M,"Mensal")+SUMIFS(Despesas!$F:$F,Despesas!$J:$J,"&lt;="&amp;$A628,Despesas!$L:$L,"&gt;="&amp;$A628,Despesas!$C:$C,G$1,Despesas!$M:$M,$B628)</f>
        <v>0</v>
      </c>
      <c r="H628" s="18">
        <f>SUMIFS(Despesas!$F:$F,Despesas!$J:$J,"&lt;="&amp;$A628,Despesas!$L:$L,"&gt;="&amp;$A628,Despesas!$C:$C,H$1,Despesas!$M:$M,"Mensal")+SUMIFS(Despesas!$F:$F,Despesas!$J:$J,"&lt;="&amp;$A628,Despesas!$L:$L,"&gt;="&amp;$A628,Despesas!$C:$C,H$1,Despesas!$M:$M,$B628)</f>
        <v>1000</v>
      </c>
      <c r="I628" s="18">
        <f>IF(Imóveis!$F$2="PRICE",IF(AND(Dados!$A628&gt;=Imóveis!$Q$2,Dados!$A628&lt;=Imóveis!$T$2),Imóveis!$U$2,0),IF((IF(AND(Dados!$A628&gt;=Imóveis!$Q$2,Dados!$A628&lt;=Imóveis!$T$2),Imóveis!$S$2-(DATEDIF(Imóveis!$Q$2,Dados!$A628,"m")),0))=0,0,((Imóveis!$N$2/Imóveis!$S$2)+((Imóveis!$N$2-((Imóveis!$S$2-(IF(AND(Dados!$A628&gt;=Imóveis!$Q$2,Dados!$A628&lt;=Imóveis!$T$2),Imóveis!$S$2-(DATEDIF(Imóveis!$Q$2,Dados!$A628,"m")),)))*(Imóveis!$N$2/Imóveis!$S$2)))*Imóveis!$P$2))))*IF(AND(Imóveis!$E$2&gt;0,Dados!$A628&gt;Imóveis!$E$2),0,1)</f>
        <v>0</v>
      </c>
      <c r="J628" s="18">
        <f>IF(Imóveis!$F$3="PRICE",IF(AND(Dados!$A628&gt;=Imóveis!$Q$3,Dados!$A628&lt;=Imóveis!$T$3),Imóveis!$U$3,0),IF((IF(AND(Dados!$A628&gt;=Imóveis!$Q$3,Dados!$A628&lt;=Imóveis!$T$3),Imóveis!$S$3-(DATEDIF(Imóveis!$Q$3,Dados!$A628,"m")),0))=0,0,((Imóveis!$N$3/Imóveis!$S$3)+((Imóveis!$N$3-((Imóveis!$S$3-(IF(AND(Dados!$A628&gt;=Imóveis!$Q$3,Dados!$A628&lt;=Imóveis!$T$3),Imóveis!$S$3-(DATEDIF(Imóveis!$Q$3,Dados!$A628,"m")),)))*(Imóveis!$N$3/Imóveis!$S$3)))*Imóveis!$P$3))))*IF(AND(Imóveis!$E$3&gt;0,Dados!$A628&gt;Imóveis!$E$3),0,1)</f>
        <v>0</v>
      </c>
      <c r="K628" s="18">
        <f>IF(Imóveis!$F$4="PRICE",IF(AND(Dados!$A628&gt;=Imóveis!$Q$4,Dados!$A628&lt;=Imóveis!$T$4),Imóveis!$U$4,0),IF((IF(AND(Dados!$A628&gt;=Imóveis!$Q$4,Dados!$A628&lt;=Imóveis!$T$4),Imóveis!$S$4-(DATEDIF(Imóveis!$Q$4,Dados!$A628,"m")),0))=0,0,((Imóveis!$N$4/Imóveis!$S$4)+((Imóveis!$N$4-((Imóveis!$S$4-(IF(AND(Dados!$A628&gt;=Imóveis!$Q$4,Dados!$A628&lt;=Imóveis!$T$4),Imóveis!$S$4-(DATEDIF(Imóveis!$Q$4,Dados!$A628,"m")),)))*(Imóveis!$N$4/Imóveis!$S$4)))*Imóveis!$P$4))))*IF(AND(Imóveis!$E$4&gt;0,Dados!$A628&gt;Imóveis!$E$4),0,1)</f>
        <v>0</v>
      </c>
      <c r="L628" s="18">
        <f>IF(Imóveis!$F$5="PRICE",IF(AND(Dados!$A628&gt;=Imóveis!$Q$5,Dados!$A628&lt;=Imóveis!$T$5),Imóveis!$U$5,0),IF((IF(AND(Dados!$A628&gt;=Imóveis!$Q$5,Dados!$A628&lt;=Imóveis!$T$5),Imóveis!$S$5-(DATEDIF(Imóveis!$Q$5,Dados!$A628,"m")),0))=0,0,((Imóveis!$N$5/Imóveis!$S$5)+((Imóveis!$N$5-((Imóveis!$S$5-(IF(AND(Dados!$A628 &gt;=Imóveis!$Q$5,Dados!$A628&lt;=Imóveis!$T$5),Imóveis!$S$5-(DATEDIF(Imóveis!$Q$5,Dados!$A628,"m")),)))*(Imóveis!$N$5/Imóveis!$S$5)))*Imóveis!$P$5))))*IF(AND(Imóveis!$E$5&gt;0,Dados!$A628&gt;Imóveis!$E$5),0,1)*Imóveis!$I$5</f>
        <v>0</v>
      </c>
      <c r="M628" s="18">
        <f>IF(Imóveis!$F$6="PRICE",IF(AND(Dados!$A628&gt;=Imóveis!$Q$6,Dados!$A628&lt;=Imóveis!$T$6),Imóveis!$U$6,0),IF((IF(AND(Dados!$A628&gt;=Imóveis!$Q$6,Dados!$A628&lt;=Imóveis!$T$6),Imóveis!$S$6-(DATEDIF(Imóveis!$Q$6,Dados!$A628,"m")),0))=0,0,((Imóveis!$N$6/Imóveis!$S$6)+((Imóveis!$N$6-((Imóveis!$S$6-(IF(AND(Dados!$A628&gt;=Imóveis!$Q$6,Dados!$A628&lt;=Imóveis!$T$6),Imóveis!$S$6-(DATEDIF(Imóveis!$Q$6,Dados!$A628,"m")),)))*(Imóveis!$N$6/Imóveis!$S$6)))*Imóveis!$P$6))))*IF(AND(Imóveis!$E$6&gt;0,Dados!$A628&gt;Imóveis!$E$6),0,1)*Imóveis!$I$6</f>
        <v>0</v>
      </c>
      <c r="N628" s="18">
        <f t="shared" si="77"/>
        <v>37000</v>
      </c>
      <c r="O628" s="18">
        <f>SUMIFS(Receitas!$F:$F,Receitas!$J:$J,"&lt;="&amp;$A628,Receitas!$L:$L,"&gt;="&amp;$A628,Receitas!$C:$C,O$1,Receitas!$M:$M,"Mensal")+SUMIFS(Receitas!$F:$F,Receitas!$J:$J,"&lt;="&amp;$A628,Receitas!$L:$L,"&gt;="&amp;$A628,Receitas!$C:$C,O$1,Receitas!$M:$M,$B628)</f>
        <v>0</v>
      </c>
      <c r="P628" s="18">
        <f>SUMIFS(Receitas!$F:$F,Receitas!$J:$J,"&lt;="&amp;$A628,Receitas!$L:$L,"&gt;="&amp;$A628,Receitas!$C:$C,P$1,Receitas!$M:$M,"Mensal")+SUMIFS(Receitas!$F:$F,Receitas!$J:$J,"&lt;="&amp;$A628,Receitas!$L:$L,"&gt;="&amp;$A628,Receitas!$C:$C,P$1,Receitas!$M:$M,$B628)</f>
        <v>0</v>
      </c>
      <c r="Q628" s="18">
        <f>SUMIFS(Receitas!$F:$F,Receitas!$J:$J,"&lt;="&amp;$A628,Receitas!$L:$L,"&gt;="&amp;$A628,Receitas!$C:$C,Q$1,Receitas!$M:$M,"Mensal")+SUMIFS(Receitas!$F:$F,Receitas!$J:$J,"&lt;="&amp;$A628,Receitas!$L:$L,"&gt;="&amp;$A628,Receitas!$C:$C,Q$1,Receitas!$M:$M,$B628)</f>
        <v>0</v>
      </c>
      <c r="R628" s="18" cm="1">
        <f t="array" ref="R628">(IF(AND(Membros!$F$2="Sim",A628&lt;=MAX(Membros!$E$2:$E$5)),Membros!K$2,IF(AND(A628&gt;=Membros!J$2,A628&lt;=MAX(Membros!$E$2:$E$5)),Membros!K$2,0))+IF(AND(Membros!$F$3="Sim",A628&lt;=MAX(Membros!$E$2:$E$5)),Membros!K$3,IF(AND(A628&gt;=Membros!J$3,A628&lt;=MAX(Membros!$E$2:$E$5)),Membros!K$3,0)))*IF(AND(COUNTIFS(Tabela3[Tipo],"Provedor",Tabela3[Simulação Seguro],"Sim")=2,A628&gt;=MAX(IF(Tabela3[Tipo]="Dependente",Tabela3[Expectativa de Vida (Data)]))),0,1)</f>
        <v>10000</v>
      </c>
      <c r="S628" s="18">
        <f t="shared" si="78"/>
        <v>10000</v>
      </c>
      <c r="U628" s="18">
        <f t="shared" ca="1" si="81"/>
        <v>42389617.374768592</v>
      </c>
      <c r="V628" s="18">
        <f>SUMIF(Imóveis!E:E,Dados!A:A,Imóveis!Z:Z)-SUMIF(Imóveis!E:E,Dados!A:A,Imóveis!Y:Y)</f>
        <v>0</v>
      </c>
      <c r="W628" s="18">
        <f>-SUMIF(Projetos!N:N,A628,Projetos!F:F)</f>
        <v>0</v>
      </c>
      <c r="X628" s="18">
        <f t="shared" si="75"/>
        <v>-27000</v>
      </c>
      <c r="Y628" s="26">
        <f ca="1">(U628*((Indicadores_Economicos!D$2+1)^(1/12)-1))</f>
        <v>138772.57675197025</v>
      </c>
      <c r="Z628" s="18">
        <f t="shared" ca="1" si="79"/>
        <v>42501389.951520562</v>
      </c>
      <c r="AA628" s="18">
        <f ca="1">Auxiliar_Projetos!E628</f>
        <v>3.0252979629651984E-9</v>
      </c>
      <c r="AB628" s="18">
        <f ca="1">Auxiliar_Projetos!K628</f>
        <v>2.3271522792039962E-9</v>
      </c>
      <c r="AC628" s="18">
        <f ca="1">IF(Z628-AA628-AB628&gt;Investimentos!$C$14,Investimentos!$C$14,IF(Z628-AA628-AB628&lt;Investimentos!$C$14,Z628-AA628-AB628,0))</f>
        <v>300000</v>
      </c>
      <c r="AD628" s="18">
        <f t="shared" ca="1" si="80"/>
        <v>42201389.951520562</v>
      </c>
      <c r="AE628" s="18"/>
    </row>
    <row r="629" spans="1:31" x14ac:dyDescent="0.2">
      <c r="A629" s="4">
        <v>64741</v>
      </c>
      <c r="B629" s="5" t="str">
        <f t="shared" si="76"/>
        <v>abril</v>
      </c>
      <c r="C629" s="5" t="str">
        <f t="shared" si="82"/>
        <v>2077</v>
      </c>
      <c r="D629" s="5">
        <f>SUMIFS(Despesas!$F:$F,Despesas!$J:$J,"&lt;="&amp;$A629,Despesas!$L:$L,"&gt;="&amp;$A629,Despesas!$C:$C,D$1,Despesas!$M:$M,"Mensal")+SUMIFS(Despesas!$F:$F,Despesas!$J:$J,"&lt;="&amp;$A629,Despesas!$L:$L,"&gt;="&amp;$A629,Despesas!$C:$C,D$1,Despesas!$M:$M,$B629)</f>
        <v>23000</v>
      </c>
      <c r="E629" s="18">
        <f>SUMIFS(Despesas!$F:$F,Despesas!$J:$J,"&lt;="&amp;$A629,Despesas!$L:$L,"&gt;="&amp;$A629,Despesas!$C:$C,E$1,Despesas!$M:$M,"Mensal")+SUMIFS(Despesas!$F:$F,Despesas!$J:$J,"&lt;="&amp;$A629,Despesas!$L:$L,"&gt;="&amp;$A629,Despesas!$C:$C,E$1,Despesas!$M:$M,$B629)</f>
        <v>0</v>
      </c>
      <c r="F629" s="5">
        <f>SUMIFS(Despesas!$F:$F,Despesas!$J:$J,"&lt;="&amp;$A629,Despesas!$L:$L,"&gt;="&amp;$A629,Despesas!$C:$C,F$1,Despesas!$M:$M,"Mensal")+SUMIFS(Despesas!$F:$F,Despesas!$J:$J,"&lt;="&amp;$A629,Despesas!$L:$L,"&gt;="&amp;$A629,Despesas!$C:$C,F$1,Despesas!$M:$M,$B629)</f>
        <v>13000</v>
      </c>
      <c r="G629" s="5">
        <f>SUMIFS(Despesas!$F:$F,Despesas!$J:$J,"&lt;="&amp;$A629,Despesas!$L:$L,"&gt;="&amp;$A629,Despesas!$C:$C,G$1,Despesas!$M:$M,"Mensal")+SUMIFS(Despesas!$F:$F,Despesas!$J:$J,"&lt;="&amp;$A629,Despesas!$L:$L,"&gt;="&amp;$A629,Despesas!$C:$C,G$1,Despesas!$M:$M,$B629)</f>
        <v>0</v>
      </c>
      <c r="H629" s="18">
        <f>SUMIFS(Despesas!$F:$F,Despesas!$J:$J,"&lt;="&amp;$A629,Despesas!$L:$L,"&gt;="&amp;$A629,Despesas!$C:$C,H$1,Despesas!$M:$M,"Mensal")+SUMIFS(Despesas!$F:$F,Despesas!$J:$J,"&lt;="&amp;$A629,Despesas!$L:$L,"&gt;="&amp;$A629,Despesas!$C:$C,H$1,Despesas!$M:$M,$B629)</f>
        <v>1000</v>
      </c>
      <c r="I629" s="18">
        <f>IF(Imóveis!$F$2="PRICE",IF(AND(Dados!$A629&gt;=Imóveis!$Q$2,Dados!$A629&lt;=Imóveis!$T$2),Imóveis!$U$2,0),IF((IF(AND(Dados!$A629&gt;=Imóveis!$Q$2,Dados!$A629&lt;=Imóveis!$T$2),Imóveis!$S$2-(DATEDIF(Imóveis!$Q$2,Dados!$A629,"m")),0))=0,0,((Imóveis!$N$2/Imóveis!$S$2)+((Imóveis!$N$2-((Imóveis!$S$2-(IF(AND(Dados!$A629&gt;=Imóveis!$Q$2,Dados!$A629&lt;=Imóveis!$T$2),Imóveis!$S$2-(DATEDIF(Imóveis!$Q$2,Dados!$A629,"m")),)))*(Imóveis!$N$2/Imóveis!$S$2)))*Imóveis!$P$2))))*IF(AND(Imóveis!$E$2&gt;0,Dados!$A629&gt;Imóveis!$E$2),0,1)</f>
        <v>0</v>
      </c>
      <c r="J629" s="18">
        <f>IF(Imóveis!$F$3="PRICE",IF(AND(Dados!$A629&gt;=Imóveis!$Q$3,Dados!$A629&lt;=Imóveis!$T$3),Imóveis!$U$3,0),IF((IF(AND(Dados!$A629&gt;=Imóveis!$Q$3,Dados!$A629&lt;=Imóveis!$T$3),Imóveis!$S$3-(DATEDIF(Imóveis!$Q$3,Dados!$A629,"m")),0))=0,0,((Imóveis!$N$3/Imóveis!$S$3)+((Imóveis!$N$3-((Imóveis!$S$3-(IF(AND(Dados!$A629&gt;=Imóveis!$Q$3,Dados!$A629&lt;=Imóveis!$T$3),Imóveis!$S$3-(DATEDIF(Imóveis!$Q$3,Dados!$A629,"m")),)))*(Imóveis!$N$3/Imóveis!$S$3)))*Imóveis!$P$3))))*IF(AND(Imóveis!$E$3&gt;0,Dados!$A629&gt;Imóveis!$E$3),0,1)</f>
        <v>0</v>
      </c>
      <c r="K629" s="18">
        <f>IF(Imóveis!$F$4="PRICE",IF(AND(Dados!$A629&gt;=Imóveis!$Q$4,Dados!$A629&lt;=Imóveis!$T$4),Imóveis!$U$4,0),IF((IF(AND(Dados!$A629&gt;=Imóveis!$Q$4,Dados!$A629&lt;=Imóveis!$T$4),Imóveis!$S$4-(DATEDIF(Imóveis!$Q$4,Dados!$A629,"m")),0))=0,0,((Imóveis!$N$4/Imóveis!$S$4)+((Imóveis!$N$4-((Imóveis!$S$4-(IF(AND(Dados!$A629&gt;=Imóveis!$Q$4,Dados!$A629&lt;=Imóveis!$T$4),Imóveis!$S$4-(DATEDIF(Imóveis!$Q$4,Dados!$A629,"m")),)))*(Imóveis!$N$4/Imóveis!$S$4)))*Imóveis!$P$4))))*IF(AND(Imóveis!$E$4&gt;0,Dados!$A629&gt;Imóveis!$E$4),0,1)</f>
        <v>0</v>
      </c>
      <c r="L629" s="18">
        <f>IF(Imóveis!$F$5="PRICE",IF(AND(Dados!$A629&gt;=Imóveis!$Q$5,Dados!$A629&lt;=Imóveis!$T$5),Imóveis!$U$5,0),IF((IF(AND(Dados!$A629&gt;=Imóveis!$Q$5,Dados!$A629&lt;=Imóveis!$T$5),Imóveis!$S$5-(DATEDIF(Imóveis!$Q$5,Dados!$A629,"m")),0))=0,0,((Imóveis!$N$5/Imóveis!$S$5)+((Imóveis!$N$5-((Imóveis!$S$5-(IF(AND(Dados!$A629 &gt;=Imóveis!$Q$5,Dados!$A629&lt;=Imóveis!$T$5),Imóveis!$S$5-(DATEDIF(Imóveis!$Q$5,Dados!$A629,"m")),)))*(Imóveis!$N$5/Imóveis!$S$5)))*Imóveis!$P$5))))*IF(AND(Imóveis!$E$5&gt;0,Dados!$A629&gt;Imóveis!$E$5),0,1)*Imóveis!$I$5</f>
        <v>0</v>
      </c>
      <c r="M629" s="18">
        <f>IF(Imóveis!$F$6="PRICE",IF(AND(Dados!$A629&gt;=Imóveis!$Q$6,Dados!$A629&lt;=Imóveis!$T$6),Imóveis!$U$6,0),IF((IF(AND(Dados!$A629&gt;=Imóveis!$Q$6,Dados!$A629&lt;=Imóveis!$T$6),Imóveis!$S$6-(DATEDIF(Imóveis!$Q$6,Dados!$A629,"m")),0))=0,0,((Imóveis!$N$6/Imóveis!$S$6)+((Imóveis!$N$6-((Imóveis!$S$6-(IF(AND(Dados!$A629&gt;=Imóveis!$Q$6,Dados!$A629&lt;=Imóveis!$T$6),Imóveis!$S$6-(DATEDIF(Imóveis!$Q$6,Dados!$A629,"m")),)))*(Imóveis!$N$6/Imóveis!$S$6)))*Imóveis!$P$6))))*IF(AND(Imóveis!$E$6&gt;0,Dados!$A629&gt;Imóveis!$E$6),0,1)*Imóveis!$I$6</f>
        <v>0</v>
      </c>
      <c r="N629" s="18">
        <f t="shared" si="77"/>
        <v>37000</v>
      </c>
      <c r="O629" s="18">
        <f>SUMIFS(Receitas!$F:$F,Receitas!$J:$J,"&lt;="&amp;$A629,Receitas!$L:$L,"&gt;="&amp;$A629,Receitas!$C:$C,O$1,Receitas!$M:$M,"Mensal")+SUMIFS(Receitas!$F:$F,Receitas!$J:$J,"&lt;="&amp;$A629,Receitas!$L:$L,"&gt;="&amp;$A629,Receitas!$C:$C,O$1,Receitas!$M:$M,$B629)</f>
        <v>0</v>
      </c>
      <c r="P629" s="18">
        <f>SUMIFS(Receitas!$F:$F,Receitas!$J:$J,"&lt;="&amp;$A629,Receitas!$L:$L,"&gt;="&amp;$A629,Receitas!$C:$C,P$1,Receitas!$M:$M,"Mensal")+SUMIFS(Receitas!$F:$F,Receitas!$J:$J,"&lt;="&amp;$A629,Receitas!$L:$L,"&gt;="&amp;$A629,Receitas!$C:$C,P$1,Receitas!$M:$M,$B629)</f>
        <v>0</v>
      </c>
      <c r="Q629" s="18">
        <f>SUMIFS(Receitas!$F:$F,Receitas!$J:$J,"&lt;="&amp;$A629,Receitas!$L:$L,"&gt;="&amp;$A629,Receitas!$C:$C,Q$1,Receitas!$M:$M,"Mensal")+SUMIFS(Receitas!$F:$F,Receitas!$J:$J,"&lt;="&amp;$A629,Receitas!$L:$L,"&gt;="&amp;$A629,Receitas!$C:$C,Q$1,Receitas!$M:$M,$B629)</f>
        <v>0</v>
      </c>
      <c r="R629" s="18" cm="1">
        <f t="array" ref="R629">(IF(AND(Membros!$F$2="Sim",A629&lt;=MAX(Membros!$E$2:$E$5)),Membros!K$2,IF(AND(A629&gt;=Membros!J$2,A629&lt;=MAX(Membros!$E$2:$E$5)),Membros!K$2,0))+IF(AND(Membros!$F$3="Sim",A629&lt;=MAX(Membros!$E$2:$E$5)),Membros!K$3,IF(AND(A629&gt;=Membros!J$3,A629&lt;=MAX(Membros!$E$2:$E$5)),Membros!K$3,0)))*IF(AND(COUNTIFS(Tabela3[Tipo],"Provedor",Tabela3[Simulação Seguro],"Sim")=2,A629&gt;=MAX(IF(Tabela3[Tipo]="Dependente",Tabela3[Expectativa de Vida (Data)]))),0,1)</f>
        <v>10000</v>
      </c>
      <c r="S629" s="18">
        <f t="shared" si="78"/>
        <v>10000</v>
      </c>
      <c r="U629" s="18">
        <f t="shared" ca="1" si="81"/>
        <v>42501389.951520562</v>
      </c>
      <c r="V629" s="18">
        <f>SUMIF(Imóveis!E:E,Dados!A:A,Imóveis!Z:Z)-SUMIF(Imóveis!E:E,Dados!A:A,Imóveis!Y:Y)</f>
        <v>0</v>
      </c>
      <c r="W629" s="18">
        <f>-SUMIF(Projetos!N:N,A629,Projetos!F:F)</f>
        <v>0</v>
      </c>
      <c r="X629" s="18">
        <f t="shared" si="75"/>
        <v>-27000</v>
      </c>
      <c r="Y629" s="26">
        <f ca="1">(U629*((Indicadores_Economicos!D$2+1)^(1/12)-1))</f>
        <v>139138.49108304206</v>
      </c>
      <c r="Z629" s="18">
        <f t="shared" ca="1" si="79"/>
        <v>42613528.442603603</v>
      </c>
      <c r="AA629" s="18">
        <f ca="1">Auxiliar_Projetos!E629</f>
        <v>3.0352020012595631E-9</v>
      </c>
      <c r="AB629" s="18">
        <f ca="1">Auxiliar_Projetos!K629</f>
        <v>2.3347707701996612E-9</v>
      </c>
      <c r="AC629" s="18">
        <f ca="1">IF(Z629-AA629-AB629&gt;Investimentos!$C$14,Investimentos!$C$14,IF(Z629-AA629-AB629&lt;Investimentos!$C$14,Z629-AA629-AB629,0))</f>
        <v>300000</v>
      </c>
      <c r="AD629" s="18">
        <f t="shared" ca="1" si="80"/>
        <v>42313528.442603603</v>
      </c>
      <c r="AE629" s="18"/>
    </row>
    <row r="630" spans="1:31" x14ac:dyDescent="0.2">
      <c r="A630" s="4">
        <v>64771</v>
      </c>
      <c r="B630" s="5" t="str">
        <f t="shared" si="76"/>
        <v>maio</v>
      </c>
      <c r="C630" s="5" t="str">
        <f t="shared" si="82"/>
        <v>2077</v>
      </c>
      <c r="D630" s="5">
        <f>SUMIFS(Despesas!$F:$F,Despesas!$J:$J,"&lt;="&amp;$A630,Despesas!$L:$L,"&gt;="&amp;$A630,Despesas!$C:$C,D$1,Despesas!$M:$M,"Mensal")+SUMIFS(Despesas!$F:$F,Despesas!$J:$J,"&lt;="&amp;$A630,Despesas!$L:$L,"&gt;="&amp;$A630,Despesas!$C:$C,D$1,Despesas!$M:$M,$B630)</f>
        <v>23000</v>
      </c>
      <c r="E630" s="18">
        <f>SUMIFS(Despesas!$F:$F,Despesas!$J:$J,"&lt;="&amp;$A630,Despesas!$L:$L,"&gt;="&amp;$A630,Despesas!$C:$C,E$1,Despesas!$M:$M,"Mensal")+SUMIFS(Despesas!$F:$F,Despesas!$J:$J,"&lt;="&amp;$A630,Despesas!$L:$L,"&gt;="&amp;$A630,Despesas!$C:$C,E$1,Despesas!$M:$M,$B630)</f>
        <v>0</v>
      </c>
      <c r="F630" s="5">
        <f>SUMIFS(Despesas!$F:$F,Despesas!$J:$J,"&lt;="&amp;$A630,Despesas!$L:$L,"&gt;="&amp;$A630,Despesas!$C:$C,F$1,Despesas!$M:$M,"Mensal")+SUMIFS(Despesas!$F:$F,Despesas!$J:$J,"&lt;="&amp;$A630,Despesas!$L:$L,"&gt;="&amp;$A630,Despesas!$C:$C,F$1,Despesas!$M:$M,$B630)</f>
        <v>13000</v>
      </c>
      <c r="G630" s="5">
        <f>SUMIFS(Despesas!$F:$F,Despesas!$J:$J,"&lt;="&amp;$A630,Despesas!$L:$L,"&gt;="&amp;$A630,Despesas!$C:$C,G$1,Despesas!$M:$M,"Mensal")+SUMIFS(Despesas!$F:$F,Despesas!$J:$J,"&lt;="&amp;$A630,Despesas!$L:$L,"&gt;="&amp;$A630,Despesas!$C:$C,G$1,Despesas!$M:$M,$B630)</f>
        <v>0</v>
      </c>
      <c r="H630" s="18">
        <f>SUMIFS(Despesas!$F:$F,Despesas!$J:$J,"&lt;="&amp;$A630,Despesas!$L:$L,"&gt;="&amp;$A630,Despesas!$C:$C,H$1,Despesas!$M:$M,"Mensal")+SUMIFS(Despesas!$F:$F,Despesas!$J:$J,"&lt;="&amp;$A630,Despesas!$L:$L,"&gt;="&amp;$A630,Despesas!$C:$C,H$1,Despesas!$M:$M,$B630)</f>
        <v>1000</v>
      </c>
      <c r="I630" s="18">
        <f>IF(Imóveis!$F$2="PRICE",IF(AND(Dados!$A630&gt;=Imóveis!$Q$2,Dados!$A630&lt;=Imóveis!$T$2),Imóveis!$U$2,0),IF((IF(AND(Dados!$A630&gt;=Imóveis!$Q$2,Dados!$A630&lt;=Imóveis!$T$2),Imóveis!$S$2-(DATEDIF(Imóveis!$Q$2,Dados!$A630,"m")),0))=0,0,((Imóveis!$N$2/Imóveis!$S$2)+((Imóveis!$N$2-((Imóveis!$S$2-(IF(AND(Dados!$A630&gt;=Imóveis!$Q$2,Dados!$A630&lt;=Imóveis!$T$2),Imóveis!$S$2-(DATEDIF(Imóveis!$Q$2,Dados!$A630,"m")),)))*(Imóveis!$N$2/Imóveis!$S$2)))*Imóveis!$P$2))))*IF(AND(Imóveis!$E$2&gt;0,Dados!$A630&gt;Imóveis!$E$2),0,1)</f>
        <v>0</v>
      </c>
      <c r="J630" s="18">
        <f>IF(Imóveis!$F$3="PRICE",IF(AND(Dados!$A630&gt;=Imóveis!$Q$3,Dados!$A630&lt;=Imóveis!$T$3),Imóveis!$U$3,0),IF((IF(AND(Dados!$A630&gt;=Imóveis!$Q$3,Dados!$A630&lt;=Imóveis!$T$3),Imóveis!$S$3-(DATEDIF(Imóveis!$Q$3,Dados!$A630,"m")),0))=0,0,((Imóveis!$N$3/Imóveis!$S$3)+((Imóveis!$N$3-((Imóveis!$S$3-(IF(AND(Dados!$A630&gt;=Imóveis!$Q$3,Dados!$A630&lt;=Imóveis!$T$3),Imóveis!$S$3-(DATEDIF(Imóveis!$Q$3,Dados!$A630,"m")),)))*(Imóveis!$N$3/Imóveis!$S$3)))*Imóveis!$P$3))))*IF(AND(Imóveis!$E$3&gt;0,Dados!$A630&gt;Imóveis!$E$3),0,1)</f>
        <v>0</v>
      </c>
      <c r="K630" s="18">
        <f>IF(Imóveis!$F$4="PRICE",IF(AND(Dados!$A630&gt;=Imóveis!$Q$4,Dados!$A630&lt;=Imóveis!$T$4),Imóveis!$U$4,0),IF((IF(AND(Dados!$A630&gt;=Imóveis!$Q$4,Dados!$A630&lt;=Imóveis!$T$4),Imóveis!$S$4-(DATEDIF(Imóveis!$Q$4,Dados!$A630,"m")),0))=0,0,((Imóveis!$N$4/Imóveis!$S$4)+((Imóveis!$N$4-((Imóveis!$S$4-(IF(AND(Dados!$A630&gt;=Imóveis!$Q$4,Dados!$A630&lt;=Imóveis!$T$4),Imóveis!$S$4-(DATEDIF(Imóveis!$Q$4,Dados!$A630,"m")),)))*(Imóveis!$N$4/Imóveis!$S$4)))*Imóveis!$P$4))))*IF(AND(Imóveis!$E$4&gt;0,Dados!$A630&gt;Imóveis!$E$4),0,1)</f>
        <v>0</v>
      </c>
      <c r="L630" s="18">
        <f>IF(Imóveis!$F$5="PRICE",IF(AND(Dados!$A630&gt;=Imóveis!$Q$5,Dados!$A630&lt;=Imóveis!$T$5),Imóveis!$U$5,0),IF((IF(AND(Dados!$A630&gt;=Imóveis!$Q$5,Dados!$A630&lt;=Imóveis!$T$5),Imóveis!$S$5-(DATEDIF(Imóveis!$Q$5,Dados!$A630,"m")),0))=0,0,((Imóveis!$N$5/Imóveis!$S$5)+((Imóveis!$N$5-((Imóveis!$S$5-(IF(AND(Dados!$A630 &gt;=Imóveis!$Q$5,Dados!$A630&lt;=Imóveis!$T$5),Imóveis!$S$5-(DATEDIF(Imóveis!$Q$5,Dados!$A630,"m")),)))*(Imóveis!$N$5/Imóveis!$S$5)))*Imóveis!$P$5))))*IF(AND(Imóveis!$E$5&gt;0,Dados!$A630&gt;Imóveis!$E$5),0,1)*Imóveis!$I$5</f>
        <v>0</v>
      </c>
      <c r="M630" s="18">
        <f>IF(Imóveis!$F$6="PRICE",IF(AND(Dados!$A630&gt;=Imóveis!$Q$6,Dados!$A630&lt;=Imóveis!$T$6),Imóveis!$U$6,0),IF((IF(AND(Dados!$A630&gt;=Imóveis!$Q$6,Dados!$A630&lt;=Imóveis!$T$6),Imóveis!$S$6-(DATEDIF(Imóveis!$Q$6,Dados!$A630,"m")),0))=0,0,((Imóveis!$N$6/Imóveis!$S$6)+((Imóveis!$N$6-((Imóveis!$S$6-(IF(AND(Dados!$A630&gt;=Imóveis!$Q$6,Dados!$A630&lt;=Imóveis!$T$6),Imóveis!$S$6-(DATEDIF(Imóveis!$Q$6,Dados!$A630,"m")),)))*(Imóveis!$N$6/Imóveis!$S$6)))*Imóveis!$P$6))))*IF(AND(Imóveis!$E$6&gt;0,Dados!$A630&gt;Imóveis!$E$6),0,1)*Imóveis!$I$6</f>
        <v>0</v>
      </c>
      <c r="N630" s="18">
        <f t="shared" si="77"/>
        <v>37000</v>
      </c>
      <c r="O630" s="18">
        <f>SUMIFS(Receitas!$F:$F,Receitas!$J:$J,"&lt;="&amp;$A630,Receitas!$L:$L,"&gt;="&amp;$A630,Receitas!$C:$C,O$1,Receitas!$M:$M,"Mensal")+SUMIFS(Receitas!$F:$F,Receitas!$J:$J,"&lt;="&amp;$A630,Receitas!$L:$L,"&gt;="&amp;$A630,Receitas!$C:$C,O$1,Receitas!$M:$M,$B630)</f>
        <v>0</v>
      </c>
      <c r="P630" s="18">
        <f>SUMIFS(Receitas!$F:$F,Receitas!$J:$J,"&lt;="&amp;$A630,Receitas!$L:$L,"&gt;="&amp;$A630,Receitas!$C:$C,P$1,Receitas!$M:$M,"Mensal")+SUMIFS(Receitas!$F:$F,Receitas!$J:$J,"&lt;="&amp;$A630,Receitas!$L:$L,"&gt;="&amp;$A630,Receitas!$C:$C,P$1,Receitas!$M:$M,$B630)</f>
        <v>0</v>
      </c>
      <c r="Q630" s="18">
        <f>SUMIFS(Receitas!$F:$F,Receitas!$J:$J,"&lt;="&amp;$A630,Receitas!$L:$L,"&gt;="&amp;$A630,Receitas!$C:$C,Q$1,Receitas!$M:$M,"Mensal")+SUMIFS(Receitas!$F:$F,Receitas!$J:$J,"&lt;="&amp;$A630,Receitas!$L:$L,"&gt;="&amp;$A630,Receitas!$C:$C,Q$1,Receitas!$M:$M,$B630)</f>
        <v>0</v>
      </c>
      <c r="R630" s="18" cm="1">
        <f t="array" ref="R630">(IF(AND(Membros!$F$2="Sim",A630&lt;=MAX(Membros!$E$2:$E$5)),Membros!K$2,IF(AND(A630&gt;=Membros!J$2,A630&lt;=MAX(Membros!$E$2:$E$5)),Membros!K$2,0))+IF(AND(Membros!$F$3="Sim",A630&lt;=MAX(Membros!$E$2:$E$5)),Membros!K$3,IF(AND(A630&gt;=Membros!J$3,A630&lt;=MAX(Membros!$E$2:$E$5)),Membros!K$3,0)))*IF(AND(COUNTIFS(Tabela3[Tipo],"Provedor",Tabela3[Simulação Seguro],"Sim")=2,A630&gt;=MAX(IF(Tabela3[Tipo]="Dependente",Tabela3[Expectativa de Vida (Data)]))),0,1)</f>
        <v>10000</v>
      </c>
      <c r="S630" s="18">
        <f t="shared" si="78"/>
        <v>10000</v>
      </c>
      <c r="U630" s="18">
        <f t="shared" ca="1" si="81"/>
        <v>42613528.442603603</v>
      </c>
      <c r="V630" s="18">
        <f>SUMIF(Imóveis!E:E,Dados!A:A,Imóveis!Z:Z)-SUMIF(Imóveis!E:E,Dados!A:A,Imóveis!Y:Y)</f>
        <v>0</v>
      </c>
      <c r="W630" s="18">
        <f>-SUMIF(Projetos!N:N,A630,Projetos!F:F)</f>
        <v>0</v>
      </c>
      <c r="X630" s="18">
        <f t="shared" si="75"/>
        <v>-27000</v>
      </c>
      <c r="Y630" s="26">
        <f ca="1">(U630*((Indicadores_Economicos!D$2+1)^(1/12)-1))</f>
        <v>139505.60332241637</v>
      </c>
      <c r="Z630" s="18">
        <f t="shared" ca="1" si="79"/>
        <v>42726034.04592602</v>
      </c>
      <c r="AA630" s="18">
        <f ca="1">Auxiliar_Projetos!E630</f>
        <v>3.0451384627980963E-9</v>
      </c>
      <c r="AB630" s="18">
        <f ca="1">Auxiliar_Projetos!K630</f>
        <v>2.342414202152379E-9</v>
      </c>
      <c r="AC630" s="18">
        <f ca="1">IF(Z630-AA630-AB630&gt;Investimentos!$C$14,Investimentos!$C$14,IF(Z630-AA630-AB630&lt;Investimentos!$C$14,Z630-AA630-AB630,0))</f>
        <v>300000</v>
      </c>
      <c r="AD630" s="18">
        <f t="shared" ca="1" si="80"/>
        <v>42426034.04592602</v>
      </c>
      <c r="AE630" s="18"/>
    </row>
    <row r="631" spans="1:31" x14ac:dyDescent="0.2">
      <c r="A631" s="4">
        <v>64802</v>
      </c>
      <c r="B631" s="5" t="str">
        <f t="shared" si="76"/>
        <v>junho</v>
      </c>
      <c r="C631" s="5" t="str">
        <f t="shared" si="82"/>
        <v>2077</v>
      </c>
      <c r="D631" s="5">
        <f>SUMIFS(Despesas!$F:$F,Despesas!$J:$J,"&lt;="&amp;$A631,Despesas!$L:$L,"&gt;="&amp;$A631,Despesas!$C:$C,D$1,Despesas!$M:$M,"Mensal")+SUMIFS(Despesas!$F:$F,Despesas!$J:$J,"&lt;="&amp;$A631,Despesas!$L:$L,"&gt;="&amp;$A631,Despesas!$C:$C,D$1,Despesas!$M:$M,$B631)</f>
        <v>23000</v>
      </c>
      <c r="E631" s="18">
        <f>SUMIFS(Despesas!$F:$F,Despesas!$J:$J,"&lt;="&amp;$A631,Despesas!$L:$L,"&gt;="&amp;$A631,Despesas!$C:$C,E$1,Despesas!$M:$M,"Mensal")+SUMIFS(Despesas!$F:$F,Despesas!$J:$J,"&lt;="&amp;$A631,Despesas!$L:$L,"&gt;="&amp;$A631,Despesas!$C:$C,E$1,Despesas!$M:$M,$B631)</f>
        <v>0</v>
      </c>
      <c r="F631" s="5">
        <f>SUMIFS(Despesas!$F:$F,Despesas!$J:$J,"&lt;="&amp;$A631,Despesas!$L:$L,"&gt;="&amp;$A631,Despesas!$C:$C,F$1,Despesas!$M:$M,"Mensal")+SUMIFS(Despesas!$F:$F,Despesas!$J:$J,"&lt;="&amp;$A631,Despesas!$L:$L,"&gt;="&amp;$A631,Despesas!$C:$C,F$1,Despesas!$M:$M,$B631)</f>
        <v>13000</v>
      </c>
      <c r="G631" s="5">
        <f>SUMIFS(Despesas!$F:$F,Despesas!$J:$J,"&lt;="&amp;$A631,Despesas!$L:$L,"&gt;="&amp;$A631,Despesas!$C:$C,G$1,Despesas!$M:$M,"Mensal")+SUMIFS(Despesas!$F:$F,Despesas!$J:$J,"&lt;="&amp;$A631,Despesas!$L:$L,"&gt;="&amp;$A631,Despesas!$C:$C,G$1,Despesas!$M:$M,$B631)</f>
        <v>0</v>
      </c>
      <c r="H631" s="18">
        <f>SUMIFS(Despesas!$F:$F,Despesas!$J:$J,"&lt;="&amp;$A631,Despesas!$L:$L,"&gt;="&amp;$A631,Despesas!$C:$C,H$1,Despesas!$M:$M,"Mensal")+SUMIFS(Despesas!$F:$F,Despesas!$J:$J,"&lt;="&amp;$A631,Despesas!$L:$L,"&gt;="&amp;$A631,Despesas!$C:$C,H$1,Despesas!$M:$M,$B631)</f>
        <v>1000</v>
      </c>
      <c r="I631" s="18">
        <f>IF(Imóveis!$F$2="PRICE",IF(AND(Dados!$A631&gt;=Imóveis!$Q$2,Dados!$A631&lt;=Imóveis!$T$2),Imóveis!$U$2,0),IF((IF(AND(Dados!$A631&gt;=Imóveis!$Q$2,Dados!$A631&lt;=Imóveis!$T$2),Imóveis!$S$2-(DATEDIF(Imóveis!$Q$2,Dados!$A631,"m")),0))=0,0,((Imóveis!$N$2/Imóveis!$S$2)+((Imóveis!$N$2-((Imóveis!$S$2-(IF(AND(Dados!$A631&gt;=Imóveis!$Q$2,Dados!$A631&lt;=Imóveis!$T$2),Imóveis!$S$2-(DATEDIF(Imóveis!$Q$2,Dados!$A631,"m")),)))*(Imóveis!$N$2/Imóveis!$S$2)))*Imóveis!$P$2))))*IF(AND(Imóveis!$E$2&gt;0,Dados!$A631&gt;Imóveis!$E$2),0,1)</f>
        <v>0</v>
      </c>
      <c r="J631" s="18">
        <f>IF(Imóveis!$F$3="PRICE",IF(AND(Dados!$A631&gt;=Imóveis!$Q$3,Dados!$A631&lt;=Imóveis!$T$3),Imóveis!$U$3,0),IF((IF(AND(Dados!$A631&gt;=Imóveis!$Q$3,Dados!$A631&lt;=Imóveis!$T$3),Imóveis!$S$3-(DATEDIF(Imóveis!$Q$3,Dados!$A631,"m")),0))=0,0,((Imóveis!$N$3/Imóveis!$S$3)+((Imóveis!$N$3-((Imóveis!$S$3-(IF(AND(Dados!$A631&gt;=Imóveis!$Q$3,Dados!$A631&lt;=Imóveis!$T$3),Imóveis!$S$3-(DATEDIF(Imóveis!$Q$3,Dados!$A631,"m")),)))*(Imóveis!$N$3/Imóveis!$S$3)))*Imóveis!$P$3))))*IF(AND(Imóveis!$E$3&gt;0,Dados!$A631&gt;Imóveis!$E$3),0,1)</f>
        <v>0</v>
      </c>
      <c r="K631" s="18">
        <f>IF(Imóveis!$F$4="PRICE",IF(AND(Dados!$A631&gt;=Imóveis!$Q$4,Dados!$A631&lt;=Imóveis!$T$4),Imóveis!$U$4,0),IF((IF(AND(Dados!$A631&gt;=Imóveis!$Q$4,Dados!$A631&lt;=Imóveis!$T$4),Imóveis!$S$4-(DATEDIF(Imóveis!$Q$4,Dados!$A631,"m")),0))=0,0,((Imóveis!$N$4/Imóveis!$S$4)+((Imóveis!$N$4-((Imóveis!$S$4-(IF(AND(Dados!$A631&gt;=Imóveis!$Q$4,Dados!$A631&lt;=Imóveis!$T$4),Imóveis!$S$4-(DATEDIF(Imóveis!$Q$4,Dados!$A631,"m")),)))*(Imóveis!$N$4/Imóveis!$S$4)))*Imóveis!$P$4))))*IF(AND(Imóveis!$E$4&gt;0,Dados!$A631&gt;Imóveis!$E$4),0,1)</f>
        <v>0</v>
      </c>
      <c r="L631" s="18">
        <f>IF(Imóveis!$F$5="PRICE",IF(AND(Dados!$A631&gt;=Imóveis!$Q$5,Dados!$A631&lt;=Imóveis!$T$5),Imóveis!$U$5,0),IF((IF(AND(Dados!$A631&gt;=Imóveis!$Q$5,Dados!$A631&lt;=Imóveis!$T$5),Imóveis!$S$5-(DATEDIF(Imóveis!$Q$5,Dados!$A631,"m")),0))=0,0,((Imóveis!$N$5/Imóveis!$S$5)+((Imóveis!$N$5-((Imóveis!$S$5-(IF(AND(Dados!$A631 &gt;=Imóveis!$Q$5,Dados!$A631&lt;=Imóveis!$T$5),Imóveis!$S$5-(DATEDIF(Imóveis!$Q$5,Dados!$A631,"m")),)))*(Imóveis!$N$5/Imóveis!$S$5)))*Imóveis!$P$5))))*IF(AND(Imóveis!$E$5&gt;0,Dados!$A631&gt;Imóveis!$E$5),0,1)*Imóveis!$I$5</f>
        <v>0</v>
      </c>
      <c r="M631" s="18">
        <f>IF(Imóveis!$F$6="PRICE",IF(AND(Dados!$A631&gt;=Imóveis!$Q$6,Dados!$A631&lt;=Imóveis!$T$6),Imóveis!$U$6,0),IF((IF(AND(Dados!$A631&gt;=Imóveis!$Q$6,Dados!$A631&lt;=Imóveis!$T$6),Imóveis!$S$6-(DATEDIF(Imóveis!$Q$6,Dados!$A631,"m")),0))=0,0,((Imóveis!$N$6/Imóveis!$S$6)+((Imóveis!$N$6-((Imóveis!$S$6-(IF(AND(Dados!$A631&gt;=Imóveis!$Q$6,Dados!$A631&lt;=Imóveis!$T$6),Imóveis!$S$6-(DATEDIF(Imóveis!$Q$6,Dados!$A631,"m")),)))*(Imóveis!$N$6/Imóveis!$S$6)))*Imóveis!$P$6))))*IF(AND(Imóveis!$E$6&gt;0,Dados!$A631&gt;Imóveis!$E$6),0,1)*Imóveis!$I$6</f>
        <v>0</v>
      </c>
      <c r="N631" s="18">
        <f t="shared" si="77"/>
        <v>37000</v>
      </c>
      <c r="O631" s="18">
        <f>SUMIFS(Receitas!$F:$F,Receitas!$J:$J,"&lt;="&amp;$A631,Receitas!$L:$L,"&gt;="&amp;$A631,Receitas!$C:$C,O$1,Receitas!$M:$M,"Mensal")+SUMIFS(Receitas!$F:$F,Receitas!$J:$J,"&lt;="&amp;$A631,Receitas!$L:$L,"&gt;="&amp;$A631,Receitas!$C:$C,O$1,Receitas!$M:$M,$B631)</f>
        <v>0</v>
      </c>
      <c r="P631" s="18">
        <f>SUMIFS(Receitas!$F:$F,Receitas!$J:$J,"&lt;="&amp;$A631,Receitas!$L:$L,"&gt;="&amp;$A631,Receitas!$C:$C,P$1,Receitas!$M:$M,"Mensal")+SUMIFS(Receitas!$F:$F,Receitas!$J:$J,"&lt;="&amp;$A631,Receitas!$L:$L,"&gt;="&amp;$A631,Receitas!$C:$C,P$1,Receitas!$M:$M,$B631)</f>
        <v>0</v>
      </c>
      <c r="Q631" s="18">
        <f>SUMIFS(Receitas!$F:$F,Receitas!$J:$J,"&lt;="&amp;$A631,Receitas!$L:$L,"&gt;="&amp;$A631,Receitas!$C:$C,Q$1,Receitas!$M:$M,"Mensal")+SUMIFS(Receitas!$F:$F,Receitas!$J:$J,"&lt;="&amp;$A631,Receitas!$L:$L,"&gt;="&amp;$A631,Receitas!$C:$C,Q$1,Receitas!$M:$M,$B631)</f>
        <v>0</v>
      </c>
      <c r="R631" s="18" cm="1">
        <f t="array" ref="R631">(IF(AND(Membros!$F$2="Sim",A631&lt;=MAX(Membros!$E$2:$E$5)),Membros!K$2,IF(AND(A631&gt;=Membros!J$2,A631&lt;=MAX(Membros!$E$2:$E$5)),Membros!K$2,0))+IF(AND(Membros!$F$3="Sim",A631&lt;=MAX(Membros!$E$2:$E$5)),Membros!K$3,IF(AND(A631&gt;=Membros!J$3,A631&lt;=MAX(Membros!$E$2:$E$5)),Membros!K$3,0)))*IF(AND(COUNTIFS(Tabela3[Tipo],"Provedor",Tabela3[Simulação Seguro],"Sim")=2,A631&gt;=MAX(IF(Tabela3[Tipo]="Dependente",Tabela3[Expectativa de Vida (Data)]))),0,1)</f>
        <v>10000</v>
      </c>
      <c r="S631" s="18">
        <f t="shared" si="78"/>
        <v>10000</v>
      </c>
      <c r="U631" s="18">
        <f t="shared" ca="1" si="81"/>
        <v>42726034.04592602</v>
      </c>
      <c r="V631" s="18">
        <f>SUMIF(Imóveis!E:E,Dados!A:A,Imóveis!Z:Z)-SUMIF(Imóveis!E:E,Dados!A:A,Imóveis!Y:Y)</f>
        <v>0</v>
      </c>
      <c r="W631" s="18">
        <f>-SUMIF(Projetos!N:N,A631,Projetos!F:F)</f>
        <v>0</v>
      </c>
      <c r="X631" s="18">
        <f t="shared" si="75"/>
        <v>-27000</v>
      </c>
      <c r="Y631" s="26">
        <f ca="1">(U631*((Indicadores_Economicos!D$2+1)^(1/12)-1))</f>
        <v>139873.91739173327</v>
      </c>
      <c r="Z631" s="18">
        <f t="shared" ca="1" si="79"/>
        <v>42838907.963317752</v>
      </c>
      <c r="AA631" s="18">
        <f ca="1">Auxiliar_Projetos!E631</f>
        <v>3.0551074537260626E-9</v>
      </c>
      <c r="AB631" s="18">
        <f ca="1">Auxiliar_Projetos!K631</f>
        <v>2.3500826567123529E-9</v>
      </c>
      <c r="AC631" s="18">
        <f ca="1">IF(Z631-AA631-AB631&gt;Investimentos!$C$14,Investimentos!$C$14,IF(Z631-AA631-AB631&lt;Investimentos!$C$14,Z631-AA631-AB631,0))</f>
        <v>300000</v>
      </c>
      <c r="AD631" s="18">
        <f t="shared" ca="1" si="80"/>
        <v>42538907.963317752</v>
      </c>
      <c r="AE631" s="18"/>
    </row>
    <row r="632" spans="1:31" x14ac:dyDescent="0.2">
      <c r="A632" s="4">
        <v>64832</v>
      </c>
      <c r="B632" s="5" t="str">
        <f t="shared" si="76"/>
        <v>julho</v>
      </c>
      <c r="C632" s="5" t="str">
        <f t="shared" si="82"/>
        <v>2077</v>
      </c>
      <c r="D632" s="5">
        <f>SUMIFS(Despesas!$F:$F,Despesas!$J:$J,"&lt;="&amp;$A632,Despesas!$L:$L,"&gt;="&amp;$A632,Despesas!$C:$C,D$1,Despesas!$M:$M,"Mensal")+SUMIFS(Despesas!$F:$F,Despesas!$J:$J,"&lt;="&amp;$A632,Despesas!$L:$L,"&gt;="&amp;$A632,Despesas!$C:$C,D$1,Despesas!$M:$M,$B632)</f>
        <v>23000</v>
      </c>
      <c r="E632" s="18">
        <f>SUMIFS(Despesas!$F:$F,Despesas!$J:$J,"&lt;="&amp;$A632,Despesas!$L:$L,"&gt;="&amp;$A632,Despesas!$C:$C,E$1,Despesas!$M:$M,"Mensal")+SUMIFS(Despesas!$F:$F,Despesas!$J:$J,"&lt;="&amp;$A632,Despesas!$L:$L,"&gt;="&amp;$A632,Despesas!$C:$C,E$1,Despesas!$M:$M,$B632)</f>
        <v>0</v>
      </c>
      <c r="F632" s="5">
        <f>SUMIFS(Despesas!$F:$F,Despesas!$J:$J,"&lt;="&amp;$A632,Despesas!$L:$L,"&gt;="&amp;$A632,Despesas!$C:$C,F$1,Despesas!$M:$M,"Mensal")+SUMIFS(Despesas!$F:$F,Despesas!$J:$J,"&lt;="&amp;$A632,Despesas!$L:$L,"&gt;="&amp;$A632,Despesas!$C:$C,F$1,Despesas!$M:$M,$B632)</f>
        <v>13000</v>
      </c>
      <c r="G632" s="5">
        <f ca="1">SUMIFS(Despesas!$F:$F,Despesas!$J:$J,"&lt;="&amp;$A632,Despesas!$L:$L,"&gt;="&amp;$A632,Despesas!$C:$C,G$1,Despesas!$M:$M,"Mensal")+SUMIFS(Despesas!$F:$F,Despesas!$J:$J,"&lt;="&amp;$A632,Despesas!$L:$L,"&gt;="&amp;$A632,Despesas!$C:$C,G$1,Despesas!$M:$M,$B632)</f>
        <v>55757</v>
      </c>
      <c r="H632" s="18">
        <f>SUMIFS(Despesas!$F:$F,Despesas!$J:$J,"&lt;="&amp;$A632,Despesas!$L:$L,"&gt;="&amp;$A632,Despesas!$C:$C,H$1,Despesas!$M:$M,"Mensal")+SUMIFS(Despesas!$F:$F,Despesas!$J:$J,"&lt;="&amp;$A632,Despesas!$L:$L,"&gt;="&amp;$A632,Despesas!$C:$C,H$1,Despesas!$M:$M,$B632)</f>
        <v>1000</v>
      </c>
      <c r="I632" s="18">
        <f>IF(Imóveis!$F$2="PRICE",IF(AND(Dados!$A632&gt;=Imóveis!$Q$2,Dados!$A632&lt;=Imóveis!$T$2),Imóveis!$U$2,0),IF((IF(AND(Dados!$A632&gt;=Imóveis!$Q$2,Dados!$A632&lt;=Imóveis!$T$2),Imóveis!$S$2-(DATEDIF(Imóveis!$Q$2,Dados!$A632,"m")),0))=0,0,((Imóveis!$N$2/Imóveis!$S$2)+((Imóveis!$N$2-((Imóveis!$S$2-(IF(AND(Dados!$A632&gt;=Imóveis!$Q$2,Dados!$A632&lt;=Imóveis!$T$2),Imóveis!$S$2-(DATEDIF(Imóveis!$Q$2,Dados!$A632,"m")),)))*(Imóveis!$N$2/Imóveis!$S$2)))*Imóveis!$P$2))))*IF(AND(Imóveis!$E$2&gt;0,Dados!$A632&gt;Imóveis!$E$2),0,1)</f>
        <v>0</v>
      </c>
      <c r="J632" s="18">
        <f>IF(Imóveis!$F$3="PRICE",IF(AND(Dados!$A632&gt;=Imóveis!$Q$3,Dados!$A632&lt;=Imóveis!$T$3),Imóveis!$U$3,0),IF((IF(AND(Dados!$A632&gt;=Imóveis!$Q$3,Dados!$A632&lt;=Imóveis!$T$3),Imóveis!$S$3-(DATEDIF(Imóveis!$Q$3,Dados!$A632,"m")),0))=0,0,((Imóveis!$N$3/Imóveis!$S$3)+((Imóveis!$N$3-((Imóveis!$S$3-(IF(AND(Dados!$A632&gt;=Imóveis!$Q$3,Dados!$A632&lt;=Imóveis!$T$3),Imóveis!$S$3-(DATEDIF(Imóveis!$Q$3,Dados!$A632,"m")),)))*(Imóveis!$N$3/Imóveis!$S$3)))*Imóveis!$P$3))))*IF(AND(Imóveis!$E$3&gt;0,Dados!$A632&gt;Imóveis!$E$3),0,1)</f>
        <v>0</v>
      </c>
      <c r="K632" s="18">
        <f>IF(Imóveis!$F$4="PRICE",IF(AND(Dados!$A632&gt;=Imóveis!$Q$4,Dados!$A632&lt;=Imóveis!$T$4),Imóveis!$U$4,0),IF((IF(AND(Dados!$A632&gt;=Imóveis!$Q$4,Dados!$A632&lt;=Imóveis!$T$4),Imóveis!$S$4-(DATEDIF(Imóveis!$Q$4,Dados!$A632,"m")),0))=0,0,((Imóveis!$N$4/Imóveis!$S$4)+((Imóveis!$N$4-((Imóveis!$S$4-(IF(AND(Dados!$A632&gt;=Imóveis!$Q$4,Dados!$A632&lt;=Imóveis!$T$4),Imóveis!$S$4-(DATEDIF(Imóveis!$Q$4,Dados!$A632,"m")),)))*(Imóveis!$N$4/Imóveis!$S$4)))*Imóveis!$P$4))))*IF(AND(Imóveis!$E$4&gt;0,Dados!$A632&gt;Imóveis!$E$4),0,1)</f>
        <v>0</v>
      </c>
      <c r="L632" s="18">
        <f>IF(Imóveis!$F$5="PRICE",IF(AND(Dados!$A632&gt;=Imóveis!$Q$5,Dados!$A632&lt;=Imóveis!$T$5),Imóveis!$U$5,0),IF((IF(AND(Dados!$A632&gt;=Imóveis!$Q$5,Dados!$A632&lt;=Imóveis!$T$5),Imóveis!$S$5-(DATEDIF(Imóveis!$Q$5,Dados!$A632,"m")),0))=0,0,((Imóveis!$N$5/Imóveis!$S$5)+((Imóveis!$N$5-((Imóveis!$S$5-(IF(AND(Dados!$A632 &gt;=Imóveis!$Q$5,Dados!$A632&lt;=Imóveis!$T$5),Imóveis!$S$5-(DATEDIF(Imóveis!$Q$5,Dados!$A632,"m")),)))*(Imóveis!$N$5/Imóveis!$S$5)))*Imóveis!$P$5))))*IF(AND(Imóveis!$E$5&gt;0,Dados!$A632&gt;Imóveis!$E$5),0,1)*Imóveis!$I$5</f>
        <v>0</v>
      </c>
      <c r="M632" s="18">
        <f>IF(Imóveis!$F$6="PRICE",IF(AND(Dados!$A632&gt;=Imóveis!$Q$6,Dados!$A632&lt;=Imóveis!$T$6),Imóveis!$U$6,0),IF((IF(AND(Dados!$A632&gt;=Imóveis!$Q$6,Dados!$A632&lt;=Imóveis!$T$6),Imóveis!$S$6-(DATEDIF(Imóveis!$Q$6,Dados!$A632,"m")),0))=0,0,((Imóveis!$N$6/Imóveis!$S$6)+((Imóveis!$N$6-((Imóveis!$S$6-(IF(AND(Dados!$A632&gt;=Imóveis!$Q$6,Dados!$A632&lt;=Imóveis!$T$6),Imóveis!$S$6-(DATEDIF(Imóveis!$Q$6,Dados!$A632,"m")),)))*(Imóveis!$N$6/Imóveis!$S$6)))*Imóveis!$P$6))))*IF(AND(Imóveis!$E$6&gt;0,Dados!$A632&gt;Imóveis!$E$6),0,1)*Imóveis!$I$6</f>
        <v>0</v>
      </c>
      <c r="N632" s="18">
        <f t="shared" ca="1" si="77"/>
        <v>92757</v>
      </c>
      <c r="O632" s="18">
        <f>SUMIFS(Receitas!$F:$F,Receitas!$J:$J,"&lt;="&amp;$A632,Receitas!$L:$L,"&gt;="&amp;$A632,Receitas!$C:$C,O$1,Receitas!$M:$M,"Mensal")+SUMIFS(Receitas!$F:$F,Receitas!$J:$J,"&lt;="&amp;$A632,Receitas!$L:$L,"&gt;="&amp;$A632,Receitas!$C:$C,O$1,Receitas!$M:$M,$B632)</f>
        <v>0</v>
      </c>
      <c r="P632" s="18">
        <f>SUMIFS(Receitas!$F:$F,Receitas!$J:$J,"&lt;="&amp;$A632,Receitas!$L:$L,"&gt;="&amp;$A632,Receitas!$C:$C,P$1,Receitas!$M:$M,"Mensal")+SUMIFS(Receitas!$F:$F,Receitas!$J:$J,"&lt;="&amp;$A632,Receitas!$L:$L,"&gt;="&amp;$A632,Receitas!$C:$C,P$1,Receitas!$M:$M,$B632)</f>
        <v>0</v>
      </c>
      <c r="Q632" s="18">
        <f>SUMIFS(Receitas!$F:$F,Receitas!$J:$J,"&lt;="&amp;$A632,Receitas!$L:$L,"&gt;="&amp;$A632,Receitas!$C:$C,Q$1,Receitas!$M:$M,"Mensal")+SUMIFS(Receitas!$F:$F,Receitas!$J:$J,"&lt;="&amp;$A632,Receitas!$L:$L,"&gt;="&amp;$A632,Receitas!$C:$C,Q$1,Receitas!$M:$M,$B632)</f>
        <v>0</v>
      </c>
      <c r="R632" s="18" cm="1">
        <f t="array" ref="R632">(IF(AND(Membros!$F$2="Sim",A632&lt;=MAX(Membros!$E$2:$E$5)),Membros!K$2,IF(AND(A632&gt;=Membros!J$2,A632&lt;=MAX(Membros!$E$2:$E$5)),Membros!K$2,0))+IF(AND(Membros!$F$3="Sim",A632&lt;=MAX(Membros!$E$2:$E$5)),Membros!K$3,IF(AND(A632&gt;=Membros!J$3,A632&lt;=MAX(Membros!$E$2:$E$5)),Membros!K$3,0)))*IF(AND(COUNTIFS(Tabela3[Tipo],"Provedor",Tabela3[Simulação Seguro],"Sim")=2,A632&gt;=MAX(IF(Tabela3[Tipo]="Dependente",Tabela3[Expectativa de Vida (Data)]))),0,1)</f>
        <v>10000</v>
      </c>
      <c r="S632" s="18">
        <f t="shared" si="78"/>
        <v>10000</v>
      </c>
      <c r="U632" s="18">
        <f t="shared" ca="1" si="81"/>
        <v>42838907.963317752</v>
      </c>
      <c r="V632" s="18">
        <f>SUMIF(Imóveis!E:E,Dados!A:A,Imóveis!Z:Z)-SUMIF(Imóveis!E:E,Dados!A:A,Imóveis!Y:Y)</f>
        <v>0</v>
      </c>
      <c r="W632" s="18">
        <f>-SUMIF(Projetos!N:N,A632,Projetos!F:F)</f>
        <v>0</v>
      </c>
      <c r="X632" s="18">
        <f t="shared" ca="1" si="75"/>
        <v>-82757</v>
      </c>
      <c r="Y632" s="26">
        <f ca="1">(U632*((Indicadores_Economicos!D$2+1)^(1/12)-1))</f>
        <v>140243.43722547119</v>
      </c>
      <c r="Z632" s="18">
        <f t="shared" ca="1" si="79"/>
        <v>42896394.40054322</v>
      </c>
      <c r="AA632" s="18">
        <f ca="1">Auxiliar_Projetos!E632</f>
        <v>3.0651090805362182E-9</v>
      </c>
      <c r="AB632" s="18">
        <f ca="1">Auxiliar_Projetos!K632</f>
        <v>2.3577762157970881E-9</v>
      </c>
      <c r="AC632" s="18">
        <f ca="1">IF(Z632-AA632-AB632&gt;Investimentos!$C$14,Investimentos!$C$14,IF(Z632-AA632-AB632&lt;Investimentos!$C$14,Z632-AA632-AB632,0))</f>
        <v>300000</v>
      </c>
      <c r="AD632" s="18">
        <f t="shared" ca="1" si="80"/>
        <v>42596394.40054322</v>
      </c>
      <c r="AE632" s="18"/>
    </row>
    <row r="633" spans="1:31" x14ac:dyDescent="0.2">
      <c r="A633" s="4">
        <v>64863</v>
      </c>
      <c r="B633" s="5" t="str">
        <f t="shared" si="76"/>
        <v>agosto</v>
      </c>
      <c r="C633" s="5" t="str">
        <f t="shared" si="82"/>
        <v>2077</v>
      </c>
      <c r="D633" s="5">
        <f>SUMIFS(Despesas!$F:$F,Despesas!$J:$J,"&lt;="&amp;$A633,Despesas!$L:$L,"&gt;="&amp;$A633,Despesas!$C:$C,D$1,Despesas!$M:$M,"Mensal")+SUMIFS(Despesas!$F:$F,Despesas!$J:$J,"&lt;="&amp;$A633,Despesas!$L:$L,"&gt;="&amp;$A633,Despesas!$C:$C,D$1,Despesas!$M:$M,$B633)</f>
        <v>23000</v>
      </c>
      <c r="E633" s="18">
        <f>SUMIFS(Despesas!$F:$F,Despesas!$J:$J,"&lt;="&amp;$A633,Despesas!$L:$L,"&gt;="&amp;$A633,Despesas!$C:$C,E$1,Despesas!$M:$M,"Mensal")+SUMIFS(Despesas!$F:$F,Despesas!$J:$J,"&lt;="&amp;$A633,Despesas!$L:$L,"&gt;="&amp;$A633,Despesas!$C:$C,E$1,Despesas!$M:$M,$B633)</f>
        <v>0</v>
      </c>
      <c r="F633" s="5">
        <f>SUMIFS(Despesas!$F:$F,Despesas!$J:$J,"&lt;="&amp;$A633,Despesas!$L:$L,"&gt;="&amp;$A633,Despesas!$C:$C,F$1,Despesas!$M:$M,"Mensal")+SUMIFS(Despesas!$F:$F,Despesas!$J:$J,"&lt;="&amp;$A633,Despesas!$L:$L,"&gt;="&amp;$A633,Despesas!$C:$C,F$1,Despesas!$M:$M,$B633)</f>
        <v>13000</v>
      </c>
      <c r="G633" s="5">
        <f>SUMIFS(Despesas!$F:$F,Despesas!$J:$J,"&lt;="&amp;$A633,Despesas!$L:$L,"&gt;="&amp;$A633,Despesas!$C:$C,G$1,Despesas!$M:$M,"Mensal")+SUMIFS(Despesas!$F:$F,Despesas!$J:$J,"&lt;="&amp;$A633,Despesas!$L:$L,"&gt;="&amp;$A633,Despesas!$C:$C,G$1,Despesas!$M:$M,$B633)</f>
        <v>0</v>
      </c>
      <c r="H633" s="18">
        <f>SUMIFS(Despesas!$F:$F,Despesas!$J:$J,"&lt;="&amp;$A633,Despesas!$L:$L,"&gt;="&amp;$A633,Despesas!$C:$C,H$1,Despesas!$M:$M,"Mensal")+SUMIFS(Despesas!$F:$F,Despesas!$J:$J,"&lt;="&amp;$A633,Despesas!$L:$L,"&gt;="&amp;$A633,Despesas!$C:$C,H$1,Despesas!$M:$M,$B633)</f>
        <v>1000</v>
      </c>
      <c r="I633" s="18">
        <f>IF(Imóveis!$F$2="PRICE",IF(AND(Dados!$A633&gt;=Imóveis!$Q$2,Dados!$A633&lt;=Imóveis!$T$2),Imóveis!$U$2,0),IF((IF(AND(Dados!$A633&gt;=Imóveis!$Q$2,Dados!$A633&lt;=Imóveis!$T$2),Imóveis!$S$2-(DATEDIF(Imóveis!$Q$2,Dados!$A633,"m")),0))=0,0,((Imóveis!$N$2/Imóveis!$S$2)+((Imóveis!$N$2-((Imóveis!$S$2-(IF(AND(Dados!$A633&gt;=Imóveis!$Q$2,Dados!$A633&lt;=Imóveis!$T$2),Imóveis!$S$2-(DATEDIF(Imóveis!$Q$2,Dados!$A633,"m")),)))*(Imóveis!$N$2/Imóveis!$S$2)))*Imóveis!$P$2))))*IF(AND(Imóveis!$E$2&gt;0,Dados!$A633&gt;Imóveis!$E$2),0,1)</f>
        <v>0</v>
      </c>
      <c r="J633" s="18">
        <f>IF(Imóveis!$F$3="PRICE",IF(AND(Dados!$A633&gt;=Imóveis!$Q$3,Dados!$A633&lt;=Imóveis!$T$3),Imóveis!$U$3,0),IF((IF(AND(Dados!$A633&gt;=Imóveis!$Q$3,Dados!$A633&lt;=Imóveis!$T$3),Imóveis!$S$3-(DATEDIF(Imóveis!$Q$3,Dados!$A633,"m")),0))=0,0,((Imóveis!$N$3/Imóveis!$S$3)+((Imóveis!$N$3-((Imóveis!$S$3-(IF(AND(Dados!$A633&gt;=Imóveis!$Q$3,Dados!$A633&lt;=Imóveis!$T$3),Imóveis!$S$3-(DATEDIF(Imóveis!$Q$3,Dados!$A633,"m")),)))*(Imóveis!$N$3/Imóveis!$S$3)))*Imóveis!$P$3))))*IF(AND(Imóveis!$E$3&gt;0,Dados!$A633&gt;Imóveis!$E$3),0,1)</f>
        <v>0</v>
      </c>
      <c r="K633" s="18">
        <f>IF(Imóveis!$F$4="PRICE",IF(AND(Dados!$A633&gt;=Imóveis!$Q$4,Dados!$A633&lt;=Imóveis!$T$4),Imóveis!$U$4,0),IF((IF(AND(Dados!$A633&gt;=Imóveis!$Q$4,Dados!$A633&lt;=Imóveis!$T$4),Imóveis!$S$4-(DATEDIF(Imóveis!$Q$4,Dados!$A633,"m")),0))=0,0,((Imóveis!$N$4/Imóveis!$S$4)+((Imóveis!$N$4-((Imóveis!$S$4-(IF(AND(Dados!$A633&gt;=Imóveis!$Q$4,Dados!$A633&lt;=Imóveis!$T$4),Imóveis!$S$4-(DATEDIF(Imóveis!$Q$4,Dados!$A633,"m")),)))*(Imóveis!$N$4/Imóveis!$S$4)))*Imóveis!$P$4))))*IF(AND(Imóveis!$E$4&gt;0,Dados!$A633&gt;Imóveis!$E$4),0,1)</f>
        <v>0</v>
      </c>
      <c r="L633" s="18">
        <f>IF(Imóveis!$F$5="PRICE",IF(AND(Dados!$A633&gt;=Imóveis!$Q$5,Dados!$A633&lt;=Imóveis!$T$5),Imóveis!$U$5,0),IF((IF(AND(Dados!$A633&gt;=Imóveis!$Q$5,Dados!$A633&lt;=Imóveis!$T$5),Imóveis!$S$5-(DATEDIF(Imóveis!$Q$5,Dados!$A633,"m")),0))=0,0,((Imóveis!$N$5/Imóveis!$S$5)+((Imóveis!$N$5-((Imóveis!$S$5-(IF(AND(Dados!$A633 &gt;=Imóveis!$Q$5,Dados!$A633&lt;=Imóveis!$T$5),Imóveis!$S$5-(DATEDIF(Imóveis!$Q$5,Dados!$A633,"m")),)))*(Imóveis!$N$5/Imóveis!$S$5)))*Imóveis!$P$5))))*IF(AND(Imóveis!$E$5&gt;0,Dados!$A633&gt;Imóveis!$E$5),0,1)*Imóveis!$I$5</f>
        <v>0</v>
      </c>
      <c r="M633" s="18">
        <f>IF(Imóveis!$F$6="PRICE",IF(AND(Dados!$A633&gt;=Imóveis!$Q$6,Dados!$A633&lt;=Imóveis!$T$6),Imóveis!$U$6,0),IF((IF(AND(Dados!$A633&gt;=Imóveis!$Q$6,Dados!$A633&lt;=Imóveis!$T$6),Imóveis!$S$6-(DATEDIF(Imóveis!$Q$6,Dados!$A633,"m")),0))=0,0,((Imóveis!$N$6/Imóveis!$S$6)+((Imóveis!$N$6-((Imóveis!$S$6-(IF(AND(Dados!$A633&gt;=Imóveis!$Q$6,Dados!$A633&lt;=Imóveis!$T$6),Imóveis!$S$6-(DATEDIF(Imóveis!$Q$6,Dados!$A633,"m")),)))*(Imóveis!$N$6/Imóveis!$S$6)))*Imóveis!$P$6))))*IF(AND(Imóveis!$E$6&gt;0,Dados!$A633&gt;Imóveis!$E$6),0,1)*Imóveis!$I$6</f>
        <v>0</v>
      </c>
      <c r="N633" s="18">
        <f t="shared" si="77"/>
        <v>37000</v>
      </c>
      <c r="O633" s="18">
        <f>SUMIFS(Receitas!$F:$F,Receitas!$J:$J,"&lt;="&amp;$A633,Receitas!$L:$L,"&gt;="&amp;$A633,Receitas!$C:$C,O$1,Receitas!$M:$M,"Mensal")+SUMIFS(Receitas!$F:$F,Receitas!$J:$J,"&lt;="&amp;$A633,Receitas!$L:$L,"&gt;="&amp;$A633,Receitas!$C:$C,O$1,Receitas!$M:$M,$B633)</f>
        <v>0</v>
      </c>
      <c r="P633" s="18">
        <f>SUMIFS(Receitas!$F:$F,Receitas!$J:$J,"&lt;="&amp;$A633,Receitas!$L:$L,"&gt;="&amp;$A633,Receitas!$C:$C,P$1,Receitas!$M:$M,"Mensal")+SUMIFS(Receitas!$F:$F,Receitas!$J:$J,"&lt;="&amp;$A633,Receitas!$L:$L,"&gt;="&amp;$A633,Receitas!$C:$C,P$1,Receitas!$M:$M,$B633)</f>
        <v>0</v>
      </c>
      <c r="Q633" s="18">
        <f>SUMIFS(Receitas!$F:$F,Receitas!$J:$J,"&lt;="&amp;$A633,Receitas!$L:$L,"&gt;="&amp;$A633,Receitas!$C:$C,Q$1,Receitas!$M:$M,"Mensal")+SUMIFS(Receitas!$F:$F,Receitas!$J:$J,"&lt;="&amp;$A633,Receitas!$L:$L,"&gt;="&amp;$A633,Receitas!$C:$C,Q$1,Receitas!$M:$M,$B633)</f>
        <v>0</v>
      </c>
      <c r="R633" s="18" cm="1">
        <f t="array" ref="R633">(IF(AND(Membros!$F$2="Sim",A633&lt;=MAX(Membros!$E$2:$E$5)),Membros!K$2,IF(AND(A633&gt;=Membros!J$2,A633&lt;=MAX(Membros!$E$2:$E$5)),Membros!K$2,0))+IF(AND(Membros!$F$3="Sim",A633&lt;=MAX(Membros!$E$2:$E$5)),Membros!K$3,IF(AND(A633&gt;=Membros!J$3,A633&lt;=MAX(Membros!$E$2:$E$5)),Membros!K$3,0)))*IF(AND(COUNTIFS(Tabela3[Tipo],"Provedor",Tabela3[Simulação Seguro],"Sim")=2,A633&gt;=MAX(IF(Tabela3[Tipo]="Dependente",Tabela3[Expectativa de Vida (Data)]))),0,1)</f>
        <v>10000</v>
      </c>
      <c r="S633" s="18">
        <f t="shared" si="78"/>
        <v>10000</v>
      </c>
      <c r="U633" s="18">
        <f t="shared" ca="1" si="81"/>
        <v>42896394.40054322</v>
      </c>
      <c r="V633" s="18">
        <f>SUMIF(Imóveis!E:E,Dados!A:A,Imóveis!Z:Z)-SUMIF(Imóveis!E:E,Dados!A:A,Imóveis!Y:Y)</f>
        <v>0</v>
      </c>
      <c r="W633" s="18">
        <f>-SUMIF(Projetos!N:N,A633,Projetos!F:F)</f>
        <v>0</v>
      </c>
      <c r="X633" s="18">
        <f t="shared" si="75"/>
        <v>-27000</v>
      </c>
      <c r="Y633" s="26">
        <f ca="1">(U633*((Indicadores_Economicos!D$2+1)^(1/12)-1))</f>
        <v>140431.63286195308</v>
      </c>
      <c r="Z633" s="18">
        <f t="shared" ca="1" si="79"/>
        <v>43009826.03340517</v>
      </c>
      <c r="AA633" s="18">
        <f ca="1">Auxiliar_Projetos!E633</f>
        <v>3.0751434500699489E-9</v>
      </c>
      <c r="AB633" s="18">
        <f ca="1">Auxiliar_Projetos!K633</f>
        <v>2.3654949615922652E-9</v>
      </c>
      <c r="AC633" s="18">
        <f ca="1">IF(Z633-AA633-AB633&gt;Investimentos!$C$14,Investimentos!$C$14,IF(Z633-AA633-AB633&lt;Investimentos!$C$14,Z633-AA633-AB633,0))</f>
        <v>300000</v>
      </c>
      <c r="AD633" s="18">
        <f t="shared" ca="1" si="80"/>
        <v>42709826.03340517</v>
      </c>
      <c r="AE633" s="18"/>
    </row>
    <row r="634" spans="1:31" x14ac:dyDescent="0.2">
      <c r="A634" s="4">
        <v>64894</v>
      </c>
      <c r="B634" s="5" t="str">
        <f t="shared" si="76"/>
        <v>setembro</v>
      </c>
      <c r="C634" s="5" t="str">
        <f t="shared" si="82"/>
        <v>2077</v>
      </c>
      <c r="D634" s="5">
        <f>SUMIFS(Despesas!$F:$F,Despesas!$J:$J,"&lt;="&amp;$A634,Despesas!$L:$L,"&gt;="&amp;$A634,Despesas!$C:$C,D$1,Despesas!$M:$M,"Mensal")+SUMIFS(Despesas!$F:$F,Despesas!$J:$J,"&lt;="&amp;$A634,Despesas!$L:$L,"&gt;="&amp;$A634,Despesas!$C:$C,D$1,Despesas!$M:$M,$B634)</f>
        <v>23000</v>
      </c>
      <c r="E634" s="18">
        <f>SUMIFS(Despesas!$F:$F,Despesas!$J:$J,"&lt;="&amp;$A634,Despesas!$L:$L,"&gt;="&amp;$A634,Despesas!$C:$C,E$1,Despesas!$M:$M,"Mensal")+SUMIFS(Despesas!$F:$F,Despesas!$J:$J,"&lt;="&amp;$A634,Despesas!$L:$L,"&gt;="&amp;$A634,Despesas!$C:$C,E$1,Despesas!$M:$M,$B634)</f>
        <v>0</v>
      </c>
      <c r="F634" s="5">
        <f>SUMIFS(Despesas!$F:$F,Despesas!$J:$J,"&lt;="&amp;$A634,Despesas!$L:$L,"&gt;="&amp;$A634,Despesas!$C:$C,F$1,Despesas!$M:$M,"Mensal")+SUMIFS(Despesas!$F:$F,Despesas!$J:$J,"&lt;="&amp;$A634,Despesas!$L:$L,"&gt;="&amp;$A634,Despesas!$C:$C,F$1,Despesas!$M:$M,$B634)</f>
        <v>13000</v>
      </c>
      <c r="G634" s="5">
        <f>SUMIFS(Despesas!$F:$F,Despesas!$J:$J,"&lt;="&amp;$A634,Despesas!$L:$L,"&gt;="&amp;$A634,Despesas!$C:$C,G$1,Despesas!$M:$M,"Mensal")+SUMIFS(Despesas!$F:$F,Despesas!$J:$J,"&lt;="&amp;$A634,Despesas!$L:$L,"&gt;="&amp;$A634,Despesas!$C:$C,G$1,Despesas!$M:$M,$B634)</f>
        <v>0</v>
      </c>
      <c r="H634" s="18">
        <f>SUMIFS(Despesas!$F:$F,Despesas!$J:$J,"&lt;="&amp;$A634,Despesas!$L:$L,"&gt;="&amp;$A634,Despesas!$C:$C,H$1,Despesas!$M:$M,"Mensal")+SUMIFS(Despesas!$F:$F,Despesas!$J:$J,"&lt;="&amp;$A634,Despesas!$L:$L,"&gt;="&amp;$A634,Despesas!$C:$C,H$1,Despesas!$M:$M,$B634)</f>
        <v>1000</v>
      </c>
      <c r="I634" s="18">
        <f>IF(Imóveis!$F$2="PRICE",IF(AND(Dados!$A634&gt;=Imóveis!$Q$2,Dados!$A634&lt;=Imóveis!$T$2),Imóveis!$U$2,0),IF((IF(AND(Dados!$A634&gt;=Imóveis!$Q$2,Dados!$A634&lt;=Imóveis!$T$2),Imóveis!$S$2-(DATEDIF(Imóveis!$Q$2,Dados!$A634,"m")),0))=0,0,((Imóveis!$N$2/Imóveis!$S$2)+((Imóveis!$N$2-((Imóveis!$S$2-(IF(AND(Dados!$A634&gt;=Imóveis!$Q$2,Dados!$A634&lt;=Imóveis!$T$2),Imóveis!$S$2-(DATEDIF(Imóveis!$Q$2,Dados!$A634,"m")),)))*(Imóveis!$N$2/Imóveis!$S$2)))*Imóveis!$P$2))))*IF(AND(Imóveis!$E$2&gt;0,Dados!$A634&gt;Imóveis!$E$2),0,1)</f>
        <v>0</v>
      </c>
      <c r="J634" s="18">
        <f>IF(Imóveis!$F$3="PRICE",IF(AND(Dados!$A634&gt;=Imóveis!$Q$3,Dados!$A634&lt;=Imóveis!$T$3),Imóveis!$U$3,0),IF((IF(AND(Dados!$A634&gt;=Imóveis!$Q$3,Dados!$A634&lt;=Imóveis!$T$3),Imóveis!$S$3-(DATEDIF(Imóveis!$Q$3,Dados!$A634,"m")),0))=0,0,((Imóveis!$N$3/Imóveis!$S$3)+((Imóveis!$N$3-((Imóveis!$S$3-(IF(AND(Dados!$A634&gt;=Imóveis!$Q$3,Dados!$A634&lt;=Imóveis!$T$3),Imóveis!$S$3-(DATEDIF(Imóveis!$Q$3,Dados!$A634,"m")),)))*(Imóveis!$N$3/Imóveis!$S$3)))*Imóveis!$P$3))))*IF(AND(Imóveis!$E$3&gt;0,Dados!$A634&gt;Imóveis!$E$3),0,1)</f>
        <v>0</v>
      </c>
      <c r="K634" s="18">
        <f>IF(Imóveis!$F$4="PRICE",IF(AND(Dados!$A634&gt;=Imóveis!$Q$4,Dados!$A634&lt;=Imóveis!$T$4),Imóveis!$U$4,0),IF((IF(AND(Dados!$A634&gt;=Imóveis!$Q$4,Dados!$A634&lt;=Imóveis!$T$4),Imóveis!$S$4-(DATEDIF(Imóveis!$Q$4,Dados!$A634,"m")),0))=0,0,((Imóveis!$N$4/Imóveis!$S$4)+((Imóveis!$N$4-((Imóveis!$S$4-(IF(AND(Dados!$A634&gt;=Imóveis!$Q$4,Dados!$A634&lt;=Imóveis!$T$4),Imóveis!$S$4-(DATEDIF(Imóveis!$Q$4,Dados!$A634,"m")),)))*(Imóveis!$N$4/Imóveis!$S$4)))*Imóveis!$P$4))))*IF(AND(Imóveis!$E$4&gt;0,Dados!$A634&gt;Imóveis!$E$4),0,1)</f>
        <v>0</v>
      </c>
      <c r="L634" s="18">
        <f>IF(Imóveis!$F$5="PRICE",IF(AND(Dados!$A634&gt;=Imóveis!$Q$5,Dados!$A634&lt;=Imóveis!$T$5),Imóveis!$U$5,0),IF((IF(AND(Dados!$A634&gt;=Imóveis!$Q$5,Dados!$A634&lt;=Imóveis!$T$5),Imóveis!$S$5-(DATEDIF(Imóveis!$Q$5,Dados!$A634,"m")),0))=0,0,((Imóveis!$N$5/Imóveis!$S$5)+((Imóveis!$N$5-((Imóveis!$S$5-(IF(AND(Dados!$A634 &gt;=Imóveis!$Q$5,Dados!$A634&lt;=Imóveis!$T$5),Imóveis!$S$5-(DATEDIF(Imóveis!$Q$5,Dados!$A634,"m")),)))*(Imóveis!$N$5/Imóveis!$S$5)))*Imóveis!$P$5))))*IF(AND(Imóveis!$E$5&gt;0,Dados!$A634&gt;Imóveis!$E$5),0,1)*Imóveis!$I$5</f>
        <v>0</v>
      </c>
      <c r="M634" s="18">
        <f>IF(Imóveis!$F$6="PRICE",IF(AND(Dados!$A634&gt;=Imóveis!$Q$6,Dados!$A634&lt;=Imóveis!$T$6),Imóveis!$U$6,0),IF((IF(AND(Dados!$A634&gt;=Imóveis!$Q$6,Dados!$A634&lt;=Imóveis!$T$6),Imóveis!$S$6-(DATEDIF(Imóveis!$Q$6,Dados!$A634,"m")),0))=0,0,((Imóveis!$N$6/Imóveis!$S$6)+((Imóveis!$N$6-((Imóveis!$S$6-(IF(AND(Dados!$A634&gt;=Imóveis!$Q$6,Dados!$A634&lt;=Imóveis!$T$6),Imóveis!$S$6-(DATEDIF(Imóveis!$Q$6,Dados!$A634,"m")),)))*(Imóveis!$N$6/Imóveis!$S$6)))*Imóveis!$P$6))))*IF(AND(Imóveis!$E$6&gt;0,Dados!$A634&gt;Imóveis!$E$6),0,1)*Imóveis!$I$6</f>
        <v>0</v>
      </c>
      <c r="N634" s="18">
        <f t="shared" si="77"/>
        <v>37000</v>
      </c>
      <c r="O634" s="18">
        <f>SUMIFS(Receitas!$F:$F,Receitas!$J:$J,"&lt;="&amp;$A634,Receitas!$L:$L,"&gt;="&amp;$A634,Receitas!$C:$C,O$1,Receitas!$M:$M,"Mensal")+SUMIFS(Receitas!$F:$F,Receitas!$J:$J,"&lt;="&amp;$A634,Receitas!$L:$L,"&gt;="&amp;$A634,Receitas!$C:$C,O$1,Receitas!$M:$M,$B634)</f>
        <v>0</v>
      </c>
      <c r="P634" s="18">
        <f>SUMIFS(Receitas!$F:$F,Receitas!$J:$J,"&lt;="&amp;$A634,Receitas!$L:$L,"&gt;="&amp;$A634,Receitas!$C:$C,P$1,Receitas!$M:$M,"Mensal")+SUMIFS(Receitas!$F:$F,Receitas!$J:$J,"&lt;="&amp;$A634,Receitas!$L:$L,"&gt;="&amp;$A634,Receitas!$C:$C,P$1,Receitas!$M:$M,$B634)</f>
        <v>0</v>
      </c>
      <c r="Q634" s="18">
        <f>SUMIFS(Receitas!$F:$F,Receitas!$J:$J,"&lt;="&amp;$A634,Receitas!$L:$L,"&gt;="&amp;$A634,Receitas!$C:$C,Q$1,Receitas!$M:$M,"Mensal")+SUMIFS(Receitas!$F:$F,Receitas!$J:$J,"&lt;="&amp;$A634,Receitas!$L:$L,"&gt;="&amp;$A634,Receitas!$C:$C,Q$1,Receitas!$M:$M,$B634)</f>
        <v>0</v>
      </c>
      <c r="R634" s="18" cm="1">
        <f t="array" ref="R634">(IF(AND(Membros!$F$2="Sim",A634&lt;=MAX(Membros!$E$2:$E$5)),Membros!K$2,IF(AND(A634&gt;=Membros!J$2,A634&lt;=MAX(Membros!$E$2:$E$5)),Membros!K$2,0))+IF(AND(Membros!$F$3="Sim",A634&lt;=MAX(Membros!$E$2:$E$5)),Membros!K$3,IF(AND(A634&gt;=Membros!J$3,A634&lt;=MAX(Membros!$E$2:$E$5)),Membros!K$3,0)))*IF(AND(COUNTIFS(Tabela3[Tipo],"Provedor",Tabela3[Simulação Seguro],"Sim")=2,A634&gt;=MAX(IF(Tabela3[Tipo]="Dependente",Tabela3[Expectativa de Vida (Data)]))),0,1)</f>
        <v>10000</v>
      </c>
      <c r="S634" s="18">
        <f t="shared" si="78"/>
        <v>10000</v>
      </c>
      <c r="U634" s="18">
        <f t="shared" ca="1" si="81"/>
        <v>43009826.03340517</v>
      </c>
      <c r="V634" s="18">
        <f>SUMIF(Imóveis!E:E,Dados!A:A,Imóveis!Z:Z)-SUMIF(Imóveis!E:E,Dados!A:A,Imóveis!Y:Y)</f>
        <v>0</v>
      </c>
      <c r="W634" s="18">
        <f>-SUMIF(Projetos!N:N,A634,Projetos!F:F)</f>
        <v>0</v>
      </c>
      <c r="X634" s="18">
        <f t="shared" si="75"/>
        <v>-27000</v>
      </c>
      <c r="Y634" s="26">
        <f ca="1">(U634*((Indicadores_Economicos!D$2+1)^(1/12)-1))</f>
        <v>140802.97851101303</v>
      </c>
      <c r="Z634" s="18">
        <f t="shared" ca="1" si="79"/>
        <v>43123629.011916183</v>
      </c>
      <c r="AA634" s="18">
        <f ca="1">Auxiliar_Projetos!E634</f>
        <v>3.0852106695184115E-9</v>
      </c>
      <c r="AB634" s="18">
        <f ca="1">Auxiliar_Projetos!K634</f>
        <v>2.373238976552621E-9</v>
      </c>
      <c r="AC634" s="18">
        <f ca="1">IF(Z634-AA634-AB634&gt;Investimentos!$C$14,Investimentos!$C$14,IF(Z634-AA634-AB634&lt;Investimentos!$C$14,Z634-AA634-AB634,0))</f>
        <v>300000</v>
      </c>
      <c r="AD634" s="18">
        <f t="shared" ca="1" si="80"/>
        <v>42823629.011916183</v>
      </c>
      <c r="AE634" s="18"/>
    </row>
    <row r="635" spans="1:31" x14ac:dyDescent="0.2">
      <c r="A635" s="4">
        <v>64924</v>
      </c>
      <c r="B635" s="5" t="str">
        <f t="shared" si="76"/>
        <v>outubro</v>
      </c>
      <c r="C635" s="5" t="str">
        <f t="shared" si="82"/>
        <v>2077</v>
      </c>
      <c r="D635" s="5">
        <f>SUMIFS(Despesas!$F:$F,Despesas!$J:$J,"&lt;="&amp;$A635,Despesas!$L:$L,"&gt;="&amp;$A635,Despesas!$C:$C,D$1,Despesas!$M:$M,"Mensal")+SUMIFS(Despesas!$F:$F,Despesas!$J:$J,"&lt;="&amp;$A635,Despesas!$L:$L,"&gt;="&amp;$A635,Despesas!$C:$C,D$1,Despesas!$M:$M,$B635)</f>
        <v>23000</v>
      </c>
      <c r="E635" s="18">
        <f>SUMIFS(Despesas!$F:$F,Despesas!$J:$J,"&lt;="&amp;$A635,Despesas!$L:$L,"&gt;="&amp;$A635,Despesas!$C:$C,E$1,Despesas!$M:$M,"Mensal")+SUMIFS(Despesas!$F:$F,Despesas!$J:$J,"&lt;="&amp;$A635,Despesas!$L:$L,"&gt;="&amp;$A635,Despesas!$C:$C,E$1,Despesas!$M:$M,$B635)</f>
        <v>0</v>
      </c>
      <c r="F635" s="5">
        <f>SUMIFS(Despesas!$F:$F,Despesas!$J:$J,"&lt;="&amp;$A635,Despesas!$L:$L,"&gt;="&amp;$A635,Despesas!$C:$C,F$1,Despesas!$M:$M,"Mensal")+SUMIFS(Despesas!$F:$F,Despesas!$J:$J,"&lt;="&amp;$A635,Despesas!$L:$L,"&gt;="&amp;$A635,Despesas!$C:$C,F$1,Despesas!$M:$M,$B635)</f>
        <v>13000</v>
      </c>
      <c r="G635" s="5">
        <f>SUMIFS(Despesas!$F:$F,Despesas!$J:$J,"&lt;="&amp;$A635,Despesas!$L:$L,"&gt;="&amp;$A635,Despesas!$C:$C,G$1,Despesas!$M:$M,"Mensal")+SUMIFS(Despesas!$F:$F,Despesas!$J:$J,"&lt;="&amp;$A635,Despesas!$L:$L,"&gt;="&amp;$A635,Despesas!$C:$C,G$1,Despesas!$M:$M,$B635)</f>
        <v>0</v>
      </c>
      <c r="H635" s="18">
        <f>SUMIFS(Despesas!$F:$F,Despesas!$J:$J,"&lt;="&amp;$A635,Despesas!$L:$L,"&gt;="&amp;$A635,Despesas!$C:$C,H$1,Despesas!$M:$M,"Mensal")+SUMIFS(Despesas!$F:$F,Despesas!$J:$J,"&lt;="&amp;$A635,Despesas!$L:$L,"&gt;="&amp;$A635,Despesas!$C:$C,H$1,Despesas!$M:$M,$B635)</f>
        <v>1000</v>
      </c>
      <c r="I635" s="18">
        <f>IF(Imóveis!$F$2="PRICE",IF(AND(Dados!$A635&gt;=Imóveis!$Q$2,Dados!$A635&lt;=Imóveis!$T$2),Imóveis!$U$2,0),IF((IF(AND(Dados!$A635&gt;=Imóveis!$Q$2,Dados!$A635&lt;=Imóveis!$T$2),Imóveis!$S$2-(DATEDIF(Imóveis!$Q$2,Dados!$A635,"m")),0))=0,0,((Imóveis!$N$2/Imóveis!$S$2)+((Imóveis!$N$2-((Imóveis!$S$2-(IF(AND(Dados!$A635&gt;=Imóveis!$Q$2,Dados!$A635&lt;=Imóveis!$T$2),Imóveis!$S$2-(DATEDIF(Imóveis!$Q$2,Dados!$A635,"m")),)))*(Imóveis!$N$2/Imóveis!$S$2)))*Imóveis!$P$2))))*IF(AND(Imóveis!$E$2&gt;0,Dados!$A635&gt;Imóveis!$E$2),0,1)</f>
        <v>0</v>
      </c>
      <c r="J635" s="18">
        <f>IF(Imóveis!$F$3="PRICE",IF(AND(Dados!$A635&gt;=Imóveis!$Q$3,Dados!$A635&lt;=Imóveis!$T$3),Imóveis!$U$3,0),IF((IF(AND(Dados!$A635&gt;=Imóveis!$Q$3,Dados!$A635&lt;=Imóveis!$T$3),Imóveis!$S$3-(DATEDIF(Imóveis!$Q$3,Dados!$A635,"m")),0))=0,0,((Imóveis!$N$3/Imóveis!$S$3)+((Imóveis!$N$3-((Imóveis!$S$3-(IF(AND(Dados!$A635&gt;=Imóveis!$Q$3,Dados!$A635&lt;=Imóveis!$T$3),Imóveis!$S$3-(DATEDIF(Imóveis!$Q$3,Dados!$A635,"m")),)))*(Imóveis!$N$3/Imóveis!$S$3)))*Imóveis!$P$3))))*IF(AND(Imóveis!$E$3&gt;0,Dados!$A635&gt;Imóveis!$E$3),0,1)</f>
        <v>0</v>
      </c>
      <c r="K635" s="18">
        <f>IF(Imóveis!$F$4="PRICE",IF(AND(Dados!$A635&gt;=Imóveis!$Q$4,Dados!$A635&lt;=Imóveis!$T$4),Imóveis!$U$4,0),IF((IF(AND(Dados!$A635&gt;=Imóveis!$Q$4,Dados!$A635&lt;=Imóveis!$T$4),Imóveis!$S$4-(DATEDIF(Imóveis!$Q$4,Dados!$A635,"m")),0))=0,0,((Imóveis!$N$4/Imóveis!$S$4)+((Imóveis!$N$4-((Imóveis!$S$4-(IF(AND(Dados!$A635&gt;=Imóveis!$Q$4,Dados!$A635&lt;=Imóveis!$T$4),Imóveis!$S$4-(DATEDIF(Imóveis!$Q$4,Dados!$A635,"m")),)))*(Imóveis!$N$4/Imóveis!$S$4)))*Imóveis!$P$4))))*IF(AND(Imóveis!$E$4&gt;0,Dados!$A635&gt;Imóveis!$E$4),0,1)</f>
        <v>0</v>
      </c>
      <c r="L635" s="18">
        <f>IF(Imóveis!$F$5="PRICE",IF(AND(Dados!$A635&gt;=Imóveis!$Q$5,Dados!$A635&lt;=Imóveis!$T$5),Imóveis!$U$5,0),IF((IF(AND(Dados!$A635&gt;=Imóveis!$Q$5,Dados!$A635&lt;=Imóveis!$T$5),Imóveis!$S$5-(DATEDIF(Imóveis!$Q$5,Dados!$A635,"m")),0))=0,0,((Imóveis!$N$5/Imóveis!$S$5)+((Imóveis!$N$5-((Imóveis!$S$5-(IF(AND(Dados!$A635 &gt;=Imóveis!$Q$5,Dados!$A635&lt;=Imóveis!$T$5),Imóveis!$S$5-(DATEDIF(Imóveis!$Q$5,Dados!$A635,"m")),)))*(Imóveis!$N$5/Imóveis!$S$5)))*Imóveis!$P$5))))*IF(AND(Imóveis!$E$5&gt;0,Dados!$A635&gt;Imóveis!$E$5),0,1)*Imóveis!$I$5</f>
        <v>0</v>
      </c>
      <c r="M635" s="18">
        <f>IF(Imóveis!$F$6="PRICE",IF(AND(Dados!$A635&gt;=Imóveis!$Q$6,Dados!$A635&lt;=Imóveis!$T$6),Imóveis!$U$6,0),IF((IF(AND(Dados!$A635&gt;=Imóveis!$Q$6,Dados!$A635&lt;=Imóveis!$T$6),Imóveis!$S$6-(DATEDIF(Imóveis!$Q$6,Dados!$A635,"m")),0))=0,0,((Imóveis!$N$6/Imóveis!$S$6)+((Imóveis!$N$6-((Imóveis!$S$6-(IF(AND(Dados!$A635&gt;=Imóveis!$Q$6,Dados!$A635&lt;=Imóveis!$T$6),Imóveis!$S$6-(DATEDIF(Imóveis!$Q$6,Dados!$A635,"m")),)))*(Imóveis!$N$6/Imóveis!$S$6)))*Imóveis!$P$6))))*IF(AND(Imóveis!$E$6&gt;0,Dados!$A635&gt;Imóveis!$E$6),0,1)*Imóveis!$I$6</f>
        <v>0</v>
      </c>
      <c r="N635" s="18">
        <f t="shared" si="77"/>
        <v>37000</v>
      </c>
      <c r="O635" s="18">
        <f>SUMIFS(Receitas!$F:$F,Receitas!$J:$J,"&lt;="&amp;$A635,Receitas!$L:$L,"&gt;="&amp;$A635,Receitas!$C:$C,O$1,Receitas!$M:$M,"Mensal")+SUMIFS(Receitas!$F:$F,Receitas!$J:$J,"&lt;="&amp;$A635,Receitas!$L:$L,"&gt;="&amp;$A635,Receitas!$C:$C,O$1,Receitas!$M:$M,$B635)</f>
        <v>0</v>
      </c>
      <c r="P635" s="18">
        <f>SUMIFS(Receitas!$F:$F,Receitas!$J:$J,"&lt;="&amp;$A635,Receitas!$L:$L,"&gt;="&amp;$A635,Receitas!$C:$C,P$1,Receitas!$M:$M,"Mensal")+SUMIFS(Receitas!$F:$F,Receitas!$J:$J,"&lt;="&amp;$A635,Receitas!$L:$L,"&gt;="&amp;$A635,Receitas!$C:$C,P$1,Receitas!$M:$M,$B635)</f>
        <v>0</v>
      </c>
      <c r="Q635" s="18">
        <f>SUMIFS(Receitas!$F:$F,Receitas!$J:$J,"&lt;="&amp;$A635,Receitas!$L:$L,"&gt;="&amp;$A635,Receitas!$C:$C,Q$1,Receitas!$M:$M,"Mensal")+SUMIFS(Receitas!$F:$F,Receitas!$J:$J,"&lt;="&amp;$A635,Receitas!$L:$L,"&gt;="&amp;$A635,Receitas!$C:$C,Q$1,Receitas!$M:$M,$B635)</f>
        <v>0</v>
      </c>
      <c r="R635" s="18" cm="1">
        <f t="array" ref="R635">(IF(AND(Membros!$F$2="Sim",A635&lt;=MAX(Membros!$E$2:$E$5)),Membros!K$2,IF(AND(A635&gt;=Membros!J$2,A635&lt;=MAX(Membros!$E$2:$E$5)),Membros!K$2,0))+IF(AND(Membros!$F$3="Sim",A635&lt;=MAX(Membros!$E$2:$E$5)),Membros!K$3,IF(AND(A635&gt;=Membros!J$3,A635&lt;=MAX(Membros!$E$2:$E$5)),Membros!K$3,0)))*IF(AND(COUNTIFS(Tabela3[Tipo],"Provedor",Tabela3[Simulação Seguro],"Sim")=2,A635&gt;=MAX(IF(Tabela3[Tipo]="Dependente",Tabela3[Expectativa de Vida (Data)]))),0,1)</f>
        <v>10000</v>
      </c>
      <c r="S635" s="18">
        <f t="shared" si="78"/>
        <v>10000</v>
      </c>
      <c r="U635" s="18">
        <f t="shared" ca="1" si="81"/>
        <v>43123629.011916183</v>
      </c>
      <c r="V635" s="18">
        <f>SUMIF(Imóveis!E:E,Dados!A:A,Imóveis!Z:Z)-SUMIF(Imóveis!E:E,Dados!A:A,Imóveis!Y:Y)</f>
        <v>0</v>
      </c>
      <c r="W635" s="18">
        <f>-SUMIF(Projetos!N:N,A635,Projetos!F:F)</f>
        <v>0</v>
      </c>
      <c r="X635" s="18">
        <f t="shared" si="75"/>
        <v>-27000</v>
      </c>
      <c r="Y635" s="26">
        <f ca="1">(U635*((Indicadores_Economicos!D$2+1)^(1/12)-1))</f>
        <v>141175.53984909729</v>
      </c>
      <c r="Z635" s="18">
        <f t="shared" ca="1" si="79"/>
        <v>43237804.551765278</v>
      </c>
      <c r="AA635" s="18">
        <f ca="1">Auxiliar_Projetos!E635</f>
        <v>3.0953108464236784E-9</v>
      </c>
      <c r="AB635" s="18">
        <f ca="1">Auxiliar_Projetos!K635</f>
        <v>2.3810083434028261E-9</v>
      </c>
      <c r="AC635" s="18">
        <f ca="1">IF(Z635-AA635-AB635&gt;Investimentos!$C$14,Investimentos!$C$14,IF(Z635-AA635-AB635&lt;Investimentos!$C$14,Z635-AA635-AB635,0))</f>
        <v>300000</v>
      </c>
      <c r="AD635" s="18">
        <f t="shared" ca="1" si="80"/>
        <v>42937804.551765278</v>
      </c>
      <c r="AE635" s="18"/>
    </row>
    <row r="636" spans="1:31" x14ac:dyDescent="0.2">
      <c r="A636" s="4">
        <v>64955</v>
      </c>
      <c r="B636" s="5" t="str">
        <f t="shared" si="76"/>
        <v>novembro</v>
      </c>
      <c r="C636" s="5" t="str">
        <f t="shared" si="82"/>
        <v>2077</v>
      </c>
      <c r="D636" s="5">
        <f>SUMIFS(Despesas!$F:$F,Despesas!$J:$J,"&lt;="&amp;$A636,Despesas!$L:$L,"&gt;="&amp;$A636,Despesas!$C:$C,D$1,Despesas!$M:$M,"Mensal")+SUMIFS(Despesas!$F:$F,Despesas!$J:$J,"&lt;="&amp;$A636,Despesas!$L:$L,"&gt;="&amp;$A636,Despesas!$C:$C,D$1,Despesas!$M:$M,$B636)</f>
        <v>23000</v>
      </c>
      <c r="E636" s="18">
        <f>SUMIFS(Despesas!$F:$F,Despesas!$J:$J,"&lt;="&amp;$A636,Despesas!$L:$L,"&gt;="&amp;$A636,Despesas!$C:$C,E$1,Despesas!$M:$M,"Mensal")+SUMIFS(Despesas!$F:$F,Despesas!$J:$J,"&lt;="&amp;$A636,Despesas!$L:$L,"&gt;="&amp;$A636,Despesas!$C:$C,E$1,Despesas!$M:$M,$B636)</f>
        <v>0</v>
      </c>
      <c r="F636" s="5">
        <f>SUMIFS(Despesas!$F:$F,Despesas!$J:$J,"&lt;="&amp;$A636,Despesas!$L:$L,"&gt;="&amp;$A636,Despesas!$C:$C,F$1,Despesas!$M:$M,"Mensal")+SUMIFS(Despesas!$F:$F,Despesas!$J:$J,"&lt;="&amp;$A636,Despesas!$L:$L,"&gt;="&amp;$A636,Despesas!$C:$C,F$1,Despesas!$M:$M,$B636)</f>
        <v>13000</v>
      </c>
      <c r="G636" s="5">
        <f>SUMIFS(Despesas!$F:$F,Despesas!$J:$J,"&lt;="&amp;$A636,Despesas!$L:$L,"&gt;="&amp;$A636,Despesas!$C:$C,G$1,Despesas!$M:$M,"Mensal")+SUMIFS(Despesas!$F:$F,Despesas!$J:$J,"&lt;="&amp;$A636,Despesas!$L:$L,"&gt;="&amp;$A636,Despesas!$C:$C,G$1,Despesas!$M:$M,$B636)</f>
        <v>0</v>
      </c>
      <c r="H636" s="18">
        <f>SUMIFS(Despesas!$F:$F,Despesas!$J:$J,"&lt;="&amp;$A636,Despesas!$L:$L,"&gt;="&amp;$A636,Despesas!$C:$C,H$1,Despesas!$M:$M,"Mensal")+SUMIFS(Despesas!$F:$F,Despesas!$J:$J,"&lt;="&amp;$A636,Despesas!$L:$L,"&gt;="&amp;$A636,Despesas!$C:$C,H$1,Despesas!$M:$M,$B636)</f>
        <v>1000</v>
      </c>
      <c r="I636" s="18">
        <f>IF(Imóveis!$F$2="PRICE",IF(AND(Dados!$A636&gt;=Imóveis!$Q$2,Dados!$A636&lt;=Imóveis!$T$2),Imóveis!$U$2,0),IF((IF(AND(Dados!$A636&gt;=Imóveis!$Q$2,Dados!$A636&lt;=Imóveis!$T$2),Imóveis!$S$2-(DATEDIF(Imóveis!$Q$2,Dados!$A636,"m")),0))=0,0,((Imóveis!$N$2/Imóveis!$S$2)+((Imóveis!$N$2-((Imóveis!$S$2-(IF(AND(Dados!$A636&gt;=Imóveis!$Q$2,Dados!$A636&lt;=Imóveis!$T$2),Imóveis!$S$2-(DATEDIF(Imóveis!$Q$2,Dados!$A636,"m")),)))*(Imóveis!$N$2/Imóveis!$S$2)))*Imóveis!$P$2))))*IF(AND(Imóveis!$E$2&gt;0,Dados!$A636&gt;Imóveis!$E$2),0,1)</f>
        <v>0</v>
      </c>
      <c r="J636" s="18">
        <f>IF(Imóveis!$F$3="PRICE",IF(AND(Dados!$A636&gt;=Imóveis!$Q$3,Dados!$A636&lt;=Imóveis!$T$3),Imóveis!$U$3,0),IF((IF(AND(Dados!$A636&gt;=Imóveis!$Q$3,Dados!$A636&lt;=Imóveis!$T$3),Imóveis!$S$3-(DATEDIF(Imóveis!$Q$3,Dados!$A636,"m")),0))=0,0,((Imóveis!$N$3/Imóveis!$S$3)+((Imóveis!$N$3-((Imóveis!$S$3-(IF(AND(Dados!$A636&gt;=Imóveis!$Q$3,Dados!$A636&lt;=Imóveis!$T$3),Imóveis!$S$3-(DATEDIF(Imóveis!$Q$3,Dados!$A636,"m")),)))*(Imóveis!$N$3/Imóveis!$S$3)))*Imóveis!$P$3))))*IF(AND(Imóveis!$E$3&gt;0,Dados!$A636&gt;Imóveis!$E$3),0,1)</f>
        <v>0</v>
      </c>
      <c r="K636" s="18">
        <f>IF(Imóveis!$F$4="PRICE",IF(AND(Dados!$A636&gt;=Imóveis!$Q$4,Dados!$A636&lt;=Imóveis!$T$4),Imóveis!$U$4,0),IF((IF(AND(Dados!$A636&gt;=Imóveis!$Q$4,Dados!$A636&lt;=Imóveis!$T$4),Imóveis!$S$4-(DATEDIF(Imóveis!$Q$4,Dados!$A636,"m")),0))=0,0,((Imóveis!$N$4/Imóveis!$S$4)+((Imóveis!$N$4-((Imóveis!$S$4-(IF(AND(Dados!$A636&gt;=Imóveis!$Q$4,Dados!$A636&lt;=Imóveis!$T$4),Imóveis!$S$4-(DATEDIF(Imóveis!$Q$4,Dados!$A636,"m")),)))*(Imóveis!$N$4/Imóveis!$S$4)))*Imóveis!$P$4))))*IF(AND(Imóveis!$E$4&gt;0,Dados!$A636&gt;Imóveis!$E$4),0,1)</f>
        <v>0</v>
      </c>
      <c r="L636" s="18">
        <f>IF(Imóveis!$F$5="PRICE",IF(AND(Dados!$A636&gt;=Imóveis!$Q$5,Dados!$A636&lt;=Imóveis!$T$5),Imóveis!$U$5,0),IF((IF(AND(Dados!$A636&gt;=Imóveis!$Q$5,Dados!$A636&lt;=Imóveis!$T$5),Imóveis!$S$5-(DATEDIF(Imóveis!$Q$5,Dados!$A636,"m")),0))=0,0,((Imóveis!$N$5/Imóveis!$S$5)+((Imóveis!$N$5-((Imóveis!$S$5-(IF(AND(Dados!$A636 &gt;=Imóveis!$Q$5,Dados!$A636&lt;=Imóveis!$T$5),Imóveis!$S$5-(DATEDIF(Imóveis!$Q$5,Dados!$A636,"m")),)))*(Imóveis!$N$5/Imóveis!$S$5)))*Imóveis!$P$5))))*IF(AND(Imóveis!$E$5&gt;0,Dados!$A636&gt;Imóveis!$E$5),0,1)*Imóveis!$I$5</f>
        <v>0</v>
      </c>
      <c r="M636" s="18">
        <f>IF(Imóveis!$F$6="PRICE",IF(AND(Dados!$A636&gt;=Imóveis!$Q$6,Dados!$A636&lt;=Imóveis!$T$6),Imóveis!$U$6,0),IF((IF(AND(Dados!$A636&gt;=Imóveis!$Q$6,Dados!$A636&lt;=Imóveis!$T$6),Imóveis!$S$6-(DATEDIF(Imóveis!$Q$6,Dados!$A636,"m")),0))=0,0,((Imóveis!$N$6/Imóveis!$S$6)+((Imóveis!$N$6-((Imóveis!$S$6-(IF(AND(Dados!$A636&gt;=Imóveis!$Q$6,Dados!$A636&lt;=Imóveis!$T$6),Imóveis!$S$6-(DATEDIF(Imóveis!$Q$6,Dados!$A636,"m")),)))*(Imóveis!$N$6/Imóveis!$S$6)))*Imóveis!$P$6))))*IF(AND(Imóveis!$E$6&gt;0,Dados!$A636&gt;Imóveis!$E$6),0,1)*Imóveis!$I$6</f>
        <v>0</v>
      </c>
      <c r="N636" s="18">
        <f t="shared" si="77"/>
        <v>37000</v>
      </c>
      <c r="O636" s="18">
        <f>SUMIFS(Receitas!$F:$F,Receitas!$J:$J,"&lt;="&amp;$A636,Receitas!$L:$L,"&gt;="&amp;$A636,Receitas!$C:$C,O$1,Receitas!$M:$M,"Mensal")+SUMIFS(Receitas!$F:$F,Receitas!$J:$J,"&lt;="&amp;$A636,Receitas!$L:$L,"&gt;="&amp;$A636,Receitas!$C:$C,O$1,Receitas!$M:$M,$B636)</f>
        <v>0</v>
      </c>
      <c r="P636" s="18">
        <f>SUMIFS(Receitas!$F:$F,Receitas!$J:$J,"&lt;="&amp;$A636,Receitas!$L:$L,"&gt;="&amp;$A636,Receitas!$C:$C,P$1,Receitas!$M:$M,"Mensal")+SUMIFS(Receitas!$F:$F,Receitas!$J:$J,"&lt;="&amp;$A636,Receitas!$L:$L,"&gt;="&amp;$A636,Receitas!$C:$C,P$1,Receitas!$M:$M,$B636)</f>
        <v>0</v>
      </c>
      <c r="Q636" s="18">
        <f>SUMIFS(Receitas!$F:$F,Receitas!$J:$J,"&lt;="&amp;$A636,Receitas!$L:$L,"&gt;="&amp;$A636,Receitas!$C:$C,Q$1,Receitas!$M:$M,"Mensal")+SUMIFS(Receitas!$F:$F,Receitas!$J:$J,"&lt;="&amp;$A636,Receitas!$L:$L,"&gt;="&amp;$A636,Receitas!$C:$C,Q$1,Receitas!$M:$M,$B636)</f>
        <v>0</v>
      </c>
      <c r="R636" s="18" cm="1">
        <f t="array" ref="R636">(IF(AND(Membros!$F$2="Sim",A636&lt;=MAX(Membros!$E$2:$E$5)),Membros!K$2,IF(AND(A636&gt;=Membros!J$2,A636&lt;=MAX(Membros!$E$2:$E$5)),Membros!K$2,0))+IF(AND(Membros!$F$3="Sim",A636&lt;=MAX(Membros!$E$2:$E$5)),Membros!K$3,IF(AND(A636&gt;=Membros!J$3,A636&lt;=MAX(Membros!$E$2:$E$5)),Membros!K$3,0)))*IF(AND(COUNTIFS(Tabela3[Tipo],"Provedor",Tabela3[Simulação Seguro],"Sim")=2,A636&gt;=MAX(IF(Tabela3[Tipo]="Dependente",Tabela3[Expectativa de Vida (Data)]))),0,1)</f>
        <v>10000</v>
      </c>
      <c r="S636" s="18">
        <f t="shared" si="78"/>
        <v>10000</v>
      </c>
      <c r="U636" s="18">
        <f t="shared" ca="1" si="81"/>
        <v>43237804.551765278</v>
      </c>
      <c r="V636" s="18">
        <f>SUMIF(Imóveis!E:E,Dados!A:A,Imóveis!Z:Z)-SUMIF(Imóveis!E:E,Dados!A:A,Imóveis!Y:Y)</f>
        <v>0</v>
      </c>
      <c r="W636" s="18">
        <f>-SUMIF(Projetos!N:N,A636,Projetos!F:F)</f>
        <v>0</v>
      </c>
      <c r="X636" s="18">
        <f t="shared" si="75"/>
        <v>-27000</v>
      </c>
      <c r="Y636" s="26">
        <f ca="1">(U636*((Indicadores_Economicos!D$2+1)^(1/12)-1))</f>
        <v>141549.3208560553</v>
      </c>
      <c r="Z636" s="18">
        <f t="shared" ca="1" si="79"/>
        <v>43352353.872621335</v>
      </c>
      <c r="AA636" s="18">
        <f ca="1">Auxiliar_Projetos!E636</f>
        <v>3.1054440886798874E-9</v>
      </c>
      <c r="AB636" s="18">
        <f ca="1">Auxiliar_Projetos!K636</f>
        <v>2.3888031451383713E-9</v>
      </c>
      <c r="AC636" s="18">
        <f ca="1">IF(Z636-AA636-AB636&gt;Investimentos!$C$14,Investimentos!$C$14,IF(Z636-AA636-AB636&lt;Investimentos!$C$14,Z636-AA636-AB636,0))</f>
        <v>300000</v>
      </c>
      <c r="AD636" s="18">
        <f t="shared" ca="1" si="80"/>
        <v>43052353.872621335</v>
      </c>
      <c r="AE636" s="18"/>
    </row>
    <row r="637" spans="1:31" x14ac:dyDescent="0.2">
      <c r="A637" s="4">
        <v>64985</v>
      </c>
      <c r="B637" s="5" t="str">
        <f t="shared" si="76"/>
        <v>dezembro</v>
      </c>
      <c r="C637" s="5" t="str">
        <f t="shared" si="82"/>
        <v>2077</v>
      </c>
      <c r="D637" s="5">
        <f>SUMIFS(Despesas!$F:$F,Despesas!$J:$J,"&lt;="&amp;$A637,Despesas!$L:$L,"&gt;="&amp;$A637,Despesas!$C:$C,D$1,Despesas!$M:$M,"Mensal")+SUMIFS(Despesas!$F:$F,Despesas!$J:$J,"&lt;="&amp;$A637,Despesas!$L:$L,"&gt;="&amp;$A637,Despesas!$C:$C,D$1,Despesas!$M:$M,$B637)</f>
        <v>23000</v>
      </c>
      <c r="E637" s="18">
        <f>SUMIFS(Despesas!$F:$F,Despesas!$J:$J,"&lt;="&amp;$A637,Despesas!$L:$L,"&gt;="&amp;$A637,Despesas!$C:$C,E$1,Despesas!$M:$M,"Mensal")+SUMIFS(Despesas!$F:$F,Despesas!$J:$J,"&lt;="&amp;$A637,Despesas!$L:$L,"&gt;="&amp;$A637,Despesas!$C:$C,E$1,Despesas!$M:$M,$B637)</f>
        <v>0</v>
      </c>
      <c r="F637" s="5">
        <f>SUMIFS(Despesas!$F:$F,Despesas!$J:$J,"&lt;="&amp;$A637,Despesas!$L:$L,"&gt;="&amp;$A637,Despesas!$C:$C,F$1,Despesas!$M:$M,"Mensal")+SUMIFS(Despesas!$F:$F,Despesas!$J:$J,"&lt;="&amp;$A637,Despesas!$L:$L,"&gt;="&amp;$A637,Despesas!$C:$C,F$1,Despesas!$M:$M,$B637)</f>
        <v>13000</v>
      </c>
      <c r="G637" s="5">
        <f ca="1">SUMIFS(Despesas!$F:$F,Despesas!$J:$J,"&lt;="&amp;$A637,Despesas!$L:$L,"&gt;="&amp;$A637,Despesas!$C:$C,G$1,Despesas!$M:$M,"Mensal")+SUMIFS(Despesas!$F:$F,Despesas!$J:$J,"&lt;="&amp;$A637,Despesas!$L:$L,"&gt;="&amp;$A637,Despesas!$C:$C,G$1,Despesas!$M:$M,$B637)</f>
        <v>55757</v>
      </c>
      <c r="H637" s="18">
        <f>SUMIFS(Despesas!$F:$F,Despesas!$J:$J,"&lt;="&amp;$A637,Despesas!$L:$L,"&gt;="&amp;$A637,Despesas!$C:$C,H$1,Despesas!$M:$M,"Mensal")+SUMIFS(Despesas!$F:$F,Despesas!$J:$J,"&lt;="&amp;$A637,Despesas!$L:$L,"&gt;="&amp;$A637,Despesas!$C:$C,H$1,Despesas!$M:$M,$B637)</f>
        <v>1000</v>
      </c>
      <c r="I637" s="18">
        <f>IF(Imóveis!$F$2="PRICE",IF(AND(Dados!$A637&gt;=Imóveis!$Q$2,Dados!$A637&lt;=Imóveis!$T$2),Imóveis!$U$2,0),IF((IF(AND(Dados!$A637&gt;=Imóveis!$Q$2,Dados!$A637&lt;=Imóveis!$T$2),Imóveis!$S$2-(DATEDIF(Imóveis!$Q$2,Dados!$A637,"m")),0))=0,0,((Imóveis!$N$2/Imóveis!$S$2)+((Imóveis!$N$2-((Imóveis!$S$2-(IF(AND(Dados!$A637&gt;=Imóveis!$Q$2,Dados!$A637&lt;=Imóveis!$T$2),Imóveis!$S$2-(DATEDIF(Imóveis!$Q$2,Dados!$A637,"m")),)))*(Imóveis!$N$2/Imóveis!$S$2)))*Imóveis!$P$2))))*IF(AND(Imóveis!$E$2&gt;0,Dados!$A637&gt;Imóveis!$E$2),0,1)</f>
        <v>0</v>
      </c>
      <c r="J637" s="18">
        <f>IF(Imóveis!$F$3="PRICE",IF(AND(Dados!$A637&gt;=Imóveis!$Q$3,Dados!$A637&lt;=Imóveis!$T$3),Imóveis!$U$3,0),IF((IF(AND(Dados!$A637&gt;=Imóveis!$Q$3,Dados!$A637&lt;=Imóveis!$T$3),Imóveis!$S$3-(DATEDIF(Imóveis!$Q$3,Dados!$A637,"m")),0))=0,0,((Imóveis!$N$3/Imóveis!$S$3)+((Imóveis!$N$3-((Imóveis!$S$3-(IF(AND(Dados!$A637&gt;=Imóveis!$Q$3,Dados!$A637&lt;=Imóveis!$T$3),Imóveis!$S$3-(DATEDIF(Imóveis!$Q$3,Dados!$A637,"m")),)))*(Imóveis!$N$3/Imóveis!$S$3)))*Imóveis!$P$3))))*IF(AND(Imóveis!$E$3&gt;0,Dados!$A637&gt;Imóveis!$E$3),0,1)</f>
        <v>0</v>
      </c>
      <c r="K637" s="18">
        <f>IF(Imóveis!$F$4="PRICE",IF(AND(Dados!$A637&gt;=Imóveis!$Q$4,Dados!$A637&lt;=Imóveis!$T$4),Imóveis!$U$4,0),IF((IF(AND(Dados!$A637&gt;=Imóveis!$Q$4,Dados!$A637&lt;=Imóveis!$T$4),Imóveis!$S$4-(DATEDIF(Imóveis!$Q$4,Dados!$A637,"m")),0))=0,0,((Imóveis!$N$4/Imóveis!$S$4)+((Imóveis!$N$4-((Imóveis!$S$4-(IF(AND(Dados!$A637&gt;=Imóveis!$Q$4,Dados!$A637&lt;=Imóveis!$T$4),Imóveis!$S$4-(DATEDIF(Imóveis!$Q$4,Dados!$A637,"m")),)))*(Imóveis!$N$4/Imóveis!$S$4)))*Imóveis!$P$4))))*IF(AND(Imóveis!$E$4&gt;0,Dados!$A637&gt;Imóveis!$E$4),0,1)</f>
        <v>0</v>
      </c>
      <c r="L637" s="18">
        <f>IF(Imóveis!$F$5="PRICE",IF(AND(Dados!$A637&gt;=Imóveis!$Q$5,Dados!$A637&lt;=Imóveis!$T$5),Imóveis!$U$5,0),IF((IF(AND(Dados!$A637&gt;=Imóveis!$Q$5,Dados!$A637&lt;=Imóveis!$T$5),Imóveis!$S$5-(DATEDIF(Imóveis!$Q$5,Dados!$A637,"m")),0))=0,0,((Imóveis!$N$5/Imóveis!$S$5)+((Imóveis!$N$5-((Imóveis!$S$5-(IF(AND(Dados!$A637 &gt;=Imóveis!$Q$5,Dados!$A637&lt;=Imóveis!$T$5),Imóveis!$S$5-(DATEDIF(Imóveis!$Q$5,Dados!$A637,"m")),)))*(Imóveis!$N$5/Imóveis!$S$5)))*Imóveis!$P$5))))*IF(AND(Imóveis!$E$5&gt;0,Dados!$A637&gt;Imóveis!$E$5),0,1)*Imóveis!$I$5</f>
        <v>0</v>
      </c>
      <c r="M637" s="18">
        <f>IF(Imóveis!$F$6="PRICE",IF(AND(Dados!$A637&gt;=Imóveis!$Q$6,Dados!$A637&lt;=Imóveis!$T$6),Imóveis!$U$6,0),IF((IF(AND(Dados!$A637&gt;=Imóveis!$Q$6,Dados!$A637&lt;=Imóveis!$T$6),Imóveis!$S$6-(DATEDIF(Imóveis!$Q$6,Dados!$A637,"m")),0))=0,0,((Imóveis!$N$6/Imóveis!$S$6)+((Imóveis!$N$6-((Imóveis!$S$6-(IF(AND(Dados!$A637&gt;=Imóveis!$Q$6,Dados!$A637&lt;=Imóveis!$T$6),Imóveis!$S$6-(DATEDIF(Imóveis!$Q$6,Dados!$A637,"m")),)))*(Imóveis!$N$6/Imóveis!$S$6)))*Imóveis!$P$6))))*IF(AND(Imóveis!$E$6&gt;0,Dados!$A637&gt;Imóveis!$E$6),0,1)*Imóveis!$I$6</f>
        <v>0</v>
      </c>
      <c r="N637" s="18">
        <f t="shared" ca="1" si="77"/>
        <v>92757</v>
      </c>
      <c r="O637" s="18">
        <f>SUMIFS(Receitas!$F:$F,Receitas!$J:$J,"&lt;="&amp;$A637,Receitas!$L:$L,"&gt;="&amp;$A637,Receitas!$C:$C,O$1,Receitas!$M:$M,"Mensal")+SUMIFS(Receitas!$F:$F,Receitas!$J:$J,"&lt;="&amp;$A637,Receitas!$L:$L,"&gt;="&amp;$A637,Receitas!$C:$C,O$1,Receitas!$M:$M,$B637)</f>
        <v>0</v>
      </c>
      <c r="P637" s="18">
        <f>SUMIFS(Receitas!$F:$F,Receitas!$J:$J,"&lt;="&amp;$A637,Receitas!$L:$L,"&gt;="&amp;$A637,Receitas!$C:$C,P$1,Receitas!$M:$M,"Mensal")+SUMIFS(Receitas!$F:$F,Receitas!$J:$J,"&lt;="&amp;$A637,Receitas!$L:$L,"&gt;="&amp;$A637,Receitas!$C:$C,P$1,Receitas!$M:$M,$B637)</f>
        <v>0</v>
      </c>
      <c r="Q637" s="18">
        <f>SUMIFS(Receitas!$F:$F,Receitas!$J:$J,"&lt;="&amp;$A637,Receitas!$L:$L,"&gt;="&amp;$A637,Receitas!$C:$C,Q$1,Receitas!$M:$M,"Mensal")+SUMIFS(Receitas!$F:$F,Receitas!$J:$J,"&lt;="&amp;$A637,Receitas!$L:$L,"&gt;="&amp;$A637,Receitas!$C:$C,Q$1,Receitas!$M:$M,$B637)</f>
        <v>0</v>
      </c>
      <c r="R637" s="18" cm="1">
        <f t="array" ref="R637">(IF(AND(Membros!$F$2="Sim",A637&lt;=MAX(Membros!$E$2:$E$5)),Membros!K$2,IF(AND(A637&gt;=Membros!J$2,A637&lt;=MAX(Membros!$E$2:$E$5)),Membros!K$2,0))+IF(AND(Membros!$F$3="Sim",A637&lt;=MAX(Membros!$E$2:$E$5)),Membros!K$3,IF(AND(A637&gt;=Membros!J$3,A637&lt;=MAX(Membros!$E$2:$E$5)),Membros!K$3,0)))*IF(AND(COUNTIFS(Tabela3[Tipo],"Provedor",Tabela3[Simulação Seguro],"Sim")=2,A637&gt;=MAX(IF(Tabela3[Tipo]="Dependente",Tabela3[Expectativa de Vida (Data)]))),0,1)</f>
        <v>10000</v>
      </c>
      <c r="S637" s="18">
        <f t="shared" si="78"/>
        <v>10000</v>
      </c>
      <c r="U637" s="18">
        <f t="shared" ca="1" si="81"/>
        <v>43352353.872621335</v>
      </c>
      <c r="V637" s="18">
        <f>SUMIF(Imóveis!E:E,Dados!A:A,Imóveis!Z:Z)-SUMIF(Imóveis!E:E,Dados!A:A,Imóveis!Y:Y)</f>
        <v>0</v>
      </c>
      <c r="W637" s="18">
        <f>-SUMIF(Projetos!N:N,A637,Projetos!F:F)</f>
        <v>0</v>
      </c>
      <c r="X637" s="18">
        <f t="shared" ca="1" si="75"/>
        <v>-82757</v>
      </c>
      <c r="Y637" s="26">
        <f ca="1">(U637*((Indicadores_Economicos!D$2+1)^(1/12)-1))</f>
        <v>141924.32552476565</v>
      </c>
      <c r="Z637" s="18">
        <f t="shared" ca="1" si="79"/>
        <v>43411521.198146097</v>
      </c>
      <c r="AA637" s="18">
        <f ca="1">Auxiliar_Projetos!E637</f>
        <v>3.1156105045343931E-9</v>
      </c>
      <c r="AB637" s="18">
        <f ca="1">Auxiliar_Projetos!K637</f>
        <v>2.3966234650264528E-9</v>
      </c>
      <c r="AC637" s="18">
        <f ca="1">IF(Z637-AA637-AB637&gt;Investimentos!$C$14,Investimentos!$C$14,IF(Z637-AA637-AB637&lt;Investimentos!$C$14,Z637-AA637-AB637,0))</f>
        <v>300000</v>
      </c>
      <c r="AD637" s="18">
        <f t="shared" ca="1" si="80"/>
        <v>43111521.198146097</v>
      </c>
      <c r="AE637" s="18"/>
    </row>
    <row r="638" spans="1:31" x14ac:dyDescent="0.2">
      <c r="A638" s="4">
        <v>65016</v>
      </c>
      <c r="B638" s="5" t="str">
        <f t="shared" si="76"/>
        <v>janeiro</v>
      </c>
      <c r="C638" s="5" t="str">
        <f t="shared" si="82"/>
        <v>2078</v>
      </c>
      <c r="D638" s="5">
        <f>SUMIFS(Despesas!$F:$F,Despesas!$J:$J,"&lt;="&amp;$A638,Despesas!$L:$L,"&gt;="&amp;$A638,Despesas!$C:$C,D$1,Despesas!$M:$M,"Mensal")+SUMIFS(Despesas!$F:$F,Despesas!$J:$J,"&lt;="&amp;$A638,Despesas!$L:$L,"&gt;="&amp;$A638,Despesas!$C:$C,D$1,Despesas!$M:$M,$B638)</f>
        <v>23000</v>
      </c>
      <c r="E638" s="18">
        <f>SUMIFS(Despesas!$F:$F,Despesas!$J:$J,"&lt;="&amp;$A638,Despesas!$L:$L,"&gt;="&amp;$A638,Despesas!$C:$C,E$1,Despesas!$M:$M,"Mensal")+SUMIFS(Despesas!$F:$F,Despesas!$J:$J,"&lt;="&amp;$A638,Despesas!$L:$L,"&gt;="&amp;$A638,Despesas!$C:$C,E$1,Despesas!$M:$M,$B638)</f>
        <v>0</v>
      </c>
      <c r="F638" s="5">
        <f>SUMIFS(Despesas!$F:$F,Despesas!$J:$J,"&lt;="&amp;$A638,Despesas!$L:$L,"&gt;="&amp;$A638,Despesas!$C:$C,F$1,Despesas!$M:$M,"Mensal")+SUMIFS(Despesas!$F:$F,Despesas!$J:$J,"&lt;="&amp;$A638,Despesas!$L:$L,"&gt;="&amp;$A638,Despesas!$C:$C,F$1,Despesas!$M:$M,$B638)</f>
        <v>13000</v>
      </c>
      <c r="G638" s="5">
        <f>SUMIFS(Despesas!$F:$F,Despesas!$J:$J,"&lt;="&amp;$A638,Despesas!$L:$L,"&gt;="&amp;$A638,Despesas!$C:$C,G$1,Despesas!$M:$M,"Mensal")+SUMIFS(Despesas!$F:$F,Despesas!$J:$J,"&lt;="&amp;$A638,Despesas!$L:$L,"&gt;="&amp;$A638,Despesas!$C:$C,G$1,Despesas!$M:$M,$B638)</f>
        <v>0</v>
      </c>
      <c r="H638" s="18">
        <f>SUMIFS(Despesas!$F:$F,Despesas!$J:$J,"&lt;="&amp;$A638,Despesas!$L:$L,"&gt;="&amp;$A638,Despesas!$C:$C,H$1,Despesas!$M:$M,"Mensal")+SUMIFS(Despesas!$F:$F,Despesas!$J:$J,"&lt;="&amp;$A638,Despesas!$L:$L,"&gt;="&amp;$A638,Despesas!$C:$C,H$1,Despesas!$M:$M,$B638)</f>
        <v>1000</v>
      </c>
      <c r="I638" s="18">
        <f>IF(Imóveis!$F$2="PRICE",IF(AND(Dados!$A638&gt;=Imóveis!$Q$2,Dados!$A638&lt;=Imóveis!$T$2),Imóveis!$U$2,0),IF((IF(AND(Dados!$A638&gt;=Imóveis!$Q$2,Dados!$A638&lt;=Imóveis!$T$2),Imóveis!$S$2-(DATEDIF(Imóveis!$Q$2,Dados!$A638,"m")),0))=0,0,((Imóveis!$N$2/Imóveis!$S$2)+((Imóveis!$N$2-((Imóveis!$S$2-(IF(AND(Dados!$A638&gt;=Imóveis!$Q$2,Dados!$A638&lt;=Imóveis!$T$2),Imóveis!$S$2-(DATEDIF(Imóveis!$Q$2,Dados!$A638,"m")),)))*(Imóveis!$N$2/Imóveis!$S$2)))*Imóveis!$P$2))))*IF(AND(Imóveis!$E$2&gt;0,Dados!$A638&gt;Imóveis!$E$2),0,1)</f>
        <v>0</v>
      </c>
      <c r="J638" s="18">
        <f>IF(Imóveis!$F$3="PRICE",IF(AND(Dados!$A638&gt;=Imóveis!$Q$3,Dados!$A638&lt;=Imóveis!$T$3),Imóveis!$U$3,0),IF((IF(AND(Dados!$A638&gt;=Imóveis!$Q$3,Dados!$A638&lt;=Imóveis!$T$3),Imóveis!$S$3-(DATEDIF(Imóveis!$Q$3,Dados!$A638,"m")),0))=0,0,((Imóveis!$N$3/Imóveis!$S$3)+((Imóveis!$N$3-((Imóveis!$S$3-(IF(AND(Dados!$A638&gt;=Imóveis!$Q$3,Dados!$A638&lt;=Imóveis!$T$3),Imóveis!$S$3-(DATEDIF(Imóveis!$Q$3,Dados!$A638,"m")),)))*(Imóveis!$N$3/Imóveis!$S$3)))*Imóveis!$P$3))))*IF(AND(Imóveis!$E$3&gt;0,Dados!$A638&gt;Imóveis!$E$3),0,1)</f>
        <v>0</v>
      </c>
      <c r="K638" s="18">
        <f>IF(Imóveis!$F$4="PRICE",IF(AND(Dados!$A638&gt;=Imóveis!$Q$4,Dados!$A638&lt;=Imóveis!$T$4),Imóveis!$U$4,0),IF((IF(AND(Dados!$A638&gt;=Imóveis!$Q$4,Dados!$A638&lt;=Imóveis!$T$4),Imóveis!$S$4-(DATEDIF(Imóveis!$Q$4,Dados!$A638,"m")),0))=0,0,((Imóveis!$N$4/Imóveis!$S$4)+((Imóveis!$N$4-((Imóveis!$S$4-(IF(AND(Dados!$A638&gt;=Imóveis!$Q$4,Dados!$A638&lt;=Imóveis!$T$4),Imóveis!$S$4-(DATEDIF(Imóveis!$Q$4,Dados!$A638,"m")),)))*(Imóveis!$N$4/Imóveis!$S$4)))*Imóveis!$P$4))))*IF(AND(Imóveis!$E$4&gt;0,Dados!$A638&gt;Imóveis!$E$4),0,1)</f>
        <v>0</v>
      </c>
      <c r="L638" s="18">
        <f>IF(Imóveis!$F$5="PRICE",IF(AND(Dados!$A638&gt;=Imóveis!$Q$5,Dados!$A638&lt;=Imóveis!$T$5),Imóveis!$U$5,0),IF((IF(AND(Dados!$A638&gt;=Imóveis!$Q$5,Dados!$A638&lt;=Imóveis!$T$5),Imóveis!$S$5-(DATEDIF(Imóveis!$Q$5,Dados!$A638,"m")),0))=0,0,((Imóveis!$N$5/Imóveis!$S$5)+((Imóveis!$N$5-((Imóveis!$S$5-(IF(AND(Dados!$A638 &gt;=Imóveis!$Q$5,Dados!$A638&lt;=Imóveis!$T$5),Imóveis!$S$5-(DATEDIF(Imóveis!$Q$5,Dados!$A638,"m")),)))*(Imóveis!$N$5/Imóveis!$S$5)))*Imóveis!$P$5))))*IF(AND(Imóveis!$E$5&gt;0,Dados!$A638&gt;Imóveis!$E$5),0,1)*Imóveis!$I$5</f>
        <v>0</v>
      </c>
      <c r="M638" s="18">
        <f>IF(Imóveis!$F$6="PRICE",IF(AND(Dados!$A638&gt;=Imóveis!$Q$6,Dados!$A638&lt;=Imóveis!$T$6),Imóveis!$U$6,0),IF((IF(AND(Dados!$A638&gt;=Imóveis!$Q$6,Dados!$A638&lt;=Imóveis!$T$6),Imóveis!$S$6-(DATEDIF(Imóveis!$Q$6,Dados!$A638,"m")),0))=0,0,((Imóveis!$N$6/Imóveis!$S$6)+((Imóveis!$N$6-((Imóveis!$S$6-(IF(AND(Dados!$A638&gt;=Imóveis!$Q$6,Dados!$A638&lt;=Imóveis!$T$6),Imóveis!$S$6-(DATEDIF(Imóveis!$Q$6,Dados!$A638,"m")),)))*(Imóveis!$N$6/Imóveis!$S$6)))*Imóveis!$P$6))))*IF(AND(Imóveis!$E$6&gt;0,Dados!$A638&gt;Imóveis!$E$6),0,1)*Imóveis!$I$6</f>
        <v>0</v>
      </c>
      <c r="N638" s="18">
        <f t="shared" si="77"/>
        <v>37000</v>
      </c>
      <c r="O638" s="18">
        <f>SUMIFS(Receitas!$F:$F,Receitas!$J:$J,"&lt;="&amp;$A638,Receitas!$L:$L,"&gt;="&amp;$A638,Receitas!$C:$C,O$1,Receitas!$M:$M,"Mensal")+SUMIFS(Receitas!$F:$F,Receitas!$J:$J,"&lt;="&amp;$A638,Receitas!$L:$L,"&gt;="&amp;$A638,Receitas!$C:$C,O$1,Receitas!$M:$M,$B638)</f>
        <v>0</v>
      </c>
      <c r="P638" s="18">
        <f>SUMIFS(Receitas!$F:$F,Receitas!$J:$J,"&lt;="&amp;$A638,Receitas!$L:$L,"&gt;="&amp;$A638,Receitas!$C:$C,P$1,Receitas!$M:$M,"Mensal")+SUMIFS(Receitas!$F:$F,Receitas!$J:$J,"&lt;="&amp;$A638,Receitas!$L:$L,"&gt;="&amp;$A638,Receitas!$C:$C,P$1,Receitas!$M:$M,$B638)</f>
        <v>0</v>
      </c>
      <c r="Q638" s="18">
        <f>SUMIFS(Receitas!$F:$F,Receitas!$J:$J,"&lt;="&amp;$A638,Receitas!$L:$L,"&gt;="&amp;$A638,Receitas!$C:$C,Q$1,Receitas!$M:$M,"Mensal")+SUMIFS(Receitas!$F:$F,Receitas!$J:$J,"&lt;="&amp;$A638,Receitas!$L:$L,"&gt;="&amp;$A638,Receitas!$C:$C,Q$1,Receitas!$M:$M,$B638)</f>
        <v>0</v>
      </c>
      <c r="R638" s="18" cm="1">
        <f t="array" ref="R638">(IF(AND(Membros!$F$2="Sim",A638&lt;=MAX(Membros!$E$2:$E$5)),Membros!K$2,IF(AND(A638&gt;=Membros!J$2,A638&lt;=MAX(Membros!$E$2:$E$5)),Membros!K$2,0))+IF(AND(Membros!$F$3="Sim",A638&lt;=MAX(Membros!$E$2:$E$5)),Membros!K$3,IF(AND(A638&gt;=Membros!J$3,A638&lt;=MAX(Membros!$E$2:$E$5)),Membros!K$3,0)))*IF(AND(COUNTIFS(Tabela3[Tipo],"Provedor",Tabela3[Simulação Seguro],"Sim")=2,A638&gt;=MAX(IF(Tabela3[Tipo]="Dependente",Tabela3[Expectativa de Vida (Data)]))),0,1)</f>
        <v>10000</v>
      </c>
      <c r="S638" s="18">
        <f t="shared" si="78"/>
        <v>10000</v>
      </c>
      <c r="U638" s="18">
        <f t="shared" ca="1" si="81"/>
        <v>43411521.198146097</v>
      </c>
      <c r="V638" s="18">
        <f>SUMIF(Imóveis!E:E,Dados!A:A,Imóveis!Z:Z)-SUMIF(Imóveis!E:E,Dados!A:A,Imóveis!Y:Y)</f>
        <v>0</v>
      </c>
      <c r="W638" s="18">
        <f>-SUMIF(Projetos!N:N,A638,Projetos!F:F)</f>
        <v>0</v>
      </c>
      <c r="X638" s="18">
        <f t="shared" si="75"/>
        <v>-27000</v>
      </c>
      <c r="Y638" s="26">
        <f ca="1">(U638*((Indicadores_Economicos!D$2+1)^(1/12)-1))</f>
        <v>142118.02395214236</v>
      </c>
      <c r="Z638" s="18">
        <f t="shared" ca="1" si="79"/>
        <v>43526639.222098239</v>
      </c>
      <c r="AA638" s="18">
        <f ca="1">Auxiliar_Projetos!E638</f>
        <v>3.125810202588924E-9</v>
      </c>
      <c r="AB638" s="18">
        <f ca="1">Auxiliar_Projetos!K638</f>
        <v>2.4044693866068613E-9</v>
      </c>
      <c r="AC638" s="18">
        <f ca="1">IF(Z638-AA638-AB638&gt;Investimentos!$C$14,Investimentos!$C$14,IF(Z638-AA638-AB638&lt;Investimentos!$C$14,Z638-AA638-AB638,0))</f>
        <v>300000</v>
      </c>
      <c r="AD638" s="18">
        <f t="shared" ca="1" si="80"/>
        <v>43226639.222098239</v>
      </c>
      <c r="AE638" s="18"/>
    </row>
    <row r="639" spans="1:31" x14ac:dyDescent="0.2">
      <c r="A639" s="4">
        <v>65047</v>
      </c>
      <c r="B639" s="5" t="str">
        <f t="shared" si="76"/>
        <v>fevereiro</v>
      </c>
      <c r="C639" s="5" t="str">
        <f t="shared" si="82"/>
        <v>2078</v>
      </c>
      <c r="D639" s="5">
        <f>SUMIFS(Despesas!$F:$F,Despesas!$J:$J,"&lt;="&amp;$A639,Despesas!$L:$L,"&gt;="&amp;$A639,Despesas!$C:$C,D$1,Despesas!$M:$M,"Mensal")+SUMIFS(Despesas!$F:$F,Despesas!$J:$J,"&lt;="&amp;$A639,Despesas!$L:$L,"&gt;="&amp;$A639,Despesas!$C:$C,D$1,Despesas!$M:$M,$B639)</f>
        <v>23000</v>
      </c>
      <c r="E639" s="18">
        <f>SUMIFS(Despesas!$F:$F,Despesas!$J:$J,"&lt;="&amp;$A639,Despesas!$L:$L,"&gt;="&amp;$A639,Despesas!$C:$C,E$1,Despesas!$M:$M,"Mensal")+SUMIFS(Despesas!$F:$F,Despesas!$J:$J,"&lt;="&amp;$A639,Despesas!$L:$L,"&gt;="&amp;$A639,Despesas!$C:$C,E$1,Despesas!$M:$M,$B639)</f>
        <v>0</v>
      </c>
      <c r="F639" s="5">
        <f>SUMIFS(Despesas!$F:$F,Despesas!$J:$J,"&lt;="&amp;$A639,Despesas!$L:$L,"&gt;="&amp;$A639,Despesas!$C:$C,F$1,Despesas!$M:$M,"Mensal")+SUMIFS(Despesas!$F:$F,Despesas!$J:$J,"&lt;="&amp;$A639,Despesas!$L:$L,"&gt;="&amp;$A639,Despesas!$C:$C,F$1,Despesas!$M:$M,$B639)</f>
        <v>13000</v>
      </c>
      <c r="G639" s="5">
        <f>SUMIFS(Despesas!$F:$F,Despesas!$J:$J,"&lt;="&amp;$A639,Despesas!$L:$L,"&gt;="&amp;$A639,Despesas!$C:$C,G$1,Despesas!$M:$M,"Mensal")+SUMIFS(Despesas!$F:$F,Despesas!$J:$J,"&lt;="&amp;$A639,Despesas!$L:$L,"&gt;="&amp;$A639,Despesas!$C:$C,G$1,Despesas!$M:$M,$B639)</f>
        <v>0</v>
      </c>
      <c r="H639" s="18">
        <f>SUMIFS(Despesas!$F:$F,Despesas!$J:$J,"&lt;="&amp;$A639,Despesas!$L:$L,"&gt;="&amp;$A639,Despesas!$C:$C,H$1,Despesas!$M:$M,"Mensal")+SUMIFS(Despesas!$F:$F,Despesas!$J:$J,"&lt;="&amp;$A639,Despesas!$L:$L,"&gt;="&amp;$A639,Despesas!$C:$C,H$1,Despesas!$M:$M,$B639)</f>
        <v>2200</v>
      </c>
      <c r="I639" s="18">
        <f>IF(Imóveis!$F$2="PRICE",IF(AND(Dados!$A639&gt;=Imóveis!$Q$2,Dados!$A639&lt;=Imóveis!$T$2),Imóveis!$U$2,0),IF((IF(AND(Dados!$A639&gt;=Imóveis!$Q$2,Dados!$A639&lt;=Imóveis!$T$2),Imóveis!$S$2-(DATEDIF(Imóveis!$Q$2,Dados!$A639,"m")),0))=0,0,((Imóveis!$N$2/Imóveis!$S$2)+((Imóveis!$N$2-((Imóveis!$S$2-(IF(AND(Dados!$A639&gt;=Imóveis!$Q$2,Dados!$A639&lt;=Imóveis!$T$2),Imóveis!$S$2-(DATEDIF(Imóveis!$Q$2,Dados!$A639,"m")),)))*(Imóveis!$N$2/Imóveis!$S$2)))*Imóveis!$P$2))))*IF(AND(Imóveis!$E$2&gt;0,Dados!$A639&gt;Imóveis!$E$2),0,1)</f>
        <v>0</v>
      </c>
      <c r="J639" s="18">
        <f>IF(Imóveis!$F$3="PRICE",IF(AND(Dados!$A639&gt;=Imóveis!$Q$3,Dados!$A639&lt;=Imóveis!$T$3),Imóveis!$U$3,0),IF((IF(AND(Dados!$A639&gt;=Imóveis!$Q$3,Dados!$A639&lt;=Imóveis!$T$3),Imóveis!$S$3-(DATEDIF(Imóveis!$Q$3,Dados!$A639,"m")),0))=0,0,((Imóveis!$N$3/Imóveis!$S$3)+((Imóveis!$N$3-((Imóveis!$S$3-(IF(AND(Dados!$A639&gt;=Imóveis!$Q$3,Dados!$A639&lt;=Imóveis!$T$3),Imóveis!$S$3-(DATEDIF(Imóveis!$Q$3,Dados!$A639,"m")),)))*(Imóveis!$N$3/Imóveis!$S$3)))*Imóveis!$P$3))))*IF(AND(Imóveis!$E$3&gt;0,Dados!$A639&gt;Imóveis!$E$3),0,1)</f>
        <v>0</v>
      </c>
      <c r="K639" s="18">
        <f>IF(Imóveis!$F$4="PRICE",IF(AND(Dados!$A639&gt;=Imóveis!$Q$4,Dados!$A639&lt;=Imóveis!$T$4),Imóveis!$U$4,0),IF((IF(AND(Dados!$A639&gt;=Imóveis!$Q$4,Dados!$A639&lt;=Imóveis!$T$4),Imóveis!$S$4-(DATEDIF(Imóveis!$Q$4,Dados!$A639,"m")),0))=0,0,((Imóveis!$N$4/Imóveis!$S$4)+((Imóveis!$N$4-((Imóveis!$S$4-(IF(AND(Dados!$A639&gt;=Imóveis!$Q$4,Dados!$A639&lt;=Imóveis!$T$4),Imóveis!$S$4-(DATEDIF(Imóveis!$Q$4,Dados!$A639,"m")),)))*(Imóveis!$N$4/Imóveis!$S$4)))*Imóveis!$P$4))))*IF(AND(Imóveis!$E$4&gt;0,Dados!$A639&gt;Imóveis!$E$4),0,1)</f>
        <v>0</v>
      </c>
      <c r="L639" s="18">
        <f>IF(Imóveis!$F$5="PRICE",IF(AND(Dados!$A639&gt;=Imóveis!$Q$5,Dados!$A639&lt;=Imóveis!$T$5),Imóveis!$U$5,0),IF((IF(AND(Dados!$A639&gt;=Imóveis!$Q$5,Dados!$A639&lt;=Imóveis!$T$5),Imóveis!$S$5-(DATEDIF(Imóveis!$Q$5,Dados!$A639,"m")),0))=0,0,((Imóveis!$N$5/Imóveis!$S$5)+((Imóveis!$N$5-((Imóveis!$S$5-(IF(AND(Dados!$A639 &gt;=Imóveis!$Q$5,Dados!$A639&lt;=Imóveis!$T$5),Imóveis!$S$5-(DATEDIF(Imóveis!$Q$5,Dados!$A639,"m")),)))*(Imóveis!$N$5/Imóveis!$S$5)))*Imóveis!$P$5))))*IF(AND(Imóveis!$E$5&gt;0,Dados!$A639&gt;Imóveis!$E$5),0,1)*Imóveis!$I$5</f>
        <v>0</v>
      </c>
      <c r="M639" s="18">
        <f>IF(Imóveis!$F$6="PRICE",IF(AND(Dados!$A639&gt;=Imóveis!$Q$6,Dados!$A639&lt;=Imóveis!$T$6),Imóveis!$U$6,0),IF((IF(AND(Dados!$A639&gt;=Imóveis!$Q$6,Dados!$A639&lt;=Imóveis!$T$6),Imóveis!$S$6-(DATEDIF(Imóveis!$Q$6,Dados!$A639,"m")),0))=0,0,((Imóveis!$N$6/Imóveis!$S$6)+((Imóveis!$N$6-((Imóveis!$S$6-(IF(AND(Dados!$A639&gt;=Imóveis!$Q$6,Dados!$A639&lt;=Imóveis!$T$6),Imóveis!$S$6-(DATEDIF(Imóveis!$Q$6,Dados!$A639,"m")),)))*(Imóveis!$N$6/Imóveis!$S$6)))*Imóveis!$P$6))))*IF(AND(Imóveis!$E$6&gt;0,Dados!$A639&gt;Imóveis!$E$6),0,1)*Imóveis!$I$6</f>
        <v>0</v>
      </c>
      <c r="N639" s="18">
        <f t="shared" si="77"/>
        <v>38200</v>
      </c>
      <c r="O639" s="18">
        <f>SUMIFS(Receitas!$F:$F,Receitas!$J:$J,"&lt;="&amp;$A639,Receitas!$L:$L,"&gt;="&amp;$A639,Receitas!$C:$C,O$1,Receitas!$M:$M,"Mensal")+SUMIFS(Receitas!$F:$F,Receitas!$J:$J,"&lt;="&amp;$A639,Receitas!$L:$L,"&gt;="&amp;$A639,Receitas!$C:$C,O$1,Receitas!$M:$M,$B639)</f>
        <v>0</v>
      </c>
      <c r="P639" s="18">
        <f>SUMIFS(Receitas!$F:$F,Receitas!$J:$J,"&lt;="&amp;$A639,Receitas!$L:$L,"&gt;="&amp;$A639,Receitas!$C:$C,P$1,Receitas!$M:$M,"Mensal")+SUMIFS(Receitas!$F:$F,Receitas!$J:$J,"&lt;="&amp;$A639,Receitas!$L:$L,"&gt;="&amp;$A639,Receitas!$C:$C,P$1,Receitas!$M:$M,$B639)</f>
        <v>0</v>
      </c>
      <c r="Q639" s="18">
        <f>SUMIFS(Receitas!$F:$F,Receitas!$J:$J,"&lt;="&amp;$A639,Receitas!$L:$L,"&gt;="&amp;$A639,Receitas!$C:$C,Q$1,Receitas!$M:$M,"Mensal")+SUMIFS(Receitas!$F:$F,Receitas!$J:$J,"&lt;="&amp;$A639,Receitas!$L:$L,"&gt;="&amp;$A639,Receitas!$C:$C,Q$1,Receitas!$M:$M,$B639)</f>
        <v>0</v>
      </c>
      <c r="R639" s="18" cm="1">
        <f t="array" ref="R639">(IF(AND(Membros!$F$2="Sim",A639&lt;=MAX(Membros!$E$2:$E$5)),Membros!K$2,IF(AND(A639&gt;=Membros!J$2,A639&lt;=MAX(Membros!$E$2:$E$5)),Membros!K$2,0))+IF(AND(Membros!$F$3="Sim",A639&lt;=MAX(Membros!$E$2:$E$5)),Membros!K$3,IF(AND(A639&gt;=Membros!J$3,A639&lt;=MAX(Membros!$E$2:$E$5)),Membros!K$3,0)))*IF(AND(COUNTIFS(Tabela3[Tipo],"Provedor",Tabela3[Simulação Seguro],"Sim")=2,A639&gt;=MAX(IF(Tabela3[Tipo]="Dependente",Tabela3[Expectativa de Vida (Data)]))),0,1)</f>
        <v>10000</v>
      </c>
      <c r="S639" s="18">
        <f t="shared" si="78"/>
        <v>10000</v>
      </c>
      <c r="U639" s="18">
        <f t="shared" ca="1" si="81"/>
        <v>43526639.222098239</v>
      </c>
      <c r="V639" s="18">
        <f>SUMIF(Imóveis!E:E,Dados!A:A,Imóveis!Z:Z)-SUMIF(Imóveis!E:E,Dados!A:A,Imóveis!Y:Y)</f>
        <v>0</v>
      </c>
      <c r="W639" s="18">
        <f>-SUMIF(Projetos!N:N,A639,Projetos!F:F)</f>
        <v>0</v>
      </c>
      <c r="X639" s="18">
        <f t="shared" si="75"/>
        <v>-28200</v>
      </c>
      <c r="Y639" s="26">
        <f ca="1">(U639*((Indicadores_Economicos!D$2+1)^(1/12)-1))</f>
        <v>142494.89040680262</v>
      </c>
      <c r="Z639" s="18">
        <f t="shared" ca="1" si="79"/>
        <v>43640934.112505041</v>
      </c>
      <c r="AA639" s="18">
        <f ca="1">Auxiliar_Projetos!E639</f>
        <v>3.1360432918007427E-9</v>
      </c>
      <c r="AB639" s="18">
        <f ca="1">Auxiliar_Projetos!K639</f>
        <v>2.4123409936928755E-9</v>
      </c>
      <c r="AC639" s="18">
        <f ca="1">IF(Z639-AA639-AB639&gt;Investimentos!$C$14,Investimentos!$C$14,IF(Z639-AA639-AB639&lt;Investimentos!$C$14,Z639-AA639-AB639,0))</f>
        <v>300000</v>
      </c>
      <c r="AD639" s="18">
        <f t="shared" ca="1" si="80"/>
        <v>43340934.112505041</v>
      </c>
      <c r="AE639" s="18"/>
    </row>
    <row r="640" spans="1:31" x14ac:dyDescent="0.2">
      <c r="A640" s="4">
        <v>65075</v>
      </c>
      <c r="B640" s="5" t="str">
        <f t="shared" si="76"/>
        <v>março</v>
      </c>
      <c r="C640" s="5" t="str">
        <f t="shared" si="82"/>
        <v>2078</v>
      </c>
      <c r="D640" s="5">
        <f>SUMIFS(Despesas!$F:$F,Despesas!$J:$J,"&lt;="&amp;$A640,Despesas!$L:$L,"&gt;="&amp;$A640,Despesas!$C:$C,D$1,Despesas!$M:$M,"Mensal")+SUMIFS(Despesas!$F:$F,Despesas!$J:$J,"&lt;="&amp;$A640,Despesas!$L:$L,"&gt;="&amp;$A640,Despesas!$C:$C,D$1,Despesas!$M:$M,$B640)</f>
        <v>23000</v>
      </c>
      <c r="E640" s="18">
        <f>SUMIFS(Despesas!$F:$F,Despesas!$J:$J,"&lt;="&amp;$A640,Despesas!$L:$L,"&gt;="&amp;$A640,Despesas!$C:$C,E$1,Despesas!$M:$M,"Mensal")+SUMIFS(Despesas!$F:$F,Despesas!$J:$J,"&lt;="&amp;$A640,Despesas!$L:$L,"&gt;="&amp;$A640,Despesas!$C:$C,E$1,Despesas!$M:$M,$B640)</f>
        <v>0</v>
      </c>
      <c r="F640" s="5">
        <f>SUMIFS(Despesas!$F:$F,Despesas!$J:$J,"&lt;="&amp;$A640,Despesas!$L:$L,"&gt;="&amp;$A640,Despesas!$C:$C,F$1,Despesas!$M:$M,"Mensal")+SUMIFS(Despesas!$F:$F,Despesas!$J:$J,"&lt;="&amp;$A640,Despesas!$L:$L,"&gt;="&amp;$A640,Despesas!$C:$C,F$1,Despesas!$M:$M,$B640)</f>
        <v>13000</v>
      </c>
      <c r="G640" s="5">
        <f>SUMIFS(Despesas!$F:$F,Despesas!$J:$J,"&lt;="&amp;$A640,Despesas!$L:$L,"&gt;="&amp;$A640,Despesas!$C:$C,G$1,Despesas!$M:$M,"Mensal")+SUMIFS(Despesas!$F:$F,Despesas!$J:$J,"&lt;="&amp;$A640,Despesas!$L:$L,"&gt;="&amp;$A640,Despesas!$C:$C,G$1,Despesas!$M:$M,$B640)</f>
        <v>0</v>
      </c>
      <c r="H640" s="18">
        <f>SUMIFS(Despesas!$F:$F,Despesas!$J:$J,"&lt;="&amp;$A640,Despesas!$L:$L,"&gt;="&amp;$A640,Despesas!$C:$C,H$1,Despesas!$M:$M,"Mensal")+SUMIFS(Despesas!$F:$F,Despesas!$J:$J,"&lt;="&amp;$A640,Despesas!$L:$L,"&gt;="&amp;$A640,Despesas!$C:$C,H$1,Despesas!$M:$M,$B640)</f>
        <v>1000</v>
      </c>
      <c r="I640" s="18">
        <f>IF(Imóveis!$F$2="PRICE",IF(AND(Dados!$A640&gt;=Imóveis!$Q$2,Dados!$A640&lt;=Imóveis!$T$2),Imóveis!$U$2,0),IF((IF(AND(Dados!$A640&gt;=Imóveis!$Q$2,Dados!$A640&lt;=Imóveis!$T$2),Imóveis!$S$2-(DATEDIF(Imóveis!$Q$2,Dados!$A640,"m")),0))=0,0,((Imóveis!$N$2/Imóveis!$S$2)+((Imóveis!$N$2-((Imóveis!$S$2-(IF(AND(Dados!$A640&gt;=Imóveis!$Q$2,Dados!$A640&lt;=Imóveis!$T$2),Imóveis!$S$2-(DATEDIF(Imóveis!$Q$2,Dados!$A640,"m")),)))*(Imóveis!$N$2/Imóveis!$S$2)))*Imóveis!$P$2))))*IF(AND(Imóveis!$E$2&gt;0,Dados!$A640&gt;Imóveis!$E$2),0,1)</f>
        <v>0</v>
      </c>
      <c r="J640" s="18">
        <f>IF(Imóveis!$F$3="PRICE",IF(AND(Dados!$A640&gt;=Imóveis!$Q$3,Dados!$A640&lt;=Imóveis!$T$3),Imóveis!$U$3,0),IF((IF(AND(Dados!$A640&gt;=Imóveis!$Q$3,Dados!$A640&lt;=Imóveis!$T$3),Imóveis!$S$3-(DATEDIF(Imóveis!$Q$3,Dados!$A640,"m")),0))=0,0,((Imóveis!$N$3/Imóveis!$S$3)+((Imóveis!$N$3-((Imóveis!$S$3-(IF(AND(Dados!$A640&gt;=Imóveis!$Q$3,Dados!$A640&lt;=Imóveis!$T$3),Imóveis!$S$3-(DATEDIF(Imóveis!$Q$3,Dados!$A640,"m")),)))*(Imóveis!$N$3/Imóveis!$S$3)))*Imóveis!$P$3))))*IF(AND(Imóveis!$E$3&gt;0,Dados!$A640&gt;Imóveis!$E$3),0,1)</f>
        <v>0</v>
      </c>
      <c r="K640" s="18">
        <f>IF(Imóveis!$F$4="PRICE",IF(AND(Dados!$A640&gt;=Imóveis!$Q$4,Dados!$A640&lt;=Imóveis!$T$4),Imóveis!$U$4,0),IF((IF(AND(Dados!$A640&gt;=Imóveis!$Q$4,Dados!$A640&lt;=Imóveis!$T$4),Imóveis!$S$4-(DATEDIF(Imóveis!$Q$4,Dados!$A640,"m")),0))=0,0,((Imóveis!$N$4/Imóveis!$S$4)+((Imóveis!$N$4-((Imóveis!$S$4-(IF(AND(Dados!$A640&gt;=Imóveis!$Q$4,Dados!$A640&lt;=Imóveis!$T$4),Imóveis!$S$4-(DATEDIF(Imóveis!$Q$4,Dados!$A640,"m")),)))*(Imóveis!$N$4/Imóveis!$S$4)))*Imóveis!$P$4))))*IF(AND(Imóveis!$E$4&gt;0,Dados!$A640&gt;Imóveis!$E$4),0,1)</f>
        <v>0</v>
      </c>
      <c r="L640" s="18">
        <f>IF(Imóveis!$F$5="PRICE",IF(AND(Dados!$A640&gt;=Imóveis!$Q$5,Dados!$A640&lt;=Imóveis!$T$5),Imóveis!$U$5,0),IF((IF(AND(Dados!$A640&gt;=Imóveis!$Q$5,Dados!$A640&lt;=Imóveis!$T$5),Imóveis!$S$5-(DATEDIF(Imóveis!$Q$5,Dados!$A640,"m")),0))=0,0,((Imóveis!$N$5/Imóveis!$S$5)+((Imóveis!$N$5-((Imóveis!$S$5-(IF(AND(Dados!$A640 &gt;=Imóveis!$Q$5,Dados!$A640&lt;=Imóveis!$T$5),Imóveis!$S$5-(DATEDIF(Imóveis!$Q$5,Dados!$A640,"m")),)))*(Imóveis!$N$5/Imóveis!$S$5)))*Imóveis!$P$5))))*IF(AND(Imóveis!$E$5&gt;0,Dados!$A640&gt;Imóveis!$E$5),0,1)*Imóveis!$I$5</f>
        <v>0</v>
      </c>
      <c r="M640" s="18">
        <f>IF(Imóveis!$F$6="PRICE",IF(AND(Dados!$A640&gt;=Imóveis!$Q$6,Dados!$A640&lt;=Imóveis!$T$6),Imóveis!$U$6,0),IF((IF(AND(Dados!$A640&gt;=Imóveis!$Q$6,Dados!$A640&lt;=Imóveis!$T$6),Imóveis!$S$6-(DATEDIF(Imóveis!$Q$6,Dados!$A640,"m")),0))=0,0,((Imóveis!$N$6/Imóveis!$S$6)+((Imóveis!$N$6-((Imóveis!$S$6-(IF(AND(Dados!$A640&gt;=Imóveis!$Q$6,Dados!$A640&lt;=Imóveis!$T$6),Imóveis!$S$6-(DATEDIF(Imóveis!$Q$6,Dados!$A640,"m")),)))*(Imóveis!$N$6/Imóveis!$S$6)))*Imóveis!$P$6))))*IF(AND(Imóveis!$E$6&gt;0,Dados!$A640&gt;Imóveis!$E$6),0,1)*Imóveis!$I$6</f>
        <v>0</v>
      </c>
      <c r="N640" s="18">
        <f t="shared" si="77"/>
        <v>37000</v>
      </c>
      <c r="O640" s="18">
        <f>SUMIFS(Receitas!$F:$F,Receitas!$J:$J,"&lt;="&amp;$A640,Receitas!$L:$L,"&gt;="&amp;$A640,Receitas!$C:$C,O$1,Receitas!$M:$M,"Mensal")+SUMIFS(Receitas!$F:$F,Receitas!$J:$J,"&lt;="&amp;$A640,Receitas!$L:$L,"&gt;="&amp;$A640,Receitas!$C:$C,O$1,Receitas!$M:$M,$B640)</f>
        <v>0</v>
      </c>
      <c r="P640" s="18">
        <f>SUMIFS(Receitas!$F:$F,Receitas!$J:$J,"&lt;="&amp;$A640,Receitas!$L:$L,"&gt;="&amp;$A640,Receitas!$C:$C,P$1,Receitas!$M:$M,"Mensal")+SUMIFS(Receitas!$F:$F,Receitas!$J:$J,"&lt;="&amp;$A640,Receitas!$L:$L,"&gt;="&amp;$A640,Receitas!$C:$C,P$1,Receitas!$M:$M,$B640)</f>
        <v>0</v>
      </c>
      <c r="Q640" s="18">
        <f>SUMIFS(Receitas!$F:$F,Receitas!$J:$J,"&lt;="&amp;$A640,Receitas!$L:$L,"&gt;="&amp;$A640,Receitas!$C:$C,Q$1,Receitas!$M:$M,"Mensal")+SUMIFS(Receitas!$F:$F,Receitas!$J:$J,"&lt;="&amp;$A640,Receitas!$L:$L,"&gt;="&amp;$A640,Receitas!$C:$C,Q$1,Receitas!$M:$M,$B640)</f>
        <v>0</v>
      </c>
      <c r="R640" s="18" cm="1">
        <f t="array" ref="R640">(IF(AND(Membros!$F$2="Sim",A640&lt;=MAX(Membros!$E$2:$E$5)),Membros!K$2,IF(AND(A640&gt;=Membros!J$2,A640&lt;=MAX(Membros!$E$2:$E$5)),Membros!K$2,0))+IF(AND(Membros!$F$3="Sim",A640&lt;=MAX(Membros!$E$2:$E$5)),Membros!K$3,IF(AND(A640&gt;=Membros!J$3,A640&lt;=MAX(Membros!$E$2:$E$5)),Membros!K$3,0)))*IF(AND(COUNTIFS(Tabela3[Tipo],"Provedor",Tabela3[Simulação Seguro],"Sim")=2,A640&gt;=MAX(IF(Tabela3[Tipo]="Dependente",Tabela3[Expectativa de Vida (Data)]))),0,1)</f>
        <v>10000</v>
      </c>
      <c r="S640" s="18">
        <f t="shared" si="78"/>
        <v>10000</v>
      </c>
      <c r="U640" s="18">
        <f t="shared" ca="1" si="81"/>
        <v>43640934.112505041</v>
      </c>
      <c r="V640" s="18">
        <f>SUMIF(Imóveis!E:E,Dados!A:A,Imóveis!Z:Z)-SUMIF(Imóveis!E:E,Dados!A:A,Imóveis!Y:Y)</f>
        <v>0</v>
      </c>
      <c r="W640" s="18">
        <f>-SUMIF(Projetos!N:N,A640,Projetos!F:F)</f>
        <v>0</v>
      </c>
      <c r="X640" s="18">
        <f t="shared" si="75"/>
        <v>-27000</v>
      </c>
      <c r="Y640" s="26">
        <f ca="1">(U640*((Indicadores_Economicos!D$2+1)^(1/12)-1))</f>
        <v>142869.06213642942</v>
      </c>
      <c r="Z640" s="18">
        <f t="shared" ca="1" si="79"/>
        <v>43756803.174641468</v>
      </c>
      <c r="AA640" s="18">
        <f ca="1">Auxiliar_Projetos!E640</f>
        <v>3.1463098814838089E-9</v>
      </c>
      <c r="AB640" s="18">
        <f ca="1">Auxiliar_Projetos!K640</f>
        <v>2.4202383703721571E-9</v>
      </c>
      <c r="AC640" s="18">
        <f ca="1">IF(Z640-AA640-AB640&gt;Investimentos!$C$14,Investimentos!$C$14,IF(Z640-AA640-AB640&lt;Investimentos!$C$14,Z640-AA640-AB640,0))</f>
        <v>300000</v>
      </c>
      <c r="AD640" s="18">
        <f t="shared" ca="1" si="80"/>
        <v>43456803.174641468</v>
      </c>
      <c r="AE640" s="18"/>
    </row>
    <row r="641" spans="1:31" x14ac:dyDescent="0.2">
      <c r="A641" s="4">
        <v>65106</v>
      </c>
      <c r="B641" s="5" t="str">
        <f t="shared" si="76"/>
        <v>abril</v>
      </c>
      <c r="C641" s="5" t="str">
        <f t="shared" si="82"/>
        <v>2078</v>
      </c>
      <c r="D641" s="5">
        <f>SUMIFS(Despesas!$F:$F,Despesas!$J:$J,"&lt;="&amp;$A641,Despesas!$L:$L,"&gt;="&amp;$A641,Despesas!$C:$C,D$1,Despesas!$M:$M,"Mensal")+SUMIFS(Despesas!$F:$F,Despesas!$J:$J,"&lt;="&amp;$A641,Despesas!$L:$L,"&gt;="&amp;$A641,Despesas!$C:$C,D$1,Despesas!$M:$M,$B641)</f>
        <v>23000</v>
      </c>
      <c r="E641" s="18">
        <f>SUMIFS(Despesas!$F:$F,Despesas!$J:$J,"&lt;="&amp;$A641,Despesas!$L:$L,"&gt;="&amp;$A641,Despesas!$C:$C,E$1,Despesas!$M:$M,"Mensal")+SUMIFS(Despesas!$F:$F,Despesas!$J:$J,"&lt;="&amp;$A641,Despesas!$L:$L,"&gt;="&amp;$A641,Despesas!$C:$C,E$1,Despesas!$M:$M,$B641)</f>
        <v>0</v>
      </c>
      <c r="F641" s="5">
        <f>SUMIFS(Despesas!$F:$F,Despesas!$J:$J,"&lt;="&amp;$A641,Despesas!$L:$L,"&gt;="&amp;$A641,Despesas!$C:$C,F$1,Despesas!$M:$M,"Mensal")+SUMIFS(Despesas!$F:$F,Despesas!$J:$J,"&lt;="&amp;$A641,Despesas!$L:$L,"&gt;="&amp;$A641,Despesas!$C:$C,F$1,Despesas!$M:$M,$B641)</f>
        <v>13000</v>
      </c>
      <c r="G641" s="5">
        <f>SUMIFS(Despesas!$F:$F,Despesas!$J:$J,"&lt;="&amp;$A641,Despesas!$L:$L,"&gt;="&amp;$A641,Despesas!$C:$C,G$1,Despesas!$M:$M,"Mensal")+SUMIFS(Despesas!$F:$F,Despesas!$J:$J,"&lt;="&amp;$A641,Despesas!$L:$L,"&gt;="&amp;$A641,Despesas!$C:$C,G$1,Despesas!$M:$M,$B641)</f>
        <v>0</v>
      </c>
      <c r="H641" s="18">
        <f>SUMIFS(Despesas!$F:$F,Despesas!$J:$J,"&lt;="&amp;$A641,Despesas!$L:$L,"&gt;="&amp;$A641,Despesas!$C:$C,H$1,Despesas!$M:$M,"Mensal")+SUMIFS(Despesas!$F:$F,Despesas!$J:$J,"&lt;="&amp;$A641,Despesas!$L:$L,"&gt;="&amp;$A641,Despesas!$C:$C,H$1,Despesas!$M:$M,$B641)</f>
        <v>1000</v>
      </c>
      <c r="I641" s="18">
        <f>IF(Imóveis!$F$2="PRICE",IF(AND(Dados!$A641&gt;=Imóveis!$Q$2,Dados!$A641&lt;=Imóveis!$T$2),Imóveis!$U$2,0),IF((IF(AND(Dados!$A641&gt;=Imóveis!$Q$2,Dados!$A641&lt;=Imóveis!$T$2),Imóveis!$S$2-(DATEDIF(Imóveis!$Q$2,Dados!$A641,"m")),0))=0,0,((Imóveis!$N$2/Imóveis!$S$2)+((Imóveis!$N$2-((Imóveis!$S$2-(IF(AND(Dados!$A641&gt;=Imóveis!$Q$2,Dados!$A641&lt;=Imóveis!$T$2),Imóveis!$S$2-(DATEDIF(Imóveis!$Q$2,Dados!$A641,"m")),)))*(Imóveis!$N$2/Imóveis!$S$2)))*Imóveis!$P$2))))*IF(AND(Imóveis!$E$2&gt;0,Dados!$A641&gt;Imóveis!$E$2),0,1)</f>
        <v>0</v>
      </c>
      <c r="J641" s="18">
        <f>IF(Imóveis!$F$3="PRICE",IF(AND(Dados!$A641&gt;=Imóveis!$Q$3,Dados!$A641&lt;=Imóveis!$T$3),Imóveis!$U$3,0),IF((IF(AND(Dados!$A641&gt;=Imóveis!$Q$3,Dados!$A641&lt;=Imóveis!$T$3),Imóveis!$S$3-(DATEDIF(Imóveis!$Q$3,Dados!$A641,"m")),0))=0,0,((Imóveis!$N$3/Imóveis!$S$3)+((Imóveis!$N$3-((Imóveis!$S$3-(IF(AND(Dados!$A641&gt;=Imóveis!$Q$3,Dados!$A641&lt;=Imóveis!$T$3),Imóveis!$S$3-(DATEDIF(Imóveis!$Q$3,Dados!$A641,"m")),)))*(Imóveis!$N$3/Imóveis!$S$3)))*Imóveis!$P$3))))*IF(AND(Imóveis!$E$3&gt;0,Dados!$A641&gt;Imóveis!$E$3),0,1)</f>
        <v>0</v>
      </c>
      <c r="K641" s="18">
        <f>IF(Imóveis!$F$4="PRICE",IF(AND(Dados!$A641&gt;=Imóveis!$Q$4,Dados!$A641&lt;=Imóveis!$T$4),Imóveis!$U$4,0),IF((IF(AND(Dados!$A641&gt;=Imóveis!$Q$4,Dados!$A641&lt;=Imóveis!$T$4),Imóveis!$S$4-(DATEDIF(Imóveis!$Q$4,Dados!$A641,"m")),0))=0,0,((Imóveis!$N$4/Imóveis!$S$4)+((Imóveis!$N$4-((Imóveis!$S$4-(IF(AND(Dados!$A641&gt;=Imóveis!$Q$4,Dados!$A641&lt;=Imóveis!$T$4),Imóveis!$S$4-(DATEDIF(Imóveis!$Q$4,Dados!$A641,"m")),)))*(Imóveis!$N$4/Imóveis!$S$4)))*Imóveis!$P$4))))*IF(AND(Imóveis!$E$4&gt;0,Dados!$A641&gt;Imóveis!$E$4),0,1)</f>
        <v>0</v>
      </c>
      <c r="L641" s="18">
        <f>IF(Imóveis!$F$5="PRICE",IF(AND(Dados!$A641&gt;=Imóveis!$Q$5,Dados!$A641&lt;=Imóveis!$T$5),Imóveis!$U$5,0),IF((IF(AND(Dados!$A641&gt;=Imóveis!$Q$5,Dados!$A641&lt;=Imóveis!$T$5),Imóveis!$S$5-(DATEDIF(Imóveis!$Q$5,Dados!$A641,"m")),0))=0,0,((Imóveis!$N$5/Imóveis!$S$5)+((Imóveis!$N$5-((Imóveis!$S$5-(IF(AND(Dados!$A641 &gt;=Imóveis!$Q$5,Dados!$A641&lt;=Imóveis!$T$5),Imóveis!$S$5-(DATEDIF(Imóveis!$Q$5,Dados!$A641,"m")),)))*(Imóveis!$N$5/Imóveis!$S$5)))*Imóveis!$P$5))))*IF(AND(Imóveis!$E$5&gt;0,Dados!$A641&gt;Imóveis!$E$5),0,1)*Imóveis!$I$5</f>
        <v>0</v>
      </c>
      <c r="M641" s="18">
        <f>IF(Imóveis!$F$6="PRICE",IF(AND(Dados!$A641&gt;=Imóveis!$Q$6,Dados!$A641&lt;=Imóveis!$T$6),Imóveis!$U$6,0),IF((IF(AND(Dados!$A641&gt;=Imóveis!$Q$6,Dados!$A641&lt;=Imóveis!$T$6),Imóveis!$S$6-(DATEDIF(Imóveis!$Q$6,Dados!$A641,"m")),0))=0,0,((Imóveis!$N$6/Imóveis!$S$6)+((Imóveis!$N$6-((Imóveis!$S$6-(IF(AND(Dados!$A641&gt;=Imóveis!$Q$6,Dados!$A641&lt;=Imóveis!$T$6),Imóveis!$S$6-(DATEDIF(Imóveis!$Q$6,Dados!$A641,"m")),)))*(Imóveis!$N$6/Imóveis!$S$6)))*Imóveis!$P$6))))*IF(AND(Imóveis!$E$6&gt;0,Dados!$A641&gt;Imóveis!$E$6),0,1)*Imóveis!$I$6</f>
        <v>0</v>
      </c>
      <c r="N641" s="18">
        <f t="shared" si="77"/>
        <v>37000</v>
      </c>
      <c r="O641" s="18">
        <f>SUMIFS(Receitas!$F:$F,Receitas!$J:$J,"&lt;="&amp;$A641,Receitas!$L:$L,"&gt;="&amp;$A641,Receitas!$C:$C,O$1,Receitas!$M:$M,"Mensal")+SUMIFS(Receitas!$F:$F,Receitas!$J:$J,"&lt;="&amp;$A641,Receitas!$L:$L,"&gt;="&amp;$A641,Receitas!$C:$C,O$1,Receitas!$M:$M,$B641)</f>
        <v>0</v>
      </c>
      <c r="P641" s="18">
        <f>SUMIFS(Receitas!$F:$F,Receitas!$J:$J,"&lt;="&amp;$A641,Receitas!$L:$L,"&gt;="&amp;$A641,Receitas!$C:$C,P$1,Receitas!$M:$M,"Mensal")+SUMIFS(Receitas!$F:$F,Receitas!$J:$J,"&lt;="&amp;$A641,Receitas!$L:$L,"&gt;="&amp;$A641,Receitas!$C:$C,P$1,Receitas!$M:$M,$B641)</f>
        <v>0</v>
      </c>
      <c r="Q641" s="18">
        <f>SUMIFS(Receitas!$F:$F,Receitas!$J:$J,"&lt;="&amp;$A641,Receitas!$L:$L,"&gt;="&amp;$A641,Receitas!$C:$C,Q$1,Receitas!$M:$M,"Mensal")+SUMIFS(Receitas!$F:$F,Receitas!$J:$J,"&lt;="&amp;$A641,Receitas!$L:$L,"&gt;="&amp;$A641,Receitas!$C:$C,Q$1,Receitas!$M:$M,$B641)</f>
        <v>0</v>
      </c>
      <c r="R641" s="18" cm="1">
        <f t="array" ref="R641">(IF(AND(Membros!$F$2="Sim",A641&lt;=MAX(Membros!$E$2:$E$5)),Membros!K$2,IF(AND(A641&gt;=Membros!J$2,A641&lt;=MAX(Membros!$E$2:$E$5)),Membros!K$2,0))+IF(AND(Membros!$F$3="Sim",A641&lt;=MAX(Membros!$E$2:$E$5)),Membros!K$3,IF(AND(A641&gt;=Membros!J$3,A641&lt;=MAX(Membros!$E$2:$E$5)),Membros!K$3,0)))*IF(AND(COUNTIFS(Tabela3[Tipo],"Provedor",Tabela3[Simulação Seguro],"Sim")=2,A641&gt;=MAX(IF(Tabela3[Tipo]="Dependente",Tabela3[Expectativa de Vida (Data)]))),0,1)</f>
        <v>10000</v>
      </c>
      <c r="S641" s="18">
        <f t="shared" si="78"/>
        <v>10000</v>
      </c>
      <c r="U641" s="18">
        <f t="shared" ca="1" si="81"/>
        <v>43756803.174641468</v>
      </c>
      <c r="V641" s="18">
        <f>SUMIF(Imóveis!E:E,Dados!A:A,Imóveis!Z:Z)-SUMIF(Imóveis!E:E,Dados!A:A,Imóveis!Y:Y)</f>
        <v>0</v>
      </c>
      <c r="W641" s="18">
        <f>-SUMIF(Projetos!N:N,A641,Projetos!F:F)</f>
        <v>0</v>
      </c>
      <c r="X641" s="18">
        <f t="shared" si="75"/>
        <v>-27000</v>
      </c>
      <c r="Y641" s="26">
        <f ca="1">(U641*((Indicadores_Economicos!D$2+1)^(1/12)-1))</f>
        <v>143248.38729467153</v>
      </c>
      <c r="Z641" s="18">
        <f t="shared" ca="1" si="79"/>
        <v>43873051.56193614</v>
      </c>
      <c r="AA641" s="18">
        <f ca="1">Auxiliar_Projetos!E641</f>
        <v>3.1566100813099479E-9</v>
      </c>
      <c r="AB641" s="18">
        <f ca="1">Auxiliar_Projetos!K641</f>
        <v>2.4281616010076488E-9</v>
      </c>
      <c r="AC641" s="18">
        <f ca="1">IF(Z641-AA641-AB641&gt;Investimentos!$C$14,Investimentos!$C$14,IF(Z641-AA641-AB641&lt;Investimentos!$C$14,Z641-AA641-AB641,0))</f>
        <v>300000</v>
      </c>
      <c r="AD641" s="18">
        <f t="shared" ca="1" si="80"/>
        <v>43573051.56193614</v>
      </c>
      <c r="AE641" s="18"/>
    </row>
    <row r="642" spans="1:31" x14ac:dyDescent="0.2">
      <c r="A642" s="4">
        <v>65136</v>
      </c>
      <c r="B642" s="5" t="str">
        <f t="shared" si="76"/>
        <v>maio</v>
      </c>
      <c r="C642" s="5" t="str">
        <f t="shared" si="82"/>
        <v>2078</v>
      </c>
      <c r="D642" s="5">
        <f>SUMIFS(Despesas!$F:$F,Despesas!$J:$J,"&lt;="&amp;$A642,Despesas!$L:$L,"&gt;="&amp;$A642,Despesas!$C:$C,D$1,Despesas!$M:$M,"Mensal")+SUMIFS(Despesas!$F:$F,Despesas!$J:$J,"&lt;="&amp;$A642,Despesas!$L:$L,"&gt;="&amp;$A642,Despesas!$C:$C,D$1,Despesas!$M:$M,$B642)</f>
        <v>23000</v>
      </c>
      <c r="E642" s="18">
        <f>SUMIFS(Despesas!$F:$F,Despesas!$J:$J,"&lt;="&amp;$A642,Despesas!$L:$L,"&gt;="&amp;$A642,Despesas!$C:$C,E$1,Despesas!$M:$M,"Mensal")+SUMIFS(Despesas!$F:$F,Despesas!$J:$J,"&lt;="&amp;$A642,Despesas!$L:$L,"&gt;="&amp;$A642,Despesas!$C:$C,E$1,Despesas!$M:$M,$B642)</f>
        <v>0</v>
      </c>
      <c r="F642" s="5">
        <f>SUMIFS(Despesas!$F:$F,Despesas!$J:$J,"&lt;="&amp;$A642,Despesas!$L:$L,"&gt;="&amp;$A642,Despesas!$C:$C,F$1,Despesas!$M:$M,"Mensal")+SUMIFS(Despesas!$F:$F,Despesas!$J:$J,"&lt;="&amp;$A642,Despesas!$L:$L,"&gt;="&amp;$A642,Despesas!$C:$C,F$1,Despesas!$M:$M,$B642)</f>
        <v>13000</v>
      </c>
      <c r="G642" s="5">
        <f>SUMIFS(Despesas!$F:$F,Despesas!$J:$J,"&lt;="&amp;$A642,Despesas!$L:$L,"&gt;="&amp;$A642,Despesas!$C:$C,G$1,Despesas!$M:$M,"Mensal")+SUMIFS(Despesas!$F:$F,Despesas!$J:$J,"&lt;="&amp;$A642,Despesas!$L:$L,"&gt;="&amp;$A642,Despesas!$C:$C,G$1,Despesas!$M:$M,$B642)</f>
        <v>0</v>
      </c>
      <c r="H642" s="18">
        <f>SUMIFS(Despesas!$F:$F,Despesas!$J:$J,"&lt;="&amp;$A642,Despesas!$L:$L,"&gt;="&amp;$A642,Despesas!$C:$C,H$1,Despesas!$M:$M,"Mensal")+SUMIFS(Despesas!$F:$F,Despesas!$J:$J,"&lt;="&amp;$A642,Despesas!$L:$L,"&gt;="&amp;$A642,Despesas!$C:$C,H$1,Despesas!$M:$M,$B642)</f>
        <v>1000</v>
      </c>
      <c r="I642" s="18">
        <f>IF(Imóveis!$F$2="PRICE",IF(AND(Dados!$A642&gt;=Imóveis!$Q$2,Dados!$A642&lt;=Imóveis!$T$2),Imóveis!$U$2,0),IF((IF(AND(Dados!$A642&gt;=Imóveis!$Q$2,Dados!$A642&lt;=Imóveis!$T$2),Imóveis!$S$2-(DATEDIF(Imóveis!$Q$2,Dados!$A642,"m")),0))=0,0,((Imóveis!$N$2/Imóveis!$S$2)+((Imóveis!$N$2-((Imóveis!$S$2-(IF(AND(Dados!$A642&gt;=Imóveis!$Q$2,Dados!$A642&lt;=Imóveis!$T$2),Imóveis!$S$2-(DATEDIF(Imóveis!$Q$2,Dados!$A642,"m")),)))*(Imóveis!$N$2/Imóveis!$S$2)))*Imóveis!$P$2))))*IF(AND(Imóveis!$E$2&gt;0,Dados!$A642&gt;Imóveis!$E$2),0,1)</f>
        <v>0</v>
      </c>
      <c r="J642" s="18">
        <f>IF(Imóveis!$F$3="PRICE",IF(AND(Dados!$A642&gt;=Imóveis!$Q$3,Dados!$A642&lt;=Imóveis!$T$3),Imóveis!$U$3,0),IF((IF(AND(Dados!$A642&gt;=Imóveis!$Q$3,Dados!$A642&lt;=Imóveis!$T$3),Imóveis!$S$3-(DATEDIF(Imóveis!$Q$3,Dados!$A642,"m")),0))=0,0,((Imóveis!$N$3/Imóveis!$S$3)+((Imóveis!$N$3-((Imóveis!$S$3-(IF(AND(Dados!$A642&gt;=Imóveis!$Q$3,Dados!$A642&lt;=Imóveis!$T$3),Imóveis!$S$3-(DATEDIF(Imóveis!$Q$3,Dados!$A642,"m")),)))*(Imóveis!$N$3/Imóveis!$S$3)))*Imóveis!$P$3))))*IF(AND(Imóveis!$E$3&gt;0,Dados!$A642&gt;Imóveis!$E$3),0,1)</f>
        <v>0</v>
      </c>
      <c r="K642" s="18">
        <f>IF(Imóveis!$F$4="PRICE",IF(AND(Dados!$A642&gt;=Imóveis!$Q$4,Dados!$A642&lt;=Imóveis!$T$4),Imóveis!$U$4,0),IF((IF(AND(Dados!$A642&gt;=Imóveis!$Q$4,Dados!$A642&lt;=Imóveis!$T$4),Imóveis!$S$4-(DATEDIF(Imóveis!$Q$4,Dados!$A642,"m")),0))=0,0,((Imóveis!$N$4/Imóveis!$S$4)+((Imóveis!$N$4-((Imóveis!$S$4-(IF(AND(Dados!$A642&gt;=Imóveis!$Q$4,Dados!$A642&lt;=Imóveis!$T$4),Imóveis!$S$4-(DATEDIF(Imóveis!$Q$4,Dados!$A642,"m")),)))*(Imóveis!$N$4/Imóveis!$S$4)))*Imóveis!$P$4))))*IF(AND(Imóveis!$E$4&gt;0,Dados!$A642&gt;Imóveis!$E$4),0,1)</f>
        <v>0</v>
      </c>
      <c r="L642" s="18">
        <f>IF(Imóveis!$F$5="PRICE",IF(AND(Dados!$A642&gt;=Imóveis!$Q$5,Dados!$A642&lt;=Imóveis!$T$5),Imóveis!$U$5,0),IF((IF(AND(Dados!$A642&gt;=Imóveis!$Q$5,Dados!$A642&lt;=Imóveis!$T$5),Imóveis!$S$5-(DATEDIF(Imóveis!$Q$5,Dados!$A642,"m")),0))=0,0,((Imóveis!$N$5/Imóveis!$S$5)+((Imóveis!$N$5-((Imóveis!$S$5-(IF(AND(Dados!$A642 &gt;=Imóveis!$Q$5,Dados!$A642&lt;=Imóveis!$T$5),Imóveis!$S$5-(DATEDIF(Imóveis!$Q$5,Dados!$A642,"m")),)))*(Imóveis!$N$5/Imóveis!$S$5)))*Imóveis!$P$5))))*IF(AND(Imóveis!$E$5&gt;0,Dados!$A642&gt;Imóveis!$E$5),0,1)*Imóveis!$I$5</f>
        <v>0</v>
      </c>
      <c r="M642" s="18">
        <f>IF(Imóveis!$F$6="PRICE",IF(AND(Dados!$A642&gt;=Imóveis!$Q$6,Dados!$A642&lt;=Imóveis!$T$6),Imóveis!$U$6,0),IF((IF(AND(Dados!$A642&gt;=Imóveis!$Q$6,Dados!$A642&lt;=Imóveis!$T$6),Imóveis!$S$6-(DATEDIF(Imóveis!$Q$6,Dados!$A642,"m")),0))=0,0,((Imóveis!$N$6/Imóveis!$S$6)+((Imóveis!$N$6-((Imóveis!$S$6-(IF(AND(Dados!$A642&gt;=Imóveis!$Q$6,Dados!$A642&lt;=Imóveis!$T$6),Imóveis!$S$6-(DATEDIF(Imóveis!$Q$6,Dados!$A642,"m")),)))*(Imóveis!$N$6/Imóveis!$S$6)))*Imóveis!$P$6))))*IF(AND(Imóveis!$E$6&gt;0,Dados!$A642&gt;Imóveis!$E$6),0,1)*Imóveis!$I$6</f>
        <v>0</v>
      </c>
      <c r="N642" s="18">
        <f t="shared" si="77"/>
        <v>37000</v>
      </c>
      <c r="O642" s="18">
        <f>SUMIFS(Receitas!$F:$F,Receitas!$J:$J,"&lt;="&amp;$A642,Receitas!$L:$L,"&gt;="&amp;$A642,Receitas!$C:$C,O$1,Receitas!$M:$M,"Mensal")+SUMIFS(Receitas!$F:$F,Receitas!$J:$J,"&lt;="&amp;$A642,Receitas!$L:$L,"&gt;="&amp;$A642,Receitas!$C:$C,O$1,Receitas!$M:$M,$B642)</f>
        <v>0</v>
      </c>
      <c r="P642" s="18">
        <f>SUMIFS(Receitas!$F:$F,Receitas!$J:$J,"&lt;="&amp;$A642,Receitas!$L:$L,"&gt;="&amp;$A642,Receitas!$C:$C,P$1,Receitas!$M:$M,"Mensal")+SUMIFS(Receitas!$F:$F,Receitas!$J:$J,"&lt;="&amp;$A642,Receitas!$L:$L,"&gt;="&amp;$A642,Receitas!$C:$C,P$1,Receitas!$M:$M,$B642)</f>
        <v>0</v>
      </c>
      <c r="Q642" s="18">
        <f>SUMIFS(Receitas!$F:$F,Receitas!$J:$J,"&lt;="&amp;$A642,Receitas!$L:$L,"&gt;="&amp;$A642,Receitas!$C:$C,Q$1,Receitas!$M:$M,"Mensal")+SUMIFS(Receitas!$F:$F,Receitas!$J:$J,"&lt;="&amp;$A642,Receitas!$L:$L,"&gt;="&amp;$A642,Receitas!$C:$C,Q$1,Receitas!$M:$M,$B642)</f>
        <v>0</v>
      </c>
      <c r="R642" s="18" cm="1">
        <f t="array" ref="R642">(IF(AND(Membros!$F$2="Sim",A642&lt;=MAX(Membros!$E$2:$E$5)),Membros!K$2,IF(AND(A642&gt;=Membros!J$2,A642&lt;=MAX(Membros!$E$2:$E$5)),Membros!K$2,0))+IF(AND(Membros!$F$3="Sim",A642&lt;=MAX(Membros!$E$2:$E$5)),Membros!K$3,IF(AND(A642&gt;=Membros!J$3,A642&lt;=MAX(Membros!$E$2:$E$5)),Membros!K$3,0)))*IF(AND(COUNTIFS(Tabela3[Tipo],"Provedor",Tabela3[Simulação Seguro],"Sim")=2,A642&gt;=MAX(IF(Tabela3[Tipo]="Dependente",Tabela3[Expectativa de Vida (Data)]))),0,1)</f>
        <v>10000</v>
      </c>
      <c r="S642" s="18">
        <f t="shared" si="78"/>
        <v>10000</v>
      </c>
      <c r="U642" s="18">
        <f t="shared" ca="1" si="81"/>
        <v>43873051.56193614</v>
      </c>
      <c r="V642" s="18">
        <f>SUMIF(Imóveis!E:E,Dados!A:A,Imóveis!Z:Z)-SUMIF(Imóveis!E:E,Dados!A:A,Imóveis!Y:Y)</f>
        <v>0</v>
      </c>
      <c r="W642" s="18">
        <f>-SUMIF(Projetos!N:N,A642,Projetos!F:F)</f>
        <v>0</v>
      </c>
      <c r="X642" s="18">
        <f t="shared" ref="X642:X705" si="83">(S642-N642)</f>
        <v>-27000</v>
      </c>
      <c r="Y642" s="26">
        <f ca="1">(U642*((Indicadores_Economicos!D$2+1)^(1/12)-1))</f>
        <v>143628.95426477457</v>
      </c>
      <c r="Z642" s="18">
        <f t="shared" ca="1" si="79"/>
        <v>43989680.516200915</v>
      </c>
      <c r="AA642" s="18">
        <f ca="1">Auxiliar_Projetos!E642</f>
        <v>3.1669440013100223E-9</v>
      </c>
      <c r="AB642" s="18">
        <f ca="1">Auxiliar_Projetos!K642</f>
        <v>2.4361107702384754E-9</v>
      </c>
      <c r="AC642" s="18">
        <f ca="1">IF(Z642-AA642-AB642&gt;Investimentos!$C$14,Investimentos!$C$14,IF(Z642-AA642-AB642&lt;Investimentos!$C$14,Z642-AA642-AB642,0))</f>
        <v>300000</v>
      </c>
      <c r="AD642" s="18">
        <f t="shared" ca="1" si="80"/>
        <v>43689680.516200915</v>
      </c>
      <c r="AE642" s="18"/>
    </row>
    <row r="643" spans="1:31" x14ac:dyDescent="0.2">
      <c r="A643" s="4">
        <v>65167</v>
      </c>
      <c r="B643" s="5" t="str">
        <f t="shared" ref="B643:B706" si="84">TEXT(A643,"MMMM")</f>
        <v>junho</v>
      </c>
      <c r="C643" s="5" t="str">
        <f t="shared" si="82"/>
        <v>2078</v>
      </c>
      <c r="D643" s="5">
        <f>SUMIFS(Despesas!$F:$F,Despesas!$J:$J,"&lt;="&amp;$A643,Despesas!$L:$L,"&gt;="&amp;$A643,Despesas!$C:$C,D$1,Despesas!$M:$M,"Mensal")+SUMIFS(Despesas!$F:$F,Despesas!$J:$J,"&lt;="&amp;$A643,Despesas!$L:$L,"&gt;="&amp;$A643,Despesas!$C:$C,D$1,Despesas!$M:$M,$B643)</f>
        <v>23000</v>
      </c>
      <c r="E643" s="18">
        <f>SUMIFS(Despesas!$F:$F,Despesas!$J:$J,"&lt;="&amp;$A643,Despesas!$L:$L,"&gt;="&amp;$A643,Despesas!$C:$C,E$1,Despesas!$M:$M,"Mensal")+SUMIFS(Despesas!$F:$F,Despesas!$J:$J,"&lt;="&amp;$A643,Despesas!$L:$L,"&gt;="&amp;$A643,Despesas!$C:$C,E$1,Despesas!$M:$M,$B643)</f>
        <v>0</v>
      </c>
      <c r="F643" s="5">
        <f>SUMIFS(Despesas!$F:$F,Despesas!$J:$J,"&lt;="&amp;$A643,Despesas!$L:$L,"&gt;="&amp;$A643,Despesas!$C:$C,F$1,Despesas!$M:$M,"Mensal")+SUMIFS(Despesas!$F:$F,Despesas!$J:$J,"&lt;="&amp;$A643,Despesas!$L:$L,"&gt;="&amp;$A643,Despesas!$C:$C,F$1,Despesas!$M:$M,$B643)</f>
        <v>13000</v>
      </c>
      <c r="G643" s="5">
        <f>SUMIFS(Despesas!$F:$F,Despesas!$J:$J,"&lt;="&amp;$A643,Despesas!$L:$L,"&gt;="&amp;$A643,Despesas!$C:$C,G$1,Despesas!$M:$M,"Mensal")+SUMIFS(Despesas!$F:$F,Despesas!$J:$J,"&lt;="&amp;$A643,Despesas!$L:$L,"&gt;="&amp;$A643,Despesas!$C:$C,G$1,Despesas!$M:$M,$B643)</f>
        <v>0</v>
      </c>
      <c r="H643" s="18">
        <f>SUMIFS(Despesas!$F:$F,Despesas!$J:$J,"&lt;="&amp;$A643,Despesas!$L:$L,"&gt;="&amp;$A643,Despesas!$C:$C,H$1,Despesas!$M:$M,"Mensal")+SUMIFS(Despesas!$F:$F,Despesas!$J:$J,"&lt;="&amp;$A643,Despesas!$L:$L,"&gt;="&amp;$A643,Despesas!$C:$C,H$1,Despesas!$M:$M,$B643)</f>
        <v>1000</v>
      </c>
      <c r="I643" s="18">
        <f>IF(Imóveis!$F$2="PRICE",IF(AND(Dados!$A643&gt;=Imóveis!$Q$2,Dados!$A643&lt;=Imóveis!$T$2),Imóveis!$U$2,0),IF((IF(AND(Dados!$A643&gt;=Imóveis!$Q$2,Dados!$A643&lt;=Imóveis!$T$2),Imóveis!$S$2-(DATEDIF(Imóveis!$Q$2,Dados!$A643,"m")),0))=0,0,((Imóveis!$N$2/Imóveis!$S$2)+((Imóveis!$N$2-((Imóveis!$S$2-(IF(AND(Dados!$A643&gt;=Imóveis!$Q$2,Dados!$A643&lt;=Imóveis!$T$2),Imóveis!$S$2-(DATEDIF(Imóveis!$Q$2,Dados!$A643,"m")),)))*(Imóveis!$N$2/Imóveis!$S$2)))*Imóveis!$P$2))))*IF(AND(Imóveis!$E$2&gt;0,Dados!$A643&gt;Imóveis!$E$2),0,1)</f>
        <v>0</v>
      </c>
      <c r="J643" s="18">
        <f>IF(Imóveis!$F$3="PRICE",IF(AND(Dados!$A643&gt;=Imóveis!$Q$3,Dados!$A643&lt;=Imóveis!$T$3),Imóveis!$U$3,0),IF((IF(AND(Dados!$A643&gt;=Imóveis!$Q$3,Dados!$A643&lt;=Imóveis!$T$3),Imóveis!$S$3-(DATEDIF(Imóveis!$Q$3,Dados!$A643,"m")),0))=0,0,((Imóveis!$N$3/Imóveis!$S$3)+((Imóveis!$N$3-((Imóveis!$S$3-(IF(AND(Dados!$A643&gt;=Imóveis!$Q$3,Dados!$A643&lt;=Imóveis!$T$3),Imóveis!$S$3-(DATEDIF(Imóveis!$Q$3,Dados!$A643,"m")),)))*(Imóveis!$N$3/Imóveis!$S$3)))*Imóveis!$P$3))))*IF(AND(Imóveis!$E$3&gt;0,Dados!$A643&gt;Imóveis!$E$3),0,1)</f>
        <v>0</v>
      </c>
      <c r="K643" s="18">
        <f>IF(Imóveis!$F$4="PRICE",IF(AND(Dados!$A643&gt;=Imóveis!$Q$4,Dados!$A643&lt;=Imóveis!$T$4),Imóveis!$U$4,0),IF((IF(AND(Dados!$A643&gt;=Imóveis!$Q$4,Dados!$A643&lt;=Imóveis!$T$4),Imóveis!$S$4-(DATEDIF(Imóveis!$Q$4,Dados!$A643,"m")),0))=0,0,((Imóveis!$N$4/Imóveis!$S$4)+((Imóveis!$N$4-((Imóveis!$S$4-(IF(AND(Dados!$A643&gt;=Imóveis!$Q$4,Dados!$A643&lt;=Imóveis!$T$4),Imóveis!$S$4-(DATEDIF(Imóveis!$Q$4,Dados!$A643,"m")),)))*(Imóveis!$N$4/Imóveis!$S$4)))*Imóveis!$P$4))))*IF(AND(Imóveis!$E$4&gt;0,Dados!$A643&gt;Imóveis!$E$4),0,1)</f>
        <v>0</v>
      </c>
      <c r="L643" s="18">
        <f>IF(Imóveis!$F$5="PRICE",IF(AND(Dados!$A643&gt;=Imóveis!$Q$5,Dados!$A643&lt;=Imóveis!$T$5),Imóveis!$U$5,0),IF((IF(AND(Dados!$A643&gt;=Imóveis!$Q$5,Dados!$A643&lt;=Imóveis!$T$5),Imóveis!$S$5-(DATEDIF(Imóveis!$Q$5,Dados!$A643,"m")),0))=0,0,((Imóveis!$N$5/Imóveis!$S$5)+((Imóveis!$N$5-((Imóveis!$S$5-(IF(AND(Dados!$A643 &gt;=Imóveis!$Q$5,Dados!$A643&lt;=Imóveis!$T$5),Imóveis!$S$5-(DATEDIF(Imóveis!$Q$5,Dados!$A643,"m")),)))*(Imóveis!$N$5/Imóveis!$S$5)))*Imóveis!$P$5))))*IF(AND(Imóveis!$E$5&gt;0,Dados!$A643&gt;Imóveis!$E$5),0,1)*Imóveis!$I$5</f>
        <v>0</v>
      </c>
      <c r="M643" s="18">
        <f>IF(Imóveis!$F$6="PRICE",IF(AND(Dados!$A643&gt;=Imóveis!$Q$6,Dados!$A643&lt;=Imóveis!$T$6),Imóveis!$U$6,0),IF((IF(AND(Dados!$A643&gt;=Imóveis!$Q$6,Dados!$A643&lt;=Imóveis!$T$6),Imóveis!$S$6-(DATEDIF(Imóveis!$Q$6,Dados!$A643,"m")),0))=0,0,((Imóveis!$N$6/Imóveis!$S$6)+((Imóveis!$N$6-((Imóveis!$S$6-(IF(AND(Dados!$A643&gt;=Imóveis!$Q$6,Dados!$A643&lt;=Imóveis!$T$6),Imóveis!$S$6-(DATEDIF(Imóveis!$Q$6,Dados!$A643,"m")),)))*(Imóveis!$N$6/Imóveis!$S$6)))*Imóveis!$P$6))))*IF(AND(Imóveis!$E$6&gt;0,Dados!$A643&gt;Imóveis!$E$6),0,1)*Imóveis!$I$6</f>
        <v>0</v>
      </c>
      <c r="N643" s="18">
        <f t="shared" ref="N643:N706" si="85">SUM(D643:M643)</f>
        <v>37000</v>
      </c>
      <c r="O643" s="18">
        <f>SUMIFS(Receitas!$F:$F,Receitas!$J:$J,"&lt;="&amp;$A643,Receitas!$L:$L,"&gt;="&amp;$A643,Receitas!$C:$C,O$1,Receitas!$M:$M,"Mensal")+SUMIFS(Receitas!$F:$F,Receitas!$J:$J,"&lt;="&amp;$A643,Receitas!$L:$L,"&gt;="&amp;$A643,Receitas!$C:$C,O$1,Receitas!$M:$M,$B643)</f>
        <v>0</v>
      </c>
      <c r="P643" s="18">
        <f>SUMIFS(Receitas!$F:$F,Receitas!$J:$J,"&lt;="&amp;$A643,Receitas!$L:$L,"&gt;="&amp;$A643,Receitas!$C:$C,P$1,Receitas!$M:$M,"Mensal")+SUMIFS(Receitas!$F:$F,Receitas!$J:$J,"&lt;="&amp;$A643,Receitas!$L:$L,"&gt;="&amp;$A643,Receitas!$C:$C,P$1,Receitas!$M:$M,$B643)</f>
        <v>0</v>
      </c>
      <c r="Q643" s="18">
        <f>SUMIFS(Receitas!$F:$F,Receitas!$J:$J,"&lt;="&amp;$A643,Receitas!$L:$L,"&gt;="&amp;$A643,Receitas!$C:$C,Q$1,Receitas!$M:$M,"Mensal")+SUMIFS(Receitas!$F:$F,Receitas!$J:$J,"&lt;="&amp;$A643,Receitas!$L:$L,"&gt;="&amp;$A643,Receitas!$C:$C,Q$1,Receitas!$M:$M,$B643)</f>
        <v>0</v>
      </c>
      <c r="R643" s="18" cm="1">
        <f t="array" ref="R643">(IF(AND(Membros!$F$2="Sim",A643&lt;=MAX(Membros!$E$2:$E$5)),Membros!K$2,IF(AND(A643&gt;=Membros!J$2,A643&lt;=MAX(Membros!$E$2:$E$5)),Membros!K$2,0))+IF(AND(Membros!$F$3="Sim",A643&lt;=MAX(Membros!$E$2:$E$5)),Membros!K$3,IF(AND(A643&gt;=Membros!J$3,A643&lt;=MAX(Membros!$E$2:$E$5)),Membros!K$3,0)))*IF(AND(COUNTIFS(Tabela3[Tipo],"Provedor",Tabela3[Simulação Seguro],"Sim")=2,A643&gt;=MAX(IF(Tabela3[Tipo]="Dependente",Tabela3[Expectativa de Vida (Data)]))),0,1)</f>
        <v>10000</v>
      </c>
      <c r="S643" s="18">
        <f t="shared" ref="S643:S706" si="86">O643+P643+Q643+R643</f>
        <v>10000</v>
      </c>
      <c r="U643" s="18">
        <f t="shared" ca="1" si="81"/>
        <v>43989680.516200915</v>
      </c>
      <c r="V643" s="18">
        <f>SUMIF(Imóveis!E:E,Dados!A:A,Imóveis!Z:Z)-SUMIF(Imóveis!E:E,Dados!A:A,Imóveis!Y:Y)</f>
        <v>0</v>
      </c>
      <c r="W643" s="18">
        <f>-SUMIF(Projetos!N:N,A643,Projetos!F:F)</f>
        <v>0</v>
      </c>
      <c r="X643" s="18">
        <f t="shared" si="83"/>
        <v>-27000</v>
      </c>
      <c r="Y643" s="26">
        <f ca="1">(U643*((Indicadores_Economicos!D$2+1)^(1/12)-1))</f>
        <v>144010.76711210742</v>
      </c>
      <c r="Z643" s="18">
        <f t="shared" ref="Z643:Z706" ca="1" si="87">U643+V643+W643+X643+Y643</f>
        <v>44106691.283313021</v>
      </c>
      <c r="AA643" s="18">
        <f ca="1">Auxiliar_Projetos!E643</f>
        <v>3.177311751875107E-9</v>
      </c>
      <c r="AB643" s="18">
        <f ca="1">Auxiliar_Projetos!K643</f>
        <v>2.4440859629808485E-9</v>
      </c>
      <c r="AC643" s="18">
        <f ca="1">IF(Z643-AA643-AB643&gt;Investimentos!$C$14,Investimentos!$C$14,IF(Z643-AA643-AB643&lt;Investimentos!$C$14,Z643-AA643-AB643,0))</f>
        <v>300000</v>
      </c>
      <c r="AD643" s="18">
        <f t="shared" ref="AD643:AD706" ca="1" si="88">Z643-AA643-AB643-AC643</f>
        <v>43806691.283313021</v>
      </c>
      <c r="AE643" s="18"/>
    </row>
    <row r="644" spans="1:31" x14ac:dyDescent="0.2">
      <c r="A644" s="4">
        <v>65197</v>
      </c>
      <c r="B644" s="5" t="str">
        <f t="shared" si="84"/>
        <v>julho</v>
      </c>
      <c r="C644" s="5" t="str">
        <f t="shared" si="82"/>
        <v>2078</v>
      </c>
      <c r="D644" s="5">
        <f>SUMIFS(Despesas!$F:$F,Despesas!$J:$J,"&lt;="&amp;$A644,Despesas!$L:$L,"&gt;="&amp;$A644,Despesas!$C:$C,D$1,Despesas!$M:$M,"Mensal")+SUMIFS(Despesas!$F:$F,Despesas!$J:$J,"&lt;="&amp;$A644,Despesas!$L:$L,"&gt;="&amp;$A644,Despesas!$C:$C,D$1,Despesas!$M:$M,$B644)</f>
        <v>23000</v>
      </c>
      <c r="E644" s="18">
        <f>SUMIFS(Despesas!$F:$F,Despesas!$J:$J,"&lt;="&amp;$A644,Despesas!$L:$L,"&gt;="&amp;$A644,Despesas!$C:$C,E$1,Despesas!$M:$M,"Mensal")+SUMIFS(Despesas!$F:$F,Despesas!$J:$J,"&lt;="&amp;$A644,Despesas!$L:$L,"&gt;="&amp;$A644,Despesas!$C:$C,E$1,Despesas!$M:$M,$B644)</f>
        <v>0</v>
      </c>
      <c r="F644" s="5">
        <f>SUMIFS(Despesas!$F:$F,Despesas!$J:$J,"&lt;="&amp;$A644,Despesas!$L:$L,"&gt;="&amp;$A644,Despesas!$C:$C,F$1,Despesas!$M:$M,"Mensal")+SUMIFS(Despesas!$F:$F,Despesas!$J:$J,"&lt;="&amp;$A644,Despesas!$L:$L,"&gt;="&amp;$A644,Despesas!$C:$C,F$1,Despesas!$M:$M,$B644)</f>
        <v>13000</v>
      </c>
      <c r="G644" s="5">
        <f ca="1">SUMIFS(Despesas!$F:$F,Despesas!$J:$J,"&lt;="&amp;$A644,Despesas!$L:$L,"&gt;="&amp;$A644,Despesas!$C:$C,G$1,Despesas!$M:$M,"Mensal")+SUMIFS(Despesas!$F:$F,Despesas!$J:$J,"&lt;="&amp;$A644,Despesas!$L:$L,"&gt;="&amp;$A644,Despesas!$C:$C,G$1,Despesas!$M:$M,$B644)</f>
        <v>55757</v>
      </c>
      <c r="H644" s="18">
        <f>SUMIFS(Despesas!$F:$F,Despesas!$J:$J,"&lt;="&amp;$A644,Despesas!$L:$L,"&gt;="&amp;$A644,Despesas!$C:$C,H$1,Despesas!$M:$M,"Mensal")+SUMIFS(Despesas!$F:$F,Despesas!$J:$J,"&lt;="&amp;$A644,Despesas!$L:$L,"&gt;="&amp;$A644,Despesas!$C:$C,H$1,Despesas!$M:$M,$B644)</f>
        <v>1000</v>
      </c>
      <c r="I644" s="18">
        <f>IF(Imóveis!$F$2="PRICE",IF(AND(Dados!$A644&gt;=Imóveis!$Q$2,Dados!$A644&lt;=Imóveis!$T$2),Imóveis!$U$2,0),IF((IF(AND(Dados!$A644&gt;=Imóveis!$Q$2,Dados!$A644&lt;=Imóveis!$T$2),Imóveis!$S$2-(DATEDIF(Imóveis!$Q$2,Dados!$A644,"m")),0))=0,0,((Imóveis!$N$2/Imóveis!$S$2)+((Imóveis!$N$2-((Imóveis!$S$2-(IF(AND(Dados!$A644&gt;=Imóveis!$Q$2,Dados!$A644&lt;=Imóveis!$T$2),Imóveis!$S$2-(DATEDIF(Imóveis!$Q$2,Dados!$A644,"m")),)))*(Imóveis!$N$2/Imóveis!$S$2)))*Imóveis!$P$2))))*IF(AND(Imóveis!$E$2&gt;0,Dados!$A644&gt;Imóveis!$E$2),0,1)</f>
        <v>0</v>
      </c>
      <c r="J644" s="18">
        <f>IF(Imóveis!$F$3="PRICE",IF(AND(Dados!$A644&gt;=Imóveis!$Q$3,Dados!$A644&lt;=Imóveis!$T$3),Imóveis!$U$3,0),IF((IF(AND(Dados!$A644&gt;=Imóveis!$Q$3,Dados!$A644&lt;=Imóveis!$T$3),Imóveis!$S$3-(DATEDIF(Imóveis!$Q$3,Dados!$A644,"m")),0))=0,0,((Imóveis!$N$3/Imóveis!$S$3)+((Imóveis!$N$3-((Imóveis!$S$3-(IF(AND(Dados!$A644&gt;=Imóveis!$Q$3,Dados!$A644&lt;=Imóveis!$T$3),Imóveis!$S$3-(DATEDIF(Imóveis!$Q$3,Dados!$A644,"m")),)))*(Imóveis!$N$3/Imóveis!$S$3)))*Imóveis!$P$3))))*IF(AND(Imóveis!$E$3&gt;0,Dados!$A644&gt;Imóveis!$E$3),0,1)</f>
        <v>0</v>
      </c>
      <c r="K644" s="18">
        <f>IF(Imóveis!$F$4="PRICE",IF(AND(Dados!$A644&gt;=Imóveis!$Q$4,Dados!$A644&lt;=Imóveis!$T$4),Imóveis!$U$4,0),IF((IF(AND(Dados!$A644&gt;=Imóveis!$Q$4,Dados!$A644&lt;=Imóveis!$T$4),Imóveis!$S$4-(DATEDIF(Imóveis!$Q$4,Dados!$A644,"m")),0))=0,0,((Imóveis!$N$4/Imóveis!$S$4)+((Imóveis!$N$4-((Imóveis!$S$4-(IF(AND(Dados!$A644&gt;=Imóveis!$Q$4,Dados!$A644&lt;=Imóveis!$T$4),Imóveis!$S$4-(DATEDIF(Imóveis!$Q$4,Dados!$A644,"m")),)))*(Imóveis!$N$4/Imóveis!$S$4)))*Imóveis!$P$4))))*IF(AND(Imóveis!$E$4&gt;0,Dados!$A644&gt;Imóveis!$E$4),0,1)</f>
        <v>0</v>
      </c>
      <c r="L644" s="18">
        <f>IF(Imóveis!$F$5="PRICE",IF(AND(Dados!$A644&gt;=Imóveis!$Q$5,Dados!$A644&lt;=Imóveis!$T$5),Imóveis!$U$5,0),IF((IF(AND(Dados!$A644&gt;=Imóveis!$Q$5,Dados!$A644&lt;=Imóveis!$T$5),Imóveis!$S$5-(DATEDIF(Imóveis!$Q$5,Dados!$A644,"m")),0))=0,0,((Imóveis!$N$5/Imóveis!$S$5)+((Imóveis!$N$5-((Imóveis!$S$5-(IF(AND(Dados!$A644 &gt;=Imóveis!$Q$5,Dados!$A644&lt;=Imóveis!$T$5),Imóveis!$S$5-(DATEDIF(Imóveis!$Q$5,Dados!$A644,"m")),)))*(Imóveis!$N$5/Imóveis!$S$5)))*Imóveis!$P$5))))*IF(AND(Imóveis!$E$5&gt;0,Dados!$A644&gt;Imóveis!$E$5),0,1)*Imóveis!$I$5</f>
        <v>0</v>
      </c>
      <c r="M644" s="18">
        <f>IF(Imóveis!$F$6="PRICE",IF(AND(Dados!$A644&gt;=Imóveis!$Q$6,Dados!$A644&lt;=Imóveis!$T$6),Imóveis!$U$6,0),IF((IF(AND(Dados!$A644&gt;=Imóveis!$Q$6,Dados!$A644&lt;=Imóveis!$T$6),Imóveis!$S$6-(DATEDIF(Imóveis!$Q$6,Dados!$A644,"m")),0))=0,0,((Imóveis!$N$6/Imóveis!$S$6)+((Imóveis!$N$6-((Imóveis!$S$6-(IF(AND(Dados!$A644&gt;=Imóveis!$Q$6,Dados!$A644&lt;=Imóveis!$T$6),Imóveis!$S$6-(DATEDIF(Imóveis!$Q$6,Dados!$A644,"m")),)))*(Imóveis!$N$6/Imóveis!$S$6)))*Imóveis!$P$6))))*IF(AND(Imóveis!$E$6&gt;0,Dados!$A644&gt;Imóveis!$E$6),0,1)*Imóveis!$I$6</f>
        <v>0</v>
      </c>
      <c r="N644" s="18">
        <f t="shared" ca="1" si="85"/>
        <v>92757</v>
      </c>
      <c r="O644" s="18">
        <f>SUMIFS(Receitas!$F:$F,Receitas!$J:$J,"&lt;="&amp;$A644,Receitas!$L:$L,"&gt;="&amp;$A644,Receitas!$C:$C,O$1,Receitas!$M:$M,"Mensal")+SUMIFS(Receitas!$F:$F,Receitas!$J:$J,"&lt;="&amp;$A644,Receitas!$L:$L,"&gt;="&amp;$A644,Receitas!$C:$C,O$1,Receitas!$M:$M,$B644)</f>
        <v>0</v>
      </c>
      <c r="P644" s="18">
        <f>SUMIFS(Receitas!$F:$F,Receitas!$J:$J,"&lt;="&amp;$A644,Receitas!$L:$L,"&gt;="&amp;$A644,Receitas!$C:$C,P$1,Receitas!$M:$M,"Mensal")+SUMIFS(Receitas!$F:$F,Receitas!$J:$J,"&lt;="&amp;$A644,Receitas!$L:$L,"&gt;="&amp;$A644,Receitas!$C:$C,P$1,Receitas!$M:$M,$B644)</f>
        <v>0</v>
      </c>
      <c r="Q644" s="18">
        <f>SUMIFS(Receitas!$F:$F,Receitas!$J:$J,"&lt;="&amp;$A644,Receitas!$L:$L,"&gt;="&amp;$A644,Receitas!$C:$C,Q$1,Receitas!$M:$M,"Mensal")+SUMIFS(Receitas!$F:$F,Receitas!$J:$J,"&lt;="&amp;$A644,Receitas!$L:$L,"&gt;="&amp;$A644,Receitas!$C:$C,Q$1,Receitas!$M:$M,$B644)</f>
        <v>0</v>
      </c>
      <c r="R644" s="18" cm="1">
        <f t="array" ref="R644">(IF(AND(Membros!$F$2="Sim",A644&lt;=MAX(Membros!$E$2:$E$5)),Membros!K$2,IF(AND(A644&gt;=Membros!J$2,A644&lt;=MAX(Membros!$E$2:$E$5)),Membros!K$2,0))+IF(AND(Membros!$F$3="Sim",A644&lt;=MAX(Membros!$E$2:$E$5)),Membros!K$3,IF(AND(A644&gt;=Membros!J$3,A644&lt;=MAX(Membros!$E$2:$E$5)),Membros!K$3,0)))*IF(AND(COUNTIFS(Tabela3[Tipo],"Provedor",Tabela3[Simulação Seguro],"Sim")=2,A644&gt;=MAX(IF(Tabela3[Tipo]="Dependente",Tabela3[Expectativa de Vida (Data)]))),0,1)</f>
        <v>10000</v>
      </c>
      <c r="S644" s="18">
        <f t="shared" si="86"/>
        <v>10000</v>
      </c>
      <c r="U644" s="18">
        <f t="shared" ref="U644:U707" ca="1" si="89">Z643</f>
        <v>44106691.283313021</v>
      </c>
      <c r="V644" s="18">
        <f>SUMIF(Imóveis!E:E,Dados!A:A,Imóveis!Z:Z)-SUMIF(Imóveis!E:E,Dados!A:A,Imóveis!Y:Y)</f>
        <v>0</v>
      </c>
      <c r="W644" s="18">
        <f>-SUMIF(Projetos!N:N,A644,Projetos!F:F)</f>
        <v>0</v>
      </c>
      <c r="X644" s="18">
        <f t="shared" ca="1" si="83"/>
        <v>-82757</v>
      </c>
      <c r="Y644" s="26">
        <f ca="1">(U644*((Indicadores_Economicos!D$2+1)^(1/12)-1))</f>
        <v>144393.82991534792</v>
      </c>
      <c r="Z644" s="18">
        <f t="shared" ca="1" si="87"/>
        <v>44168328.113228366</v>
      </c>
      <c r="AA644" s="18">
        <f ca="1">Auxiliar_Projetos!E644</f>
        <v>3.1877134437576685E-9</v>
      </c>
      <c r="AB644" s="18">
        <f ca="1">Auxiliar_Projetos!K644</f>
        <v>2.4520872644289729E-9</v>
      </c>
      <c r="AC644" s="18">
        <f ca="1">IF(Z644-AA644-AB644&gt;Investimentos!$C$14,Investimentos!$C$14,IF(Z644-AA644-AB644&lt;Investimentos!$C$14,Z644-AA644-AB644,0))</f>
        <v>300000</v>
      </c>
      <c r="AD644" s="18">
        <f t="shared" ca="1" si="88"/>
        <v>43868328.113228366</v>
      </c>
      <c r="AE644" s="18"/>
    </row>
    <row r="645" spans="1:31" x14ac:dyDescent="0.2">
      <c r="A645" s="4">
        <v>65228</v>
      </c>
      <c r="B645" s="5" t="str">
        <f t="shared" si="84"/>
        <v>agosto</v>
      </c>
      <c r="C645" s="5" t="str">
        <f t="shared" si="82"/>
        <v>2078</v>
      </c>
      <c r="D645" s="5">
        <f>SUMIFS(Despesas!$F:$F,Despesas!$J:$J,"&lt;="&amp;$A645,Despesas!$L:$L,"&gt;="&amp;$A645,Despesas!$C:$C,D$1,Despesas!$M:$M,"Mensal")+SUMIFS(Despesas!$F:$F,Despesas!$J:$J,"&lt;="&amp;$A645,Despesas!$L:$L,"&gt;="&amp;$A645,Despesas!$C:$C,D$1,Despesas!$M:$M,$B645)</f>
        <v>23000</v>
      </c>
      <c r="E645" s="18">
        <f>SUMIFS(Despesas!$F:$F,Despesas!$J:$J,"&lt;="&amp;$A645,Despesas!$L:$L,"&gt;="&amp;$A645,Despesas!$C:$C,E$1,Despesas!$M:$M,"Mensal")+SUMIFS(Despesas!$F:$F,Despesas!$J:$J,"&lt;="&amp;$A645,Despesas!$L:$L,"&gt;="&amp;$A645,Despesas!$C:$C,E$1,Despesas!$M:$M,$B645)</f>
        <v>0</v>
      </c>
      <c r="F645" s="5">
        <f>SUMIFS(Despesas!$F:$F,Despesas!$J:$J,"&lt;="&amp;$A645,Despesas!$L:$L,"&gt;="&amp;$A645,Despesas!$C:$C,F$1,Despesas!$M:$M,"Mensal")+SUMIFS(Despesas!$F:$F,Despesas!$J:$J,"&lt;="&amp;$A645,Despesas!$L:$L,"&gt;="&amp;$A645,Despesas!$C:$C,F$1,Despesas!$M:$M,$B645)</f>
        <v>13000</v>
      </c>
      <c r="G645" s="5">
        <f>SUMIFS(Despesas!$F:$F,Despesas!$J:$J,"&lt;="&amp;$A645,Despesas!$L:$L,"&gt;="&amp;$A645,Despesas!$C:$C,G$1,Despesas!$M:$M,"Mensal")+SUMIFS(Despesas!$F:$F,Despesas!$J:$J,"&lt;="&amp;$A645,Despesas!$L:$L,"&gt;="&amp;$A645,Despesas!$C:$C,G$1,Despesas!$M:$M,$B645)</f>
        <v>0</v>
      </c>
      <c r="H645" s="18">
        <f>SUMIFS(Despesas!$F:$F,Despesas!$J:$J,"&lt;="&amp;$A645,Despesas!$L:$L,"&gt;="&amp;$A645,Despesas!$C:$C,H$1,Despesas!$M:$M,"Mensal")+SUMIFS(Despesas!$F:$F,Despesas!$J:$J,"&lt;="&amp;$A645,Despesas!$L:$L,"&gt;="&amp;$A645,Despesas!$C:$C,H$1,Despesas!$M:$M,$B645)</f>
        <v>1000</v>
      </c>
      <c r="I645" s="18">
        <f>IF(Imóveis!$F$2="PRICE",IF(AND(Dados!$A645&gt;=Imóveis!$Q$2,Dados!$A645&lt;=Imóveis!$T$2),Imóveis!$U$2,0),IF((IF(AND(Dados!$A645&gt;=Imóveis!$Q$2,Dados!$A645&lt;=Imóveis!$T$2),Imóveis!$S$2-(DATEDIF(Imóveis!$Q$2,Dados!$A645,"m")),0))=0,0,((Imóveis!$N$2/Imóveis!$S$2)+((Imóveis!$N$2-((Imóveis!$S$2-(IF(AND(Dados!$A645&gt;=Imóveis!$Q$2,Dados!$A645&lt;=Imóveis!$T$2),Imóveis!$S$2-(DATEDIF(Imóveis!$Q$2,Dados!$A645,"m")),)))*(Imóveis!$N$2/Imóveis!$S$2)))*Imóveis!$P$2))))*IF(AND(Imóveis!$E$2&gt;0,Dados!$A645&gt;Imóveis!$E$2),0,1)</f>
        <v>0</v>
      </c>
      <c r="J645" s="18">
        <f>IF(Imóveis!$F$3="PRICE",IF(AND(Dados!$A645&gt;=Imóveis!$Q$3,Dados!$A645&lt;=Imóveis!$T$3),Imóveis!$U$3,0),IF((IF(AND(Dados!$A645&gt;=Imóveis!$Q$3,Dados!$A645&lt;=Imóveis!$T$3),Imóveis!$S$3-(DATEDIF(Imóveis!$Q$3,Dados!$A645,"m")),0))=0,0,((Imóveis!$N$3/Imóveis!$S$3)+((Imóveis!$N$3-((Imóveis!$S$3-(IF(AND(Dados!$A645&gt;=Imóveis!$Q$3,Dados!$A645&lt;=Imóveis!$T$3),Imóveis!$S$3-(DATEDIF(Imóveis!$Q$3,Dados!$A645,"m")),)))*(Imóveis!$N$3/Imóveis!$S$3)))*Imóveis!$P$3))))*IF(AND(Imóveis!$E$3&gt;0,Dados!$A645&gt;Imóveis!$E$3),0,1)</f>
        <v>0</v>
      </c>
      <c r="K645" s="18">
        <f>IF(Imóveis!$F$4="PRICE",IF(AND(Dados!$A645&gt;=Imóveis!$Q$4,Dados!$A645&lt;=Imóveis!$T$4),Imóveis!$U$4,0),IF((IF(AND(Dados!$A645&gt;=Imóveis!$Q$4,Dados!$A645&lt;=Imóveis!$T$4),Imóveis!$S$4-(DATEDIF(Imóveis!$Q$4,Dados!$A645,"m")),0))=0,0,((Imóveis!$N$4/Imóveis!$S$4)+((Imóveis!$N$4-((Imóveis!$S$4-(IF(AND(Dados!$A645&gt;=Imóveis!$Q$4,Dados!$A645&lt;=Imóveis!$T$4),Imóveis!$S$4-(DATEDIF(Imóveis!$Q$4,Dados!$A645,"m")),)))*(Imóveis!$N$4/Imóveis!$S$4)))*Imóveis!$P$4))))*IF(AND(Imóveis!$E$4&gt;0,Dados!$A645&gt;Imóveis!$E$4),0,1)</f>
        <v>0</v>
      </c>
      <c r="L645" s="18">
        <f>IF(Imóveis!$F$5="PRICE",IF(AND(Dados!$A645&gt;=Imóveis!$Q$5,Dados!$A645&lt;=Imóveis!$T$5),Imóveis!$U$5,0),IF((IF(AND(Dados!$A645&gt;=Imóveis!$Q$5,Dados!$A645&lt;=Imóveis!$T$5),Imóveis!$S$5-(DATEDIF(Imóveis!$Q$5,Dados!$A645,"m")),0))=0,0,((Imóveis!$N$5/Imóveis!$S$5)+((Imóveis!$N$5-((Imóveis!$S$5-(IF(AND(Dados!$A645 &gt;=Imóveis!$Q$5,Dados!$A645&lt;=Imóveis!$T$5),Imóveis!$S$5-(DATEDIF(Imóveis!$Q$5,Dados!$A645,"m")),)))*(Imóveis!$N$5/Imóveis!$S$5)))*Imóveis!$P$5))))*IF(AND(Imóveis!$E$5&gt;0,Dados!$A645&gt;Imóveis!$E$5),0,1)*Imóveis!$I$5</f>
        <v>0</v>
      </c>
      <c r="M645" s="18">
        <f>IF(Imóveis!$F$6="PRICE",IF(AND(Dados!$A645&gt;=Imóveis!$Q$6,Dados!$A645&lt;=Imóveis!$T$6),Imóveis!$U$6,0),IF((IF(AND(Dados!$A645&gt;=Imóveis!$Q$6,Dados!$A645&lt;=Imóveis!$T$6),Imóveis!$S$6-(DATEDIF(Imóveis!$Q$6,Dados!$A645,"m")),0))=0,0,((Imóveis!$N$6/Imóveis!$S$6)+((Imóveis!$N$6-((Imóveis!$S$6-(IF(AND(Dados!$A645&gt;=Imóveis!$Q$6,Dados!$A645&lt;=Imóveis!$T$6),Imóveis!$S$6-(DATEDIF(Imóveis!$Q$6,Dados!$A645,"m")),)))*(Imóveis!$N$6/Imóveis!$S$6)))*Imóveis!$P$6))))*IF(AND(Imóveis!$E$6&gt;0,Dados!$A645&gt;Imóveis!$E$6),0,1)*Imóveis!$I$6</f>
        <v>0</v>
      </c>
      <c r="N645" s="18">
        <f t="shared" si="85"/>
        <v>37000</v>
      </c>
      <c r="O645" s="18">
        <f>SUMIFS(Receitas!$F:$F,Receitas!$J:$J,"&lt;="&amp;$A645,Receitas!$L:$L,"&gt;="&amp;$A645,Receitas!$C:$C,O$1,Receitas!$M:$M,"Mensal")+SUMIFS(Receitas!$F:$F,Receitas!$J:$J,"&lt;="&amp;$A645,Receitas!$L:$L,"&gt;="&amp;$A645,Receitas!$C:$C,O$1,Receitas!$M:$M,$B645)</f>
        <v>0</v>
      </c>
      <c r="P645" s="18">
        <f>SUMIFS(Receitas!$F:$F,Receitas!$J:$J,"&lt;="&amp;$A645,Receitas!$L:$L,"&gt;="&amp;$A645,Receitas!$C:$C,P$1,Receitas!$M:$M,"Mensal")+SUMIFS(Receitas!$F:$F,Receitas!$J:$J,"&lt;="&amp;$A645,Receitas!$L:$L,"&gt;="&amp;$A645,Receitas!$C:$C,P$1,Receitas!$M:$M,$B645)</f>
        <v>0</v>
      </c>
      <c r="Q645" s="18">
        <f>SUMIFS(Receitas!$F:$F,Receitas!$J:$J,"&lt;="&amp;$A645,Receitas!$L:$L,"&gt;="&amp;$A645,Receitas!$C:$C,Q$1,Receitas!$M:$M,"Mensal")+SUMIFS(Receitas!$F:$F,Receitas!$J:$J,"&lt;="&amp;$A645,Receitas!$L:$L,"&gt;="&amp;$A645,Receitas!$C:$C,Q$1,Receitas!$M:$M,$B645)</f>
        <v>0</v>
      </c>
      <c r="R645" s="18" cm="1">
        <f t="array" ref="R645">(IF(AND(Membros!$F$2="Sim",A645&lt;=MAX(Membros!$E$2:$E$5)),Membros!K$2,IF(AND(A645&gt;=Membros!J$2,A645&lt;=MAX(Membros!$E$2:$E$5)),Membros!K$2,0))+IF(AND(Membros!$F$3="Sim",A645&lt;=MAX(Membros!$E$2:$E$5)),Membros!K$3,IF(AND(A645&gt;=Membros!J$3,A645&lt;=MAX(Membros!$E$2:$E$5)),Membros!K$3,0)))*IF(AND(COUNTIFS(Tabela3[Tipo],"Provedor",Tabela3[Simulação Seguro],"Sim")=2,A645&gt;=MAX(IF(Tabela3[Tipo]="Dependente",Tabela3[Expectativa de Vida (Data)]))),0,1)</f>
        <v>10000</v>
      </c>
      <c r="S645" s="18">
        <f t="shared" si="86"/>
        <v>10000</v>
      </c>
      <c r="U645" s="18">
        <f t="shared" ca="1" si="89"/>
        <v>44168328.113228366</v>
      </c>
      <c r="V645" s="18">
        <f>SUMIF(Imóveis!E:E,Dados!A:A,Imóveis!Z:Z)-SUMIF(Imóveis!E:E,Dados!A:A,Imóveis!Y:Y)</f>
        <v>0</v>
      </c>
      <c r="W645" s="18">
        <f>-SUMIF(Projetos!N:N,A645,Projetos!F:F)</f>
        <v>0</v>
      </c>
      <c r="X645" s="18">
        <f t="shared" si="83"/>
        <v>-27000</v>
      </c>
      <c r="Y645" s="26">
        <f ca="1">(U645*((Indicadores_Economicos!D$2+1)^(1/12)-1))</f>
        <v>144595.61285749043</v>
      </c>
      <c r="Z645" s="18">
        <f t="shared" ca="1" si="87"/>
        <v>44285923.726085857</v>
      </c>
      <c r="AA645" s="18">
        <f ca="1">Auxiliar_Projetos!E645</f>
        <v>3.1981491880727482E-9</v>
      </c>
      <c r="AB645" s="18">
        <f ca="1">Auxiliar_Projetos!K645</f>
        <v>2.4601147600559573E-9</v>
      </c>
      <c r="AC645" s="18">
        <f ca="1">IF(Z645-AA645-AB645&gt;Investimentos!$C$14,Investimentos!$C$14,IF(Z645-AA645-AB645&lt;Investimentos!$C$14,Z645-AA645-AB645,0))</f>
        <v>300000</v>
      </c>
      <c r="AD645" s="18">
        <f t="shared" ca="1" si="88"/>
        <v>43985923.726085857</v>
      </c>
      <c r="AE645" s="18"/>
    </row>
    <row r="646" spans="1:31" x14ac:dyDescent="0.2">
      <c r="A646" s="4">
        <v>65259</v>
      </c>
      <c r="B646" s="5" t="str">
        <f t="shared" si="84"/>
        <v>setembro</v>
      </c>
      <c r="C646" s="5" t="str">
        <f t="shared" si="82"/>
        <v>2078</v>
      </c>
      <c r="D646" s="5">
        <f>SUMIFS(Despesas!$F:$F,Despesas!$J:$J,"&lt;="&amp;$A646,Despesas!$L:$L,"&gt;="&amp;$A646,Despesas!$C:$C,D$1,Despesas!$M:$M,"Mensal")+SUMIFS(Despesas!$F:$F,Despesas!$J:$J,"&lt;="&amp;$A646,Despesas!$L:$L,"&gt;="&amp;$A646,Despesas!$C:$C,D$1,Despesas!$M:$M,$B646)</f>
        <v>23000</v>
      </c>
      <c r="E646" s="18">
        <f>SUMIFS(Despesas!$F:$F,Despesas!$J:$J,"&lt;="&amp;$A646,Despesas!$L:$L,"&gt;="&amp;$A646,Despesas!$C:$C,E$1,Despesas!$M:$M,"Mensal")+SUMIFS(Despesas!$F:$F,Despesas!$J:$J,"&lt;="&amp;$A646,Despesas!$L:$L,"&gt;="&amp;$A646,Despesas!$C:$C,E$1,Despesas!$M:$M,$B646)</f>
        <v>0</v>
      </c>
      <c r="F646" s="5">
        <f>SUMIFS(Despesas!$F:$F,Despesas!$J:$J,"&lt;="&amp;$A646,Despesas!$L:$L,"&gt;="&amp;$A646,Despesas!$C:$C,F$1,Despesas!$M:$M,"Mensal")+SUMIFS(Despesas!$F:$F,Despesas!$J:$J,"&lt;="&amp;$A646,Despesas!$L:$L,"&gt;="&amp;$A646,Despesas!$C:$C,F$1,Despesas!$M:$M,$B646)</f>
        <v>13000</v>
      </c>
      <c r="G646" s="5">
        <f>SUMIFS(Despesas!$F:$F,Despesas!$J:$J,"&lt;="&amp;$A646,Despesas!$L:$L,"&gt;="&amp;$A646,Despesas!$C:$C,G$1,Despesas!$M:$M,"Mensal")+SUMIFS(Despesas!$F:$F,Despesas!$J:$J,"&lt;="&amp;$A646,Despesas!$L:$L,"&gt;="&amp;$A646,Despesas!$C:$C,G$1,Despesas!$M:$M,$B646)</f>
        <v>0</v>
      </c>
      <c r="H646" s="18">
        <f>SUMIFS(Despesas!$F:$F,Despesas!$J:$J,"&lt;="&amp;$A646,Despesas!$L:$L,"&gt;="&amp;$A646,Despesas!$C:$C,H$1,Despesas!$M:$M,"Mensal")+SUMIFS(Despesas!$F:$F,Despesas!$J:$J,"&lt;="&amp;$A646,Despesas!$L:$L,"&gt;="&amp;$A646,Despesas!$C:$C,H$1,Despesas!$M:$M,$B646)</f>
        <v>1000</v>
      </c>
      <c r="I646" s="18">
        <f>IF(Imóveis!$F$2="PRICE",IF(AND(Dados!$A646&gt;=Imóveis!$Q$2,Dados!$A646&lt;=Imóveis!$T$2),Imóveis!$U$2,0),IF((IF(AND(Dados!$A646&gt;=Imóveis!$Q$2,Dados!$A646&lt;=Imóveis!$T$2),Imóveis!$S$2-(DATEDIF(Imóveis!$Q$2,Dados!$A646,"m")),0))=0,0,((Imóveis!$N$2/Imóveis!$S$2)+((Imóveis!$N$2-((Imóveis!$S$2-(IF(AND(Dados!$A646&gt;=Imóveis!$Q$2,Dados!$A646&lt;=Imóveis!$T$2),Imóveis!$S$2-(DATEDIF(Imóveis!$Q$2,Dados!$A646,"m")),)))*(Imóveis!$N$2/Imóveis!$S$2)))*Imóveis!$P$2))))*IF(AND(Imóveis!$E$2&gt;0,Dados!$A646&gt;Imóveis!$E$2),0,1)</f>
        <v>0</v>
      </c>
      <c r="J646" s="18">
        <f>IF(Imóveis!$F$3="PRICE",IF(AND(Dados!$A646&gt;=Imóveis!$Q$3,Dados!$A646&lt;=Imóveis!$T$3),Imóveis!$U$3,0),IF((IF(AND(Dados!$A646&gt;=Imóveis!$Q$3,Dados!$A646&lt;=Imóveis!$T$3),Imóveis!$S$3-(DATEDIF(Imóveis!$Q$3,Dados!$A646,"m")),0))=0,0,((Imóveis!$N$3/Imóveis!$S$3)+((Imóveis!$N$3-((Imóveis!$S$3-(IF(AND(Dados!$A646&gt;=Imóveis!$Q$3,Dados!$A646&lt;=Imóveis!$T$3),Imóveis!$S$3-(DATEDIF(Imóveis!$Q$3,Dados!$A646,"m")),)))*(Imóveis!$N$3/Imóveis!$S$3)))*Imóveis!$P$3))))*IF(AND(Imóveis!$E$3&gt;0,Dados!$A646&gt;Imóveis!$E$3),0,1)</f>
        <v>0</v>
      </c>
      <c r="K646" s="18">
        <f>IF(Imóveis!$F$4="PRICE",IF(AND(Dados!$A646&gt;=Imóveis!$Q$4,Dados!$A646&lt;=Imóveis!$T$4),Imóveis!$U$4,0),IF((IF(AND(Dados!$A646&gt;=Imóveis!$Q$4,Dados!$A646&lt;=Imóveis!$T$4),Imóveis!$S$4-(DATEDIF(Imóveis!$Q$4,Dados!$A646,"m")),0))=0,0,((Imóveis!$N$4/Imóveis!$S$4)+((Imóveis!$N$4-((Imóveis!$S$4-(IF(AND(Dados!$A646&gt;=Imóveis!$Q$4,Dados!$A646&lt;=Imóveis!$T$4),Imóveis!$S$4-(DATEDIF(Imóveis!$Q$4,Dados!$A646,"m")),)))*(Imóveis!$N$4/Imóveis!$S$4)))*Imóveis!$P$4))))*IF(AND(Imóveis!$E$4&gt;0,Dados!$A646&gt;Imóveis!$E$4),0,1)</f>
        <v>0</v>
      </c>
      <c r="L646" s="18">
        <f>IF(Imóveis!$F$5="PRICE",IF(AND(Dados!$A646&gt;=Imóveis!$Q$5,Dados!$A646&lt;=Imóveis!$T$5),Imóveis!$U$5,0),IF((IF(AND(Dados!$A646&gt;=Imóveis!$Q$5,Dados!$A646&lt;=Imóveis!$T$5),Imóveis!$S$5-(DATEDIF(Imóveis!$Q$5,Dados!$A646,"m")),0))=0,0,((Imóveis!$N$5/Imóveis!$S$5)+((Imóveis!$N$5-((Imóveis!$S$5-(IF(AND(Dados!$A646 &gt;=Imóveis!$Q$5,Dados!$A646&lt;=Imóveis!$T$5),Imóveis!$S$5-(DATEDIF(Imóveis!$Q$5,Dados!$A646,"m")),)))*(Imóveis!$N$5/Imóveis!$S$5)))*Imóveis!$P$5))))*IF(AND(Imóveis!$E$5&gt;0,Dados!$A646&gt;Imóveis!$E$5),0,1)*Imóveis!$I$5</f>
        <v>0</v>
      </c>
      <c r="M646" s="18">
        <f>IF(Imóveis!$F$6="PRICE",IF(AND(Dados!$A646&gt;=Imóveis!$Q$6,Dados!$A646&lt;=Imóveis!$T$6),Imóveis!$U$6,0),IF((IF(AND(Dados!$A646&gt;=Imóveis!$Q$6,Dados!$A646&lt;=Imóveis!$T$6),Imóveis!$S$6-(DATEDIF(Imóveis!$Q$6,Dados!$A646,"m")),0))=0,0,((Imóveis!$N$6/Imóveis!$S$6)+((Imóveis!$N$6-((Imóveis!$S$6-(IF(AND(Dados!$A646&gt;=Imóveis!$Q$6,Dados!$A646&lt;=Imóveis!$T$6),Imóveis!$S$6-(DATEDIF(Imóveis!$Q$6,Dados!$A646,"m")),)))*(Imóveis!$N$6/Imóveis!$S$6)))*Imóveis!$P$6))))*IF(AND(Imóveis!$E$6&gt;0,Dados!$A646&gt;Imóveis!$E$6),0,1)*Imóveis!$I$6</f>
        <v>0</v>
      </c>
      <c r="N646" s="18">
        <f t="shared" si="85"/>
        <v>37000</v>
      </c>
      <c r="O646" s="18">
        <f>SUMIFS(Receitas!$F:$F,Receitas!$J:$J,"&lt;="&amp;$A646,Receitas!$L:$L,"&gt;="&amp;$A646,Receitas!$C:$C,O$1,Receitas!$M:$M,"Mensal")+SUMIFS(Receitas!$F:$F,Receitas!$J:$J,"&lt;="&amp;$A646,Receitas!$L:$L,"&gt;="&amp;$A646,Receitas!$C:$C,O$1,Receitas!$M:$M,$B646)</f>
        <v>0</v>
      </c>
      <c r="P646" s="18">
        <f>SUMIFS(Receitas!$F:$F,Receitas!$J:$J,"&lt;="&amp;$A646,Receitas!$L:$L,"&gt;="&amp;$A646,Receitas!$C:$C,P$1,Receitas!$M:$M,"Mensal")+SUMIFS(Receitas!$F:$F,Receitas!$J:$J,"&lt;="&amp;$A646,Receitas!$L:$L,"&gt;="&amp;$A646,Receitas!$C:$C,P$1,Receitas!$M:$M,$B646)</f>
        <v>0</v>
      </c>
      <c r="Q646" s="18">
        <f>SUMIFS(Receitas!$F:$F,Receitas!$J:$J,"&lt;="&amp;$A646,Receitas!$L:$L,"&gt;="&amp;$A646,Receitas!$C:$C,Q$1,Receitas!$M:$M,"Mensal")+SUMIFS(Receitas!$F:$F,Receitas!$J:$J,"&lt;="&amp;$A646,Receitas!$L:$L,"&gt;="&amp;$A646,Receitas!$C:$C,Q$1,Receitas!$M:$M,$B646)</f>
        <v>0</v>
      </c>
      <c r="R646" s="18" cm="1">
        <f t="array" ref="R646">(IF(AND(Membros!$F$2="Sim",A646&lt;=MAX(Membros!$E$2:$E$5)),Membros!K$2,IF(AND(A646&gt;=Membros!J$2,A646&lt;=MAX(Membros!$E$2:$E$5)),Membros!K$2,0))+IF(AND(Membros!$F$3="Sim",A646&lt;=MAX(Membros!$E$2:$E$5)),Membros!K$3,IF(AND(A646&gt;=Membros!J$3,A646&lt;=MAX(Membros!$E$2:$E$5)),Membros!K$3,0)))*IF(AND(COUNTIFS(Tabela3[Tipo],"Provedor",Tabela3[Simulação Seguro],"Sim")=2,A646&gt;=MAX(IF(Tabela3[Tipo]="Dependente",Tabela3[Expectativa de Vida (Data)]))),0,1)</f>
        <v>10000</v>
      </c>
      <c r="S646" s="18">
        <f t="shared" si="86"/>
        <v>10000</v>
      </c>
      <c r="U646" s="18">
        <f t="shared" ca="1" si="89"/>
        <v>44285923.726085857</v>
      </c>
      <c r="V646" s="18">
        <f>SUMIF(Imóveis!E:E,Dados!A:A,Imóveis!Z:Z)-SUMIF(Imóveis!E:E,Dados!A:A,Imóveis!Y:Y)</f>
        <v>0</v>
      </c>
      <c r="W646" s="18">
        <f>-SUMIF(Projetos!N:N,A646,Projetos!F:F)</f>
        <v>0</v>
      </c>
      <c r="X646" s="18">
        <f t="shared" si="83"/>
        <v>-27000</v>
      </c>
      <c r="Y646" s="26">
        <f ca="1">(U646*((Indicadores_Economicos!D$2+1)^(1/12)-1))</f>
        <v>144980.59029351405</v>
      </c>
      <c r="Z646" s="18">
        <f t="shared" ca="1" si="87"/>
        <v>44403904.316379368</v>
      </c>
      <c r="AA646" s="18">
        <f ca="1">Auxiliar_Projetos!E646</f>
        <v>3.208619096299149E-9</v>
      </c>
      <c r="AB646" s="18">
        <f ca="1">Auxiliar_Projetos!K646</f>
        <v>2.4681685356147271E-9</v>
      </c>
      <c r="AC646" s="18">
        <f ca="1">IF(Z646-AA646-AB646&gt;Investimentos!$C$14,Investimentos!$C$14,IF(Z646-AA646-AB646&lt;Investimentos!$C$14,Z646-AA646-AB646,0))</f>
        <v>300000</v>
      </c>
      <c r="AD646" s="18">
        <f t="shared" ca="1" si="88"/>
        <v>44103904.316379368</v>
      </c>
      <c r="AE646" s="18"/>
    </row>
    <row r="647" spans="1:31" x14ac:dyDescent="0.2">
      <c r="A647" s="4">
        <v>65289</v>
      </c>
      <c r="B647" s="5" t="str">
        <f t="shared" si="84"/>
        <v>outubro</v>
      </c>
      <c r="C647" s="5" t="str">
        <f t="shared" si="82"/>
        <v>2078</v>
      </c>
      <c r="D647" s="5">
        <f>SUMIFS(Despesas!$F:$F,Despesas!$J:$J,"&lt;="&amp;$A647,Despesas!$L:$L,"&gt;="&amp;$A647,Despesas!$C:$C,D$1,Despesas!$M:$M,"Mensal")+SUMIFS(Despesas!$F:$F,Despesas!$J:$J,"&lt;="&amp;$A647,Despesas!$L:$L,"&gt;="&amp;$A647,Despesas!$C:$C,D$1,Despesas!$M:$M,$B647)</f>
        <v>23000</v>
      </c>
      <c r="E647" s="18">
        <f>SUMIFS(Despesas!$F:$F,Despesas!$J:$J,"&lt;="&amp;$A647,Despesas!$L:$L,"&gt;="&amp;$A647,Despesas!$C:$C,E$1,Despesas!$M:$M,"Mensal")+SUMIFS(Despesas!$F:$F,Despesas!$J:$J,"&lt;="&amp;$A647,Despesas!$L:$L,"&gt;="&amp;$A647,Despesas!$C:$C,E$1,Despesas!$M:$M,$B647)</f>
        <v>0</v>
      </c>
      <c r="F647" s="5">
        <f>SUMIFS(Despesas!$F:$F,Despesas!$J:$J,"&lt;="&amp;$A647,Despesas!$L:$L,"&gt;="&amp;$A647,Despesas!$C:$C,F$1,Despesas!$M:$M,"Mensal")+SUMIFS(Despesas!$F:$F,Despesas!$J:$J,"&lt;="&amp;$A647,Despesas!$L:$L,"&gt;="&amp;$A647,Despesas!$C:$C,F$1,Despesas!$M:$M,$B647)</f>
        <v>13000</v>
      </c>
      <c r="G647" s="5">
        <f>SUMIFS(Despesas!$F:$F,Despesas!$J:$J,"&lt;="&amp;$A647,Despesas!$L:$L,"&gt;="&amp;$A647,Despesas!$C:$C,G$1,Despesas!$M:$M,"Mensal")+SUMIFS(Despesas!$F:$F,Despesas!$J:$J,"&lt;="&amp;$A647,Despesas!$L:$L,"&gt;="&amp;$A647,Despesas!$C:$C,G$1,Despesas!$M:$M,$B647)</f>
        <v>0</v>
      </c>
      <c r="H647" s="18">
        <f>SUMIFS(Despesas!$F:$F,Despesas!$J:$J,"&lt;="&amp;$A647,Despesas!$L:$L,"&gt;="&amp;$A647,Despesas!$C:$C,H$1,Despesas!$M:$M,"Mensal")+SUMIFS(Despesas!$F:$F,Despesas!$J:$J,"&lt;="&amp;$A647,Despesas!$L:$L,"&gt;="&amp;$A647,Despesas!$C:$C,H$1,Despesas!$M:$M,$B647)</f>
        <v>1000</v>
      </c>
      <c r="I647" s="18">
        <f>IF(Imóveis!$F$2="PRICE",IF(AND(Dados!$A647&gt;=Imóveis!$Q$2,Dados!$A647&lt;=Imóveis!$T$2),Imóveis!$U$2,0),IF((IF(AND(Dados!$A647&gt;=Imóveis!$Q$2,Dados!$A647&lt;=Imóveis!$T$2),Imóveis!$S$2-(DATEDIF(Imóveis!$Q$2,Dados!$A647,"m")),0))=0,0,((Imóveis!$N$2/Imóveis!$S$2)+((Imóveis!$N$2-((Imóveis!$S$2-(IF(AND(Dados!$A647&gt;=Imóveis!$Q$2,Dados!$A647&lt;=Imóveis!$T$2),Imóveis!$S$2-(DATEDIF(Imóveis!$Q$2,Dados!$A647,"m")),)))*(Imóveis!$N$2/Imóveis!$S$2)))*Imóveis!$P$2))))*IF(AND(Imóveis!$E$2&gt;0,Dados!$A647&gt;Imóveis!$E$2),0,1)</f>
        <v>0</v>
      </c>
      <c r="J647" s="18">
        <f>IF(Imóveis!$F$3="PRICE",IF(AND(Dados!$A647&gt;=Imóveis!$Q$3,Dados!$A647&lt;=Imóveis!$T$3),Imóveis!$U$3,0),IF((IF(AND(Dados!$A647&gt;=Imóveis!$Q$3,Dados!$A647&lt;=Imóveis!$T$3),Imóveis!$S$3-(DATEDIF(Imóveis!$Q$3,Dados!$A647,"m")),0))=0,0,((Imóveis!$N$3/Imóveis!$S$3)+((Imóveis!$N$3-((Imóveis!$S$3-(IF(AND(Dados!$A647&gt;=Imóveis!$Q$3,Dados!$A647&lt;=Imóveis!$T$3),Imóveis!$S$3-(DATEDIF(Imóveis!$Q$3,Dados!$A647,"m")),)))*(Imóveis!$N$3/Imóveis!$S$3)))*Imóveis!$P$3))))*IF(AND(Imóveis!$E$3&gt;0,Dados!$A647&gt;Imóveis!$E$3),0,1)</f>
        <v>0</v>
      </c>
      <c r="K647" s="18">
        <f>IF(Imóveis!$F$4="PRICE",IF(AND(Dados!$A647&gt;=Imóveis!$Q$4,Dados!$A647&lt;=Imóveis!$T$4),Imóveis!$U$4,0),IF((IF(AND(Dados!$A647&gt;=Imóveis!$Q$4,Dados!$A647&lt;=Imóveis!$T$4),Imóveis!$S$4-(DATEDIF(Imóveis!$Q$4,Dados!$A647,"m")),0))=0,0,((Imóveis!$N$4/Imóveis!$S$4)+((Imóveis!$N$4-((Imóveis!$S$4-(IF(AND(Dados!$A647&gt;=Imóveis!$Q$4,Dados!$A647&lt;=Imóveis!$T$4),Imóveis!$S$4-(DATEDIF(Imóveis!$Q$4,Dados!$A647,"m")),)))*(Imóveis!$N$4/Imóveis!$S$4)))*Imóveis!$P$4))))*IF(AND(Imóveis!$E$4&gt;0,Dados!$A647&gt;Imóveis!$E$4),0,1)</f>
        <v>0</v>
      </c>
      <c r="L647" s="18">
        <f>IF(Imóveis!$F$5="PRICE",IF(AND(Dados!$A647&gt;=Imóveis!$Q$5,Dados!$A647&lt;=Imóveis!$T$5),Imóveis!$U$5,0),IF((IF(AND(Dados!$A647&gt;=Imóveis!$Q$5,Dados!$A647&lt;=Imóveis!$T$5),Imóveis!$S$5-(DATEDIF(Imóveis!$Q$5,Dados!$A647,"m")),0))=0,0,((Imóveis!$N$5/Imóveis!$S$5)+((Imóveis!$N$5-((Imóveis!$S$5-(IF(AND(Dados!$A647 &gt;=Imóveis!$Q$5,Dados!$A647&lt;=Imóveis!$T$5),Imóveis!$S$5-(DATEDIF(Imóveis!$Q$5,Dados!$A647,"m")),)))*(Imóveis!$N$5/Imóveis!$S$5)))*Imóveis!$P$5))))*IF(AND(Imóveis!$E$5&gt;0,Dados!$A647&gt;Imóveis!$E$5),0,1)*Imóveis!$I$5</f>
        <v>0</v>
      </c>
      <c r="M647" s="18">
        <f>IF(Imóveis!$F$6="PRICE",IF(AND(Dados!$A647&gt;=Imóveis!$Q$6,Dados!$A647&lt;=Imóveis!$T$6),Imóveis!$U$6,0),IF((IF(AND(Dados!$A647&gt;=Imóveis!$Q$6,Dados!$A647&lt;=Imóveis!$T$6),Imóveis!$S$6-(DATEDIF(Imóveis!$Q$6,Dados!$A647,"m")),0))=0,0,((Imóveis!$N$6/Imóveis!$S$6)+((Imóveis!$N$6-((Imóveis!$S$6-(IF(AND(Dados!$A647&gt;=Imóveis!$Q$6,Dados!$A647&lt;=Imóveis!$T$6),Imóveis!$S$6-(DATEDIF(Imóveis!$Q$6,Dados!$A647,"m")),)))*(Imóveis!$N$6/Imóveis!$S$6)))*Imóveis!$P$6))))*IF(AND(Imóveis!$E$6&gt;0,Dados!$A647&gt;Imóveis!$E$6),0,1)*Imóveis!$I$6</f>
        <v>0</v>
      </c>
      <c r="N647" s="18">
        <f t="shared" si="85"/>
        <v>37000</v>
      </c>
      <c r="O647" s="18">
        <f>SUMIFS(Receitas!$F:$F,Receitas!$J:$J,"&lt;="&amp;$A647,Receitas!$L:$L,"&gt;="&amp;$A647,Receitas!$C:$C,O$1,Receitas!$M:$M,"Mensal")+SUMIFS(Receitas!$F:$F,Receitas!$J:$J,"&lt;="&amp;$A647,Receitas!$L:$L,"&gt;="&amp;$A647,Receitas!$C:$C,O$1,Receitas!$M:$M,$B647)</f>
        <v>0</v>
      </c>
      <c r="P647" s="18">
        <f>SUMIFS(Receitas!$F:$F,Receitas!$J:$J,"&lt;="&amp;$A647,Receitas!$L:$L,"&gt;="&amp;$A647,Receitas!$C:$C,P$1,Receitas!$M:$M,"Mensal")+SUMIFS(Receitas!$F:$F,Receitas!$J:$J,"&lt;="&amp;$A647,Receitas!$L:$L,"&gt;="&amp;$A647,Receitas!$C:$C,P$1,Receitas!$M:$M,$B647)</f>
        <v>0</v>
      </c>
      <c r="Q647" s="18">
        <f>SUMIFS(Receitas!$F:$F,Receitas!$J:$J,"&lt;="&amp;$A647,Receitas!$L:$L,"&gt;="&amp;$A647,Receitas!$C:$C,Q$1,Receitas!$M:$M,"Mensal")+SUMIFS(Receitas!$F:$F,Receitas!$J:$J,"&lt;="&amp;$A647,Receitas!$L:$L,"&gt;="&amp;$A647,Receitas!$C:$C,Q$1,Receitas!$M:$M,$B647)</f>
        <v>0</v>
      </c>
      <c r="R647" s="18" cm="1">
        <f t="array" ref="R647">(IF(AND(Membros!$F$2="Sim",A647&lt;=MAX(Membros!$E$2:$E$5)),Membros!K$2,IF(AND(A647&gt;=Membros!J$2,A647&lt;=MAX(Membros!$E$2:$E$5)),Membros!K$2,0))+IF(AND(Membros!$F$3="Sim",A647&lt;=MAX(Membros!$E$2:$E$5)),Membros!K$3,IF(AND(A647&gt;=Membros!J$3,A647&lt;=MAX(Membros!$E$2:$E$5)),Membros!K$3,0)))*IF(AND(COUNTIFS(Tabela3[Tipo],"Provedor",Tabela3[Simulação Seguro],"Sim")=2,A647&gt;=MAX(IF(Tabela3[Tipo]="Dependente",Tabela3[Expectativa de Vida (Data)]))),0,1)</f>
        <v>10000</v>
      </c>
      <c r="S647" s="18">
        <f t="shared" si="86"/>
        <v>10000</v>
      </c>
      <c r="U647" s="18">
        <f t="shared" ca="1" si="89"/>
        <v>44403904.316379368</v>
      </c>
      <c r="V647" s="18">
        <f>SUMIF(Imóveis!E:E,Dados!A:A,Imóveis!Z:Z)-SUMIF(Imóveis!E:E,Dados!A:A,Imóveis!Y:Y)</f>
        <v>0</v>
      </c>
      <c r="W647" s="18">
        <f>-SUMIF(Projetos!N:N,A647,Projetos!F:F)</f>
        <v>0</v>
      </c>
      <c r="X647" s="18">
        <f t="shared" si="83"/>
        <v>-27000</v>
      </c>
      <c r="Y647" s="26">
        <f ca="1">(U647*((Indicadores_Economicos!D$2+1)^(1/12)-1))</f>
        <v>145366.82804548522</v>
      </c>
      <c r="Z647" s="18">
        <f t="shared" ca="1" si="87"/>
        <v>44522271.144424856</v>
      </c>
      <c r="AA647" s="18">
        <f ca="1">Auxiliar_Projetos!E647</f>
        <v>3.2191232802806265E-9</v>
      </c>
      <c r="AB647" s="18">
        <f ca="1">Auxiliar_Projetos!K647</f>
        <v>2.4762486771389406E-9</v>
      </c>
      <c r="AC647" s="18">
        <f ca="1">IF(Z647-AA647-AB647&gt;Investimentos!$C$14,Investimentos!$C$14,IF(Z647-AA647-AB647&lt;Investimentos!$C$14,Z647-AA647-AB647,0))</f>
        <v>300000</v>
      </c>
      <c r="AD647" s="18">
        <f t="shared" ca="1" si="88"/>
        <v>44222271.144424856</v>
      </c>
      <c r="AE647" s="18"/>
    </row>
    <row r="648" spans="1:31" x14ac:dyDescent="0.2">
      <c r="A648" s="4">
        <v>65320</v>
      </c>
      <c r="B648" s="5" t="str">
        <f t="shared" si="84"/>
        <v>novembro</v>
      </c>
      <c r="C648" s="5" t="str">
        <f t="shared" si="82"/>
        <v>2078</v>
      </c>
      <c r="D648" s="5">
        <f>SUMIFS(Despesas!$F:$F,Despesas!$J:$J,"&lt;="&amp;$A648,Despesas!$L:$L,"&gt;="&amp;$A648,Despesas!$C:$C,D$1,Despesas!$M:$M,"Mensal")+SUMIFS(Despesas!$F:$F,Despesas!$J:$J,"&lt;="&amp;$A648,Despesas!$L:$L,"&gt;="&amp;$A648,Despesas!$C:$C,D$1,Despesas!$M:$M,$B648)</f>
        <v>23000</v>
      </c>
      <c r="E648" s="18">
        <f>SUMIFS(Despesas!$F:$F,Despesas!$J:$J,"&lt;="&amp;$A648,Despesas!$L:$L,"&gt;="&amp;$A648,Despesas!$C:$C,E$1,Despesas!$M:$M,"Mensal")+SUMIFS(Despesas!$F:$F,Despesas!$J:$J,"&lt;="&amp;$A648,Despesas!$L:$L,"&gt;="&amp;$A648,Despesas!$C:$C,E$1,Despesas!$M:$M,$B648)</f>
        <v>0</v>
      </c>
      <c r="F648" s="5">
        <f>SUMIFS(Despesas!$F:$F,Despesas!$J:$J,"&lt;="&amp;$A648,Despesas!$L:$L,"&gt;="&amp;$A648,Despesas!$C:$C,F$1,Despesas!$M:$M,"Mensal")+SUMIFS(Despesas!$F:$F,Despesas!$J:$J,"&lt;="&amp;$A648,Despesas!$L:$L,"&gt;="&amp;$A648,Despesas!$C:$C,F$1,Despesas!$M:$M,$B648)</f>
        <v>13000</v>
      </c>
      <c r="G648" s="5">
        <f>SUMIFS(Despesas!$F:$F,Despesas!$J:$J,"&lt;="&amp;$A648,Despesas!$L:$L,"&gt;="&amp;$A648,Despesas!$C:$C,G$1,Despesas!$M:$M,"Mensal")+SUMIFS(Despesas!$F:$F,Despesas!$J:$J,"&lt;="&amp;$A648,Despesas!$L:$L,"&gt;="&amp;$A648,Despesas!$C:$C,G$1,Despesas!$M:$M,$B648)</f>
        <v>0</v>
      </c>
      <c r="H648" s="18">
        <f>SUMIFS(Despesas!$F:$F,Despesas!$J:$J,"&lt;="&amp;$A648,Despesas!$L:$L,"&gt;="&amp;$A648,Despesas!$C:$C,H$1,Despesas!$M:$M,"Mensal")+SUMIFS(Despesas!$F:$F,Despesas!$J:$J,"&lt;="&amp;$A648,Despesas!$L:$L,"&gt;="&amp;$A648,Despesas!$C:$C,H$1,Despesas!$M:$M,$B648)</f>
        <v>1000</v>
      </c>
      <c r="I648" s="18">
        <f>IF(Imóveis!$F$2="PRICE",IF(AND(Dados!$A648&gt;=Imóveis!$Q$2,Dados!$A648&lt;=Imóveis!$T$2),Imóveis!$U$2,0),IF((IF(AND(Dados!$A648&gt;=Imóveis!$Q$2,Dados!$A648&lt;=Imóveis!$T$2),Imóveis!$S$2-(DATEDIF(Imóveis!$Q$2,Dados!$A648,"m")),0))=0,0,((Imóveis!$N$2/Imóveis!$S$2)+((Imóveis!$N$2-((Imóveis!$S$2-(IF(AND(Dados!$A648&gt;=Imóveis!$Q$2,Dados!$A648&lt;=Imóveis!$T$2),Imóveis!$S$2-(DATEDIF(Imóveis!$Q$2,Dados!$A648,"m")),)))*(Imóveis!$N$2/Imóveis!$S$2)))*Imóveis!$P$2))))*IF(AND(Imóveis!$E$2&gt;0,Dados!$A648&gt;Imóveis!$E$2),0,1)</f>
        <v>0</v>
      </c>
      <c r="J648" s="18">
        <f>IF(Imóveis!$F$3="PRICE",IF(AND(Dados!$A648&gt;=Imóveis!$Q$3,Dados!$A648&lt;=Imóveis!$T$3),Imóveis!$U$3,0),IF((IF(AND(Dados!$A648&gt;=Imóveis!$Q$3,Dados!$A648&lt;=Imóveis!$T$3),Imóveis!$S$3-(DATEDIF(Imóveis!$Q$3,Dados!$A648,"m")),0))=0,0,((Imóveis!$N$3/Imóveis!$S$3)+((Imóveis!$N$3-((Imóveis!$S$3-(IF(AND(Dados!$A648&gt;=Imóveis!$Q$3,Dados!$A648&lt;=Imóveis!$T$3),Imóveis!$S$3-(DATEDIF(Imóveis!$Q$3,Dados!$A648,"m")),)))*(Imóveis!$N$3/Imóveis!$S$3)))*Imóveis!$P$3))))*IF(AND(Imóveis!$E$3&gt;0,Dados!$A648&gt;Imóveis!$E$3),0,1)</f>
        <v>0</v>
      </c>
      <c r="K648" s="18">
        <f>IF(Imóveis!$F$4="PRICE",IF(AND(Dados!$A648&gt;=Imóveis!$Q$4,Dados!$A648&lt;=Imóveis!$T$4),Imóveis!$U$4,0),IF((IF(AND(Dados!$A648&gt;=Imóveis!$Q$4,Dados!$A648&lt;=Imóveis!$T$4),Imóveis!$S$4-(DATEDIF(Imóveis!$Q$4,Dados!$A648,"m")),0))=0,0,((Imóveis!$N$4/Imóveis!$S$4)+((Imóveis!$N$4-((Imóveis!$S$4-(IF(AND(Dados!$A648&gt;=Imóveis!$Q$4,Dados!$A648&lt;=Imóveis!$T$4),Imóveis!$S$4-(DATEDIF(Imóveis!$Q$4,Dados!$A648,"m")),)))*(Imóveis!$N$4/Imóveis!$S$4)))*Imóveis!$P$4))))*IF(AND(Imóveis!$E$4&gt;0,Dados!$A648&gt;Imóveis!$E$4),0,1)</f>
        <v>0</v>
      </c>
      <c r="L648" s="18">
        <f>IF(Imóveis!$F$5="PRICE",IF(AND(Dados!$A648&gt;=Imóveis!$Q$5,Dados!$A648&lt;=Imóveis!$T$5),Imóveis!$U$5,0),IF((IF(AND(Dados!$A648&gt;=Imóveis!$Q$5,Dados!$A648&lt;=Imóveis!$T$5),Imóveis!$S$5-(DATEDIF(Imóveis!$Q$5,Dados!$A648,"m")),0))=0,0,((Imóveis!$N$5/Imóveis!$S$5)+((Imóveis!$N$5-((Imóveis!$S$5-(IF(AND(Dados!$A648 &gt;=Imóveis!$Q$5,Dados!$A648&lt;=Imóveis!$T$5),Imóveis!$S$5-(DATEDIF(Imóveis!$Q$5,Dados!$A648,"m")),)))*(Imóveis!$N$5/Imóveis!$S$5)))*Imóveis!$P$5))))*IF(AND(Imóveis!$E$5&gt;0,Dados!$A648&gt;Imóveis!$E$5),0,1)*Imóveis!$I$5</f>
        <v>0</v>
      </c>
      <c r="M648" s="18">
        <f>IF(Imóveis!$F$6="PRICE",IF(AND(Dados!$A648&gt;=Imóveis!$Q$6,Dados!$A648&lt;=Imóveis!$T$6),Imóveis!$U$6,0),IF((IF(AND(Dados!$A648&gt;=Imóveis!$Q$6,Dados!$A648&lt;=Imóveis!$T$6),Imóveis!$S$6-(DATEDIF(Imóveis!$Q$6,Dados!$A648,"m")),0))=0,0,((Imóveis!$N$6/Imóveis!$S$6)+((Imóveis!$N$6-((Imóveis!$S$6-(IF(AND(Dados!$A648&gt;=Imóveis!$Q$6,Dados!$A648&lt;=Imóveis!$T$6),Imóveis!$S$6-(DATEDIF(Imóveis!$Q$6,Dados!$A648,"m")),)))*(Imóveis!$N$6/Imóveis!$S$6)))*Imóveis!$P$6))))*IF(AND(Imóveis!$E$6&gt;0,Dados!$A648&gt;Imóveis!$E$6),0,1)*Imóveis!$I$6</f>
        <v>0</v>
      </c>
      <c r="N648" s="18">
        <f t="shared" si="85"/>
        <v>37000</v>
      </c>
      <c r="O648" s="18">
        <f>SUMIFS(Receitas!$F:$F,Receitas!$J:$J,"&lt;="&amp;$A648,Receitas!$L:$L,"&gt;="&amp;$A648,Receitas!$C:$C,O$1,Receitas!$M:$M,"Mensal")+SUMIFS(Receitas!$F:$F,Receitas!$J:$J,"&lt;="&amp;$A648,Receitas!$L:$L,"&gt;="&amp;$A648,Receitas!$C:$C,O$1,Receitas!$M:$M,$B648)</f>
        <v>0</v>
      </c>
      <c r="P648" s="18">
        <f>SUMIFS(Receitas!$F:$F,Receitas!$J:$J,"&lt;="&amp;$A648,Receitas!$L:$L,"&gt;="&amp;$A648,Receitas!$C:$C,P$1,Receitas!$M:$M,"Mensal")+SUMIFS(Receitas!$F:$F,Receitas!$J:$J,"&lt;="&amp;$A648,Receitas!$L:$L,"&gt;="&amp;$A648,Receitas!$C:$C,P$1,Receitas!$M:$M,$B648)</f>
        <v>0</v>
      </c>
      <c r="Q648" s="18">
        <f>SUMIFS(Receitas!$F:$F,Receitas!$J:$J,"&lt;="&amp;$A648,Receitas!$L:$L,"&gt;="&amp;$A648,Receitas!$C:$C,Q$1,Receitas!$M:$M,"Mensal")+SUMIFS(Receitas!$F:$F,Receitas!$J:$J,"&lt;="&amp;$A648,Receitas!$L:$L,"&gt;="&amp;$A648,Receitas!$C:$C,Q$1,Receitas!$M:$M,$B648)</f>
        <v>0</v>
      </c>
      <c r="R648" s="18" cm="1">
        <f t="array" ref="R648">(IF(AND(Membros!$F$2="Sim",A648&lt;=MAX(Membros!$E$2:$E$5)),Membros!K$2,IF(AND(A648&gt;=Membros!J$2,A648&lt;=MAX(Membros!$E$2:$E$5)),Membros!K$2,0))+IF(AND(Membros!$F$3="Sim",A648&lt;=MAX(Membros!$E$2:$E$5)),Membros!K$3,IF(AND(A648&gt;=Membros!J$3,A648&lt;=MAX(Membros!$E$2:$E$5)),Membros!K$3,0)))*IF(AND(COUNTIFS(Tabela3[Tipo],"Provedor",Tabela3[Simulação Seguro],"Sim")=2,A648&gt;=MAX(IF(Tabela3[Tipo]="Dependente",Tabela3[Expectativa de Vida (Data)]))),0,1)</f>
        <v>10000</v>
      </c>
      <c r="S648" s="18">
        <f t="shared" si="86"/>
        <v>10000</v>
      </c>
      <c r="U648" s="18">
        <f t="shared" ca="1" si="89"/>
        <v>44522271.144424856</v>
      </c>
      <c r="V648" s="18">
        <f>SUMIF(Imóveis!E:E,Dados!A:A,Imóveis!Z:Z)-SUMIF(Imóveis!E:E,Dados!A:A,Imóveis!Y:Y)</f>
        <v>0</v>
      </c>
      <c r="W648" s="18">
        <f>-SUMIF(Projetos!N:N,A648,Projetos!F:F)</f>
        <v>0</v>
      </c>
      <c r="X648" s="18">
        <f t="shared" si="83"/>
        <v>-27000</v>
      </c>
      <c r="Y648" s="26">
        <f ca="1">(U648*((Indicadores_Economicos!D$2+1)^(1/12)-1))</f>
        <v>145754.33023935044</v>
      </c>
      <c r="Z648" s="18">
        <f t="shared" ca="1" si="87"/>
        <v>44641025.474664204</v>
      </c>
      <c r="AA648" s="18">
        <f ca="1">Auxiliar_Projetos!E648</f>
        <v>3.2296618522270837E-9</v>
      </c>
      <c r="AB648" s="18">
        <f ca="1">Auxiliar_Projetos!K648</f>
        <v>2.4843552709439079E-9</v>
      </c>
      <c r="AC648" s="18">
        <f ca="1">IF(Z648-AA648-AB648&gt;Investimentos!$C$14,Investimentos!$C$14,IF(Z648-AA648-AB648&lt;Investimentos!$C$14,Z648-AA648-AB648,0))</f>
        <v>300000</v>
      </c>
      <c r="AD648" s="18">
        <f t="shared" ca="1" si="88"/>
        <v>44341025.474664204</v>
      </c>
      <c r="AE648" s="18"/>
    </row>
    <row r="649" spans="1:31" x14ac:dyDescent="0.2">
      <c r="A649" s="4">
        <v>65350</v>
      </c>
      <c r="B649" s="5" t="str">
        <f t="shared" si="84"/>
        <v>dezembro</v>
      </c>
      <c r="C649" s="5" t="str">
        <f t="shared" si="82"/>
        <v>2078</v>
      </c>
      <c r="D649" s="5">
        <f>SUMIFS(Despesas!$F:$F,Despesas!$J:$J,"&lt;="&amp;$A649,Despesas!$L:$L,"&gt;="&amp;$A649,Despesas!$C:$C,D$1,Despesas!$M:$M,"Mensal")+SUMIFS(Despesas!$F:$F,Despesas!$J:$J,"&lt;="&amp;$A649,Despesas!$L:$L,"&gt;="&amp;$A649,Despesas!$C:$C,D$1,Despesas!$M:$M,$B649)</f>
        <v>23000</v>
      </c>
      <c r="E649" s="18">
        <f>SUMIFS(Despesas!$F:$F,Despesas!$J:$J,"&lt;="&amp;$A649,Despesas!$L:$L,"&gt;="&amp;$A649,Despesas!$C:$C,E$1,Despesas!$M:$M,"Mensal")+SUMIFS(Despesas!$F:$F,Despesas!$J:$J,"&lt;="&amp;$A649,Despesas!$L:$L,"&gt;="&amp;$A649,Despesas!$C:$C,E$1,Despesas!$M:$M,$B649)</f>
        <v>0</v>
      </c>
      <c r="F649" s="5">
        <f>SUMIFS(Despesas!$F:$F,Despesas!$J:$J,"&lt;="&amp;$A649,Despesas!$L:$L,"&gt;="&amp;$A649,Despesas!$C:$C,F$1,Despesas!$M:$M,"Mensal")+SUMIFS(Despesas!$F:$F,Despesas!$J:$J,"&lt;="&amp;$A649,Despesas!$L:$L,"&gt;="&amp;$A649,Despesas!$C:$C,F$1,Despesas!$M:$M,$B649)</f>
        <v>13000</v>
      </c>
      <c r="G649" s="5">
        <f ca="1">SUMIFS(Despesas!$F:$F,Despesas!$J:$J,"&lt;="&amp;$A649,Despesas!$L:$L,"&gt;="&amp;$A649,Despesas!$C:$C,G$1,Despesas!$M:$M,"Mensal")+SUMIFS(Despesas!$F:$F,Despesas!$J:$J,"&lt;="&amp;$A649,Despesas!$L:$L,"&gt;="&amp;$A649,Despesas!$C:$C,G$1,Despesas!$M:$M,$B649)</f>
        <v>55757</v>
      </c>
      <c r="H649" s="18">
        <f>SUMIFS(Despesas!$F:$F,Despesas!$J:$J,"&lt;="&amp;$A649,Despesas!$L:$L,"&gt;="&amp;$A649,Despesas!$C:$C,H$1,Despesas!$M:$M,"Mensal")+SUMIFS(Despesas!$F:$F,Despesas!$J:$J,"&lt;="&amp;$A649,Despesas!$L:$L,"&gt;="&amp;$A649,Despesas!$C:$C,H$1,Despesas!$M:$M,$B649)</f>
        <v>1000</v>
      </c>
      <c r="I649" s="18">
        <f>IF(Imóveis!$F$2="PRICE",IF(AND(Dados!$A649&gt;=Imóveis!$Q$2,Dados!$A649&lt;=Imóveis!$T$2),Imóveis!$U$2,0),IF((IF(AND(Dados!$A649&gt;=Imóveis!$Q$2,Dados!$A649&lt;=Imóveis!$T$2),Imóveis!$S$2-(DATEDIF(Imóveis!$Q$2,Dados!$A649,"m")),0))=0,0,((Imóveis!$N$2/Imóveis!$S$2)+((Imóveis!$N$2-((Imóveis!$S$2-(IF(AND(Dados!$A649&gt;=Imóveis!$Q$2,Dados!$A649&lt;=Imóveis!$T$2),Imóveis!$S$2-(DATEDIF(Imóveis!$Q$2,Dados!$A649,"m")),)))*(Imóveis!$N$2/Imóveis!$S$2)))*Imóveis!$P$2))))*IF(AND(Imóveis!$E$2&gt;0,Dados!$A649&gt;Imóveis!$E$2),0,1)</f>
        <v>0</v>
      </c>
      <c r="J649" s="18">
        <f>IF(Imóveis!$F$3="PRICE",IF(AND(Dados!$A649&gt;=Imóveis!$Q$3,Dados!$A649&lt;=Imóveis!$T$3),Imóveis!$U$3,0),IF((IF(AND(Dados!$A649&gt;=Imóveis!$Q$3,Dados!$A649&lt;=Imóveis!$T$3),Imóveis!$S$3-(DATEDIF(Imóveis!$Q$3,Dados!$A649,"m")),0))=0,0,((Imóveis!$N$3/Imóveis!$S$3)+((Imóveis!$N$3-((Imóveis!$S$3-(IF(AND(Dados!$A649&gt;=Imóveis!$Q$3,Dados!$A649&lt;=Imóveis!$T$3),Imóveis!$S$3-(DATEDIF(Imóveis!$Q$3,Dados!$A649,"m")),)))*(Imóveis!$N$3/Imóveis!$S$3)))*Imóveis!$P$3))))*IF(AND(Imóveis!$E$3&gt;0,Dados!$A649&gt;Imóveis!$E$3),0,1)</f>
        <v>0</v>
      </c>
      <c r="K649" s="18">
        <f>IF(Imóveis!$F$4="PRICE",IF(AND(Dados!$A649&gt;=Imóveis!$Q$4,Dados!$A649&lt;=Imóveis!$T$4),Imóveis!$U$4,0),IF((IF(AND(Dados!$A649&gt;=Imóveis!$Q$4,Dados!$A649&lt;=Imóveis!$T$4),Imóveis!$S$4-(DATEDIF(Imóveis!$Q$4,Dados!$A649,"m")),0))=0,0,((Imóveis!$N$4/Imóveis!$S$4)+((Imóveis!$N$4-((Imóveis!$S$4-(IF(AND(Dados!$A649&gt;=Imóveis!$Q$4,Dados!$A649&lt;=Imóveis!$T$4),Imóveis!$S$4-(DATEDIF(Imóveis!$Q$4,Dados!$A649,"m")),)))*(Imóveis!$N$4/Imóveis!$S$4)))*Imóveis!$P$4))))*IF(AND(Imóveis!$E$4&gt;0,Dados!$A649&gt;Imóveis!$E$4),0,1)</f>
        <v>0</v>
      </c>
      <c r="L649" s="18">
        <f>IF(Imóveis!$F$5="PRICE",IF(AND(Dados!$A649&gt;=Imóveis!$Q$5,Dados!$A649&lt;=Imóveis!$T$5),Imóveis!$U$5,0),IF((IF(AND(Dados!$A649&gt;=Imóveis!$Q$5,Dados!$A649&lt;=Imóveis!$T$5),Imóveis!$S$5-(DATEDIF(Imóveis!$Q$5,Dados!$A649,"m")),0))=0,0,((Imóveis!$N$5/Imóveis!$S$5)+((Imóveis!$N$5-((Imóveis!$S$5-(IF(AND(Dados!$A649 &gt;=Imóveis!$Q$5,Dados!$A649&lt;=Imóveis!$T$5),Imóveis!$S$5-(DATEDIF(Imóveis!$Q$5,Dados!$A649,"m")),)))*(Imóveis!$N$5/Imóveis!$S$5)))*Imóveis!$P$5))))*IF(AND(Imóveis!$E$5&gt;0,Dados!$A649&gt;Imóveis!$E$5),0,1)*Imóveis!$I$5</f>
        <v>0</v>
      </c>
      <c r="M649" s="18">
        <f>IF(Imóveis!$F$6="PRICE",IF(AND(Dados!$A649&gt;=Imóveis!$Q$6,Dados!$A649&lt;=Imóveis!$T$6),Imóveis!$U$6,0),IF((IF(AND(Dados!$A649&gt;=Imóveis!$Q$6,Dados!$A649&lt;=Imóveis!$T$6),Imóveis!$S$6-(DATEDIF(Imóveis!$Q$6,Dados!$A649,"m")),0))=0,0,((Imóveis!$N$6/Imóveis!$S$6)+((Imóveis!$N$6-((Imóveis!$S$6-(IF(AND(Dados!$A649&gt;=Imóveis!$Q$6,Dados!$A649&lt;=Imóveis!$T$6),Imóveis!$S$6-(DATEDIF(Imóveis!$Q$6,Dados!$A649,"m")),)))*(Imóveis!$N$6/Imóveis!$S$6)))*Imóveis!$P$6))))*IF(AND(Imóveis!$E$6&gt;0,Dados!$A649&gt;Imóveis!$E$6),0,1)*Imóveis!$I$6</f>
        <v>0</v>
      </c>
      <c r="N649" s="18">
        <f t="shared" ca="1" si="85"/>
        <v>92757</v>
      </c>
      <c r="O649" s="18">
        <f>SUMIFS(Receitas!$F:$F,Receitas!$J:$J,"&lt;="&amp;$A649,Receitas!$L:$L,"&gt;="&amp;$A649,Receitas!$C:$C,O$1,Receitas!$M:$M,"Mensal")+SUMIFS(Receitas!$F:$F,Receitas!$J:$J,"&lt;="&amp;$A649,Receitas!$L:$L,"&gt;="&amp;$A649,Receitas!$C:$C,O$1,Receitas!$M:$M,$B649)</f>
        <v>0</v>
      </c>
      <c r="P649" s="18">
        <f>SUMIFS(Receitas!$F:$F,Receitas!$J:$J,"&lt;="&amp;$A649,Receitas!$L:$L,"&gt;="&amp;$A649,Receitas!$C:$C,P$1,Receitas!$M:$M,"Mensal")+SUMIFS(Receitas!$F:$F,Receitas!$J:$J,"&lt;="&amp;$A649,Receitas!$L:$L,"&gt;="&amp;$A649,Receitas!$C:$C,P$1,Receitas!$M:$M,$B649)</f>
        <v>0</v>
      </c>
      <c r="Q649" s="18">
        <f>SUMIFS(Receitas!$F:$F,Receitas!$J:$J,"&lt;="&amp;$A649,Receitas!$L:$L,"&gt;="&amp;$A649,Receitas!$C:$C,Q$1,Receitas!$M:$M,"Mensal")+SUMIFS(Receitas!$F:$F,Receitas!$J:$J,"&lt;="&amp;$A649,Receitas!$L:$L,"&gt;="&amp;$A649,Receitas!$C:$C,Q$1,Receitas!$M:$M,$B649)</f>
        <v>0</v>
      </c>
      <c r="R649" s="18" cm="1">
        <f t="array" ref="R649">(IF(AND(Membros!$F$2="Sim",A649&lt;=MAX(Membros!$E$2:$E$5)),Membros!K$2,IF(AND(A649&gt;=Membros!J$2,A649&lt;=MAX(Membros!$E$2:$E$5)),Membros!K$2,0))+IF(AND(Membros!$F$3="Sim",A649&lt;=MAX(Membros!$E$2:$E$5)),Membros!K$3,IF(AND(A649&gt;=Membros!J$3,A649&lt;=MAX(Membros!$E$2:$E$5)),Membros!K$3,0)))*IF(AND(COUNTIFS(Tabela3[Tipo],"Provedor",Tabela3[Simulação Seguro],"Sim")=2,A649&gt;=MAX(IF(Tabela3[Tipo]="Dependente",Tabela3[Expectativa de Vida (Data)]))),0,1)</f>
        <v>10000</v>
      </c>
      <c r="S649" s="18">
        <f t="shared" si="86"/>
        <v>10000</v>
      </c>
      <c r="U649" s="18">
        <f t="shared" ca="1" si="89"/>
        <v>44641025.474664204</v>
      </c>
      <c r="V649" s="18">
        <f>SUMIF(Imóveis!E:E,Dados!A:A,Imóveis!Z:Z)-SUMIF(Imóveis!E:E,Dados!A:A,Imóveis!Y:Y)</f>
        <v>0</v>
      </c>
      <c r="W649" s="18">
        <f>-SUMIF(Projetos!N:N,A649,Projetos!F:F)</f>
        <v>0</v>
      </c>
      <c r="X649" s="18">
        <f t="shared" ca="1" si="83"/>
        <v>-82757</v>
      </c>
      <c r="Y649" s="26">
        <f ca="1">(U649*((Indicadores_Economicos!D$2+1)^(1/12)-1))</f>
        <v>146143.10101456338</v>
      </c>
      <c r="Z649" s="18">
        <f t="shared" ca="1" si="87"/>
        <v>44704411.575678766</v>
      </c>
      <c r="AA649" s="18">
        <f ca="1">Auxiliar_Projetos!E649</f>
        <v>3.2402349247157696E-9</v>
      </c>
      <c r="AB649" s="18">
        <f ca="1">Auxiliar_Projetos!K649</f>
        <v>2.4924884036275127E-9</v>
      </c>
      <c r="AC649" s="18">
        <f ca="1">IF(Z649-AA649-AB649&gt;Investimentos!$C$14,Investimentos!$C$14,IF(Z649-AA649-AB649&lt;Investimentos!$C$14,Z649-AA649-AB649,0))</f>
        <v>300000</v>
      </c>
      <c r="AD649" s="18">
        <f t="shared" ca="1" si="88"/>
        <v>44404411.575678766</v>
      </c>
      <c r="AE649" s="18"/>
    </row>
    <row r="650" spans="1:31" x14ac:dyDescent="0.2">
      <c r="A650" s="4">
        <v>65381</v>
      </c>
      <c r="B650" s="5" t="str">
        <f t="shared" si="84"/>
        <v>janeiro</v>
      </c>
      <c r="C650" s="5" t="str">
        <f t="shared" si="82"/>
        <v>2079</v>
      </c>
      <c r="D650" s="5">
        <f>SUMIFS(Despesas!$F:$F,Despesas!$J:$J,"&lt;="&amp;$A650,Despesas!$L:$L,"&gt;="&amp;$A650,Despesas!$C:$C,D$1,Despesas!$M:$M,"Mensal")+SUMIFS(Despesas!$F:$F,Despesas!$J:$J,"&lt;="&amp;$A650,Despesas!$L:$L,"&gt;="&amp;$A650,Despesas!$C:$C,D$1,Despesas!$M:$M,$B650)</f>
        <v>23000</v>
      </c>
      <c r="E650" s="18">
        <f>SUMIFS(Despesas!$F:$F,Despesas!$J:$J,"&lt;="&amp;$A650,Despesas!$L:$L,"&gt;="&amp;$A650,Despesas!$C:$C,E$1,Despesas!$M:$M,"Mensal")+SUMIFS(Despesas!$F:$F,Despesas!$J:$J,"&lt;="&amp;$A650,Despesas!$L:$L,"&gt;="&amp;$A650,Despesas!$C:$C,E$1,Despesas!$M:$M,$B650)</f>
        <v>0</v>
      </c>
      <c r="F650" s="5">
        <f>SUMIFS(Despesas!$F:$F,Despesas!$J:$J,"&lt;="&amp;$A650,Despesas!$L:$L,"&gt;="&amp;$A650,Despesas!$C:$C,F$1,Despesas!$M:$M,"Mensal")+SUMIFS(Despesas!$F:$F,Despesas!$J:$J,"&lt;="&amp;$A650,Despesas!$L:$L,"&gt;="&amp;$A650,Despesas!$C:$C,F$1,Despesas!$M:$M,$B650)</f>
        <v>13000</v>
      </c>
      <c r="G650" s="5">
        <f>SUMIFS(Despesas!$F:$F,Despesas!$J:$J,"&lt;="&amp;$A650,Despesas!$L:$L,"&gt;="&amp;$A650,Despesas!$C:$C,G$1,Despesas!$M:$M,"Mensal")+SUMIFS(Despesas!$F:$F,Despesas!$J:$J,"&lt;="&amp;$A650,Despesas!$L:$L,"&gt;="&amp;$A650,Despesas!$C:$C,G$1,Despesas!$M:$M,$B650)</f>
        <v>0</v>
      </c>
      <c r="H650" s="18">
        <f>SUMIFS(Despesas!$F:$F,Despesas!$J:$J,"&lt;="&amp;$A650,Despesas!$L:$L,"&gt;="&amp;$A650,Despesas!$C:$C,H$1,Despesas!$M:$M,"Mensal")+SUMIFS(Despesas!$F:$F,Despesas!$J:$J,"&lt;="&amp;$A650,Despesas!$L:$L,"&gt;="&amp;$A650,Despesas!$C:$C,H$1,Despesas!$M:$M,$B650)</f>
        <v>1000</v>
      </c>
      <c r="I650" s="18">
        <f>IF(Imóveis!$F$2="PRICE",IF(AND(Dados!$A650&gt;=Imóveis!$Q$2,Dados!$A650&lt;=Imóveis!$T$2),Imóveis!$U$2,0),IF((IF(AND(Dados!$A650&gt;=Imóveis!$Q$2,Dados!$A650&lt;=Imóveis!$T$2),Imóveis!$S$2-(DATEDIF(Imóveis!$Q$2,Dados!$A650,"m")),0))=0,0,((Imóveis!$N$2/Imóveis!$S$2)+((Imóveis!$N$2-((Imóveis!$S$2-(IF(AND(Dados!$A650&gt;=Imóveis!$Q$2,Dados!$A650&lt;=Imóveis!$T$2),Imóveis!$S$2-(DATEDIF(Imóveis!$Q$2,Dados!$A650,"m")),)))*(Imóveis!$N$2/Imóveis!$S$2)))*Imóveis!$P$2))))*IF(AND(Imóveis!$E$2&gt;0,Dados!$A650&gt;Imóveis!$E$2),0,1)</f>
        <v>0</v>
      </c>
      <c r="J650" s="18">
        <f>IF(Imóveis!$F$3="PRICE",IF(AND(Dados!$A650&gt;=Imóveis!$Q$3,Dados!$A650&lt;=Imóveis!$T$3),Imóveis!$U$3,0),IF((IF(AND(Dados!$A650&gt;=Imóveis!$Q$3,Dados!$A650&lt;=Imóveis!$T$3),Imóveis!$S$3-(DATEDIF(Imóveis!$Q$3,Dados!$A650,"m")),0))=0,0,((Imóveis!$N$3/Imóveis!$S$3)+((Imóveis!$N$3-((Imóveis!$S$3-(IF(AND(Dados!$A650&gt;=Imóveis!$Q$3,Dados!$A650&lt;=Imóveis!$T$3),Imóveis!$S$3-(DATEDIF(Imóveis!$Q$3,Dados!$A650,"m")),)))*(Imóveis!$N$3/Imóveis!$S$3)))*Imóveis!$P$3))))*IF(AND(Imóveis!$E$3&gt;0,Dados!$A650&gt;Imóveis!$E$3),0,1)</f>
        <v>0</v>
      </c>
      <c r="K650" s="18">
        <f>IF(Imóveis!$F$4="PRICE",IF(AND(Dados!$A650&gt;=Imóveis!$Q$4,Dados!$A650&lt;=Imóveis!$T$4),Imóveis!$U$4,0),IF((IF(AND(Dados!$A650&gt;=Imóveis!$Q$4,Dados!$A650&lt;=Imóveis!$T$4),Imóveis!$S$4-(DATEDIF(Imóveis!$Q$4,Dados!$A650,"m")),0))=0,0,((Imóveis!$N$4/Imóveis!$S$4)+((Imóveis!$N$4-((Imóveis!$S$4-(IF(AND(Dados!$A650&gt;=Imóveis!$Q$4,Dados!$A650&lt;=Imóveis!$T$4),Imóveis!$S$4-(DATEDIF(Imóveis!$Q$4,Dados!$A650,"m")),)))*(Imóveis!$N$4/Imóveis!$S$4)))*Imóveis!$P$4))))*IF(AND(Imóveis!$E$4&gt;0,Dados!$A650&gt;Imóveis!$E$4),0,1)</f>
        <v>0</v>
      </c>
      <c r="L650" s="18">
        <f>IF(Imóveis!$F$5="PRICE",IF(AND(Dados!$A650&gt;=Imóveis!$Q$5,Dados!$A650&lt;=Imóveis!$T$5),Imóveis!$U$5,0),IF((IF(AND(Dados!$A650&gt;=Imóveis!$Q$5,Dados!$A650&lt;=Imóveis!$T$5),Imóveis!$S$5-(DATEDIF(Imóveis!$Q$5,Dados!$A650,"m")),0))=0,0,((Imóveis!$N$5/Imóveis!$S$5)+((Imóveis!$N$5-((Imóveis!$S$5-(IF(AND(Dados!$A650 &gt;=Imóveis!$Q$5,Dados!$A650&lt;=Imóveis!$T$5),Imóveis!$S$5-(DATEDIF(Imóveis!$Q$5,Dados!$A650,"m")),)))*(Imóveis!$N$5/Imóveis!$S$5)))*Imóveis!$P$5))))*IF(AND(Imóveis!$E$5&gt;0,Dados!$A650&gt;Imóveis!$E$5),0,1)*Imóveis!$I$5</f>
        <v>0</v>
      </c>
      <c r="M650" s="18">
        <f>IF(Imóveis!$F$6="PRICE",IF(AND(Dados!$A650&gt;=Imóveis!$Q$6,Dados!$A650&lt;=Imóveis!$T$6),Imóveis!$U$6,0),IF((IF(AND(Dados!$A650&gt;=Imóveis!$Q$6,Dados!$A650&lt;=Imóveis!$T$6),Imóveis!$S$6-(DATEDIF(Imóveis!$Q$6,Dados!$A650,"m")),0))=0,0,((Imóveis!$N$6/Imóveis!$S$6)+((Imóveis!$N$6-((Imóveis!$S$6-(IF(AND(Dados!$A650&gt;=Imóveis!$Q$6,Dados!$A650&lt;=Imóveis!$T$6),Imóveis!$S$6-(DATEDIF(Imóveis!$Q$6,Dados!$A650,"m")),)))*(Imóveis!$N$6/Imóveis!$S$6)))*Imóveis!$P$6))))*IF(AND(Imóveis!$E$6&gt;0,Dados!$A650&gt;Imóveis!$E$6),0,1)*Imóveis!$I$6</f>
        <v>0</v>
      </c>
      <c r="N650" s="18">
        <f t="shared" si="85"/>
        <v>37000</v>
      </c>
      <c r="O650" s="18">
        <f>SUMIFS(Receitas!$F:$F,Receitas!$J:$J,"&lt;="&amp;$A650,Receitas!$L:$L,"&gt;="&amp;$A650,Receitas!$C:$C,O$1,Receitas!$M:$M,"Mensal")+SUMIFS(Receitas!$F:$F,Receitas!$J:$J,"&lt;="&amp;$A650,Receitas!$L:$L,"&gt;="&amp;$A650,Receitas!$C:$C,O$1,Receitas!$M:$M,$B650)</f>
        <v>0</v>
      </c>
      <c r="P650" s="18">
        <f>SUMIFS(Receitas!$F:$F,Receitas!$J:$J,"&lt;="&amp;$A650,Receitas!$L:$L,"&gt;="&amp;$A650,Receitas!$C:$C,P$1,Receitas!$M:$M,"Mensal")+SUMIFS(Receitas!$F:$F,Receitas!$J:$J,"&lt;="&amp;$A650,Receitas!$L:$L,"&gt;="&amp;$A650,Receitas!$C:$C,P$1,Receitas!$M:$M,$B650)</f>
        <v>0</v>
      </c>
      <c r="Q650" s="18">
        <f>SUMIFS(Receitas!$F:$F,Receitas!$J:$J,"&lt;="&amp;$A650,Receitas!$L:$L,"&gt;="&amp;$A650,Receitas!$C:$C,Q$1,Receitas!$M:$M,"Mensal")+SUMIFS(Receitas!$F:$F,Receitas!$J:$J,"&lt;="&amp;$A650,Receitas!$L:$L,"&gt;="&amp;$A650,Receitas!$C:$C,Q$1,Receitas!$M:$M,$B650)</f>
        <v>0</v>
      </c>
      <c r="R650" s="18" cm="1">
        <f t="array" ref="R650">(IF(AND(Membros!$F$2="Sim",A650&lt;=MAX(Membros!$E$2:$E$5)),Membros!K$2,IF(AND(A650&gt;=Membros!J$2,A650&lt;=MAX(Membros!$E$2:$E$5)),Membros!K$2,0))+IF(AND(Membros!$F$3="Sim",A650&lt;=MAX(Membros!$E$2:$E$5)),Membros!K$3,IF(AND(A650&gt;=Membros!J$3,A650&lt;=MAX(Membros!$E$2:$E$5)),Membros!K$3,0)))*IF(AND(COUNTIFS(Tabela3[Tipo],"Provedor",Tabela3[Simulação Seguro],"Sim")=2,A650&gt;=MAX(IF(Tabela3[Tipo]="Dependente",Tabela3[Expectativa de Vida (Data)]))),0,1)</f>
        <v>10000</v>
      </c>
      <c r="S650" s="18">
        <f t="shared" si="86"/>
        <v>10000</v>
      </c>
      <c r="U650" s="18">
        <f t="shared" ca="1" si="89"/>
        <v>44704411.575678766</v>
      </c>
      <c r="V650" s="18">
        <f>SUMIF(Imóveis!E:E,Dados!A:A,Imóveis!Z:Z)-SUMIF(Imóveis!E:E,Dados!A:A,Imóveis!Y:Y)</f>
        <v>0</v>
      </c>
      <c r="W650" s="18">
        <f>-SUMIF(Projetos!N:N,A650,Projetos!F:F)</f>
        <v>0</v>
      </c>
      <c r="X650" s="18">
        <f t="shared" si="83"/>
        <v>-27000</v>
      </c>
      <c r="Y650" s="26">
        <f ca="1">(U650*((Indicadores_Economicos!D$2+1)^(1/12)-1))</f>
        <v>146350.61061509323</v>
      </c>
      <c r="Z650" s="18">
        <f t="shared" ca="1" si="87"/>
        <v>44823762.186293855</v>
      </c>
      <c r="AA650" s="18">
        <f ca="1">Auxiliar_Projetos!E650</f>
        <v>3.2508426106924819E-9</v>
      </c>
      <c r="AB650" s="18">
        <f ca="1">Auxiliar_Projetos!K650</f>
        <v>2.5006481620711375E-9</v>
      </c>
      <c r="AC650" s="18">
        <f ca="1">IF(Z650-AA650-AB650&gt;Investimentos!$C$14,Investimentos!$C$14,IF(Z650-AA650-AB650&lt;Investimentos!$C$14,Z650-AA650-AB650,0))</f>
        <v>300000</v>
      </c>
      <c r="AD650" s="18">
        <f t="shared" ca="1" si="88"/>
        <v>44523762.186293855</v>
      </c>
      <c r="AE650" s="18"/>
    </row>
    <row r="651" spans="1:31" x14ac:dyDescent="0.2">
      <c r="A651" s="4">
        <v>65412</v>
      </c>
      <c r="B651" s="5" t="str">
        <f t="shared" si="84"/>
        <v>fevereiro</v>
      </c>
      <c r="C651" s="5" t="str">
        <f t="shared" si="82"/>
        <v>2079</v>
      </c>
      <c r="D651" s="5">
        <f>SUMIFS(Despesas!$F:$F,Despesas!$J:$J,"&lt;="&amp;$A651,Despesas!$L:$L,"&gt;="&amp;$A651,Despesas!$C:$C,D$1,Despesas!$M:$M,"Mensal")+SUMIFS(Despesas!$F:$F,Despesas!$J:$J,"&lt;="&amp;$A651,Despesas!$L:$L,"&gt;="&amp;$A651,Despesas!$C:$C,D$1,Despesas!$M:$M,$B651)</f>
        <v>23000</v>
      </c>
      <c r="E651" s="18">
        <f>SUMIFS(Despesas!$F:$F,Despesas!$J:$J,"&lt;="&amp;$A651,Despesas!$L:$L,"&gt;="&amp;$A651,Despesas!$C:$C,E$1,Despesas!$M:$M,"Mensal")+SUMIFS(Despesas!$F:$F,Despesas!$J:$J,"&lt;="&amp;$A651,Despesas!$L:$L,"&gt;="&amp;$A651,Despesas!$C:$C,E$1,Despesas!$M:$M,$B651)</f>
        <v>0</v>
      </c>
      <c r="F651" s="5">
        <f>SUMIFS(Despesas!$F:$F,Despesas!$J:$J,"&lt;="&amp;$A651,Despesas!$L:$L,"&gt;="&amp;$A651,Despesas!$C:$C,F$1,Despesas!$M:$M,"Mensal")+SUMIFS(Despesas!$F:$F,Despesas!$J:$J,"&lt;="&amp;$A651,Despesas!$L:$L,"&gt;="&amp;$A651,Despesas!$C:$C,F$1,Despesas!$M:$M,$B651)</f>
        <v>13000</v>
      </c>
      <c r="G651" s="5">
        <f>SUMIFS(Despesas!$F:$F,Despesas!$J:$J,"&lt;="&amp;$A651,Despesas!$L:$L,"&gt;="&amp;$A651,Despesas!$C:$C,G$1,Despesas!$M:$M,"Mensal")+SUMIFS(Despesas!$F:$F,Despesas!$J:$J,"&lt;="&amp;$A651,Despesas!$L:$L,"&gt;="&amp;$A651,Despesas!$C:$C,G$1,Despesas!$M:$M,$B651)</f>
        <v>0</v>
      </c>
      <c r="H651" s="18">
        <f>SUMIFS(Despesas!$F:$F,Despesas!$J:$J,"&lt;="&amp;$A651,Despesas!$L:$L,"&gt;="&amp;$A651,Despesas!$C:$C,H$1,Despesas!$M:$M,"Mensal")+SUMIFS(Despesas!$F:$F,Despesas!$J:$J,"&lt;="&amp;$A651,Despesas!$L:$L,"&gt;="&amp;$A651,Despesas!$C:$C,H$1,Despesas!$M:$M,$B651)</f>
        <v>2200</v>
      </c>
      <c r="I651" s="18">
        <f>IF(Imóveis!$F$2="PRICE",IF(AND(Dados!$A651&gt;=Imóveis!$Q$2,Dados!$A651&lt;=Imóveis!$T$2),Imóveis!$U$2,0),IF((IF(AND(Dados!$A651&gt;=Imóveis!$Q$2,Dados!$A651&lt;=Imóveis!$T$2),Imóveis!$S$2-(DATEDIF(Imóveis!$Q$2,Dados!$A651,"m")),0))=0,0,((Imóveis!$N$2/Imóveis!$S$2)+((Imóveis!$N$2-((Imóveis!$S$2-(IF(AND(Dados!$A651&gt;=Imóveis!$Q$2,Dados!$A651&lt;=Imóveis!$T$2),Imóveis!$S$2-(DATEDIF(Imóveis!$Q$2,Dados!$A651,"m")),)))*(Imóveis!$N$2/Imóveis!$S$2)))*Imóveis!$P$2))))*IF(AND(Imóveis!$E$2&gt;0,Dados!$A651&gt;Imóveis!$E$2),0,1)</f>
        <v>0</v>
      </c>
      <c r="J651" s="18">
        <f>IF(Imóveis!$F$3="PRICE",IF(AND(Dados!$A651&gt;=Imóveis!$Q$3,Dados!$A651&lt;=Imóveis!$T$3),Imóveis!$U$3,0),IF((IF(AND(Dados!$A651&gt;=Imóveis!$Q$3,Dados!$A651&lt;=Imóveis!$T$3),Imóveis!$S$3-(DATEDIF(Imóveis!$Q$3,Dados!$A651,"m")),0))=0,0,((Imóveis!$N$3/Imóveis!$S$3)+((Imóveis!$N$3-((Imóveis!$S$3-(IF(AND(Dados!$A651&gt;=Imóveis!$Q$3,Dados!$A651&lt;=Imóveis!$T$3),Imóveis!$S$3-(DATEDIF(Imóveis!$Q$3,Dados!$A651,"m")),)))*(Imóveis!$N$3/Imóveis!$S$3)))*Imóveis!$P$3))))*IF(AND(Imóveis!$E$3&gt;0,Dados!$A651&gt;Imóveis!$E$3),0,1)</f>
        <v>0</v>
      </c>
      <c r="K651" s="18">
        <f>IF(Imóveis!$F$4="PRICE",IF(AND(Dados!$A651&gt;=Imóveis!$Q$4,Dados!$A651&lt;=Imóveis!$T$4),Imóveis!$U$4,0),IF((IF(AND(Dados!$A651&gt;=Imóveis!$Q$4,Dados!$A651&lt;=Imóveis!$T$4),Imóveis!$S$4-(DATEDIF(Imóveis!$Q$4,Dados!$A651,"m")),0))=0,0,((Imóveis!$N$4/Imóveis!$S$4)+((Imóveis!$N$4-((Imóveis!$S$4-(IF(AND(Dados!$A651&gt;=Imóveis!$Q$4,Dados!$A651&lt;=Imóveis!$T$4),Imóveis!$S$4-(DATEDIF(Imóveis!$Q$4,Dados!$A651,"m")),)))*(Imóveis!$N$4/Imóveis!$S$4)))*Imóveis!$P$4))))*IF(AND(Imóveis!$E$4&gt;0,Dados!$A651&gt;Imóveis!$E$4),0,1)</f>
        <v>0</v>
      </c>
      <c r="L651" s="18">
        <f>IF(Imóveis!$F$5="PRICE",IF(AND(Dados!$A651&gt;=Imóveis!$Q$5,Dados!$A651&lt;=Imóveis!$T$5),Imóveis!$U$5,0),IF((IF(AND(Dados!$A651&gt;=Imóveis!$Q$5,Dados!$A651&lt;=Imóveis!$T$5),Imóveis!$S$5-(DATEDIF(Imóveis!$Q$5,Dados!$A651,"m")),0))=0,0,((Imóveis!$N$5/Imóveis!$S$5)+((Imóveis!$N$5-((Imóveis!$S$5-(IF(AND(Dados!$A651 &gt;=Imóveis!$Q$5,Dados!$A651&lt;=Imóveis!$T$5),Imóveis!$S$5-(DATEDIF(Imóveis!$Q$5,Dados!$A651,"m")),)))*(Imóveis!$N$5/Imóveis!$S$5)))*Imóveis!$P$5))))*IF(AND(Imóveis!$E$5&gt;0,Dados!$A651&gt;Imóveis!$E$5),0,1)*Imóveis!$I$5</f>
        <v>0</v>
      </c>
      <c r="M651" s="18">
        <f>IF(Imóveis!$F$6="PRICE",IF(AND(Dados!$A651&gt;=Imóveis!$Q$6,Dados!$A651&lt;=Imóveis!$T$6),Imóveis!$U$6,0),IF((IF(AND(Dados!$A651&gt;=Imóveis!$Q$6,Dados!$A651&lt;=Imóveis!$T$6),Imóveis!$S$6-(DATEDIF(Imóveis!$Q$6,Dados!$A651,"m")),0))=0,0,((Imóveis!$N$6/Imóveis!$S$6)+((Imóveis!$N$6-((Imóveis!$S$6-(IF(AND(Dados!$A651&gt;=Imóveis!$Q$6,Dados!$A651&lt;=Imóveis!$T$6),Imóveis!$S$6-(DATEDIF(Imóveis!$Q$6,Dados!$A651,"m")),)))*(Imóveis!$N$6/Imóveis!$S$6)))*Imóveis!$P$6))))*IF(AND(Imóveis!$E$6&gt;0,Dados!$A651&gt;Imóveis!$E$6),0,1)*Imóveis!$I$6</f>
        <v>0</v>
      </c>
      <c r="N651" s="18">
        <f t="shared" si="85"/>
        <v>38200</v>
      </c>
      <c r="O651" s="18">
        <f>SUMIFS(Receitas!$F:$F,Receitas!$J:$J,"&lt;="&amp;$A651,Receitas!$L:$L,"&gt;="&amp;$A651,Receitas!$C:$C,O$1,Receitas!$M:$M,"Mensal")+SUMIFS(Receitas!$F:$F,Receitas!$J:$J,"&lt;="&amp;$A651,Receitas!$L:$L,"&gt;="&amp;$A651,Receitas!$C:$C,O$1,Receitas!$M:$M,$B651)</f>
        <v>0</v>
      </c>
      <c r="P651" s="18">
        <f>SUMIFS(Receitas!$F:$F,Receitas!$J:$J,"&lt;="&amp;$A651,Receitas!$L:$L,"&gt;="&amp;$A651,Receitas!$C:$C,P$1,Receitas!$M:$M,"Mensal")+SUMIFS(Receitas!$F:$F,Receitas!$J:$J,"&lt;="&amp;$A651,Receitas!$L:$L,"&gt;="&amp;$A651,Receitas!$C:$C,P$1,Receitas!$M:$M,$B651)</f>
        <v>0</v>
      </c>
      <c r="Q651" s="18">
        <f>SUMIFS(Receitas!$F:$F,Receitas!$J:$J,"&lt;="&amp;$A651,Receitas!$L:$L,"&gt;="&amp;$A651,Receitas!$C:$C,Q$1,Receitas!$M:$M,"Mensal")+SUMIFS(Receitas!$F:$F,Receitas!$J:$J,"&lt;="&amp;$A651,Receitas!$L:$L,"&gt;="&amp;$A651,Receitas!$C:$C,Q$1,Receitas!$M:$M,$B651)</f>
        <v>0</v>
      </c>
      <c r="R651" s="18" cm="1">
        <f t="array" ref="R651">(IF(AND(Membros!$F$2="Sim",A651&lt;=MAX(Membros!$E$2:$E$5)),Membros!K$2,IF(AND(A651&gt;=Membros!J$2,A651&lt;=MAX(Membros!$E$2:$E$5)),Membros!K$2,0))+IF(AND(Membros!$F$3="Sim",A651&lt;=MAX(Membros!$E$2:$E$5)),Membros!K$3,IF(AND(A651&gt;=Membros!J$3,A651&lt;=MAX(Membros!$E$2:$E$5)),Membros!K$3,0)))*IF(AND(COUNTIFS(Tabela3[Tipo],"Provedor",Tabela3[Simulação Seguro],"Sim")=2,A651&gt;=MAX(IF(Tabela3[Tipo]="Dependente",Tabela3[Expectativa de Vida (Data)]))),0,1)</f>
        <v>10000</v>
      </c>
      <c r="S651" s="18">
        <f t="shared" si="86"/>
        <v>10000</v>
      </c>
      <c r="U651" s="18">
        <f t="shared" ca="1" si="89"/>
        <v>44823762.186293855</v>
      </c>
      <c r="V651" s="18">
        <f>SUMIF(Imóveis!E:E,Dados!A:A,Imóveis!Z:Z)-SUMIF(Imóveis!E:E,Dados!A:A,Imóveis!Y:Y)</f>
        <v>0</v>
      </c>
      <c r="W651" s="18">
        <f>-SUMIF(Projetos!N:N,A651,Projetos!F:F)</f>
        <v>0</v>
      </c>
      <c r="X651" s="18">
        <f t="shared" si="83"/>
        <v>-28200</v>
      </c>
      <c r="Y651" s="26">
        <f ca="1">(U651*((Indicadores_Economicos!D$2+1)^(1/12)-1))</f>
        <v>146741.3334570936</v>
      </c>
      <c r="Z651" s="18">
        <f t="shared" ca="1" si="87"/>
        <v>44942303.519750945</v>
      </c>
      <c r="AA651" s="18">
        <f ca="1">Auxiliar_Projetos!E651</f>
        <v>3.2614850234727733E-9</v>
      </c>
      <c r="AB651" s="18">
        <f ca="1">Auxiliar_Projetos!K651</f>
        <v>2.5088346334405925E-9</v>
      </c>
      <c r="AC651" s="18">
        <f ca="1">IF(Z651-AA651-AB651&gt;Investimentos!$C$14,Investimentos!$C$14,IF(Z651-AA651-AB651&lt;Investimentos!$C$14,Z651-AA651-AB651,0))</f>
        <v>300000</v>
      </c>
      <c r="AD651" s="18">
        <f t="shared" ca="1" si="88"/>
        <v>44642303.519750945</v>
      </c>
      <c r="AE651" s="18"/>
    </row>
    <row r="652" spans="1:31" x14ac:dyDescent="0.2">
      <c r="A652" s="4">
        <v>65440</v>
      </c>
      <c r="B652" s="5" t="str">
        <f t="shared" si="84"/>
        <v>março</v>
      </c>
      <c r="C652" s="5" t="str">
        <f t="shared" si="82"/>
        <v>2079</v>
      </c>
      <c r="D652" s="5">
        <f>SUMIFS(Despesas!$F:$F,Despesas!$J:$J,"&lt;="&amp;$A652,Despesas!$L:$L,"&gt;="&amp;$A652,Despesas!$C:$C,D$1,Despesas!$M:$M,"Mensal")+SUMIFS(Despesas!$F:$F,Despesas!$J:$J,"&lt;="&amp;$A652,Despesas!$L:$L,"&gt;="&amp;$A652,Despesas!$C:$C,D$1,Despesas!$M:$M,$B652)</f>
        <v>23000</v>
      </c>
      <c r="E652" s="18">
        <f>SUMIFS(Despesas!$F:$F,Despesas!$J:$J,"&lt;="&amp;$A652,Despesas!$L:$L,"&gt;="&amp;$A652,Despesas!$C:$C,E$1,Despesas!$M:$M,"Mensal")+SUMIFS(Despesas!$F:$F,Despesas!$J:$J,"&lt;="&amp;$A652,Despesas!$L:$L,"&gt;="&amp;$A652,Despesas!$C:$C,E$1,Despesas!$M:$M,$B652)</f>
        <v>0</v>
      </c>
      <c r="F652" s="5">
        <f>SUMIFS(Despesas!$F:$F,Despesas!$J:$J,"&lt;="&amp;$A652,Despesas!$L:$L,"&gt;="&amp;$A652,Despesas!$C:$C,F$1,Despesas!$M:$M,"Mensal")+SUMIFS(Despesas!$F:$F,Despesas!$J:$J,"&lt;="&amp;$A652,Despesas!$L:$L,"&gt;="&amp;$A652,Despesas!$C:$C,F$1,Despesas!$M:$M,$B652)</f>
        <v>13000</v>
      </c>
      <c r="G652" s="5">
        <f>SUMIFS(Despesas!$F:$F,Despesas!$J:$J,"&lt;="&amp;$A652,Despesas!$L:$L,"&gt;="&amp;$A652,Despesas!$C:$C,G$1,Despesas!$M:$M,"Mensal")+SUMIFS(Despesas!$F:$F,Despesas!$J:$J,"&lt;="&amp;$A652,Despesas!$L:$L,"&gt;="&amp;$A652,Despesas!$C:$C,G$1,Despesas!$M:$M,$B652)</f>
        <v>0</v>
      </c>
      <c r="H652" s="18">
        <f>SUMIFS(Despesas!$F:$F,Despesas!$J:$J,"&lt;="&amp;$A652,Despesas!$L:$L,"&gt;="&amp;$A652,Despesas!$C:$C,H$1,Despesas!$M:$M,"Mensal")+SUMIFS(Despesas!$F:$F,Despesas!$J:$J,"&lt;="&amp;$A652,Despesas!$L:$L,"&gt;="&amp;$A652,Despesas!$C:$C,H$1,Despesas!$M:$M,$B652)</f>
        <v>1000</v>
      </c>
      <c r="I652" s="18">
        <f>IF(Imóveis!$F$2="PRICE",IF(AND(Dados!$A652&gt;=Imóveis!$Q$2,Dados!$A652&lt;=Imóveis!$T$2),Imóveis!$U$2,0),IF((IF(AND(Dados!$A652&gt;=Imóveis!$Q$2,Dados!$A652&lt;=Imóveis!$T$2),Imóveis!$S$2-(DATEDIF(Imóveis!$Q$2,Dados!$A652,"m")),0))=0,0,((Imóveis!$N$2/Imóveis!$S$2)+((Imóveis!$N$2-((Imóveis!$S$2-(IF(AND(Dados!$A652&gt;=Imóveis!$Q$2,Dados!$A652&lt;=Imóveis!$T$2),Imóveis!$S$2-(DATEDIF(Imóveis!$Q$2,Dados!$A652,"m")),)))*(Imóveis!$N$2/Imóveis!$S$2)))*Imóveis!$P$2))))*IF(AND(Imóveis!$E$2&gt;0,Dados!$A652&gt;Imóveis!$E$2),0,1)</f>
        <v>0</v>
      </c>
      <c r="J652" s="18">
        <f>IF(Imóveis!$F$3="PRICE",IF(AND(Dados!$A652&gt;=Imóveis!$Q$3,Dados!$A652&lt;=Imóveis!$T$3),Imóveis!$U$3,0),IF((IF(AND(Dados!$A652&gt;=Imóveis!$Q$3,Dados!$A652&lt;=Imóveis!$T$3),Imóveis!$S$3-(DATEDIF(Imóveis!$Q$3,Dados!$A652,"m")),0))=0,0,((Imóveis!$N$3/Imóveis!$S$3)+((Imóveis!$N$3-((Imóveis!$S$3-(IF(AND(Dados!$A652&gt;=Imóveis!$Q$3,Dados!$A652&lt;=Imóveis!$T$3),Imóveis!$S$3-(DATEDIF(Imóveis!$Q$3,Dados!$A652,"m")),)))*(Imóveis!$N$3/Imóveis!$S$3)))*Imóveis!$P$3))))*IF(AND(Imóveis!$E$3&gt;0,Dados!$A652&gt;Imóveis!$E$3),0,1)</f>
        <v>0</v>
      </c>
      <c r="K652" s="18">
        <f>IF(Imóveis!$F$4="PRICE",IF(AND(Dados!$A652&gt;=Imóveis!$Q$4,Dados!$A652&lt;=Imóveis!$T$4),Imóveis!$U$4,0),IF((IF(AND(Dados!$A652&gt;=Imóveis!$Q$4,Dados!$A652&lt;=Imóveis!$T$4),Imóveis!$S$4-(DATEDIF(Imóveis!$Q$4,Dados!$A652,"m")),0))=0,0,((Imóveis!$N$4/Imóveis!$S$4)+((Imóveis!$N$4-((Imóveis!$S$4-(IF(AND(Dados!$A652&gt;=Imóveis!$Q$4,Dados!$A652&lt;=Imóveis!$T$4),Imóveis!$S$4-(DATEDIF(Imóveis!$Q$4,Dados!$A652,"m")),)))*(Imóveis!$N$4/Imóveis!$S$4)))*Imóveis!$P$4))))*IF(AND(Imóveis!$E$4&gt;0,Dados!$A652&gt;Imóveis!$E$4),0,1)</f>
        <v>0</v>
      </c>
      <c r="L652" s="18">
        <f>IF(Imóveis!$F$5="PRICE",IF(AND(Dados!$A652&gt;=Imóveis!$Q$5,Dados!$A652&lt;=Imóveis!$T$5),Imóveis!$U$5,0),IF((IF(AND(Dados!$A652&gt;=Imóveis!$Q$5,Dados!$A652&lt;=Imóveis!$T$5),Imóveis!$S$5-(DATEDIF(Imóveis!$Q$5,Dados!$A652,"m")),0))=0,0,((Imóveis!$N$5/Imóveis!$S$5)+((Imóveis!$N$5-((Imóveis!$S$5-(IF(AND(Dados!$A652 &gt;=Imóveis!$Q$5,Dados!$A652&lt;=Imóveis!$T$5),Imóveis!$S$5-(DATEDIF(Imóveis!$Q$5,Dados!$A652,"m")),)))*(Imóveis!$N$5/Imóveis!$S$5)))*Imóveis!$P$5))))*IF(AND(Imóveis!$E$5&gt;0,Dados!$A652&gt;Imóveis!$E$5),0,1)*Imóveis!$I$5</f>
        <v>0</v>
      </c>
      <c r="M652" s="18">
        <f>IF(Imóveis!$F$6="PRICE",IF(AND(Dados!$A652&gt;=Imóveis!$Q$6,Dados!$A652&lt;=Imóveis!$T$6),Imóveis!$U$6,0),IF((IF(AND(Dados!$A652&gt;=Imóveis!$Q$6,Dados!$A652&lt;=Imóveis!$T$6),Imóveis!$S$6-(DATEDIF(Imóveis!$Q$6,Dados!$A652,"m")),0))=0,0,((Imóveis!$N$6/Imóveis!$S$6)+((Imóveis!$N$6-((Imóveis!$S$6-(IF(AND(Dados!$A652&gt;=Imóveis!$Q$6,Dados!$A652&lt;=Imóveis!$T$6),Imóveis!$S$6-(DATEDIF(Imóveis!$Q$6,Dados!$A652,"m")),)))*(Imóveis!$N$6/Imóveis!$S$6)))*Imóveis!$P$6))))*IF(AND(Imóveis!$E$6&gt;0,Dados!$A652&gt;Imóveis!$E$6),0,1)*Imóveis!$I$6</f>
        <v>0</v>
      </c>
      <c r="N652" s="18">
        <f t="shared" si="85"/>
        <v>37000</v>
      </c>
      <c r="O652" s="18">
        <f>SUMIFS(Receitas!$F:$F,Receitas!$J:$J,"&lt;="&amp;$A652,Receitas!$L:$L,"&gt;="&amp;$A652,Receitas!$C:$C,O$1,Receitas!$M:$M,"Mensal")+SUMIFS(Receitas!$F:$F,Receitas!$J:$J,"&lt;="&amp;$A652,Receitas!$L:$L,"&gt;="&amp;$A652,Receitas!$C:$C,O$1,Receitas!$M:$M,$B652)</f>
        <v>0</v>
      </c>
      <c r="P652" s="18">
        <f>SUMIFS(Receitas!$F:$F,Receitas!$J:$J,"&lt;="&amp;$A652,Receitas!$L:$L,"&gt;="&amp;$A652,Receitas!$C:$C,P$1,Receitas!$M:$M,"Mensal")+SUMIFS(Receitas!$F:$F,Receitas!$J:$J,"&lt;="&amp;$A652,Receitas!$L:$L,"&gt;="&amp;$A652,Receitas!$C:$C,P$1,Receitas!$M:$M,$B652)</f>
        <v>0</v>
      </c>
      <c r="Q652" s="18">
        <f>SUMIFS(Receitas!$F:$F,Receitas!$J:$J,"&lt;="&amp;$A652,Receitas!$L:$L,"&gt;="&amp;$A652,Receitas!$C:$C,Q$1,Receitas!$M:$M,"Mensal")+SUMIFS(Receitas!$F:$F,Receitas!$J:$J,"&lt;="&amp;$A652,Receitas!$L:$L,"&gt;="&amp;$A652,Receitas!$C:$C,Q$1,Receitas!$M:$M,$B652)</f>
        <v>0</v>
      </c>
      <c r="R652" s="18" cm="1">
        <f t="array" ref="R652">(IF(AND(Membros!$F$2="Sim",A652&lt;=MAX(Membros!$E$2:$E$5)),Membros!K$2,IF(AND(A652&gt;=Membros!J$2,A652&lt;=MAX(Membros!$E$2:$E$5)),Membros!K$2,0))+IF(AND(Membros!$F$3="Sim",A652&lt;=MAX(Membros!$E$2:$E$5)),Membros!K$3,IF(AND(A652&gt;=Membros!J$3,A652&lt;=MAX(Membros!$E$2:$E$5)),Membros!K$3,0)))*IF(AND(COUNTIFS(Tabela3[Tipo],"Provedor",Tabela3[Simulação Seguro],"Sim")=2,A652&gt;=MAX(IF(Tabela3[Tipo]="Dependente",Tabela3[Expectativa de Vida (Data)]))),0,1)</f>
        <v>10000</v>
      </c>
      <c r="S652" s="18">
        <f t="shared" si="86"/>
        <v>10000</v>
      </c>
      <c r="U652" s="18">
        <f t="shared" ca="1" si="89"/>
        <v>44942303.519750945</v>
      </c>
      <c r="V652" s="18">
        <f>SUMIF(Imóveis!E:E,Dados!A:A,Imóveis!Z:Z)-SUMIF(Imóveis!E:E,Dados!A:A,Imóveis!Y:Y)</f>
        <v>0</v>
      </c>
      <c r="W652" s="18">
        <f>-SUMIF(Projetos!N:N,A652,Projetos!F:F)</f>
        <v>0</v>
      </c>
      <c r="X652" s="18">
        <f t="shared" si="83"/>
        <v>-27000</v>
      </c>
      <c r="Y652" s="26">
        <f ca="1">(U652*((Indicadores_Economicos!D$2+1)^(1/12)-1))</f>
        <v>147129.40693626695</v>
      </c>
      <c r="Z652" s="18">
        <f t="shared" ca="1" si="87"/>
        <v>45062432.926687211</v>
      </c>
      <c r="AA652" s="18">
        <f ca="1">Auxiliar_Projetos!E652</f>
        <v>3.2721622767431619E-9</v>
      </c>
      <c r="AB652" s="18">
        <f ca="1">Auxiliar_Projetos!K652</f>
        <v>2.5170479051870452E-9</v>
      </c>
      <c r="AC652" s="18">
        <f ca="1">IF(Z652-AA652-AB652&gt;Investimentos!$C$14,Investimentos!$C$14,IF(Z652-AA652-AB652&lt;Investimentos!$C$14,Z652-AA652-AB652,0))</f>
        <v>300000</v>
      </c>
      <c r="AD652" s="18">
        <f t="shared" ca="1" si="88"/>
        <v>44762432.926687211</v>
      </c>
      <c r="AE652" s="18"/>
    </row>
    <row r="653" spans="1:31" x14ac:dyDescent="0.2">
      <c r="A653" s="4">
        <v>65471</v>
      </c>
      <c r="B653" s="5" t="str">
        <f t="shared" si="84"/>
        <v>abril</v>
      </c>
      <c r="C653" s="5" t="str">
        <f t="shared" si="82"/>
        <v>2079</v>
      </c>
      <c r="D653" s="5">
        <f>SUMIFS(Despesas!$F:$F,Despesas!$J:$J,"&lt;="&amp;$A653,Despesas!$L:$L,"&gt;="&amp;$A653,Despesas!$C:$C,D$1,Despesas!$M:$M,"Mensal")+SUMIFS(Despesas!$F:$F,Despesas!$J:$J,"&lt;="&amp;$A653,Despesas!$L:$L,"&gt;="&amp;$A653,Despesas!$C:$C,D$1,Despesas!$M:$M,$B653)</f>
        <v>23000</v>
      </c>
      <c r="E653" s="18">
        <f>SUMIFS(Despesas!$F:$F,Despesas!$J:$J,"&lt;="&amp;$A653,Despesas!$L:$L,"&gt;="&amp;$A653,Despesas!$C:$C,E$1,Despesas!$M:$M,"Mensal")+SUMIFS(Despesas!$F:$F,Despesas!$J:$J,"&lt;="&amp;$A653,Despesas!$L:$L,"&gt;="&amp;$A653,Despesas!$C:$C,E$1,Despesas!$M:$M,$B653)</f>
        <v>0</v>
      </c>
      <c r="F653" s="5">
        <f>SUMIFS(Despesas!$F:$F,Despesas!$J:$J,"&lt;="&amp;$A653,Despesas!$L:$L,"&gt;="&amp;$A653,Despesas!$C:$C,F$1,Despesas!$M:$M,"Mensal")+SUMIFS(Despesas!$F:$F,Despesas!$J:$J,"&lt;="&amp;$A653,Despesas!$L:$L,"&gt;="&amp;$A653,Despesas!$C:$C,F$1,Despesas!$M:$M,$B653)</f>
        <v>13000</v>
      </c>
      <c r="G653" s="5">
        <f>SUMIFS(Despesas!$F:$F,Despesas!$J:$J,"&lt;="&amp;$A653,Despesas!$L:$L,"&gt;="&amp;$A653,Despesas!$C:$C,G$1,Despesas!$M:$M,"Mensal")+SUMIFS(Despesas!$F:$F,Despesas!$J:$J,"&lt;="&amp;$A653,Despesas!$L:$L,"&gt;="&amp;$A653,Despesas!$C:$C,G$1,Despesas!$M:$M,$B653)</f>
        <v>0</v>
      </c>
      <c r="H653" s="18">
        <f>SUMIFS(Despesas!$F:$F,Despesas!$J:$J,"&lt;="&amp;$A653,Despesas!$L:$L,"&gt;="&amp;$A653,Despesas!$C:$C,H$1,Despesas!$M:$M,"Mensal")+SUMIFS(Despesas!$F:$F,Despesas!$J:$J,"&lt;="&amp;$A653,Despesas!$L:$L,"&gt;="&amp;$A653,Despesas!$C:$C,H$1,Despesas!$M:$M,$B653)</f>
        <v>1000</v>
      </c>
      <c r="I653" s="18">
        <f>IF(Imóveis!$F$2="PRICE",IF(AND(Dados!$A653&gt;=Imóveis!$Q$2,Dados!$A653&lt;=Imóveis!$T$2),Imóveis!$U$2,0),IF((IF(AND(Dados!$A653&gt;=Imóveis!$Q$2,Dados!$A653&lt;=Imóveis!$T$2),Imóveis!$S$2-(DATEDIF(Imóveis!$Q$2,Dados!$A653,"m")),0))=0,0,((Imóveis!$N$2/Imóveis!$S$2)+((Imóveis!$N$2-((Imóveis!$S$2-(IF(AND(Dados!$A653&gt;=Imóveis!$Q$2,Dados!$A653&lt;=Imóveis!$T$2),Imóveis!$S$2-(DATEDIF(Imóveis!$Q$2,Dados!$A653,"m")),)))*(Imóveis!$N$2/Imóveis!$S$2)))*Imóveis!$P$2))))*IF(AND(Imóveis!$E$2&gt;0,Dados!$A653&gt;Imóveis!$E$2),0,1)</f>
        <v>0</v>
      </c>
      <c r="J653" s="18">
        <f>IF(Imóveis!$F$3="PRICE",IF(AND(Dados!$A653&gt;=Imóveis!$Q$3,Dados!$A653&lt;=Imóveis!$T$3),Imóveis!$U$3,0),IF((IF(AND(Dados!$A653&gt;=Imóveis!$Q$3,Dados!$A653&lt;=Imóveis!$T$3),Imóveis!$S$3-(DATEDIF(Imóveis!$Q$3,Dados!$A653,"m")),0))=0,0,((Imóveis!$N$3/Imóveis!$S$3)+((Imóveis!$N$3-((Imóveis!$S$3-(IF(AND(Dados!$A653&gt;=Imóveis!$Q$3,Dados!$A653&lt;=Imóveis!$T$3),Imóveis!$S$3-(DATEDIF(Imóveis!$Q$3,Dados!$A653,"m")),)))*(Imóveis!$N$3/Imóveis!$S$3)))*Imóveis!$P$3))))*IF(AND(Imóveis!$E$3&gt;0,Dados!$A653&gt;Imóveis!$E$3),0,1)</f>
        <v>0</v>
      </c>
      <c r="K653" s="18">
        <f>IF(Imóveis!$F$4="PRICE",IF(AND(Dados!$A653&gt;=Imóveis!$Q$4,Dados!$A653&lt;=Imóveis!$T$4),Imóveis!$U$4,0),IF((IF(AND(Dados!$A653&gt;=Imóveis!$Q$4,Dados!$A653&lt;=Imóveis!$T$4),Imóveis!$S$4-(DATEDIF(Imóveis!$Q$4,Dados!$A653,"m")),0))=0,0,((Imóveis!$N$4/Imóveis!$S$4)+((Imóveis!$N$4-((Imóveis!$S$4-(IF(AND(Dados!$A653&gt;=Imóveis!$Q$4,Dados!$A653&lt;=Imóveis!$T$4),Imóveis!$S$4-(DATEDIF(Imóveis!$Q$4,Dados!$A653,"m")),)))*(Imóveis!$N$4/Imóveis!$S$4)))*Imóveis!$P$4))))*IF(AND(Imóveis!$E$4&gt;0,Dados!$A653&gt;Imóveis!$E$4),0,1)</f>
        <v>0</v>
      </c>
      <c r="L653" s="18">
        <f>IF(Imóveis!$F$5="PRICE",IF(AND(Dados!$A653&gt;=Imóveis!$Q$5,Dados!$A653&lt;=Imóveis!$T$5),Imóveis!$U$5,0),IF((IF(AND(Dados!$A653&gt;=Imóveis!$Q$5,Dados!$A653&lt;=Imóveis!$T$5),Imóveis!$S$5-(DATEDIF(Imóveis!$Q$5,Dados!$A653,"m")),0))=0,0,((Imóveis!$N$5/Imóveis!$S$5)+((Imóveis!$N$5-((Imóveis!$S$5-(IF(AND(Dados!$A653 &gt;=Imóveis!$Q$5,Dados!$A653&lt;=Imóveis!$T$5),Imóveis!$S$5-(DATEDIF(Imóveis!$Q$5,Dados!$A653,"m")),)))*(Imóveis!$N$5/Imóveis!$S$5)))*Imóveis!$P$5))))*IF(AND(Imóveis!$E$5&gt;0,Dados!$A653&gt;Imóveis!$E$5),0,1)*Imóveis!$I$5</f>
        <v>0</v>
      </c>
      <c r="M653" s="18">
        <f>IF(Imóveis!$F$6="PRICE",IF(AND(Dados!$A653&gt;=Imóveis!$Q$6,Dados!$A653&lt;=Imóveis!$T$6),Imóveis!$U$6,0),IF((IF(AND(Dados!$A653&gt;=Imóveis!$Q$6,Dados!$A653&lt;=Imóveis!$T$6),Imóveis!$S$6-(DATEDIF(Imóveis!$Q$6,Dados!$A653,"m")),0))=0,0,((Imóveis!$N$6/Imóveis!$S$6)+((Imóveis!$N$6-((Imóveis!$S$6-(IF(AND(Dados!$A653&gt;=Imóveis!$Q$6,Dados!$A653&lt;=Imóveis!$T$6),Imóveis!$S$6-(DATEDIF(Imóveis!$Q$6,Dados!$A653,"m")),)))*(Imóveis!$N$6/Imóveis!$S$6)))*Imóveis!$P$6))))*IF(AND(Imóveis!$E$6&gt;0,Dados!$A653&gt;Imóveis!$E$6),0,1)*Imóveis!$I$6</f>
        <v>0</v>
      </c>
      <c r="N653" s="18">
        <f t="shared" si="85"/>
        <v>37000</v>
      </c>
      <c r="O653" s="18">
        <f>SUMIFS(Receitas!$F:$F,Receitas!$J:$J,"&lt;="&amp;$A653,Receitas!$L:$L,"&gt;="&amp;$A653,Receitas!$C:$C,O$1,Receitas!$M:$M,"Mensal")+SUMIFS(Receitas!$F:$F,Receitas!$J:$J,"&lt;="&amp;$A653,Receitas!$L:$L,"&gt;="&amp;$A653,Receitas!$C:$C,O$1,Receitas!$M:$M,$B653)</f>
        <v>0</v>
      </c>
      <c r="P653" s="18">
        <f>SUMIFS(Receitas!$F:$F,Receitas!$J:$J,"&lt;="&amp;$A653,Receitas!$L:$L,"&gt;="&amp;$A653,Receitas!$C:$C,P$1,Receitas!$M:$M,"Mensal")+SUMIFS(Receitas!$F:$F,Receitas!$J:$J,"&lt;="&amp;$A653,Receitas!$L:$L,"&gt;="&amp;$A653,Receitas!$C:$C,P$1,Receitas!$M:$M,$B653)</f>
        <v>0</v>
      </c>
      <c r="Q653" s="18">
        <f>SUMIFS(Receitas!$F:$F,Receitas!$J:$J,"&lt;="&amp;$A653,Receitas!$L:$L,"&gt;="&amp;$A653,Receitas!$C:$C,Q$1,Receitas!$M:$M,"Mensal")+SUMIFS(Receitas!$F:$F,Receitas!$J:$J,"&lt;="&amp;$A653,Receitas!$L:$L,"&gt;="&amp;$A653,Receitas!$C:$C,Q$1,Receitas!$M:$M,$B653)</f>
        <v>0</v>
      </c>
      <c r="R653" s="18" cm="1">
        <f t="array" ref="R653">(IF(AND(Membros!$F$2="Sim",A653&lt;=MAX(Membros!$E$2:$E$5)),Membros!K$2,IF(AND(A653&gt;=Membros!J$2,A653&lt;=MAX(Membros!$E$2:$E$5)),Membros!K$2,0))+IF(AND(Membros!$F$3="Sim",A653&lt;=MAX(Membros!$E$2:$E$5)),Membros!K$3,IF(AND(A653&gt;=Membros!J$3,A653&lt;=MAX(Membros!$E$2:$E$5)),Membros!K$3,0)))*IF(AND(COUNTIFS(Tabela3[Tipo],"Provedor",Tabela3[Simulação Seguro],"Sim")=2,A653&gt;=MAX(IF(Tabela3[Tipo]="Dependente",Tabela3[Expectativa de Vida (Data)]))),0,1)</f>
        <v>10000</v>
      </c>
      <c r="S653" s="18">
        <f t="shared" si="86"/>
        <v>10000</v>
      </c>
      <c r="U653" s="18">
        <f t="shared" ca="1" si="89"/>
        <v>45062432.926687211</v>
      </c>
      <c r="V653" s="18">
        <f>SUMIF(Imóveis!E:E,Dados!A:A,Imóveis!Z:Z)-SUMIF(Imóveis!E:E,Dados!A:A,Imóveis!Y:Y)</f>
        <v>0</v>
      </c>
      <c r="W653" s="18">
        <f>-SUMIF(Projetos!N:N,A653,Projetos!F:F)</f>
        <v>0</v>
      </c>
      <c r="X653" s="18">
        <f t="shared" si="83"/>
        <v>-27000</v>
      </c>
      <c r="Y653" s="26">
        <f ca="1">(U653*((Indicadores_Economicos!D$2+1)^(1/12)-1))</f>
        <v>147522.67935476618</v>
      </c>
      <c r="Z653" s="18">
        <f t="shared" ca="1" si="87"/>
        <v>45182955.606041975</v>
      </c>
      <c r="AA653" s="18">
        <f ca="1">Auxiliar_Projetos!E653</f>
        <v>3.2828744845623465E-9</v>
      </c>
      <c r="AB653" s="18">
        <f ca="1">Auxiliar_Projetos!K653</f>
        <v>2.5252880650479562E-9</v>
      </c>
      <c r="AC653" s="18">
        <f ca="1">IF(Z653-AA653-AB653&gt;Investimentos!$C$14,Investimentos!$C$14,IF(Z653-AA653-AB653&lt;Investimentos!$C$14,Z653-AA653-AB653,0))</f>
        <v>300000</v>
      </c>
      <c r="AD653" s="18">
        <f t="shared" ca="1" si="88"/>
        <v>44882955.606041975</v>
      </c>
      <c r="AE653" s="18"/>
    </row>
    <row r="654" spans="1:31" x14ac:dyDescent="0.2">
      <c r="A654" s="4">
        <v>65501</v>
      </c>
      <c r="B654" s="5" t="str">
        <f t="shared" si="84"/>
        <v>maio</v>
      </c>
      <c r="C654" s="5" t="str">
        <f t="shared" si="82"/>
        <v>2079</v>
      </c>
      <c r="D654" s="5">
        <f>SUMIFS(Despesas!$F:$F,Despesas!$J:$J,"&lt;="&amp;$A654,Despesas!$L:$L,"&gt;="&amp;$A654,Despesas!$C:$C,D$1,Despesas!$M:$M,"Mensal")+SUMIFS(Despesas!$F:$F,Despesas!$J:$J,"&lt;="&amp;$A654,Despesas!$L:$L,"&gt;="&amp;$A654,Despesas!$C:$C,D$1,Despesas!$M:$M,$B654)</f>
        <v>23000</v>
      </c>
      <c r="E654" s="18">
        <f>SUMIFS(Despesas!$F:$F,Despesas!$J:$J,"&lt;="&amp;$A654,Despesas!$L:$L,"&gt;="&amp;$A654,Despesas!$C:$C,E$1,Despesas!$M:$M,"Mensal")+SUMIFS(Despesas!$F:$F,Despesas!$J:$J,"&lt;="&amp;$A654,Despesas!$L:$L,"&gt;="&amp;$A654,Despesas!$C:$C,E$1,Despesas!$M:$M,$B654)</f>
        <v>0</v>
      </c>
      <c r="F654" s="5">
        <f>SUMIFS(Despesas!$F:$F,Despesas!$J:$J,"&lt;="&amp;$A654,Despesas!$L:$L,"&gt;="&amp;$A654,Despesas!$C:$C,F$1,Despesas!$M:$M,"Mensal")+SUMIFS(Despesas!$F:$F,Despesas!$J:$J,"&lt;="&amp;$A654,Despesas!$L:$L,"&gt;="&amp;$A654,Despesas!$C:$C,F$1,Despesas!$M:$M,$B654)</f>
        <v>13000</v>
      </c>
      <c r="G654" s="5">
        <f>SUMIFS(Despesas!$F:$F,Despesas!$J:$J,"&lt;="&amp;$A654,Despesas!$L:$L,"&gt;="&amp;$A654,Despesas!$C:$C,G$1,Despesas!$M:$M,"Mensal")+SUMIFS(Despesas!$F:$F,Despesas!$J:$J,"&lt;="&amp;$A654,Despesas!$L:$L,"&gt;="&amp;$A654,Despesas!$C:$C,G$1,Despesas!$M:$M,$B654)</f>
        <v>0</v>
      </c>
      <c r="H654" s="18">
        <f>SUMIFS(Despesas!$F:$F,Despesas!$J:$J,"&lt;="&amp;$A654,Despesas!$L:$L,"&gt;="&amp;$A654,Despesas!$C:$C,H$1,Despesas!$M:$M,"Mensal")+SUMIFS(Despesas!$F:$F,Despesas!$J:$J,"&lt;="&amp;$A654,Despesas!$L:$L,"&gt;="&amp;$A654,Despesas!$C:$C,H$1,Despesas!$M:$M,$B654)</f>
        <v>1000</v>
      </c>
      <c r="I654" s="18">
        <f>IF(Imóveis!$F$2="PRICE",IF(AND(Dados!$A654&gt;=Imóveis!$Q$2,Dados!$A654&lt;=Imóveis!$T$2),Imóveis!$U$2,0),IF((IF(AND(Dados!$A654&gt;=Imóveis!$Q$2,Dados!$A654&lt;=Imóveis!$T$2),Imóveis!$S$2-(DATEDIF(Imóveis!$Q$2,Dados!$A654,"m")),0))=0,0,((Imóveis!$N$2/Imóveis!$S$2)+((Imóveis!$N$2-((Imóveis!$S$2-(IF(AND(Dados!$A654&gt;=Imóveis!$Q$2,Dados!$A654&lt;=Imóveis!$T$2),Imóveis!$S$2-(DATEDIF(Imóveis!$Q$2,Dados!$A654,"m")),)))*(Imóveis!$N$2/Imóveis!$S$2)))*Imóveis!$P$2))))*IF(AND(Imóveis!$E$2&gt;0,Dados!$A654&gt;Imóveis!$E$2),0,1)</f>
        <v>0</v>
      </c>
      <c r="J654" s="18">
        <f>IF(Imóveis!$F$3="PRICE",IF(AND(Dados!$A654&gt;=Imóveis!$Q$3,Dados!$A654&lt;=Imóveis!$T$3),Imóveis!$U$3,0),IF((IF(AND(Dados!$A654&gt;=Imóveis!$Q$3,Dados!$A654&lt;=Imóveis!$T$3),Imóveis!$S$3-(DATEDIF(Imóveis!$Q$3,Dados!$A654,"m")),0))=0,0,((Imóveis!$N$3/Imóveis!$S$3)+((Imóveis!$N$3-((Imóveis!$S$3-(IF(AND(Dados!$A654&gt;=Imóveis!$Q$3,Dados!$A654&lt;=Imóveis!$T$3),Imóveis!$S$3-(DATEDIF(Imóveis!$Q$3,Dados!$A654,"m")),)))*(Imóveis!$N$3/Imóveis!$S$3)))*Imóveis!$P$3))))*IF(AND(Imóveis!$E$3&gt;0,Dados!$A654&gt;Imóveis!$E$3),0,1)</f>
        <v>0</v>
      </c>
      <c r="K654" s="18">
        <f>IF(Imóveis!$F$4="PRICE",IF(AND(Dados!$A654&gt;=Imóveis!$Q$4,Dados!$A654&lt;=Imóveis!$T$4),Imóveis!$U$4,0),IF((IF(AND(Dados!$A654&gt;=Imóveis!$Q$4,Dados!$A654&lt;=Imóveis!$T$4),Imóveis!$S$4-(DATEDIF(Imóveis!$Q$4,Dados!$A654,"m")),0))=0,0,((Imóveis!$N$4/Imóveis!$S$4)+((Imóveis!$N$4-((Imóveis!$S$4-(IF(AND(Dados!$A654&gt;=Imóveis!$Q$4,Dados!$A654&lt;=Imóveis!$T$4),Imóveis!$S$4-(DATEDIF(Imóveis!$Q$4,Dados!$A654,"m")),)))*(Imóveis!$N$4/Imóveis!$S$4)))*Imóveis!$P$4))))*IF(AND(Imóveis!$E$4&gt;0,Dados!$A654&gt;Imóveis!$E$4),0,1)</f>
        <v>0</v>
      </c>
      <c r="L654" s="18">
        <f>IF(Imóveis!$F$5="PRICE",IF(AND(Dados!$A654&gt;=Imóveis!$Q$5,Dados!$A654&lt;=Imóveis!$T$5),Imóveis!$U$5,0),IF((IF(AND(Dados!$A654&gt;=Imóveis!$Q$5,Dados!$A654&lt;=Imóveis!$T$5),Imóveis!$S$5-(DATEDIF(Imóveis!$Q$5,Dados!$A654,"m")),0))=0,0,((Imóveis!$N$5/Imóveis!$S$5)+((Imóveis!$N$5-((Imóveis!$S$5-(IF(AND(Dados!$A654 &gt;=Imóveis!$Q$5,Dados!$A654&lt;=Imóveis!$T$5),Imóveis!$S$5-(DATEDIF(Imóveis!$Q$5,Dados!$A654,"m")),)))*(Imóveis!$N$5/Imóveis!$S$5)))*Imóveis!$P$5))))*IF(AND(Imóveis!$E$5&gt;0,Dados!$A654&gt;Imóveis!$E$5),0,1)*Imóveis!$I$5</f>
        <v>0</v>
      </c>
      <c r="M654" s="18">
        <f>IF(Imóveis!$F$6="PRICE",IF(AND(Dados!$A654&gt;=Imóveis!$Q$6,Dados!$A654&lt;=Imóveis!$T$6),Imóveis!$U$6,0),IF((IF(AND(Dados!$A654&gt;=Imóveis!$Q$6,Dados!$A654&lt;=Imóveis!$T$6),Imóveis!$S$6-(DATEDIF(Imóveis!$Q$6,Dados!$A654,"m")),0))=0,0,((Imóveis!$N$6/Imóveis!$S$6)+((Imóveis!$N$6-((Imóveis!$S$6-(IF(AND(Dados!$A654&gt;=Imóveis!$Q$6,Dados!$A654&lt;=Imóveis!$T$6),Imóveis!$S$6-(DATEDIF(Imóveis!$Q$6,Dados!$A654,"m")),)))*(Imóveis!$N$6/Imóveis!$S$6)))*Imóveis!$P$6))))*IF(AND(Imóveis!$E$6&gt;0,Dados!$A654&gt;Imóveis!$E$6),0,1)*Imóveis!$I$6</f>
        <v>0</v>
      </c>
      <c r="N654" s="18">
        <f t="shared" si="85"/>
        <v>37000</v>
      </c>
      <c r="O654" s="18">
        <f>SUMIFS(Receitas!$F:$F,Receitas!$J:$J,"&lt;="&amp;$A654,Receitas!$L:$L,"&gt;="&amp;$A654,Receitas!$C:$C,O$1,Receitas!$M:$M,"Mensal")+SUMIFS(Receitas!$F:$F,Receitas!$J:$J,"&lt;="&amp;$A654,Receitas!$L:$L,"&gt;="&amp;$A654,Receitas!$C:$C,O$1,Receitas!$M:$M,$B654)</f>
        <v>0</v>
      </c>
      <c r="P654" s="18">
        <f>SUMIFS(Receitas!$F:$F,Receitas!$J:$J,"&lt;="&amp;$A654,Receitas!$L:$L,"&gt;="&amp;$A654,Receitas!$C:$C,P$1,Receitas!$M:$M,"Mensal")+SUMIFS(Receitas!$F:$F,Receitas!$J:$J,"&lt;="&amp;$A654,Receitas!$L:$L,"&gt;="&amp;$A654,Receitas!$C:$C,P$1,Receitas!$M:$M,$B654)</f>
        <v>0</v>
      </c>
      <c r="Q654" s="18">
        <f>SUMIFS(Receitas!$F:$F,Receitas!$J:$J,"&lt;="&amp;$A654,Receitas!$L:$L,"&gt;="&amp;$A654,Receitas!$C:$C,Q$1,Receitas!$M:$M,"Mensal")+SUMIFS(Receitas!$F:$F,Receitas!$J:$J,"&lt;="&amp;$A654,Receitas!$L:$L,"&gt;="&amp;$A654,Receitas!$C:$C,Q$1,Receitas!$M:$M,$B654)</f>
        <v>0</v>
      </c>
      <c r="R654" s="18" cm="1">
        <f t="array" ref="R654">(IF(AND(Membros!$F$2="Sim",A654&lt;=MAX(Membros!$E$2:$E$5)),Membros!K$2,IF(AND(A654&gt;=Membros!J$2,A654&lt;=MAX(Membros!$E$2:$E$5)),Membros!K$2,0))+IF(AND(Membros!$F$3="Sim",A654&lt;=MAX(Membros!$E$2:$E$5)),Membros!K$3,IF(AND(A654&gt;=Membros!J$3,A654&lt;=MAX(Membros!$E$2:$E$5)),Membros!K$3,0)))*IF(AND(COUNTIFS(Tabela3[Tipo],"Provedor",Tabela3[Simulação Seguro],"Sim")=2,A654&gt;=MAX(IF(Tabela3[Tipo]="Dependente",Tabela3[Expectativa de Vida (Data)]))),0,1)</f>
        <v>10000</v>
      </c>
      <c r="S654" s="18">
        <f t="shared" si="86"/>
        <v>10000</v>
      </c>
      <c r="U654" s="18">
        <f t="shared" ca="1" si="89"/>
        <v>45182955.606041975</v>
      </c>
      <c r="V654" s="18">
        <f>SUMIF(Imóveis!E:E,Dados!A:A,Imóveis!Z:Z)-SUMIF(Imóveis!E:E,Dados!A:A,Imóveis!Y:Y)</f>
        <v>0</v>
      </c>
      <c r="W654" s="18">
        <f>-SUMIF(Projetos!N:N,A654,Projetos!F:F)</f>
        <v>0</v>
      </c>
      <c r="X654" s="18">
        <f t="shared" si="83"/>
        <v>-27000</v>
      </c>
      <c r="Y654" s="26">
        <f ca="1">(U654*((Indicadores_Economicos!D$2+1)^(1/12)-1))</f>
        <v>147917.23924482707</v>
      </c>
      <c r="Z654" s="18">
        <f t="shared" ca="1" si="87"/>
        <v>45303872.845286801</v>
      </c>
      <c r="AA654" s="18">
        <f ca="1">Auxiliar_Projetos!E654</f>
        <v>3.293621761362424E-9</v>
      </c>
      <c r="AB654" s="18">
        <f ca="1">Auxiliar_Projetos!K654</f>
        <v>2.5335552010480157E-9</v>
      </c>
      <c r="AC654" s="18">
        <f ca="1">IF(Z654-AA654-AB654&gt;Investimentos!$C$14,Investimentos!$C$14,IF(Z654-AA654-AB654&lt;Investimentos!$C$14,Z654-AA654-AB654,0))</f>
        <v>300000</v>
      </c>
      <c r="AD654" s="18">
        <f t="shared" ca="1" si="88"/>
        <v>45003872.845286801</v>
      </c>
      <c r="AE654" s="18"/>
    </row>
    <row r="655" spans="1:31" x14ac:dyDescent="0.2">
      <c r="A655" s="4">
        <v>65532</v>
      </c>
      <c r="B655" s="5" t="str">
        <f t="shared" si="84"/>
        <v>junho</v>
      </c>
      <c r="C655" s="5" t="str">
        <f t="shared" si="82"/>
        <v>2079</v>
      </c>
      <c r="D655" s="5">
        <f>SUMIFS(Despesas!$F:$F,Despesas!$J:$J,"&lt;="&amp;$A655,Despesas!$L:$L,"&gt;="&amp;$A655,Despesas!$C:$C,D$1,Despesas!$M:$M,"Mensal")+SUMIFS(Despesas!$F:$F,Despesas!$J:$J,"&lt;="&amp;$A655,Despesas!$L:$L,"&gt;="&amp;$A655,Despesas!$C:$C,D$1,Despesas!$M:$M,$B655)</f>
        <v>23000</v>
      </c>
      <c r="E655" s="18">
        <f>SUMIFS(Despesas!$F:$F,Despesas!$J:$J,"&lt;="&amp;$A655,Despesas!$L:$L,"&gt;="&amp;$A655,Despesas!$C:$C,E$1,Despesas!$M:$M,"Mensal")+SUMIFS(Despesas!$F:$F,Despesas!$J:$J,"&lt;="&amp;$A655,Despesas!$L:$L,"&gt;="&amp;$A655,Despesas!$C:$C,E$1,Despesas!$M:$M,$B655)</f>
        <v>0</v>
      </c>
      <c r="F655" s="5">
        <f>SUMIFS(Despesas!$F:$F,Despesas!$J:$J,"&lt;="&amp;$A655,Despesas!$L:$L,"&gt;="&amp;$A655,Despesas!$C:$C,F$1,Despesas!$M:$M,"Mensal")+SUMIFS(Despesas!$F:$F,Despesas!$J:$J,"&lt;="&amp;$A655,Despesas!$L:$L,"&gt;="&amp;$A655,Despesas!$C:$C,F$1,Despesas!$M:$M,$B655)</f>
        <v>13000</v>
      </c>
      <c r="G655" s="5">
        <f>SUMIFS(Despesas!$F:$F,Despesas!$J:$J,"&lt;="&amp;$A655,Despesas!$L:$L,"&gt;="&amp;$A655,Despesas!$C:$C,G$1,Despesas!$M:$M,"Mensal")+SUMIFS(Despesas!$F:$F,Despesas!$J:$J,"&lt;="&amp;$A655,Despesas!$L:$L,"&gt;="&amp;$A655,Despesas!$C:$C,G$1,Despesas!$M:$M,$B655)</f>
        <v>0</v>
      </c>
      <c r="H655" s="18">
        <f>SUMIFS(Despesas!$F:$F,Despesas!$J:$J,"&lt;="&amp;$A655,Despesas!$L:$L,"&gt;="&amp;$A655,Despesas!$C:$C,H$1,Despesas!$M:$M,"Mensal")+SUMIFS(Despesas!$F:$F,Despesas!$J:$J,"&lt;="&amp;$A655,Despesas!$L:$L,"&gt;="&amp;$A655,Despesas!$C:$C,H$1,Despesas!$M:$M,$B655)</f>
        <v>1000</v>
      </c>
      <c r="I655" s="18">
        <f>IF(Imóveis!$F$2="PRICE",IF(AND(Dados!$A655&gt;=Imóveis!$Q$2,Dados!$A655&lt;=Imóveis!$T$2),Imóveis!$U$2,0),IF((IF(AND(Dados!$A655&gt;=Imóveis!$Q$2,Dados!$A655&lt;=Imóveis!$T$2),Imóveis!$S$2-(DATEDIF(Imóveis!$Q$2,Dados!$A655,"m")),0))=0,0,((Imóveis!$N$2/Imóveis!$S$2)+((Imóveis!$N$2-((Imóveis!$S$2-(IF(AND(Dados!$A655&gt;=Imóveis!$Q$2,Dados!$A655&lt;=Imóveis!$T$2),Imóveis!$S$2-(DATEDIF(Imóveis!$Q$2,Dados!$A655,"m")),)))*(Imóveis!$N$2/Imóveis!$S$2)))*Imóveis!$P$2))))*IF(AND(Imóveis!$E$2&gt;0,Dados!$A655&gt;Imóveis!$E$2),0,1)</f>
        <v>0</v>
      </c>
      <c r="J655" s="18">
        <f>IF(Imóveis!$F$3="PRICE",IF(AND(Dados!$A655&gt;=Imóveis!$Q$3,Dados!$A655&lt;=Imóveis!$T$3),Imóveis!$U$3,0),IF((IF(AND(Dados!$A655&gt;=Imóveis!$Q$3,Dados!$A655&lt;=Imóveis!$T$3),Imóveis!$S$3-(DATEDIF(Imóveis!$Q$3,Dados!$A655,"m")),0))=0,0,((Imóveis!$N$3/Imóveis!$S$3)+((Imóveis!$N$3-((Imóveis!$S$3-(IF(AND(Dados!$A655&gt;=Imóveis!$Q$3,Dados!$A655&lt;=Imóveis!$T$3),Imóveis!$S$3-(DATEDIF(Imóveis!$Q$3,Dados!$A655,"m")),)))*(Imóveis!$N$3/Imóveis!$S$3)))*Imóveis!$P$3))))*IF(AND(Imóveis!$E$3&gt;0,Dados!$A655&gt;Imóveis!$E$3),0,1)</f>
        <v>0</v>
      </c>
      <c r="K655" s="18">
        <f>IF(Imóveis!$F$4="PRICE",IF(AND(Dados!$A655&gt;=Imóveis!$Q$4,Dados!$A655&lt;=Imóveis!$T$4),Imóveis!$U$4,0),IF((IF(AND(Dados!$A655&gt;=Imóveis!$Q$4,Dados!$A655&lt;=Imóveis!$T$4),Imóveis!$S$4-(DATEDIF(Imóveis!$Q$4,Dados!$A655,"m")),0))=0,0,((Imóveis!$N$4/Imóveis!$S$4)+((Imóveis!$N$4-((Imóveis!$S$4-(IF(AND(Dados!$A655&gt;=Imóveis!$Q$4,Dados!$A655&lt;=Imóveis!$T$4),Imóveis!$S$4-(DATEDIF(Imóveis!$Q$4,Dados!$A655,"m")),)))*(Imóveis!$N$4/Imóveis!$S$4)))*Imóveis!$P$4))))*IF(AND(Imóveis!$E$4&gt;0,Dados!$A655&gt;Imóveis!$E$4),0,1)</f>
        <v>0</v>
      </c>
      <c r="L655" s="18">
        <f>IF(Imóveis!$F$5="PRICE",IF(AND(Dados!$A655&gt;=Imóveis!$Q$5,Dados!$A655&lt;=Imóveis!$T$5),Imóveis!$U$5,0),IF((IF(AND(Dados!$A655&gt;=Imóveis!$Q$5,Dados!$A655&lt;=Imóveis!$T$5),Imóveis!$S$5-(DATEDIF(Imóveis!$Q$5,Dados!$A655,"m")),0))=0,0,((Imóveis!$N$5/Imóveis!$S$5)+((Imóveis!$N$5-((Imóveis!$S$5-(IF(AND(Dados!$A655 &gt;=Imóveis!$Q$5,Dados!$A655&lt;=Imóveis!$T$5),Imóveis!$S$5-(DATEDIF(Imóveis!$Q$5,Dados!$A655,"m")),)))*(Imóveis!$N$5/Imóveis!$S$5)))*Imóveis!$P$5))))*IF(AND(Imóveis!$E$5&gt;0,Dados!$A655&gt;Imóveis!$E$5),0,1)*Imóveis!$I$5</f>
        <v>0</v>
      </c>
      <c r="M655" s="18">
        <f>IF(Imóveis!$F$6="PRICE",IF(AND(Dados!$A655&gt;=Imóveis!$Q$6,Dados!$A655&lt;=Imóveis!$T$6),Imóveis!$U$6,0),IF((IF(AND(Dados!$A655&gt;=Imóveis!$Q$6,Dados!$A655&lt;=Imóveis!$T$6),Imóveis!$S$6-(DATEDIF(Imóveis!$Q$6,Dados!$A655,"m")),0))=0,0,((Imóveis!$N$6/Imóveis!$S$6)+((Imóveis!$N$6-((Imóveis!$S$6-(IF(AND(Dados!$A655&gt;=Imóveis!$Q$6,Dados!$A655&lt;=Imóveis!$T$6),Imóveis!$S$6-(DATEDIF(Imóveis!$Q$6,Dados!$A655,"m")),)))*(Imóveis!$N$6/Imóveis!$S$6)))*Imóveis!$P$6))))*IF(AND(Imóveis!$E$6&gt;0,Dados!$A655&gt;Imóveis!$E$6),0,1)*Imóveis!$I$6</f>
        <v>0</v>
      </c>
      <c r="N655" s="18">
        <f t="shared" si="85"/>
        <v>37000</v>
      </c>
      <c r="O655" s="18">
        <f>SUMIFS(Receitas!$F:$F,Receitas!$J:$J,"&lt;="&amp;$A655,Receitas!$L:$L,"&gt;="&amp;$A655,Receitas!$C:$C,O$1,Receitas!$M:$M,"Mensal")+SUMIFS(Receitas!$F:$F,Receitas!$J:$J,"&lt;="&amp;$A655,Receitas!$L:$L,"&gt;="&amp;$A655,Receitas!$C:$C,O$1,Receitas!$M:$M,$B655)</f>
        <v>0</v>
      </c>
      <c r="P655" s="18">
        <f>SUMIFS(Receitas!$F:$F,Receitas!$J:$J,"&lt;="&amp;$A655,Receitas!$L:$L,"&gt;="&amp;$A655,Receitas!$C:$C,P$1,Receitas!$M:$M,"Mensal")+SUMIFS(Receitas!$F:$F,Receitas!$J:$J,"&lt;="&amp;$A655,Receitas!$L:$L,"&gt;="&amp;$A655,Receitas!$C:$C,P$1,Receitas!$M:$M,$B655)</f>
        <v>0</v>
      </c>
      <c r="Q655" s="18">
        <f>SUMIFS(Receitas!$F:$F,Receitas!$J:$J,"&lt;="&amp;$A655,Receitas!$L:$L,"&gt;="&amp;$A655,Receitas!$C:$C,Q$1,Receitas!$M:$M,"Mensal")+SUMIFS(Receitas!$F:$F,Receitas!$J:$J,"&lt;="&amp;$A655,Receitas!$L:$L,"&gt;="&amp;$A655,Receitas!$C:$C,Q$1,Receitas!$M:$M,$B655)</f>
        <v>0</v>
      </c>
      <c r="R655" s="18" cm="1">
        <f t="array" ref="R655">(IF(AND(Membros!$F$2="Sim",A655&lt;=MAX(Membros!$E$2:$E$5)),Membros!K$2,IF(AND(A655&gt;=Membros!J$2,A655&lt;=MAX(Membros!$E$2:$E$5)),Membros!K$2,0))+IF(AND(Membros!$F$3="Sim",A655&lt;=MAX(Membros!$E$2:$E$5)),Membros!K$3,IF(AND(A655&gt;=Membros!J$3,A655&lt;=MAX(Membros!$E$2:$E$5)),Membros!K$3,0)))*IF(AND(COUNTIFS(Tabela3[Tipo],"Provedor",Tabela3[Simulação Seguro],"Sim")=2,A655&gt;=MAX(IF(Tabela3[Tipo]="Dependente",Tabela3[Expectativa de Vida (Data)]))),0,1)</f>
        <v>10000</v>
      </c>
      <c r="S655" s="18">
        <f t="shared" si="86"/>
        <v>10000</v>
      </c>
      <c r="U655" s="18">
        <f t="shared" ca="1" si="89"/>
        <v>45303872.845286801</v>
      </c>
      <c r="V655" s="18">
        <f>SUMIF(Imóveis!E:E,Dados!A:A,Imóveis!Z:Z)-SUMIF(Imóveis!E:E,Dados!A:A,Imóveis!Y:Y)</f>
        <v>0</v>
      </c>
      <c r="W655" s="18">
        <f>-SUMIF(Projetos!N:N,A655,Projetos!F:F)</f>
        <v>0</v>
      </c>
      <c r="X655" s="18">
        <f t="shared" si="83"/>
        <v>-27000</v>
      </c>
      <c r="Y655" s="26">
        <f ca="1">(U655*((Indicadores_Economicos!D$2+1)^(1/12)-1))</f>
        <v>148313.09082129653</v>
      </c>
      <c r="Z655" s="18">
        <f t="shared" ca="1" si="87"/>
        <v>45425185.936108097</v>
      </c>
      <c r="AA655" s="18">
        <f ca="1">Auxiliar_Projetos!E655</f>
        <v>3.3044042219501123E-9</v>
      </c>
      <c r="AB655" s="18">
        <f ca="1">Auxiliar_Projetos!K655</f>
        <v>2.5418494015000834E-9</v>
      </c>
      <c r="AC655" s="18">
        <f ca="1">IF(Z655-AA655-AB655&gt;Investimentos!$C$14,Investimentos!$C$14,IF(Z655-AA655-AB655&lt;Investimentos!$C$14,Z655-AA655-AB655,0))</f>
        <v>300000</v>
      </c>
      <c r="AD655" s="18">
        <f t="shared" ca="1" si="88"/>
        <v>45125185.936108097</v>
      </c>
      <c r="AE655" s="18"/>
    </row>
    <row r="656" spans="1:31" x14ac:dyDescent="0.2">
      <c r="A656" s="4">
        <v>65562</v>
      </c>
      <c r="B656" s="5" t="str">
        <f t="shared" si="84"/>
        <v>julho</v>
      </c>
      <c r="C656" s="5" t="str">
        <f t="shared" si="82"/>
        <v>2079</v>
      </c>
      <c r="D656" s="5">
        <f>SUMIFS(Despesas!$F:$F,Despesas!$J:$J,"&lt;="&amp;$A656,Despesas!$L:$L,"&gt;="&amp;$A656,Despesas!$C:$C,D$1,Despesas!$M:$M,"Mensal")+SUMIFS(Despesas!$F:$F,Despesas!$J:$J,"&lt;="&amp;$A656,Despesas!$L:$L,"&gt;="&amp;$A656,Despesas!$C:$C,D$1,Despesas!$M:$M,$B656)</f>
        <v>23000</v>
      </c>
      <c r="E656" s="18">
        <f>SUMIFS(Despesas!$F:$F,Despesas!$J:$J,"&lt;="&amp;$A656,Despesas!$L:$L,"&gt;="&amp;$A656,Despesas!$C:$C,E$1,Despesas!$M:$M,"Mensal")+SUMIFS(Despesas!$F:$F,Despesas!$J:$J,"&lt;="&amp;$A656,Despesas!$L:$L,"&gt;="&amp;$A656,Despesas!$C:$C,E$1,Despesas!$M:$M,$B656)</f>
        <v>0</v>
      </c>
      <c r="F656" s="5">
        <f>SUMIFS(Despesas!$F:$F,Despesas!$J:$J,"&lt;="&amp;$A656,Despesas!$L:$L,"&gt;="&amp;$A656,Despesas!$C:$C,F$1,Despesas!$M:$M,"Mensal")+SUMIFS(Despesas!$F:$F,Despesas!$J:$J,"&lt;="&amp;$A656,Despesas!$L:$L,"&gt;="&amp;$A656,Despesas!$C:$C,F$1,Despesas!$M:$M,$B656)</f>
        <v>13000</v>
      </c>
      <c r="G656" s="5">
        <f ca="1">SUMIFS(Despesas!$F:$F,Despesas!$J:$J,"&lt;="&amp;$A656,Despesas!$L:$L,"&gt;="&amp;$A656,Despesas!$C:$C,G$1,Despesas!$M:$M,"Mensal")+SUMIFS(Despesas!$F:$F,Despesas!$J:$J,"&lt;="&amp;$A656,Despesas!$L:$L,"&gt;="&amp;$A656,Despesas!$C:$C,G$1,Despesas!$M:$M,$B656)</f>
        <v>55757</v>
      </c>
      <c r="H656" s="18">
        <f>SUMIFS(Despesas!$F:$F,Despesas!$J:$J,"&lt;="&amp;$A656,Despesas!$L:$L,"&gt;="&amp;$A656,Despesas!$C:$C,H$1,Despesas!$M:$M,"Mensal")+SUMIFS(Despesas!$F:$F,Despesas!$J:$J,"&lt;="&amp;$A656,Despesas!$L:$L,"&gt;="&amp;$A656,Despesas!$C:$C,H$1,Despesas!$M:$M,$B656)</f>
        <v>1000</v>
      </c>
      <c r="I656" s="18">
        <f>IF(Imóveis!$F$2="PRICE",IF(AND(Dados!$A656&gt;=Imóveis!$Q$2,Dados!$A656&lt;=Imóveis!$T$2),Imóveis!$U$2,0),IF((IF(AND(Dados!$A656&gt;=Imóveis!$Q$2,Dados!$A656&lt;=Imóveis!$T$2),Imóveis!$S$2-(DATEDIF(Imóveis!$Q$2,Dados!$A656,"m")),0))=0,0,((Imóveis!$N$2/Imóveis!$S$2)+((Imóveis!$N$2-((Imóveis!$S$2-(IF(AND(Dados!$A656&gt;=Imóveis!$Q$2,Dados!$A656&lt;=Imóveis!$T$2),Imóveis!$S$2-(DATEDIF(Imóveis!$Q$2,Dados!$A656,"m")),)))*(Imóveis!$N$2/Imóveis!$S$2)))*Imóveis!$P$2))))*IF(AND(Imóveis!$E$2&gt;0,Dados!$A656&gt;Imóveis!$E$2),0,1)</f>
        <v>0</v>
      </c>
      <c r="J656" s="18">
        <f>IF(Imóveis!$F$3="PRICE",IF(AND(Dados!$A656&gt;=Imóveis!$Q$3,Dados!$A656&lt;=Imóveis!$T$3),Imóveis!$U$3,0),IF((IF(AND(Dados!$A656&gt;=Imóveis!$Q$3,Dados!$A656&lt;=Imóveis!$T$3),Imóveis!$S$3-(DATEDIF(Imóveis!$Q$3,Dados!$A656,"m")),0))=0,0,((Imóveis!$N$3/Imóveis!$S$3)+((Imóveis!$N$3-((Imóveis!$S$3-(IF(AND(Dados!$A656&gt;=Imóveis!$Q$3,Dados!$A656&lt;=Imóveis!$T$3),Imóveis!$S$3-(DATEDIF(Imóveis!$Q$3,Dados!$A656,"m")),)))*(Imóveis!$N$3/Imóveis!$S$3)))*Imóveis!$P$3))))*IF(AND(Imóveis!$E$3&gt;0,Dados!$A656&gt;Imóveis!$E$3),0,1)</f>
        <v>0</v>
      </c>
      <c r="K656" s="18">
        <f>IF(Imóveis!$F$4="PRICE",IF(AND(Dados!$A656&gt;=Imóveis!$Q$4,Dados!$A656&lt;=Imóveis!$T$4),Imóveis!$U$4,0),IF((IF(AND(Dados!$A656&gt;=Imóveis!$Q$4,Dados!$A656&lt;=Imóveis!$T$4),Imóveis!$S$4-(DATEDIF(Imóveis!$Q$4,Dados!$A656,"m")),0))=0,0,((Imóveis!$N$4/Imóveis!$S$4)+((Imóveis!$N$4-((Imóveis!$S$4-(IF(AND(Dados!$A656&gt;=Imóveis!$Q$4,Dados!$A656&lt;=Imóveis!$T$4),Imóveis!$S$4-(DATEDIF(Imóveis!$Q$4,Dados!$A656,"m")),)))*(Imóveis!$N$4/Imóveis!$S$4)))*Imóveis!$P$4))))*IF(AND(Imóveis!$E$4&gt;0,Dados!$A656&gt;Imóveis!$E$4),0,1)</f>
        <v>0</v>
      </c>
      <c r="L656" s="18">
        <f>IF(Imóveis!$F$5="PRICE",IF(AND(Dados!$A656&gt;=Imóveis!$Q$5,Dados!$A656&lt;=Imóveis!$T$5),Imóveis!$U$5,0),IF((IF(AND(Dados!$A656&gt;=Imóveis!$Q$5,Dados!$A656&lt;=Imóveis!$T$5),Imóveis!$S$5-(DATEDIF(Imóveis!$Q$5,Dados!$A656,"m")),0))=0,0,((Imóveis!$N$5/Imóveis!$S$5)+((Imóveis!$N$5-((Imóveis!$S$5-(IF(AND(Dados!$A656 &gt;=Imóveis!$Q$5,Dados!$A656&lt;=Imóveis!$T$5),Imóveis!$S$5-(DATEDIF(Imóveis!$Q$5,Dados!$A656,"m")),)))*(Imóveis!$N$5/Imóveis!$S$5)))*Imóveis!$P$5))))*IF(AND(Imóveis!$E$5&gt;0,Dados!$A656&gt;Imóveis!$E$5),0,1)*Imóveis!$I$5</f>
        <v>0</v>
      </c>
      <c r="M656" s="18">
        <f>IF(Imóveis!$F$6="PRICE",IF(AND(Dados!$A656&gt;=Imóveis!$Q$6,Dados!$A656&lt;=Imóveis!$T$6),Imóveis!$U$6,0),IF((IF(AND(Dados!$A656&gt;=Imóveis!$Q$6,Dados!$A656&lt;=Imóveis!$T$6),Imóveis!$S$6-(DATEDIF(Imóveis!$Q$6,Dados!$A656,"m")),0))=0,0,((Imóveis!$N$6/Imóveis!$S$6)+((Imóveis!$N$6-((Imóveis!$S$6-(IF(AND(Dados!$A656&gt;=Imóveis!$Q$6,Dados!$A656&lt;=Imóveis!$T$6),Imóveis!$S$6-(DATEDIF(Imóveis!$Q$6,Dados!$A656,"m")),)))*(Imóveis!$N$6/Imóveis!$S$6)))*Imóveis!$P$6))))*IF(AND(Imóveis!$E$6&gt;0,Dados!$A656&gt;Imóveis!$E$6),0,1)*Imóveis!$I$6</f>
        <v>0</v>
      </c>
      <c r="N656" s="18">
        <f t="shared" ca="1" si="85"/>
        <v>92757</v>
      </c>
      <c r="O656" s="18">
        <f>SUMIFS(Receitas!$F:$F,Receitas!$J:$J,"&lt;="&amp;$A656,Receitas!$L:$L,"&gt;="&amp;$A656,Receitas!$C:$C,O$1,Receitas!$M:$M,"Mensal")+SUMIFS(Receitas!$F:$F,Receitas!$J:$J,"&lt;="&amp;$A656,Receitas!$L:$L,"&gt;="&amp;$A656,Receitas!$C:$C,O$1,Receitas!$M:$M,$B656)</f>
        <v>0</v>
      </c>
      <c r="P656" s="18">
        <f>SUMIFS(Receitas!$F:$F,Receitas!$J:$J,"&lt;="&amp;$A656,Receitas!$L:$L,"&gt;="&amp;$A656,Receitas!$C:$C,P$1,Receitas!$M:$M,"Mensal")+SUMIFS(Receitas!$F:$F,Receitas!$J:$J,"&lt;="&amp;$A656,Receitas!$L:$L,"&gt;="&amp;$A656,Receitas!$C:$C,P$1,Receitas!$M:$M,$B656)</f>
        <v>0</v>
      </c>
      <c r="Q656" s="18">
        <f>SUMIFS(Receitas!$F:$F,Receitas!$J:$J,"&lt;="&amp;$A656,Receitas!$L:$L,"&gt;="&amp;$A656,Receitas!$C:$C,Q$1,Receitas!$M:$M,"Mensal")+SUMIFS(Receitas!$F:$F,Receitas!$J:$J,"&lt;="&amp;$A656,Receitas!$L:$L,"&gt;="&amp;$A656,Receitas!$C:$C,Q$1,Receitas!$M:$M,$B656)</f>
        <v>0</v>
      </c>
      <c r="R656" s="18" cm="1">
        <f t="array" ref="R656">(IF(AND(Membros!$F$2="Sim",A656&lt;=MAX(Membros!$E$2:$E$5)),Membros!K$2,IF(AND(A656&gt;=Membros!J$2,A656&lt;=MAX(Membros!$E$2:$E$5)),Membros!K$2,0))+IF(AND(Membros!$F$3="Sim",A656&lt;=MAX(Membros!$E$2:$E$5)),Membros!K$3,IF(AND(A656&gt;=Membros!J$3,A656&lt;=MAX(Membros!$E$2:$E$5)),Membros!K$3,0)))*IF(AND(COUNTIFS(Tabela3[Tipo],"Provedor",Tabela3[Simulação Seguro],"Sim")=2,A656&gt;=MAX(IF(Tabela3[Tipo]="Dependente",Tabela3[Expectativa de Vida (Data)]))),0,1)</f>
        <v>10000</v>
      </c>
      <c r="S656" s="18">
        <f t="shared" si="86"/>
        <v>10000</v>
      </c>
      <c r="U656" s="18">
        <f t="shared" ca="1" si="89"/>
        <v>45425185.936108097</v>
      </c>
      <c r="V656" s="18">
        <f>SUMIF(Imóveis!E:E,Dados!A:A,Imóveis!Z:Z)-SUMIF(Imóveis!E:E,Dados!A:A,Imóveis!Y:Y)</f>
        <v>0</v>
      </c>
      <c r="W656" s="18">
        <f>-SUMIF(Projetos!N:N,A656,Projetos!F:F)</f>
        <v>0</v>
      </c>
      <c r="X656" s="18">
        <f t="shared" ca="1" si="83"/>
        <v>-82757</v>
      </c>
      <c r="Y656" s="26">
        <f ca="1">(U656*((Indicadores_Economicos!D$2+1)^(1/12)-1))</f>
        <v>148710.23831281971</v>
      </c>
      <c r="Z656" s="18">
        <f t="shared" ca="1" si="87"/>
        <v>45491139.174420916</v>
      </c>
      <c r="AA656" s="18">
        <f ca="1">Auxiliar_Projetos!E656</f>
        <v>3.3152219815079765E-9</v>
      </c>
      <c r="AB656" s="18">
        <f ca="1">Auxiliar_Projetos!K656</f>
        <v>2.5501707550061326E-9</v>
      </c>
      <c r="AC656" s="18">
        <f ca="1">IF(Z656-AA656-AB656&gt;Investimentos!$C$14,Investimentos!$C$14,IF(Z656-AA656-AB656&lt;Investimentos!$C$14,Z656-AA656-AB656,0))</f>
        <v>300000</v>
      </c>
      <c r="AD656" s="18">
        <f t="shared" ca="1" si="88"/>
        <v>45191139.174420916</v>
      </c>
      <c r="AE656" s="18"/>
    </row>
    <row r="657" spans="1:31" x14ac:dyDescent="0.2">
      <c r="A657" s="4">
        <v>65593</v>
      </c>
      <c r="B657" s="5" t="str">
        <f t="shared" si="84"/>
        <v>agosto</v>
      </c>
      <c r="C657" s="5" t="str">
        <f t="shared" si="82"/>
        <v>2079</v>
      </c>
      <c r="D657" s="5">
        <f>SUMIFS(Despesas!$F:$F,Despesas!$J:$J,"&lt;="&amp;$A657,Despesas!$L:$L,"&gt;="&amp;$A657,Despesas!$C:$C,D$1,Despesas!$M:$M,"Mensal")+SUMIFS(Despesas!$F:$F,Despesas!$J:$J,"&lt;="&amp;$A657,Despesas!$L:$L,"&gt;="&amp;$A657,Despesas!$C:$C,D$1,Despesas!$M:$M,$B657)</f>
        <v>23000</v>
      </c>
      <c r="E657" s="18">
        <f>SUMIFS(Despesas!$F:$F,Despesas!$J:$J,"&lt;="&amp;$A657,Despesas!$L:$L,"&gt;="&amp;$A657,Despesas!$C:$C,E$1,Despesas!$M:$M,"Mensal")+SUMIFS(Despesas!$F:$F,Despesas!$J:$J,"&lt;="&amp;$A657,Despesas!$L:$L,"&gt;="&amp;$A657,Despesas!$C:$C,E$1,Despesas!$M:$M,$B657)</f>
        <v>0</v>
      </c>
      <c r="F657" s="5">
        <f>SUMIFS(Despesas!$F:$F,Despesas!$J:$J,"&lt;="&amp;$A657,Despesas!$L:$L,"&gt;="&amp;$A657,Despesas!$C:$C,F$1,Despesas!$M:$M,"Mensal")+SUMIFS(Despesas!$F:$F,Despesas!$J:$J,"&lt;="&amp;$A657,Despesas!$L:$L,"&gt;="&amp;$A657,Despesas!$C:$C,F$1,Despesas!$M:$M,$B657)</f>
        <v>13000</v>
      </c>
      <c r="G657" s="5">
        <f>SUMIFS(Despesas!$F:$F,Despesas!$J:$J,"&lt;="&amp;$A657,Despesas!$L:$L,"&gt;="&amp;$A657,Despesas!$C:$C,G$1,Despesas!$M:$M,"Mensal")+SUMIFS(Despesas!$F:$F,Despesas!$J:$J,"&lt;="&amp;$A657,Despesas!$L:$L,"&gt;="&amp;$A657,Despesas!$C:$C,G$1,Despesas!$M:$M,$B657)</f>
        <v>0</v>
      </c>
      <c r="H657" s="18">
        <f>SUMIFS(Despesas!$F:$F,Despesas!$J:$J,"&lt;="&amp;$A657,Despesas!$L:$L,"&gt;="&amp;$A657,Despesas!$C:$C,H$1,Despesas!$M:$M,"Mensal")+SUMIFS(Despesas!$F:$F,Despesas!$J:$J,"&lt;="&amp;$A657,Despesas!$L:$L,"&gt;="&amp;$A657,Despesas!$C:$C,H$1,Despesas!$M:$M,$B657)</f>
        <v>1000</v>
      </c>
      <c r="I657" s="18">
        <f>IF(Imóveis!$F$2="PRICE",IF(AND(Dados!$A657&gt;=Imóveis!$Q$2,Dados!$A657&lt;=Imóveis!$T$2),Imóveis!$U$2,0),IF((IF(AND(Dados!$A657&gt;=Imóveis!$Q$2,Dados!$A657&lt;=Imóveis!$T$2),Imóveis!$S$2-(DATEDIF(Imóveis!$Q$2,Dados!$A657,"m")),0))=0,0,((Imóveis!$N$2/Imóveis!$S$2)+((Imóveis!$N$2-((Imóveis!$S$2-(IF(AND(Dados!$A657&gt;=Imóveis!$Q$2,Dados!$A657&lt;=Imóveis!$T$2),Imóveis!$S$2-(DATEDIF(Imóveis!$Q$2,Dados!$A657,"m")),)))*(Imóveis!$N$2/Imóveis!$S$2)))*Imóveis!$P$2))))*IF(AND(Imóveis!$E$2&gt;0,Dados!$A657&gt;Imóveis!$E$2),0,1)</f>
        <v>0</v>
      </c>
      <c r="J657" s="18">
        <f>IF(Imóveis!$F$3="PRICE",IF(AND(Dados!$A657&gt;=Imóveis!$Q$3,Dados!$A657&lt;=Imóveis!$T$3),Imóveis!$U$3,0),IF((IF(AND(Dados!$A657&gt;=Imóveis!$Q$3,Dados!$A657&lt;=Imóveis!$T$3),Imóveis!$S$3-(DATEDIF(Imóveis!$Q$3,Dados!$A657,"m")),0))=0,0,((Imóveis!$N$3/Imóveis!$S$3)+((Imóveis!$N$3-((Imóveis!$S$3-(IF(AND(Dados!$A657&gt;=Imóveis!$Q$3,Dados!$A657&lt;=Imóveis!$T$3),Imóveis!$S$3-(DATEDIF(Imóveis!$Q$3,Dados!$A657,"m")),)))*(Imóveis!$N$3/Imóveis!$S$3)))*Imóveis!$P$3))))*IF(AND(Imóveis!$E$3&gt;0,Dados!$A657&gt;Imóveis!$E$3),0,1)</f>
        <v>0</v>
      </c>
      <c r="K657" s="18">
        <f>IF(Imóveis!$F$4="PRICE",IF(AND(Dados!$A657&gt;=Imóveis!$Q$4,Dados!$A657&lt;=Imóveis!$T$4),Imóveis!$U$4,0),IF((IF(AND(Dados!$A657&gt;=Imóveis!$Q$4,Dados!$A657&lt;=Imóveis!$T$4),Imóveis!$S$4-(DATEDIF(Imóveis!$Q$4,Dados!$A657,"m")),0))=0,0,((Imóveis!$N$4/Imóveis!$S$4)+((Imóveis!$N$4-((Imóveis!$S$4-(IF(AND(Dados!$A657&gt;=Imóveis!$Q$4,Dados!$A657&lt;=Imóveis!$T$4),Imóveis!$S$4-(DATEDIF(Imóveis!$Q$4,Dados!$A657,"m")),)))*(Imóveis!$N$4/Imóveis!$S$4)))*Imóveis!$P$4))))*IF(AND(Imóveis!$E$4&gt;0,Dados!$A657&gt;Imóveis!$E$4),0,1)</f>
        <v>0</v>
      </c>
      <c r="L657" s="18">
        <f>IF(Imóveis!$F$5="PRICE",IF(AND(Dados!$A657&gt;=Imóveis!$Q$5,Dados!$A657&lt;=Imóveis!$T$5),Imóveis!$U$5,0),IF((IF(AND(Dados!$A657&gt;=Imóveis!$Q$5,Dados!$A657&lt;=Imóveis!$T$5),Imóveis!$S$5-(DATEDIF(Imóveis!$Q$5,Dados!$A657,"m")),0))=0,0,((Imóveis!$N$5/Imóveis!$S$5)+((Imóveis!$N$5-((Imóveis!$S$5-(IF(AND(Dados!$A657 &gt;=Imóveis!$Q$5,Dados!$A657&lt;=Imóveis!$T$5),Imóveis!$S$5-(DATEDIF(Imóveis!$Q$5,Dados!$A657,"m")),)))*(Imóveis!$N$5/Imóveis!$S$5)))*Imóveis!$P$5))))*IF(AND(Imóveis!$E$5&gt;0,Dados!$A657&gt;Imóveis!$E$5),0,1)*Imóveis!$I$5</f>
        <v>0</v>
      </c>
      <c r="M657" s="18">
        <f>IF(Imóveis!$F$6="PRICE",IF(AND(Dados!$A657&gt;=Imóveis!$Q$6,Dados!$A657&lt;=Imóveis!$T$6),Imóveis!$U$6,0),IF((IF(AND(Dados!$A657&gt;=Imóveis!$Q$6,Dados!$A657&lt;=Imóveis!$T$6),Imóveis!$S$6-(DATEDIF(Imóveis!$Q$6,Dados!$A657,"m")),0))=0,0,((Imóveis!$N$6/Imóveis!$S$6)+((Imóveis!$N$6-((Imóveis!$S$6-(IF(AND(Dados!$A657&gt;=Imóveis!$Q$6,Dados!$A657&lt;=Imóveis!$T$6),Imóveis!$S$6-(DATEDIF(Imóveis!$Q$6,Dados!$A657,"m")),)))*(Imóveis!$N$6/Imóveis!$S$6)))*Imóveis!$P$6))))*IF(AND(Imóveis!$E$6&gt;0,Dados!$A657&gt;Imóveis!$E$6),0,1)*Imóveis!$I$6</f>
        <v>0</v>
      </c>
      <c r="N657" s="18">
        <f t="shared" si="85"/>
        <v>37000</v>
      </c>
      <c r="O657" s="18">
        <f>SUMIFS(Receitas!$F:$F,Receitas!$J:$J,"&lt;="&amp;$A657,Receitas!$L:$L,"&gt;="&amp;$A657,Receitas!$C:$C,O$1,Receitas!$M:$M,"Mensal")+SUMIFS(Receitas!$F:$F,Receitas!$J:$J,"&lt;="&amp;$A657,Receitas!$L:$L,"&gt;="&amp;$A657,Receitas!$C:$C,O$1,Receitas!$M:$M,$B657)</f>
        <v>0</v>
      </c>
      <c r="P657" s="18">
        <f>SUMIFS(Receitas!$F:$F,Receitas!$J:$J,"&lt;="&amp;$A657,Receitas!$L:$L,"&gt;="&amp;$A657,Receitas!$C:$C,P$1,Receitas!$M:$M,"Mensal")+SUMIFS(Receitas!$F:$F,Receitas!$J:$J,"&lt;="&amp;$A657,Receitas!$L:$L,"&gt;="&amp;$A657,Receitas!$C:$C,P$1,Receitas!$M:$M,$B657)</f>
        <v>0</v>
      </c>
      <c r="Q657" s="18">
        <f>SUMIFS(Receitas!$F:$F,Receitas!$J:$J,"&lt;="&amp;$A657,Receitas!$L:$L,"&gt;="&amp;$A657,Receitas!$C:$C,Q$1,Receitas!$M:$M,"Mensal")+SUMIFS(Receitas!$F:$F,Receitas!$J:$J,"&lt;="&amp;$A657,Receitas!$L:$L,"&gt;="&amp;$A657,Receitas!$C:$C,Q$1,Receitas!$M:$M,$B657)</f>
        <v>0</v>
      </c>
      <c r="R657" s="18" cm="1">
        <f t="array" ref="R657">(IF(AND(Membros!$F$2="Sim",A657&lt;=MAX(Membros!$E$2:$E$5)),Membros!K$2,IF(AND(A657&gt;=Membros!J$2,A657&lt;=MAX(Membros!$E$2:$E$5)),Membros!K$2,0))+IF(AND(Membros!$F$3="Sim",A657&lt;=MAX(Membros!$E$2:$E$5)),Membros!K$3,IF(AND(A657&gt;=Membros!J$3,A657&lt;=MAX(Membros!$E$2:$E$5)),Membros!K$3,0)))*IF(AND(COUNTIFS(Tabela3[Tipo],"Provedor",Tabela3[Simulação Seguro],"Sim")=2,A657&gt;=MAX(IF(Tabela3[Tipo]="Dependente",Tabela3[Expectativa de Vida (Data)]))),0,1)</f>
        <v>10000</v>
      </c>
      <c r="S657" s="18">
        <f t="shared" si="86"/>
        <v>10000</v>
      </c>
      <c r="U657" s="18">
        <f t="shared" ca="1" si="89"/>
        <v>45491139.174420916</v>
      </c>
      <c r="V657" s="18">
        <f>SUMIF(Imóveis!E:E,Dados!A:A,Imóveis!Z:Z)-SUMIF(Imóveis!E:E,Dados!A:A,Imóveis!Y:Y)</f>
        <v>0</v>
      </c>
      <c r="W657" s="18">
        <f>-SUMIF(Projetos!N:N,A657,Projetos!F:F)</f>
        <v>0</v>
      </c>
      <c r="X657" s="18">
        <f t="shared" si="83"/>
        <v>-27000</v>
      </c>
      <c r="Y657" s="26">
        <f ca="1">(U657*((Indicadores_Economicos!D$2+1)^(1/12)-1))</f>
        <v>148926.15205284924</v>
      </c>
      <c r="Z657" s="18">
        <f t="shared" ca="1" si="87"/>
        <v>45613065.326473765</v>
      </c>
      <c r="AA657" s="18">
        <f ca="1">Auxiliar_Projetos!E657</f>
        <v>3.3260751555956596E-9</v>
      </c>
      <c r="AB657" s="18">
        <f ca="1">Auxiliar_Projetos!K657</f>
        <v>2.5585193504581962E-9</v>
      </c>
      <c r="AC657" s="18">
        <f ca="1">IF(Z657-AA657-AB657&gt;Investimentos!$C$14,Investimentos!$C$14,IF(Z657-AA657-AB657&lt;Investimentos!$C$14,Z657-AA657-AB657,0))</f>
        <v>300000</v>
      </c>
      <c r="AD657" s="18">
        <f t="shared" ca="1" si="88"/>
        <v>45313065.326473765</v>
      </c>
      <c r="AE657" s="18"/>
    </row>
    <row r="658" spans="1:31" x14ac:dyDescent="0.2">
      <c r="A658" s="4">
        <v>65624</v>
      </c>
      <c r="B658" s="5" t="str">
        <f t="shared" si="84"/>
        <v>setembro</v>
      </c>
      <c r="C658" s="5" t="str">
        <f t="shared" si="82"/>
        <v>2079</v>
      </c>
      <c r="D658" s="5">
        <f>SUMIFS(Despesas!$F:$F,Despesas!$J:$J,"&lt;="&amp;$A658,Despesas!$L:$L,"&gt;="&amp;$A658,Despesas!$C:$C,D$1,Despesas!$M:$M,"Mensal")+SUMIFS(Despesas!$F:$F,Despesas!$J:$J,"&lt;="&amp;$A658,Despesas!$L:$L,"&gt;="&amp;$A658,Despesas!$C:$C,D$1,Despesas!$M:$M,$B658)</f>
        <v>23000</v>
      </c>
      <c r="E658" s="18">
        <f>SUMIFS(Despesas!$F:$F,Despesas!$J:$J,"&lt;="&amp;$A658,Despesas!$L:$L,"&gt;="&amp;$A658,Despesas!$C:$C,E$1,Despesas!$M:$M,"Mensal")+SUMIFS(Despesas!$F:$F,Despesas!$J:$J,"&lt;="&amp;$A658,Despesas!$L:$L,"&gt;="&amp;$A658,Despesas!$C:$C,E$1,Despesas!$M:$M,$B658)</f>
        <v>0</v>
      </c>
      <c r="F658" s="5">
        <f>SUMIFS(Despesas!$F:$F,Despesas!$J:$J,"&lt;="&amp;$A658,Despesas!$L:$L,"&gt;="&amp;$A658,Despesas!$C:$C,F$1,Despesas!$M:$M,"Mensal")+SUMIFS(Despesas!$F:$F,Despesas!$J:$J,"&lt;="&amp;$A658,Despesas!$L:$L,"&gt;="&amp;$A658,Despesas!$C:$C,F$1,Despesas!$M:$M,$B658)</f>
        <v>13000</v>
      </c>
      <c r="G658" s="5">
        <f>SUMIFS(Despesas!$F:$F,Despesas!$J:$J,"&lt;="&amp;$A658,Despesas!$L:$L,"&gt;="&amp;$A658,Despesas!$C:$C,G$1,Despesas!$M:$M,"Mensal")+SUMIFS(Despesas!$F:$F,Despesas!$J:$J,"&lt;="&amp;$A658,Despesas!$L:$L,"&gt;="&amp;$A658,Despesas!$C:$C,G$1,Despesas!$M:$M,$B658)</f>
        <v>0</v>
      </c>
      <c r="H658" s="18">
        <f>SUMIFS(Despesas!$F:$F,Despesas!$J:$J,"&lt;="&amp;$A658,Despesas!$L:$L,"&gt;="&amp;$A658,Despesas!$C:$C,H$1,Despesas!$M:$M,"Mensal")+SUMIFS(Despesas!$F:$F,Despesas!$J:$J,"&lt;="&amp;$A658,Despesas!$L:$L,"&gt;="&amp;$A658,Despesas!$C:$C,H$1,Despesas!$M:$M,$B658)</f>
        <v>1000</v>
      </c>
      <c r="I658" s="18">
        <f>IF(Imóveis!$F$2="PRICE",IF(AND(Dados!$A658&gt;=Imóveis!$Q$2,Dados!$A658&lt;=Imóveis!$T$2),Imóveis!$U$2,0),IF((IF(AND(Dados!$A658&gt;=Imóveis!$Q$2,Dados!$A658&lt;=Imóveis!$T$2),Imóveis!$S$2-(DATEDIF(Imóveis!$Q$2,Dados!$A658,"m")),0))=0,0,((Imóveis!$N$2/Imóveis!$S$2)+((Imóveis!$N$2-((Imóveis!$S$2-(IF(AND(Dados!$A658&gt;=Imóveis!$Q$2,Dados!$A658&lt;=Imóveis!$T$2),Imóveis!$S$2-(DATEDIF(Imóveis!$Q$2,Dados!$A658,"m")),)))*(Imóveis!$N$2/Imóveis!$S$2)))*Imóveis!$P$2))))*IF(AND(Imóveis!$E$2&gt;0,Dados!$A658&gt;Imóveis!$E$2),0,1)</f>
        <v>0</v>
      </c>
      <c r="J658" s="18">
        <f>IF(Imóveis!$F$3="PRICE",IF(AND(Dados!$A658&gt;=Imóveis!$Q$3,Dados!$A658&lt;=Imóveis!$T$3),Imóveis!$U$3,0),IF((IF(AND(Dados!$A658&gt;=Imóveis!$Q$3,Dados!$A658&lt;=Imóveis!$T$3),Imóveis!$S$3-(DATEDIF(Imóveis!$Q$3,Dados!$A658,"m")),0))=0,0,((Imóveis!$N$3/Imóveis!$S$3)+((Imóveis!$N$3-((Imóveis!$S$3-(IF(AND(Dados!$A658&gt;=Imóveis!$Q$3,Dados!$A658&lt;=Imóveis!$T$3),Imóveis!$S$3-(DATEDIF(Imóveis!$Q$3,Dados!$A658,"m")),)))*(Imóveis!$N$3/Imóveis!$S$3)))*Imóveis!$P$3))))*IF(AND(Imóveis!$E$3&gt;0,Dados!$A658&gt;Imóveis!$E$3),0,1)</f>
        <v>0</v>
      </c>
      <c r="K658" s="18">
        <f>IF(Imóveis!$F$4="PRICE",IF(AND(Dados!$A658&gt;=Imóveis!$Q$4,Dados!$A658&lt;=Imóveis!$T$4),Imóveis!$U$4,0),IF((IF(AND(Dados!$A658&gt;=Imóveis!$Q$4,Dados!$A658&lt;=Imóveis!$T$4),Imóveis!$S$4-(DATEDIF(Imóveis!$Q$4,Dados!$A658,"m")),0))=0,0,((Imóveis!$N$4/Imóveis!$S$4)+((Imóveis!$N$4-((Imóveis!$S$4-(IF(AND(Dados!$A658&gt;=Imóveis!$Q$4,Dados!$A658&lt;=Imóveis!$T$4),Imóveis!$S$4-(DATEDIF(Imóveis!$Q$4,Dados!$A658,"m")),)))*(Imóveis!$N$4/Imóveis!$S$4)))*Imóveis!$P$4))))*IF(AND(Imóveis!$E$4&gt;0,Dados!$A658&gt;Imóveis!$E$4),0,1)</f>
        <v>0</v>
      </c>
      <c r="L658" s="18">
        <f>IF(Imóveis!$F$5="PRICE",IF(AND(Dados!$A658&gt;=Imóveis!$Q$5,Dados!$A658&lt;=Imóveis!$T$5),Imóveis!$U$5,0),IF((IF(AND(Dados!$A658&gt;=Imóveis!$Q$5,Dados!$A658&lt;=Imóveis!$T$5),Imóveis!$S$5-(DATEDIF(Imóveis!$Q$5,Dados!$A658,"m")),0))=0,0,((Imóveis!$N$5/Imóveis!$S$5)+((Imóveis!$N$5-((Imóveis!$S$5-(IF(AND(Dados!$A658 &gt;=Imóveis!$Q$5,Dados!$A658&lt;=Imóveis!$T$5),Imóveis!$S$5-(DATEDIF(Imóveis!$Q$5,Dados!$A658,"m")),)))*(Imóveis!$N$5/Imóveis!$S$5)))*Imóveis!$P$5))))*IF(AND(Imóveis!$E$5&gt;0,Dados!$A658&gt;Imóveis!$E$5),0,1)*Imóveis!$I$5</f>
        <v>0</v>
      </c>
      <c r="M658" s="18">
        <f>IF(Imóveis!$F$6="PRICE",IF(AND(Dados!$A658&gt;=Imóveis!$Q$6,Dados!$A658&lt;=Imóveis!$T$6),Imóveis!$U$6,0),IF((IF(AND(Dados!$A658&gt;=Imóveis!$Q$6,Dados!$A658&lt;=Imóveis!$T$6),Imóveis!$S$6-(DATEDIF(Imóveis!$Q$6,Dados!$A658,"m")),0))=0,0,((Imóveis!$N$6/Imóveis!$S$6)+((Imóveis!$N$6-((Imóveis!$S$6-(IF(AND(Dados!$A658&gt;=Imóveis!$Q$6,Dados!$A658&lt;=Imóveis!$T$6),Imóveis!$S$6-(DATEDIF(Imóveis!$Q$6,Dados!$A658,"m")),)))*(Imóveis!$N$6/Imóveis!$S$6)))*Imóveis!$P$6))))*IF(AND(Imóveis!$E$6&gt;0,Dados!$A658&gt;Imóveis!$E$6),0,1)*Imóveis!$I$6</f>
        <v>0</v>
      </c>
      <c r="N658" s="18">
        <f t="shared" si="85"/>
        <v>37000</v>
      </c>
      <c r="O658" s="18">
        <f>SUMIFS(Receitas!$F:$F,Receitas!$J:$J,"&lt;="&amp;$A658,Receitas!$L:$L,"&gt;="&amp;$A658,Receitas!$C:$C,O$1,Receitas!$M:$M,"Mensal")+SUMIFS(Receitas!$F:$F,Receitas!$J:$J,"&lt;="&amp;$A658,Receitas!$L:$L,"&gt;="&amp;$A658,Receitas!$C:$C,O$1,Receitas!$M:$M,$B658)</f>
        <v>0</v>
      </c>
      <c r="P658" s="18">
        <f>SUMIFS(Receitas!$F:$F,Receitas!$J:$J,"&lt;="&amp;$A658,Receitas!$L:$L,"&gt;="&amp;$A658,Receitas!$C:$C,P$1,Receitas!$M:$M,"Mensal")+SUMIFS(Receitas!$F:$F,Receitas!$J:$J,"&lt;="&amp;$A658,Receitas!$L:$L,"&gt;="&amp;$A658,Receitas!$C:$C,P$1,Receitas!$M:$M,$B658)</f>
        <v>0</v>
      </c>
      <c r="Q658" s="18">
        <f>SUMIFS(Receitas!$F:$F,Receitas!$J:$J,"&lt;="&amp;$A658,Receitas!$L:$L,"&gt;="&amp;$A658,Receitas!$C:$C,Q$1,Receitas!$M:$M,"Mensal")+SUMIFS(Receitas!$F:$F,Receitas!$J:$J,"&lt;="&amp;$A658,Receitas!$L:$L,"&gt;="&amp;$A658,Receitas!$C:$C,Q$1,Receitas!$M:$M,$B658)</f>
        <v>0</v>
      </c>
      <c r="R658" s="18" cm="1">
        <f t="array" ref="R658">(IF(AND(Membros!$F$2="Sim",A658&lt;=MAX(Membros!$E$2:$E$5)),Membros!K$2,IF(AND(A658&gt;=Membros!J$2,A658&lt;=MAX(Membros!$E$2:$E$5)),Membros!K$2,0))+IF(AND(Membros!$F$3="Sim",A658&lt;=MAX(Membros!$E$2:$E$5)),Membros!K$3,IF(AND(A658&gt;=Membros!J$3,A658&lt;=MAX(Membros!$E$2:$E$5)),Membros!K$3,0)))*IF(AND(COUNTIFS(Tabela3[Tipo],"Provedor",Tabela3[Simulação Seguro],"Sim")=2,A658&gt;=MAX(IF(Tabela3[Tipo]="Dependente",Tabela3[Expectativa de Vida (Data)]))),0,1)</f>
        <v>10000</v>
      </c>
      <c r="S658" s="18">
        <f t="shared" si="86"/>
        <v>10000</v>
      </c>
      <c r="U658" s="18">
        <f t="shared" ca="1" si="89"/>
        <v>45613065.326473765</v>
      </c>
      <c r="V658" s="18">
        <f>SUMIF(Imóveis!E:E,Dados!A:A,Imóveis!Z:Z)-SUMIF(Imóveis!E:E,Dados!A:A,Imóveis!Y:Y)</f>
        <v>0</v>
      </c>
      <c r="W658" s="18">
        <f>-SUMIF(Projetos!N:N,A658,Projetos!F:F)</f>
        <v>0</v>
      </c>
      <c r="X658" s="18">
        <f t="shared" si="83"/>
        <v>-27000</v>
      </c>
      <c r="Y658" s="26">
        <f ca="1">(U658*((Indicadores_Economicos!D$2+1)^(1/12)-1))</f>
        <v>149325.30654731509</v>
      </c>
      <c r="Z658" s="18">
        <f t="shared" ca="1" si="87"/>
        <v>45735390.633021079</v>
      </c>
      <c r="AA658" s="18">
        <f ca="1">Auxiliar_Projetos!E658</f>
        <v>3.3369638601511166E-9</v>
      </c>
      <c r="AB658" s="18">
        <f ca="1">Auxiliar_Projetos!K658</f>
        <v>2.5668952770393171E-9</v>
      </c>
      <c r="AC658" s="18">
        <f ca="1">IF(Z658-AA658-AB658&gt;Investimentos!$C$14,Investimentos!$C$14,IF(Z658-AA658-AB658&lt;Investimentos!$C$14,Z658-AA658-AB658,0))</f>
        <v>300000</v>
      </c>
      <c r="AD658" s="18">
        <f t="shared" ca="1" si="88"/>
        <v>45435390.633021079</v>
      </c>
      <c r="AE658" s="18"/>
    </row>
    <row r="659" spans="1:31" x14ac:dyDescent="0.2">
      <c r="A659" s="4">
        <v>65654</v>
      </c>
      <c r="B659" s="5" t="str">
        <f t="shared" si="84"/>
        <v>outubro</v>
      </c>
      <c r="C659" s="5" t="str">
        <f t="shared" si="82"/>
        <v>2079</v>
      </c>
      <c r="D659" s="5">
        <f>SUMIFS(Despesas!$F:$F,Despesas!$J:$J,"&lt;="&amp;$A659,Despesas!$L:$L,"&gt;="&amp;$A659,Despesas!$C:$C,D$1,Despesas!$M:$M,"Mensal")+SUMIFS(Despesas!$F:$F,Despesas!$J:$J,"&lt;="&amp;$A659,Despesas!$L:$L,"&gt;="&amp;$A659,Despesas!$C:$C,D$1,Despesas!$M:$M,$B659)</f>
        <v>23000</v>
      </c>
      <c r="E659" s="18">
        <f>SUMIFS(Despesas!$F:$F,Despesas!$J:$J,"&lt;="&amp;$A659,Despesas!$L:$L,"&gt;="&amp;$A659,Despesas!$C:$C,E$1,Despesas!$M:$M,"Mensal")+SUMIFS(Despesas!$F:$F,Despesas!$J:$J,"&lt;="&amp;$A659,Despesas!$L:$L,"&gt;="&amp;$A659,Despesas!$C:$C,E$1,Despesas!$M:$M,$B659)</f>
        <v>0</v>
      </c>
      <c r="F659" s="5">
        <f>SUMIFS(Despesas!$F:$F,Despesas!$J:$J,"&lt;="&amp;$A659,Despesas!$L:$L,"&gt;="&amp;$A659,Despesas!$C:$C,F$1,Despesas!$M:$M,"Mensal")+SUMIFS(Despesas!$F:$F,Despesas!$J:$J,"&lt;="&amp;$A659,Despesas!$L:$L,"&gt;="&amp;$A659,Despesas!$C:$C,F$1,Despesas!$M:$M,$B659)</f>
        <v>13000</v>
      </c>
      <c r="G659" s="5">
        <f>SUMIFS(Despesas!$F:$F,Despesas!$J:$J,"&lt;="&amp;$A659,Despesas!$L:$L,"&gt;="&amp;$A659,Despesas!$C:$C,G$1,Despesas!$M:$M,"Mensal")+SUMIFS(Despesas!$F:$F,Despesas!$J:$J,"&lt;="&amp;$A659,Despesas!$L:$L,"&gt;="&amp;$A659,Despesas!$C:$C,G$1,Despesas!$M:$M,$B659)</f>
        <v>0</v>
      </c>
      <c r="H659" s="18">
        <f>SUMIFS(Despesas!$F:$F,Despesas!$J:$J,"&lt;="&amp;$A659,Despesas!$L:$L,"&gt;="&amp;$A659,Despesas!$C:$C,H$1,Despesas!$M:$M,"Mensal")+SUMIFS(Despesas!$F:$F,Despesas!$J:$J,"&lt;="&amp;$A659,Despesas!$L:$L,"&gt;="&amp;$A659,Despesas!$C:$C,H$1,Despesas!$M:$M,$B659)</f>
        <v>1000</v>
      </c>
      <c r="I659" s="18">
        <f>IF(Imóveis!$F$2="PRICE",IF(AND(Dados!$A659&gt;=Imóveis!$Q$2,Dados!$A659&lt;=Imóveis!$T$2),Imóveis!$U$2,0),IF((IF(AND(Dados!$A659&gt;=Imóveis!$Q$2,Dados!$A659&lt;=Imóveis!$T$2),Imóveis!$S$2-(DATEDIF(Imóveis!$Q$2,Dados!$A659,"m")),0))=0,0,((Imóveis!$N$2/Imóveis!$S$2)+((Imóveis!$N$2-((Imóveis!$S$2-(IF(AND(Dados!$A659&gt;=Imóveis!$Q$2,Dados!$A659&lt;=Imóveis!$T$2),Imóveis!$S$2-(DATEDIF(Imóveis!$Q$2,Dados!$A659,"m")),)))*(Imóveis!$N$2/Imóveis!$S$2)))*Imóveis!$P$2))))*IF(AND(Imóveis!$E$2&gt;0,Dados!$A659&gt;Imóveis!$E$2),0,1)</f>
        <v>0</v>
      </c>
      <c r="J659" s="18">
        <f>IF(Imóveis!$F$3="PRICE",IF(AND(Dados!$A659&gt;=Imóveis!$Q$3,Dados!$A659&lt;=Imóveis!$T$3),Imóveis!$U$3,0),IF((IF(AND(Dados!$A659&gt;=Imóveis!$Q$3,Dados!$A659&lt;=Imóveis!$T$3),Imóveis!$S$3-(DATEDIF(Imóveis!$Q$3,Dados!$A659,"m")),0))=0,0,((Imóveis!$N$3/Imóveis!$S$3)+((Imóveis!$N$3-((Imóveis!$S$3-(IF(AND(Dados!$A659&gt;=Imóveis!$Q$3,Dados!$A659&lt;=Imóveis!$T$3),Imóveis!$S$3-(DATEDIF(Imóveis!$Q$3,Dados!$A659,"m")),)))*(Imóveis!$N$3/Imóveis!$S$3)))*Imóveis!$P$3))))*IF(AND(Imóveis!$E$3&gt;0,Dados!$A659&gt;Imóveis!$E$3),0,1)</f>
        <v>0</v>
      </c>
      <c r="K659" s="18">
        <f>IF(Imóveis!$F$4="PRICE",IF(AND(Dados!$A659&gt;=Imóveis!$Q$4,Dados!$A659&lt;=Imóveis!$T$4),Imóveis!$U$4,0),IF((IF(AND(Dados!$A659&gt;=Imóveis!$Q$4,Dados!$A659&lt;=Imóveis!$T$4),Imóveis!$S$4-(DATEDIF(Imóveis!$Q$4,Dados!$A659,"m")),0))=0,0,((Imóveis!$N$4/Imóveis!$S$4)+((Imóveis!$N$4-((Imóveis!$S$4-(IF(AND(Dados!$A659&gt;=Imóveis!$Q$4,Dados!$A659&lt;=Imóveis!$T$4),Imóveis!$S$4-(DATEDIF(Imóveis!$Q$4,Dados!$A659,"m")),)))*(Imóveis!$N$4/Imóveis!$S$4)))*Imóveis!$P$4))))*IF(AND(Imóveis!$E$4&gt;0,Dados!$A659&gt;Imóveis!$E$4),0,1)</f>
        <v>0</v>
      </c>
      <c r="L659" s="18">
        <f>IF(Imóveis!$F$5="PRICE",IF(AND(Dados!$A659&gt;=Imóveis!$Q$5,Dados!$A659&lt;=Imóveis!$T$5),Imóveis!$U$5,0),IF((IF(AND(Dados!$A659&gt;=Imóveis!$Q$5,Dados!$A659&lt;=Imóveis!$T$5),Imóveis!$S$5-(DATEDIF(Imóveis!$Q$5,Dados!$A659,"m")),0))=0,0,((Imóveis!$N$5/Imóveis!$S$5)+((Imóveis!$N$5-((Imóveis!$S$5-(IF(AND(Dados!$A659 &gt;=Imóveis!$Q$5,Dados!$A659&lt;=Imóveis!$T$5),Imóveis!$S$5-(DATEDIF(Imóveis!$Q$5,Dados!$A659,"m")),)))*(Imóveis!$N$5/Imóveis!$S$5)))*Imóveis!$P$5))))*IF(AND(Imóveis!$E$5&gt;0,Dados!$A659&gt;Imóveis!$E$5),0,1)*Imóveis!$I$5</f>
        <v>0</v>
      </c>
      <c r="M659" s="18">
        <f>IF(Imóveis!$F$6="PRICE",IF(AND(Dados!$A659&gt;=Imóveis!$Q$6,Dados!$A659&lt;=Imóveis!$T$6),Imóveis!$U$6,0),IF((IF(AND(Dados!$A659&gt;=Imóveis!$Q$6,Dados!$A659&lt;=Imóveis!$T$6),Imóveis!$S$6-(DATEDIF(Imóveis!$Q$6,Dados!$A659,"m")),0))=0,0,((Imóveis!$N$6/Imóveis!$S$6)+((Imóveis!$N$6-((Imóveis!$S$6-(IF(AND(Dados!$A659&gt;=Imóveis!$Q$6,Dados!$A659&lt;=Imóveis!$T$6),Imóveis!$S$6-(DATEDIF(Imóveis!$Q$6,Dados!$A659,"m")),)))*(Imóveis!$N$6/Imóveis!$S$6)))*Imóveis!$P$6))))*IF(AND(Imóveis!$E$6&gt;0,Dados!$A659&gt;Imóveis!$E$6),0,1)*Imóveis!$I$6</f>
        <v>0</v>
      </c>
      <c r="N659" s="18">
        <f t="shared" si="85"/>
        <v>37000</v>
      </c>
      <c r="O659" s="18">
        <f>SUMIFS(Receitas!$F:$F,Receitas!$J:$J,"&lt;="&amp;$A659,Receitas!$L:$L,"&gt;="&amp;$A659,Receitas!$C:$C,O$1,Receitas!$M:$M,"Mensal")+SUMIFS(Receitas!$F:$F,Receitas!$J:$J,"&lt;="&amp;$A659,Receitas!$L:$L,"&gt;="&amp;$A659,Receitas!$C:$C,O$1,Receitas!$M:$M,$B659)</f>
        <v>0</v>
      </c>
      <c r="P659" s="18">
        <f>SUMIFS(Receitas!$F:$F,Receitas!$J:$J,"&lt;="&amp;$A659,Receitas!$L:$L,"&gt;="&amp;$A659,Receitas!$C:$C,P$1,Receitas!$M:$M,"Mensal")+SUMIFS(Receitas!$F:$F,Receitas!$J:$J,"&lt;="&amp;$A659,Receitas!$L:$L,"&gt;="&amp;$A659,Receitas!$C:$C,P$1,Receitas!$M:$M,$B659)</f>
        <v>0</v>
      </c>
      <c r="Q659" s="18">
        <f>SUMIFS(Receitas!$F:$F,Receitas!$J:$J,"&lt;="&amp;$A659,Receitas!$L:$L,"&gt;="&amp;$A659,Receitas!$C:$C,Q$1,Receitas!$M:$M,"Mensal")+SUMIFS(Receitas!$F:$F,Receitas!$J:$J,"&lt;="&amp;$A659,Receitas!$L:$L,"&gt;="&amp;$A659,Receitas!$C:$C,Q$1,Receitas!$M:$M,$B659)</f>
        <v>0</v>
      </c>
      <c r="R659" s="18" cm="1">
        <f t="array" ref="R659">(IF(AND(Membros!$F$2="Sim",A659&lt;=MAX(Membros!$E$2:$E$5)),Membros!K$2,IF(AND(A659&gt;=Membros!J$2,A659&lt;=MAX(Membros!$E$2:$E$5)),Membros!K$2,0))+IF(AND(Membros!$F$3="Sim",A659&lt;=MAX(Membros!$E$2:$E$5)),Membros!K$3,IF(AND(A659&gt;=Membros!J$3,A659&lt;=MAX(Membros!$E$2:$E$5)),Membros!K$3,0)))*IF(AND(COUNTIFS(Tabela3[Tipo],"Provedor",Tabela3[Simulação Seguro],"Sim")=2,A659&gt;=MAX(IF(Tabela3[Tipo]="Dependente",Tabela3[Expectativa de Vida (Data)]))),0,1)</f>
        <v>10000</v>
      </c>
      <c r="S659" s="18">
        <f t="shared" si="86"/>
        <v>10000</v>
      </c>
      <c r="U659" s="18">
        <f t="shared" ca="1" si="89"/>
        <v>45735390.633021079</v>
      </c>
      <c r="V659" s="18">
        <f>SUMIF(Imóveis!E:E,Dados!A:A,Imóveis!Z:Z)-SUMIF(Imóveis!E:E,Dados!A:A,Imóveis!Y:Y)</f>
        <v>0</v>
      </c>
      <c r="W659" s="18">
        <f>-SUMIF(Projetos!N:N,A659,Projetos!F:F)</f>
        <v>0</v>
      </c>
      <c r="X659" s="18">
        <f t="shared" si="83"/>
        <v>-27000</v>
      </c>
      <c r="Y659" s="26">
        <f ca="1">(U659*((Indicadores_Economicos!D$2+1)^(1/12)-1))</f>
        <v>149725.7677697287</v>
      </c>
      <c r="Z659" s="18">
        <f t="shared" ca="1" si="87"/>
        <v>45858116.400790811</v>
      </c>
      <c r="AA659" s="18">
        <f ca="1">Auxiliar_Projetos!E659</f>
        <v>3.3478882114918535E-9</v>
      </c>
      <c r="AB659" s="18">
        <f ca="1">Auxiliar_Projetos!K659</f>
        <v>2.5752986242244991E-9</v>
      </c>
      <c r="AC659" s="18">
        <f ca="1">IF(Z659-AA659-AB659&gt;Investimentos!$C$14,Investimentos!$C$14,IF(Z659-AA659-AB659&lt;Investimentos!$C$14,Z659-AA659-AB659,0))</f>
        <v>300000</v>
      </c>
      <c r="AD659" s="18">
        <f t="shared" ca="1" si="88"/>
        <v>45558116.400790811</v>
      </c>
      <c r="AE659" s="18"/>
    </row>
    <row r="660" spans="1:31" x14ac:dyDescent="0.2">
      <c r="A660" s="4">
        <v>65685</v>
      </c>
      <c r="B660" s="5" t="str">
        <f t="shared" si="84"/>
        <v>novembro</v>
      </c>
      <c r="C660" s="5" t="str">
        <f t="shared" si="82"/>
        <v>2079</v>
      </c>
      <c r="D660" s="5">
        <f>SUMIFS(Despesas!$F:$F,Despesas!$J:$J,"&lt;="&amp;$A660,Despesas!$L:$L,"&gt;="&amp;$A660,Despesas!$C:$C,D$1,Despesas!$M:$M,"Mensal")+SUMIFS(Despesas!$F:$F,Despesas!$J:$J,"&lt;="&amp;$A660,Despesas!$L:$L,"&gt;="&amp;$A660,Despesas!$C:$C,D$1,Despesas!$M:$M,$B660)</f>
        <v>23000</v>
      </c>
      <c r="E660" s="18">
        <f>SUMIFS(Despesas!$F:$F,Despesas!$J:$J,"&lt;="&amp;$A660,Despesas!$L:$L,"&gt;="&amp;$A660,Despesas!$C:$C,E$1,Despesas!$M:$M,"Mensal")+SUMIFS(Despesas!$F:$F,Despesas!$J:$J,"&lt;="&amp;$A660,Despesas!$L:$L,"&gt;="&amp;$A660,Despesas!$C:$C,E$1,Despesas!$M:$M,$B660)</f>
        <v>0</v>
      </c>
      <c r="F660" s="5">
        <f>SUMIFS(Despesas!$F:$F,Despesas!$J:$J,"&lt;="&amp;$A660,Despesas!$L:$L,"&gt;="&amp;$A660,Despesas!$C:$C,F$1,Despesas!$M:$M,"Mensal")+SUMIFS(Despesas!$F:$F,Despesas!$J:$J,"&lt;="&amp;$A660,Despesas!$L:$L,"&gt;="&amp;$A660,Despesas!$C:$C,F$1,Despesas!$M:$M,$B660)</f>
        <v>13000</v>
      </c>
      <c r="G660" s="5">
        <f>SUMIFS(Despesas!$F:$F,Despesas!$J:$J,"&lt;="&amp;$A660,Despesas!$L:$L,"&gt;="&amp;$A660,Despesas!$C:$C,G$1,Despesas!$M:$M,"Mensal")+SUMIFS(Despesas!$F:$F,Despesas!$J:$J,"&lt;="&amp;$A660,Despesas!$L:$L,"&gt;="&amp;$A660,Despesas!$C:$C,G$1,Despesas!$M:$M,$B660)</f>
        <v>0</v>
      </c>
      <c r="H660" s="18">
        <f>SUMIFS(Despesas!$F:$F,Despesas!$J:$J,"&lt;="&amp;$A660,Despesas!$L:$L,"&gt;="&amp;$A660,Despesas!$C:$C,H$1,Despesas!$M:$M,"Mensal")+SUMIFS(Despesas!$F:$F,Despesas!$J:$J,"&lt;="&amp;$A660,Despesas!$L:$L,"&gt;="&amp;$A660,Despesas!$C:$C,H$1,Despesas!$M:$M,$B660)</f>
        <v>1000</v>
      </c>
      <c r="I660" s="18">
        <f>IF(Imóveis!$F$2="PRICE",IF(AND(Dados!$A660&gt;=Imóveis!$Q$2,Dados!$A660&lt;=Imóveis!$T$2),Imóveis!$U$2,0),IF((IF(AND(Dados!$A660&gt;=Imóveis!$Q$2,Dados!$A660&lt;=Imóveis!$T$2),Imóveis!$S$2-(DATEDIF(Imóveis!$Q$2,Dados!$A660,"m")),0))=0,0,((Imóveis!$N$2/Imóveis!$S$2)+((Imóveis!$N$2-((Imóveis!$S$2-(IF(AND(Dados!$A660&gt;=Imóveis!$Q$2,Dados!$A660&lt;=Imóveis!$T$2),Imóveis!$S$2-(DATEDIF(Imóveis!$Q$2,Dados!$A660,"m")),)))*(Imóveis!$N$2/Imóveis!$S$2)))*Imóveis!$P$2))))*IF(AND(Imóveis!$E$2&gt;0,Dados!$A660&gt;Imóveis!$E$2),0,1)</f>
        <v>0</v>
      </c>
      <c r="J660" s="18">
        <f>IF(Imóveis!$F$3="PRICE",IF(AND(Dados!$A660&gt;=Imóveis!$Q$3,Dados!$A660&lt;=Imóveis!$T$3),Imóveis!$U$3,0),IF((IF(AND(Dados!$A660&gt;=Imóveis!$Q$3,Dados!$A660&lt;=Imóveis!$T$3),Imóveis!$S$3-(DATEDIF(Imóveis!$Q$3,Dados!$A660,"m")),0))=0,0,((Imóveis!$N$3/Imóveis!$S$3)+((Imóveis!$N$3-((Imóveis!$S$3-(IF(AND(Dados!$A660&gt;=Imóveis!$Q$3,Dados!$A660&lt;=Imóveis!$T$3),Imóveis!$S$3-(DATEDIF(Imóveis!$Q$3,Dados!$A660,"m")),)))*(Imóveis!$N$3/Imóveis!$S$3)))*Imóveis!$P$3))))*IF(AND(Imóveis!$E$3&gt;0,Dados!$A660&gt;Imóveis!$E$3),0,1)</f>
        <v>0</v>
      </c>
      <c r="K660" s="18">
        <f>IF(Imóveis!$F$4="PRICE",IF(AND(Dados!$A660&gt;=Imóveis!$Q$4,Dados!$A660&lt;=Imóveis!$T$4),Imóveis!$U$4,0),IF((IF(AND(Dados!$A660&gt;=Imóveis!$Q$4,Dados!$A660&lt;=Imóveis!$T$4),Imóveis!$S$4-(DATEDIF(Imóveis!$Q$4,Dados!$A660,"m")),0))=0,0,((Imóveis!$N$4/Imóveis!$S$4)+((Imóveis!$N$4-((Imóveis!$S$4-(IF(AND(Dados!$A660&gt;=Imóveis!$Q$4,Dados!$A660&lt;=Imóveis!$T$4),Imóveis!$S$4-(DATEDIF(Imóveis!$Q$4,Dados!$A660,"m")),)))*(Imóveis!$N$4/Imóveis!$S$4)))*Imóveis!$P$4))))*IF(AND(Imóveis!$E$4&gt;0,Dados!$A660&gt;Imóveis!$E$4),0,1)</f>
        <v>0</v>
      </c>
      <c r="L660" s="18">
        <f>IF(Imóveis!$F$5="PRICE",IF(AND(Dados!$A660&gt;=Imóveis!$Q$5,Dados!$A660&lt;=Imóveis!$T$5),Imóveis!$U$5,0),IF((IF(AND(Dados!$A660&gt;=Imóveis!$Q$5,Dados!$A660&lt;=Imóveis!$T$5),Imóveis!$S$5-(DATEDIF(Imóveis!$Q$5,Dados!$A660,"m")),0))=0,0,((Imóveis!$N$5/Imóveis!$S$5)+((Imóveis!$N$5-((Imóveis!$S$5-(IF(AND(Dados!$A660 &gt;=Imóveis!$Q$5,Dados!$A660&lt;=Imóveis!$T$5),Imóveis!$S$5-(DATEDIF(Imóveis!$Q$5,Dados!$A660,"m")),)))*(Imóveis!$N$5/Imóveis!$S$5)))*Imóveis!$P$5))))*IF(AND(Imóveis!$E$5&gt;0,Dados!$A660&gt;Imóveis!$E$5),0,1)*Imóveis!$I$5</f>
        <v>0</v>
      </c>
      <c r="M660" s="18">
        <f>IF(Imóveis!$F$6="PRICE",IF(AND(Dados!$A660&gt;=Imóveis!$Q$6,Dados!$A660&lt;=Imóveis!$T$6),Imóveis!$U$6,0),IF((IF(AND(Dados!$A660&gt;=Imóveis!$Q$6,Dados!$A660&lt;=Imóveis!$T$6),Imóveis!$S$6-(DATEDIF(Imóveis!$Q$6,Dados!$A660,"m")),0))=0,0,((Imóveis!$N$6/Imóveis!$S$6)+((Imóveis!$N$6-((Imóveis!$S$6-(IF(AND(Dados!$A660&gt;=Imóveis!$Q$6,Dados!$A660&lt;=Imóveis!$T$6),Imóveis!$S$6-(DATEDIF(Imóveis!$Q$6,Dados!$A660,"m")),)))*(Imóveis!$N$6/Imóveis!$S$6)))*Imóveis!$P$6))))*IF(AND(Imóveis!$E$6&gt;0,Dados!$A660&gt;Imóveis!$E$6),0,1)*Imóveis!$I$6</f>
        <v>0</v>
      </c>
      <c r="N660" s="18">
        <f t="shared" si="85"/>
        <v>37000</v>
      </c>
      <c r="O660" s="18">
        <f>SUMIFS(Receitas!$F:$F,Receitas!$J:$J,"&lt;="&amp;$A660,Receitas!$L:$L,"&gt;="&amp;$A660,Receitas!$C:$C,O$1,Receitas!$M:$M,"Mensal")+SUMIFS(Receitas!$F:$F,Receitas!$J:$J,"&lt;="&amp;$A660,Receitas!$L:$L,"&gt;="&amp;$A660,Receitas!$C:$C,O$1,Receitas!$M:$M,$B660)</f>
        <v>0</v>
      </c>
      <c r="P660" s="18">
        <f>SUMIFS(Receitas!$F:$F,Receitas!$J:$J,"&lt;="&amp;$A660,Receitas!$L:$L,"&gt;="&amp;$A660,Receitas!$C:$C,P$1,Receitas!$M:$M,"Mensal")+SUMIFS(Receitas!$F:$F,Receitas!$J:$J,"&lt;="&amp;$A660,Receitas!$L:$L,"&gt;="&amp;$A660,Receitas!$C:$C,P$1,Receitas!$M:$M,$B660)</f>
        <v>0</v>
      </c>
      <c r="Q660" s="18">
        <f>SUMIFS(Receitas!$F:$F,Receitas!$J:$J,"&lt;="&amp;$A660,Receitas!$L:$L,"&gt;="&amp;$A660,Receitas!$C:$C,Q$1,Receitas!$M:$M,"Mensal")+SUMIFS(Receitas!$F:$F,Receitas!$J:$J,"&lt;="&amp;$A660,Receitas!$L:$L,"&gt;="&amp;$A660,Receitas!$C:$C,Q$1,Receitas!$M:$M,$B660)</f>
        <v>0</v>
      </c>
      <c r="R660" s="18" cm="1">
        <f t="array" ref="R660">(IF(AND(Membros!$F$2="Sim",A660&lt;=MAX(Membros!$E$2:$E$5)),Membros!K$2,IF(AND(A660&gt;=Membros!J$2,A660&lt;=MAX(Membros!$E$2:$E$5)),Membros!K$2,0))+IF(AND(Membros!$F$3="Sim",A660&lt;=MAX(Membros!$E$2:$E$5)),Membros!K$3,IF(AND(A660&gt;=Membros!J$3,A660&lt;=MAX(Membros!$E$2:$E$5)),Membros!K$3,0)))*IF(AND(COUNTIFS(Tabela3[Tipo],"Provedor",Tabela3[Simulação Seguro],"Sim")=2,A660&gt;=MAX(IF(Tabela3[Tipo]="Dependente",Tabela3[Expectativa de Vida (Data)]))),0,1)</f>
        <v>10000</v>
      </c>
      <c r="S660" s="18">
        <f t="shared" si="86"/>
        <v>10000</v>
      </c>
      <c r="U660" s="18">
        <f t="shared" ca="1" si="89"/>
        <v>45858116.400790811</v>
      </c>
      <c r="V660" s="18">
        <f>SUMIF(Imóveis!E:E,Dados!A:A,Imóveis!Z:Z)-SUMIF(Imóveis!E:E,Dados!A:A,Imóveis!Y:Y)</f>
        <v>0</v>
      </c>
      <c r="W660" s="18">
        <f>-SUMIF(Projetos!N:N,A660,Projetos!F:F)</f>
        <v>0</v>
      </c>
      <c r="X660" s="18">
        <f t="shared" si="83"/>
        <v>-27000</v>
      </c>
      <c r="Y660" s="26">
        <f ca="1">(U660*((Indicadores_Economicos!D$2+1)^(1/12)-1))</f>
        <v>150127.53999797738</v>
      </c>
      <c r="Z660" s="18">
        <f t="shared" ca="1" si="87"/>
        <v>45981243.940788791</v>
      </c>
      <c r="AA660" s="18">
        <f ca="1">Auxiliar_Projetos!E660</f>
        <v>3.358848326316169E-9</v>
      </c>
      <c r="AB660" s="18">
        <f ca="1">Auxiliar_Projetos!K660</f>
        <v>2.583729481781665E-9</v>
      </c>
      <c r="AC660" s="18">
        <f ca="1">IF(Z660-AA660-AB660&gt;Investimentos!$C$14,Investimentos!$C$14,IF(Z660-AA660-AB660&lt;Investimentos!$C$14,Z660-AA660-AB660,0))</f>
        <v>300000</v>
      </c>
      <c r="AD660" s="18">
        <f t="shared" ca="1" si="88"/>
        <v>45681243.940788791</v>
      </c>
      <c r="AE660" s="18"/>
    </row>
    <row r="661" spans="1:31" x14ac:dyDescent="0.2">
      <c r="A661" s="4">
        <v>65715</v>
      </c>
      <c r="B661" s="5" t="str">
        <f t="shared" si="84"/>
        <v>dezembro</v>
      </c>
      <c r="C661" s="5" t="str">
        <f t="shared" si="82"/>
        <v>2079</v>
      </c>
      <c r="D661" s="5">
        <f>SUMIFS(Despesas!$F:$F,Despesas!$J:$J,"&lt;="&amp;$A661,Despesas!$L:$L,"&gt;="&amp;$A661,Despesas!$C:$C,D$1,Despesas!$M:$M,"Mensal")+SUMIFS(Despesas!$F:$F,Despesas!$J:$J,"&lt;="&amp;$A661,Despesas!$L:$L,"&gt;="&amp;$A661,Despesas!$C:$C,D$1,Despesas!$M:$M,$B661)</f>
        <v>23000</v>
      </c>
      <c r="E661" s="18">
        <f>SUMIFS(Despesas!$F:$F,Despesas!$J:$J,"&lt;="&amp;$A661,Despesas!$L:$L,"&gt;="&amp;$A661,Despesas!$C:$C,E$1,Despesas!$M:$M,"Mensal")+SUMIFS(Despesas!$F:$F,Despesas!$J:$J,"&lt;="&amp;$A661,Despesas!$L:$L,"&gt;="&amp;$A661,Despesas!$C:$C,E$1,Despesas!$M:$M,$B661)</f>
        <v>0</v>
      </c>
      <c r="F661" s="5">
        <f>SUMIFS(Despesas!$F:$F,Despesas!$J:$J,"&lt;="&amp;$A661,Despesas!$L:$L,"&gt;="&amp;$A661,Despesas!$C:$C,F$1,Despesas!$M:$M,"Mensal")+SUMIFS(Despesas!$F:$F,Despesas!$J:$J,"&lt;="&amp;$A661,Despesas!$L:$L,"&gt;="&amp;$A661,Despesas!$C:$C,F$1,Despesas!$M:$M,$B661)</f>
        <v>13000</v>
      </c>
      <c r="G661" s="5">
        <f ca="1">SUMIFS(Despesas!$F:$F,Despesas!$J:$J,"&lt;="&amp;$A661,Despesas!$L:$L,"&gt;="&amp;$A661,Despesas!$C:$C,G$1,Despesas!$M:$M,"Mensal")+SUMIFS(Despesas!$F:$F,Despesas!$J:$J,"&lt;="&amp;$A661,Despesas!$L:$L,"&gt;="&amp;$A661,Despesas!$C:$C,G$1,Despesas!$M:$M,$B661)</f>
        <v>55757</v>
      </c>
      <c r="H661" s="18">
        <f>SUMIFS(Despesas!$F:$F,Despesas!$J:$J,"&lt;="&amp;$A661,Despesas!$L:$L,"&gt;="&amp;$A661,Despesas!$C:$C,H$1,Despesas!$M:$M,"Mensal")+SUMIFS(Despesas!$F:$F,Despesas!$J:$J,"&lt;="&amp;$A661,Despesas!$L:$L,"&gt;="&amp;$A661,Despesas!$C:$C,H$1,Despesas!$M:$M,$B661)</f>
        <v>1000</v>
      </c>
      <c r="I661" s="18">
        <f>IF(Imóveis!$F$2="PRICE",IF(AND(Dados!$A661&gt;=Imóveis!$Q$2,Dados!$A661&lt;=Imóveis!$T$2),Imóveis!$U$2,0),IF((IF(AND(Dados!$A661&gt;=Imóveis!$Q$2,Dados!$A661&lt;=Imóveis!$T$2),Imóveis!$S$2-(DATEDIF(Imóveis!$Q$2,Dados!$A661,"m")),0))=0,0,((Imóveis!$N$2/Imóveis!$S$2)+((Imóveis!$N$2-((Imóveis!$S$2-(IF(AND(Dados!$A661&gt;=Imóveis!$Q$2,Dados!$A661&lt;=Imóveis!$T$2),Imóveis!$S$2-(DATEDIF(Imóveis!$Q$2,Dados!$A661,"m")),)))*(Imóveis!$N$2/Imóveis!$S$2)))*Imóveis!$P$2))))*IF(AND(Imóveis!$E$2&gt;0,Dados!$A661&gt;Imóveis!$E$2),0,1)</f>
        <v>0</v>
      </c>
      <c r="J661" s="18">
        <f>IF(Imóveis!$F$3="PRICE",IF(AND(Dados!$A661&gt;=Imóveis!$Q$3,Dados!$A661&lt;=Imóveis!$T$3),Imóveis!$U$3,0),IF((IF(AND(Dados!$A661&gt;=Imóveis!$Q$3,Dados!$A661&lt;=Imóveis!$T$3),Imóveis!$S$3-(DATEDIF(Imóveis!$Q$3,Dados!$A661,"m")),0))=0,0,((Imóveis!$N$3/Imóveis!$S$3)+((Imóveis!$N$3-((Imóveis!$S$3-(IF(AND(Dados!$A661&gt;=Imóveis!$Q$3,Dados!$A661&lt;=Imóveis!$T$3),Imóveis!$S$3-(DATEDIF(Imóveis!$Q$3,Dados!$A661,"m")),)))*(Imóveis!$N$3/Imóveis!$S$3)))*Imóveis!$P$3))))*IF(AND(Imóveis!$E$3&gt;0,Dados!$A661&gt;Imóveis!$E$3),0,1)</f>
        <v>0</v>
      </c>
      <c r="K661" s="18">
        <f>IF(Imóveis!$F$4="PRICE",IF(AND(Dados!$A661&gt;=Imóveis!$Q$4,Dados!$A661&lt;=Imóveis!$T$4),Imóveis!$U$4,0),IF((IF(AND(Dados!$A661&gt;=Imóveis!$Q$4,Dados!$A661&lt;=Imóveis!$T$4),Imóveis!$S$4-(DATEDIF(Imóveis!$Q$4,Dados!$A661,"m")),0))=0,0,((Imóveis!$N$4/Imóveis!$S$4)+((Imóveis!$N$4-((Imóveis!$S$4-(IF(AND(Dados!$A661&gt;=Imóveis!$Q$4,Dados!$A661&lt;=Imóveis!$T$4),Imóveis!$S$4-(DATEDIF(Imóveis!$Q$4,Dados!$A661,"m")),)))*(Imóveis!$N$4/Imóveis!$S$4)))*Imóveis!$P$4))))*IF(AND(Imóveis!$E$4&gt;0,Dados!$A661&gt;Imóveis!$E$4),0,1)</f>
        <v>0</v>
      </c>
      <c r="L661" s="18">
        <f>IF(Imóveis!$F$5="PRICE",IF(AND(Dados!$A661&gt;=Imóveis!$Q$5,Dados!$A661&lt;=Imóveis!$T$5),Imóveis!$U$5,0),IF((IF(AND(Dados!$A661&gt;=Imóveis!$Q$5,Dados!$A661&lt;=Imóveis!$T$5),Imóveis!$S$5-(DATEDIF(Imóveis!$Q$5,Dados!$A661,"m")),0))=0,0,((Imóveis!$N$5/Imóveis!$S$5)+((Imóveis!$N$5-((Imóveis!$S$5-(IF(AND(Dados!$A661 &gt;=Imóveis!$Q$5,Dados!$A661&lt;=Imóveis!$T$5),Imóveis!$S$5-(DATEDIF(Imóveis!$Q$5,Dados!$A661,"m")),)))*(Imóveis!$N$5/Imóveis!$S$5)))*Imóveis!$P$5))))*IF(AND(Imóveis!$E$5&gt;0,Dados!$A661&gt;Imóveis!$E$5),0,1)*Imóveis!$I$5</f>
        <v>0</v>
      </c>
      <c r="M661" s="18">
        <f>IF(Imóveis!$F$6="PRICE",IF(AND(Dados!$A661&gt;=Imóveis!$Q$6,Dados!$A661&lt;=Imóveis!$T$6),Imóveis!$U$6,0),IF((IF(AND(Dados!$A661&gt;=Imóveis!$Q$6,Dados!$A661&lt;=Imóveis!$T$6),Imóveis!$S$6-(DATEDIF(Imóveis!$Q$6,Dados!$A661,"m")),0))=0,0,((Imóveis!$N$6/Imóveis!$S$6)+((Imóveis!$N$6-((Imóveis!$S$6-(IF(AND(Dados!$A661&gt;=Imóveis!$Q$6,Dados!$A661&lt;=Imóveis!$T$6),Imóveis!$S$6-(DATEDIF(Imóveis!$Q$6,Dados!$A661,"m")),)))*(Imóveis!$N$6/Imóveis!$S$6)))*Imóveis!$P$6))))*IF(AND(Imóveis!$E$6&gt;0,Dados!$A661&gt;Imóveis!$E$6),0,1)*Imóveis!$I$6</f>
        <v>0</v>
      </c>
      <c r="N661" s="18">
        <f t="shared" ca="1" si="85"/>
        <v>92757</v>
      </c>
      <c r="O661" s="18">
        <f>SUMIFS(Receitas!$F:$F,Receitas!$J:$J,"&lt;="&amp;$A661,Receitas!$L:$L,"&gt;="&amp;$A661,Receitas!$C:$C,O$1,Receitas!$M:$M,"Mensal")+SUMIFS(Receitas!$F:$F,Receitas!$J:$J,"&lt;="&amp;$A661,Receitas!$L:$L,"&gt;="&amp;$A661,Receitas!$C:$C,O$1,Receitas!$M:$M,$B661)</f>
        <v>0</v>
      </c>
      <c r="P661" s="18">
        <f>SUMIFS(Receitas!$F:$F,Receitas!$J:$J,"&lt;="&amp;$A661,Receitas!$L:$L,"&gt;="&amp;$A661,Receitas!$C:$C,P$1,Receitas!$M:$M,"Mensal")+SUMIFS(Receitas!$F:$F,Receitas!$J:$J,"&lt;="&amp;$A661,Receitas!$L:$L,"&gt;="&amp;$A661,Receitas!$C:$C,P$1,Receitas!$M:$M,$B661)</f>
        <v>0</v>
      </c>
      <c r="Q661" s="18">
        <f>SUMIFS(Receitas!$F:$F,Receitas!$J:$J,"&lt;="&amp;$A661,Receitas!$L:$L,"&gt;="&amp;$A661,Receitas!$C:$C,Q$1,Receitas!$M:$M,"Mensal")+SUMIFS(Receitas!$F:$F,Receitas!$J:$J,"&lt;="&amp;$A661,Receitas!$L:$L,"&gt;="&amp;$A661,Receitas!$C:$C,Q$1,Receitas!$M:$M,$B661)</f>
        <v>0</v>
      </c>
      <c r="R661" s="18" cm="1">
        <f t="array" ref="R661">(IF(AND(Membros!$F$2="Sim",A661&lt;=MAX(Membros!$E$2:$E$5)),Membros!K$2,IF(AND(A661&gt;=Membros!J$2,A661&lt;=MAX(Membros!$E$2:$E$5)),Membros!K$2,0))+IF(AND(Membros!$F$3="Sim",A661&lt;=MAX(Membros!$E$2:$E$5)),Membros!K$3,IF(AND(A661&gt;=Membros!J$3,A661&lt;=MAX(Membros!$E$2:$E$5)),Membros!K$3,0)))*IF(AND(COUNTIFS(Tabela3[Tipo],"Provedor",Tabela3[Simulação Seguro],"Sim")=2,A661&gt;=MAX(IF(Tabela3[Tipo]="Dependente",Tabela3[Expectativa de Vida (Data)]))),0,1)</f>
        <v>10000</v>
      </c>
      <c r="S661" s="18">
        <f t="shared" si="86"/>
        <v>10000</v>
      </c>
      <c r="U661" s="18">
        <f t="shared" ca="1" si="89"/>
        <v>45981243.940788791</v>
      </c>
      <c r="V661" s="18">
        <f>SUMIF(Imóveis!E:E,Dados!A:A,Imóveis!Z:Z)-SUMIF(Imóveis!E:E,Dados!A:A,Imóveis!Y:Y)</f>
        <v>0</v>
      </c>
      <c r="W661" s="18">
        <f>-SUMIF(Projetos!N:N,A661,Projetos!F:F)</f>
        <v>0</v>
      </c>
      <c r="X661" s="18">
        <f t="shared" ca="1" si="83"/>
        <v>-82757</v>
      </c>
      <c r="Y661" s="26">
        <f ca="1">(U661*((Indicadores_Economicos!D$2+1)^(1/12)-1))</f>
        <v>150530.62752395307</v>
      </c>
      <c r="Z661" s="18">
        <f t="shared" ca="1" si="87"/>
        <v>46049017.568312742</v>
      </c>
      <c r="AA661" s="18">
        <f ca="1">Auxiliar_Projetos!E661</f>
        <v>3.3698443217044026E-9</v>
      </c>
      <c r="AB661" s="18">
        <f ca="1">Auxiliar_Projetos!K661</f>
        <v>2.5921879397726137E-9</v>
      </c>
      <c r="AC661" s="18">
        <f ca="1">IF(Z661-AA661-AB661&gt;Investimentos!$C$14,Investimentos!$C$14,IF(Z661-AA661-AB661&lt;Investimentos!$C$14,Z661-AA661-AB661,0))</f>
        <v>300000</v>
      </c>
      <c r="AD661" s="18">
        <f t="shared" ca="1" si="88"/>
        <v>45749017.568312742</v>
      </c>
      <c r="AE661" s="18"/>
    </row>
    <row r="662" spans="1:31" x14ac:dyDescent="0.2">
      <c r="A662" s="4">
        <v>65746</v>
      </c>
      <c r="B662" s="5" t="str">
        <f t="shared" si="84"/>
        <v>janeiro</v>
      </c>
      <c r="C662" s="5" t="str">
        <f t="shared" si="82"/>
        <v>2080</v>
      </c>
      <c r="D662" s="5">
        <f>SUMIFS(Despesas!$F:$F,Despesas!$J:$J,"&lt;="&amp;$A662,Despesas!$L:$L,"&gt;="&amp;$A662,Despesas!$C:$C,D$1,Despesas!$M:$M,"Mensal")+SUMIFS(Despesas!$F:$F,Despesas!$J:$J,"&lt;="&amp;$A662,Despesas!$L:$L,"&gt;="&amp;$A662,Despesas!$C:$C,D$1,Despesas!$M:$M,$B662)</f>
        <v>23000</v>
      </c>
      <c r="E662" s="18">
        <f>SUMIFS(Despesas!$F:$F,Despesas!$J:$J,"&lt;="&amp;$A662,Despesas!$L:$L,"&gt;="&amp;$A662,Despesas!$C:$C,E$1,Despesas!$M:$M,"Mensal")+SUMIFS(Despesas!$F:$F,Despesas!$J:$J,"&lt;="&amp;$A662,Despesas!$L:$L,"&gt;="&amp;$A662,Despesas!$C:$C,E$1,Despesas!$M:$M,$B662)</f>
        <v>0</v>
      </c>
      <c r="F662" s="5">
        <f>SUMIFS(Despesas!$F:$F,Despesas!$J:$J,"&lt;="&amp;$A662,Despesas!$L:$L,"&gt;="&amp;$A662,Despesas!$C:$C,F$1,Despesas!$M:$M,"Mensal")+SUMIFS(Despesas!$F:$F,Despesas!$J:$J,"&lt;="&amp;$A662,Despesas!$L:$L,"&gt;="&amp;$A662,Despesas!$C:$C,F$1,Despesas!$M:$M,$B662)</f>
        <v>13000</v>
      </c>
      <c r="G662" s="5">
        <f>SUMIFS(Despesas!$F:$F,Despesas!$J:$J,"&lt;="&amp;$A662,Despesas!$L:$L,"&gt;="&amp;$A662,Despesas!$C:$C,G$1,Despesas!$M:$M,"Mensal")+SUMIFS(Despesas!$F:$F,Despesas!$J:$J,"&lt;="&amp;$A662,Despesas!$L:$L,"&gt;="&amp;$A662,Despesas!$C:$C,G$1,Despesas!$M:$M,$B662)</f>
        <v>0</v>
      </c>
      <c r="H662" s="18">
        <f>SUMIFS(Despesas!$F:$F,Despesas!$J:$J,"&lt;="&amp;$A662,Despesas!$L:$L,"&gt;="&amp;$A662,Despesas!$C:$C,H$1,Despesas!$M:$M,"Mensal")+SUMIFS(Despesas!$F:$F,Despesas!$J:$J,"&lt;="&amp;$A662,Despesas!$L:$L,"&gt;="&amp;$A662,Despesas!$C:$C,H$1,Despesas!$M:$M,$B662)</f>
        <v>1000</v>
      </c>
      <c r="I662" s="18">
        <f>IF(Imóveis!$F$2="PRICE",IF(AND(Dados!$A662&gt;=Imóveis!$Q$2,Dados!$A662&lt;=Imóveis!$T$2),Imóveis!$U$2,0),IF((IF(AND(Dados!$A662&gt;=Imóveis!$Q$2,Dados!$A662&lt;=Imóveis!$T$2),Imóveis!$S$2-(DATEDIF(Imóveis!$Q$2,Dados!$A662,"m")),0))=0,0,((Imóveis!$N$2/Imóveis!$S$2)+((Imóveis!$N$2-((Imóveis!$S$2-(IF(AND(Dados!$A662&gt;=Imóveis!$Q$2,Dados!$A662&lt;=Imóveis!$T$2),Imóveis!$S$2-(DATEDIF(Imóveis!$Q$2,Dados!$A662,"m")),)))*(Imóveis!$N$2/Imóveis!$S$2)))*Imóveis!$P$2))))*IF(AND(Imóveis!$E$2&gt;0,Dados!$A662&gt;Imóveis!$E$2),0,1)</f>
        <v>0</v>
      </c>
      <c r="J662" s="18">
        <f>IF(Imóveis!$F$3="PRICE",IF(AND(Dados!$A662&gt;=Imóveis!$Q$3,Dados!$A662&lt;=Imóveis!$T$3),Imóveis!$U$3,0),IF((IF(AND(Dados!$A662&gt;=Imóveis!$Q$3,Dados!$A662&lt;=Imóveis!$T$3),Imóveis!$S$3-(DATEDIF(Imóveis!$Q$3,Dados!$A662,"m")),0))=0,0,((Imóveis!$N$3/Imóveis!$S$3)+((Imóveis!$N$3-((Imóveis!$S$3-(IF(AND(Dados!$A662&gt;=Imóveis!$Q$3,Dados!$A662&lt;=Imóveis!$T$3),Imóveis!$S$3-(DATEDIF(Imóveis!$Q$3,Dados!$A662,"m")),)))*(Imóveis!$N$3/Imóveis!$S$3)))*Imóveis!$P$3))))*IF(AND(Imóveis!$E$3&gt;0,Dados!$A662&gt;Imóveis!$E$3),0,1)</f>
        <v>0</v>
      </c>
      <c r="K662" s="18">
        <f>IF(Imóveis!$F$4="PRICE",IF(AND(Dados!$A662&gt;=Imóveis!$Q$4,Dados!$A662&lt;=Imóveis!$T$4),Imóveis!$U$4,0),IF((IF(AND(Dados!$A662&gt;=Imóveis!$Q$4,Dados!$A662&lt;=Imóveis!$T$4),Imóveis!$S$4-(DATEDIF(Imóveis!$Q$4,Dados!$A662,"m")),0))=0,0,((Imóveis!$N$4/Imóveis!$S$4)+((Imóveis!$N$4-((Imóveis!$S$4-(IF(AND(Dados!$A662&gt;=Imóveis!$Q$4,Dados!$A662&lt;=Imóveis!$T$4),Imóveis!$S$4-(DATEDIF(Imóveis!$Q$4,Dados!$A662,"m")),)))*(Imóveis!$N$4/Imóveis!$S$4)))*Imóveis!$P$4))))*IF(AND(Imóveis!$E$4&gt;0,Dados!$A662&gt;Imóveis!$E$4),0,1)</f>
        <v>0</v>
      </c>
      <c r="L662" s="18">
        <f>IF(Imóveis!$F$5="PRICE",IF(AND(Dados!$A662&gt;=Imóveis!$Q$5,Dados!$A662&lt;=Imóveis!$T$5),Imóveis!$U$5,0),IF((IF(AND(Dados!$A662&gt;=Imóveis!$Q$5,Dados!$A662&lt;=Imóveis!$T$5),Imóveis!$S$5-(DATEDIF(Imóveis!$Q$5,Dados!$A662,"m")),0))=0,0,((Imóveis!$N$5/Imóveis!$S$5)+((Imóveis!$N$5-((Imóveis!$S$5-(IF(AND(Dados!$A662 &gt;=Imóveis!$Q$5,Dados!$A662&lt;=Imóveis!$T$5),Imóveis!$S$5-(DATEDIF(Imóveis!$Q$5,Dados!$A662,"m")),)))*(Imóveis!$N$5/Imóveis!$S$5)))*Imóveis!$P$5))))*IF(AND(Imóveis!$E$5&gt;0,Dados!$A662&gt;Imóveis!$E$5),0,1)*Imóveis!$I$5</f>
        <v>0</v>
      </c>
      <c r="M662" s="18">
        <f>IF(Imóveis!$F$6="PRICE",IF(AND(Dados!$A662&gt;=Imóveis!$Q$6,Dados!$A662&lt;=Imóveis!$T$6),Imóveis!$U$6,0),IF((IF(AND(Dados!$A662&gt;=Imóveis!$Q$6,Dados!$A662&lt;=Imóveis!$T$6),Imóveis!$S$6-(DATEDIF(Imóveis!$Q$6,Dados!$A662,"m")),0))=0,0,((Imóveis!$N$6/Imóveis!$S$6)+((Imóveis!$N$6-((Imóveis!$S$6-(IF(AND(Dados!$A662&gt;=Imóveis!$Q$6,Dados!$A662&lt;=Imóveis!$T$6),Imóveis!$S$6-(DATEDIF(Imóveis!$Q$6,Dados!$A662,"m")),)))*(Imóveis!$N$6/Imóveis!$S$6)))*Imóveis!$P$6))))*IF(AND(Imóveis!$E$6&gt;0,Dados!$A662&gt;Imóveis!$E$6),0,1)*Imóveis!$I$6</f>
        <v>0</v>
      </c>
      <c r="N662" s="18">
        <f t="shared" si="85"/>
        <v>37000</v>
      </c>
      <c r="O662" s="18">
        <f>SUMIFS(Receitas!$F:$F,Receitas!$J:$J,"&lt;="&amp;$A662,Receitas!$L:$L,"&gt;="&amp;$A662,Receitas!$C:$C,O$1,Receitas!$M:$M,"Mensal")+SUMIFS(Receitas!$F:$F,Receitas!$J:$J,"&lt;="&amp;$A662,Receitas!$L:$L,"&gt;="&amp;$A662,Receitas!$C:$C,O$1,Receitas!$M:$M,$B662)</f>
        <v>0</v>
      </c>
      <c r="P662" s="18">
        <f>SUMIFS(Receitas!$F:$F,Receitas!$J:$J,"&lt;="&amp;$A662,Receitas!$L:$L,"&gt;="&amp;$A662,Receitas!$C:$C,P$1,Receitas!$M:$M,"Mensal")+SUMIFS(Receitas!$F:$F,Receitas!$J:$J,"&lt;="&amp;$A662,Receitas!$L:$L,"&gt;="&amp;$A662,Receitas!$C:$C,P$1,Receitas!$M:$M,$B662)</f>
        <v>0</v>
      </c>
      <c r="Q662" s="18">
        <f>SUMIFS(Receitas!$F:$F,Receitas!$J:$J,"&lt;="&amp;$A662,Receitas!$L:$L,"&gt;="&amp;$A662,Receitas!$C:$C,Q$1,Receitas!$M:$M,"Mensal")+SUMIFS(Receitas!$F:$F,Receitas!$J:$J,"&lt;="&amp;$A662,Receitas!$L:$L,"&gt;="&amp;$A662,Receitas!$C:$C,Q$1,Receitas!$M:$M,$B662)</f>
        <v>0</v>
      </c>
      <c r="R662" s="18" cm="1">
        <f t="array" ref="R662">(IF(AND(Membros!$F$2="Sim",A662&lt;=MAX(Membros!$E$2:$E$5)),Membros!K$2,IF(AND(A662&gt;=Membros!J$2,A662&lt;=MAX(Membros!$E$2:$E$5)),Membros!K$2,0))+IF(AND(Membros!$F$3="Sim",A662&lt;=MAX(Membros!$E$2:$E$5)),Membros!K$3,IF(AND(A662&gt;=Membros!J$3,A662&lt;=MAX(Membros!$E$2:$E$5)),Membros!K$3,0)))*IF(AND(COUNTIFS(Tabela3[Tipo],"Provedor",Tabela3[Simulação Seguro],"Sim")=2,A662&gt;=MAX(IF(Tabela3[Tipo]="Dependente",Tabela3[Expectativa de Vida (Data)]))),0,1)</f>
        <v>10000</v>
      </c>
      <c r="S662" s="18">
        <f t="shared" si="86"/>
        <v>10000</v>
      </c>
      <c r="U662" s="18">
        <f t="shared" ca="1" si="89"/>
        <v>46049017.568312742</v>
      </c>
      <c r="V662" s="18">
        <f>SUMIF(Imóveis!E:E,Dados!A:A,Imóveis!Z:Z)-SUMIF(Imóveis!E:E,Dados!A:A,Imóveis!Y:Y)</f>
        <v>0</v>
      </c>
      <c r="W662" s="18">
        <f>-SUMIF(Projetos!N:N,A662,Projetos!F:F)</f>
        <v>0</v>
      </c>
      <c r="X662" s="18">
        <f t="shared" si="83"/>
        <v>-27000</v>
      </c>
      <c r="Y662" s="26">
        <f ca="1">(U662*((Indicadores_Economicos!D$2+1)^(1/12)-1))</f>
        <v>150752.50074456213</v>
      </c>
      <c r="Z662" s="18">
        <f t="shared" ca="1" si="87"/>
        <v>46172770.069057301</v>
      </c>
      <c r="AA662" s="18">
        <f ca="1">Auxiliar_Projetos!E662</f>
        <v>3.3808763151201834E-9</v>
      </c>
      <c r="AB662" s="18">
        <f ca="1">Auxiliar_Projetos!K662</f>
        <v>2.6006740885539833E-9</v>
      </c>
      <c r="AC662" s="18">
        <f ca="1">IF(Z662-AA662-AB662&gt;Investimentos!$C$14,Investimentos!$C$14,IF(Z662-AA662-AB662&lt;Investimentos!$C$14,Z662-AA662-AB662,0))</f>
        <v>300000</v>
      </c>
      <c r="AD662" s="18">
        <f t="shared" ca="1" si="88"/>
        <v>45872770.069057301</v>
      </c>
      <c r="AE662" s="18"/>
    </row>
    <row r="663" spans="1:31" x14ac:dyDescent="0.2">
      <c r="A663" s="4">
        <v>65777</v>
      </c>
      <c r="B663" s="5" t="str">
        <f t="shared" si="84"/>
        <v>fevereiro</v>
      </c>
      <c r="C663" s="5" t="str">
        <f t="shared" si="82"/>
        <v>2080</v>
      </c>
      <c r="D663" s="5">
        <f>SUMIFS(Despesas!$F:$F,Despesas!$J:$J,"&lt;="&amp;$A663,Despesas!$L:$L,"&gt;="&amp;$A663,Despesas!$C:$C,D$1,Despesas!$M:$M,"Mensal")+SUMIFS(Despesas!$F:$F,Despesas!$J:$J,"&lt;="&amp;$A663,Despesas!$L:$L,"&gt;="&amp;$A663,Despesas!$C:$C,D$1,Despesas!$M:$M,$B663)</f>
        <v>23000</v>
      </c>
      <c r="E663" s="18">
        <f>SUMIFS(Despesas!$F:$F,Despesas!$J:$J,"&lt;="&amp;$A663,Despesas!$L:$L,"&gt;="&amp;$A663,Despesas!$C:$C,E$1,Despesas!$M:$M,"Mensal")+SUMIFS(Despesas!$F:$F,Despesas!$J:$J,"&lt;="&amp;$A663,Despesas!$L:$L,"&gt;="&amp;$A663,Despesas!$C:$C,E$1,Despesas!$M:$M,$B663)</f>
        <v>0</v>
      </c>
      <c r="F663" s="5">
        <f>SUMIFS(Despesas!$F:$F,Despesas!$J:$J,"&lt;="&amp;$A663,Despesas!$L:$L,"&gt;="&amp;$A663,Despesas!$C:$C,F$1,Despesas!$M:$M,"Mensal")+SUMIFS(Despesas!$F:$F,Despesas!$J:$J,"&lt;="&amp;$A663,Despesas!$L:$L,"&gt;="&amp;$A663,Despesas!$C:$C,F$1,Despesas!$M:$M,$B663)</f>
        <v>13000</v>
      </c>
      <c r="G663" s="5">
        <f>SUMIFS(Despesas!$F:$F,Despesas!$J:$J,"&lt;="&amp;$A663,Despesas!$L:$L,"&gt;="&amp;$A663,Despesas!$C:$C,G$1,Despesas!$M:$M,"Mensal")+SUMIFS(Despesas!$F:$F,Despesas!$J:$J,"&lt;="&amp;$A663,Despesas!$L:$L,"&gt;="&amp;$A663,Despesas!$C:$C,G$1,Despesas!$M:$M,$B663)</f>
        <v>0</v>
      </c>
      <c r="H663" s="18">
        <f>SUMIFS(Despesas!$F:$F,Despesas!$J:$J,"&lt;="&amp;$A663,Despesas!$L:$L,"&gt;="&amp;$A663,Despesas!$C:$C,H$1,Despesas!$M:$M,"Mensal")+SUMIFS(Despesas!$F:$F,Despesas!$J:$J,"&lt;="&amp;$A663,Despesas!$L:$L,"&gt;="&amp;$A663,Despesas!$C:$C,H$1,Despesas!$M:$M,$B663)</f>
        <v>2200</v>
      </c>
      <c r="I663" s="18">
        <f>IF(Imóveis!$F$2="PRICE",IF(AND(Dados!$A663&gt;=Imóveis!$Q$2,Dados!$A663&lt;=Imóveis!$T$2),Imóveis!$U$2,0),IF((IF(AND(Dados!$A663&gt;=Imóveis!$Q$2,Dados!$A663&lt;=Imóveis!$T$2),Imóveis!$S$2-(DATEDIF(Imóveis!$Q$2,Dados!$A663,"m")),0))=0,0,((Imóveis!$N$2/Imóveis!$S$2)+((Imóveis!$N$2-((Imóveis!$S$2-(IF(AND(Dados!$A663&gt;=Imóveis!$Q$2,Dados!$A663&lt;=Imóveis!$T$2),Imóveis!$S$2-(DATEDIF(Imóveis!$Q$2,Dados!$A663,"m")),)))*(Imóveis!$N$2/Imóveis!$S$2)))*Imóveis!$P$2))))*IF(AND(Imóveis!$E$2&gt;0,Dados!$A663&gt;Imóveis!$E$2),0,1)</f>
        <v>0</v>
      </c>
      <c r="J663" s="18">
        <f>IF(Imóveis!$F$3="PRICE",IF(AND(Dados!$A663&gt;=Imóveis!$Q$3,Dados!$A663&lt;=Imóveis!$T$3),Imóveis!$U$3,0),IF((IF(AND(Dados!$A663&gt;=Imóveis!$Q$3,Dados!$A663&lt;=Imóveis!$T$3),Imóveis!$S$3-(DATEDIF(Imóveis!$Q$3,Dados!$A663,"m")),0))=0,0,((Imóveis!$N$3/Imóveis!$S$3)+((Imóveis!$N$3-((Imóveis!$S$3-(IF(AND(Dados!$A663&gt;=Imóveis!$Q$3,Dados!$A663&lt;=Imóveis!$T$3),Imóveis!$S$3-(DATEDIF(Imóveis!$Q$3,Dados!$A663,"m")),)))*(Imóveis!$N$3/Imóveis!$S$3)))*Imóveis!$P$3))))*IF(AND(Imóveis!$E$3&gt;0,Dados!$A663&gt;Imóveis!$E$3),0,1)</f>
        <v>0</v>
      </c>
      <c r="K663" s="18">
        <f>IF(Imóveis!$F$4="PRICE",IF(AND(Dados!$A663&gt;=Imóveis!$Q$4,Dados!$A663&lt;=Imóveis!$T$4),Imóveis!$U$4,0),IF((IF(AND(Dados!$A663&gt;=Imóveis!$Q$4,Dados!$A663&lt;=Imóveis!$T$4),Imóveis!$S$4-(DATEDIF(Imóveis!$Q$4,Dados!$A663,"m")),0))=0,0,((Imóveis!$N$4/Imóveis!$S$4)+((Imóveis!$N$4-((Imóveis!$S$4-(IF(AND(Dados!$A663&gt;=Imóveis!$Q$4,Dados!$A663&lt;=Imóveis!$T$4),Imóveis!$S$4-(DATEDIF(Imóveis!$Q$4,Dados!$A663,"m")),)))*(Imóveis!$N$4/Imóveis!$S$4)))*Imóveis!$P$4))))*IF(AND(Imóveis!$E$4&gt;0,Dados!$A663&gt;Imóveis!$E$4),0,1)</f>
        <v>0</v>
      </c>
      <c r="L663" s="18">
        <f>IF(Imóveis!$F$5="PRICE",IF(AND(Dados!$A663&gt;=Imóveis!$Q$5,Dados!$A663&lt;=Imóveis!$T$5),Imóveis!$U$5,0),IF((IF(AND(Dados!$A663&gt;=Imóveis!$Q$5,Dados!$A663&lt;=Imóveis!$T$5),Imóveis!$S$5-(DATEDIF(Imóveis!$Q$5,Dados!$A663,"m")),0))=0,0,((Imóveis!$N$5/Imóveis!$S$5)+((Imóveis!$N$5-((Imóveis!$S$5-(IF(AND(Dados!$A663 &gt;=Imóveis!$Q$5,Dados!$A663&lt;=Imóveis!$T$5),Imóveis!$S$5-(DATEDIF(Imóveis!$Q$5,Dados!$A663,"m")),)))*(Imóveis!$N$5/Imóveis!$S$5)))*Imóveis!$P$5))))*IF(AND(Imóveis!$E$5&gt;0,Dados!$A663&gt;Imóveis!$E$5),0,1)*Imóveis!$I$5</f>
        <v>0</v>
      </c>
      <c r="M663" s="18">
        <f>IF(Imóveis!$F$6="PRICE",IF(AND(Dados!$A663&gt;=Imóveis!$Q$6,Dados!$A663&lt;=Imóveis!$T$6),Imóveis!$U$6,0),IF((IF(AND(Dados!$A663&gt;=Imóveis!$Q$6,Dados!$A663&lt;=Imóveis!$T$6),Imóveis!$S$6-(DATEDIF(Imóveis!$Q$6,Dados!$A663,"m")),0))=0,0,((Imóveis!$N$6/Imóveis!$S$6)+((Imóveis!$N$6-((Imóveis!$S$6-(IF(AND(Dados!$A663&gt;=Imóveis!$Q$6,Dados!$A663&lt;=Imóveis!$T$6),Imóveis!$S$6-(DATEDIF(Imóveis!$Q$6,Dados!$A663,"m")),)))*(Imóveis!$N$6/Imóveis!$S$6)))*Imóveis!$P$6))))*IF(AND(Imóveis!$E$6&gt;0,Dados!$A663&gt;Imóveis!$E$6),0,1)*Imóveis!$I$6</f>
        <v>0</v>
      </c>
      <c r="N663" s="18">
        <f t="shared" si="85"/>
        <v>38200</v>
      </c>
      <c r="O663" s="18">
        <f>SUMIFS(Receitas!$F:$F,Receitas!$J:$J,"&lt;="&amp;$A663,Receitas!$L:$L,"&gt;="&amp;$A663,Receitas!$C:$C,O$1,Receitas!$M:$M,"Mensal")+SUMIFS(Receitas!$F:$F,Receitas!$J:$J,"&lt;="&amp;$A663,Receitas!$L:$L,"&gt;="&amp;$A663,Receitas!$C:$C,O$1,Receitas!$M:$M,$B663)</f>
        <v>0</v>
      </c>
      <c r="P663" s="18">
        <f>SUMIFS(Receitas!$F:$F,Receitas!$J:$J,"&lt;="&amp;$A663,Receitas!$L:$L,"&gt;="&amp;$A663,Receitas!$C:$C,P$1,Receitas!$M:$M,"Mensal")+SUMIFS(Receitas!$F:$F,Receitas!$J:$J,"&lt;="&amp;$A663,Receitas!$L:$L,"&gt;="&amp;$A663,Receitas!$C:$C,P$1,Receitas!$M:$M,$B663)</f>
        <v>0</v>
      </c>
      <c r="Q663" s="18">
        <f>SUMIFS(Receitas!$F:$F,Receitas!$J:$J,"&lt;="&amp;$A663,Receitas!$L:$L,"&gt;="&amp;$A663,Receitas!$C:$C,Q$1,Receitas!$M:$M,"Mensal")+SUMIFS(Receitas!$F:$F,Receitas!$J:$J,"&lt;="&amp;$A663,Receitas!$L:$L,"&gt;="&amp;$A663,Receitas!$C:$C,Q$1,Receitas!$M:$M,$B663)</f>
        <v>0</v>
      </c>
      <c r="R663" s="18" cm="1">
        <f t="array" ref="R663">(IF(AND(Membros!$F$2="Sim",A663&lt;=MAX(Membros!$E$2:$E$5)),Membros!K$2,IF(AND(A663&gt;=Membros!J$2,A663&lt;=MAX(Membros!$E$2:$E$5)),Membros!K$2,0))+IF(AND(Membros!$F$3="Sim",A663&lt;=MAX(Membros!$E$2:$E$5)),Membros!K$3,IF(AND(A663&gt;=Membros!J$3,A663&lt;=MAX(Membros!$E$2:$E$5)),Membros!K$3,0)))*IF(AND(COUNTIFS(Tabela3[Tipo],"Provedor",Tabela3[Simulação Seguro],"Sim")=2,A663&gt;=MAX(IF(Tabela3[Tipo]="Dependente",Tabela3[Expectativa de Vida (Data)]))),0,1)</f>
        <v>10000</v>
      </c>
      <c r="S663" s="18">
        <f t="shared" si="86"/>
        <v>10000</v>
      </c>
      <c r="U663" s="18">
        <f t="shared" ca="1" si="89"/>
        <v>46172770.069057301</v>
      </c>
      <c r="V663" s="18">
        <f>SUMIF(Imóveis!E:E,Dados!A:A,Imóveis!Z:Z)-SUMIF(Imóveis!E:E,Dados!A:A,Imóveis!Y:Y)</f>
        <v>0</v>
      </c>
      <c r="W663" s="18">
        <f>-SUMIF(Projetos!N:N,A663,Projetos!F:F)</f>
        <v>0</v>
      </c>
      <c r="X663" s="18">
        <f t="shared" si="83"/>
        <v>-28200</v>
      </c>
      <c r="Y663" s="26">
        <f ca="1">(U663*((Indicadores_Economicos!D$2+1)^(1/12)-1))</f>
        <v>151157.63422939621</v>
      </c>
      <c r="Z663" s="18">
        <f t="shared" ca="1" si="87"/>
        <v>46295727.7032867</v>
      </c>
      <c r="AA663" s="18">
        <f ca="1">Auxiliar_Projetos!E663</f>
        <v>3.3919444244116863E-9</v>
      </c>
      <c r="AB663" s="18">
        <f ca="1">Auxiliar_Projetos!K663</f>
        <v>2.6091880187782162E-9</v>
      </c>
      <c r="AC663" s="18">
        <f ca="1">IF(Z663-AA663-AB663&gt;Investimentos!$C$14,Investimentos!$C$14,IF(Z663-AA663-AB663&lt;Investimentos!$C$14,Z663-AA663-AB663,0))</f>
        <v>300000</v>
      </c>
      <c r="AD663" s="18">
        <f t="shared" ca="1" si="88"/>
        <v>45995727.7032867</v>
      </c>
      <c r="AE663" s="18"/>
    </row>
    <row r="664" spans="1:31" x14ac:dyDescent="0.2">
      <c r="A664" s="4">
        <v>65806</v>
      </c>
      <c r="B664" s="5" t="str">
        <f t="shared" si="84"/>
        <v>março</v>
      </c>
      <c r="C664" s="5" t="str">
        <f t="shared" ref="C664:C727" si="90">TEXT(A664,"AAAA")</f>
        <v>2080</v>
      </c>
      <c r="D664" s="5">
        <f>SUMIFS(Despesas!$F:$F,Despesas!$J:$J,"&lt;="&amp;$A664,Despesas!$L:$L,"&gt;="&amp;$A664,Despesas!$C:$C,D$1,Despesas!$M:$M,"Mensal")+SUMIFS(Despesas!$F:$F,Despesas!$J:$J,"&lt;="&amp;$A664,Despesas!$L:$L,"&gt;="&amp;$A664,Despesas!$C:$C,D$1,Despesas!$M:$M,$B664)</f>
        <v>23000</v>
      </c>
      <c r="E664" s="18">
        <f>SUMIFS(Despesas!$F:$F,Despesas!$J:$J,"&lt;="&amp;$A664,Despesas!$L:$L,"&gt;="&amp;$A664,Despesas!$C:$C,E$1,Despesas!$M:$M,"Mensal")+SUMIFS(Despesas!$F:$F,Despesas!$J:$J,"&lt;="&amp;$A664,Despesas!$L:$L,"&gt;="&amp;$A664,Despesas!$C:$C,E$1,Despesas!$M:$M,$B664)</f>
        <v>0</v>
      </c>
      <c r="F664" s="5">
        <f>SUMIFS(Despesas!$F:$F,Despesas!$J:$J,"&lt;="&amp;$A664,Despesas!$L:$L,"&gt;="&amp;$A664,Despesas!$C:$C,F$1,Despesas!$M:$M,"Mensal")+SUMIFS(Despesas!$F:$F,Despesas!$J:$J,"&lt;="&amp;$A664,Despesas!$L:$L,"&gt;="&amp;$A664,Despesas!$C:$C,F$1,Despesas!$M:$M,$B664)</f>
        <v>13000</v>
      </c>
      <c r="G664" s="5">
        <f>SUMIFS(Despesas!$F:$F,Despesas!$J:$J,"&lt;="&amp;$A664,Despesas!$L:$L,"&gt;="&amp;$A664,Despesas!$C:$C,G$1,Despesas!$M:$M,"Mensal")+SUMIFS(Despesas!$F:$F,Despesas!$J:$J,"&lt;="&amp;$A664,Despesas!$L:$L,"&gt;="&amp;$A664,Despesas!$C:$C,G$1,Despesas!$M:$M,$B664)</f>
        <v>0</v>
      </c>
      <c r="H664" s="18">
        <f>SUMIFS(Despesas!$F:$F,Despesas!$J:$J,"&lt;="&amp;$A664,Despesas!$L:$L,"&gt;="&amp;$A664,Despesas!$C:$C,H$1,Despesas!$M:$M,"Mensal")+SUMIFS(Despesas!$F:$F,Despesas!$J:$J,"&lt;="&amp;$A664,Despesas!$L:$L,"&gt;="&amp;$A664,Despesas!$C:$C,H$1,Despesas!$M:$M,$B664)</f>
        <v>1000</v>
      </c>
      <c r="I664" s="18">
        <f>IF(Imóveis!$F$2="PRICE",IF(AND(Dados!$A664&gt;=Imóveis!$Q$2,Dados!$A664&lt;=Imóveis!$T$2),Imóveis!$U$2,0),IF((IF(AND(Dados!$A664&gt;=Imóveis!$Q$2,Dados!$A664&lt;=Imóveis!$T$2),Imóveis!$S$2-(DATEDIF(Imóveis!$Q$2,Dados!$A664,"m")),0))=0,0,((Imóveis!$N$2/Imóveis!$S$2)+((Imóveis!$N$2-((Imóveis!$S$2-(IF(AND(Dados!$A664&gt;=Imóveis!$Q$2,Dados!$A664&lt;=Imóveis!$T$2),Imóveis!$S$2-(DATEDIF(Imóveis!$Q$2,Dados!$A664,"m")),)))*(Imóveis!$N$2/Imóveis!$S$2)))*Imóveis!$P$2))))*IF(AND(Imóveis!$E$2&gt;0,Dados!$A664&gt;Imóveis!$E$2),0,1)</f>
        <v>0</v>
      </c>
      <c r="J664" s="18">
        <f>IF(Imóveis!$F$3="PRICE",IF(AND(Dados!$A664&gt;=Imóveis!$Q$3,Dados!$A664&lt;=Imóveis!$T$3),Imóveis!$U$3,0),IF((IF(AND(Dados!$A664&gt;=Imóveis!$Q$3,Dados!$A664&lt;=Imóveis!$T$3),Imóveis!$S$3-(DATEDIF(Imóveis!$Q$3,Dados!$A664,"m")),0))=0,0,((Imóveis!$N$3/Imóveis!$S$3)+((Imóveis!$N$3-((Imóveis!$S$3-(IF(AND(Dados!$A664&gt;=Imóveis!$Q$3,Dados!$A664&lt;=Imóveis!$T$3),Imóveis!$S$3-(DATEDIF(Imóveis!$Q$3,Dados!$A664,"m")),)))*(Imóveis!$N$3/Imóveis!$S$3)))*Imóveis!$P$3))))*IF(AND(Imóveis!$E$3&gt;0,Dados!$A664&gt;Imóveis!$E$3),0,1)</f>
        <v>0</v>
      </c>
      <c r="K664" s="18">
        <f>IF(Imóveis!$F$4="PRICE",IF(AND(Dados!$A664&gt;=Imóveis!$Q$4,Dados!$A664&lt;=Imóveis!$T$4),Imóveis!$U$4,0),IF((IF(AND(Dados!$A664&gt;=Imóveis!$Q$4,Dados!$A664&lt;=Imóveis!$T$4),Imóveis!$S$4-(DATEDIF(Imóveis!$Q$4,Dados!$A664,"m")),0))=0,0,((Imóveis!$N$4/Imóveis!$S$4)+((Imóveis!$N$4-((Imóveis!$S$4-(IF(AND(Dados!$A664&gt;=Imóveis!$Q$4,Dados!$A664&lt;=Imóveis!$T$4),Imóveis!$S$4-(DATEDIF(Imóveis!$Q$4,Dados!$A664,"m")),)))*(Imóveis!$N$4/Imóveis!$S$4)))*Imóveis!$P$4))))*IF(AND(Imóveis!$E$4&gt;0,Dados!$A664&gt;Imóveis!$E$4),0,1)</f>
        <v>0</v>
      </c>
      <c r="L664" s="18">
        <f>IF(Imóveis!$F$5="PRICE",IF(AND(Dados!$A664&gt;=Imóveis!$Q$5,Dados!$A664&lt;=Imóveis!$T$5),Imóveis!$U$5,0),IF((IF(AND(Dados!$A664&gt;=Imóveis!$Q$5,Dados!$A664&lt;=Imóveis!$T$5),Imóveis!$S$5-(DATEDIF(Imóveis!$Q$5,Dados!$A664,"m")),0))=0,0,((Imóveis!$N$5/Imóveis!$S$5)+((Imóveis!$N$5-((Imóveis!$S$5-(IF(AND(Dados!$A664 &gt;=Imóveis!$Q$5,Dados!$A664&lt;=Imóveis!$T$5),Imóveis!$S$5-(DATEDIF(Imóveis!$Q$5,Dados!$A664,"m")),)))*(Imóveis!$N$5/Imóveis!$S$5)))*Imóveis!$P$5))))*IF(AND(Imóveis!$E$5&gt;0,Dados!$A664&gt;Imóveis!$E$5),0,1)*Imóveis!$I$5</f>
        <v>0</v>
      </c>
      <c r="M664" s="18">
        <f>IF(Imóveis!$F$6="PRICE",IF(AND(Dados!$A664&gt;=Imóveis!$Q$6,Dados!$A664&lt;=Imóveis!$T$6),Imóveis!$U$6,0),IF((IF(AND(Dados!$A664&gt;=Imóveis!$Q$6,Dados!$A664&lt;=Imóveis!$T$6),Imóveis!$S$6-(DATEDIF(Imóveis!$Q$6,Dados!$A664,"m")),0))=0,0,((Imóveis!$N$6/Imóveis!$S$6)+((Imóveis!$N$6-((Imóveis!$S$6-(IF(AND(Dados!$A664&gt;=Imóveis!$Q$6,Dados!$A664&lt;=Imóveis!$T$6),Imóveis!$S$6-(DATEDIF(Imóveis!$Q$6,Dados!$A664,"m")),)))*(Imóveis!$N$6/Imóveis!$S$6)))*Imóveis!$P$6))))*IF(AND(Imóveis!$E$6&gt;0,Dados!$A664&gt;Imóveis!$E$6),0,1)*Imóveis!$I$6</f>
        <v>0</v>
      </c>
      <c r="N664" s="18">
        <f t="shared" si="85"/>
        <v>37000</v>
      </c>
      <c r="O664" s="18">
        <f>SUMIFS(Receitas!$F:$F,Receitas!$J:$J,"&lt;="&amp;$A664,Receitas!$L:$L,"&gt;="&amp;$A664,Receitas!$C:$C,O$1,Receitas!$M:$M,"Mensal")+SUMIFS(Receitas!$F:$F,Receitas!$J:$J,"&lt;="&amp;$A664,Receitas!$L:$L,"&gt;="&amp;$A664,Receitas!$C:$C,O$1,Receitas!$M:$M,$B664)</f>
        <v>0</v>
      </c>
      <c r="P664" s="18">
        <f>SUMIFS(Receitas!$F:$F,Receitas!$J:$J,"&lt;="&amp;$A664,Receitas!$L:$L,"&gt;="&amp;$A664,Receitas!$C:$C,P$1,Receitas!$M:$M,"Mensal")+SUMIFS(Receitas!$F:$F,Receitas!$J:$J,"&lt;="&amp;$A664,Receitas!$L:$L,"&gt;="&amp;$A664,Receitas!$C:$C,P$1,Receitas!$M:$M,$B664)</f>
        <v>0</v>
      </c>
      <c r="Q664" s="18">
        <f>SUMIFS(Receitas!$F:$F,Receitas!$J:$J,"&lt;="&amp;$A664,Receitas!$L:$L,"&gt;="&amp;$A664,Receitas!$C:$C,Q$1,Receitas!$M:$M,"Mensal")+SUMIFS(Receitas!$F:$F,Receitas!$J:$J,"&lt;="&amp;$A664,Receitas!$L:$L,"&gt;="&amp;$A664,Receitas!$C:$C,Q$1,Receitas!$M:$M,$B664)</f>
        <v>0</v>
      </c>
      <c r="R664" s="18" cm="1">
        <f t="array" ref="R664">(IF(AND(Membros!$F$2="Sim",A664&lt;=MAX(Membros!$E$2:$E$5)),Membros!K$2,IF(AND(A664&gt;=Membros!J$2,A664&lt;=MAX(Membros!$E$2:$E$5)),Membros!K$2,0))+IF(AND(Membros!$F$3="Sim",A664&lt;=MAX(Membros!$E$2:$E$5)),Membros!K$3,IF(AND(A664&gt;=Membros!J$3,A664&lt;=MAX(Membros!$E$2:$E$5)),Membros!K$3,0)))*IF(AND(COUNTIFS(Tabela3[Tipo],"Provedor",Tabela3[Simulação Seguro],"Sim")=2,A664&gt;=MAX(IF(Tabela3[Tipo]="Dependente",Tabela3[Expectativa de Vida (Data)]))),0,1)</f>
        <v>10000</v>
      </c>
      <c r="S664" s="18">
        <f t="shared" si="86"/>
        <v>10000</v>
      </c>
      <c r="U664" s="18">
        <f t="shared" ca="1" si="89"/>
        <v>46295727.7032867</v>
      </c>
      <c r="V664" s="18">
        <f>SUMIF(Imóveis!E:E,Dados!A:A,Imóveis!Z:Z)-SUMIF(Imóveis!E:E,Dados!A:A,Imóveis!Y:Y)</f>
        <v>0</v>
      </c>
      <c r="W664" s="18">
        <f>-SUMIF(Projetos!N:N,A664,Projetos!F:F)</f>
        <v>0</v>
      </c>
      <c r="X664" s="18">
        <f t="shared" si="83"/>
        <v>-27000</v>
      </c>
      <c r="Y664" s="26">
        <f ca="1">(U664*((Indicadores_Economicos!D$2+1)^(1/12)-1))</f>
        <v>151560.16552809806</v>
      </c>
      <c r="Z664" s="18">
        <f t="shared" ca="1" si="87"/>
        <v>46420287.868814796</v>
      </c>
      <c r="AA664" s="18">
        <f ca="1">Auxiliar_Projetos!E664</f>
        <v>3.4030487678128909E-9</v>
      </c>
      <c r="AB664" s="18">
        <f ca="1">Auxiliar_Projetos!K664</f>
        <v>2.6177298213945271E-9</v>
      </c>
      <c r="AC664" s="18">
        <f ca="1">IF(Z664-AA664-AB664&gt;Investimentos!$C$14,Investimentos!$C$14,IF(Z664-AA664-AB664&lt;Investimentos!$C$14,Z664-AA664-AB664,0))</f>
        <v>300000</v>
      </c>
      <c r="AD664" s="18">
        <f t="shared" ca="1" si="88"/>
        <v>46120287.868814796</v>
      </c>
      <c r="AE664" s="18"/>
    </row>
    <row r="665" spans="1:31" x14ac:dyDescent="0.2">
      <c r="A665" s="4">
        <v>65837</v>
      </c>
      <c r="B665" s="5" t="str">
        <f t="shared" si="84"/>
        <v>abril</v>
      </c>
      <c r="C665" s="5" t="str">
        <f t="shared" si="90"/>
        <v>2080</v>
      </c>
      <c r="D665" s="5">
        <f>SUMIFS(Despesas!$F:$F,Despesas!$J:$J,"&lt;="&amp;$A665,Despesas!$L:$L,"&gt;="&amp;$A665,Despesas!$C:$C,D$1,Despesas!$M:$M,"Mensal")+SUMIFS(Despesas!$F:$F,Despesas!$J:$J,"&lt;="&amp;$A665,Despesas!$L:$L,"&gt;="&amp;$A665,Despesas!$C:$C,D$1,Despesas!$M:$M,$B665)</f>
        <v>23000</v>
      </c>
      <c r="E665" s="18">
        <f>SUMIFS(Despesas!$F:$F,Despesas!$J:$J,"&lt;="&amp;$A665,Despesas!$L:$L,"&gt;="&amp;$A665,Despesas!$C:$C,E$1,Despesas!$M:$M,"Mensal")+SUMIFS(Despesas!$F:$F,Despesas!$J:$J,"&lt;="&amp;$A665,Despesas!$L:$L,"&gt;="&amp;$A665,Despesas!$C:$C,E$1,Despesas!$M:$M,$B665)</f>
        <v>0</v>
      </c>
      <c r="F665" s="5">
        <f>SUMIFS(Despesas!$F:$F,Despesas!$J:$J,"&lt;="&amp;$A665,Despesas!$L:$L,"&gt;="&amp;$A665,Despesas!$C:$C,F$1,Despesas!$M:$M,"Mensal")+SUMIFS(Despesas!$F:$F,Despesas!$J:$J,"&lt;="&amp;$A665,Despesas!$L:$L,"&gt;="&amp;$A665,Despesas!$C:$C,F$1,Despesas!$M:$M,$B665)</f>
        <v>13000</v>
      </c>
      <c r="G665" s="5">
        <f>SUMIFS(Despesas!$F:$F,Despesas!$J:$J,"&lt;="&amp;$A665,Despesas!$L:$L,"&gt;="&amp;$A665,Despesas!$C:$C,G$1,Despesas!$M:$M,"Mensal")+SUMIFS(Despesas!$F:$F,Despesas!$J:$J,"&lt;="&amp;$A665,Despesas!$L:$L,"&gt;="&amp;$A665,Despesas!$C:$C,G$1,Despesas!$M:$M,$B665)</f>
        <v>0</v>
      </c>
      <c r="H665" s="18">
        <f>SUMIFS(Despesas!$F:$F,Despesas!$J:$J,"&lt;="&amp;$A665,Despesas!$L:$L,"&gt;="&amp;$A665,Despesas!$C:$C,H$1,Despesas!$M:$M,"Mensal")+SUMIFS(Despesas!$F:$F,Despesas!$J:$J,"&lt;="&amp;$A665,Despesas!$L:$L,"&gt;="&amp;$A665,Despesas!$C:$C,H$1,Despesas!$M:$M,$B665)</f>
        <v>1000</v>
      </c>
      <c r="I665" s="18">
        <f>IF(Imóveis!$F$2="PRICE",IF(AND(Dados!$A665&gt;=Imóveis!$Q$2,Dados!$A665&lt;=Imóveis!$T$2),Imóveis!$U$2,0),IF((IF(AND(Dados!$A665&gt;=Imóveis!$Q$2,Dados!$A665&lt;=Imóveis!$T$2),Imóveis!$S$2-(DATEDIF(Imóveis!$Q$2,Dados!$A665,"m")),0))=0,0,((Imóveis!$N$2/Imóveis!$S$2)+((Imóveis!$N$2-((Imóveis!$S$2-(IF(AND(Dados!$A665&gt;=Imóveis!$Q$2,Dados!$A665&lt;=Imóveis!$T$2),Imóveis!$S$2-(DATEDIF(Imóveis!$Q$2,Dados!$A665,"m")),)))*(Imóveis!$N$2/Imóveis!$S$2)))*Imóveis!$P$2))))*IF(AND(Imóveis!$E$2&gt;0,Dados!$A665&gt;Imóveis!$E$2),0,1)</f>
        <v>0</v>
      </c>
      <c r="J665" s="18">
        <f>IF(Imóveis!$F$3="PRICE",IF(AND(Dados!$A665&gt;=Imóveis!$Q$3,Dados!$A665&lt;=Imóveis!$T$3),Imóveis!$U$3,0),IF((IF(AND(Dados!$A665&gt;=Imóveis!$Q$3,Dados!$A665&lt;=Imóveis!$T$3),Imóveis!$S$3-(DATEDIF(Imóveis!$Q$3,Dados!$A665,"m")),0))=0,0,((Imóveis!$N$3/Imóveis!$S$3)+((Imóveis!$N$3-((Imóveis!$S$3-(IF(AND(Dados!$A665&gt;=Imóveis!$Q$3,Dados!$A665&lt;=Imóveis!$T$3),Imóveis!$S$3-(DATEDIF(Imóveis!$Q$3,Dados!$A665,"m")),)))*(Imóveis!$N$3/Imóveis!$S$3)))*Imóveis!$P$3))))*IF(AND(Imóveis!$E$3&gt;0,Dados!$A665&gt;Imóveis!$E$3),0,1)</f>
        <v>0</v>
      </c>
      <c r="K665" s="18">
        <f>IF(Imóveis!$F$4="PRICE",IF(AND(Dados!$A665&gt;=Imóveis!$Q$4,Dados!$A665&lt;=Imóveis!$T$4),Imóveis!$U$4,0),IF((IF(AND(Dados!$A665&gt;=Imóveis!$Q$4,Dados!$A665&lt;=Imóveis!$T$4),Imóveis!$S$4-(DATEDIF(Imóveis!$Q$4,Dados!$A665,"m")),0))=0,0,((Imóveis!$N$4/Imóveis!$S$4)+((Imóveis!$N$4-((Imóveis!$S$4-(IF(AND(Dados!$A665&gt;=Imóveis!$Q$4,Dados!$A665&lt;=Imóveis!$T$4),Imóveis!$S$4-(DATEDIF(Imóveis!$Q$4,Dados!$A665,"m")),)))*(Imóveis!$N$4/Imóveis!$S$4)))*Imóveis!$P$4))))*IF(AND(Imóveis!$E$4&gt;0,Dados!$A665&gt;Imóveis!$E$4),0,1)</f>
        <v>0</v>
      </c>
      <c r="L665" s="18">
        <f>IF(Imóveis!$F$5="PRICE",IF(AND(Dados!$A665&gt;=Imóveis!$Q$5,Dados!$A665&lt;=Imóveis!$T$5),Imóveis!$U$5,0),IF((IF(AND(Dados!$A665&gt;=Imóveis!$Q$5,Dados!$A665&lt;=Imóveis!$T$5),Imóveis!$S$5-(DATEDIF(Imóveis!$Q$5,Dados!$A665,"m")),0))=0,0,((Imóveis!$N$5/Imóveis!$S$5)+((Imóveis!$N$5-((Imóveis!$S$5-(IF(AND(Dados!$A665 &gt;=Imóveis!$Q$5,Dados!$A665&lt;=Imóveis!$T$5),Imóveis!$S$5-(DATEDIF(Imóveis!$Q$5,Dados!$A665,"m")),)))*(Imóveis!$N$5/Imóveis!$S$5)))*Imóveis!$P$5))))*IF(AND(Imóveis!$E$5&gt;0,Dados!$A665&gt;Imóveis!$E$5),0,1)*Imóveis!$I$5</f>
        <v>0</v>
      </c>
      <c r="M665" s="18">
        <f>IF(Imóveis!$F$6="PRICE",IF(AND(Dados!$A665&gt;=Imóveis!$Q$6,Dados!$A665&lt;=Imóveis!$T$6),Imóveis!$U$6,0),IF((IF(AND(Dados!$A665&gt;=Imóveis!$Q$6,Dados!$A665&lt;=Imóveis!$T$6),Imóveis!$S$6-(DATEDIF(Imóveis!$Q$6,Dados!$A665,"m")),0))=0,0,((Imóveis!$N$6/Imóveis!$S$6)+((Imóveis!$N$6-((Imóveis!$S$6-(IF(AND(Dados!$A665&gt;=Imóveis!$Q$6,Dados!$A665&lt;=Imóveis!$T$6),Imóveis!$S$6-(DATEDIF(Imóveis!$Q$6,Dados!$A665,"m")),)))*(Imóveis!$N$6/Imóveis!$S$6)))*Imóveis!$P$6))))*IF(AND(Imóveis!$E$6&gt;0,Dados!$A665&gt;Imóveis!$E$6),0,1)*Imóveis!$I$6</f>
        <v>0</v>
      </c>
      <c r="N665" s="18">
        <f t="shared" si="85"/>
        <v>37000</v>
      </c>
      <c r="O665" s="18">
        <f>SUMIFS(Receitas!$F:$F,Receitas!$J:$J,"&lt;="&amp;$A665,Receitas!$L:$L,"&gt;="&amp;$A665,Receitas!$C:$C,O$1,Receitas!$M:$M,"Mensal")+SUMIFS(Receitas!$F:$F,Receitas!$J:$J,"&lt;="&amp;$A665,Receitas!$L:$L,"&gt;="&amp;$A665,Receitas!$C:$C,O$1,Receitas!$M:$M,$B665)</f>
        <v>0</v>
      </c>
      <c r="P665" s="18">
        <f>SUMIFS(Receitas!$F:$F,Receitas!$J:$J,"&lt;="&amp;$A665,Receitas!$L:$L,"&gt;="&amp;$A665,Receitas!$C:$C,P$1,Receitas!$M:$M,"Mensal")+SUMIFS(Receitas!$F:$F,Receitas!$J:$J,"&lt;="&amp;$A665,Receitas!$L:$L,"&gt;="&amp;$A665,Receitas!$C:$C,P$1,Receitas!$M:$M,$B665)</f>
        <v>0</v>
      </c>
      <c r="Q665" s="18">
        <f>SUMIFS(Receitas!$F:$F,Receitas!$J:$J,"&lt;="&amp;$A665,Receitas!$L:$L,"&gt;="&amp;$A665,Receitas!$C:$C,Q$1,Receitas!$M:$M,"Mensal")+SUMIFS(Receitas!$F:$F,Receitas!$J:$J,"&lt;="&amp;$A665,Receitas!$L:$L,"&gt;="&amp;$A665,Receitas!$C:$C,Q$1,Receitas!$M:$M,$B665)</f>
        <v>0</v>
      </c>
      <c r="R665" s="18" cm="1">
        <f t="array" ref="R665">(IF(AND(Membros!$F$2="Sim",A665&lt;=MAX(Membros!$E$2:$E$5)),Membros!K$2,IF(AND(A665&gt;=Membros!J$2,A665&lt;=MAX(Membros!$E$2:$E$5)),Membros!K$2,0))+IF(AND(Membros!$F$3="Sim",A665&lt;=MAX(Membros!$E$2:$E$5)),Membros!K$3,IF(AND(A665&gt;=Membros!J$3,A665&lt;=MAX(Membros!$E$2:$E$5)),Membros!K$3,0)))*IF(AND(COUNTIFS(Tabela3[Tipo],"Provedor",Tabela3[Simulação Seguro],"Sim")=2,A665&gt;=MAX(IF(Tabela3[Tipo]="Dependente",Tabela3[Expectativa de Vida (Data)]))),0,1)</f>
        <v>10000</v>
      </c>
      <c r="S665" s="18">
        <f t="shared" si="86"/>
        <v>10000</v>
      </c>
      <c r="U665" s="18">
        <f t="shared" ca="1" si="89"/>
        <v>46420287.868814796</v>
      </c>
      <c r="V665" s="18">
        <f>SUMIF(Imóveis!E:E,Dados!A:A,Imóveis!Z:Z)-SUMIF(Imóveis!E:E,Dados!A:A,Imóveis!Y:Y)</f>
        <v>0</v>
      </c>
      <c r="W665" s="18">
        <f>-SUMIF(Projetos!N:N,A665,Projetos!F:F)</f>
        <v>0</v>
      </c>
      <c r="X665" s="18">
        <f t="shared" si="83"/>
        <v>-27000</v>
      </c>
      <c r="Y665" s="26">
        <f ca="1">(U665*((Indicadores_Economicos!D$2+1)^(1/12)-1))</f>
        <v>151967.94309726465</v>
      </c>
      <c r="Z665" s="18">
        <f t="shared" ca="1" si="87"/>
        <v>46545255.81191206</v>
      </c>
      <c r="AA665" s="18">
        <f ca="1">Auxiliar_Projetos!E665</f>
        <v>3.4141894639448428E-9</v>
      </c>
      <c r="AB665" s="18">
        <f ca="1">Auxiliar_Projetos!K665</f>
        <v>2.6262995876498748E-9</v>
      </c>
      <c r="AC665" s="18">
        <f ca="1">IF(Z665-AA665-AB665&gt;Investimentos!$C$14,Investimentos!$C$14,IF(Z665-AA665-AB665&lt;Investimentos!$C$14,Z665-AA665-AB665,0))</f>
        <v>300000</v>
      </c>
      <c r="AD665" s="18">
        <f t="shared" ca="1" si="88"/>
        <v>46245255.81191206</v>
      </c>
      <c r="AE665" s="18"/>
    </row>
    <row r="666" spans="1:31" x14ac:dyDescent="0.2">
      <c r="A666" s="4">
        <v>65867</v>
      </c>
      <c r="B666" s="5" t="str">
        <f t="shared" si="84"/>
        <v>maio</v>
      </c>
      <c r="C666" s="5" t="str">
        <f t="shared" si="90"/>
        <v>2080</v>
      </c>
      <c r="D666" s="5">
        <f>SUMIFS(Despesas!$F:$F,Despesas!$J:$J,"&lt;="&amp;$A666,Despesas!$L:$L,"&gt;="&amp;$A666,Despesas!$C:$C,D$1,Despesas!$M:$M,"Mensal")+SUMIFS(Despesas!$F:$F,Despesas!$J:$J,"&lt;="&amp;$A666,Despesas!$L:$L,"&gt;="&amp;$A666,Despesas!$C:$C,D$1,Despesas!$M:$M,$B666)</f>
        <v>23000</v>
      </c>
      <c r="E666" s="18">
        <f>SUMIFS(Despesas!$F:$F,Despesas!$J:$J,"&lt;="&amp;$A666,Despesas!$L:$L,"&gt;="&amp;$A666,Despesas!$C:$C,E$1,Despesas!$M:$M,"Mensal")+SUMIFS(Despesas!$F:$F,Despesas!$J:$J,"&lt;="&amp;$A666,Despesas!$L:$L,"&gt;="&amp;$A666,Despesas!$C:$C,E$1,Despesas!$M:$M,$B666)</f>
        <v>0</v>
      </c>
      <c r="F666" s="5">
        <f>SUMIFS(Despesas!$F:$F,Despesas!$J:$J,"&lt;="&amp;$A666,Despesas!$L:$L,"&gt;="&amp;$A666,Despesas!$C:$C,F$1,Despesas!$M:$M,"Mensal")+SUMIFS(Despesas!$F:$F,Despesas!$J:$J,"&lt;="&amp;$A666,Despesas!$L:$L,"&gt;="&amp;$A666,Despesas!$C:$C,F$1,Despesas!$M:$M,$B666)</f>
        <v>13000</v>
      </c>
      <c r="G666" s="5">
        <f>SUMIFS(Despesas!$F:$F,Despesas!$J:$J,"&lt;="&amp;$A666,Despesas!$L:$L,"&gt;="&amp;$A666,Despesas!$C:$C,G$1,Despesas!$M:$M,"Mensal")+SUMIFS(Despesas!$F:$F,Despesas!$J:$J,"&lt;="&amp;$A666,Despesas!$L:$L,"&gt;="&amp;$A666,Despesas!$C:$C,G$1,Despesas!$M:$M,$B666)</f>
        <v>0</v>
      </c>
      <c r="H666" s="18">
        <f>SUMIFS(Despesas!$F:$F,Despesas!$J:$J,"&lt;="&amp;$A666,Despesas!$L:$L,"&gt;="&amp;$A666,Despesas!$C:$C,H$1,Despesas!$M:$M,"Mensal")+SUMIFS(Despesas!$F:$F,Despesas!$J:$J,"&lt;="&amp;$A666,Despesas!$L:$L,"&gt;="&amp;$A666,Despesas!$C:$C,H$1,Despesas!$M:$M,$B666)</f>
        <v>1000</v>
      </c>
      <c r="I666" s="18">
        <f>IF(Imóveis!$F$2="PRICE",IF(AND(Dados!$A666&gt;=Imóveis!$Q$2,Dados!$A666&lt;=Imóveis!$T$2),Imóveis!$U$2,0),IF((IF(AND(Dados!$A666&gt;=Imóveis!$Q$2,Dados!$A666&lt;=Imóveis!$T$2),Imóveis!$S$2-(DATEDIF(Imóveis!$Q$2,Dados!$A666,"m")),0))=0,0,((Imóveis!$N$2/Imóveis!$S$2)+((Imóveis!$N$2-((Imóveis!$S$2-(IF(AND(Dados!$A666&gt;=Imóveis!$Q$2,Dados!$A666&lt;=Imóveis!$T$2),Imóveis!$S$2-(DATEDIF(Imóveis!$Q$2,Dados!$A666,"m")),)))*(Imóveis!$N$2/Imóveis!$S$2)))*Imóveis!$P$2))))*IF(AND(Imóveis!$E$2&gt;0,Dados!$A666&gt;Imóveis!$E$2),0,1)</f>
        <v>0</v>
      </c>
      <c r="J666" s="18">
        <f>IF(Imóveis!$F$3="PRICE",IF(AND(Dados!$A666&gt;=Imóveis!$Q$3,Dados!$A666&lt;=Imóveis!$T$3),Imóveis!$U$3,0),IF((IF(AND(Dados!$A666&gt;=Imóveis!$Q$3,Dados!$A666&lt;=Imóveis!$T$3),Imóveis!$S$3-(DATEDIF(Imóveis!$Q$3,Dados!$A666,"m")),0))=0,0,((Imóveis!$N$3/Imóveis!$S$3)+((Imóveis!$N$3-((Imóveis!$S$3-(IF(AND(Dados!$A666&gt;=Imóveis!$Q$3,Dados!$A666&lt;=Imóveis!$T$3),Imóveis!$S$3-(DATEDIF(Imóveis!$Q$3,Dados!$A666,"m")),)))*(Imóveis!$N$3/Imóveis!$S$3)))*Imóveis!$P$3))))*IF(AND(Imóveis!$E$3&gt;0,Dados!$A666&gt;Imóveis!$E$3),0,1)</f>
        <v>0</v>
      </c>
      <c r="K666" s="18">
        <f>IF(Imóveis!$F$4="PRICE",IF(AND(Dados!$A666&gt;=Imóveis!$Q$4,Dados!$A666&lt;=Imóveis!$T$4),Imóveis!$U$4,0),IF((IF(AND(Dados!$A666&gt;=Imóveis!$Q$4,Dados!$A666&lt;=Imóveis!$T$4),Imóveis!$S$4-(DATEDIF(Imóveis!$Q$4,Dados!$A666,"m")),0))=0,0,((Imóveis!$N$4/Imóveis!$S$4)+((Imóveis!$N$4-((Imóveis!$S$4-(IF(AND(Dados!$A666&gt;=Imóveis!$Q$4,Dados!$A666&lt;=Imóveis!$T$4),Imóveis!$S$4-(DATEDIF(Imóveis!$Q$4,Dados!$A666,"m")),)))*(Imóveis!$N$4/Imóveis!$S$4)))*Imóveis!$P$4))))*IF(AND(Imóveis!$E$4&gt;0,Dados!$A666&gt;Imóveis!$E$4),0,1)</f>
        <v>0</v>
      </c>
      <c r="L666" s="18">
        <f>IF(Imóveis!$F$5="PRICE",IF(AND(Dados!$A666&gt;=Imóveis!$Q$5,Dados!$A666&lt;=Imóveis!$T$5),Imóveis!$U$5,0),IF((IF(AND(Dados!$A666&gt;=Imóveis!$Q$5,Dados!$A666&lt;=Imóveis!$T$5),Imóveis!$S$5-(DATEDIF(Imóveis!$Q$5,Dados!$A666,"m")),0))=0,0,((Imóveis!$N$5/Imóveis!$S$5)+((Imóveis!$N$5-((Imóveis!$S$5-(IF(AND(Dados!$A666 &gt;=Imóveis!$Q$5,Dados!$A666&lt;=Imóveis!$T$5),Imóveis!$S$5-(DATEDIF(Imóveis!$Q$5,Dados!$A666,"m")),)))*(Imóveis!$N$5/Imóveis!$S$5)))*Imóveis!$P$5))))*IF(AND(Imóveis!$E$5&gt;0,Dados!$A666&gt;Imóveis!$E$5),0,1)*Imóveis!$I$5</f>
        <v>0</v>
      </c>
      <c r="M666" s="18">
        <f>IF(Imóveis!$F$6="PRICE",IF(AND(Dados!$A666&gt;=Imóveis!$Q$6,Dados!$A666&lt;=Imóveis!$T$6),Imóveis!$U$6,0),IF((IF(AND(Dados!$A666&gt;=Imóveis!$Q$6,Dados!$A666&lt;=Imóveis!$T$6),Imóveis!$S$6-(DATEDIF(Imóveis!$Q$6,Dados!$A666,"m")),0))=0,0,((Imóveis!$N$6/Imóveis!$S$6)+((Imóveis!$N$6-((Imóveis!$S$6-(IF(AND(Dados!$A666&gt;=Imóveis!$Q$6,Dados!$A666&lt;=Imóveis!$T$6),Imóveis!$S$6-(DATEDIF(Imóveis!$Q$6,Dados!$A666,"m")),)))*(Imóveis!$N$6/Imóveis!$S$6)))*Imóveis!$P$6))))*IF(AND(Imóveis!$E$6&gt;0,Dados!$A666&gt;Imóveis!$E$6),0,1)*Imóveis!$I$6</f>
        <v>0</v>
      </c>
      <c r="N666" s="18">
        <f t="shared" si="85"/>
        <v>37000</v>
      </c>
      <c r="O666" s="18">
        <f>SUMIFS(Receitas!$F:$F,Receitas!$J:$J,"&lt;="&amp;$A666,Receitas!$L:$L,"&gt;="&amp;$A666,Receitas!$C:$C,O$1,Receitas!$M:$M,"Mensal")+SUMIFS(Receitas!$F:$F,Receitas!$J:$J,"&lt;="&amp;$A666,Receitas!$L:$L,"&gt;="&amp;$A666,Receitas!$C:$C,O$1,Receitas!$M:$M,$B666)</f>
        <v>0</v>
      </c>
      <c r="P666" s="18">
        <f>SUMIFS(Receitas!$F:$F,Receitas!$J:$J,"&lt;="&amp;$A666,Receitas!$L:$L,"&gt;="&amp;$A666,Receitas!$C:$C,P$1,Receitas!$M:$M,"Mensal")+SUMIFS(Receitas!$F:$F,Receitas!$J:$J,"&lt;="&amp;$A666,Receitas!$L:$L,"&gt;="&amp;$A666,Receitas!$C:$C,P$1,Receitas!$M:$M,$B666)</f>
        <v>0</v>
      </c>
      <c r="Q666" s="18">
        <f>SUMIFS(Receitas!$F:$F,Receitas!$J:$J,"&lt;="&amp;$A666,Receitas!$L:$L,"&gt;="&amp;$A666,Receitas!$C:$C,Q$1,Receitas!$M:$M,"Mensal")+SUMIFS(Receitas!$F:$F,Receitas!$J:$J,"&lt;="&amp;$A666,Receitas!$L:$L,"&gt;="&amp;$A666,Receitas!$C:$C,Q$1,Receitas!$M:$M,$B666)</f>
        <v>0</v>
      </c>
      <c r="R666" s="18" cm="1">
        <f t="array" ref="R666">(IF(AND(Membros!$F$2="Sim",A666&lt;=MAX(Membros!$E$2:$E$5)),Membros!K$2,IF(AND(A666&gt;=Membros!J$2,A666&lt;=MAX(Membros!$E$2:$E$5)),Membros!K$2,0))+IF(AND(Membros!$F$3="Sim",A666&lt;=MAX(Membros!$E$2:$E$5)),Membros!K$3,IF(AND(A666&gt;=Membros!J$3,A666&lt;=MAX(Membros!$E$2:$E$5)),Membros!K$3,0)))*IF(AND(COUNTIFS(Tabela3[Tipo],"Provedor",Tabela3[Simulação Seguro],"Sim")=2,A666&gt;=MAX(IF(Tabela3[Tipo]="Dependente",Tabela3[Expectativa de Vida (Data)]))),0,1)</f>
        <v>10000</v>
      </c>
      <c r="S666" s="18">
        <f t="shared" si="86"/>
        <v>10000</v>
      </c>
      <c r="U666" s="18">
        <f t="shared" ca="1" si="89"/>
        <v>46545255.81191206</v>
      </c>
      <c r="V666" s="18">
        <f>SUMIF(Imóveis!E:E,Dados!A:A,Imóveis!Z:Z)-SUMIF(Imóveis!E:E,Dados!A:A,Imóveis!Y:Y)</f>
        <v>0</v>
      </c>
      <c r="W666" s="18">
        <f>-SUMIF(Projetos!N:N,A666,Projetos!F:F)</f>
        <v>0</v>
      </c>
      <c r="X666" s="18">
        <f t="shared" si="83"/>
        <v>-27000</v>
      </c>
      <c r="Y666" s="26">
        <f ca="1">(U666*((Indicadores_Economicos!D$2+1)^(1/12)-1))</f>
        <v>152377.05562408175</v>
      </c>
      <c r="Z666" s="18">
        <f t="shared" ca="1" si="87"/>
        <v>46670632.867536142</v>
      </c>
      <c r="AA666" s="18">
        <f ca="1">Auxiliar_Projetos!E666</f>
        <v>3.4253666318169235E-9</v>
      </c>
      <c r="AB666" s="18">
        <f ca="1">Auxiliar_Projetos!K666</f>
        <v>2.6348974090899366E-9</v>
      </c>
      <c r="AC666" s="18">
        <f ca="1">IF(Z666-AA666-AB666&gt;Investimentos!$C$14,Investimentos!$C$14,IF(Z666-AA666-AB666&lt;Investimentos!$C$14,Z666-AA666-AB666,0))</f>
        <v>300000</v>
      </c>
      <c r="AD666" s="18">
        <f t="shared" ca="1" si="88"/>
        <v>46370632.867536142</v>
      </c>
      <c r="AE666" s="18"/>
    </row>
    <row r="667" spans="1:31" x14ac:dyDescent="0.2">
      <c r="A667" s="4">
        <v>65898</v>
      </c>
      <c r="B667" s="5" t="str">
        <f t="shared" si="84"/>
        <v>junho</v>
      </c>
      <c r="C667" s="5" t="str">
        <f t="shared" si="90"/>
        <v>2080</v>
      </c>
      <c r="D667" s="5">
        <f>SUMIFS(Despesas!$F:$F,Despesas!$J:$J,"&lt;="&amp;$A667,Despesas!$L:$L,"&gt;="&amp;$A667,Despesas!$C:$C,D$1,Despesas!$M:$M,"Mensal")+SUMIFS(Despesas!$F:$F,Despesas!$J:$J,"&lt;="&amp;$A667,Despesas!$L:$L,"&gt;="&amp;$A667,Despesas!$C:$C,D$1,Despesas!$M:$M,$B667)</f>
        <v>23000</v>
      </c>
      <c r="E667" s="18">
        <f>SUMIFS(Despesas!$F:$F,Despesas!$J:$J,"&lt;="&amp;$A667,Despesas!$L:$L,"&gt;="&amp;$A667,Despesas!$C:$C,E$1,Despesas!$M:$M,"Mensal")+SUMIFS(Despesas!$F:$F,Despesas!$J:$J,"&lt;="&amp;$A667,Despesas!$L:$L,"&gt;="&amp;$A667,Despesas!$C:$C,E$1,Despesas!$M:$M,$B667)</f>
        <v>0</v>
      </c>
      <c r="F667" s="5">
        <f>SUMIFS(Despesas!$F:$F,Despesas!$J:$J,"&lt;="&amp;$A667,Despesas!$L:$L,"&gt;="&amp;$A667,Despesas!$C:$C,F$1,Despesas!$M:$M,"Mensal")+SUMIFS(Despesas!$F:$F,Despesas!$J:$J,"&lt;="&amp;$A667,Despesas!$L:$L,"&gt;="&amp;$A667,Despesas!$C:$C,F$1,Despesas!$M:$M,$B667)</f>
        <v>13000</v>
      </c>
      <c r="G667" s="5">
        <f>SUMIFS(Despesas!$F:$F,Despesas!$J:$J,"&lt;="&amp;$A667,Despesas!$L:$L,"&gt;="&amp;$A667,Despesas!$C:$C,G$1,Despesas!$M:$M,"Mensal")+SUMIFS(Despesas!$F:$F,Despesas!$J:$J,"&lt;="&amp;$A667,Despesas!$L:$L,"&gt;="&amp;$A667,Despesas!$C:$C,G$1,Despesas!$M:$M,$B667)</f>
        <v>0</v>
      </c>
      <c r="H667" s="18">
        <f>SUMIFS(Despesas!$F:$F,Despesas!$J:$J,"&lt;="&amp;$A667,Despesas!$L:$L,"&gt;="&amp;$A667,Despesas!$C:$C,H$1,Despesas!$M:$M,"Mensal")+SUMIFS(Despesas!$F:$F,Despesas!$J:$J,"&lt;="&amp;$A667,Despesas!$L:$L,"&gt;="&amp;$A667,Despesas!$C:$C,H$1,Despesas!$M:$M,$B667)</f>
        <v>1000</v>
      </c>
      <c r="I667" s="18">
        <f>IF(Imóveis!$F$2="PRICE",IF(AND(Dados!$A667&gt;=Imóveis!$Q$2,Dados!$A667&lt;=Imóveis!$T$2),Imóveis!$U$2,0),IF((IF(AND(Dados!$A667&gt;=Imóveis!$Q$2,Dados!$A667&lt;=Imóveis!$T$2),Imóveis!$S$2-(DATEDIF(Imóveis!$Q$2,Dados!$A667,"m")),0))=0,0,((Imóveis!$N$2/Imóveis!$S$2)+((Imóveis!$N$2-((Imóveis!$S$2-(IF(AND(Dados!$A667&gt;=Imóveis!$Q$2,Dados!$A667&lt;=Imóveis!$T$2),Imóveis!$S$2-(DATEDIF(Imóveis!$Q$2,Dados!$A667,"m")),)))*(Imóveis!$N$2/Imóveis!$S$2)))*Imóveis!$P$2))))*IF(AND(Imóveis!$E$2&gt;0,Dados!$A667&gt;Imóveis!$E$2),0,1)</f>
        <v>0</v>
      </c>
      <c r="J667" s="18">
        <f>IF(Imóveis!$F$3="PRICE",IF(AND(Dados!$A667&gt;=Imóveis!$Q$3,Dados!$A667&lt;=Imóveis!$T$3),Imóveis!$U$3,0),IF((IF(AND(Dados!$A667&gt;=Imóveis!$Q$3,Dados!$A667&lt;=Imóveis!$T$3),Imóveis!$S$3-(DATEDIF(Imóveis!$Q$3,Dados!$A667,"m")),0))=0,0,((Imóveis!$N$3/Imóveis!$S$3)+((Imóveis!$N$3-((Imóveis!$S$3-(IF(AND(Dados!$A667&gt;=Imóveis!$Q$3,Dados!$A667&lt;=Imóveis!$T$3),Imóveis!$S$3-(DATEDIF(Imóveis!$Q$3,Dados!$A667,"m")),)))*(Imóveis!$N$3/Imóveis!$S$3)))*Imóveis!$P$3))))*IF(AND(Imóveis!$E$3&gt;0,Dados!$A667&gt;Imóveis!$E$3),0,1)</f>
        <v>0</v>
      </c>
      <c r="K667" s="18">
        <f>IF(Imóveis!$F$4="PRICE",IF(AND(Dados!$A667&gt;=Imóveis!$Q$4,Dados!$A667&lt;=Imóveis!$T$4),Imóveis!$U$4,0),IF((IF(AND(Dados!$A667&gt;=Imóveis!$Q$4,Dados!$A667&lt;=Imóveis!$T$4),Imóveis!$S$4-(DATEDIF(Imóveis!$Q$4,Dados!$A667,"m")),0))=0,0,((Imóveis!$N$4/Imóveis!$S$4)+((Imóveis!$N$4-((Imóveis!$S$4-(IF(AND(Dados!$A667&gt;=Imóveis!$Q$4,Dados!$A667&lt;=Imóveis!$T$4),Imóveis!$S$4-(DATEDIF(Imóveis!$Q$4,Dados!$A667,"m")),)))*(Imóveis!$N$4/Imóveis!$S$4)))*Imóveis!$P$4))))*IF(AND(Imóveis!$E$4&gt;0,Dados!$A667&gt;Imóveis!$E$4),0,1)</f>
        <v>0</v>
      </c>
      <c r="L667" s="18">
        <f>IF(Imóveis!$F$5="PRICE",IF(AND(Dados!$A667&gt;=Imóveis!$Q$5,Dados!$A667&lt;=Imóveis!$T$5),Imóveis!$U$5,0),IF((IF(AND(Dados!$A667&gt;=Imóveis!$Q$5,Dados!$A667&lt;=Imóveis!$T$5),Imóveis!$S$5-(DATEDIF(Imóveis!$Q$5,Dados!$A667,"m")),0))=0,0,((Imóveis!$N$5/Imóveis!$S$5)+((Imóveis!$N$5-((Imóveis!$S$5-(IF(AND(Dados!$A667 &gt;=Imóveis!$Q$5,Dados!$A667&lt;=Imóveis!$T$5),Imóveis!$S$5-(DATEDIF(Imóveis!$Q$5,Dados!$A667,"m")),)))*(Imóveis!$N$5/Imóveis!$S$5)))*Imóveis!$P$5))))*IF(AND(Imóveis!$E$5&gt;0,Dados!$A667&gt;Imóveis!$E$5),0,1)*Imóveis!$I$5</f>
        <v>0</v>
      </c>
      <c r="M667" s="18">
        <f>IF(Imóveis!$F$6="PRICE",IF(AND(Dados!$A667&gt;=Imóveis!$Q$6,Dados!$A667&lt;=Imóveis!$T$6),Imóveis!$U$6,0),IF((IF(AND(Dados!$A667&gt;=Imóveis!$Q$6,Dados!$A667&lt;=Imóveis!$T$6),Imóveis!$S$6-(DATEDIF(Imóveis!$Q$6,Dados!$A667,"m")),0))=0,0,((Imóveis!$N$6/Imóveis!$S$6)+((Imóveis!$N$6-((Imóveis!$S$6-(IF(AND(Dados!$A667&gt;=Imóveis!$Q$6,Dados!$A667&lt;=Imóveis!$T$6),Imóveis!$S$6-(DATEDIF(Imóveis!$Q$6,Dados!$A667,"m")),)))*(Imóveis!$N$6/Imóveis!$S$6)))*Imóveis!$P$6))))*IF(AND(Imóveis!$E$6&gt;0,Dados!$A667&gt;Imóveis!$E$6),0,1)*Imóveis!$I$6</f>
        <v>0</v>
      </c>
      <c r="N667" s="18">
        <f t="shared" si="85"/>
        <v>37000</v>
      </c>
      <c r="O667" s="18">
        <f>SUMIFS(Receitas!$F:$F,Receitas!$J:$J,"&lt;="&amp;$A667,Receitas!$L:$L,"&gt;="&amp;$A667,Receitas!$C:$C,O$1,Receitas!$M:$M,"Mensal")+SUMIFS(Receitas!$F:$F,Receitas!$J:$J,"&lt;="&amp;$A667,Receitas!$L:$L,"&gt;="&amp;$A667,Receitas!$C:$C,O$1,Receitas!$M:$M,$B667)</f>
        <v>0</v>
      </c>
      <c r="P667" s="18">
        <f>SUMIFS(Receitas!$F:$F,Receitas!$J:$J,"&lt;="&amp;$A667,Receitas!$L:$L,"&gt;="&amp;$A667,Receitas!$C:$C,P$1,Receitas!$M:$M,"Mensal")+SUMIFS(Receitas!$F:$F,Receitas!$J:$J,"&lt;="&amp;$A667,Receitas!$L:$L,"&gt;="&amp;$A667,Receitas!$C:$C,P$1,Receitas!$M:$M,$B667)</f>
        <v>0</v>
      </c>
      <c r="Q667" s="18">
        <f>SUMIFS(Receitas!$F:$F,Receitas!$J:$J,"&lt;="&amp;$A667,Receitas!$L:$L,"&gt;="&amp;$A667,Receitas!$C:$C,Q$1,Receitas!$M:$M,"Mensal")+SUMIFS(Receitas!$F:$F,Receitas!$J:$J,"&lt;="&amp;$A667,Receitas!$L:$L,"&gt;="&amp;$A667,Receitas!$C:$C,Q$1,Receitas!$M:$M,$B667)</f>
        <v>0</v>
      </c>
      <c r="R667" s="18" cm="1">
        <f t="array" ref="R667">(IF(AND(Membros!$F$2="Sim",A667&lt;=MAX(Membros!$E$2:$E$5)),Membros!K$2,IF(AND(A667&gt;=Membros!J$2,A667&lt;=MAX(Membros!$E$2:$E$5)),Membros!K$2,0))+IF(AND(Membros!$F$3="Sim",A667&lt;=MAX(Membros!$E$2:$E$5)),Membros!K$3,IF(AND(A667&gt;=Membros!J$3,A667&lt;=MAX(Membros!$E$2:$E$5)),Membros!K$3,0)))*IF(AND(COUNTIFS(Tabela3[Tipo],"Provedor",Tabela3[Simulação Seguro],"Sim")=2,A667&gt;=MAX(IF(Tabela3[Tipo]="Dependente",Tabela3[Expectativa de Vida (Data)]))),0,1)</f>
        <v>10000</v>
      </c>
      <c r="S667" s="18">
        <f t="shared" si="86"/>
        <v>10000</v>
      </c>
      <c r="U667" s="18">
        <f t="shared" ca="1" si="89"/>
        <v>46670632.867536142</v>
      </c>
      <c r="V667" s="18">
        <f>SUMIF(Imóveis!E:E,Dados!A:A,Imóveis!Z:Z)-SUMIF(Imóveis!E:E,Dados!A:A,Imóveis!Y:Y)</f>
        <v>0</v>
      </c>
      <c r="W667" s="18">
        <f>-SUMIF(Projetos!N:N,A667,Projetos!F:F)</f>
        <v>0</v>
      </c>
      <c r="X667" s="18">
        <f t="shared" si="83"/>
        <v>-27000</v>
      </c>
      <c r="Y667" s="26">
        <f ca="1">(U667*((Indicadores_Economicos!D$2+1)^(1/12)-1))</f>
        <v>152787.50747885328</v>
      </c>
      <c r="Z667" s="18">
        <f t="shared" ca="1" si="87"/>
        <v>46796420.375014998</v>
      </c>
      <c r="AA667" s="18">
        <f ca="1">Auxiliar_Projetos!E667</f>
        <v>3.4365803908281195E-9</v>
      </c>
      <c r="AB667" s="18">
        <f ca="1">Auxiliar_Projetos!K667</f>
        <v>2.643523377560087E-9</v>
      </c>
      <c r="AC667" s="18">
        <f ca="1">IF(Z667-AA667-AB667&gt;Investimentos!$C$14,Investimentos!$C$14,IF(Z667-AA667-AB667&lt;Investimentos!$C$14,Z667-AA667-AB667,0))</f>
        <v>300000</v>
      </c>
      <c r="AD667" s="18">
        <f t="shared" ca="1" si="88"/>
        <v>46496420.375014998</v>
      </c>
      <c r="AE667" s="18"/>
    </row>
    <row r="668" spans="1:31" x14ac:dyDescent="0.2">
      <c r="A668" s="4">
        <v>65928</v>
      </c>
      <c r="B668" s="5" t="str">
        <f t="shared" si="84"/>
        <v>julho</v>
      </c>
      <c r="C668" s="5" t="str">
        <f t="shared" si="90"/>
        <v>2080</v>
      </c>
      <c r="D668" s="5">
        <f>SUMIFS(Despesas!$F:$F,Despesas!$J:$J,"&lt;="&amp;$A668,Despesas!$L:$L,"&gt;="&amp;$A668,Despesas!$C:$C,D$1,Despesas!$M:$M,"Mensal")+SUMIFS(Despesas!$F:$F,Despesas!$J:$J,"&lt;="&amp;$A668,Despesas!$L:$L,"&gt;="&amp;$A668,Despesas!$C:$C,D$1,Despesas!$M:$M,$B668)</f>
        <v>23000</v>
      </c>
      <c r="E668" s="18">
        <f>SUMIFS(Despesas!$F:$F,Despesas!$J:$J,"&lt;="&amp;$A668,Despesas!$L:$L,"&gt;="&amp;$A668,Despesas!$C:$C,E$1,Despesas!$M:$M,"Mensal")+SUMIFS(Despesas!$F:$F,Despesas!$J:$J,"&lt;="&amp;$A668,Despesas!$L:$L,"&gt;="&amp;$A668,Despesas!$C:$C,E$1,Despesas!$M:$M,$B668)</f>
        <v>0</v>
      </c>
      <c r="F668" s="5">
        <f>SUMIFS(Despesas!$F:$F,Despesas!$J:$J,"&lt;="&amp;$A668,Despesas!$L:$L,"&gt;="&amp;$A668,Despesas!$C:$C,F$1,Despesas!$M:$M,"Mensal")+SUMIFS(Despesas!$F:$F,Despesas!$J:$J,"&lt;="&amp;$A668,Despesas!$L:$L,"&gt;="&amp;$A668,Despesas!$C:$C,F$1,Despesas!$M:$M,$B668)</f>
        <v>13000</v>
      </c>
      <c r="G668" s="5">
        <f ca="1">SUMIFS(Despesas!$F:$F,Despesas!$J:$J,"&lt;="&amp;$A668,Despesas!$L:$L,"&gt;="&amp;$A668,Despesas!$C:$C,G$1,Despesas!$M:$M,"Mensal")+SUMIFS(Despesas!$F:$F,Despesas!$J:$J,"&lt;="&amp;$A668,Despesas!$L:$L,"&gt;="&amp;$A668,Despesas!$C:$C,G$1,Despesas!$M:$M,$B668)</f>
        <v>55757</v>
      </c>
      <c r="H668" s="18">
        <f>SUMIFS(Despesas!$F:$F,Despesas!$J:$J,"&lt;="&amp;$A668,Despesas!$L:$L,"&gt;="&amp;$A668,Despesas!$C:$C,H$1,Despesas!$M:$M,"Mensal")+SUMIFS(Despesas!$F:$F,Despesas!$J:$J,"&lt;="&amp;$A668,Despesas!$L:$L,"&gt;="&amp;$A668,Despesas!$C:$C,H$1,Despesas!$M:$M,$B668)</f>
        <v>1000</v>
      </c>
      <c r="I668" s="18">
        <f>IF(Imóveis!$F$2="PRICE",IF(AND(Dados!$A668&gt;=Imóveis!$Q$2,Dados!$A668&lt;=Imóveis!$T$2),Imóveis!$U$2,0),IF((IF(AND(Dados!$A668&gt;=Imóveis!$Q$2,Dados!$A668&lt;=Imóveis!$T$2),Imóveis!$S$2-(DATEDIF(Imóveis!$Q$2,Dados!$A668,"m")),0))=0,0,((Imóveis!$N$2/Imóveis!$S$2)+((Imóveis!$N$2-((Imóveis!$S$2-(IF(AND(Dados!$A668&gt;=Imóveis!$Q$2,Dados!$A668&lt;=Imóveis!$T$2),Imóveis!$S$2-(DATEDIF(Imóveis!$Q$2,Dados!$A668,"m")),)))*(Imóveis!$N$2/Imóveis!$S$2)))*Imóveis!$P$2))))*IF(AND(Imóveis!$E$2&gt;0,Dados!$A668&gt;Imóveis!$E$2),0,1)</f>
        <v>0</v>
      </c>
      <c r="J668" s="18">
        <f>IF(Imóveis!$F$3="PRICE",IF(AND(Dados!$A668&gt;=Imóveis!$Q$3,Dados!$A668&lt;=Imóveis!$T$3),Imóveis!$U$3,0),IF((IF(AND(Dados!$A668&gt;=Imóveis!$Q$3,Dados!$A668&lt;=Imóveis!$T$3),Imóveis!$S$3-(DATEDIF(Imóveis!$Q$3,Dados!$A668,"m")),0))=0,0,((Imóveis!$N$3/Imóveis!$S$3)+((Imóveis!$N$3-((Imóveis!$S$3-(IF(AND(Dados!$A668&gt;=Imóveis!$Q$3,Dados!$A668&lt;=Imóveis!$T$3),Imóveis!$S$3-(DATEDIF(Imóveis!$Q$3,Dados!$A668,"m")),)))*(Imóveis!$N$3/Imóveis!$S$3)))*Imóveis!$P$3))))*IF(AND(Imóveis!$E$3&gt;0,Dados!$A668&gt;Imóveis!$E$3),0,1)</f>
        <v>0</v>
      </c>
      <c r="K668" s="18">
        <f>IF(Imóveis!$F$4="PRICE",IF(AND(Dados!$A668&gt;=Imóveis!$Q$4,Dados!$A668&lt;=Imóveis!$T$4),Imóveis!$U$4,0),IF((IF(AND(Dados!$A668&gt;=Imóveis!$Q$4,Dados!$A668&lt;=Imóveis!$T$4),Imóveis!$S$4-(DATEDIF(Imóveis!$Q$4,Dados!$A668,"m")),0))=0,0,((Imóveis!$N$4/Imóveis!$S$4)+((Imóveis!$N$4-((Imóveis!$S$4-(IF(AND(Dados!$A668&gt;=Imóveis!$Q$4,Dados!$A668&lt;=Imóveis!$T$4),Imóveis!$S$4-(DATEDIF(Imóveis!$Q$4,Dados!$A668,"m")),)))*(Imóveis!$N$4/Imóveis!$S$4)))*Imóveis!$P$4))))*IF(AND(Imóveis!$E$4&gt;0,Dados!$A668&gt;Imóveis!$E$4),0,1)</f>
        <v>0</v>
      </c>
      <c r="L668" s="18">
        <f>IF(Imóveis!$F$5="PRICE",IF(AND(Dados!$A668&gt;=Imóveis!$Q$5,Dados!$A668&lt;=Imóveis!$T$5),Imóveis!$U$5,0),IF((IF(AND(Dados!$A668&gt;=Imóveis!$Q$5,Dados!$A668&lt;=Imóveis!$T$5),Imóveis!$S$5-(DATEDIF(Imóveis!$Q$5,Dados!$A668,"m")),0))=0,0,((Imóveis!$N$5/Imóveis!$S$5)+((Imóveis!$N$5-((Imóveis!$S$5-(IF(AND(Dados!$A668 &gt;=Imóveis!$Q$5,Dados!$A668&lt;=Imóveis!$T$5),Imóveis!$S$5-(DATEDIF(Imóveis!$Q$5,Dados!$A668,"m")),)))*(Imóveis!$N$5/Imóveis!$S$5)))*Imóveis!$P$5))))*IF(AND(Imóveis!$E$5&gt;0,Dados!$A668&gt;Imóveis!$E$5),0,1)*Imóveis!$I$5</f>
        <v>0</v>
      </c>
      <c r="M668" s="18">
        <f>IF(Imóveis!$F$6="PRICE",IF(AND(Dados!$A668&gt;=Imóveis!$Q$6,Dados!$A668&lt;=Imóveis!$T$6),Imóveis!$U$6,0),IF((IF(AND(Dados!$A668&gt;=Imóveis!$Q$6,Dados!$A668&lt;=Imóveis!$T$6),Imóveis!$S$6-(DATEDIF(Imóveis!$Q$6,Dados!$A668,"m")),0))=0,0,((Imóveis!$N$6/Imóveis!$S$6)+((Imóveis!$N$6-((Imóveis!$S$6-(IF(AND(Dados!$A668&gt;=Imóveis!$Q$6,Dados!$A668&lt;=Imóveis!$T$6),Imóveis!$S$6-(DATEDIF(Imóveis!$Q$6,Dados!$A668,"m")),)))*(Imóveis!$N$6/Imóveis!$S$6)))*Imóveis!$P$6))))*IF(AND(Imóveis!$E$6&gt;0,Dados!$A668&gt;Imóveis!$E$6),0,1)*Imóveis!$I$6</f>
        <v>0</v>
      </c>
      <c r="N668" s="18">
        <f t="shared" ca="1" si="85"/>
        <v>92757</v>
      </c>
      <c r="O668" s="18">
        <f>SUMIFS(Receitas!$F:$F,Receitas!$J:$J,"&lt;="&amp;$A668,Receitas!$L:$L,"&gt;="&amp;$A668,Receitas!$C:$C,O$1,Receitas!$M:$M,"Mensal")+SUMIFS(Receitas!$F:$F,Receitas!$J:$J,"&lt;="&amp;$A668,Receitas!$L:$L,"&gt;="&amp;$A668,Receitas!$C:$C,O$1,Receitas!$M:$M,$B668)</f>
        <v>0</v>
      </c>
      <c r="P668" s="18">
        <f>SUMIFS(Receitas!$F:$F,Receitas!$J:$J,"&lt;="&amp;$A668,Receitas!$L:$L,"&gt;="&amp;$A668,Receitas!$C:$C,P$1,Receitas!$M:$M,"Mensal")+SUMIFS(Receitas!$F:$F,Receitas!$J:$J,"&lt;="&amp;$A668,Receitas!$L:$L,"&gt;="&amp;$A668,Receitas!$C:$C,P$1,Receitas!$M:$M,$B668)</f>
        <v>0</v>
      </c>
      <c r="Q668" s="18">
        <f>SUMIFS(Receitas!$F:$F,Receitas!$J:$J,"&lt;="&amp;$A668,Receitas!$L:$L,"&gt;="&amp;$A668,Receitas!$C:$C,Q$1,Receitas!$M:$M,"Mensal")+SUMIFS(Receitas!$F:$F,Receitas!$J:$J,"&lt;="&amp;$A668,Receitas!$L:$L,"&gt;="&amp;$A668,Receitas!$C:$C,Q$1,Receitas!$M:$M,$B668)</f>
        <v>0</v>
      </c>
      <c r="R668" s="18" cm="1">
        <f t="array" ref="R668">(IF(AND(Membros!$F$2="Sim",A668&lt;=MAX(Membros!$E$2:$E$5)),Membros!K$2,IF(AND(A668&gt;=Membros!J$2,A668&lt;=MAX(Membros!$E$2:$E$5)),Membros!K$2,0))+IF(AND(Membros!$F$3="Sim",A668&lt;=MAX(Membros!$E$2:$E$5)),Membros!K$3,IF(AND(A668&gt;=Membros!J$3,A668&lt;=MAX(Membros!$E$2:$E$5)),Membros!K$3,0)))*IF(AND(COUNTIFS(Tabela3[Tipo],"Provedor",Tabela3[Simulação Seguro],"Sim")=2,A668&gt;=MAX(IF(Tabela3[Tipo]="Dependente",Tabela3[Expectativa de Vida (Data)]))),0,1)</f>
        <v>10000</v>
      </c>
      <c r="S668" s="18">
        <f t="shared" si="86"/>
        <v>10000</v>
      </c>
      <c r="U668" s="18">
        <f t="shared" ca="1" si="89"/>
        <v>46796420.375014998</v>
      </c>
      <c r="V668" s="18">
        <f>SUMIF(Imóveis!E:E,Dados!A:A,Imóveis!Z:Z)-SUMIF(Imóveis!E:E,Dados!A:A,Imóveis!Y:Y)</f>
        <v>0</v>
      </c>
      <c r="W668" s="18">
        <f>-SUMIF(Projetos!N:N,A668,Projetos!F:F)</f>
        <v>0</v>
      </c>
      <c r="X668" s="18">
        <f t="shared" ca="1" si="83"/>
        <v>-82757</v>
      </c>
      <c r="Y668" s="26">
        <f ca="1">(U668*((Indicadores_Economicos!D$2+1)^(1/12)-1))</f>
        <v>153199.30304619044</v>
      </c>
      <c r="Z668" s="18">
        <f t="shared" ca="1" si="87"/>
        <v>46866862.678061187</v>
      </c>
      <c r="AA668" s="18">
        <f ca="1">Auxiliar_Projetos!E668</f>
        <v>3.4478308607682984E-9</v>
      </c>
      <c r="AB668" s="18">
        <f ca="1">Auxiliar_Projetos!K668</f>
        <v>2.6521775852063784E-9</v>
      </c>
      <c r="AC668" s="18">
        <f ca="1">IF(Z668-AA668-AB668&gt;Investimentos!$C$14,Investimentos!$C$14,IF(Z668-AA668-AB668&lt;Investimentos!$C$14,Z668-AA668-AB668,0))</f>
        <v>300000</v>
      </c>
      <c r="AD668" s="18">
        <f t="shared" ca="1" si="88"/>
        <v>46566862.678061187</v>
      </c>
      <c r="AE668" s="18"/>
    </row>
    <row r="669" spans="1:31" x14ac:dyDescent="0.2">
      <c r="A669" s="4">
        <v>65959</v>
      </c>
      <c r="B669" s="5" t="str">
        <f t="shared" si="84"/>
        <v>agosto</v>
      </c>
      <c r="C669" s="5" t="str">
        <f t="shared" si="90"/>
        <v>2080</v>
      </c>
      <c r="D669" s="5">
        <f>SUMIFS(Despesas!$F:$F,Despesas!$J:$J,"&lt;="&amp;$A669,Despesas!$L:$L,"&gt;="&amp;$A669,Despesas!$C:$C,D$1,Despesas!$M:$M,"Mensal")+SUMIFS(Despesas!$F:$F,Despesas!$J:$J,"&lt;="&amp;$A669,Despesas!$L:$L,"&gt;="&amp;$A669,Despesas!$C:$C,D$1,Despesas!$M:$M,$B669)</f>
        <v>23000</v>
      </c>
      <c r="E669" s="18">
        <f>SUMIFS(Despesas!$F:$F,Despesas!$J:$J,"&lt;="&amp;$A669,Despesas!$L:$L,"&gt;="&amp;$A669,Despesas!$C:$C,E$1,Despesas!$M:$M,"Mensal")+SUMIFS(Despesas!$F:$F,Despesas!$J:$J,"&lt;="&amp;$A669,Despesas!$L:$L,"&gt;="&amp;$A669,Despesas!$C:$C,E$1,Despesas!$M:$M,$B669)</f>
        <v>0</v>
      </c>
      <c r="F669" s="5">
        <f>SUMIFS(Despesas!$F:$F,Despesas!$J:$J,"&lt;="&amp;$A669,Despesas!$L:$L,"&gt;="&amp;$A669,Despesas!$C:$C,F$1,Despesas!$M:$M,"Mensal")+SUMIFS(Despesas!$F:$F,Despesas!$J:$J,"&lt;="&amp;$A669,Despesas!$L:$L,"&gt;="&amp;$A669,Despesas!$C:$C,F$1,Despesas!$M:$M,$B669)</f>
        <v>13000</v>
      </c>
      <c r="G669" s="5">
        <f>SUMIFS(Despesas!$F:$F,Despesas!$J:$J,"&lt;="&amp;$A669,Despesas!$L:$L,"&gt;="&amp;$A669,Despesas!$C:$C,G$1,Despesas!$M:$M,"Mensal")+SUMIFS(Despesas!$F:$F,Despesas!$J:$J,"&lt;="&amp;$A669,Despesas!$L:$L,"&gt;="&amp;$A669,Despesas!$C:$C,G$1,Despesas!$M:$M,$B669)</f>
        <v>0</v>
      </c>
      <c r="H669" s="18">
        <f>SUMIFS(Despesas!$F:$F,Despesas!$J:$J,"&lt;="&amp;$A669,Despesas!$L:$L,"&gt;="&amp;$A669,Despesas!$C:$C,H$1,Despesas!$M:$M,"Mensal")+SUMIFS(Despesas!$F:$F,Despesas!$J:$J,"&lt;="&amp;$A669,Despesas!$L:$L,"&gt;="&amp;$A669,Despesas!$C:$C,H$1,Despesas!$M:$M,$B669)</f>
        <v>1000</v>
      </c>
      <c r="I669" s="18">
        <f>IF(Imóveis!$F$2="PRICE",IF(AND(Dados!$A669&gt;=Imóveis!$Q$2,Dados!$A669&lt;=Imóveis!$T$2),Imóveis!$U$2,0),IF((IF(AND(Dados!$A669&gt;=Imóveis!$Q$2,Dados!$A669&lt;=Imóveis!$T$2),Imóveis!$S$2-(DATEDIF(Imóveis!$Q$2,Dados!$A669,"m")),0))=0,0,((Imóveis!$N$2/Imóveis!$S$2)+((Imóveis!$N$2-((Imóveis!$S$2-(IF(AND(Dados!$A669&gt;=Imóveis!$Q$2,Dados!$A669&lt;=Imóveis!$T$2),Imóveis!$S$2-(DATEDIF(Imóveis!$Q$2,Dados!$A669,"m")),)))*(Imóveis!$N$2/Imóveis!$S$2)))*Imóveis!$P$2))))*IF(AND(Imóveis!$E$2&gt;0,Dados!$A669&gt;Imóveis!$E$2),0,1)</f>
        <v>0</v>
      </c>
      <c r="J669" s="18">
        <f>IF(Imóveis!$F$3="PRICE",IF(AND(Dados!$A669&gt;=Imóveis!$Q$3,Dados!$A669&lt;=Imóveis!$T$3),Imóveis!$U$3,0),IF((IF(AND(Dados!$A669&gt;=Imóveis!$Q$3,Dados!$A669&lt;=Imóveis!$T$3),Imóveis!$S$3-(DATEDIF(Imóveis!$Q$3,Dados!$A669,"m")),0))=0,0,((Imóveis!$N$3/Imóveis!$S$3)+((Imóveis!$N$3-((Imóveis!$S$3-(IF(AND(Dados!$A669&gt;=Imóveis!$Q$3,Dados!$A669&lt;=Imóveis!$T$3),Imóveis!$S$3-(DATEDIF(Imóveis!$Q$3,Dados!$A669,"m")),)))*(Imóveis!$N$3/Imóveis!$S$3)))*Imóveis!$P$3))))*IF(AND(Imóveis!$E$3&gt;0,Dados!$A669&gt;Imóveis!$E$3),0,1)</f>
        <v>0</v>
      </c>
      <c r="K669" s="18">
        <f>IF(Imóveis!$F$4="PRICE",IF(AND(Dados!$A669&gt;=Imóveis!$Q$4,Dados!$A669&lt;=Imóveis!$T$4),Imóveis!$U$4,0),IF((IF(AND(Dados!$A669&gt;=Imóveis!$Q$4,Dados!$A669&lt;=Imóveis!$T$4),Imóveis!$S$4-(DATEDIF(Imóveis!$Q$4,Dados!$A669,"m")),0))=0,0,((Imóveis!$N$4/Imóveis!$S$4)+((Imóveis!$N$4-((Imóveis!$S$4-(IF(AND(Dados!$A669&gt;=Imóveis!$Q$4,Dados!$A669&lt;=Imóveis!$T$4),Imóveis!$S$4-(DATEDIF(Imóveis!$Q$4,Dados!$A669,"m")),)))*(Imóveis!$N$4/Imóveis!$S$4)))*Imóveis!$P$4))))*IF(AND(Imóveis!$E$4&gt;0,Dados!$A669&gt;Imóveis!$E$4),0,1)</f>
        <v>0</v>
      </c>
      <c r="L669" s="18">
        <f>IF(Imóveis!$F$5="PRICE",IF(AND(Dados!$A669&gt;=Imóveis!$Q$5,Dados!$A669&lt;=Imóveis!$T$5),Imóveis!$U$5,0),IF((IF(AND(Dados!$A669&gt;=Imóveis!$Q$5,Dados!$A669&lt;=Imóveis!$T$5),Imóveis!$S$5-(DATEDIF(Imóveis!$Q$5,Dados!$A669,"m")),0))=0,0,((Imóveis!$N$5/Imóveis!$S$5)+((Imóveis!$N$5-((Imóveis!$S$5-(IF(AND(Dados!$A669 &gt;=Imóveis!$Q$5,Dados!$A669&lt;=Imóveis!$T$5),Imóveis!$S$5-(DATEDIF(Imóveis!$Q$5,Dados!$A669,"m")),)))*(Imóveis!$N$5/Imóveis!$S$5)))*Imóveis!$P$5))))*IF(AND(Imóveis!$E$5&gt;0,Dados!$A669&gt;Imóveis!$E$5),0,1)*Imóveis!$I$5</f>
        <v>0</v>
      </c>
      <c r="M669" s="18">
        <f>IF(Imóveis!$F$6="PRICE",IF(AND(Dados!$A669&gt;=Imóveis!$Q$6,Dados!$A669&lt;=Imóveis!$T$6),Imóveis!$U$6,0),IF((IF(AND(Dados!$A669&gt;=Imóveis!$Q$6,Dados!$A669&lt;=Imóveis!$T$6),Imóveis!$S$6-(DATEDIF(Imóveis!$Q$6,Dados!$A669,"m")),0))=0,0,((Imóveis!$N$6/Imóveis!$S$6)+((Imóveis!$N$6-((Imóveis!$S$6-(IF(AND(Dados!$A669&gt;=Imóveis!$Q$6,Dados!$A669&lt;=Imóveis!$T$6),Imóveis!$S$6-(DATEDIF(Imóveis!$Q$6,Dados!$A669,"m")),)))*(Imóveis!$N$6/Imóveis!$S$6)))*Imóveis!$P$6))))*IF(AND(Imóveis!$E$6&gt;0,Dados!$A669&gt;Imóveis!$E$6),0,1)*Imóveis!$I$6</f>
        <v>0</v>
      </c>
      <c r="N669" s="18">
        <f t="shared" si="85"/>
        <v>37000</v>
      </c>
      <c r="O669" s="18">
        <f>SUMIFS(Receitas!$F:$F,Receitas!$J:$J,"&lt;="&amp;$A669,Receitas!$L:$L,"&gt;="&amp;$A669,Receitas!$C:$C,O$1,Receitas!$M:$M,"Mensal")+SUMIFS(Receitas!$F:$F,Receitas!$J:$J,"&lt;="&amp;$A669,Receitas!$L:$L,"&gt;="&amp;$A669,Receitas!$C:$C,O$1,Receitas!$M:$M,$B669)</f>
        <v>0</v>
      </c>
      <c r="P669" s="18">
        <f>SUMIFS(Receitas!$F:$F,Receitas!$J:$J,"&lt;="&amp;$A669,Receitas!$L:$L,"&gt;="&amp;$A669,Receitas!$C:$C,P$1,Receitas!$M:$M,"Mensal")+SUMIFS(Receitas!$F:$F,Receitas!$J:$J,"&lt;="&amp;$A669,Receitas!$L:$L,"&gt;="&amp;$A669,Receitas!$C:$C,P$1,Receitas!$M:$M,$B669)</f>
        <v>0</v>
      </c>
      <c r="Q669" s="18">
        <f>SUMIFS(Receitas!$F:$F,Receitas!$J:$J,"&lt;="&amp;$A669,Receitas!$L:$L,"&gt;="&amp;$A669,Receitas!$C:$C,Q$1,Receitas!$M:$M,"Mensal")+SUMIFS(Receitas!$F:$F,Receitas!$J:$J,"&lt;="&amp;$A669,Receitas!$L:$L,"&gt;="&amp;$A669,Receitas!$C:$C,Q$1,Receitas!$M:$M,$B669)</f>
        <v>0</v>
      </c>
      <c r="R669" s="18" cm="1">
        <f t="array" ref="R669">(IF(AND(Membros!$F$2="Sim",A669&lt;=MAX(Membros!$E$2:$E$5)),Membros!K$2,IF(AND(A669&gt;=Membros!J$2,A669&lt;=MAX(Membros!$E$2:$E$5)),Membros!K$2,0))+IF(AND(Membros!$F$3="Sim",A669&lt;=MAX(Membros!$E$2:$E$5)),Membros!K$3,IF(AND(A669&gt;=Membros!J$3,A669&lt;=MAX(Membros!$E$2:$E$5)),Membros!K$3,0)))*IF(AND(COUNTIFS(Tabela3[Tipo],"Provedor",Tabela3[Simulação Seguro],"Sim")=2,A669&gt;=MAX(IF(Tabela3[Tipo]="Dependente",Tabela3[Expectativa de Vida (Data)]))),0,1)</f>
        <v>10000</v>
      </c>
      <c r="S669" s="18">
        <f t="shared" si="86"/>
        <v>10000</v>
      </c>
      <c r="U669" s="18">
        <f t="shared" ca="1" si="89"/>
        <v>46866862.678061187</v>
      </c>
      <c r="V669" s="18">
        <f>SUMIF(Imóveis!E:E,Dados!A:A,Imóveis!Z:Z)-SUMIF(Imóveis!E:E,Dados!A:A,Imóveis!Y:Y)</f>
        <v>0</v>
      </c>
      <c r="W669" s="18">
        <f>-SUMIF(Projetos!N:N,A669,Projetos!F:F)</f>
        <v>0</v>
      </c>
      <c r="X669" s="18">
        <f t="shared" si="83"/>
        <v>-27000</v>
      </c>
      <c r="Y669" s="26">
        <f ca="1">(U669*((Indicadores_Economicos!D$2+1)^(1/12)-1))</f>
        <v>153429.91281602246</v>
      </c>
      <c r="Z669" s="18">
        <f t="shared" ca="1" si="87"/>
        <v>46993292.590877213</v>
      </c>
      <c r="AA669" s="18">
        <f ca="1">Auxiliar_Projetos!E669</f>
        <v>3.4591181618194888E-9</v>
      </c>
      <c r="AB669" s="18">
        <f ca="1">Auxiliar_Projetos!K669</f>
        <v>2.6608601244765248E-9</v>
      </c>
      <c r="AC669" s="18">
        <f ca="1">IF(Z669-AA669-AB669&gt;Investimentos!$C$14,Investimentos!$C$14,IF(Z669-AA669-AB669&lt;Investimentos!$C$14,Z669-AA669-AB669,0))</f>
        <v>300000</v>
      </c>
      <c r="AD669" s="18">
        <f t="shared" ca="1" si="88"/>
        <v>46693292.590877213</v>
      </c>
      <c r="AE669" s="18"/>
    </row>
    <row r="670" spans="1:31" x14ac:dyDescent="0.2">
      <c r="A670" s="4">
        <v>65990</v>
      </c>
      <c r="B670" s="5" t="str">
        <f t="shared" si="84"/>
        <v>setembro</v>
      </c>
      <c r="C670" s="5" t="str">
        <f t="shared" si="90"/>
        <v>2080</v>
      </c>
      <c r="D670" s="5">
        <f>SUMIFS(Despesas!$F:$F,Despesas!$J:$J,"&lt;="&amp;$A670,Despesas!$L:$L,"&gt;="&amp;$A670,Despesas!$C:$C,D$1,Despesas!$M:$M,"Mensal")+SUMIFS(Despesas!$F:$F,Despesas!$J:$J,"&lt;="&amp;$A670,Despesas!$L:$L,"&gt;="&amp;$A670,Despesas!$C:$C,D$1,Despesas!$M:$M,$B670)</f>
        <v>23000</v>
      </c>
      <c r="E670" s="18">
        <f>SUMIFS(Despesas!$F:$F,Despesas!$J:$J,"&lt;="&amp;$A670,Despesas!$L:$L,"&gt;="&amp;$A670,Despesas!$C:$C,E$1,Despesas!$M:$M,"Mensal")+SUMIFS(Despesas!$F:$F,Despesas!$J:$J,"&lt;="&amp;$A670,Despesas!$L:$L,"&gt;="&amp;$A670,Despesas!$C:$C,E$1,Despesas!$M:$M,$B670)</f>
        <v>0</v>
      </c>
      <c r="F670" s="5">
        <f>SUMIFS(Despesas!$F:$F,Despesas!$J:$J,"&lt;="&amp;$A670,Despesas!$L:$L,"&gt;="&amp;$A670,Despesas!$C:$C,F$1,Despesas!$M:$M,"Mensal")+SUMIFS(Despesas!$F:$F,Despesas!$J:$J,"&lt;="&amp;$A670,Despesas!$L:$L,"&gt;="&amp;$A670,Despesas!$C:$C,F$1,Despesas!$M:$M,$B670)</f>
        <v>13000</v>
      </c>
      <c r="G670" s="5">
        <f>SUMIFS(Despesas!$F:$F,Despesas!$J:$J,"&lt;="&amp;$A670,Despesas!$L:$L,"&gt;="&amp;$A670,Despesas!$C:$C,G$1,Despesas!$M:$M,"Mensal")+SUMIFS(Despesas!$F:$F,Despesas!$J:$J,"&lt;="&amp;$A670,Despesas!$L:$L,"&gt;="&amp;$A670,Despesas!$C:$C,G$1,Despesas!$M:$M,$B670)</f>
        <v>0</v>
      </c>
      <c r="H670" s="18">
        <f>SUMIFS(Despesas!$F:$F,Despesas!$J:$J,"&lt;="&amp;$A670,Despesas!$L:$L,"&gt;="&amp;$A670,Despesas!$C:$C,H$1,Despesas!$M:$M,"Mensal")+SUMIFS(Despesas!$F:$F,Despesas!$J:$J,"&lt;="&amp;$A670,Despesas!$L:$L,"&gt;="&amp;$A670,Despesas!$C:$C,H$1,Despesas!$M:$M,$B670)</f>
        <v>1000</v>
      </c>
      <c r="I670" s="18">
        <f>IF(Imóveis!$F$2="PRICE",IF(AND(Dados!$A670&gt;=Imóveis!$Q$2,Dados!$A670&lt;=Imóveis!$T$2),Imóveis!$U$2,0),IF((IF(AND(Dados!$A670&gt;=Imóveis!$Q$2,Dados!$A670&lt;=Imóveis!$T$2),Imóveis!$S$2-(DATEDIF(Imóveis!$Q$2,Dados!$A670,"m")),0))=0,0,((Imóveis!$N$2/Imóveis!$S$2)+((Imóveis!$N$2-((Imóveis!$S$2-(IF(AND(Dados!$A670&gt;=Imóveis!$Q$2,Dados!$A670&lt;=Imóveis!$T$2),Imóveis!$S$2-(DATEDIF(Imóveis!$Q$2,Dados!$A670,"m")),)))*(Imóveis!$N$2/Imóveis!$S$2)))*Imóveis!$P$2))))*IF(AND(Imóveis!$E$2&gt;0,Dados!$A670&gt;Imóveis!$E$2),0,1)</f>
        <v>0</v>
      </c>
      <c r="J670" s="18">
        <f>IF(Imóveis!$F$3="PRICE",IF(AND(Dados!$A670&gt;=Imóveis!$Q$3,Dados!$A670&lt;=Imóveis!$T$3),Imóveis!$U$3,0),IF((IF(AND(Dados!$A670&gt;=Imóveis!$Q$3,Dados!$A670&lt;=Imóveis!$T$3),Imóveis!$S$3-(DATEDIF(Imóveis!$Q$3,Dados!$A670,"m")),0))=0,0,((Imóveis!$N$3/Imóveis!$S$3)+((Imóveis!$N$3-((Imóveis!$S$3-(IF(AND(Dados!$A670&gt;=Imóveis!$Q$3,Dados!$A670&lt;=Imóveis!$T$3),Imóveis!$S$3-(DATEDIF(Imóveis!$Q$3,Dados!$A670,"m")),)))*(Imóveis!$N$3/Imóveis!$S$3)))*Imóveis!$P$3))))*IF(AND(Imóveis!$E$3&gt;0,Dados!$A670&gt;Imóveis!$E$3),0,1)</f>
        <v>0</v>
      </c>
      <c r="K670" s="18">
        <f>IF(Imóveis!$F$4="PRICE",IF(AND(Dados!$A670&gt;=Imóveis!$Q$4,Dados!$A670&lt;=Imóveis!$T$4),Imóveis!$U$4,0),IF((IF(AND(Dados!$A670&gt;=Imóveis!$Q$4,Dados!$A670&lt;=Imóveis!$T$4),Imóveis!$S$4-(DATEDIF(Imóveis!$Q$4,Dados!$A670,"m")),0))=0,0,((Imóveis!$N$4/Imóveis!$S$4)+((Imóveis!$N$4-((Imóveis!$S$4-(IF(AND(Dados!$A670&gt;=Imóveis!$Q$4,Dados!$A670&lt;=Imóveis!$T$4),Imóveis!$S$4-(DATEDIF(Imóveis!$Q$4,Dados!$A670,"m")),)))*(Imóveis!$N$4/Imóveis!$S$4)))*Imóveis!$P$4))))*IF(AND(Imóveis!$E$4&gt;0,Dados!$A670&gt;Imóveis!$E$4),0,1)</f>
        <v>0</v>
      </c>
      <c r="L670" s="18">
        <f>IF(Imóveis!$F$5="PRICE",IF(AND(Dados!$A670&gt;=Imóveis!$Q$5,Dados!$A670&lt;=Imóveis!$T$5),Imóveis!$U$5,0),IF((IF(AND(Dados!$A670&gt;=Imóveis!$Q$5,Dados!$A670&lt;=Imóveis!$T$5),Imóveis!$S$5-(DATEDIF(Imóveis!$Q$5,Dados!$A670,"m")),0))=0,0,((Imóveis!$N$5/Imóveis!$S$5)+((Imóveis!$N$5-((Imóveis!$S$5-(IF(AND(Dados!$A670 &gt;=Imóveis!$Q$5,Dados!$A670&lt;=Imóveis!$T$5),Imóveis!$S$5-(DATEDIF(Imóveis!$Q$5,Dados!$A670,"m")),)))*(Imóveis!$N$5/Imóveis!$S$5)))*Imóveis!$P$5))))*IF(AND(Imóveis!$E$5&gt;0,Dados!$A670&gt;Imóveis!$E$5),0,1)*Imóveis!$I$5</f>
        <v>0</v>
      </c>
      <c r="M670" s="18">
        <f>IF(Imóveis!$F$6="PRICE",IF(AND(Dados!$A670&gt;=Imóveis!$Q$6,Dados!$A670&lt;=Imóveis!$T$6),Imóveis!$U$6,0),IF((IF(AND(Dados!$A670&gt;=Imóveis!$Q$6,Dados!$A670&lt;=Imóveis!$T$6),Imóveis!$S$6-(DATEDIF(Imóveis!$Q$6,Dados!$A670,"m")),0))=0,0,((Imóveis!$N$6/Imóveis!$S$6)+((Imóveis!$N$6-((Imóveis!$S$6-(IF(AND(Dados!$A670&gt;=Imóveis!$Q$6,Dados!$A670&lt;=Imóveis!$T$6),Imóveis!$S$6-(DATEDIF(Imóveis!$Q$6,Dados!$A670,"m")),)))*(Imóveis!$N$6/Imóveis!$S$6)))*Imóveis!$P$6))))*IF(AND(Imóveis!$E$6&gt;0,Dados!$A670&gt;Imóveis!$E$6),0,1)*Imóveis!$I$6</f>
        <v>0</v>
      </c>
      <c r="N670" s="18">
        <f t="shared" si="85"/>
        <v>37000</v>
      </c>
      <c r="O670" s="18">
        <f>SUMIFS(Receitas!$F:$F,Receitas!$J:$J,"&lt;="&amp;$A670,Receitas!$L:$L,"&gt;="&amp;$A670,Receitas!$C:$C,O$1,Receitas!$M:$M,"Mensal")+SUMIFS(Receitas!$F:$F,Receitas!$J:$J,"&lt;="&amp;$A670,Receitas!$L:$L,"&gt;="&amp;$A670,Receitas!$C:$C,O$1,Receitas!$M:$M,$B670)</f>
        <v>0</v>
      </c>
      <c r="P670" s="18">
        <f>SUMIFS(Receitas!$F:$F,Receitas!$J:$J,"&lt;="&amp;$A670,Receitas!$L:$L,"&gt;="&amp;$A670,Receitas!$C:$C,P$1,Receitas!$M:$M,"Mensal")+SUMIFS(Receitas!$F:$F,Receitas!$J:$J,"&lt;="&amp;$A670,Receitas!$L:$L,"&gt;="&amp;$A670,Receitas!$C:$C,P$1,Receitas!$M:$M,$B670)</f>
        <v>0</v>
      </c>
      <c r="Q670" s="18">
        <f>SUMIFS(Receitas!$F:$F,Receitas!$J:$J,"&lt;="&amp;$A670,Receitas!$L:$L,"&gt;="&amp;$A670,Receitas!$C:$C,Q$1,Receitas!$M:$M,"Mensal")+SUMIFS(Receitas!$F:$F,Receitas!$J:$J,"&lt;="&amp;$A670,Receitas!$L:$L,"&gt;="&amp;$A670,Receitas!$C:$C,Q$1,Receitas!$M:$M,$B670)</f>
        <v>0</v>
      </c>
      <c r="R670" s="18" cm="1">
        <f t="array" ref="R670">(IF(AND(Membros!$F$2="Sim",A670&lt;=MAX(Membros!$E$2:$E$5)),Membros!K$2,IF(AND(A670&gt;=Membros!J$2,A670&lt;=MAX(Membros!$E$2:$E$5)),Membros!K$2,0))+IF(AND(Membros!$F$3="Sim",A670&lt;=MAX(Membros!$E$2:$E$5)),Membros!K$3,IF(AND(A670&gt;=Membros!J$3,A670&lt;=MAX(Membros!$E$2:$E$5)),Membros!K$3,0)))*IF(AND(COUNTIFS(Tabela3[Tipo],"Provedor",Tabela3[Simulação Seguro],"Sim")=2,A670&gt;=MAX(IF(Tabela3[Tipo]="Dependente",Tabela3[Expectativa de Vida (Data)]))),0,1)</f>
        <v>10000</v>
      </c>
      <c r="S670" s="18">
        <f t="shared" si="86"/>
        <v>10000</v>
      </c>
      <c r="U670" s="18">
        <f t="shared" ca="1" si="89"/>
        <v>46993292.590877213</v>
      </c>
      <c r="V670" s="18">
        <f>SUMIF(Imóveis!E:E,Dados!A:A,Imóveis!Z:Z)-SUMIF(Imóveis!E:E,Dados!A:A,Imóveis!Y:Y)</f>
        <v>0</v>
      </c>
      <c r="W670" s="18">
        <f>-SUMIF(Projetos!N:N,A670,Projetos!F:F)</f>
        <v>0</v>
      </c>
      <c r="X670" s="18">
        <f t="shared" si="83"/>
        <v>-27000</v>
      </c>
      <c r="Y670" s="26">
        <f ca="1">(U670*((Indicadores_Economicos!D$2+1)^(1/12)-1))</f>
        <v>153843.81145126824</v>
      </c>
      <c r="Z670" s="18">
        <f t="shared" ca="1" si="87"/>
        <v>47120136.402328484</v>
      </c>
      <c r="AA670" s="18">
        <f ca="1">Auxiliar_Projetos!E670</f>
        <v>3.4704424145571643E-9</v>
      </c>
      <c r="AB670" s="18">
        <f ca="1">Auxiliar_Projetos!K670</f>
        <v>2.6695710881208905E-9</v>
      </c>
      <c r="AC670" s="18">
        <f ca="1">IF(Z670-AA670-AB670&gt;Investimentos!$C$14,Investimentos!$C$14,IF(Z670-AA670-AB670&lt;Investimentos!$C$14,Z670-AA670-AB670,0))</f>
        <v>300000</v>
      </c>
      <c r="AD670" s="18">
        <f t="shared" ca="1" si="88"/>
        <v>46820136.402328484</v>
      </c>
      <c r="AE670" s="18"/>
    </row>
    <row r="671" spans="1:31" x14ac:dyDescent="0.2">
      <c r="A671" s="4">
        <v>66020</v>
      </c>
      <c r="B671" s="5" t="str">
        <f t="shared" si="84"/>
        <v>outubro</v>
      </c>
      <c r="C671" s="5" t="str">
        <f t="shared" si="90"/>
        <v>2080</v>
      </c>
      <c r="D671" s="5">
        <f>SUMIFS(Despesas!$F:$F,Despesas!$J:$J,"&lt;="&amp;$A671,Despesas!$L:$L,"&gt;="&amp;$A671,Despesas!$C:$C,D$1,Despesas!$M:$M,"Mensal")+SUMIFS(Despesas!$F:$F,Despesas!$J:$J,"&lt;="&amp;$A671,Despesas!$L:$L,"&gt;="&amp;$A671,Despesas!$C:$C,D$1,Despesas!$M:$M,$B671)</f>
        <v>23000</v>
      </c>
      <c r="E671" s="18">
        <f>SUMIFS(Despesas!$F:$F,Despesas!$J:$J,"&lt;="&amp;$A671,Despesas!$L:$L,"&gt;="&amp;$A671,Despesas!$C:$C,E$1,Despesas!$M:$M,"Mensal")+SUMIFS(Despesas!$F:$F,Despesas!$J:$J,"&lt;="&amp;$A671,Despesas!$L:$L,"&gt;="&amp;$A671,Despesas!$C:$C,E$1,Despesas!$M:$M,$B671)</f>
        <v>0</v>
      </c>
      <c r="F671" s="5">
        <f>SUMIFS(Despesas!$F:$F,Despesas!$J:$J,"&lt;="&amp;$A671,Despesas!$L:$L,"&gt;="&amp;$A671,Despesas!$C:$C,F$1,Despesas!$M:$M,"Mensal")+SUMIFS(Despesas!$F:$F,Despesas!$J:$J,"&lt;="&amp;$A671,Despesas!$L:$L,"&gt;="&amp;$A671,Despesas!$C:$C,F$1,Despesas!$M:$M,$B671)</f>
        <v>13000</v>
      </c>
      <c r="G671" s="5">
        <f>SUMIFS(Despesas!$F:$F,Despesas!$J:$J,"&lt;="&amp;$A671,Despesas!$L:$L,"&gt;="&amp;$A671,Despesas!$C:$C,G$1,Despesas!$M:$M,"Mensal")+SUMIFS(Despesas!$F:$F,Despesas!$J:$J,"&lt;="&amp;$A671,Despesas!$L:$L,"&gt;="&amp;$A671,Despesas!$C:$C,G$1,Despesas!$M:$M,$B671)</f>
        <v>0</v>
      </c>
      <c r="H671" s="18">
        <f>SUMIFS(Despesas!$F:$F,Despesas!$J:$J,"&lt;="&amp;$A671,Despesas!$L:$L,"&gt;="&amp;$A671,Despesas!$C:$C,H$1,Despesas!$M:$M,"Mensal")+SUMIFS(Despesas!$F:$F,Despesas!$J:$J,"&lt;="&amp;$A671,Despesas!$L:$L,"&gt;="&amp;$A671,Despesas!$C:$C,H$1,Despesas!$M:$M,$B671)</f>
        <v>1000</v>
      </c>
      <c r="I671" s="18">
        <f>IF(Imóveis!$F$2="PRICE",IF(AND(Dados!$A671&gt;=Imóveis!$Q$2,Dados!$A671&lt;=Imóveis!$T$2),Imóveis!$U$2,0),IF((IF(AND(Dados!$A671&gt;=Imóveis!$Q$2,Dados!$A671&lt;=Imóveis!$T$2),Imóveis!$S$2-(DATEDIF(Imóveis!$Q$2,Dados!$A671,"m")),0))=0,0,((Imóveis!$N$2/Imóveis!$S$2)+((Imóveis!$N$2-((Imóveis!$S$2-(IF(AND(Dados!$A671&gt;=Imóveis!$Q$2,Dados!$A671&lt;=Imóveis!$T$2),Imóveis!$S$2-(DATEDIF(Imóveis!$Q$2,Dados!$A671,"m")),)))*(Imóveis!$N$2/Imóveis!$S$2)))*Imóveis!$P$2))))*IF(AND(Imóveis!$E$2&gt;0,Dados!$A671&gt;Imóveis!$E$2),0,1)</f>
        <v>0</v>
      </c>
      <c r="J671" s="18">
        <f>IF(Imóveis!$F$3="PRICE",IF(AND(Dados!$A671&gt;=Imóveis!$Q$3,Dados!$A671&lt;=Imóveis!$T$3),Imóveis!$U$3,0),IF((IF(AND(Dados!$A671&gt;=Imóveis!$Q$3,Dados!$A671&lt;=Imóveis!$T$3),Imóveis!$S$3-(DATEDIF(Imóveis!$Q$3,Dados!$A671,"m")),0))=0,0,((Imóveis!$N$3/Imóveis!$S$3)+((Imóveis!$N$3-((Imóveis!$S$3-(IF(AND(Dados!$A671&gt;=Imóveis!$Q$3,Dados!$A671&lt;=Imóveis!$T$3),Imóveis!$S$3-(DATEDIF(Imóveis!$Q$3,Dados!$A671,"m")),)))*(Imóveis!$N$3/Imóveis!$S$3)))*Imóveis!$P$3))))*IF(AND(Imóveis!$E$3&gt;0,Dados!$A671&gt;Imóveis!$E$3),0,1)</f>
        <v>0</v>
      </c>
      <c r="K671" s="18">
        <f>IF(Imóveis!$F$4="PRICE",IF(AND(Dados!$A671&gt;=Imóveis!$Q$4,Dados!$A671&lt;=Imóveis!$T$4),Imóveis!$U$4,0),IF((IF(AND(Dados!$A671&gt;=Imóveis!$Q$4,Dados!$A671&lt;=Imóveis!$T$4),Imóveis!$S$4-(DATEDIF(Imóveis!$Q$4,Dados!$A671,"m")),0))=0,0,((Imóveis!$N$4/Imóveis!$S$4)+((Imóveis!$N$4-((Imóveis!$S$4-(IF(AND(Dados!$A671&gt;=Imóveis!$Q$4,Dados!$A671&lt;=Imóveis!$T$4),Imóveis!$S$4-(DATEDIF(Imóveis!$Q$4,Dados!$A671,"m")),)))*(Imóveis!$N$4/Imóveis!$S$4)))*Imóveis!$P$4))))*IF(AND(Imóveis!$E$4&gt;0,Dados!$A671&gt;Imóveis!$E$4),0,1)</f>
        <v>0</v>
      </c>
      <c r="L671" s="18">
        <f>IF(Imóveis!$F$5="PRICE",IF(AND(Dados!$A671&gt;=Imóveis!$Q$5,Dados!$A671&lt;=Imóveis!$T$5),Imóveis!$U$5,0),IF((IF(AND(Dados!$A671&gt;=Imóveis!$Q$5,Dados!$A671&lt;=Imóveis!$T$5),Imóveis!$S$5-(DATEDIF(Imóveis!$Q$5,Dados!$A671,"m")),0))=0,0,((Imóveis!$N$5/Imóveis!$S$5)+((Imóveis!$N$5-((Imóveis!$S$5-(IF(AND(Dados!$A671 &gt;=Imóveis!$Q$5,Dados!$A671&lt;=Imóveis!$T$5),Imóveis!$S$5-(DATEDIF(Imóveis!$Q$5,Dados!$A671,"m")),)))*(Imóveis!$N$5/Imóveis!$S$5)))*Imóveis!$P$5))))*IF(AND(Imóveis!$E$5&gt;0,Dados!$A671&gt;Imóveis!$E$5),0,1)*Imóveis!$I$5</f>
        <v>0</v>
      </c>
      <c r="M671" s="18">
        <f>IF(Imóveis!$F$6="PRICE",IF(AND(Dados!$A671&gt;=Imóveis!$Q$6,Dados!$A671&lt;=Imóveis!$T$6),Imóveis!$U$6,0),IF((IF(AND(Dados!$A671&gt;=Imóveis!$Q$6,Dados!$A671&lt;=Imóveis!$T$6),Imóveis!$S$6-(DATEDIF(Imóveis!$Q$6,Dados!$A671,"m")),0))=0,0,((Imóveis!$N$6/Imóveis!$S$6)+((Imóveis!$N$6-((Imóveis!$S$6-(IF(AND(Dados!$A671&gt;=Imóveis!$Q$6,Dados!$A671&lt;=Imóveis!$T$6),Imóveis!$S$6-(DATEDIF(Imóveis!$Q$6,Dados!$A671,"m")),)))*(Imóveis!$N$6/Imóveis!$S$6)))*Imóveis!$P$6))))*IF(AND(Imóveis!$E$6&gt;0,Dados!$A671&gt;Imóveis!$E$6),0,1)*Imóveis!$I$6</f>
        <v>0</v>
      </c>
      <c r="N671" s="18">
        <f t="shared" si="85"/>
        <v>37000</v>
      </c>
      <c r="O671" s="18">
        <f>SUMIFS(Receitas!$F:$F,Receitas!$J:$J,"&lt;="&amp;$A671,Receitas!$L:$L,"&gt;="&amp;$A671,Receitas!$C:$C,O$1,Receitas!$M:$M,"Mensal")+SUMIFS(Receitas!$F:$F,Receitas!$J:$J,"&lt;="&amp;$A671,Receitas!$L:$L,"&gt;="&amp;$A671,Receitas!$C:$C,O$1,Receitas!$M:$M,$B671)</f>
        <v>0</v>
      </c>
      <c r="P671" s="18">
        <f>SUMIFS(Receitas!$F:$F,Receitas!$J:$J,"&lt;="&amp;$A671,Receitas!$L:$L,"&gt;="&amp;$A671,Receitas!$C:$C,P$1,Receitas!$M:$M,"Mensal")+SUMIFS(Receitas!$F:$F,Receitas!$J:$J,"&lt;="&amp;$A671,Receitas!$L:$L,"&gt;="&amp;$A671,Receitas!$C:$C,P$1,Receitas!$M:$M,$B671)</f>
        <v>0</v>
      </c>
      <c r="Q671" s="18">
        <f>SUMIFS(Receitas!$F:$F,Receitas!$J:$J,"&lt;="&amp;$A671,Receitas!$L:$L,"&gt;="&amp;$A671,Receitas!$C:$C,Q$1,Receitas!$M:$M,"Mensal")+SUMIFS(Receitas!$F:$F,Receitas!$J:$J,"&lt;="&amp;$A671,Receitas!$L:$L,"&gt;="&amp;$A671,Receitas!$C:$C,Q$1,Receitas!$M:$M,$B671)</f>
        <v>0</v>
      </c>
      <c r="R671" s="18" cm="1">
        <f t="array" ref="R671">(IF(AND(Membros!$F$2="Sim",A671&lt;=MAX(Membros!$E$2:$E$5)),Membros!K$2,IF(AND(A671&gt;=Membros!J$2,A671&lt;=MAX(Membros!$E$2:$E$5)),Membros!K$2,0))+IF(AND(Membros!$F$3="Sim",A671&lt;=MAX(Membros!$E$2:$E$5)),Membros!K$3,IF(AND(A671&gt;=Membros!J$3,A671&lt;=MAX(Membros!$E$2:$E$5)),Membros!K$3,0)))*IF(AND(COUNTIFS(Tabela3[Tipo],"Provedor",Tabela3[Simulação Seguro],"Sim")=2,A671&gt;=MAX(IF(Tabela3[Tipo]="Dependente",Tabela3[Expectativa de Vida (Data)]))),0,1)</f>
        <v>10000</v>
      </c>
      <c r="S671" s="18">
        <f t="shared" si="86"/>
        <v>10000</v>
      </c>
      <c r="U671" s="18">
        <f t="shared" ca="1" si="89"/>
        <v>47120136.402328484</v>
      </c>
      <c r="V671" s="18">
        <f>SUMIF(Imóveis!E:E,Dados!A:A,Imóveis!Z:Z)-SUMIF(Imóveis!E:E,Dados!A:A,Imóveis!Y:Y)</f>
        <v>0</v>
      </c>
      <c r="W671" s="18">
        <f>-SUMIF(Projetos!N:N,A671,Projetos!F:F)</f>
        <v>0</v>
      </c>
      <c r="X671" s="18">
        <f t="shared" si="83"/>
        <v>-27000</v>
      </c>
      <c r="Y671" s="26">
        <f ca="1">(U671*((Indicadores_Economicos!D$2+1)^(1/12)-1))</f>
        <v>154259.06508294199</v>
      </c>
      <c r="Z671" s="18">
        <f t="shared" ca="1" si="87"/>
        <v>47247395.467411429</v>
      </c>
      <c r="AA671" s="18">
        <f ca="1">Auxiliar_Projetos!E671</f>
        <v>3.4818037399515303E-9</v>
      </c>
      <c r="AB671" s="18">
        <f ca="1">Auxiliar_Projetos!K671</f>
        <v>2.6783105691934798E-9</v>
      </c>
      <c r="AC671" s="18">
        <f ca="1">IF(Z671-AA671-AB671&gt;Investimentos!$C$14,Investimentos!$C$14,IF(Z671-AA671-AB671&lt;Investimentos!$C$14,Z671-AA671-AB671,0))</f>
        <v>300000</v>
      </c>
      <c r="AD671" s="18">
        <f t="shared" ca="1" si="88"/>
        <v>46947395.467411429</v>
      </c>
      <c r="AE671" s="18"/>
    </row>
    <row r="672" spans="1:31" x14ac:dyDescent="0.2">
      <c r="A672" s="4">
        <v>66051</v>
      </c>
      <c r="B672" s="5" t="str">
        <f t="shared" si="84"/>
        <v>novembro</v>
      </c>
      <c r="C672" s="5" t="str">
        <f t="shared" si="90"/>
        <v>2080</v>
      </c>
      <c r="D672" s="5">
        <f>SUMIFS(Despesas!$F:$F,Despesas!$J:$J,"&lt;="&amp;$A672,Despesas!$L:$L,"&gt;="&amp;$A672,Despesas!$C:$C,D$1,Despesas!$M:$M,"Mensal")+SUMIFS(Despesas!$F:$F,Despesas!$J:$J,"&lt;="&amp;$A672,Despesas!$L:$L,"&gt;="&amp;$A672,Despesas!$C:$C,D$1,Despesas!$M:$M,$B672)</f>
        <v>23000</v>
      </c>
      <c r="E672" s="18">
        <f>SUMIFS(Despesas!$F:$F,Despesas!$J:$J,"&lt;="&amp;$A672,Despesas!$L:$L,"&gt;="&amp;$A672,Despesas!$C:$C,E$1,Despesas!$M:$M,"Mensal")+SUMIFS(Despesas!$F:$F,Despesas!$J:$J,"&lt;="&amp;$A672,Despesas!$L:$L,"&gt;="&amp;$A672,Despesas!$C:$C,E$1,Despesas!$M:$M,$B672)</f>
        <v>0</v>
      </c>
      <c r="F672" s="5">
        <f>SUMIFS(Despesas!$F:$F,Despesas!$J:$J,"&lt;="&amp;$A672,Despesas!$L:$L,"&gt;="&amp;$A672,Despesas!$C:$C,F$1,Despesas!$M:$M,"Mensal")+SUMIFS(Despesas!$F:$F,Despesas!$J:$J,"&lt;="&amp;$A672,Despesas!$L:$L,"&gt;="&amp;$A672,Despesas!$C:$C,F$1,Despesas!$M:$M,$B672)</f>
        <v>13000</v>
      </c>
      <c r="G672" s="5">
        <f>SUMIFS(Despesas!$F:$F,Despesas!$J:$J,"&lt;="&amp;$A672,Despesas!$L:$L,"&gt;="&amp;$A672,Despesas!$C:$C,G$1,Despesas!$M:$M,"Mensal")+SUMIFS(Despesas!$F:$F,Despesas!$J:$J,"&lt;="&amp;$A672,Despesas!$L:$L,"&gt;="&amp;$A672,Despesas!$C:$C,G$1,Despesas!$M:$M,$B672)</f>
        <v>0</v>
      </c>
      <c r="H672" s="18">
        <f>SUMIFS(Despesas!$F:$F,Despesas!$J:$J,"&lt;="&amp;$A672,Despesas!$L:$L,"&gt;="&amp;$A672,Despesas!$C:$C,H$1,Despesas!$M:$M,"Mensal")+SUMIFS(Despesas!$F:$F,Despesas!$J:$J,"&lt;="&amp;$A672,Despesas!$L:$L,"&gt;="&amp;$A672,Despesas!$C:$C,H$1,Despesas!$M:$M,$B672)</f>
        <v>1000</v>
      </c>
      <c r="I672" s="18">
        <f>IF(Imóveis!$F$2="PRICE",IF(AND(Dados!$A672&gt;=Imóveis!$Q$2,Dados!$A672&lt;=Imóveis!$T$2),Imóveis!$U$2,0),IF((IF(AND(Dados!$A672&gt;=Imóveis!$Q$2,Dados!$A672&lt;=Imóveis!$T$2),Imóveis!$S$2-(DATEDIF(Imóveis!$Q$2,Dados!$A672,"m")),0))=0,0,((Imóveis!$N$2/Imóveis!$S$2)+((Imóveis!$N$2-((Imóveis!$S$2-(IF(AND(Dados!$A672&gt;=Imóveis!$Q$2,Dados!$A672&lt;=Imóveis!$T$2),Imóveis!$S$2-(DATEDIF(Imóveis!$Q$2,Dados!$A672,"m")),)))*(Imóveis!$N$2/Imóveis!$S$2)))*Imóveis!$P$2))))*IF(AND(Imóveis!$E$2&gt;0,Dados!$A672&gt;Imóveis!$E$2),0,1)</f>
        <v>0</v>
      </c>
      <c r="J672" s="18">
        <f>IF(Imóveis!$F$3="PRICE",IF(AND(Dados!$A672&gt;=Imóveis!$Q$3,Dados!$A672&lt;=Imóveis!$T$3),Imóveis!$U$3,0),IF((IF(AND(Dados!$A672&gt;=Imóveis!$Q$3,Dados!$A672&lt;=Imóveis!$T$3),Imóveis!$S$3-(DATEDIF(Imóveis!$Q$3,Dados!$A672,"m")),0))=0,0,((Imóveis!$N$3/Imóveis!$S$3)+((Imóveis!$N$3-((Imóveis!$S$3-(IF(AND(Dados!$A672&gt;=Imóveis!$Q$3,Dados!$A672&lt;=Imóveis!$T$3),Imóveis!$S$3-(DATEDIF(Imóveis!$Q$3,Dados!$A672,"m")),)))*(Imóveis!$N$3/Imóveis!$S$3)))*Imóveis!$P$3))))*IF(AND(Imóveis!$E$3&gt;0,Dados!$A672&gt;Imóveis!$E$3),0,1)</f>
        <v>0</v>
      </c>
      <c r="K672" s="18">
        <f>IF(Imóveis!$F$4="PRICE",IF(AND(Dados!$A672&gt;=Imóveis!$Q$4,Dados!$A672&lt;=Imóveis!$T$4),Imóveis!$U$4,0),IF((IF(AND(Dados!$A672&gt;=Imóveis!$Q$4,Dados!$A672&lt;=Imóveis!$T$4),Imóveis!$S$4-(DATEDIF(Imóveis!$Q$4,Dados!$A672,"m")),0))=0,0,((Imóveis!$N$4/Imóveis!$S$4)+((Imóveis!$N$4-((Imóveis!$S$4-(IF(AND(Dados!$A672&gt;=Imóveis!$Q$4,Dados!$A672&lt;=Imóveis!$T$4),Imóveis!$S$4-(DATEDIF(Imóveis!$Q$4,Dados!$A672,"m")),)))*(Imóveis!$N$4/Imóveis!$S$4)))*Imóveis!$P$4))))*IF(AND(Imóveis!$E$4&gt;0,Dados!$A672&gt;Imóveis!$E$4),0,1)</f>
        <v>0</v>
      </c>
      <c r="L672" s="18">
        <f>IF(Imóveis!$F$5="PRICE",IF(AND(Dados!$A672&gt;=Imóveis!$Q$5,Dados!$A672&lt;=Imóveis!$T$5),Imóveis!$U$5,0),IF((IF(AND(Dados!$A672&gt;=Imóveis!$Q$5,Dados!$A672&lt;=Imóveis!$T$5),Imóveis!$S$5-(DATEDIF(Imóveis!$Q$5,Dados!$A672,"m")),0))=0,0,((Imóveis!$N$5/Imóveis!$S$5)+((Imóveis!$N$5-((Imóveis!$S$5-(IF(AND(Dados!$A672 &gt;=Imóveis!$Q$5,Dados!$A672&lt;=Imóveis!$T$5),Imóveis!$S$5-(DATEDIF(Imóveis!$Q$5,Dados!$A672,"m")),)))*(Imóveis!$N$5/Imóveis!$S$5)))*Imóveis!$P$5))))*IF(AND(Imóveis!$E$5&gt;0,Dados!$A672&gt;Imóveis!$E$5),0,1)*Imóveis!$I$5</f>
        <v>0</v>
      </c>
      <c r="M672" s="18">
        <f>IF(Imóveis!$F$6="PRICE",IF(AND(Dados!$A672&gt;=Imóveis!$Q$6,Dados!$A672&lt;=Imóveis!$T$6),Imóveis!$U$6,0),IF((IF(AND(Dados!$A672&gt;=Imóveis!$Q$6,Dados!$A672&lt;=Imóveis!$T$6),Imóveis!$S$6-(DATEDIF(Imóveis!$Q$6,Dados!$A672,"m")),0))=0,0,((Imóveis!$N$6/Imóveis!$S$6)+((Imóveis!$N$6-((Imóveis!$S$6-(IF(AND(Dados!$A672&gt;=Imóveis!$Q$6,Dados!$A672&lt;=Imóveis!$T$6),Imóveis!$S$6-(DATEDIF(Imóveis!$Q$6,Dados!$A672,"m")),)))*(Imóveis!$N$6/Imóveis!$S$6)))*Imóveis!$P$6))))*IF(AND(Imóveis!$E$6&gt;0,Dados!$A672&gt;Imóveis!$E$6),0,1)*Imóveis!$I$6</f>
        <v>0</v>
      </c>
      <c r="N672" s="18">
        <f t="shared" si="85"/>
        <v>37000</v>
      </c>
      <c r="O672" s="18">
        <f>SUMIFS(Receitas!$F:$F,Receitas!$J:$J,"&lt;="&amp;$A672,Receitas!$L:$L,"&gt;="&amp;$A672,Receitas!$C:$C,O$1,Receitas!$M:$M,"Mensal")+SUMIFS(Receitas!$F:$F,Receitas!$J:$J,"&lt;="&amp;$A672,Receitas!$L:$L,"&gt;="&amp;$A672,Receitas!$C:$C,O$1,Receitas!$M:$M,$B672)</f>
        <v>0</v>
      </c>
      <c r="P672" s="18">
        <f>SUMIFS(Receitas!$F:$F,Receitas!$J:$J,"&lt;="&amp;$A672,Receitas!$L:$L,"&gt;="&amp;$A672,Receitas!$C:$C,P$1,Receitas!$M:$M,"Mensal")+SUMIFS(Receitas!$F:$F,Receitas!$J:$J,"&lt;="&amp;$A672,Receitas!$L:$L,"&gt;="&amp;$A672,Receitas!$C:$C,P$1,Receitas!$M:$M,$B672)</f>
        <v>0</v>
      </c>
      <c r="Q672" s="18">
        <f>SUMIFS(Receitas!$F:$F,Receitas!$J:$J,"&lt;="&amp;$A672,Receitas!$L:$L,"&gt;="&amp;$A672,Receitas!$C:$C,Q$1,Receitas!$M:$M,"Mensal")+SUMIFS(Receitas!$F:$F,Receitas!$J:$J,"&lt;="&amp;$A672,Receitas!$L:$L,"&gt;="&amp;$A672,Receitas!$C:$C,Q$1,Receitas!$M:$M,$B672)</f>
        <v>0</v>
      </c>
      <c r="R672" s="18" cm="1">
        <f t="array" ref="R672">(IF(AND(Membros!$F$2="Sim",A672&lt;=MAX(Membros!$E$2:$E$5)),Membros!K$2,IF(AND(A672&gt;=Membros!J$2,A672&lt;=MAX(Membros!$E$2:$E$5)),Membros!K$2,0))+IF(AND(Membros!$F$3="Sim",A672&lt;=MAX(Membros!$E$2:$E$5)),Membros!K$3,IF(AND(A672&gt;=Membros!J$3,A672&lt;=MAX(Membros!$E$2:$E$5)),Membros!K$3,0)))*IF(AND(COUNTIFS(Tabela3[Tipo],"Provedor",Tabela3[Simulação Seguro],"Sim")=2,A672&gt;=MAX(IF(Tabela3[Tipo]="Dependente",Tabela3[Expectativa de Vida (Data)]))),0,1)</f>
        <v>10000</v>
      </c>
      <c r="S672" s="18">
        <f t="shared" si="86"/>
        <v>10000</v>
      </c>
      <c r="U672" s="18">
        <f t="shared" ca="1" si="89"/>
        <v>47247395.467411429</v>
      </c>
      <c r="V672" s="18">
        <f>SUMIF(Imóveis!E:E,Dados!A:A,Imóveis!Z:Z)-SUMIF(Imóveis!E:E,Dados!A:A,Imóveis!Y:Y)</f>
        <v>0</v>
      </c>
      <c r="W672" s="18">
        <f>-SUMIF(Projetos!N:N,A672,Projetos!F:F)</f>
        <v>0</v>
      </c>
      <c r="X672" s="18">
        <f t="shared" si="83"/>
        <v>-27000</v>
      </c>
      <c r="Y672" s="26">
        <f ca="1">(U672*((Indicadores_Economicos!D$2+1)^(1/12)-1))</f>
        <v>154675.67814694947</v>
      </c>
      <c r="Z672" s="18">
        <f t="shared" ca="1" si="87"/>
        <v>47375071.14555838</v>
      </c>
      <c r="AA672" s="18">
        <f ca="1">Auxiliar_Projetos!E672</f>
        <v>3.4932022593688186E-9</v>
      </c>
      <c r="AB672" s="18">
        <f ca="1">Auxiliar_Projetos!K672</f>
        <v>2.6870786610529323E-9</v>
      </c>
      <c r="AC672" s="18">
        <f ca="1">IF(Z672-AA672-AB672&gt;Investimentos!$C$14,Investimentos!$C$14,IF(Z672-AA672-AB672&lt;Investimentos!$C$14,Z672-AA672-AB672,0))</f>
        <v>300000</v>
      </c>
      <c r="AD672" s="18">
        <f t="shared" ca="1" si="88"/>
        <v>47075071.14555838</v>
      </c>
      <c r="AE672" s="18"/>
    </row>
    <row r="673" spans="1:31" x14ac:dyDescent="0.2">
      <c r="A673" s="4">
        <v>66081</v>
      </c>
      <c r="B673" s="5" t="str">
        <f t="shared" si="84"/>
        <v>dezembro</v>
      </c>
      <c r="C673" s="5" t="str">
        <f t="shared" si="90"/>
        <v>2080</v>
      </c>
      <c r="D673" s="5">
        <f>SUMIFS(Despesas!$F:$F,Despesas!$J:$J,"&lt;="&amp;$A673,Despesas!$L:$L,"&gt;="&amp;$A673,Despesas!$C:$C,D$1,Despesas!$M:$M,"Mensal")+SUMIFS(Despesas!$F:$F,Despesas!$J:$J,"&lt;="&amp;$A673,Despesas!$L:$L,"&gt;="&amp;$A673,Despesas!$C:$C,D$1,Despesas!$M:$M,$B673)</f>
        <v>23000</v>
      </c>
      <c r="E673" s="18">
        <f>SUMIFS(Despesas!$F:$F,Despesas!$J:$J,"&lt;="&amp;$A673,Despesas!$L:$L,"&gt;="&amp;$A673,Despesas!$C:$C,E$1,Despesas!$M:$M,"Mensal")+SUMIFS(Despesas!$F:$F,Despesas!$J:$J,"&lt;="&amp;$A673,Despesas!$L:$L,"&gt;="&amp;$A673,Despesas!$C:$C,E$1,Despesas!$M:$M,$B673)</f>
        <v>0</v>
      </c>
      <c r="F673" s="5">
        <f>SUMIFS(Despesas!$F:$F,Despesas!$J:$J,"&lt;="&amp;$A673,Despesas!$L:$L,"&gt;="&amp;$A673,Despesas!$C:$C,F$1,Despesas!$M:$M,"Mensal")+SUMIFS(Despesas!$F:$F,Despesas!$J:$J,"&lt;="&amp;$A673,Despesas!$L:$L,"&gt;="&amp;$A673,Despesas!$C:$C,F$1,Despesas!$M:$M,$B673)</f>
        <v>13000</v>
      </c>
      <c r="G673" s="5">
        <f ca="1">SUMIFS(Despesas!$F:$F,Despesas!$J:$J,"&lt;="&amp;$A673,Despesas!$L:$L,"&gt;="&amp;$A673,Despesas!$C:$C,G$1,Despesas!$M:$M,"Mensal")+SUMIFS(Despesas!$F:$F,Despesas!$J:$J,"&lt;="&amp;$A673,Despesas!$L:$L,"&gt;="&amp;$A673,Despesas!$C:$C,G$1,Despesas!$M:$M,$B673)</f>
        <v>55757</v>
      </c>
      <c r="H673" s="18">
        <f>SUMIFS(Despesas!$F:$F,Despesas!$J:$J,"&lt;="&amp;$A673,Despesas!$L:$L,"&gt;="&amp;$A673,Despesas!$C:$C,H$1,Despesas!$M:$M,"Mensal")+SUMIFS(Despesas!$F:$F,Despesas!$J:$J,"&lt;="&amp;$A673,Despesas!$L:$L,"&gt;="&amp;$A673,Despesas!$C:$C,H$1,Despesas!$M:$M,$B673)</f>
        <v>1000</v>
      </c>
      <c r="I673" s="18">
        <f>IF(Imóveis!$F$2="PRICE",IF(AND(Dados!$A673&gt;=Imóveis!$Q$2,Dados!$A673&lt;=Imóveis!$T$2),Imóveis!$U$2,0),IF((IF(AND(Dados!$A673&gt;=Imóveis!$Q$2,Dados!$A673&lt;=Imóveis!$T$2),Imóveis!$S$2-(DATEDIF(Imóveis!$Q$2,Dados!$A673,"m")),0))=0,0,((Imóveis!$N$2/Imóveis!$S$2)+((Imóveis!$N$2-((Imóveis!$S$2-(IF(AND(Dados!$A673&gt;=Imóveis!$Q$2,Dados!$A673&lt;=Imóveis!$T$2),Imóveis!$S$2-(DATEDIF(Imóveis!$Q$2,Dados!$A673,"m")),)))*(Imóveis!$N$2/Imóveis!$S$2)))*Imóveis!$P$2))))*IF(AND(Imóveis!$E$2&gt;0,Dados!$A673&gt;Imóveis!$E$2),0,1)</f>
        <v>0</v>
      </c>
      <c r="J673" s="18">
        <f>IF(Imóveis!$F$3="PRICE",IF(AND(Dados!$A673&gt;=Imóveis!$Q$3,Dados!$A673&lt;=Imóveis!$T$3),Imóveis!$U$3,0),IF((IF(AND(Dados!$A673&gt;=Imóveis!$Q$3,Dados!$A673&lt;=Imóveis!$T$3),Imóveis!$S$3-(DATEDIF(Imóveis!$Q$3,Dados!$A673,"m")),0))=0,0,((Imóveis!$N$3/Imóveis!$S$3)+((Imóveis!$N$3-((Imóveis!$S$3-(IF(AND(Dados!$A673&gt;=Imóveis!$Q$3,Dados!$A673&lt;=Imóveis!$T$3),Imóveis!$S$3-(DATEDIF(Imóveis!$Q$3,Dados!$A673,"m")),)))*(Imóveis!$N$3/Imóveis!$S$3)))*Imóveis!$P$3))))*IF(AND(Imóveis!$E$3&gt;0,Dados!$A673&gt;Imóveis!$E$3),0,1)</f>
        <v>0</v>
      </c>
      <c r="K673" s="18">
        <f>IF(Imóveis!$F$4="PRICE",IF(AND(Dados!$A673&gt;=Imóveis!$Q$4,Dados!$A673&lt;=Imóveis!$T$4),Imóveis!$U$4,0),IF((IF(AND(Dados!$A673&gt;=Imóveis!$Q$4,Dados!$A673&lt;=Imóveis!$T$4),Imóveis!$S$4-(DATEDIF(Imóveis!$Q$4,Dados!$A673,"m")),0))=0,0,((Imóveis!$N$4/Imóveis!$S$4)+((Imóveis!$N$4-((Imóveis!$S$4-(IF(AND(Dados!$A673&gt;=Imóveis!$Q$4,Dados!$A673&lt;=Imóveis!$T$4),Imóveis!$S$4-(DATEDIF(Imóveis!$Q$4,Dados!$A673,"m")),)))*(Imóveis!$N$4/Imóveis!$S$4)))*Imóveis!$P$4))))*IF(AND(Imóveis!$E$4&gt;0,Dados!$A673&gt;Imóveis!$E$4),0,1)</f>
        <v>0</v>
      </c>
      <c r="L673" s="18">
        <f>IF(Imóveis!$F$5="PRICE",IF(AND(Dados!$A673&gt;=Imóveis!$Q$5,Dados!$A673&lt;=Imóveis!$T$5),Imóveis!$U$5,0),IF((IF(AND(Dados!$A673&gt;=Imóveis!$Q$5,Dados!$A673&lt;=Imóveis!$T$5),Imóveis!$S$5-(DATEDIF(Imóveis!$Q$5,Dados!$A673,"m")),0))=0,0,((Imóveis!$N$5/Imóveis!$S$5)+((Imóveis!$N$5-((Imóveis!$S$5-(IF(AND(Dados!$A673 &gt;=Imóveis!$Q$5,Dados!$A673&lt;=Imóveis!$T$5),Imóveis!$S$5-(DATEDIF(Imóveis!$Q$5,Dados!$A673,"m")),)))*(Imóveis!$N$5/Imóveis!$S$5)))*Imóveis!$P$5))))*IF(AND(Imóveis!$E$5&gt;0,Dados!$A673&gt;Imóveis!$E$5),0,1)*Imóveis!$I$5</f>
        <v>0</v>
      </c>
      <c r="M673" s="18">
        <f>IF(Imóveis!$F$6="PRICE",IF(AND(Dados!$A673&gt;=Imóveis!$Q$6,Dados!$A673&lt;=Imóveis!$T$6),Imóveis!$U$6,0),IF((IF(AND(Dados!$A673&gt;=Imóveis!$Q$6,Dados!$A673&lt;=Imóveis!$T$6),Imóveis!$S$6-(DATEDIF(Imóveis!$Q$6,Dados!$A673,"m")),0))=0,0,((Imóveis!$N$6/Imóveis!$S$6)+((Imóveis!$N$6-((Imóveis!$S$6-(IF(AND(Dados!$A673&gt;=Imóveis!$Q$6,Dados!$A673&lt;=Imóveis!$T$6),Imóveis!$S$6-(DATEDIF(Imóveis!$Q$6,Dados!$A673,"m")),)))*(Imóveis!$N$6/Imóveis!$S$6)))*Imóveis!$P$6))))*IF(AND(Imóveis!$E$6&gt;0,Dados!$A673&gt;Imóveis!$E$6),0,1)*Imóveis!$I$6</f>
        <v>0</v>
      </c>
      <c r="N673" s="18">
        <f t="shared" ca="1" si="85"/>
        <v>92757</v>
      </c>
      <c r="O673" s="18">
        <f>SUMIFS(Receitas!$F:$F,Receitas!$J:$J,"&lt;="&amp;$A673,Receitas!$L:$L,"&gt;="&amp;$A673,Receitas!$C:$C,O$1,Receitas!$M:$M,"Mensal")+SUMIFS(Receitas!$F:$F,Receitas!$J:$J,"&lt;="&amp;$A673,Receitas!$L:$L,"&gt;="&amp;$A673,Receitas!$C:$C,O$1,Receitas!$M:$M,$B673)</f>
        <v>0</v>
      </c>
      <c r="P673" s="18">
        <f>SUMIFS(Receitas!$F:$F,Receitas!$J:$J,"&lt;="&amp;$A673,Receitas!$L:$L,"&gt;="&amp;$A673,Receitas!$C:$C,P$1,Receitas!$M:$M,"Mensal")+SUMIFS(Receitas!$F:$F,Receitas!$J:$J,"&lt;="&amp;$A673,Receitas!$L:$L,"&gt;="&amp;$A673,Receitas!$C:$C,P$1,Receitas!$M:$M,$B673)</f>
        <v>0</v>
      </c>
      <c r="Q673" s="18">
        <f>SUMIFS(Receitas!$F:$F,Receitas!$J:$J,"&lt;="&amp;$A673,Receitas!$L:$L,"&gt;="&amp;$A673,Receitas!$C:$C,Q$1,Receitas!$M:$M,"Mensal")+SUMIFS(Receitas!$F:$F,Receitas!$J:$J,"&lt;="&amp;$A673,Receitas!$L:$L,"&gt;="&amp;$A673,Receitas!$C:$C,Q$1,Receitas!$M:$M,$B673)</f>
        <v>0</v>
      </c>
      <c r="R673" s="18" cm="1">
        <f t="array" ref="R673">(IF(AND(Membros!$F$2="Sim",A673&lt;=MAX(Membros!$E$2:$E$5)),Membros!K$2,IF(AND(A673&gt;=Membros!J$2,A673&lt;=MAX(Membros!$E$2:$E$5)),Membros!K$2,0))+IF(AND(Membros!$F$3="Sim",A673&lt;=MAX(Membros!$E$2:$E$5)),Membros!K$3,IF(AND(A673&gt;=Membros!J$3,A673&lt;=MAX(Membros!$E$2:$E$5)),Membros!K$3,0)))*IF(AND(COUNTIFS(Tabela3[Tipo],"Provedor",Tabela3[Simulação Seguro],"Sim")=2,A673&gt;=MAX(IF(Tabela3[Tipo]="Dependente",Tabela3[Expectativa de Vida (Data)]))),0,1)</f>
        <v>10000</v>
      </c>
      <c r="S673" s="18">
        <f t="shared" si="86"/>
        <v>10000</v>
      </c>
      <c r="U673" s="18">
        <f t="shared" ca="1" si="89"/>
        <v>47375071.14555838</v>
      </c>
      <c r="V673" s="18">
        <f>SUMIF(Imóveis!E:E,Dados!A:A,Imóveis!Z:Z)-SUMIF(Imóveis!E:E,Dados!A:A,Imóveis!Y:Y)</f>
        <v>0</v>
      </c>
      <c r="W673" s="18">
        <f>-SUMIF(Projetos!N:N,A673,Projetos!F:F)</f>
        <v>0</v>
      </c>
      <c r="X673" s="18">
        <f t="shared" ca="1" si="83"/>
        <v>-82757</v>
      </c>
      <c r="Y673" s="26">
        <f ca="1">(U673*((Indicadores_Economicos!D$2+1)^(1/12)-1))</f>
        <v>155093.65509371838</v>
      </c>
      <c r="Z673" s="18">
        <f t="shared" ca="1" si="87"/>
        <v>47447407.800652102</v>
      </c>
      <c r="AA673" s="18">
        <f ca="1">Auxiliar_Projetos!E673</f>
        <v>3.5046380945725816E-9</v>
      </c>
      <c r="AB673" s="18">
        <f ca="1">Auxiliar_Projetos!K673</f>
        <v>2.695875457363519E-9</v>
      </c>
      <c r="AC673" s="18">
        <f ca="1">IF(Z673-AA673-AB673&gt;Investimentos!$C$14,Investimentos!$C$14,IF(Z673-AA673-AB673&lt;Investimentos!$C$14,Z673-AA673-AB673,0))</f>
        <v>300000</v>
      </c>
      <c r="AD673" s="18">
        <f t="shared" ca="1" si="88"/>
        <v>47147407.800652102</v>
      </c>
      <c r="AE673" s="18"/>
    </row>
    <row r="674" spans="1:31" x14ac:dyDescent="0.2">
      <c r="A674" s="4">
        <v>66112</v>
      </c>
      <c r="B674" s="5" t="str">
        <f t="shared" si="84"/>
        <v>janeiro</v>
      </c>
      <c r="C674" s="5" t="str">
        <f t="shared" si="90"/>
        <v>2081</v>
      </c>
      <c r="D674" s="5">
        <f>SUMIFS(Despesas!$F:$F,Despesas!$J:$J,"&lt;="&amp;$A674,Despesas!$L:$L,"&gt;="&amp;$A674,Despesas!$C:$C,D$1,Despesas!$M:$M,"Mensal")+SUMIFS(Despesas!$F:$F,Despesas!$J:$J,"&lt;="&amp;$A674,Despesas!$L:$L,"&gt;="&amp;$A674,Despesas!$C:$C,D$1,Despesas!$M:$M,$B674)</f>
        <v>23000</v>
      </c>
      <c r="E674" s="18">
        <f>SUMIFS(Despesas!$F:$F,Despesas!$J:$J,"&lt;="&amp;$A674,Despesas!$L:$L,"&gt;="&amp;$A674,Despesas!$C:$C,E$1,Despesas!$M:$M,"Mensal")+SUMIFS(Despesas!$F:$F,Despesas!$J:$J,"&lt;="&amp;$A674,Despesas!$L:$L,"&gt;="&amp;$A674,Despesas!$C:$C,E$1,Despesas!$M:$M,$B674)</f>
        <v>0</v>
      </c>
      <c r="F674" s="5">
        <f>SUMIFS(Despesas!$F:$F,Despesas!$J:$J,"&lt;="&amp;$A674,Despesas!$L:$L,"&gt;="&amp;$A674,Despesas!$C:$C,F$1,Despesas!$M:$M,"Mensal")+SUMIFS(Despesas!$F:$F,Despesas!$J:$J,"&lt;="&amp;$A674,Despesas!$L:$L,"&gt;="&amp;$A674,Despesas!$C:$C,F$1,Despesas!$M:$M,$B674)</f>
        <v>13000</v>
      </c>
      <c r="G674" s="5">
        <f>SUMIFS(Despesas!$F:$F,Despesas!$J:$J,"&lt;="&amp;$A674,Despesas!$L:$L,"&gt;="&amp;$A674,Despesas!$C:$C,G$1,Despesas!$M:$M,"Mensal")+SUMIFS(Despesas!$F:$F,Despesas!$J:$J,"&lt;="&amp;$A674,Despesas!$L:$L,"&gt;="&amp;$A674,Despesas!$C:$C,G$1,Despesas!$M:$M,$B674)</f>
        <v>0</v>
      </c>
      <c r="H674" s="18">
        <f>SUMIFS(Despesas!$F:$F,Despesas!$J:$J,"&lt;="&amp;$A674,Despesas!$L:$L,"&gt;="&amp;$A674,Despesas!$C:$C,H$1,Despesas!$M:$M,"Mensal")+SUMIFS(Despesas!$F:$F,Despesas!$J:$J,"&lt;="&amp;$A674,Despesas!$L:$L,"&gt;="&amp;$A674,Despesas!$C:$C,H$1,Despesas!$M:$M,$B674)</f>
        <v>1000</v>
      </c>
      <c r="I674" s="18">
        <f>IF(Imóveis!$F$2="PRICE",IF(AND(Dados!$A674&gt;=Imóveis!$Q$2,Dados!$A674&lt;=Imóveis!$T$2),Imóveis!$U$2,0),IF((IF(AND(Dados!$A674&gt;=Imóveis!$Q$2,Dados!$A674&lt;=Imóveis!$T$2),Imóveis!$S$2-(DATEDIF(Imóveis!$Q$2,Dados!$A674,"m")),0))=0,0,((Imóveis!$N$2/Imóveis!$S$2)+((Imóveis!$N$2-((Imóveis!$S$2-(IF(AND(Dados!$A674&gt;=Imóveis!$Q$2,Dados!$A674&lt;=Imóveis!$T$2),Imóveis!$S$2-(DATEDIF(Imóveis!$Q$2,Dados!$A674,"m")),)))*(Imóveis!$N$2/Imóveis!$S$2)))*Imóveis!$P$2))))*IF(AND(Imóveis!$E$2&gt;0,Dados!$A674&gt;Imóveis!$E$2),0,1)</f>
        <v>0</v>
      </c>
      <c r="J674" s="18">
        <f>IF(Imóveis!$F$3="PRICE",IF(AND(Dados!$A674&gt;=Imóveis!$Q$3,Dados!$A674&lt;=Imóveis!$T$3),Imóveis!$U$3,0),IF((IF(AND(Dados!$A674&gt;=Imóveis!$Q$3,Dados!$A674&lt;=Imóveis!$T$3),Imóveis!$S$3-(DATEDIF(Imóveis!$Q$3,Dados!$A674,"m")),0))=0,0,((Imóveis!$N$3/Imóveis!$S$3)+((Imóveis!$N$3-((Imóveis!$S$3-(IF(AND(Dados!$A674&gt;=Imóveis!$Q$3,Dados!$A674&lt;=Imóveis!$T$3),Imóveis!$S$3-(DATEDIF(Imóveis!$Q$3,Dados!$A674,"m")),)))*(Imóveis!$N$3/Imóveis!$S$3)))*Imóveis!$P$3))))*IF(AND(Imóveis!$E$3&gt;0,Dados!$A674&gt;Imóveis!$E$3),0,1)</f>
        <v>0</v>
      </c>
      <c r="K674" s="18">
        <f>IF(Imóveis!$F$4="PRICE",IF(AND(Dados!$A674&gt;=Imóveis!$Q$4,Dados!$A674&lt;=Imóveis!$T$4),Imóveis!$U$4,0),IF((IF(AND(Dados!$A674&gt;=Imóveis!$Q$4,Dados!$A674&lt;=Imóveis!$T$4),Imóveis!$S$4-(DATEDIF(Imóveis!$Q$4,Dados!$A674,"m")),0))=0,0,((Imóveis!$N$4/Imóveis!$S$4)+((Imóveis!$N$4-((Imóveis!$S$4-(IF(AND(Dados!$A674&gt;=Imóveis!$Q$4,Dados!$A674&lt;=Imóveis!$T$4),Imóveis!$S$4-(DATEDIF(Imóveis!$Q$4,Dados!$A674,"m")),)))*(Imóveis!$N$4/Imóveis!$S$4)))*Imóveis!$P$4))))*IF(AND(Imóveis!$E$4&gt;0,Dados!$A674&gt;Imóveis!$E$4),0,1)</f>
        <v>0</v>
      </c>
      <c r="L674" s="18">
        <f>IF(Imóveis!$F$5="PRICE",IF(AND(Dados!$A674&gt;=Imóveis!$Q$5,Dados!$A674&lt;=Imóveis!$T$5),Imóveis!$U$5,0),IF((IF(AND(Dados!$A674&gt;=Imóveis!$Q$5,Dados!$A674&lt;=Imóveis!$T$5),Imóveis!$S$5-(DATEDIF(Imóveis!$Q$5,Dados!$A674,"m")),0))=0,0,((Imóveis!$N$5/Imóveis!$S$5)+((Imóveis!$N$5-((Imóveis!$S$5-(IF(AND(Dados!$A674 &gt;=Imóveis!$Q$5,Dados!$A674&lt;=Imóveis!$T$5),Imóveis!$S$5-(DATEDIF(Imóveis!$Q$5,Dados!$A674,"m")),)))*(Imóveis!$N$5/Imóveis!$S$5)))*Imóveis!$P$5))))*IF(AND(Imóveis!$E$5&gt;0,Dados!$A674&gt;Imóveis!$E$5),0,1)*Imóveis!$I$5</f>
        <v>0</v>
      </c>
      <c r="M674" s="18">
        <f>IF(Imóveis!$F$6="PRICE",IF(AND(Dados!$A674&gt;=Imóveis!$Q$6,Dados!$A674&lt;=Imóveis!$T$6),Imóveis!$U$6,0),IF((IF(AND(Dados!$A674&gt;=Imóveis!$Q$6,Dados!$A674&lt;=Imóveis!$T$6),Imóveis!$S$6-(DATEDIF(Imóveis!$Q$6,Dados!$A674,"m")),0))=0,0,((Imóveis!$N$6/Imóveis!$S$6)+((Imóveis!$N$6-((Imóveis!$S$6-(IF(AND(Dados!$A674&gt;=Imóveis!$Q$6,Dados!$A674&lt;=Imóveis!$T$6),Imóveis!$S$6-(DATEDIF(Imóveis!$Q$6,Dados!$A674,"m")),)))*(Imóveis!$N$6/Imóveis!$S$6)))*Imóveis!$P$6))))*IF(AND(Imóveis!$E$6&gt;0,Dados!$A674&gt;Imóveis!$E$6),0,1)*Imóveis!$I$6</f>
        <v>0</v>
      </c>
      <c r="N674" s="18">
        <f t="shared" si="85"/>
        <v>37000</v>
      </c>
      <c r="O674" s="18">
        <f>SUMIFS(Receitas!$F:$F,Receitas!$J:$J,"&lt;="&amp;$A674,Receitas!$L:$L,"&gt;="&amp;$A674,Receitas!$C:$C,O$1,Receitas!$M:$M,"Mensal")+SUMIFS(Receitas!$F:$F,Receitas!$J:$J,"&lt;="&amp;$A674,Receitas!$L:$L,"&gt;="&amp;$A674,Receitas!$C:$C,O$1,Receitas!$M:$M,$B674)</f>
        <v>0</v>
      </c>
      <c r="P674" s="18">
        <f>SUMIFS(Receitas!$F:$F,Receitas!$J:$J,"&lt;="&amp;$A674,Receitas!$L:$L,"&gt;="&amp;$A674,Receitas!$C:$C,P$1,Receitas!$M:$M,"Mensal")+SUMIFS(Receitas!$F:$F,Receitas!$J:$J,"&lt;="&amp;$A674,Receitas!$L:$L,"&gt;="&amp;$A674,Receitas!$C:$C,P$1,Receitas!$M:$M,$B674)</f>
        <v>0</v>
      </c>
      <c r="Q674" s="18">
        <f>SUMIFS(Receitas!$F:$F,Receitas!$J:$J,"&lt;="&amp;$A674,Receitas!$L:$L,"&gt;="&amp;$A674,Receitas!$C:$C,Q$1,Receitas!$M:$M,"Mensal")+SUMIFS(Receitas!$F:$F,Receitas!$J:$J,"&lt;="&amp;$A674,Receitas!$L:$L,"&gt;="&amp;$A674,Receitas!$C:$C,Q$1,Receitas!$M:$M,$B674)</f>
        <v>0</v>
      </c>
      <c r="R674" s="18" cm="1">
        <f t="array" ref="R674">(IF(AND(Membros!$F$2="Sim",A674&lt;=MAX(Membros!$E$2:$E$5)),Membros!K$2,IF(AND(A674&gt;=Membros!J$2,A674&lt;=MAX(Membros!$E$2:$E$5)),Membros!K$2,0))+IF(AND(Membros!$F$3="Sim",A674&lt;=MAX(Membros!$E$2:$E$5)),Membros!K$3,IF(AND(A674&gt;=Membros!J$3,A674&lt;=MAX(Membros!$E$2:$E$5)),Membros!K$3,0)))*IF(AND(COUNTIFS(Tabela3[Tipo],"Provedor",Tabela3[Simulação Seguro],"Sim")=2,A674&gt;=MAX(IF(Tabela3[Tipo]="Dependente",Tabela3[Expectativa de Vida (Data)]))),0,1)</f>
        <v>10000</v>
      </c>
      <c r="S674" s="18">
        <f t="shared" si="86"/>
        <v>10000</v>
      </c>
      <c r="U674" s="18">
        <f t="shared" ca="1" si="89"/>
        <v>47447407.800652102</v>
      </c>
      <c r="V674" s="18">
        <f>SUMIF(Imóveis!E:E,Dados!A:A,Imóveis!Z:Z)-SUMIF(Imóveis!E:E,Dados!A:A,Imóveis!Y:Y)</f>
        <v>0</v>
      </c>
      <c r="W674" s="18">
        <f>-SUMIF(Projetos!N:N,A674,Projetos!F:F)</f>
        <v>0</v>
      </c>
      <c r="X674" s="18">
        <f t="shared" si="83"/>
        <v>-27000</v>
      </c>
      <c r="Y674" s="26">
        <f ca="1">(U674*((Indicadores_Economicos!D$2+1)^(1/12)-1))</f>
        <v>155330.46647920989</v>
      </c>
      <c r="Z674" s="18">
        <f t="shared" ca="1" si="87"/>
        <v>47575738.267131314</v>
      </c>
      <c r="AA674" s="18">
        <f ca="1">Auxiliar_Projetos!E674</f>
        <v>3.5161113677249939E-9</v>
      </c>
      <c r="AB674" s="18">
        <f ca="1">Auxiliar_Projetos!K674</f>
        <v>2.7047010520961438E-9</v>
      </c>
      <c r="AC674" s="18">
        <f ca="1">IF(Z674-AA674-AB674&gt;Investimentos!$C$14,Investimentos!$C$14,IF(Z674-AA674-AB674&lt;Investimentos!$C$14,Z674-AA674-AB674,0))</f>
        <v>300000</v>
      </c>
      <c r="AD674" s="18">
        <f t="shared" ca="1" si="88"/>
        <v>47275738.267131314</v>
      </c>
      <c r="AE674" s="18"/>
    </row>
    <row r="675" spans="1:31" x14ac:dyDescent="0.2">
      <c r="A675" s="4">
        <v>66143</v>
      </c>
      <c r="B675" s="5" t="str">
        <f t="shared" si="84"/>
        <v>fevereiro</v>
      </c>
      <c r="C675" s="5" t="str">
        <f t="shared" si="90"/>
        <v>2081</v>
      </c>
      <c r="D675" s="5">
        <f>SUMIFS(Despesas!$F:$F,Despesas!$J:$J,"&lt;="&amp;$A675,Despesas!$L:$L,"&gt;="&amp;$A675,Despesas!$C:$C,D$1,Despesas!$M:$M,"Mensal")+SUMIFS(Despesas!$F:$F,Despesas!$J:$J,"&lt;="&amp;$A675,Despesas!$L:$L,"&gt;="&amp;$A675,Despesas!$C:$C,D$1,Despesas!$M:$M,$B675)</f>
        <v>23000</v>
      </c>
      <c r="E675" s="18">
        <f>SUMIFS(Despesas!$F:$F,Despesas!$J:$J,"&lt;="&amp;$A675,Despesas!$L:$L,"&gt;="&amp;$A675,Despesas!$C:$C,E$1,Despesas!$M:$M,"Mensal")+SUMIFS(Despesas!$F:$F,Despesas!$J:$J,"&lt;="&amp;$A675,Despesas!$L:$L,"&gt;="&amp;$A675,Despesas!$C:$C,E$1,Despesas!$M:$M,$B675)</f>
        <v>0</v>
      </c>
      <c r="F675" s="5">
        <f>SUMIFS(Despesas!$F:$F,Despesas!$J:$J,"&lt;="&amp;$A675,Despesas!$L:$L,"&gt;="&amp;$A675,Despesas!$C:$C,F$1,Despesas!$M:$M,"Mensal")+SUMIFS(Despesas!$F:$F,Despesas!$J:$J,"&lt;="&amp;$A675,Despesas!$L:$L,"&gt;="&amp;$A675,Despesas!$C:$C,F$1,Despesas!$M:$M,$B675)</f>
        <v>13000</v>
      </c>
      <c r="G675" s="5">
        <f>SUMIFS(Despesas!$F:$F,Despesas!$J:$J,"&lt;="&amp;$A675,Despesas!$L:$L,"&gt;="&amp;$A675,Despesas!$C:$C,G$1,Despesas!$M:$M,"Mensal")+SUMIFS(Despesas!$F:$F,Despesas!$J:$J,"&lt;="&amp;$A675,Despesas!$L:$L,"&gt;="&amp;$A675,Despesas!$C:$C,G$1,Despesas!$M:$M,$B675)</f>
        <v>0</v>
      </c>
      <c r="H675" s="18">
        <f>SUMIFS(Despesas!$F:$F,Despesas!$J:$J,"&lt;="&amp;$A675,Despesas!$L:$L,"&gt;="&amp;$A675,Despesas!$C:$C,H$1,Despesas!$M:$M,"Mensal")+SUMIFS(Despesas!$F:$F,Despesas!$J:$J,"&lt;="&amp;$A675,Despesas!$L:$L,"&gt;="&amp;$A675,Despesas!$C:$C,H$1,Despesas!$M:$M,$B675)</f>
        <v>2200</v>
      </c>
      <c r="I675" s="18">
        <f>IF(Imóveis!$F$2="PRICE",IF(AND(Dados!$A675&gt;=Imóveis!$Q$2,Dados!$A675&lt;=Imóveis!$T$2),Imóveis!$U$2,0),IF((IF(AND(Dados!$A675&gt;=Imóveis!$Q$2,Dados!$A675&lt;=Imóveis!$T$2),Imóveis!$S$2-(DATEDIF(Imóveis!$Q$2,Dados!$A675,"m")),0))=0,0,((Imóveis!$N$2/Imóveis!$S$2)+((Imóveis!$N$2-((Imóveis!$S$2-(IF(AND(Dados!$A675&gt;=Imóveis!$Q$2,Dados!$A675&lt;=Imóveis!$T$2),Imóveis!$S$2-(DATEDIF(Imóveis!$Q$2,Dados!$A675,"m")),)))*(Imóveis!$N$2/Imóveis!$S$2)))*Imóveis!$P$2))))*IF(AND(Imóveis!$E$2&gt;0,Dados!$A675&gt;Imóveis!$E$2),0,1)</f>
        <v>0</v>
      </c>
      <c r="J675" s="18">
        <f>IF(Imóveis!$F$3="PRICE",IF(AND(Dados!$A675&gt;=Imóveis!$Q$3,Dados!$A675&lt;=Imóveis!$T$3),Imóveis!$U$3,0),IF((IF(AND(Dados!$A675&gt;=Imóveis!$Q$3,Dados!$A675&lt;=Imóveis!$T$3),Imóveis!$S$3-(DATEDIF(Imóveis!$Q$3,Dados!$A675,"m")),0))=0,0,((Imóveis!$N$3/Imóveis!$S$3)+((Imóveis!$N$3-((Imóveis!$S$3-(IF(AND(Dados!$A675&gt;=Imóveis!$Q$3,Dados!$A675&lt;=Imóveis!$T$3),Imóveis!$S$3-(DATEDIF(Imóveis!$Q$3,Dados!$A675,"m")),)))*(Imóveis!$N$3/Imóveis!$S$3)))*Imóveis!$P$3))))*IF(AND(Imóveis!$E$3&gt;0,Dados!$A675&gt;Imóveis!$E$3),0,1)</f>
        <v>0</v>
      </c>
      <c r="K675" s="18">
        <f>IF(Imóveis!$F$4="PRICE",IF(AND(Dados!$A675&gt;=Imóveis!$Q$4,Dados!$A675&lt;=Imóveis!$T$4),Imóveis!$U$4,0),IF((IF(AND(Dados!$A675&gt;=Imóveis!$Q$4,Dados!$A675&lt;=Imóveis!$T$4),Imóveis!$S$4-(DATEDIF(Imóveis!$Q$4,Dados!$A675,"m")),0))=0,0,((Imóveis!$N$4/Imóveis!$S$4)+((Imóveis!$N$4-((Imóveis!$S$4-(IF(AND(Dados!$A675&gt;=Imóveis!$Q$4,Dados!$A675&lt;=Imóveis!$T$4),Imóveis!$S$4-(DATEDIF(Imóveis!$Q$4,Dados!$A675,"m")),)))*(Imóveis!$N$4/Imóveis!$S$4)))*Imóveis!$P$4))))*IF(AND(Imóveis!$E$4&gt;0,Dados!$A675&gt;Imóveis!$E$4),0,1)</f>
        <v>0</v>
      </c>
      <c r="L675" s="18">
        <f>IF(Imóveis!$F$5="PRICE",IF(AND(Dados!$A675&gt;=Imóveis!$Q$5,Dados!$A675&lt;=Imóveis!$T$5),Imóveis!$U$5,0),IF((IF(AND(Dados!$A675&gt;=Imóveis!$Q$5,Dados!$A675&lt;=Imóveis!$T$5),Imóveis!$S$5-(DATEDIF(Imóveis!$Q$5,Dados!$A675,"m")),0))=0,0,((Imóveis!$N$5/Imóveis!$S$5)+((Imóveis!$N$5-((Imóveis!$S$5-(IF(AND(Dados!$A675 &gt;=Imóveis!$Q$5,Dados!$A675&lt;=Imóveis!$T$5),Imóveis!$S$5-(DATEDIF(Imóveis!$Q$5,Dados!$A675,"m")),)))*(Imóveis!$N$5/Imóveis!$S$5)))*Imóveis!$P$5))))*IF(AND(Imóveis!$E$5&gt;0,Dados!$A675&gt;Imóveis!$E$5),0,1)*Imóveis!$I$5</f>
        <v>0</v>
      </c>
      <c r="M675" s="18">
        <f>IF(Imóveis!$F$6="PRICE",IF(AND(Dados!$A675&gt;=Imóveis!$Q$6,Dados!$A675&lt;=Imóveis!$T$6),Imóveis!$U$6,0),IF((IF(AND(Dados!$A675&gt;=Imóveis!$Q$6,Dados!$A675&lt;=Imóveis!$T$6),Imóveis!$S$6-(DATEDIF(Imóveis!$Q$6,Dados!$A675,"m")),0))=0,0,((Imóveis!$N$6/Imóveis!$S$6)+((Imóveis!$N$6-((Imóveis!$S$6-(IF(AND(Dados!$A675&gt;=Imóveis!$Q$6,Dados!$A675&lt;=Imóveis!$T$6),Imóveis!$S$6-(DATEDIF(Imóveis!$Q$6,Dados!$A675,"m")),)))*(Imóveis!$N$6/Imóveis!$S$6)))*Imóveis!$P$6))))*IF(AND(Imóveis!$E$6&gt;0,Dados!$A675&gt;Imóveis!$E$6),0,1)*Imóveis!$I$6</f>
        <v>0</v>
      </c>
      <c r="N675" s="18">
        <f t="shared" si="85"/>
        <v>38200</v>
      </c>
      <c r="O675" s="18">
        <f>SUMIFS(Receitas!$F:$F,Receitas!$J:$J,"&lt;="&amp;$A675,Receitas!$L:$L,"&gt;="&amp;$A675,Receitas!$C:$C,O$1,Receitas!$M:$M,"Mensal")+SUMIFS(Receitas!$F:$F,Receitas!$J:$J,"&lt;="&amp;$A675,Receitas!$L:$L,"&gt;="&amp;$A675,Receitas!$C:$C,O$1,Receitas!$M:$M,$B675)</f>
        <v>0</v>
      </c>
      <c r="P675" s="18">
        <f>SUMIFS(Receitas!$F:$F,Receitas!$J:$J,"&lt;="&amp;$A675,Receitas!$L:$L,"&gt;="&amp;$A675,Receitas!$C:$C,P$1,Receitas!$M:$M,"Mensal")+SUMIFS(Receitas!$F:$F,Receitas!$J:$J,"&lt;="&amp;$A675,Receitas!$L:$L,"&gt;="&amp;$A675,Receitas!$C:$C,P$1,Receitas!$M:$M,$B675)</f>
        <v>0</v>
      </c>
      <c r="Q675" s="18">
        <f>SUMIFS(Receitas!$F:$F,Receitas!$J:$J,"&lt;="&amp;$A675,Receitas!$L:$L,"&gt;="&amp;$A675,Receitas!$C:$C,Q$1,Receitas!$M:$M,"Mensal")+SUMIFS(Receitas!$F:$F,Receitas!$J:$J,"&lt;="&amp;$A675,Receitas!$L:$L,"&gt;="&amp;$A675,Receitas!$C:$C,Q$1,Receitas!$M:$M,$B675)</f>
        <v>0</v>
      </c>
      <c r="R675" s="18" cm="1">
        <f t="array" ref="R675">(IF(AND(Membros!$F$2="Sim",A675&lt;=MAX(Membros!$E$2:$E$5)),Membros!K$2,IF(AND(A675&gt;=Membros!J$2,A675&lt;=MAX(Membros!$E$2:$E$5)),Membros!K$2,0))+IF(AND(Membros!$F$3="Sim",A675&lt;=MAX(Membros!$E$2:$E$5)),Membros!K$3,IF(AND(A675&gt;=Membros!J$3,A675&lt;=MAX(Membros!$E$2:$E$5)),Membros!K$3,0)))*IF(AND(COUNTIFS(Tabela3[Tipo],"Provedor",Tabela3[Simulação Seguro],"Sim")=2,A675&gt;=MAX(IF(Tabela3[Tipo]="Dependente",Tabela3[Expectativa de Vida (Data)]))),0,1)</f>
        <v>10000</v>
      </c>
      <c r="S675" s="18">
        <f t="shared" si="86"/>
        <v>10000</v>
      </c>
      <c r="U675" s="18">
        <f t="shared" ca="1" si="89"/>
        <v>47575738.267131314</v>
      </c>
      <c r="V675" s="18">
        <f>SUMIF(Imóveis!E:E,Dados!A:A,Imóveis!Z:Z)-SUMIF(Imóveis!E:E,Dados!A:A,Imóveis!Y:Y)</f>
        <v>0</v>
      </c>
      <c r="W675" s="18">
        <f>-SUMIF(Projetos!N:N,A675,Projetos!F:F)</f>
        <v>0</v>
      </c>
      <c r="X675" s="18">
        <f t="shared" si="83"/>
        <v>-28200</v>
      </c>
      <c r="Y675" s="26">
        <f ca="1">(U675*((Indicadores_Economicos!D$2+1)^(1/12)-1))</f>
        <v>155750.58703259102</v>
      </c>
      <c r="Z675" s="18">
        <f t="shared" ca="1" si="87"/>
        <v>47703288.854163907</v>
      </c>
      <c r="AA675" s="18">
        <f ca="1">Auxiliar_Projetos!E675</f>
        <v>3.5276222013881569E-9</v>
      </c>
      <c r="AB675" s="18">
        <f ca="1">Auxiliar_Projetos!K675</f>
        <v>2.7135555395293461E-9</v>
      </c>
      <c r="AC675" s="18">
        <f ca="1">IF(Z675-AA675-AB675&gt;Investimentos!$C$14,Investimentos!$C$14,IF(Z675-AA675-AB675&lt;Investimentos!$C$14,Z675-AA675-AB675,0))</f>
        <v>300000</v>
      </c>
      <c r="AD675" s="18">
        <f t="shared" ca="1" si="88"/>
        <v>47403288.854163907</v>
      </c>
      <c r="AE675" s="18"/>
    </row>
    <row r="676" spans="1:31" x14ac:dyDescent="0.2">
      <c r="A676" s="4">
        <v>66171</v>
      </c>
      <c r="B676" s="5" t="str">
        <f t="shared" si="84"/>
        <v>março</v>
      </c>
      <c r="C676" s="5" t="str">
        <f t="shared" si="90"/>
        <v>2081</v>
      </c>
      <c r="D676" s="5">
        <f>SUMIFS(Despesas!$F:$F,Despesas!$J:$J,"&lt;="&amp;$A676,Despesas!$L:$L,"&gt;="&amp;$A676,Despesas!$C:$C,D$1,Despesas!$M:$M,"Mensal")+SUMIFS(Despesas!$F:$F,Despesas!$J:$J,"&lt;="&amp;$A676,Despesas!$L:$L,"&gt;="&amp;$A676,Despesas!$C:$C,D$1,Despesas!$M:$M,$B676)</f>
        <v>23000</v>
      </c>
      <c r="E676" s="18">
        <f>SUMIFS(Despesas!$F:$F,Despesas!$J:$J,"&lt;="&amp;$A676,Despesas!$L:$L,"&gt;="&amp;$A676,Despesas!$C:$C,E$1,Despesas!$M:$M,"Mensal")+SUMIFS(Despesas!$F:$F,Despesas!$J:$J,"&lt;="&amp;$A676,Despesas!$L:$L,"&gt;="&amp;$A676,Despesas!$C:$C,E$1,Despesas!$M:$M,$B676)</f>
        <v>0</v>
      </c>
      <c r="F676" s="5">
        <f>SUMIFS(Despesas!$F:$F,Despesas!$J:$J,"&lt;="&amp;$A676,Despesas!$L:$L,"&gt;="&amp;$A676,Despesas!$C:$C,F$1,Despesas!$M:$M,"Mensal")+SUMIFS(Despesas!$F:$F,Despesas!$J:$J,"&lt;="&amp;$A676,Despesas!$L:$L,"&gt;="&amp;$A676,Despesas!$C:$C,F$1,Despesas!$M:$M,$B676)</f>
        <v>13000</v>
      </c>
      <c r="G676" s="5">
        <f>SUMIFS(Despesas!$F:$F,Despesas!$J:$J,"&lt;="&amp;$A676,Despesas!$L:$L,"&gt;="&amp;$A676,Despesas!$C:$C,G$1,Despesas!$M:$M,"Mensal")+SUMIFS(Despesas!$F:$F,Despesas!$J:$J,"&lt;="&amp;$A676,Despesas!$L:$L,"&gt;="&amp;$A676,Despesas!$C:$C,G$1,Despesas!$M:$M,$B676)</f>
        <v>0</v>
      </c>
      <c r="H676" s="18">
        <f>SUMIFS(Despesas!$F:$F,Despesas!$J:$J,"&lt;="&amp;$A676,Despesas!$L:$L,"&gt;="&amp;$A676,Despesas!$C:$C,H$1,Despesas!$M:$M,"Mensal")+SUMIFS(Despesas!$F:$F,Despesas!$J:$J,"&lt;="&amp;$A676,Despesas!$L:$L,"&gt;="&amp;$A676,Despesas!$C:$C,H$1,Despesas!$M:$M,$B676)</f>
        <v>1000</v>
      </c>
      <c r="I676" s="18">
        <f>IF(Imóveis!$F$2="PRICE",IF(AND(Dados!$A676&gt;=Imóveis!$Q$2,Dados!$A676&lt;=Imóveis!$T$2),Imóveis!$U$2,0),IF((IF(AND(Dados!$A676&gt;=Imóveis!$Q$2,Dados!$A676&lt;=Imóveis!$T$2),Imóveis!$S$2-(DATEDIF(Imóveis!$Q$2,Dados!$A676,"m")),0))=0,0,((Imóveis!$N$2/Imóveis!$S$2)+((Imóveis!$N$2-((Imóveis!$S$2-(IF(AND(Dados!$A676&gt;=Imóveis!$Q$2,Dados!$A676&lt;=Imóveis!$T$2),Imóveis!$S$2-(DATEDIF(Imóveis!$Q$2,Dados!$A676,"m")),)))*(Imóveis!$N$2/Imóveis!$S$2)))*Imóveis!$P$2))))*IF(AND(Imóveis!$E$2&gt;0,Dados!$A676&gt;Imóveis!$E$2),0,1)</f>
        <v>0</v>
      </c>
      <c r="J676" s="18">
        <f>IF(Imóveis!$F$3="PRICE",IF(AND(Dados!$A676&gt;=Imóveis!$Q$3,Dados!$A676&lt;=Imóveis!$T$3),Imóveis!$U$3,0),IF((IF(AND(Dados!$A676&gt;=Imóveis!$Q$3,Dados!$A676&lt;=Imóveis!$T$3),Imóveis!$S$3-(DATEDIF(Imóveis!$Q$3,Dados!$A676,"m")),0))=0,0,((Imóveis!$N$3/Imóveis!$S$3)+((Imóveis!$N$3-((Imóveis!$S$3-(IF(AND(Dados!$A676&gt;=Imóveis!$Q$3,Dados!$A676&lt;=Imóveis!$T$3),Imóveis!$S$3-(DATEDIF(Imóveis!$Q$3,Dados!$A676,"m")),)))*(Imóveis!$N$3/Imóveis!$S$3)))*Imóveis!$P$3))))*IF(AND(Imóveis!$E$3&gt;0,Dados!$A676&gt;Imóveis!$E$3),0,1)</f>
        <v>0</v>
      </c>
      <c r="K676" s="18">
        <f>IF(Imóveis!$F$4="PRICE",IF(AND(Dados!$A676&gt;=Imóveis!$Q$4,Dados!$A676&lt;=Imóveis!$T$4),Imóveis!$U$4,0),IF((IF(AND(Dados!$A676&gt;=Imóveis!$Q$4,Dados!$A676&lt;=Imóveis!$T$4),Imóveis!$S$4-(DATEDIF(Imóveis!$Q$4,Dados!$A676,"m")),0))=0,0,((Imóveis!$N$4/Imóveis!$S$4)+((Imóveis!$N$4-((Imóveis!$S$4-(IF(AND(Dados!$A676&gt;=Imóveis!$Q$4,Dados!$A676&lt;=Imóveis!$T$4),Imóveis!$S$4-(DATEDIF(Imóveis!$Q$4,Dados!$A676,"m")),)))*(Imóveis!$N$4/Imóveis!$S$4)))*Imóveis!$P$4))))*IF(AND(Imóveis!$E$4&gt;0,Dados!$A676&gt;Imóveis!$E$4),0,1)</f>
        <v>0</v>
      </c>
      <c r="L676" s="18">
        <f>IF(Imóveis!$F$5="PRICE",IF(AND(Dados!$A676&gt;=Imóveis!$Q$5,Dados!$A676&lt;=Imóveis!$T$5),Imóveis!$U$5,0),IF((IF(AND(Dados!$A676&gt;=Imóveis!$Q$5,Dados!$A676&lt;=Imóveis!$T$5),Imóveis!$S$5-(DATEDIF(Imóveis!$Q$5,Dados!$A676,"m")),0))=0,0,((Imóveis!$N$5/Imóveis!$S$5)+((Imóveis!$N$5-((Imóveis!$S$5-(IF(AND(Dados!$A676 &gt;=Imóveis!$Q$5,Dados!$A676&lt;=Imóveis!$T$5),Imóveis!$S$5-(DATEDIF(Imóveis!$Q$5,Dados!$A676,"m")),)))*(Imóveis!$N$5/Imóveis!$S$5)))*Imóveis!$P$5))))*IF(AND(Imóveis!$E$5&gt;0,Dados!$A676&gt;Imóveis!$E$5),0,1)*Imóveis!$I$5</f>
        <v>0</v>
      </c>
      <c r="M676" s="18">
        <f>IF(Imóveis!$F$6="PRICE",IF(AND(Dados!$A676&gt;=Imóveis!$Q$6,Dados!$A676&lt;=Imóveis!$T$6),Imóveis!$U$6,0),IF((IF(AND(Dados!$A676&gt;=Imóveis!$Q$6,Dados!$A676&lt;=Imóveis!$T$6),Imóveis!$S$6-(DATEDIF(Imóveis!$Q$6,Dados!$A676,"m")),0))=0,0,((Imóveis!$N$6/Imóveis!$S$6)+((Imóveis!$N$6-((Imóveis!$S$6-(IF(AND(Dados!$A676&gt;=Imóveis!$Q$6,Dados!$A676&lt;=Imóveis!$T$6),Imóveis!$S$6-(DATEDIF(Imóveis!$Q$6,Dados!$A676,"m")),)))*(Imóveis!$N$6/Imóveis!$S$6)))*Imóveis!$P$6))))*IF(AND(Imóveis!$E$6&gt;0,Dados!$A676&gt;Imóveis!$E$6),0,1)*Imóveis!$I$6</f>
        <v>0</v>
      </c>
      <c r="N676" s="18">
        <f t="shared" si="85"/>
        <v>37000</v>
      </c>
      <c r="O676" s="18">
        <f>SUMIFS(Receitas!$F:$F,Receitas!$J:$J,"&lt;="&amp;$A676,Receitas!$L:$L,"&gt;="&amp;$A676,Receitas!$C:$C,O$1,Receitas!$M:$M,"Mensal")+SUMIFS(Receitas!$F:$F,Receitas!$J:$J,"&lt;="&amp;$A676,Receitas!$L:$L,"&gt;="&amp;$A676,Receitas!$C:$C,O$1,Receitas!$M:$M,$B676)</f>
        <v>0</v>
      </c>
      <c r="P676" s="18">
        <f>SUMIFS(Receitas!$F:$F,Receitas!$J:$J,"&lt;="&amp;$A676,Receitas!$L:$L,"&gt;="&amp;$A676,Receitas!$C:$C,P$1,Receitas!$M:$M,"Mensal")+SUMIFS(Receitas!$F:$F,Receitas!$J:$J,"&lt;="&amp;$A676,Receitas!$L:$L,"&gt;="&amp;$A676,Receitas!$C:$C,P$1,Receitas!$M:$M,$B676)</f>
        <v>0</v>
      </c>
      <c r="Q676" s="18">
        <f>SUMIFS(Receitas!$F:$F,Receitas!$J:$J,"&lt;="&amp;$A676,Receitas!$L:$L,"&gt;="&amp;$A676,Receitas!$C:$C,Q$1,Receitas!$M:$M,"Mensal")+SUMIFS(Receitas!$F:$F,Receitas!$J:$J,"&lt;="&amp;$A676,Receitas!$L:$L,"&gt;="&amp;$A676,Receitas!$C:$C,Q$1,Receitas!$M:$M,$B676)</f>
        <v>0</v>
      </c>
      <c r="R676" s="18" cm="1">
        <f t="array" ref="R676">(IF(AND(Membros!$F$2="Sim",A676&lt;=MAX(Membros!$E$2:$E$5)),Membros!K$2,IF(AND(A676&gt;=Membros!J$2,A676&lt;=MAX(Membros!$E$2:$E$5)),Membros!K$2,0))+IF(AND(Membros!$F$3="Sim",A676&lt;=MAX(Membros!$E$2:$E$5)),Membros!K$3,IF(AND(A676&gt;=Membros!J$3,A676&lt;=MAX(Membros!$E$2:$E$5)),Membros!K$3,0)))*IF(AND(COUNTIFS(Tabela3[Tipo],"Provedor",Tabela3[Simulação Seguro],"Sim")=2,A676&gt;=MAX(IF(Tabela3[Tipo]="Dependente",Tabela3[Expectativa de Vida (Data)]))),0,1)</f>
        <v>10000</v>
      </c>
      <c r="S676" s="18">
        <f t="shared" si="86"/>
        <v>10000</v>
      </c>
      <c r="U676" s="18">
        <f t="shared" ca="1" si="89"/>
        <v>47703288.854163907</v>
      </c>
      <c r="V676" s="18">
        <f>SUMIF(Imóveis!E:E,Dados!A:A,Imóveis!Z:Z)-SUMIF(Imóveis!E:E,Dados!A:A,Imóveis!Y:Y)</f>
        <v>0</v>
      </c>
      <c r="W676" s="18">
        <f>-SUMIF(Projetos!N:N,A676,Projetos!F:F)</f>
        <v>0</v>
      </c>
      <c r="X676" s="18">
        <f t="shared" si="83"/>
        <v>-27000</v>
      </c>
      <c r="Y676" s="26">
        <f ca="1">(U676*((Indicadores_Economicos!D$2+1)^(1/12)-1))</f>
        <v>156168.15446360246</v>
      </c>
      <c r="Z676" s="18">
        <f t="shared" ca="1" si="87"/>
        <v>47832457.008627512</v>
      </c>
      <c r="AA676" s="18">
        <f ca="1">Auxiliar_Projetos!E676</f>
        <v>3.5391707185254093E-9</v>
      </c>
      <c r="AB676" s="18">
        <f ca="1">Auxiliar_Projetos!K676</f>
        <v>2.7224390142503095E-9</v>
      </c>
      <c r="AC676" s="18">
        <f ca="1">IF(Z676-AA676-AB676&gt;Investimentos!$C$14,Investimentos!$C$14,IF(Z676-AA676-AB676&lt;Investimentos!$C$14,Z676-AA676-AB676,0))</f>
        <v>300000</v>
      </c>
      <c r="AD676" s="18">
        <f t="shared" ca="1" si="88"/>
        <v>47532457.008627512</v>
      </c>
      <c r="AE676" s="18"/>
    </row>
    <row r="677" spans="1:31" x14ac:dyDescent="0.2">
      <c r="A677" s="4">
        <v>66202</v>
      </c>
      <c r="B677" s="5" t="str">
        <f t="shared" si="84"/>
        <v>abril</v>
      </c>
      <c r="C677" s="5" t="str">
        <f t="shared" si="90"/>
        <v>2081</v>
      </c>
      <c r="D677" s="5">
        <f>SUMIFS(Despesas!$F:$F,Despesas!$J:$J,"&lt;="&amp;$A677,Despesas!$L:$L,"&gt;="&amp;$A677,Despesas!$C:$C,D$1,Despesas!$M:$M,"Mensal")+SUMIFS(Despesas!$F:$F,Despesas!$J:$J,"&lt;="&amp;$A677,Despesas!$L:$L,"&gt;="&amp;$A677,Despesas!$C:$C,D$1,Despesas!$M:$M,$B677)</f>
        <v>23000</v>
      </c>
      <c r="E677" s="18">
        <f>SUMIFS(Despesas!$F:$F,Despesas!$J:$J,"&lt;="&amp;$A677,Despesas!$L:$L,"&gt;="&amp;$A677,Despesas!$C:$C,E$1,Despesas!$M:$M,"Mensal")+SUMIFS(Despesas!$F:$F,Despesas!$J:$J,"&lt;="&amp;$A677,Despesas!$L:$L,"&gt;="&amp;$A677,Despesas!$C:$C,E$1,Despesas!$M:$M,$B677)</f>
        <v>0</v>
      </c>
      <c r="F677" s="5">
        <f>SUMIFS(Despesas!$F:$F,Despesas!$J:$J,"&lt;="&amp;$A677,Despesas!$L:$L,"&gt;="&amp;$A677,Despesas!$C:$C,F$1,Despesas!$M:$M,"Mensal")+SUMIFS(Despesas!$F:$F,Despesas!$J:$J,"&lt;="&amp;$A677,Despesas!$L:$L,"&gt;="&amp;$A677,Despesas!$C:$C,F$1,Despesas!$M:$M,$B677)</f>
        <v>13000</v>
      </c>
      <c r="G677" s="5">
        <f>SUMIFS(Despesas!$F:$F,Despesas!$J:$J,"&lt;="&amp;$A677,Despesas!$L:$L,"&gt;="&amp;$A677,Despesas!$C:$C,G$1,Despesas!$M:$M,"Mensal")+SUMIFS(Despesas!$F:$F,Despesas!$J:$J,"&lt;="&amp;$A677,Despesas!$L:$L,"&gt;="&amp;$A677,Despesas!$C:$C,G$1,Despesas!$M:$M,$B677)</f>
        <v>0</v>
      </c>
      <c r="H677" s="18">
        <f>SUMIFS(Despesas!$F:$F,Despesas!$J:$J,"&lt;="&amp;$A677,Despesas!$L:$L,"&gt;="&amp;$A677,Despesas!$C:$C,H$1,Despesas!$M:$M,"Mensal")+SUMIFS(Despesas!$F:$F,Despesas!$J:$J,"&lt;="&amp;$A677,Despesas!$L:$L,"&gt;="&amp;$A677,Despesas!$C:$C,H$1,Despesas!$M:$M,$B677)</f>
        <v>1000</v>
      </c>
      <c r="I677" s="18">
        <f>IF(Imóveis!$F$2="PRICE",IF(AND(Dados!$A677&gt;=Imóveis!$Q$2,Dados!$A677&lt;=Imóveis!$T$2),Imóveis!$U$2,0),IF((IF(AND(Dados!$A677&gt;=Imóveis!$Q$2,Dados!$A677&lt;=Imóveis!$T$2),Imóveis!$S$2-(DATEDIF(Imóveis!$Q$2,Dados!$A677,"m")),0))=0,0,((Imóveis!$N$2/Imóveis!$S$2)+((Imóveis!$N$2-((Imóveis!$S$2-(IF(AND(Dados!$A677&gt;=Imóveis!$Q$2,Dados!$A677&lt;=Imóveis!$T$2),Imóveis!$S$2-(DATEDIF(Imóveis!$Q$2,Dados!$A677,"m")),)))*(Imóveis!$N$2/Imóveis!$S$2)))*Imóveis!$P$2))))*IF(AND(Imóveis!$E$2&gt;0,Dados!$A677&gt;Imóveis!$E$2),0,1)</f>
        <v>0</v>
      </c>
      <c r="J677" s="18">
        <f>IF(Imóveis!$F$3="PRICE",IF(AND(Dados!$A677&gt;=Imóveis!$Q$3,Dados!$A677&lt;=Imóveis!$T$3),Imóveis!$U$3,0),IF((IF(AND(Dados!$A677&gt;=Imóveis!$Q$3,Dados!$A677&lt;=Imóveis!$T$3),Imóveis!$S$3-(DATEDIF(Imóveis!$Q$3,Dados!$A677,"m")),0))=0,0,((Imóveis!$N$3/Imóveis!$S$3)+((Imóveis!$N$3-((Imóveis!$S$3-(IF(AND(Dados!$A677&gt;=Imóveis!$Q$3,Dados!$A677&lt;=Imóveis!$T$3),Imóveis!$S$3-(DATEDIF(Imóveis!$Q$3,Dados!$A677,"m")),)))*(Imóveis!$N$3/Imóveis!$S$3)))*Imóveis!$P$3))))*IF(AND(Imóveis!$E$3&gt;0,Dados!$A677&gt;Imóveis!$E$3),0,1)</f>
        <v>0</v>
      </c>
      <c r="K677" s="18">
        <f>IF(Imóveis!$F$4="PRICE",IF(AND(Dados!$A677&gt;=Imóveis!$Q$4,Dados!$A677&lt;=Imóveis!$T$4),Imóveis!$U$4,0),IF((IF(AND(Dados!$A677&gt;=Imóveis!$Q$4,Dados!$A677&lt;=Imóveis!$T$4),Imóveis!$S$4-(DATEDIF(Imóveis!$Q$4,Dados!$A677,"m")),0))=0,0,((Imóveis!$N$4/Imóveis!$S$4)+((Imóveis!$N$4-((Imóveis!$S$4-(IF(AND(Dados!$A677&gt;=Imóveis!$Q$4,Dados!$A677&lt;=Imóveis!$T$4),Imóveis!$S$4-(DATEDIF(Imóveis!$Q$4,Dados!$A677,"m")),)))*(Imóveis!$N$4/Imóveis!$S$4)))*Imóveis!$P$4))))*IF(AND(Imóveis!$E$4&gt;0,Dados!$A677&gt;Imóveis!$E$4),0,1)</f>
        <v>0</v>
      </c>
      <c r="L677" s="18">
        <f>IF(Imóveis!$F$5="PRICE",IF(AND(Dados!$A677&gt;=Imóveis!$Q$5,Dados!$A677&lt;=Imóveis!$T$5),Imóveis!$U$5,0),IF((IF(AND(Dados!$A677&gt;=Imóveis!$Q$5,Dados!$A677&lt;=Imóveis!$T$5),Imóveis!$S$5-(DATEDIF(Imóveis!$Q$5,Dados!$A677,"m")),0))=0,0,((Imóveis!$N$5/Imóveis!$S$5)+((Imóveis!$N$5-((Imóveis!$S$5-(IF(AND(Dados!$A677 &gt;=Imóveis!$Q$5,Dados!$A677&lt;=Imóveis!$T$5),Imóveis!$S$5-(DATEDIF(Imóveis!$Q$5,Dados!$A677,"m")),)))*(Imóveis!$N$5/Imóveis!$S$5)))*Imóveis!$P$5))))*IF(AND(Imóveis!$E$5&gt;0,Dados!$A677&gt;Imóveis!$E$5),0,1)*Imóveis!$I$5</f>
        <v>0</v>
      </c>
      <c r="M677" s="18">
        <f>IF(Imóveis!$F$6="PRICE",IF(AND(Dados!$A677&gt;=Imóveis!$Q$6,Dados!$A677&lt;=Imóveis!$T$6),Imóveis!$U$6,0),IF((IF(AND(Dados!$A677&gt;=Imóveis!$Q$6,Dados!$A677&lt;=Imóveis!$T$6),Imóveis!$S$6-(DATEDIF(Imóveis!$Q$6,Dados!$A677,"m")),0))=0,0,((Imóveis!$N$6/Imóveis!$S$6)+((Imóveis!$N$6-((Imóveis!$S$6-(IF(AND(Dados!$A677&gt;=Imóveis!$Q$6,Dados!$A677&lt;=Imóveis!$T$6),Imóveis!$S$6-(DATEDIF(Imóveis!$Q$6,Dados!$A677,"m")),)))*(Imóveis!$N$6/Imóveis!$S$6)))*Imóveis!$P$6))))*IF(AND(Imóveis!$E$6&gt;0,Dados!$A677&gt;Imóveis!$E$6),0,1)*Imóveis!$I$6</f>
        <v>0</v>
      </c>
      <c r="N677" s="18">
        <f t="shared" si="85"/>
        <v>37000</v>
      </c>
      <c r="O677" s="18">
        <f>SUMIFS(Receitas!$F:$F,Receitas!$J:$J,"&lt;="&amp;$A677,Receitas!$L:$L,"&gt;="&amp;$A677,Receitas!$C:$C,O$1,Receitas!$M:$M,"Mensal")+SUMIFS(Receitas!$F:$F,Receitas!$J:$J,"&lt;="&amp;$A677,Receitas!$L:$L,"&gt;="&amp;$A677,Receitas!$C:$C,O$1,Receitas!$M:$M,$B677)</f>
        <v>0</v>
      </c>
      <c r="P677" s="18">
        <f>SUMIFS(Receitas!$F:$F,Receitas!$J:$J,"&lt;="&amp;$A677,Receitas!$L:$L,"&gt;="&amp;$A677,Receitas!$C:$C,P$1,Receitas!$M:$M,"Mensal")+SUMIFS(Receitas!$F:$F,Receitas!$J:$J,"&lt;="&amp;$A677,Receitas!$L:$L,"&gt;="&amp;$A677,Receitas!$C:$C,P$1,Receitas!$M:$M,$B677)</f>
        <v>0</v>
      </c>
      <c r="Q677" s="18">
        <f>SUMIFS(Receitas!$F:$F,Receitas!$J:$J,"&lt;="&amp;$A677,Receitas!$L:$L,"&gt;="&amp;$A677,Receitas!$C:$C,Q$1,Receitas!$M:$M,"Mensal")+SUMIFS(Receitas!$F:$F,Receitas!$J:$J,"&lt;="&amp;$A677,Receitas!$L:$L,"&gt;="&amp;$A677,Receitas!$C:$C,Q$1,Receitas!$M:$M,$B677)</f>
        <v>0</v>
      </c>
      <c r="R677" s="18" cm="1">
        <f t="array" ref="R677">(IF(AND(Membros!$F$2="Sim",A677&lt;=MAX(Membros!$E$2:$E$5)),Membros!K$2,IF(AND(A677&gt;=Membros!J$2,A677&lt;=MAX(Membros!$E$2:$E$5)),Membros!K$2,0))+IF(AND(Membros!$F$3="Sim",A677&lt;=MAX(Membros!$E$2:$E$5)),Membros!K$3,IF(AND(A677&gt;=Membros!J$3,A677&lt;=MAX(Membros!$E$2:$E$5)),Membros!K$3,0)))*IF(AND(COUNTIFS(Tabela3[Tipo],"Provedor",Tabela3[Simulação Seguro],"Sim")=2,A677&gt;=MAX(IF(Tabela3[Tipo]="Dependente",Tabela3[Expectativa de Vida (Data)]))),0,1)</f>
        <v>10000</v>
      </c>
      <c r="S677" s="18">
        <f t="shared" si="86"/>
        <v>10000</v>
      </c>
      <c r="U677" s="18">
        <f t="shared" ca="1" si="89"/>
        <v>47832457.008627512</v>
      </c>
      <c r="V677" s="18">
        <f>SUMIF(Imóveis!E:E,Dados!A:A,Imóveis!Z:Z)-SUMIF(Imóveis!E:E,Dados!A:A,Imóveis!Y:Y)</f>
        <v>0</v>
      </c>
      <c r="W677" s="18">
        <f>-SUMIF(Projetos!N:N,A677,Projetos!F:F)</f>
        <v>0</v>
      </c>
      <c r="X677" s="18">
        <f t="shared" si="83"/>
        <v>-27000</v>
      </c>
      <c r="Y677" s="26">
        <f ca="1">(U677*((Indicadores_Economicos!D$2+1)^(1/12)-1))</f>
        <v>156591.01738946317</v>
      </c>
      <c r="Z677" s="18">
        <f t="shared" ca="1" si="87"/>
        <v>47962048.026016973</v>
      </c>
      <c r="AA677" s="18">
        <f ca="1">Auxiliar_Projetos!E677</f>
        <v>3.5507570425026394E-9</v>
      </c>
      <c r="AB677" s="18">
        <f ca="1">Auxiliar_Projetos!K677</f>
        <v>2.731351571155871E-9</v>
      </c>
      <c r="AC677" s="18">
        <f ca="1">IF(Z677-AA677-AB677&gt;Investimentos!$C$14,Investimentos!$C$14,IF(Z677-AA677-AB677&lt;Investimentos!$C$14,Z677-AA677-AB677,0))</f>
        <v>300000</v>
      </c>
      <c r="AD677" s="18">
        <f t="shared" ca="1" si="88"/>
        <v>47662048.026016973</v>
      </c>
      <c r="AE677" s="18"/>
    </row>
    <row r="678" spans="1:31" x14ac:dyDescent="0.2">
      <c r="A678" s="4">
        <v>66232</v>
      </c>
      <c r="B678" s="5" t="str">
        <f t="shared" si="84"/>
        <v>maio</v>
      </c>
      <c r="C678" s="5" t="str">
        <f t="shared" si="90"/>
        <v>2081</v>
      </c>
      <c r="D678" s="5">
        <f>SUMIFS(Despesas!$F:$F,Despesas!$J:$J,"&lt;="&amp;$A678,Despesas!$L:$L,"&gt;="&amp;$A678,Despesas!$C:$C,D$1,Despesas!$M:$M,"Mensal")+SUMIFS(Despesas!$F:$F,Despesas!$J:$J,"&lt;="&amp;$A678,Despesas!$L:$L,"&gt;="&amp;$A678,Despesas!$C:$C,D$1,Despesas!$M:$M,$B678)</f>
        <v>23000</v>
      </c>
      <c r="E678" s="18">
        <f>SUMIFS(Despesas!$F:$F,Despesas!$J:$J,"&lt;="&amp;$A678,Despesas!$L:$L,"&gt;="&amp;$A678,Despesas!$C:$C,E$1,Despesas!$M:$M,"Mensal")+SUMIFS(Despesas!$F:$F,Despesas!$J:$J,"&lt;="&amp;$A678,Despesas!$L:$L,"&gt;="&amp;$A678,Despesas!$C:$C,E$1,Despesas!$M:$M,$B678)</f>
        <v>0</v>
      </c>
      <c r="F678" s="5">
        <f>SUMIFS(Despesas!$F:$F,Despesas!$J:$J,"&lt;="&amp;$A678,Despesas!$L:$L,"&gt;="&amp;$A678,Despesas!$C:$C,F$1,Despesas!$M:$M,"Mensal")+SUMIFS(Despesas!$F:$F,Despesas!$J:$J,"&lt;="&amp;$A678,Despesas!$L:$L,"&gt;="&amp;$A678,Despesas!$C:$C,F$1,Despesas!$M:$M,$B678)</f>
        <v>13000</v>
      </c>
      <c r="G678" s="5">
        <f>SUMIFS(Despesas!$F:$F,Despesas!$J:$J,"&lt;="&amp;$A678,Despesas!$L:$L,"&gt;="&amp;$A678,Despesas!$C:$C,G$1,Despesas!$M:$M,"Mensal")+SUMIFS(Despesas!$F:$F,Despesas!$J:$J,"&lt;="&amp;$A678,Despesas!$L:$L,"&gt;="&amp;$A678,Despesas!$C:$C,G$1,Despesas!$M:$M,$B678)</f>
        <v>0</v>
      </c>
      <c r="H678" s="18">
        <f>SUMIFS(Despesas!$F:$F,Despesas!$J:$J,"&lt;="&amp;$A678,Despesas!$L:$L,"&gt;="&amp;$A678,Despesas!$C:$C,H$1,Despesas!$M:$M,"Mensal")+SUMIFS(Despesas!$F:$F,Despesas!$J:$J,"&lt;="&amp;$A678,Despesas!$L:$L,"&gt;="&amp;$A678,Despesas!$C:$C,H$1,Despesas!$M:$M,$B678)</f>
        <v>1000</v>
      </c>
      <c r="I678" s="18">
        <f>IF(Imóveis!$F$2="PRICE",IF(AND(Dados!$A678&gt;=Imóveis!$Q$2,Dados!$A678&lt;=Imóveis!$T$2),Imóveis!$U$2,0),IF((IF(AND(Dados!$A678&gt;=Imóveis!$Q$2,Dados!$A678&lt;=Imóveis!$T$2),Imóveis!$S$2-(DATEDIF(Imóveis!$Q$2,Dados!$A678,"m")),0))=0,0,((Imóveis!$N$2/Imóveis!$S$2)+((Imóveis!$N$2-((Imóveis!$S$2-(IF(AND(Dados!$A678&gt;=Imóveis!$Q$2,Dados!$A678&lt;=Imóveis!$T$2),Imóveis!$S$2-(DATEDIF(Imóveis!$Q$2,Dados!$A678,"m")),)))*(Imóveis!$N$2/Imóveis!$S$2)))*Imóveis!$P$2))))*IF(AND(Imóveis!$E$2&gt;0,Dados!$A678&gt;Imóveis!$E$2),0,1)</f>
        <v>0</v>
      </c>
      <c r="J678" s="18">
        <f>IF(Imóveis!$F$3="PRICE",IF(AND(Dados!$A678&gt;=Imóveis!$Q$3,Dados!$A678&lt;=Imóveis!$T$3),Imóveis!$U$3,0),IF((IF(AND(Dados!$A678&gt;=Imóveis!$Q$3,Dados!$A678&lt;=Imóveis!$T$3),Imóveis!$S$3-(DATEDIF(Imóveis!$Q$3,Dados!$A678,"m")),0))=0,0,((Imóveis!$N$3/Imóveis!$S$3)+((Imóveis!$N$3-((Imóveis!$S$3-(IF(AND(Dados!$A678&gt;=Imóveis!$Q$3,Dados!$A678&lt;=Imóveis!$T$3),Imóveis!$S$3-(DATEDIF(Imóveis!$Q$3,Dados!$A678,"m")),)))*(Imóveis!$N$3/Imóveis!$S$3)))*Imóveis!$P$3))))*IF(AND(Imóveis!$E$3&gt;0,Dados!$A678&gt;Imóveis!$E$3),0,1)</f>
        <v>0</v>
      </c>
      <c r="K678" s="18">
        <f>IF(Imóveis!$F$4="PRICE",IF(AND(Dados!$A678&gt;=Imóveis!$Q$4,Dados!$A678&lt;=Imóveis!$T$4),Imóveis!$U$4,0),IF((IF(AND(Dados!$A678&gt;=Imóveis!$Q$4,Dados!$A678&lt;=Imóveis!$T$4),Imóveis!$S$4-(DATEDIF(Imóveis!$Q$4,Dados!$A678,"m")),0))=0,0,((Imóveis!$N$4/Imóveis!$S$4)+((Imóveis!$N$4-((Imóveis!$S$4-(IF(AND(Dados!$A678&gt;=Imóveis!$Q$4,Dados!$A678&lt;=Imóveis!$T$4),Imóveis!$S$4-(DATEDIF(Imóveis!$Q$4,Dados!$A678,"m")),)))*(Imóveis!$N$4/Imóveis!$S$4)))*Imóveis!$P$4))))*IF(AND(Imóveis!$E$4&gt;0,Dados!$A678&gt;Imóveis!$E$4),0,1)</f>
        <v>0</v>
      </c>
      <c r="L678" s="18">
        <f>IF(Imóveis!$F$5="PRICE",IF(AND(Dados!$A678&gt;=Imóveis!$Q$5,Dados!$A678&lt;=Imóveis!$T$5),Imóveis!$U$5,0),IF((IF(AND(Dados!$A678&gt;=Imóveis!$Q$5,Dados!$A678&lt;=Imóveis!$T$5),Imóveis!$S$5-(DATEDIF(Imóveis!$Q$5,Dados!$A678,"m")),0))=0,0,((Imóveis!$N$5/Imóveis!$S$5)+((Imóveis!$N$5-((Imóveis!$S$5-(IF(AND(Dados!$A678 &gt;=Imóveis!$Q$5,Dados!$A678&lt;=Imóveis!$T$5),Imóveis!$S$5-(DATEDIF(Imóveis!$Q$5,Dados!$A678,"m")),)))*(Imóveis!$N$5/Imóveis!$S$5)))*Imóveis!$P$5))))*IF(AND(Imóveis!$E$5&gt;0,Dados!$A678&gt;Imóveis!$E$5),0,1)*Imóveis!$I$5</f>
        <v>0</v>
      </c>
      <c r="M678" s="18">
        <f>IF(Imóveis!$F$6="PRICE",IF(AND(Dados!$A678&gt;=Imóveis!$Q$6,Dados!$A678&lt;=Imóveis!$T$6),Imóveis!$U$6,0),IF((IF(AND(Dados!$A678&gt;=Imóveis!$Q$6,Dados!$A678&lt;=Imóveis!$T$6),Imóveis!$S$6-(DATEDIF(Imóveis!$Q$6,Dados!$A678,"m")),0))=0,0,((Imóveis!$N$6/Imóveis!$S$6)+((Imóveis!$N$6-((Imóveis!$S$6-(IF(AND(Dados!$A678&gt;=Imóveis!$Q$6,Dados!$A678&lt;=Imóveis!$T$6),Imóveis!$S$6-(DATEDIF(Imóveis!$Q$6,Dados!$A678,"m")),)))*(Imóveis!$N$6/Imóveis!$S$6)))*Imóveis!$P$6))))*IF(AND(Imóveis!$E$6&gt;0,Dados!$A678&gt;Imóveis!$E$6),0,1)*Imóveis!$I$6</f>
        <v>0</v>
      </c>
      <c r="N678" s="18">
        <f t="shared" si="85"/>
        <v>37000</v>
      </c>
      <c r="O678" s="18">
        <f>SUMIFS(Receitas!$F:$F,Receitas!$J:$J,"&lt;="&amp;$A678,Receitas!$L:$L,"&gt;="&amp;$A678,Receitas!$C:$C,O$1,Receitas!$M:$M,"Mensal")+SUMIFS(Receitas!$F:$F,Receitas!$J:$J,"&lt;="&amp;$A678,Receitas!$L:$L,"&gt;="&amp;$A678,Receitas!$C:$C,O$1,Receitas!$M:$M,$B678)</f>
        <v>0</v>
      </c>
      <c r="P678" s="18">
        <f>SUMIFS(Receitas!$F:$F,Receitas!$J:$J,"&lt;="&amp;$A678,Receitas!$L:$L,"&gt;="&amp;$A678,Receitas!$C:$C,P$1,Receitas!$M:$M,"Mensal")+SUMIFS(Receitas!$F:$F,Receitas!$J:$J,"&lt;="&amp;$A678,Receitas!$L:$L,"&gt;="&amp;$A678,Receitas!$C:$C,P$1,Receitas!$M:$M,$B678)</f>
        <v>0</v>
      </c>
      <c r="Q678" s="18">
        <f>SUMIFS(Receitas!$F:$F,Receitas!$J:$J,"&lt;="&amp;$A678,Receitas!$L:$L,"&gt;="&amp;$A678,Receitas!$C:$C,Q$1,Receitas!$M:$M,"Mensal")+SUMIFS(Receitas!$F:$F,Receitas!$J:$J,"&lt;="&amp;$A678,Receitas!$L:$L,"&gt;="&amp;$A678,Receitas!$C:$C,Q$1,Receitas!$M:$M,$B678)</f>
        <v>0</v>
      </c>
      <c r="R678" s="18" cm="1">
        <f t="array" ref="R678">(IF(AND(Membros!$F$2="Sim",A678&lt;=MAX(Membros!$E$2:$E$5)),Membros!K$2,IF(AND(A678&gt;=Membros!J$2,A678&lt;=MAX(Membros!$E$2:$E$5)),Membros!K$2,0))+IF(AND(Membros!$F$3="Sim",A678&lt;=MAX(Membros!$E$2:$E$5)),Membros!K$3,IF(AND(A678&gt;=Membros!J$3,A678&lt;=MAX(Membros!$E$2:$E$5)),Membros!K$3,0)))*IF(AND(COUNTIFS(Tabela3[Tipo],"Provedor",Tabela3[Simulação Seguro],"Sim")=2,A678&gt;=MAX(IF(Tabela3[Tipo]="Dependente",Tabela3[Expectativa de Vida (Data)]))),0,1)</f>
        <v>10000</v>
      </c>
      <c r="S678" s="18">
        <f t="shared" si="86"/>
        <v>10000</v>
      </c>
      <c r="U678" s="18">
        <f t="shared" ca="1" si="89"/>
        <v>47962048.026016973</v>
      </c>
      <c r="V678" s="18">
        <f>SUMIF(Imóveis!E:E,Dados!A:A,Imóveis!Z:Z)-SUMIF(Imóveis!E:E,Dados!A:A,Imóveis!Y:Y)</f>
        <v>0</v>
      </c>
      <c r="W678" s="18">
        <f>-SUMIF(Projetos!N:N,A678,Projetos!F:F)</f>
        <v>0</v>
      </c>
      <c r="X678" s="18">
        <f t="shared" si="83"/>
        <v>-27000</v>
      </c>
      <c r="Y678" s="26">
        <f ca="1">(U678*((Indicadores_Economicos!D$2+1)^(1/12)-1))</f>
        <v>157015.26465850667</v>
      </c>
      <c r="Z678" s="18">
        <f t="shared" ca="1" si="87"/>
        <v>48092063.290675476</v>
      </c>
      <c r="AA678" s="18">
        <f ca="1">Auxiliar_Projetos!E678</f>
        <v>3.5623812970896033E-9</v>
      </c>
      <c r="AB678" s="18">
        <f ca="1">Auxiliar_Projetos!K678</f>
        <v>2.7402933054535357E-9</v>
      </c>
      <c r="AC678" s="18">
        <f ca="1">IF(Z678-AA678-AB678&gt;Investimentos!$C$14,Investimentos!$C$14,IF(Z678-AA678-AB678&lt;Investimentos!$C$14,Z678-AA678-AB678,0))</f>
        <v>300000</v>
      </c>
      <c r="AD678" s="18">
        <f t="shared" ca="1" si="88"/>
        <v>47792063.290675476</v>
      </c>
      <c r="AE678" s="18"/>
    </row>
    <row r="679" spans="1:31" x14ac:dyDescent="0.2">
      <c r="A679" s="4">
        <v>66263</v>
      </c>
      <c r="B679" s="5" t="str">
        <f t="shared" si="84"/>
        <v>junho</v>
      </c>
      <c r="C679" s="5" t="str">
        <f t="shared" si="90"/>
        <v>2081</v>
      </c>
      <c r="D679" s="5">
        <f>SUMIFS(Despesas!$F:$F,Despesas!$J:$J,"&lt;="&amp;$A679,Despesas!$L:$L,"&gt;="&amp;$A679,Despesas!$C:$C,D$1,Despesas!$M:$M,"Mensal")+SUMIFS(Despesas!$F:$F,Despesas!$J:$J,"&lt;="&amp;$A679,Despesas!$L:$L,"&gt;="&amp;$A679,Despesas!$C:$C,D$1,Despesas!$M:$M,$B679)</f>
        <v>23000</v>
      </c>
      <c r="E679" s="18">
        <f>SUMIFS(Despesas!$F:$F,Despesas!$J:$J,"&lt;="&amp;$A679,Despesas!$L:$L,"&gt;="&amp;$A679,Despesas!$C:$C,E$1,Despesas!$M:$M,"Mensal")+SUMIFS(Despesas!$F:$F,Despesas!$J:$J,"&lt;="&amp;$A679,Despesas!$L:$L,"&gt;="&amp;$A679,Despesas!$C:$C,E$1,Despesas!$M:$M,$B679)</f>
        <v>0</v>
      </c>
      <c r="F679" s="5">
        <f>SUMIFS(Despesas!$F:$F,Despesas!$J:$J,"&lt;="&amp;$A679,Despesas!$L:$L,"&gt;="&amp;$A679,Despesas!$C:$C,F$1,Despesas!$M:$M,"Mensal")+SUMIFS(Despesas!$F:$F,Despesas!$J:$J,"&lt;="&amp;$A679,Despesas!$L:$L,"&gt;="&amp;$A679,Despesas!$C:$C,F$1,Despesas!$M:$M,$B679)</f>
        <v>13000</v>
      </c>
      <c r="G679" s="5">
        <f>SUMIFS(Despesas!$F:$F,Despesas!$J:$J,"&lt;="&amp;$A679,Despesas!$L:$L,"&gt;="&amp;$A679,Despesas!$C:$C,G$1,Despesas!$M:$M,"Mensal")+SUMIFS(Despesas!$F:$F,Despesas!$J:$J,"&lt;="&amp;$A679,Despesas!$L:$L,"&gt;="&amp;$A679,Despesas!$C:$C,G$1,Despesas!$M:$M,$B679)</f>
        <v>0</v>
      </c>
      <c r="H679" s="18">
        <f>SUMIFS(Despesas!$F:$F,Despesas!$J:$J,"&lt;="&amp;$A679,Despesas!$L:$L,"&gt;="&amp;$A679,Despesas!$C:$C,H$1,Despesas!$M:$M,"Mensal")+SUMIFS(Despesas!$F:$F,Despesas!$J:$J,"&lt;="&amp;$A679,Despesas!$L:$L,"&gt;="&amp;$A679,Despesas!$C:$C,H$1,Despesas!$M:$M,$B679)</f>
        <v>1000</v>
      </c>
      <c r="I679" s="18">
        <f>IF(Imóveis!$F$2="PRICE",IF(AND(Dados!$A679&gt;=Imóveis!$Q$2,Dados!$A679&lt;=Imóveis!$T$2),Imóveis!$U$2,0),IF((IF(AND(Dados!$A679&gt;=Imóveis!$Q$2,Dados!$A679&lt;=Imóveis!$T$2),Imóveis!$S$2-(DATEDIF(Imóveis!$Q$2,Dados!$A679,"m")),0))=0,0,((Imóveis!$N$2/Imóveis!$S$2)+((Imóveis!$N$2-((Imóveis!$S$2-(IF(AND(Dados!$A679&gt;=Imóveis!$Q$2,Dados!$A679&lt;=Imóveis!$T$2),Imóveis!$S$2-(DATEDIF(Imóveis!$Q$2,Dados!$A679,"m")),)))*(Imóveis!$N$2/Imóveis!$S$2)))*Imóveis!$P$2))))*IF(AND(Imóveis!$E$2&gt;0,Dados!$A679&gt;Imóveis!$E$2),0,1)</f>
        <v>0</v>
      </c>
      <c r="J679" s="18">
        <f>IF(Imóveis!$F$3="PRICE",IF(AND(Dados!$A679&gt;=Imóveis!$Q$3,Dados!$A679&lt;=Imóveis!$T$3),Imóveis!$U$3,0),IF((IF(AND(Dados!$A679&gt;=Imóveis!$Q$3,Dados!$A679&lt;=Imóveis!$T$3),Imóveis!$S$3-(DATEDIF(Imóveis!$Q$3,Dados!$A679,"m")),0))=0,0,((Imóveis!$N$3/Imóveis!$S$3)+((Imóveis!$N$3-((Imóveis!$S$3-(IF(AND(Dados!$A679&gt;=Imóveis!$Q$3,Dados!$A679&lt;=Imóveis!$T$3),Imóveis!$S$3-(DATEDIF(Imóveis!$Q$3,Dados!$A679,"m")),)))*(Imóveis!$N$3/Imóveis!$S$3)))*Imóveis!$P$3))))*IF(AND(Imóveis!$E$3&gt;0,Dados!$A679&gt;Imóveis!$E$3),0,1)</f>
        <v>0</v>
      </c>
      <c r="K679" s="18">
        <f>IF(Imóveis!$F$4="PRICE",IF(AND(Dados!$A679&gt;=Imóveis!$Q$4,Dados!$A679&lt;=Imóveis!$T$4),Imóveis!$U$4,0),IF((IF(AND(Dados!$A679&gt;=Imóveis!$Q$4,Dados!$A679&lt;=Imóveis!$T$4),Imóveis!$S$4-(DATEDIF(Imóveis!$Q$4,Dados!$A679,"m")),0))=0,0,((Imóveis!$N$4/Imóveis!$S$4)+((Imóveis!$N$4-((Imóveis!$S$4-(IF(AND(Dados!$A679&gt;=Imóveis!$Q$4,Dados!$A679&lt;=Imóveis!$T$4),Imóveis!$S$4-(DATEDIF(Imóveis!$Q$4,Dados!$A679,"m")),)))*(Imóveis!$N$4/Imóveis!$S$4)))*Imóveis!$P$4))))*IF(AND(Imóveis!$E$4&gt;0,Dados!$A679&gt;Imóveis!$E$4),0,1)</f>
        <v>0</v>
      </c>
      <c r="L679" s="18">
        <f>IF(Imóveis!$F$5="PRICE",IF(AND(Dados!$A679&gt;=Imóveis!$Q$5,Dados!$A679&lt;=Imóveis!$T$5),Imóveis!$U$5,0),IF((IF(AND(Dados!$A679&gt;=Imóveis!$Q$5,Dados!$A679&lt;=Imóveis!$T$5),Imóveis!$S$5-(DATEDIF(Imóveis!$Q$5,Dados!$A679,"m")),0))=0,0,((Imóveis!$N$5/Imóveis!$S$5)+((Imóveis!$N$5-((Imóveis!$S$5-(IF(AND(Dados!$A679 &gt;=Imóveis!$Q$5,Dados!$A679&lt;=Imóveis!$T$5),Imóveis!$S$5-(DATEDIF(Imóveis!$Q$5,Dados!$A679,"m")),)))*(Imóveis!$N$5/Imóveis!$S$5)))*Imóveis!$P$5))))*IF(AND(Imóveis!$E$5&gt;0,Dados!$A679&gt;Imóveis!$E$5),0,1)*Imóveis!$I$5</f>
        <v>0</v>
      </c>
      <c r="M679" s="18">
        <f>IF(Imóveis!$F$6="PRICE",IF(AND(Dados!$A679&gt;=Imóveis!$Q$6,Dados!$A679&lt;=Imóveis!$T$6),Imóveis!$U$6,0),IF((IF(AND(Dados!$A679&gt;=Imóveis!$Q$6,Dados!$A679&lt;=Imóveis!$T$6),Imóveis!$S$6-(DATEDIF(Imóveis!$Q$6,Dados!$A679,"m")),0))=0,0,((Imóveis!$N$6/Imóveis!$S$6)+((Imóveis!$N$6-((Imóveis!$S$6-(IF(AND(Dados!$A679&gt;=Imóveis!$Q$6,Dados!$A679&lt;=Imóveis!$T$6),Imóveis!$S$6-(DATEDIF(Imóveis!$Q$6,Dados!$A679,"m")),)))*(Imóveis!$N$6/Imóveis!$S$6)))*Imóveis!$P$6))))*IF(AND(Imóveis!$E$6&gt;0,Dados!$A679&gt;Imóveis!$E$6),0,1)*Imóveis!$I$6</f>
        <v>0</v>
      </c>
      <c r="N679" s="18">
        <f t="shared" si="85"/>
        <v>37000</v>
      </c>
      <c r="O679" s="18">
        <f>SUMIFS(Receitas!$F:$F,Receitas!$J:$J,"&lt;="&amp;$A679,Receitas!$L:$L,"&gt;="&amp;$A679,Receitas!$C:$C,O$1,Receitas!$M:$M,"Mensal")+SUMIFS(Receitas!$F:$F,Receitas!$J:$J,"&lt;="&amp;$A679,Receitas!$L:$L,"&gt;="&amp;$A679,Receitas!$C:$C,O$1,Receitas!$M:$M,$B679)</f>
        <v>0</v>
      </c>
      <c r="P679" s="18">
        <f>SUMIFS(Receitas!$F:$F,Receitas!$J:$J,"&lt;="&amp;$A679,Receitas!$L:$L,"&gt;="&amp;$A679,Receitas!$C:$C,P$1,Receitas!$M:$M,"Mensal")+SUMIFS(Receitas!$F:$F,Receitas!$J:$J,"&lt;="&amp;$A679,Receitas!$L:$L,"&gt;="&amp;$A679,Receitas!$C:$C,P$1,Receitas!$M:$M,$B679)</f>
        <v>0</v>
      </c>
      <c r="Q679" s="18">
        <f>SUMIFS(Receitas!$F:$F,Receitas!$J:$J,"&lt;="&amp;$A679,Receitas!$L:$L,"&gt;="&amp;$A679,Receitas!$C:$C,Q$1,Receitas!$M:$M,"Mensal")+SUMIFS(Receitas!$F:$F,Receitas!$J:$J,"&lt;="&amp;$A679,Receitas!$L:$L,"&gt;="&amp;$A679,Receitas!$C:$C,Q$1,Receitas!$M:$M,$B679)</f>
        <v>0</v>
      </c>
      <c r="R679" s="18" cm="1">
        <f t="array" ref="R679">(IF(AND(Membros!$F$2="Sim",A679&lt;=MAX(Membros!$E$2:$E$5)),Membros!K$2,IF(AND(A679&gt;=Membros!J$2,A679&lt;=MAX(Membros!$E$2:$E$5)),Membros!K$2,0))+IF(AND(Membros!$F$3="Sim",A679&lt;=MAX(Membros!$E$2:$E$5)),Membros!K$3,IF(AND(A679&gt;=Membros!J$3,A679&lt;=MAX(Membros!$E$2:$E$5)),Membros!K$3,0)))*IF(AND(COUNTIFS(Tabela3[Tipo],"Provedor",Tabela3[Simulação Seguro],"Sim")=2,A679&gt;=MAX(IF(Tabela3[Tipo]="Dependente",Tabela3[Expectativa de Vida (Data)]))),0,1)</f>
        <v>10000</v>
      </c>
      <c r="S679" s="18">
        <f t="shared" si="86"/>
        <v>10000</v>
      </c>
      <c r="U679" s="18">
        <f t="shared" ca="1" si="89"/>
        <v>48092063.290675476</v>
      </c>
      <c r="V679" s="18">
        <f>SUMIF(Imóveis!E:E,Dados!A:A,Imóveis!Z:Z)-SUMIF(Imóveis!E:E,Dados!A:A,Imóveis!Y:Y)</f>
        <v>0</v>
      </c>
      <c r="W679" s="18">
        <f>-SUMIF(Projetos!N:N,A679,Projetos!F:F)</f>
        <v>0</v>
      </c>
      <c r="X679" s="18">
        <f t="shared" si="83"/>
        <v>-27000</v>
      </c>
      <c r="Y679" s="26">
        <f ca="1">(U679*((Indicadores_Economicos!D$2+1)^(1/12)-1))</f>
        <v>157440.90080271233</v>
      </c>
      <c r="Z679" s="18">
        <f t="shared" ca="1" si="87"/>
        <v>48222504.191478185</v>
      </c>
      <c r="AA679" s="18">
        <f ca="1">Auxiliar_Projetos!E679</f>
        <v>3.5740436064612468E-9</v>
      </c>
      <c r="AB679" s="18">
        <f ca="1">Auxiliar_Projetos!K679</f>
        <v>2.7492643126624922E-9</v>
      </c>
      <c r="AC679" s="18">
        <f ca="1">IF(Z679-AA679-AB679&gt;Investimentos!$C$14,Investimentos!$C$14,IF(Z679-AA679-AB679&lt;Investimentos!$C$14,Z679-AA679-AB679,0))</f>
        <v>300000</v>
      </c>
      <c r="AD679" s="18">
        <f t="shared" ca="1" si="88"/>
        <v>47922504.191478185</v>
      </c>
      <c r="AE679" s="18"/>
    </row>
    <row r="680" spans="1:31" x14ac:dyDescent="0.2">
      <c r="A680" s="4">
        <v>66293</v>
      </c>
      <c r="B680" s="5" t="str">
        <f t="shared" si="84"/>
        <v>julho</v>
      </c>
      <c r="C680" s="5" t="str">
        <f t="shared" si="90"/>
        <v>2081</v>
      </c>
      <c r="D680" s="5">
        <f>SUMIFS(Despesas!$F:$F,Despesas!$J:$J,"&lt;="&amp;$A680,Despesas!$L:$L,"&gt;="&amp;$A680,Despesas!$C:$C,D$1,Despesas!$M:$M,"Mensal")+SUMIFS(Despesas!$F:$F,Despesas!$J:$J,"&lt;="&amp;$A680,Despesas!$L:$L,"&gt;="&amp;$A680,Despesas!$C:$C,D$1,Despesas!$M:$M,$B680)</f>
        <v>23000</v>
      </c>
      <c r="E680" s="18">
        <f>SUMIFS(Despesas!$F:$F,Despesas!$J:$J,"&lt;="&amp;$A680,Despesas!$L:$L,"&gt;="&amp;$A680,Despesas!$C:$C,E$1,Despesas!$M:$M,"Mensal")+SUMIFS(Despesas!$F:$F,Despesas!$J:$J,"&lt;="&amp;$A680,Despesas!$L:$L,"&gt;="&amp;$A680,Despesas!$C:$C,E$1,Despesas!$M:$M,$B680)</f>
        <v>0</v>
      </c>
      <c r="F680" s="5">
        <f>SUMIFS(Despesas!$F:$F,Despesas!$J:$J,"&lt;="&amp;$A680,Despesas!$L:$L,"&gt;="&amp;$A680,Despesas!$C:$C,F$1,Despesas!$M:$M,"Mensal")+SUMIFS(Despesas!$F:$F,Despesas!$J:$J,"&lt;="&amp;$A680,Despesas!$L:$L,"&gt;="&amp;$A680,Despesas!$C:$C,F$1,Despesas!$M:$M,$B680)</f>
        <v>13000</v>
      </c>
      <c r="G680" s="5">
        <f ca="1">SUMIFS(Despesas!$F:$F,Despesas!$J:$J,"&lt;="&amp;$A680,Despesas!$L:$L,"&gt;="&amp;$A680,Despesas!$C:$C,G$1,Despesas!$M:$M,"Mensal")+SUMIFS(Despesas!$F:$F,Despesas!$J:$J,"&lt;="&amp;$A680,Despesas!$L:$L,"&gt;="&amp;$A680,Despesas!$C:$C,G$1,Despesas!$M:$M,$B680)</f>
        <v>55757</v>
      </c>
      <c r="H680" s="18">
        <f>SUMIFS(Despesas!$F:$F,Despesas!$J:$J,"&lt;="&amp;$A680,Despesas!$L:$L,"&gt;="&amp;$A680,Despesas!$C:$C,H$1,Despesas!$M:$M,"Mensal")+SUMIFS(Despesas!$F:$F,Despesas!$J:$J,"&lt;="&amp;$A680,Despesas!$L:$L,"&gt;="&amp;$A680,Despesas!$C:$C,H$1,Despesas!$M:$M,$B680)</f>
        <v>1000</v>
      </c>
      <c r="I680" s="18">
        <f>IF(Imóveis!$F$2="PRICE",IF(AND(Dados!$A680&gt;=Imóveis!$Q$2,Dados!$A680&lt;=Imóveis!$T$2),Imóveis!$U$2,0),IF((IF(AND(Dados!$A680&gt;=Imóveis!$Q$2,Dados!$A680&lt;=Imóveis!$T$2),Imóveis!$S$2-(DATEDIF(Imóveis!$Q$2,Dados!$A680,"m")),0))=0,0,((Imóveis!$N$2/Imóveis!$S$2)+((Imóveis!$N$2-((Imóveis!$S$2-(IF(AND(Dados!$A680&gt;=Imóveis!$Q$2,Dados!$A680&lt;=Imóveis!$T$2),Imóveis!$S$2-(DATEDIF(Imóveis!$Q$2,Dados!$A680,"m")),)))*(Imóveis!$N$2/Imóveis!$S$2)))*Imóveis!$P$2))))*IF(AND(Imóveis!$E$2&gt;0,Dados!$A680&gt;Imóveis!$E$2),0,1)</f>
        <v>0</v>
      </c>
      <c r="J680" s="18">
        <f>IF(Imóveis!$F$3="PRICE",IF(AND(Dados!$A680&gt;=Imóveis!$Q$3,Dados!$A680&lt;=Imóveis!$T$3),Imóveis!$U$3,0),IF((IF(AND(Dados!$A680&gt;=Imóveis!$Q$3,Dados!$A680&lt;=Imóveis!$T$3),Imóveis!$S$3-(DATEDIF(Imóveis!$Q$3,Dados!$A680,"m")),0))=0,0,((Imóveis!$N$3/Imóveis!$S$3)+((Imóveis!$N$3-((Imóveis!$S$3-(IF(AND(Dados!$A680&gt;=Imóveis!$Q$3,Dados!$A680&lt;=Imóveis!$T$3),Imóveis!$S$3-(DATEDIF(Imóveis!$Q$3,Dados!$A680,"m")),)))*(Imóveis!$N$3/Imóveis!$S$3)))*Imóveis!$P$3))))*IF(AND(Imóveis!$E$3&gt;0,Dados!$A680&gt;Imóveis!$E$3),0,1)</f>
        <v>0</v>
      </c>
      <c r="K680" s="18">
        <f>IF(Imóveis!$F$4="PRICE",IF(AND(Dados!$A680&gt;=Imóveis!$Q$4,Dados!$A680&lt;=Imóveis!$T$4),Imóveis!$U$4,0),IF((IF(AND(Dados!$A680&gt;=Imóveis!$Q$4,Dados!$A680&lt;=Imóveis!$T$4),Imóveis!$S$4-(DATEDIF(Imóveis!$Q$4,Dados!$A680,"m")),0))=0,0,((Imóveis!$N$4/Imóveis!$S$4)+((Imóveis!$N$4-((Imóveis!$S$4-(IF(AND(Dados!$A680&gt;=Imóveis!$Q$4,Dados!$A680&lt;=Imóveis!$T$4),Imóveis!$S$4-(DATEDIF(Imóveis!$Q$4,Dados!$A680,"m")),)))*(Imóveis!$N$4/Imóveis!$S$4)))*Imóveis!$P$4))))*IF(AND(Imóveis!$E$4&gt;0,Dados!$A680&gt;Imóveis!$E$4),0,1)</f>
        <v>0</v>
      </c>
      <c r="L680" s="18">
        <f>IF(Imóveis!$F$5="PRICE",IF(AND(Dados!$A680&gt;=Imóveis!$Q$5,Dados!$A680&lt;=Imóveis!$T$5),Imóveis!$U$5,0),IF((IF(AND(Dados!$A680&gt;=Imóveis!$Q$5,Dados!$A680&lt;=Imóveis!$T$5),Imóveis!$S$5-(DATEDIF(Imóveis!$Q$5,Dados!$A680,"m")),0))=0,0,((Imóveis!$N$5/Imóveis!$S$5)+((Imóveis!$N$5-((Imóveis!$S$5-(IF(AND(Dados!$A680 &gt;=Imóveis!$Q$5,Dados!$A680&lt;=Imóveis!$T$5),Imóveis!$S$5-(DATEDIF(Imóveis!$Q$5,Dados!$A680,"m")),)))*(Imóveis!$N$5/Imóveis!$S$5)))*Imóveis!$P$5))))*IF(AND(Imóveis!$E$5&gt;0,Dados!$A680&gt;Imóveis!$E$5),0,1)*Imóveis!$I$5</f>
        <v>0</v>
      </c>
      <c r="M680" s="18">
        <f>IF(Imóveis!$F$6="PRICE",IF(AND(Dados!$A680&gt;=Imóveis!$Q$6,Dados!$A680&lt;=Imóveis!$T$6),Imóveis!$U$6,0),IF((IF(AND(Dados!$A680&gt;=Imóveis!$Q$6,Dados!$A680&lt;=Imóveis!$T$6),Imóveis!$S$6-(DATEDIF(Imóveis!$Q$6,Dados!$A680,"m")),0))=0,0,((Imóveis!$N$6/Imóveis!$S$6)+((Imóveis!$N$6-((Imóveis!$S$6-(IF(AND(Dados!$A680&gt;=Imóveis!$Q$6,Dados!$A680&lt;=Imóveis!$T$6),Imóveis!$S$6-(DATEDIF(Imóveis!$Q$6,Dados!$A680,"m")),)))*(Imóveis!$N$6/Imóveis!$S$6)))*Imóveis!$P$6))))*IF(AND(Imóveis!$E$6&gt;0,Dados!$A680&gt;Imóveis!$E$6),0,1)*Imóveis!$I$6</f>
        <v>0</v>
      </c>
      <c r="N680" s="18">
        <f t="shared" ca="1" si="85"/>
        <v>92757</v>
      </c>
      <c r="O680" s="18">
        <f>SUMIFS(Receitas!$F:$F,Receitas!$J:$J,"&lt;="&amp;$A680,Receitas!$L:$L,"&gt;="&amp;$A680,Receitas!$C:$C,O$1,Receitas!$M:$M,"Mensal")+SUMIFS(Receitas!$F:$F,Receitas!$J:$J,"&lt;="&amp;$A680,Receitas!$L:$L,"&gt;="&amp;$A680,Receitas!$C:$C,O$1,Receitas!$M:$M,$B680)</f>
        <v>0</v>
      </c>
      <c r="P680" s="18">
        <f>SUMIFS(Receitas!$F:$F,Receitas!$J:$J,"&lt;="&amp;$A680,Receitas!$L:$L,"&gt;="&amp;$A680,Receitas!$C:$C,P$1,Receitas!$M:$M,"Mensal")+SUMIFS(Receitas!$F:$F,Receitas!$J:$J,"&lt;="&amp;$A680,Receitas!$L:$L,"&gt;="&amp;$A680,Receitas!$C:$C,P$1,Receitas!$M:$M,$B680)</f>
        <v>0</v>
      </c>
      <c r="Q680" s="18">
        <f>SUMIFS(Receitas!$F:$F,Receitas!$J:$J,"&lt;="&amp;$A680,Receitas!$L:$L,"&gt;="&amp;$A680,Receitas!$C:$C,Q$1,Receitas!$M:$M,"Mensal")+SUMIFS(Receitas!$F:$F,Receitas!$J:$J,"&lt;="&amp;$A680,Receitas!$L:$L,"&gt;="&amp;$A680,Receitas!$C:$C,Q$1,Receitas!$M:$M,$B680)</f>
        <v>0</v>
      </c>
      <c r="R680" s="18" cm="1">
        <f t="array" ref="R680">(IF(AND(Membros!$F$2="Sim",A680&lt;=MAX(Membros!$E$2:$E$5)),Membros!K$2,IF(AND(A680&gt;=Membros!J$2,A680&lt;=MAX(Membros!$E$2:$E$5)),Membros!K$2,0))+IF(AND(Membros!$F$3="Sim",A680&lt;=MAX(Membros!$E$2:$E$5)),Membros!K$3,IF(AND(A680&gt;=Membros!J$3,A680&lt;=MAX(Membros!$E$2:$E$5)),Membros!K$3,0)))*IF(AND(COUNTIFS(Tabela3[Tipo],"Provedor",Tabela3[Simulação Seguro],"Sim")=2,A680&gt;=MAX(IF(Tabela3[Tipo]="Dependente",Tabela3[Expectativa de Vida (Data)]))),0,1)</f>
        <v>10000</v>
      </c>
      <c r="S680" s="18">
        <f t="shared" si="86"/>
        <v>10000</v>
      </c>
      <c r="U680" s="18">
        <f t="shared" ca="1" si="89"/>
        <v>48222504.191478185</v>
      </c>
      <c r="V680" s="18">
        <f>SUMIF(Imóveis!E:E,Dados!A:A,Imóveis!Z:Z)-SUMIF(Imóveis!E:E,Dados!A:A,Imóveis!Y:Y)</f>
        <v>0</v>
      </c>
      <c r="W680" s="18">
        <f>-SUMIF(Projetos!N:N,A680,Projetos!F:F)</f>
        <v>0</v>
      </c>
      <c r="X680" s="18">
        <f t="shared" ca="1" si="83"/>
        <v>-82757</v>
      </c>
      <c r="Y680" s="26">
        <f ca="1">(U680*((Indicadores_Economicos!D$2+1)^(1/12)-1))</f>
        <v>157867.93036889602</v>
      </c>
      <c r="Z680" s="18">
        <f t="shared" ca="1" si="87"/>
        <v>48297615.121847078</v>
      </c>
      <c r="AA680" s="18">
        <f ca="1">Auxiliar_Projetos!E680</f>
        <v>3.5857440951990327E-9</v>
      </c>
      <c r="AB680" s="18">
        <f ca="1">Auxiliar_Projetos!K680</f>
        <v>2.758264688614635E-9</v>
      </c>
      <c r="AC680" s="18">
        <f ca="1">IF(Z680-AA680-AB680&gt;Investimentos!$C$14,Investimentos!$C$14,IF(Z680-AA680-AB680&lt;Investimentos!$C$14,Z680-AA680-AB680,0))</f>
        <v>300000</v>
      </c>
      <c r="AD680" s="18">
        <f t="shared" ca="1" si="88"/>
        <v>47997615.121847078</v>
      </c>
      <c r="AE680" s="18"/>
    </row>
    <row r="681" spans="1:31" x14ac:dyDescent="0.2">
      <c r="A681" s="4">
        <v>66324</v>
      </c>
      <c r="B681" s="5" t="str">
        <f t="shared" si="84"/>
        <v>agosto</v>
      </c>
      <c r="C681" s="5" t="str">
        <f t="shared" si="90"/>
        <v>2081</v>
      </c>
      <c r="D681" s="5">
        <f>SUMIFS(Despesas!$F:$F,Despesas!$J:$J,"&lt;="&amp;$A681,Despesas!$L:$L,"&gt;="&amp;$A681,Despesas!$C:$C,D$1,Despesas!$M:$M,"Mensal")+SUMIFS(Despesas!$F:$F,Despesas!$J:$J,"&lt;="&amp;$A681,Despesas!$L:$L,"&gt;="&amp;$A681,Despesas!$C:$C,D$1,Despesas!$M:$M,$B681)</f>
        <v>23000</v>
      </c>
      <c r="E681" s="18">
        <f>SUMIFS(Despesas!$F:$F,Despesas!$J:$J,"&lt;="&amp;$A681,Despesas!$L:$L,"&gt;="&amp;$A681,Despesas!$C:$C,E$1,Despesas!$M:$M,"Mensal")+SUMIFS(Despesas!$F:$F,Despesas!$J:$J,"&lt;="&amp;$A681,Despesas!$L:$L,"&gt;="&amp;$A681,Despesas!$C:$C,E$1,Despesas!$M:$M,$B681)</f>
        <v>0</v>
      </c>
      <c r="F681" s="5">
        <f>SUMIFS(Despesas!$F:$F,Despesas!$J:$J,"&lt;="&amp;$A681,Despesas!$L:$L,"&gt;="&amp;$A681,Despesas!$C:$C,F$1,Despesas!$M:$M,"Mensal")+SUMIFS(Despesas!$F:$F,Despesas!$J:$J,"&lt;="&amp;$A681,Despesas!$L:$L,"&gt;="&amp;$A681,Despesas!$C:$C,F$1,Despesas!$M:$M,$B681)</f>
        <v>13000</v>
      </c>
      <c r="G681" s="5">
        <f>SUMIFS(Despesas!$F:$F,Despesas!$J:$J,"&lt;="&amp;$A681,Despesas!$L:$L,"&gt;="&amp;$A681,Despesas!$C:$C,G$1,Despesas!$M:$M,"Mensal")+SUMIFS(Despesas!$F:$F,Despesas!$J:$J,"&lt;="&amp;$A681,Despesas!$L:$L,"&gt;="&amp;$A681,Despesas!$C:$C,G$1,Despesas!$M:$M,$B681)</f>
        <v>0</v>
      </c>
      <c r="H681" s="18">
        <f>SUMIFS(Despesas!$F:$F,Despesas!$J:$J,"&lt;="&amp;$A681,Despesas!$L:$L,"&gt;="&amp;$A681,Despesas!$C:$C,H$1,Despesas!$M:$M,"Mensal")+SUMIFS(Despesas!$F:$F,Despesas!$J:$J,"&lt;="&amp;$A681,Despesas!$L:$L,"&gt;="&amp;$A681,Despesas!$C:$C,H$1,Despesas!$M:$M,$B681)</f>
        <v>1000</v>
      </c>
      <c r="I681" s="18">
        <f>IF(Imóveis!$F$2="PRICE",IF(AND(Dados!$A681&gt;=Imóveis!$Q$2,Dados!$A681&lt;=Imóveis!$T$2),Imóveis!$U$2,0),IF((IF(AND(Dados!$A681&gt;=Imóveis!$Q$2,Dados!$A681&lt;=Imóveis!$T$2),Imóveis!$S$2-(DATEDIF(Imóveis!$Q$2,Dados!$A681,"m")),0))=0,0,((Imóveis!$N$2/Imóveis!$S$2)+((Imóveis!$N$2-((Imóveis!$S$2-(IF(AND(Dados!$A681&gt;=Imóveis!$Q$2,Dados!$A681&lt;=Imóveis!$T$2),Imóveis!$S$2-(DATEDIF(Imóveis!$Q$2,Dados!$A681,"m")),)))*(Imóveis!$N$2/Imóveis!$S$2)))*Imóveis!$P$2))))*IF(AND(Imóveis!$E$2&gt;0,Dados!$A681&gt;Imóveis!$E$2),0,1)</f>
        <v>0</v>
      </c>
      <c r="J681" s="18">
        <f>IF(Imóveis!$F$3="PRICE",IF(AND(Dados!$A681&gt;=Imóveis!$Q$3,Dados!$A681&lt;=Imóveis!$T$3),Imóveis!$U$3,0),IF((IF(AND(Dados!$A681&gt;=Imóveis!$Q$3,Dados!$A681&lt;=Imóveis!$T$3),Imóveis!$S$3-(DATEDIF(Imóveis!$Q$3,Dados!$A681,"m")),0))=0,0,((Imóveis!$N$3/Imóveis!$S$3)+((Imóveis!$N$3-((Imóveis!$S$3-(IF(AND(Dados!$A681&gt;=Imóveis!$Q$3,Dados!$A681&lt;=Imóveis!$T$3),Imóveis!$S$3-(DATEDIF(Imóveis!$Q$3,Dados!$A681,"m")),)))*(Imóveis!$N$3/Imóveis!$S$3)))*Imóveis!$P$3))))*IF(AND(Imóveis!$E$3&gt;0,Dados!$A681&gt;Imóveis!$E$3),0,1)</f>
        <v>0</v>
      </c>
      <c r="K681" s="18">
        <f>IF(Imóveis!$F$4="PRICE",IF(AND(Dados!$A681&gt;=Imóveis!$Q$4,Dados!$A681&lt;=Imóveis!$T$4),Imóveis!$U$4,0),IF((IF(AND(Dados!$A681&gt;=Imóveis!$Q$4,Dados!$A681&lt;=Imóveis!$T$4),Imóveis!$S$4-(DATEDIF(Imóveis!$Q$4,Dados!$A681,"m")),0))=0,0,((Imóveis!$N$4/Imóveis!$S$4)+((Imóveis!$N$4-((Imóveis!$S$4-(IF(AND(Dados!$A681&gt;=Imóveis!$Q$4,Dados!$A681&lt;=Imóveis!$T$4),Imóveis!$S$4-(DATEDIF(Imóveis!$Q$4,Dados!$A681,"m")),)))*(Imóveis!$N$4/Imóveis!$S$4)))*Imóveis!$P$4))))*IF(AND(Imóveis!$E$4&gt;0,Dados!$A681&gt;Imóveis!$E$4),0,1)</f>
        <v>0</v>
      </c>
      <c r="L681" s="18">
        <f>IF(Imóveis!$F$5="PRICE",IF(AND(Dados!$A681&gt;=Imóveis!$Q$5,Dados!$A681&lt;=Imóveis!$T$5),Imóveis!$U$5,0),IF((IF(AND(Dados!$A681&gt;=Imóveis!$Q$5,Dados!$A681&lt;=Imóveis!$T$5),Imóveis!$S$5-(DATEDIF(Imóveis!$Q$5,Dados!$A681,"m")),0))=0,0,((Imóveis!$N$5/Imóveis!$S$5)+((Imóveis!$N$5-((Imóveis!$S$5-(IF(AND(Dados!$A681 &gt;=Imóveis!$Q$5,Dados!$A681&lt;=Imóveis!$T$5),Imóveis!$S$5-(DATEDIF(Imóveis!$Q$5,Dados!$A681,"m")),)))*(Imóveis!$N$5/Imóveis!$S$5)))*Imóveis!$P$5))))*IF(AND(Imóveis!$E$5&gt;0,Dados!$A681&gt;Imóveis!$E$5),0,1)*Imóveis!$I$5</f>
        <v>0</v>
      </c>
      <c r="M681" s="18">
        <f>IF(Imóveis!$F$6="PRICE",IF(AND(Dados!$A681&gt;=Imóveis!$Q$6,Dados!$A681&lt;=Imóveis!$T$6),Imóveis!$U$6,0),IF((IF(AND(Dados!$A681&gt;=Imóveis!$Q$6,Dados!$A681&lt;=Imóveis!$T$6),Imóveis!$S$6-(DATEDIF(Imóveis!$Q$6,Dados!$A681,"m")),0))=0,0,((Imóveis!$N$6/Imóveis!$S$6)+((Imóveis!$N$6-((Imóveis!$S$6-(IF(AND(Dados!$A681&gt;=Imóveis!$Q$6,Dados!$A681&lt;=Imóveis!$T$6),Imóveis!$S$6-(DATEDIF(Imóveis!$Q$6,Dados!$A681,"m")),)))*(Imóveis!$N$6/Imóveis!$S$6)))*Imóveis!$P$6))))*IF(AND(Imóveis!$E$6&gt;0,Dados!$A681&gt;Imóveis!$E$6),0,1)*Imóveis!$I$6</f>
        <v>0</v>
      </c>
      <c r="N681" s="18">
        <f t="shared" si="85"/>
        <v>37000</v>
      </c>
      <c r="O681" s="18">
        <f>SUMIFS(Receitas!$F:$F,Receitas!$J:$J,"&lt;="&amp;$A681,Receitas!$L:$L,"&gt;="&amp;$A681,Receitas!$C:$C,O$1,Receitas!$M:$M,"Mensal")+SUMIFS(Receitas!$F:$F,Receitas!$J:$J,"&lt;="&amp;$A681,Receitas!$L:$L,"&gt;="&amp;$A681,Receitas!$C:$C,O$1,Receitas!$M:$M,$B681)</f>
        <v>0</v>
      </c>
      <c r="P681" s="18">
        <f>SUMIFS(Receitas!$F:$F,Receitas!$J:$J,"&lt;="&amp;$A681,Receitas!$L:$L,"&gt;="&amp;$A681,Receitas!$C:$C,P$1,Receitas!$M:$M,"Mensal")+SUMIFS(Receitas!$F:$F,Receitas!$J:$J,"&lt;="&amp;$A681,Receitas!$L:$L,"&gt;="&amp;$A681,Receitas!$C:$C,P$1,Receitas!$M:$M,$B681)</f>
        <v>0</v>
      </c>
      <c r="Q681" s="18">
        <f>SUMIFS(Receitas!$F:$F,Receitas!$J:$J,"&lt;="&amp;$A681,Receitas!$L:$L,"&gt;="&amp;$A681,Receitas!$C:$C,Q$1,Receitas!$M:$M,"Mensal")+SUMIFS(Receitas!$F:$F,Receitas!$J:$J,"&lt;="&amp;$A681,Receitas!$L:$L,"&gt;="&amp;$A681,Receitas!$C:$C,Q$1,Receitas!$M:$M,$B681)</f>
        <v>0</v>
      </c>
      <c r="R681" s="18" cm="1">
        <f t="array" ref="R681">(IF(AND(Membros!$F$2="Sim",A681&lt;=MAX(Membros!$E$2:$E$5)),Membros!K$2,IF(AND(A681&gt;=Membros!J$2,A681&lt;=MAX(Membros!$E$2:$E$5)),Membros!K$2,0))+IF(AND(Membros!$F$3="Sim",A681&lt;=MAX(Membros!$E$2:$E$5)),Membros!K$3,IF(AND(A681&gt;=Membros!J$3,A681&lt;=MAX(Membros!$E$2:$E$5)),Membros!K$3,0)))*IF(AND(COUNTIFS(Tabela3[Tipo],"Provedor",Tabela3[Simulação Seguro],"Sim")=2,A681&gt;=MAX(IF(Tabela3[Tipo]="Dependente",Tabela3[Expectativa de Vida (Data)]))),0,1)</f>
        <v>10000</v>
      </c>
      <c r="S681" s="18">
        <f t="shared" si="86"/>
        <v>10000</v>
      </c>
      <c r="U681" s="18">
        <f t="shared" ca="1" si="89"/>
        <v>48297615.121847078</v>
      </c>
      <c r="V681" s="18">
        <f>SUMIF(Imóveis!E:E,Dados!A:A,Imóveis!Z:Z)-SUMIF(Imóveis!E:E,Dados!A:A,Imóveis!Y:Y)</f>
        <v>0</v>
      </c>
      <c r="W681" s="18">
        <f>-SUMIF(Projetos!N:N,A681,Projetos!F:F)</f>
        <v>0</v>
      </c>
      <c r="X681" s="18">
        <f t="shared" si="83"/>
        <v>-27000</v>
      </c>
      <c r="Y681" s="26">
        <f ca="1">(U681*((Indicadores_Economicos!D$2+1)^(1/12)-1))</f>
        <v>158113.82400972265</v>
      </c>
      <c r="Z681" s="18">
        <f t="shared" ca="1" si="87"/>
        <v>48428728.945856802</v>
      </c>
      <c r="AA681" s="18">
        <f ca="1">Auxiliar_Projetos!E681</f>
        <v>3.5974828882922704E-9</v>
      </c>
      <c r="AB681" s="18">
        <f ca="1">Auxiliar_Projetos!K681</f>
        <v>2.7672945294555873E-9</v>
      </c>
      <c r="AC681" s="18">
        <f ca="1">IF(Z681-AA681-AB681&gt;Investimentos!$C$14,Investimentos!$C$14,IF(Z681-AA681-AB681&lt;Investimentos!$C$14,Z681-AA681-AB681,0))</f>
        <v>300000</v>
      </c>
      <c r="AD681" s="18">
        <f t="shared" ca="1" si="88"/>
        <v>48128728.945856802</v>
      </c>
      <c r="AE681" s="18"/>
    </row>
    <row r="682" spans="1:31" x14ac:dyDescent="0.2">
      <c r="A682" s="4">
        <v>66355</v>
      </c>
      <c r="B682" s="5" t="str">
        <f t="shared" si="84"/>
        <v>setembro</v>
      </c>
      <c r="C682" s="5" t="str">
        <f t="shared" si="90"/>
        <v>2081</v>
      </c>
      <c r="D682" s="5">
        <f>SUMIFS(Despesas!$F:$F,Despesas!$J:$J,"&lt;="&amp;$A682,Despesas!$L:$L,"&gt;="&amp;$A682,Despesas!$C:$C,D$1,Despesas!$M:$M,"Mensal")+SUMIFS(Despesas!$F:$F,Despesas!$J:$J,"&lt;="&amp;$A682,Despesas!$L:$L,"&gt;="&amp;$A682,Despesas!$C:$C,D$1,Despesas!$M:$M,$B682)</f>
        <v>23000</v>
      </c>
      <c r="E682" s="18">
        <f>SUMIFS(Despesas!$F:$F,Despesas!$J:$J,"&lt;="&amp;$A682,Despesas!$L:$L,"&gt;="&amp;$A682,Despesas!$C:$C,E$1,Despesas!$M:$M,"Mensal")+SUMIFS(Despesas!$F:$F,Despesas!$J:$J,"&lt;="&amp;$A682,Despesas!$L:$L,"&gt;="&amp;$A682,Despesas!$C:$C,E$1,Despesas!$M:$M,$B682)</f>
        <v>0</v>
      </c>
      <c r="F682" s="5">
        <f>SUMIFS(Despesas!$F:$F,Despesas!$J:$J,"&lt;="&amp;$A682,Despesas!$L:$L,"&gt;="&amp;$A682,Despesas!$C:$C,F$1,Despesas!$M:$M,"Mensal")+SUMIFS(Despesas!$F:$F,Despesas!$J:$J,"&lt;="&amp;$A682,Despesas!$L:$L,"&gt;="&amp;$A682,Despesas!$C:$C,F$1,Despesas!$M:$M,$B682)</f>
        <v>13000</v>
      </c>
      <c r="G682" s="5">
        <f>SUMIFS(Despesas!$F:$F,Despesas!$J:$J,"&lt;="&amp;$A682,Despesas!$L:$L,"&gt;="&amp;$A682,Despesas!$C:$C,G$1,Despesas!$M:$M,"Mensal")+SUMIFS(Despesas!$F:$F,Despesas!$J:$J,"&lt;="&amp;$A682,Despesas!$L:$L,"&gt;="&amp;$A682,Despesas!$C:$C,G$1,Despesas!$M:$M,$B682)</f>
        <v>0</v>
      </c>
      <c r="H682" s="18">
        <f>SUMIFS(Despesas!$F:$F,Despesas!$J:$J,"&lt;="&amp;$A682,Despesas!$L:$L,"&gt;="&amp;$A682,Despesas!$C:$C,H$1,Despesas!$M:$M,"Mensal")+SUMIFS(Despesas!$F:$F,Despesas!$J:$J,"&lt;="&amp;$A682,Despesas!$L:$L,"&gt;="&amp;$A682,Despesas!$C:$C,H$1,Despesas!$M:$M,$B682)</f>
        <v>1000</v>
      </c>
      <c r="I682" s="18">
        <f>IF(Imóveis!$F$2="PRICE",IF(AND(Dados!$A682&gt;=Imóveis!$Q$2,Dados!$A682&lt;=Imóveis!$T$2),Imóveis!$U$2,0),IF((IF(AND(Dados!$A682&gt;=Imóveis!$Q$2,Dados!$A682&lt;=Imóveis!$T$2),Imóveis!$S$2-(DATEDIF(Imóveis!$Q$2,Dados!$A682,"m")),0))=0,0,((Imóveis!$N$2/Imóveis!$S$2)+((Imóveis!$N$2-((Imóveis!$S$2-(IF(AND(Dados!$A682&gt;=Imóveis!$Q$2,Dados!$A682&lt;=Imóveis!$T$2),Imóveis!$S$2-(DATEDIF(Imóveis!$Q$2,Dados!$A682,"m")),)))*(Imóveis!$N$2/Imóveis!$S$2)))*Imóveis!$P$2))))*IF(AND(Imóveis!$E$2&gt;0,Dados!$A682&gt;Imóveis!$E$2),0,1)</f>
        <v>0</v>
      </c>
      <c r="J682" s="18">
        <f>IF(Imóveis!$F$3="PRICE",IF(AND(Dados!$A682&gt;=Imóveis!$Q$3,Dados!$A682&lt;=Imóveis!$T$3),Imóveis!$U$3,0),IF((IF(AND(Dados!$A682&gt;=Imóveis!$Q$3,Dados!$A682&lt;=Imóveis!$T$3),Imóveis!$S$3-(DATEDIF(Imóveis!$Q$3,Dados!$A682,"m")),0))=0,0,((Imóveis!$N$3/Imóveis!$S$3)+((Imóveis!$N$3-((Imóveis!$S$3-(IF(AND(Dados!$A682&gt;=Imóveis!$Q$3,Dados!$A682&lt;=Imóveis!$T$3),Imóveis!$S$3-(DATEDIF(Imóveis!$Q$3,Dados!$A682,"m")),)))*(Imóveis!$N$3/Imóveis!$S$3)))*Imóveis!$P$3))))*IF(AND(Imóveis!$E$3&gt;0,Dados!$A682&gt;Imóveis!$E$3),0,1)</f>
        <v>0</v>
      </c>
      <c r="K682" s="18">
        <f>IF(Imóveis!$F$4="PRICE",IF(AND(Dados!$A682&gt;=Imóveis!$Q$4,Dados!$A682&lt;=Imóveis!$T$4),Imóveis!$U$4,0),IF((IF(AND(Dados!$A682&gt;=Imóveis!$Q$4,Dados!$A682&lt;=Imóveis!$T$4),Imóveis!$S$4-(DATEDIF(Imóveis!$Q$4,Dados!$A682,"m")),0))=0,0,((Imóveis!$N$4/Imóveis!$S$4)+((Imóveis!$N$4-((Imóveis!$S$4-(IF(AND(Dados!$A682&gt;=Imóveis!$Q$4,Dados!$A682&lt;=Imóveis!$T$4),Imóveis!$S$4-(DATEDIF(Imóveis!$Q$4,Dados!$A682,"m")),)))*(Imóveis!$N$4/Imóveis!$S$4)))*Imóveis!$P$4))))*IF(AND(Imóveis!$E$4&gt;0,Dados!$A682&gt;Imóveis!$E$4),0,1)</f>
        <v>0</v>
      </c>
      <c r="L682" s="18">
        <f>IF(Imóveis!$F$5="PRICE",IF(AND(Dados!$A682&gt;=Imóveis!$Q$5,Dados!$A682&lt;=Imóveis!$T$5),Imóveis!$U$5,0),IF((IF(AND(Dados!$A682&gt;=Imóveis!$Q$5,Dados!$A682&lt;=Imóveis!$T$5),Imóveis!$S$5-(DATEDIF(Imóveis!$Q$5,Dados!$A682,"m")),0))=0,0,((Imóveis!$N$5/Imóveis!$S$5)+((Imóveis!$N$5-((Imóveis!$S$5-(IF(AND(Dados!$A682 &gt;=Imóveis!$Q$5,Dados!$A682&lt;=Imóveis!$T$5),Imóveis!$S$5-(DATEDIF(Imóveis!$Q$5,Dados!$A682,"m")),)))*(Imóveis!$N$5/Imóveis!$S$5)))*Imóveis!$P$5))))*IF(AND(Imóveis!$E$5&gt;0,Dados!$A682&gt;Imóveis!$E$5),0,1)*Imóveis!$I$5</f>
        <v>0</v>
      </c>
      <c r="M682" s="18">
        <f>IF(Imóveis!$F$6="PRICE",IF(AND(Dados!$A682&gt;=Imóveis!$Q$6,Dados!$A682&lt;=Imóveis!$T$6),Imóveis!$U$6,0),IF((IF(AND(Dados!$A682&gt;=Imóveis!$Q$6,Dados!$A682&lt;=Imóveis!$T$6),Imóveis!$S$6-(DATEDIF(Imóveis!$Q$6,Dados!$A682,"m")),0))=0,0,((Imóveis!$N$6/Imóveis!$S$6)+((Imóveis!$N$6-((Imóveis!$S$6-(IF(AND(Dados!$A682&gt;=Imóveis!$Q$6,Dados!$A682&lt;=Imóveis!$T$6),Imóveis!$S$6-(DATEDIF(Imóveis!$Q$6,Dados!$A682,"m")),)))*(Imóveis!$N$6/Imóveis!$S$6)))*Imóveis!$P$6))))*IF(AND(Imóveis!$E$6&gt;0,Dados!$A682&gt;Imóveis!$E$6),0,1)*Imóveis!$I$6</f>
        <v>0</v>
      </c>
      <c r="N682" s="18">
        <f t="shared" si="85"/>
        <v>37000</v>
      </c>
      <c r="O682" s="18">
        <f>SUMIFS(Receitas!$F:$F,Receitas!$J:$J,"&lt;="&amp;$A682,Receitas!$L:$L,"&gt;="&amp;$A682,Receitas!$C:$C,O$1,Receitas!$M:$M,"Mensal")+SUMIFS(Receitas!$F:$F,Receitas!$J:$J,"&lt;="&amp;$A682,Receitas!$L:$L,"&gt;="&amp;$A682,Receitas!$C:$C,O$1,Receitas!$M:$M,$B682)</f>
        <v>0</v>
      </c>
      <c r="P682" s="18">
        <f>SUMIFS(Receitas!$F:$F,Receitas!$J:$J,"&lt;="&amp;$A682,Receitas!$L:$L,"&gt;="&amp;$A682,Receitas!$C:$C,P$1,Receitas!$M:$M,"Mensal")+SUMIFS(Receitas!$F:$F,Receitas!$J:$J,"&lt;="&amp;$A682,Receitas!$L:$L,"&gt;="&amp;$A682,Receitas!$C:$C,P$1,Receitas!$M:$M,$B682)</f>
        <v>0</v>
      </c>
      <c r="Q682" s="18">
        <f>SUMIFS(Receitas!$F:$F,Receitas!$J:$J,"&lt;="&amp;$A682,Receitas!$L:$L,"&gt;="&amp;$A682,Receitas!$C:$C,Q$1,Receitas!$M:$M,"Mensal")+SUMIFS(Receitas!$F:$F,Receitas!$J:$J,"&lt;="&amp;$A682,Receitas!$L:$L,"&gt;="&amp;$A682,Receitas!$C:$C,Q$1,Receitas!$M:$M,$B682)</f>
        <v>0</v>
      </c>
      <c r="R682" s="18" cm="1">
        <f t="array" ref="R682">(IF(AND(Membros!$F$2="Sim",A682&lt;=MAX(Membros!$E$2:$E$5)),Membros!K$2,IF(AND(A682&gt;=Membros!J$2,A682&lt;=MAX(Membros!$E$2:$E$5)),Membros!K$2,0))+IF(AND(Membros!$F$3="Sim",A682&lt;=MAX(Membros!$E$2:$E$5)),Membros!K$3,IF(AND(A682&gt;=Membros!J$3,A682&lt;=MAX(Membros!$E$2:$E$5)),Membros!K$3,0)))*IF(AND(COUNTIFS(Tabela3[Tipo],"Provedor",Tabela3[Simulação Seguro],"Sim")=2,A682&gt;=MAX(IF(Tabela3[Tipo]="Dependente",Tabela3[Expectativa de Vida (Data)]))),0,1)</f>
        <v>10000</v>
      </c>
      <c r="S682" s="18">
        <f t="shared" si="86"/>
        <v>10000</v>
      </c>
      <c r="U682" s="18">
        <f t="shared" ca="1" si="89"/>
        <v>48428728.945856802</v>
      </c>
      <c r="V682" s="18">
        <f>SUMIF(Imóveis!E:E,Dados!A:A,Imóveis!Z:Z)-SUMIF(Imóveis!E:E,Dados!A:A,Imóveis!Y:Y)</f>
        <v>0</v>
      </c>
      <c r="W682" s="18">
        <f>-SUMIF(Projetos!N:N,A682,Projetos!F:F)</f>
        <v>0</v>
      </c>
      <c r="X682" s="18">
        <f t="shared" si="83"/>
        <v>-27000</v>
      </c>
      <c r="Y682" s="26">
        <f ca="1">(U682*((Indicadores_Economicos!D$2+1)^(1/12)-1))</f>
        <v>158543.0565513795</v>
      </c>
      <c r="Z682" s="18">
        <f t="shared" ca="1" si="87"/>
        <v>48560272.002408184</v>
      </c>
      <c r="AA682" s="18">
        <f ca="1">Auxiliar_Projetos!E682</f>
        <v>3.6092601111394527E-9</v>
      </c>
      <c r="AB682" s="18">
        <f ca="1">Auxiliar_Projetos!K682</f>
        <v>2.7763539316457277E-9</v>
      </c>
      <c r="AC682" s="18">
        <f ca="1">IF(Z682-AA682-AB682&gt;Investimentos!$C$14,Investimentos!$C$14,IF(Z682-AA682-AB682&lt;Investimentos!$C$14,Z682-AA682-AB682,0))</f>
        <v>300000</v>
      </c>
      <c r="AD682" s="18">
        <f t="shared" ca="1" si="88"/>
        <v>48260272.002408184</v>
      </c>
      <c r="AE682" s="18"/>
    </row>
    <row r="683" spans="1:31" x14ac:dyDescent="0.2">
      <c r="A683" s="4">
        <v>66385</v>
      </c>
      <c r="B683" s="5" t="str">
        <f t="shared" si="84"/>
        <v>outubro</v>
      </c>
      <c r="C683" s="5" t="str">
        <f t="shared" si="90"/>
        <v>2081</v>
      </c>
      <c r="D683" s="5">
        <f>SUMIFS(Despesas!$F:$F,Despesas!$J:$J,"&lt;="&amp;$A683,Despesas!$L:$L,"&gt;="&amp;$A683,Despesas!$C:$C,D$1,Despesas!$M:$M,"Mensal")+SUMIFS(Despesas!$F:$F,Despesas!$J:$J,"&lt;="&amp;$A683,Despesas!$L:$L,"&gt;="&amp;$A683,Despesas!$C:$C,D$1,Despesas!$M:$M,$B683)</f>
        <v>23000</v>
      </c>
      <c r="E683" s="18">
        <f>SUMIFS(Despesas!$F:$F,Despesas!$J:$J,"&lt;="&amp;$A683,Despesas!$L:$L,"&gt;="&amp;$A683,Despesas!$C:$C,E$1,Despesas!$M:$M,"Mensal")+SUMIFS(Despesas!$F:$F,Despesas!$J:$J,"&lt;="&amp;$A683,Despesas!$L:$L,"&gt;="&amp;$A683,Despesas!$C:$C,E$1,Despesas!$M:$M,$B683)</f>
        <v>0</v>
      </c>
      <c r="F683" s="5">
        <f>SUMIFS(Despesas!$F:$F,Despesas!$J:$J,"&lt;="&amp;$A683,Despesas!$L:$L,"&gt;="&amp;$A683,Despesas!$C:$C,F$1,Despesas!$M:$M,"Mensal")+SUMIFS(Despesas!$F:$F,Despesas!$J:$J,"&lt;="&amp;$A683,Despesas!$L:$L,"&gt;="&amp;$A683,Despesas!$C:$C,F$1,Despesas!$M:$M,$B683)</f>
        <v>13000</v>
      </c>
      <c r="G683" s="5">
        <f>SUMIFS(Despesas!$F:$F,Despesas!$J:$J,"&lt;="&amp;$A683,Despesas!$L:$L,"&gt;="&amp;$A683,Despesas!$C:$C,G$1,Despesas!$M:$M,"Mensal")+SUMIFS(Despesas!$F:$F,Despesas!$J:$J,"&lt;="&amp;$A683,Despesas!$L:$L,"&gt;="&amp;$A683,Despesas!$C:$C,G$1,Despesas!$M:$M,$B683)</f>
        <v>0</v>
      </c>
      <c r="H683" s="18">
        <f>SUMIFS(Despesas!$F:$F,Despesas!$J:$J,"&lt;="&amp;$A683,Despesas!$L:$L,"&gt;="&amp;$A683,Despesas!$C:$C,H$1,Despesas!$M:$M,"Mensal")+SUMIFS(Despesas!$F:$F,Despesas!$J:$J,"&lt;="&amp;$A683,Despesas!$L:$L,"&gt;="&amp;$A683,Despesas!$C:$C,H$1,Despesas!$M:$M,$B683)</f>
        <v>1000</v>
      </c>
      <c r="I683" s="18">
        <f>IF(Imóveis!$F$2="PRICE",IF(AND(Dados!$A683&gt;=Imóveis!$Q$2,Dados!$A683&lt;=Imóveis!$T$2),Imóveis!$U$2,0),IF((IF(AND(Dados!$A683&gt;=Imóveis!$Q$2,Dados!$A683&lt;=Imóveis!$T$2),Imóveis!$S$2-(DATEDIF(Imóveis!$Q$2,Dados!$A683,"m")),0))=0,0,((Imóveis!$N$2/Imóveis!$S$2)+((Imóveis!$N$2-((Imóveis!$S$2-(IF(AND(Dados!$A683&gt;=Imóveis!$Q$2,Dados!$A683&lt;=Imóveis!$T$2),Imóveis!$S$2-(DATEDIF(Imóveis!$Q$2,Dados!$A683,"m")),)))*(Imóveis!$N$2/Imóveis!$S$2)))*Imóveis!$P$2))))*IF(AND(Imóveis!$E$2&gt;0,Dados!$A683&gt;Imóveis!$E$2),0,1)</f>
        <v>0</v>
      </c>
      <c r="J683" s="18">
        <f>IF(Imóveis!$F$3="PRICE",IF(AND(Dados!$A683&gt;=Imóveis!$Q$3,Dados!$A683&lt;=Imóveis!$T$3),Imóveis!$U$3,0),IF((IF(AND(Dados!$A683&gt;=Imóveis!$Q$3,Dados!$A683&lt;=Imóveis!$T$3),Imóveis!$S$3-(DATEDIF(Imóveis!$Q$3,Dados!$A683,"m")),0))=0,0,((Imóveis!$N$3/Imóveis!$S$3)+((Imóveis!$N$3-((Imóveis!$S$3-(IF(AND(Dados!$A683&gt;=Imóveis!$Q$3,Dados!$A683&lt;=Imóveis!$T$3),Imóveis!$S$3-(DATEDIF(Imóveis!$Q$3,Dados!$A683,"m")),)))*(Imóveis!$N$3/Imóveis!$S$3)))*Imóveis!$P$3))))*IF(AND(Imóveis!$E$3&gt;0,Dados!$A683&gt;Imóveis!$E$3),0,1)</f>
        <v>0</v>
      </c>
      <c r="K683" s="18">
        <f>IF(Imóveis!$F$4="PRICE",IF(AND(Dados!$A683&gt;=Imóveis!$Q$4,Dados!$A683&lt;=Imóveis!$T$4),Imóveis!$U$4,0),IF((IF(AND(Dados!$A683&gt;=Imóveis!$Q$4,Dados!$A683&lt;=Imóveis!$T$4),Imóveis!$S$4-(DATEDIF(Imóveis!$Q$4,Dados!$A683,"m")),0))=0,0,((Imóveis!$N$4/Imóveis!$S$4)+((Imóveis!$N$4-((Imóveis!$S$4-(IF(AND(Dados!$A683&gt;=Imóveis!$Q$4,Dados!$A683&lt;=Imóveis!$T$4),Imóveis!$S$4-(DATEDIF(Imóveis!$Q$4,Dados!$A683,"m")),)))*(Imóveis!$N$4/Imóveis!$S$4)))*Imóveis!$P$4))))*IF(AND(Imóveis!$E$4&gt;0,Dados!$A683&gt;Imóveis!$E$4),0,1)</f>
        <v>0</v>
      </c>
      <c r="L683" s="18">
        <f>IF(Imóveis!$F$5="PRICE",IF(AND(Dados!$A683&gt;=Imóveis!$Q$5,Dados!$A683&lt;=Imóveis!$T$5),Imóveis!$U$5,0),IF((IF(AND(Dados!$A683&gt;=Imóveis!$Q$5,Dados!$A683&lt;=Imóveis!$T$5),Imóveis!$S$5-(DATEDIF(Imóveis!$Q$5,Dados!$A683,"m")),0))=0,0,((Imóveis!$N$5/Imóveis!$S$5)+((Imóveis!$N$5-((Imóveis!$S$5-(IF(AND(Dados!$A683 &gt;=Imóveis!$Q$5,Dados!$A683&lt;=Imóveis!$T$5),Imóveis!$S$5-(DATEDIF(Imóveis!$Q$5,Dados!$A683,"m")),)))*(Imóveis!$N$5/Imóveis!$S$5)))*Imóveis!$P$5))))*IF(AND(Imóveis!$E$5&gt;0,Dados!$A683&gt;Imóveis!$E$5),0,1)*Imóveis!$I$5</f>
        <v>0</v>
      </c>
      <c r="M683" s="18">
        <f>IF(Imóveis!$F$6="PRICE",IF(AND(Dados!$A683&gt;=Imóveis!$Q$6,Dados!$A683&lt;=Imóveis!$T$6),Imóveis!$U$6,0),IF((IF(AND(Dados!$A683&gt;=Imóveis!$Q$6,Dados!$A683&lt;=Imóveis!$T$6),Imóveis!$S$6-(DATEDIF(Imóveis!$Q$6,Dados!$A683,"m")),0))=0,0,((Imóveis!$N$6/Imóveis!$S$6)+((Imóveis!$N$6-((Imóveis!$S$6-(IF(AND(Dados!$A683&gt;=Imóveis!$Q$6,Dados!$A683&lt;=Imóveis!$T$6),Imóveis!$S$6-(DATEDIF(Imóveis!$Q$6,Dados!$A683,"m")),)))*(Imóveis!$N$6/Imóveis!$S$6)))*Imóveis!$P$6))))*IF(AND(Imóveis!$E$6&gt;0,Dados!$A683&gt;Imóveis!$E$6),0,1)*Imóveis!$I$6</f>
        <v>0</v>
      </c>
      <c r="N683" s="18">
        <f t="shared" si="85"/>
        <v>37000</v>
      </c>
      <c r="O683" s="18">
        <f>SUMIFS(Receitas!$F:$F,Receitas!$J:$J,"&lt;="&amp;$A683,Receitas!$L:$L,"&gt;="&amp;$A683,Receitas!$C:$C,O$1,Receitas!$M:$M,"Mensal")+SUMIFS(Receitas!$F:$F,Receitas!$J:$J,"&lt;="&amp;$A683,Receitas!$L:$L,"&gt;="&amp;$A683,Receitas!$C:$C,O$1,Receitas!$M:$M,$B683)</f>
        <v>0</v>
      </c>
      <c r="P683" s="18">
        <f>SUMIFS(Receitas!$F:$F,Receitas!$J:$J,"&lt;="&amp;$A683,Receitas!$L:$L,"&gt;="&amp;$A683,Receitas!$C:$C,P$1,Receitas!$M:$M,"Mensal")+SUMIFS(Receitas!$F:$F,Receitas!$J:$J,"&lt;="&amp;$A683,Receitas!$L:$L,"&gt;="&amp;$A683,Receitas!$C:$C,P$1,Receitas!$M:$M,$B683)</f>
        <v>0</v>
      </c>
      <c r="Q683" s="18">
        <f>SUMIFS(Receitas!$F:$F,Receitas!$J:$J,"&lt;="&amp;$A683,Receitas!$L:$L,"&gt;="&amp;$A683,Receitas!$C:$C,Q$1,Receitas!$M:$M,"Mensal")+SUMIFS(Receitas!$F:$F,Receitas!$J:$J,"&lt;="&amp;$A683,Receitas!$L:$L,"&gt;="&amp;$A683,Receitas!$C:$C,Q$1,Receitas!$M:$M,$B683)</f>
        <v>0</v>
      </c>
      <c r="R683" s="18" cm="1">
        <f t="array" ref="R683">(IF(AND(Membros!$F$2="Sim",A683&lt;=MAX(Membros!$E$2:$E$5)),Membros!K$2,IF(AND(A683&gt;=Membros!J$2,A683&lt;=MAX(Membros!$E$2:$E$5)),Membros!K$2,0))+IF(AND(Membros!$F$3="Sim",A683&lt;=MAX(Membros!$E$2:$E$5)),Membros!K$3,IF(AND(A683&gt;=Membros!J$3,A683&lt;=MAX(Membros!$E$2:$E$5)),Membros!K$3,0)))*IF(AND(COUNTIFS(Tabela3[Tipo],"Provedor",Tabela3[Simulação Seguro],"Sim")=2,A683&gt;=MAX(IF(Tabela3[Tipo]="Dependente",Tabela3[Expectativa de Vida (Data)]))),0,1)</f>
        <v>10000</v>
      </c>
      <c r="S683" s="18">
        <f t="shared" si="86"/>
        <v>10000</v>
      </c>
      <c r="U683" s="18">
        <f t="shared" ca="1" si="89"/>
        <v>48560272.002408184</v>
      </c>
      <c r="V683" s="18">
        <f>SUMIF(Imóveis!E:E,Dados!A:A,Imóveis!Z:Z)-SUMIF(Imóveis!E:E,Dados!A:A,Imóveis!Y:Y)</f>
        <v>0</v>
      </c>
      <c r="W683" s="18">
        <f>-SUMIF(Projetos!N:N,A683,Projetos!F:F)</f>
        <v>0</v>
      </c>
      <c r="X683" s="18">
        <f t="shared" si="83"/>
        <v>-27000</v>
      </c>
      <c r="Y683" s="26">
        <f ca="1">(U683*((Indicadores_Economicos!D$2+1)^(1/12)-1))</f>
        <v>158973.69428868382</v>
      </c>
      <c r="Z683" s="18">
        <f t="shared" ca="1" si="87"/>
        <v>48692245.69669687</v>
      </c>
      <c r="AA683" s="18">
        <f ca="1">Auxiliar_Projetos!E683</f>
        <v>3.6210758895495937E-9</v>
      </c>
      <c r="AB683" s="18">
        <f ca="1">Auxiliar_Projetos!K683</f>
        <v>2.7854429919612206E-9</v>
      </c>
      <c r="AC683" s="18">
        <f ca="1">IF(Z683-AA683-AB683&gt;Investimentos!$C$14,Investimentos!$C$14,IF(Z683-AA683-AB683&lt;Investimentos!$C$14,Z683-AA683-AB683,0))</f>
        <v>300000</v>
      </c>
      <c r="AD683" s="18">
        <f t="shared" ca="1" si="88"/>
        <v>48392245.69669687</v>
      </c>
      <c r="AE683" s="18"/>
    </row>
    <row r="684" spans="1:31" x14ac:dyDescent="0.2">
      <c r="A684" s="4">
        <v>66416</v>
      </c>
      <c r="B684" s="5" t="str">
        <f t="shared" si="84"/>
        <v>novembro</v>
      </c>
      <c r="C684" s="5" t="str">
        <f t="shared" si="90"/>
        <v>2081</v>
      </c>
      <c r="D684" s="5">
        <f>SUMIFS(Despesas!$F:$F,Despesas!$J:$J,"&lt;="&amp;$A684,Despesas!$L:$L,"&gt;="&amp;$A684,Despesas!$C:$C,D$1,Despesas!$M:$M,"Mensal")+SUMIFS(Despesas!$F:$F,Despesas!$J:$J,"&lt;="&amp;$A684,Despesas!$L:$L,"&gt;="&amp;$A684,Despesas!$C:$C,D$1,Despesas!$M:$M,$B684)</f>
        <v>23000</v>
      </c>
      <c r="E684" s="18">
        <f>SUMIFS(Despesas!$F:$F,Despesas!$J:$J,"&lt;="&amp;$A684,Despesas!$L:$L,"&gt;="&amp;$A684,Despesas!$C:$C,E$1,Despesas!$M:$M,"Mensal")+SUMIFS(Despesas!$F:$F,Despesas!$J:$J,"&lt;="&amp;$A684,Despesas!$L:$L,"&gt;="&amp;$A684,Despesas!$C:$C,E$1,Despesas!$M:$M,$B684)</f>
        <v>0</v>
      </c>
      <c r="F684" s="5">
        <f>SUMIFS(Despesas!$F:$F,Despesas!$J:$J,"&lt;="&amp;$A684,Despesas!$L:$L,"&gt;="&amp;$A684,Despesas!$C:$C,F$1,Despesas!$M:$M,"Mensal")+SUMIFS(Despesas!$F:$F,Despesas!$J:$J,"&lt;="&amp;$A684,Despesas!$L:$L,"&gt;="&amp;$A684,Despesas!$C:$C,F$1,Despesas!$M:$M,$B684)</f>
        <v>13000</v>
      </c>
      <c r="G684" s="5">
        <f>SUMIFS(Despesas!$F:$F,Despesas!$J:$J,"&lt;="&amp;$A684,Despesas!$L:$L,"&gt;="&amp;$A684,Despesas!$C:$C,G$1,Despesas!$M:$M,"Mensal")+SUMIFS(Despesas!$F:$F,Despesas!$J:$J,"&lt;="&amp;$A684,Despesas!$L:$L,"&gt;="&amp;$A684,Despesas!$C:$C,G$1,Despesas!$M:$M,$B684)</f>
        <v>0</v>
      </c>
      <c r="H684" s="18">
        <f>SUMIFS(Despesas!$F:$F,Despesas!$J:$J,"&lt;="&amp;$A684,Despesas!$L:$L,"&gt;="&amp;$A684,Despesas!$C:$C,H$1,Despesas!$M:$M,"Mensal")+SUMIFS(Despesas!$F:$F,Despesas!$J:$J,"&lt;="&amp;$A684,Despesas!$L:$L,"&gt;="&amp;$A684,Despesas!$C:$C,H$1,Despesas!$M:$M,$B684)</f>
        <v>1000</v>
      </c>
      <c r="I684" s="18">
        <f>IF(Imóveis!$F$2="PRICE",IF(AND(Dados!$A684&gt;=Imóveis!$Q$2,Dados!$A684&lt;=Imóveis!$T$2),Imóveis!$U$2,0),IF((IF(AND(Dados!$A684&gt;=Imóveis!$Q$2,Dados!$A684&lt;=Imóveis!$T$2),Imóveis!$S$2-(DATEDIF(Imóveis!$Q$2,Dados!$A684,"m")),0))=0,0,((Imóveis!$N$2/Imóveis!$S$2)+((Imóveis!$N$2-((Imóveis!$S$2-(IF(AND(Dados!$A684&gt;=Imóveis!$Q$2,Dados!$A684&lt;=Imóveis!$T$2),Imóveis!$S$2-(DATEDIF(Imóveis!$Q$2,Dados!$A684,"m")),)))*(Imóveis!$N$2/Imóveis!$S$2)))*Imóveis!$P$2))))*IF(AND(Imóveis!$E$2&gt;0,Dados!$A684&gt;Imóveis!$E$2),0,1)</f>
        <v>0</v>
      </c>
      <c r="J684" s="18">
        <f>IF(Imóveis!$F$3="PRICE",IF(AND(Dados!$A684&gt;=Imóveis!$Q$3,Dados!$A684&lt;=Imóveis!$T$3),Imóveis!$U$3,0),IF((IF(AND(Dados!$A684&gt;=Imóveis!$Q$3,Dados!$A684&lt;=Imóveis!$T$3),Imóveis!$S$3-(DATEDIF(Imóveis!$Q$3,Dados!$A684,"m")),0))=0,0,((Imóveis!$N$3/Imóveis!$S$3)+((Imóveis!$N$3-((Imóveis!$S$3-(IF(AND(Dados!$A684&gt;=Imóveis!$Q$3,Dados!$A684&lt;=Imóveis!$T$3),Imóveis!$S$3-(DATEDIF(Imóveis!$Q$3,Dados!$A684,"m")),)))*(Imóveis!$N$3/Imóveis!$S$3)))*Imóveis!$P$3))))*IF(AND(Imóveis!$E$3&gt;0,Dados!$A684&gt;Imóveis!$E$3),0,1)</f>
        <v>0</v>
      </c>
      <c r="K684" s="18">
        <f>IF(Imóveis!$F$4="PRICE",IF(AND(Dados!$A684&gt;=Imóveis!$Q$4,Dados!$A684&lt;=Imóveis!$T$4),Imóveis!$U$4,0),IF((IF(AND(Dados!$A684&gt;=Imóveis!$Q$4,Dados!$A684&lt;=Imóveis!$T$4),Imóveis!$S$4-(DATEDIF(Imóveis!$Q$4,Dados!$A684,"m")),0))=0,0,((Imóveis!$N$4/Imóveis!$S$4)+((Imóveis!$N$4-((Imóveis!$S$4-(IF(AND(Dados!$A684&gt;=Imóveis!$Q$4,Dados!$A684&lt;=Imóveis!$T$4),Imóveis!$S$4-(DATEDIF(Imóveis!$Q$4,Dados!$A684,"m")),)))*(Imóveis!$N$4/Imóveis!$S$4)))*Imóveis!$P$4))))*IF(AND(Imóveis!$E$4&gt;0,Dados!$A684&gt;Imóveis!$E$4),0,1)</f>
        <v>0</v>
      </c>
      <c r="L684" s="18">
        <f>IF(Imóveis!$F$5="PRICE",IF(AND(Dados!$A684&gt;=Imóveis!$Q$5,Dados!$A684&lt;=Imóveis!$T$5),Imóveis!$U$5,0),IF((IF(AND(Dados!$A684&gt;=Imóveis!$Q$5,Dados!$A684&lt;=Imóveis!$T$5),Imóveis!$S$5-(DATEDIF(Imóveis!$Q$5,Dados!$A684,"m")),0))=0,0,((Imóveis!$N$5/Imóveis!$S$5)+((Imóveis!$N$5-((Imóveis!$S$5-(IF(AND(Dados!$A684 &gt;=Imóveis!$Q$5,Dados!$A684&lt;=Imóveis!$T$5),Imóveis!$S$5-(DATEDIF(Imóveis!$Q$5,Dados!$A684,"m")),)))*(Imóveis!$N$5/Imóveis!$S$5)))*Imóveis!$P$5))))*IF(AND(Imóveis!$E$5&gt;0,Dados!$A684&gt;Imóveis!$E$5),0,1)*Imóveis!$I$5</f>
        <v>0</v>
      </c>
      <c r="M684" s="18">
        <f>IF(Imóveis!$F$6="PRICE",IF(AND(Dados!$A684&gt;=Imóveis!$Q$6,Dados!$A684&lt;=Imóveis!$T$6),Imóveis!$U$6,0),IF((IF(AND(Dados!$A684&gt;=Imóveis!$Q$6,Dados!$A684&lt;=Imóveis!$T$6),Imóveis!$S$6-(DATEDIF(Imóveis!$Q$6,Dados!$A684,"m")),0))=0,0,((Imóveis!$N$6/Imóveis!$S$6)+((Imóveis!$N$6-((Imóveis!$S$6-(IF(AND(Dados!$A684&gt;=Imóveis!$Q$6,Dados!$A684&lt;=Imóveis!$T$6),Imóveis!$S$6-(DATEDIF(Imóveis!$Q$6,Dados!$A684,"m")),)))*(Imóveis!$N$6/Imóveis!$S$6)))*Imóveis!$P$6))))*IF(AND(Imóveis!$E$6&gt;0,Dados!$A684&gt;Imóveis!$E$6),0,1)*Imóveis!$I$6</f>
        <v>0</v>
      </c>
      <c r="N684" s="18">
        <f t="shared" si="85"/>
        <v>37000</v>
      </c>
      <c r="O684" s="18">
        <f>SUMIFS(Receitas!$F:$F,Receitas!$J:$J,"&lt;="&amp;$A684,Receitas!$L:$L,"&gt;="&amp;$A684,Receitas!$C:$C,O$1,Receitas!$M:$M,"Mensal")+SUMIFS(Receitas!$F:$F,Receitas!$J:$J,"&lt;="&amp;$A684,Receitas!$L:$L,"&gt;="&amp;$A684,Receitas!$C:$C,O$1,Receitas!$M:$M,$B684)</f>
        <v>0</v>
      </c>
      <c r="P684" s="18">
        <f>SUMIFS(Receitas!$F:$F,Receitas!$J:$J,"&lt;="&amp;$A684,Receitas!$L:$L,"&gt;="&amp;$A684,Receitas!$C:$C,P$1,Receitas!$M:$M,"Mensal")+SUMIFS(Receitas!$F:$F,Receitas!$J:$J,"&lt;="&amp;$A684,Receitas!$L:$L,"&gt;="&amp;$A684,Receitas!$C:$C,P$1,Receitas!$M:$M,$B684)</f>
        <v>0</v>
      </c>
      <c r="Q684" s="18">
        <f>SUMIFS(Receitas!$F:$F,Receitas!$J:$J,"&lt;="&amp;$A684,Receitas!$L:$L,"&gt;="&amp;$A684,Receitas!$C:$C,Q$1,Receitas!$M:$M,"Mensal")+SUMIFS(Receitas!$F:$F,Receitas!$J:$J,"&lt;="&amp;$A684,Receitas!$L:$L,"&gt;="&amp;$A684,Receitas!$C:$C,Q$1,Receitas!$M:$M,$B684)</f>
        <v>0</v>
      </c>
      <c r="R684" s="18" cm="1">
        <f t="array" ref="R684">(IF(AND(Membros!$F$2="Sim",A684&lt;=MAX(Membros!$E$2:$E$5)),Membros!K$2,IF(AND(A684&gt;=Membros!J$2,A684&lt;=MAX(Membros!$E$2:$E$5)),Membros!K$2,0))+IF(AND(Membros!$F$3="Sim",A684&lt;=MAX(Membros!$E$2:$E$5)),Membros!K$3,IF(AND(A684&gt;=Membros!J$3,A684&lt;=MAX(Membros!$E$2:$E$5)),Membros!K$3,0)))*IF(AND(COUNTIFS(Tabela3[Tipo],"Provedor",Tabela3[Simulação Seguro],"Sim")=2,A684&gt;=MAX(IF(Tabela3[Tipo]="Dependente",Tabela3[Expectativa de Vida (Data)]))),0,1)</f>
        <v>10000</v>
      </c>
      <c r="S684" s="18">
        <f t="shared" si="86"/>
        <v>10000</v>
      </c>
      <c r="U684" s="18">
        <f t="shared" ca="1" si="89"/>
        <v>48692245.69669687</v>
      </c>
      <c r="V684" s="18">
        <f>SUMIF(Imóveis!E:E,Dados!A:A,Imóveis!Z:Z)-SUMIF(Imóveis!E:E,Dados!A:A,Imóveis!Y:Y)</f>
        <v>0</v>
      </c>
      <c r="W684" s="18">
        <f>-SUMIF(Projetos!N:N,A684,Projetos!F:F)</f>
        <v>0</v>
      </c>
      <c r="X684" s="18">
        <f t="shared" si="83"/>
        <v>-27000</v>
      </c>
      <c r="Y684" s="26">
        <f ca="1">(U684*((Indicadores_Economicos!D$2+1)^(1/12)-1))</f>
        <v>159405.74182188045</v>
      </c>
      <c r="Z684" s="18">
        <f t="shared" ca="1" si="87"/>
        <v>48824651.438518748</v>
      </c>
      <c r="AA684" s="18">
        <f ca="1">Auxiliar_Projetos!E684</f>
        <v>3.6329303497435735E-9</v>
      </c>
      <c r="AB684" s="18">
        <f ca="1">Auxiliar_Projetos!K684</f>
        <v>2.7945618074950513E-9</v>
      </c>
      <c r="AC684" s="18">
        <f ca="1">IF(Z684-AA684-AB684&gt;Investimentos!$C$14,Investimentos!$C$14,IF(Z684-AA684-AB684&lt;Investimentos!$C$14,Z684-AA684-AB684,0))</f>
        <v>300000</v>
      </c>
      <c r="AD684" s="18">
        <f t="shared" ca="1" si="88"/>
        <v>48524651.438518748</v>
      </c>
      <c r="AE684" s="18"/>
    </row>
    <row r="685" spans="1:31" x14ac:dyDescent="0.2">
      <c r="A685" s="4">
        <v>66446</v>
      </c>
      <c r="B685" s="5" t="str">
        <f t="shared" si="84"/>
        <v>dezembro</v>
      </c>
      <c r="C685" s="5" t="str">
        <f t="shared" si="90"/>
        <v>2081</v>
      </c>
      <c r="D685" s="5">
        <f>SUMIFS(Despesas!$F:$F,Despesas!$J:$J,"&lt;="&amp;$A685,Despesas!$L:$L,"&gt;="&amp;$A685,Despesas!$C:$C,D$1,Despesas!$M:$M,"Mensal")+SUMIFS(Despesas!$F:$F,Despesas!$J:$J,"&lt;="&amp;$A685,Despesas!$L:$L,"&gt;="&amp;$A685,Despesas!$C:$C,D$1,Despesas!$M:$M,$B685)</f>
        <v>23000</v>
      </c>
      <c r="E685" s="18">
        <f>SUMIFS(Despesas!$F:$F,Despesas!$J:$J,"&lt;="&amp;$A685,Despesas!$L:$L,"&gt;="&amp;$A685,Despesas!$C:$C,E$1,Despesas!$M:$M,"Mensal")+SUMIFS(Despesas!$F:$F,Despesas!$J:$J,"&lt;="&amp;$A685,Despesas!$L:$L,"&gt;="&amp;$A685,Despesas!$C:$C,E$1,Despesas!$M:$M,$B685)</f>
        <v>0</v>
      </c>
      <c r="F685" s="5">
        <f>SUMIFS(Despesas!$F:$F,Despesas!$J:$J,"&lt;="&amp;$A685,Despesas!$L:$L,"&gt;="&amp;$A685,Despesas!$C:$C,F$1,Despesas!$M:$M,"Mensal")+SUMIFS(Despesas!$F:$F,Despesas!$J:$J,"&lt;="&amp;$A685,Despesas!$L:$L,"&gt;="&amp;$A685,Despesas!$C:$C,F$1,Despesas!$M:$M,$B685)</f>
        <v>13000</v>
      </c>
      <c r="G685" s="5">
        <f ca="1">SUMIFS(Despesas!$F:$F,Despesas!$J:$J,"&lt;="&amp;$A685,Despesas!$L:$L,"&gt;="&amp;$A685,Despesas!$C:$C,G$1,Despesas!$M:$M,"Mensal")+SUMIFS(Despesas!$F:$F,Despesas!$J:$J,"&lt;="&amp;$A685,Despesas!$L:$L,"&gt;="&amp;$A685,Despesas!$C:$C,G$1,Despesas!$M:$M,$B685)</f>
        <v>55757</v>
      </c>
      <c r="H685" s="18">
        <f>SUMIFS(Despesas!$F:$F,Despesas!$J:$J,"&lt;="&amp;$A685,Despesas!$L:$L,"&gt;="&amp;$A685,Despesas!$C:$C,H$1,Despesas!$M:$M,"Mensal")+SUMIFS(Despesas!$F:$F,Despesas!$J:$J,"&lt;="&amp;$A685,Despesas!$L:$L,"&gt;="&amp;$A685,Despesas!$C:$C,H$1,Despesas!$M:$M,$B685)</f>
        <v>1000</v>
      </c>
      <c r="I685" s="18">
        <f>IF(Imóveis!$F$2="PRICE",IF(AND(Dados!$A685&gt;=Imóveis!$Q$2,Dados!$A685&lt;=Imóveis!$T$2),Imóveis!$U$2,0),IF((IF(AND(Dados!$A685&gt;=Imóveis!$Q$2,Dados!$A685&lt;=Imóveis!$T$2),Imóveis!$S$2-(DATEDIF(Imóveis!$Q$2,Dados!$A685,"m")),0))=0,0,((Imóveis!$N$2/Imóveis!$S$2)+((Imóveis!$N$2-((Imóveis!$S$2-(IF(AND(Dados!$A685&gt;=Imóveis!$Q$2,Dados!$A685&lt;=Imóveis!$T$2),Imóveis!$S$2-(DATEDIF(Imóveis!$Q$2,Dados!$A685,"m")),)))*(Imóveis!$N$2/Imóveis!$S$2)))*Imóveis!$P$2))))*IF(AND(Imóveis!$E$2&gt;0,Dados!$A685&gt;Imóveis!$E$2),0,1)</f>
        <v>0</v>
      </c>
      <c r="J685" s="18">
        <f>IF(Imóveis!$F$3="PRICE",IF(AND(Dados!$A685&gt;=Imóveis!$Q$3,Dados!$A685&lt;=Imóveis!$T$3),Imóveis!$U$3,0),IF((IF(AND(Dados!$A685&gt;=Imóveis!$Q$3,Dados!$A685&lt;=Imóveis!$T$3),Imóveis!$S$3-(DATEDIF(Imóveis!$Q$3,Dados!$A685,"m")),0))=0,0,((Imóveis!$N$3/Imóveis!$S$3)+((Imóveis!$N$3-((Imóveis!$S$3-(IF(AND(Dados!$A685&gt;=Imóveis!$Q$3,Dados!$A685&lt;=Imóveis!$T$3),Imóveis!$S$3-(DATEDIF(Imóveis!$Q$3,Dados!$A685,"m")),)))*(Imóveis!$N$3/Imóveis!$S$3)))*Imóveis!$P$3))))*IF(AND(Imóveis!$E$3&gt;0,Dados!$A685&gt;Imóveis!$E$3),0,1)</f>
        <v>0</v>
      </c>
      <c r="K685" s="18">
        <f>IF(Imóveis!$F$4="PRICE",IF(AND(Dados!$A685&gt;=Imóveis!$Q$4,Dados!$A685&lt;=Imóveis!$T$4),Imóveis!$U$4,0),IF((IF(AND(Dados!$A685&gt;=Imóveis!$Q$4,Dados!$A685&lt;=Imóveis!$T$4),Imóveis!$S$4-(DATEDIF(Imóveis!$Q$4,Dados!$A685,"m")),0))=0,0,((Imóveis!$N$4/Imóveis!$S$4)+((Imóveis!$N$4-((Imóveis!$S$4-(IF(AND(Dados!$A685&gt;=Imóveis!$Q$4,Dados!$A685&lt;=Imóveis!$T$4),Imóveis!$S$4-(DATEDIF(Imóveis!$Q$4,Dados!$A685,"m")),)))*(Imóveis!$N$4/Imóveis!$S$4)))*Imóveis!$P$4))))*IF(AND(Imóveis!$E$4&gt;0,Dados!$A685&gt;Imóveis!$E$4),0,1)</f>
        <v>0</v>
      </c>
      <c r="L685" s="18">
        <f>IF(Imóveis!$F$5="PRICE",IF(AND(Dados!$A685&gt;=Imóveis!$Q$5,Dados!$A685&lt;=Imóveis!$T$5),Imóveis!$U$5,0),IF((IF(AND(Dados!$A685&gt;=Imóveis!$Q$5,Dados!$A685&lt;=Imóveis!$T$5),Imóveis!$S$5-(DATEDIF(Imóveis!$Q$5,Dados!$A685,"m")),0))=0,0,((Imóveis!$N$5/Imóveis!$S$5)+((Imóveis!$N$5-((Imóveis!$S$5-(IF(AND(Dados!$A685 &gt;=Imóveis!$Q$5,Dados!$A685&lt;=Imóveis!$T$5),Imóveis!$S$5-(DATEDIF(Imóveis!$Q$5,Dados!$A685,"m")),)))*(Imóveis!$N$5/Imóveis!$S$5)))*Imóveis!$P$5))))*IF(AND(Imóveis!$E$5&gt;0,Dados!$A685&gt;Imóveis!$E$5),0,1)*Imóveis!$I$5</f>
        <v>0</v>
      </c>
      <c r="M685" s="18">
        <f>IF(Imóveis!$F$6="PRICE",IF(AND(Dados!$A685&gt;=Imóveis!$Q$6,Dados!$A685&lt;=Imóveis!$T$6),Imóveis!$U$6,0),IF((IF(AND(Dados!$A685&gt;=Imóveis!$Q$6,Dados!$A685&lt;=Imóveis!$T$6),Imóveis!$S$6-(DATEDIF(Imóveis!$Q$6,Dados!$A685,"m")),0))=0,0,((Imóveis!$N$6/Imóveis!$S$6)+((Imóveis!$N$6-((Imóveis!$S$6-(IF(AND(Dados!$A685&gt;=Imóveis!$Q$6,Dados!$A685&lt;=Imóveis!$T$6),Imóveis!$S$6-(DATEDIF(Imóveis!$Q$6,Dados!$A685,"m")),)))*(Imóveis!$N$6/Imóveis!$S$6)))*Imóveis!$P$6))))*IF(AND(Imóveis!$E$6&gt;0,Dados!$A685&gt;Imóveis!$E$6),0,1)*Imóveis!$I$6</f>
        <v>0</v>
      </c>
      <c r="N685" s="18">
        <f t="shared" ca="1" si="85"/>
        <v>92757</v>
      </c>
      <c r="O685" s="18">
        <f>SUMIFS(Receitas!$F:$F,Receitas!$J:$J,"&lt;="&amp;$A685,Receitas!$L:$L,"&gt;="&amp;$A685,Receitas!$C:$C,O$1,Receitas!$M:$M,"Mensal")+SUMIFS(Receitas!$F:$F,Receitas!$J:$J,"&lt;="&amp;$A685,Receitas!$L:$L,"&gt;="&amp;$A685,Receitas!$C:$C,O$1,Receitas!$M:$M,$B685)</f>
        <v>0</v>
      </c>
      <c r="P685" s="18">
        <f>SUMIFS(Receitas!$F:$F,Receitas!$J:$J,"&lt;="&amp;$A685,Receitas!$L:$L,"&gt;="&amp;$A685,Receitas!$C:$C,P$1,Receitas!$M:$M,"Mensal")+SUMIFS(Receitas!$F:$F,Receitas!$J:$J,"&lt;="&amp;$A685,Receitas!$L:$L,"&gt;="&amp;$A685,Receitas!$C:$C,P$1,Receitas!$M:$M,$B685)</f>
        <v>0</v>
      </c>
      <c r="Q685" s="18">
        <f>SUMIFS(Receitas!$F:$F,Receitas!$J:$J,"&lt;="&amp;$A685,Receitas!$L:$L,"&gt;="&amp;$A685,Receitas!$C:$C,Q$1,Receitas!$M:$M,"Mensal")+SUMIFS(Receitas!$F:$F,Receitas!$J:$J,"&lt;="&amp;$A685,Receitas!$L:$L,"&gt;="&amp;$A685,Receitas!$C:$C,Q$1,Receitas!$M:$M,$B685)</f>
        <v>0</v>
      </c>
      <c r="R685" s="18" cm="1">
        <f t="array" ref="R685">(IF(AND(Membros!$F$2="Sim",A685&lt;=MAX(Membros!$E$2:$E$5)),Membros!K$2,IF(AND(A685&gt;=Membros!J$2,A685&lt;=MAX(Membros!$E$2:$E$5)),Membros!K$2,0))+IF(AND(Membros!$F$3="Sim",A685&lt;=MAX(Membros!$E$2:$E$5)),Membros!K$3,IF(AND(A685&gt;=Membros!J$3,A685&lt;=MAX(Membros!$E$2:$E$5)),Membros!K$3,0)))*IF(AND(COUNTIFS(Tabela3[Tipo],"Provedor",Tabela3[Simulação Seguro],"Sim")=2,A685&gt;=MAX(IF(Tabela3[Tipo]="Dependente",Tabela3[Expectativa de Vida (Data)]))),0,1)</f>
        <v>10000</v>
      </c>
      <c r="S685" s="18">
        <f t="shared" si="86"/>
        <v>10000</v>
      </c>
      <c r="U685" s="18">
        <f t="shared" ca="1" si="89"/>
        <v>48824651.438518748</v>
      </c>
      <c r="V685" s="18">
        <f>SUMIF(Imóveis!E:E,Dados!A:A,Imóveis!Z:Z)-SUMIF(Imóveis!E:E,Dados!A:A,Imóveis!Y:Y)</f>
        <v>0</v>
      </c>
      <c r="W685" s="18">
        <f>-SUMIF(Projetos!N:N,A685,Projetos!F:F)</f>
        <v>0</v>
      </c>
      <c r="X685" s="18">
        <f t="shared" ca="1" si="83"/>
        <v>-82757</v>
      </c>
      <c r="Y685" s="26">
        <f ca="1">(U685*((Indicadores_Economicos!D$2+1)^(1/12)-1))</f>
        <v>159839.2037662743</v>
      </c>
      <c r="Z685" s="18">
        <f t="shared" ca="1" si="87"/>
        <v>48901733.642285019</v>
      </c>
      <c r="AA685" s="18">
        <f ca="1">Auxiliar_Projetos!E685</f>
        <v>3.644823618355487E-9</v>
      </c>
      <c r="AB685" s="18">
        <f ca="1">Auxiliar_Projetos!K685</f>
        <v>2.8037104756580617E-9</v>
      </c>
      <c r="AC685" s="18">
        <f ca="1">IF(Z685-AA685-AB685&gt;Investimentos!$C$14,Investimentos!$C$14,IF(Z685-AA685-AB685&lt;Investimentos!$C$14,Z685-AA685-AB685,0))</f>
        <v>300000</v>
      </c>
      <c r="AD685" s="18">
        <f t="shared" ca="1" si="88"/>
        <v>48601733.642285019</v>
      </c>
      <c r="AE685" s="18"/>
    </row>
    <row r="686" spans="1:31" x14ac:dyDescent="0.2">
      <c r="A686" s="4">
        <v>66477</v>
      </c>
      <c r="B686" s="5" t="str">
        <f t="shared" si="84"/>
        <v>janeiro</v>
      </c>
      <c r="C686" s="5" t="str">
        <f t="shared" si="90"/>
        <v>2082</v>
      </c>
      <c r="D686" s="5">
        <f>SUMIFS(Despesas!$F:$F,Despesas!$J:$J,"&lt;="&amp;$A686,Despesas!$L:$L,"&gt;="&amp;$A686,Despesas!$C:$C,D$1,Despesas!$M:$M,"Mensal")+SUMIFS(Despesas!$F:$F,Despesas!$J:$J,"&lt;="&amp;$A686,Despesas!$L:$L,"&gt;="&amp;$A686,Despesas!$C:$C,D$1,Despesas!$M:$M,$B686)</f>
        <v>23000</v>
      </c>
      <c r="E686" s="18">
        <f>SUMIFS(Despesas!$F:$F,Despesas!$J:$J,"&lt;="&amp;$A686,Despesas!$L:$L,"&gt;="&amp;$A686,Despesas!$C:$C,E$1,Despesas!$M:$M,"Mensal")+SUMIFS(Despesas!$F:$F,Despesas!$J:$J,"&lt;="&amp;$A686,Despesas!$L:$L,"&gt;="&amp;$A686,Despesas!$C:$C,E$1,Despesas!$M:$M,$B686)</f>
        <v>0</v>
      </c>
      <c r="F686" s="5">
        <f>SUMIFS(Despesas!$F:$F,Despesas!$J:$J,"&lt;="&amp;$A686,Despesas!$L:$L,"&gt;="&amp;$A686,Despesas!$C:$C,F$1,Despesas!$M:$M,"Mensal")+SUMIFS(Despesas!$F:$F,Despesas!$J:$J,"&lt;="&amp;$A686,Despesas!$L:$L,"&gt;="&amp;$A686,Despesas!$C:$C,F$1,Despesas!$M:$M,$B686)</f>
        <v>13000</v>
      </c>
      <c r="G686" s="5">
        <f>SUMIFS(Despesas!$F:$F,Despesas!$J:$J,"&lt;="&amp;$A686,Despesas!$L:$L,"&gt;="&amp;$A686,Despesas!$C:$C,G$1,Despesas!$M:$M,"Mensal")+SUMIFS(Despesas!$F:$F,Despesas!$J:$J,"&lt;="&amp;$A686,Despesas!$L:$L,"&gt;="&amp;$A686,Despesas!$C:$C,G$1,Despesas!$M:$M,$B686)</f>
        <v>0</v>
      </c>
      <c r="H686" s="18">
        <f>SUMIFS(Despesas!$F:$F,Despesas!$J:$J,"&lt;="&amp;$A686,Despesas!$L:$L,"&gt;="&amp;$A686,Despesas!$C:$C,H$1,Despesas!$M:$M,"Mensal")+SUMIFS(Despesas!$F:$F,Despesas!$J:$J,"&lt;="&amp;$A686,Despesas!$L:$L,"&gt;="&amp;$A686,Despesas!$C:$C,H$1,Despesas!$M:$M,$B686)</f>
        <v>1000</v>
      </c>
      <c r="I686" s="18">
        <f>IF(Imóveis!$F$2="PRICE",IF(AND(Dados!$A686&gt;=Imóveis!$Q$2,Dados!$A686&lt;=Imóveis!$T$2),Imóveis!$U$2,0),IF((IF(AND(Dados!$A686&gt;=Imóveis!$Q$2,Dados!$A686&lt;=Imóveis!$T$2),Imóveis!$S$2-(DATEDIF(Imóveis!$Q$2,Dados!$A686,"m")),0))=0,0,((Imóveis!$N$2/Imóveis!$S$2)+((Imóveis!$N$2-((Imóveis!$S$2-(IF(AND(Dados!$A686&gt;=Imóveis!$Q$2,Dados!$A686&lt;=Imóveis!$T$2),Imóveis!$S$2-(DATEDIF(Imóveis!$Q$2,Dados!$A686,"m")),)))*(Imóveis!$N$2/Imóveis!$S$2)))*Imóveis!$P$2))))*IF(AND(Imóveis!$E$2&gt;0,Dados!$A686&gt;Imóveis!$E$2),0,1)</f>
        <v>0</v>
      </c>
      <c r="J686" s="18">
        <f>IF(Imóveis!$F$3="PRICE",IF(AND(Dados!$A686&gt;=Imóveis!$Q$3,Dados!$A686&lt;=Imóveis!$T$3),Imóveis!$U$3,0),IF((IF(AND(Dados!$A686&gt;=Imóveis!$Q$3,Dados!$A686&lt;=Imóveis!$T$3),Imóveis!$S$3-(DATEDIF(Imóveis!$Q$3,Dados!$A686,"m")),0))=0,0,((Imóveis!$N$3/Imóveis!$S$3)+((Imóveis!$N$3-((Imóveis!$S$3-(IF(AND(Dados!$A686&gt;=Imóveis!$Q$3,Dados!$A686&lt;=Imóveis!$T$3),Imóveis!$S$3-(DATEDIF(Imóveis!$Q$3,Dados!$A686,"m")),)))*(Imóveis!$N$3/Imóveis!$S$3)))*Imóveis!$P$3))))*IF(AND(Imóveis!$E$3&gt;0,Dados!$A686&gt;Imóveis!$E$3),0,1)</f>
        <v>0</v>
      </c>
      <c r="K686" s="18">
        <f>IF(Imóveis!$F$4="PRICE",IF(AND(Dados!$A686&gt;=Imóveis!$Q$4,Dados!$A686&lt;=Imóveis!$T$4),Imóveis!$U$4,0),IF((IF(AND(Dados!$A686&gt;=Imóveis!$Q$4,Dados!$A686&lt;=Imóveis!$T$4),Imóveis!$S$4-(DATEDIF(Imóveis!$Q$4,Dados!$A686,"m")),0))=0,0,((Imóveis!$N$4/Imóveis!$S$4)+((Imóveis!$N$4-((Imóveis!$S$4-(IF(AND(Dados!$A686&gt;=Imóveis!$Q$4,Dados!$A686&lt;=Imóveis!$T$4),Imóveis!$S$4-(DATEDIF(Imóveis!$Q$4,Dados!$A686,"m")),)))*(Imóveis!$N$4/Imóveis!$S$4)))*Imóveis!$P$4))))*IF(AND(Imóveis!$E$4&gt;0,Dados!$A686&gt;Imóveis!$E$4),0,1)</f>
        <v>0</v>
      </c>
      <c r="L686" s="18">
        <f>IF(Imóveis!$F$5="PRICE",IF(AND(Dados!$A686&gt;=Imóveis!$Q$5,Dados!$A686&lt;=Imóveis!$T$5),Imóveis!$U$5,0),IF((IF(AND(Dados!$A686&gt;=Imóveis!$Q$5,Dados!$A686&lt;=Imóveis!$T$5),Imóveis!$S$5-(DATEDIF(Imóveis!$Q$5,Dados!$A686,"m")),0))=0,0,((Imóveis!$N$5/Imóveis!$S$5)+((Imóveis!$N$5-((Imóveis!$S$5-(IF(AND(Dados!$A686 &gt;=Imóveis!$Q$5,Dados!$A686&lt;=Imóveis!$T$5),Imóveis!$S$5-(DATEDIF(Imóveis!$Q$5,Dados!$A686,"m")),)))*(Imóveis!$N$5/Imóveis!$S$5)))*Imóveis!$P$5))))*IF(AND(Imóveis!$E$5&gt;0,Dados!$A686&gt;Imóveis!$E$5),0,1)*Imóveis!$I$5</f>
        <v>0</v>
      </c>
      <c r="M686" s="18">
        <f>IF(Imóveis!$F$6="PRICE",IF(AND(Dados!$A686&gt;=Imóveis!$Q$6,Dados!$A686&lt;=Imóveis!$T$6),Imóveis!$U$6,0),IF((IF(AND(Dados!$A686&gt;=Imóveis!$Q$6,Dados!$A686&lt;=Imóveis!$T$6),Imóveis!$S$6-(DATEDIF(Imóveis!$Q$6,Dados!$A686,"m")),0))=0,0,((Imóveis!$N$6/Imóveis!$S$6)+((Imóveis!$N$6-((Imóveis!$S$6-(IF(AND(Dados!$A686&gt;=Imóveis!$Q$6,Dados!$A686&lt;=Imóveis!$T$6),Imóveis!$S$6-(DATEDIF(Imóveis!$Q$6,Dados!$A686,"m")),)))*(Imóveis!$N$6/Imóveis!$S$6)))*Imóveis!$P$6))))*IF(AND(Imóveis!$E$6&gt;0,Dados!$A686&gt;Imóveis!$E$6),0,1)*Imóveis!$I$6</f>
        <v>0</v>
      </c>
      <c r="N686" s="18">
        <f t="shared" si="85"/>
        <v>37000</v>
      </c>
      <c r="O686" s="18">
        <f>SUMIFS(Receitas!$F:$F,Receitas!$J:$J,"&lt;="&amp;$A686,Receitas!$L:$L,"&gt;="&amp;$A686,Receitas!$C:$C,O$1,Receitas!$M:$M,"Mensal")+SUMIFS(Receitas!$F:$F,Receitas!$J:$J,"&lt;="&amp;$A686,Receitas!$L:$L,"&gt;="&amp;$A686,Receitas!$C:$C,O$1,Receitas!$M:$M,$B686)</f>
        <v>0</v>
      </c>
      <c r="P686" s="18">
        <f>SUMIFS(Receitas!$F:$F,Receitas!$J:$J,"&lt;="&amp;$A686,Receitas!$L:$L,"&gt;="&amp;$A686,Receitas!$C:$C,P$1,Receitas!$M:$M,"Mensal")+SUMIFS(Receitas!$F:$F,Receitas!$J:$J,"&lt;="&amp;$A686,Receitas!$L:$L,"&gt;="&amp;$A686,Receitas!$C:$C,P$1,Receitas!$M:$M,$B686)</f>
        <v>0</v>
      </c>
      <c r="Q686" s="18">
        <f>SUMIFS(Receitas!$F:$F,Receitas!$J:$J,"&lt;="&amp;$A686,Receitas!$L:$L,"&gt;="&amp;$A686,Receitas!$C:$C,Q$1,Receitas!$M:$M,"Mensal")+SUMIFS(Receitas!$F:$F,Receitas!$J:$J,"&lt;="&amp;$A686,Receitas!$L:$L,"&gt;="&amp;$A686,Receitas!$C:$C,Q$1,Receitas!$M:$M,$B686)</f>
        <v>0</v>
      </c>
      <c r="R686" s="18" cm="1">
        <f t="array" ref="R686">(IF(AND(Membros!$F$2="Sim",A686&lt;=MAX(Membros!$E$2:$E$5)),Membros!K$2,IF(AND(A686&gt;=Membros!J$2,A686&lt;=MAX(Membros!$E$2:$E$5)),Membros!K$2,0))+IF(AND(Membros!$F$3="Sim",A686&lt;=MAX(Membros!$E$2:$E$5)),Membros!K$3,IF(AND(A686&gt;=Membros!J$3,A686&lt;=MAX(Membros!$E$2:$E$5)),Membros!K$3,0)))*IF(AND(COUNTIFS(Tabela3[Tipo],"Provedor",Tabela3[Simulação Seguro],"Sim")=2,A686&gt;=MAX(IF(Tabela3[Tipo]="Dependente",Tabela3[Expectativa de Vida (Data)]))),0,1)</f>
        <v>10000</v>
      </c>
      <c r="S686" s="18">
        <f t="shared" si="86"/>
        <v>10000</v>
      </c>
      <c r="U686" s="18">
        <f t="shared" ca="1" si="89"/>
        <v>48901733.642285019</v>
      </c>
      <c r="V686" s="18">
        <f>SUMIF(Imóveis!E:E,Dados!A:A,Imóveis!Z:Z)-SUMIF(Imóveis!E:E,Dados!A:A,Imóveis!Y:Y)</f>
        <v>0</v>
      </c>
      <c r="W686" s="18">
        <f>-SUMIF(Projetos!N:N,A686,Projetos!F:F)</f>
        <v>0</v>
      </c>
      <c r="X686" s="18">
        <f t="shared" si="83"/>
        <v>-27000</v>
      </c>
      <c r="Y686" s="26">
        <f ca="1">(U686*((Indicadores_Economicos!D$2+1)^(1/12)-1))</f>
        <v>160091.55084324349</v>
      </c>
      <c r="Z686" s="18">
        <f t="shared" ca="1" si="87"/>
        <v>49034825.193128265</v>
      </c>
      <c r="AA686" s="18">
        <f ca="1">Auxiliar_Projetos!E686</f>
        <v>3.6567558224339956E-9</v>
      </c>
      <c r="AB686" s="18">
        <f ca="1">Auxiliar_Projetos!K686</f>
        <v>2.8128890941799915E-9</v>
      </c>
      <c r="AC686" s="18">
        <f ca="1">IF(Z686-AA686-AB686&gt;Investimentos!$C$14,Investimentos!$C$14,IF(Z686-AA686-AB686&lt;Investimentos!$C$14,Z686-AA686-AB686,0))</f>
        <v>300000</v>
      </c>
      <c r="AD686" s="18">
        <f t="shared" ca="1" si="88"/>
        <v>48734825.193128265</v>
      </c>
      <c r="AE686" s="18"/>
    </row>
    <row r="687" spans="1:31" x14ac:dyDescent="0.2">
      <c r="A687" s="4">
        <v>66508</v>
      </c>
      <c r="B687" s="5" t="str">
        <f t="shared" si="84"/>
        <v>fevereiro</v>
      </c>
      <c r="C687" s="5" t="str">
        <f t="shared" si="90"/>
        <v>2082</v>
      </c>
      <c r="D687" s="5">
        <f>SUMIFS(Despesas!$F:$F,Despesas!$J:$J,"&lt;="&amp;$A687,Despesas!$L:$L,"&gt;="&amp;$A687,Despesas!$C:$C,D$1,Despesas!$M:$M,"Mensal")+SUMIFS(Despesas!$F:$F,Despesas!$J:$J,"&lt;="&amp;$A687,Despesas!$L:$L,"&gt;="&amp;$A687,Despesas!$C:$C,D$1,Despesas!$M:$M,$B687)</f>
        <v>23000</v>
      </c>
      <c r="E687" s="18">
        <f>SUMIFS(Despesas!$F:$F,Despesas!$J:$J,"&lt;="&amp;$A687,Despesas!$L:$L,"&gt;="&amp;$A687,Despesas!$C:$C,E$1,Despesas!$M:$M,"Mensal")+SUMIFS(Despesas!$F:$F,Despesas!$J:$J,"&lt;="&amp;$A687,Despesas!$L:$L,"&gt;="&amp;$A687,Despesas!$C:$C,E$1,Despesas!$M:$M,$B687)</f>
        <v>0</v>
      </c>
      <c r="F687" s="5">
        <f>SUMIFS(Despesas!$F:$F,Despesas!$J:$J,"&lt;="&amp;$A687,Despesas!$L:$L,"&gt;="&amp;$A687,Despesas!$C:$C,F$1,Despesas!$M:$M,"Mensal")+SUMIFS(Despesas!$F:$F,Despesas!$J:$J,"&lt;="&amp;$A687,Despesas!$L:$L,"&gt;="&amp;$A687,Despesas!$C:$C,F$1,Despesas!$M:$M,$B687)</f>
        <v>13000</v>
      </c>
      <c r="G687" s="5">
        <f>SUMIFS(Despesas!$F:$F,Despesas!$J:$J,"&lt;="&amp;$A687,Despesas!$L:$L,"&gt;="&amp;$A687,Despesas!$C:$C,G$1,Despesas!$M:$M,"Mensal")+SUMIFS(Despesas!$F:$F,Despesas!$J:$J,"&lt;="&amp;$A687,Despesas!$L:$L,"&gt;="&amp;$A687,Despesas!$C:$C,G$1,Despesas!$M:$M,$B687)</f>
        <v>0</v>
      </c>
      <c r="H687" s="18">
        <f>SUMIFS(Despesas!$F:$F,Despesas!$J:$J,"&lt;="&amp;$A687,Despesas!$L:$L,"&gt;="&amp;$A687,Despesas!$C:$C,H$1,Despesas!$M:$M,"Mensal")+SUMIFS(Despesas!$F:$F,Despesas!$J:$J,"&lt;="&amp;$A687,Despesas!$L:$L,"&gt;="&amp;$A687,Despesas!$C:$C,H$1,Despesas!$M:$M,$B687)</f>
        <v>2200</v>
      </c>
      <c r="I687" s="18">
        <f>IF(Imóveis!$F$2="PRICE",IF(AND(Dados!$A687&gt;=Imóveis!$Q$2,Dados!$A687&lt;=Imóveis!$T$2),Imóveis!$U$2,0),IF((IF(AND(Dados!$A687&gt;=Imóveis!$Q$2,Dados!$A687&lt;=Imóveis!$T$2),Imóveis!$S$2-(DATEDIF(Imóveis!$Q$2,Dados!$A687,"m")),0))=0,0,((Imóveis!$N$2/Imóveis!$S$2)+((Imóveis!$N$2-((Imóveis!$S$2-(IF(AND(Dados!$A687&gt;=Imóveis!$Q$2,Dados!$A687&lt;=Imóveis!$T$2),Imóveis!$S$2-(DATEDIF(Imóveis!$Q$2,Dados!$A687,"m")),)))*(Imóveis!$N$2/Imóveis!$S$2)))*Imóveis!$P$2))))*IF(AND(Imóveis!$E$2&gt;0,Dados!$A687&gt;Imóveis!$E$2),0,1)</f>
        <v>0</v>
      </c>
      <c r="J687" s="18">
        <f>IF(Imóveis!$F$3="PRICE",IF(AND(Dados!$A687&gt;=Imóveis!$Q$3,Dados!$A687&lt;=Imóveis!$T$3),Imóveis!$U$3,0),IF((IF(AND(Dados!$A687&gt;=Imóveis!$Q$3,Dados!$A687&lt;=Imóveis!$T$3),Imóveis!$S$3-(DATEDIF(Imóveis!$Q$3,Dados!$A687,"m")),0))=0,0,((Imóveis!$N$3/Imóveis!$S$3)+((Imóveis!$N$3-((Imóveis!$S$3-(IF(AND(Dados!$A687&gt;=Imóveis!$Q$3,Dados!$A687&lt;=Imóveis!$T$3),Imóveis!$S$3-(DATEDIF(Imóveis!$Q$3,Dados!$A687,"m")),)))*(Imóveis!$N$3/Imóveis!$S$3)))*Imóveis!$P$3))))*IF(AND(Imóveis!$E$3&gt;0,Dados!$A687&gt;Imóveis!$E$3),0,1)</f>
        <v>0</v>
      </c>
      <c r="K687" s="18">
        <f>IF(Imóveis!$F$4="PRICE",IF(AND(Dados!$A687&gt;=Imóveis!$Q$4,Dados!$A687&lt;=Imóveis!$T$4),Imóveis!$U$4,0),IF((IF(AND(Dados!$A687&gt;=Imóveis!$Q$4,Dados!$A687&lt;=Imóveis!$T$4),Imóveis!$S$4-(DATEDIF(Imóveis!$Q$4,Dados!$A687,"m")),0))=0,0,((Imóveis!$N$4/Imóveis!$S$4)+((Imóveis!$N$4-((Imóveis!$S$4-(IF(AND(Dados!$A687&gt;=Imóveis!$Q$4,Dados!$A687&lt;=Imóveis!$T$4),Imóveis!$S$4-(DATEDIF(Imóveis!$Q$4,Dados!$A687,"m")),)))*(Imóveis!$N$4/Imóveis!$S$4)))*Imóveis!$P$4))))*IF(AND(Imóveis!$E$4&gt;0,Dados!$A687&gt;Imóveis!$E$4),0,1)</f>
        <v>0</v>
      </c>
      <c r="L687" s="18">
        <f>IF(Imóveis!$F$5="PRICE",IF(AND(Dados!$A687&gt;=Imóveis!$Q$5,Dados!$A687&lt;=Imóveis!$T$5),Imóveis!$U$5,0),IF((IF(AND(Dados!$A687&gt;=Imóveis!$Q$5,Dados!$A687&lt;=Imóveis!$T$5),Imóveis!$S$5-(DATEDIF(Imóveis!$Q$5,Dados!$A687,"m")),0))=0,0,((Imóveis!$N$5/Imóveis!$S$5)+((Imóveis!$N$5-((Imóveis!$S$5-(IF(AND(Dados!$A687 &gt;=Imóveis!$Q$5,Dados!$A687&lt;=Imóveis!$T$5),Imóveis!$S$5-(DATEDIF(Imóveis!$Q$5,Dados!$A687,"m")),)))*(Imóveis!$N$5/Imóveis!$S$5)))*Imóveis!$P$5))))*IF(AND(Imóveis!$E$5&gt;0,Dados!$A687&gt;Imóveis!$E$5),0,1)*Imóveis!$I$5</f>
        <v>0</v>
      </c>
      <c r="M687" s="18">
        <f>IF(Imóveis!$F$6="PRICE",IF(AND(Dados!$A687&gt;=Imóveis!$Q$6,Dados!$A687&lt;=Imóveis!$T$6),Imóveis!$U$6,0),IF((IF(AND(Dados!$A687&gt;=Imóveis!$Q$6,Dados!$A687&lt;=Imóveis!$T$6),Imóveis!$S$6-(DATEDIF(Imóveis!$Q$6,Dados!$A687,"m")),0))=0,0,((Imóveis!$N$6/Imóveis!$S$6)+((Imóveis!$N$6-((Imóveis!$S$6-(IF(AND(Dados!$A687&gt;=Imóveis!$Q$6,Dados!$A687&lt;=Imóveis!$T$6),Imóveis!$S$6-(DATEDIF(Imóveis!$Q$6,Dados!$A687,"m")),)))*(Imóveis!$N$6/Imóveis!$S$6)))*Imóveis!$P$6))))*IF(AND(Imóveis!$E$6&gt;0,Dados!$A687&gt;Imóveis!$E$6),0,1)*Imóveis!$I$6</f>
        <v>0</v>
      </c>
      <c r="N687" s="18">
        <f t="shared" si="85"/>
        <v>38200</v>
      </c>
      <c r="O687" s="18">
        <f>SUMIFS(Receitas!$F:$F,Receitas!$J:$J,"&lt;="&amp;$A687,Receitas!$L:$L,"&gt;="&amp;$A687,Receitas!$C:$C,O$1,Receitas!$M:$M,"Mensal")+SUMIFS(Receitas!$F:$F,Receitas!$J:$J,"&lt;="&amp;$A687,Receitas!$L:$L,"&gt;="&amp;$A687,Receitas!$C:$C,O$1,Receitas!$M:$M,$B687)</f>
        <v>0</v>
      </c>
      <c r="P687" s="18">
        <f>SUMIFS(Receitas!$F:$F,Receitas!$J:$J,"&lt;="&amp;$A687,Receitas!$L:$L,"&gt;="&amp;$A687,Receitas!$C:$C,P$1,Receitas!$M:$M,"Mensal")+SUMIFS(Receitas!$F:$F,Receitas!$J:$J,"&lt;="&amp;$A687,Receitas!$L:$L,"&gt;="&amp;$A687,Receitas!$C:$C,P$1,Receitas!$M:$M,$B687)</f>
        <v>0</v>
      </c>
      <c r="Q687" s="18">
        <f>SUMIFS(Receitas!$F:$F,Receitas!$J:$J,"&lt;="&amp;$A687,Receitas!$L:$L,"&gt;="&amp;$A687,Receitas!$C:$C,Q$1,Receitas!$M:$M,"Mensal")+SUMIFS(Receitas!$F:$F,Receitas!$J:$J,"&lt;="&amp;$A687,Receitas!$L:$L,"&gt;="&amp;$A687,Receitas!$C:$C,Q$1,Receitas!$M:$M,$B687)</f>
        <v>0</v>
      </c>
      <c r="R687" s="18" cm="1">
        <f t="array" ref="R687">(IF(AND(Membros!$F$2="Sim",A687&lt;=MAX(Membros!$E$2:$E$5)),Membros!K$2,IF(AND(A687&gt;=Membros!J$2,A687&lt;=MAX(Membros!$E$2:$E$5)),Membros!K$2,0))+IF(AND(Membros!$F$3="Sim",A687&lt;=MAX(Membros!$E$2:$E$5)),Membros!K$3,IF(AND(A687&gt;=Membros!J$3,A687&lt;=MAX(Membros!$E$2:$E$5)),Membros!K$3,0)))*IF(AND(COUNTIFS(Tabela3[Tipo],"Provedor",Tabela3[Simulação Seguro],"Sim")=2,A687&gt;=MAX(IF(Tabela3[Tipo]="Dependente",Tabela3[Expectativa de Vida (Data)]))),0,1)</f>
        <v>10000</v>
      </c>
      <c r="S687" s="18">
        <f t="shared" si="86"/>
        <v>10000</v>
      </c>
      <c r="U687" s="18">
        <f t="shared" ca="1" si="89"/>
        <v>49034825.193128265</v>
      </c>
      <c r="V687" s="18">
        <f>SUMIF(Imóveis!E:E,Dados!A:A,Imóveis!Z:Z)-SUMIF(Imóveis!E:E,Dados!A:A,Imóveis!Y:Y)</f>
        <v>0</v>
      </c>
      <c r="W687" s="18">
        <f>-SUMIF(Projetos!N:N,A687,Projetos!F:F)</f>
        <v>0</v>
      </c>
      <c r="X687" s="18">
        <f t="shared" si="83"/>
        <v>-28200</v>
      </c>
      <c r="Y687" s="26">
        <f ca="1">(U687*((Indicadores_Economicos!D$2+1)^(1/12)-1))</f>
        <v>160527.25794791357</v>
      </c>
      <c r="Z687" s="18">
        <f t="shared" ca="1" si="87"/>
        <v>49167152.45107618</v>
      </c>
      <c r="AA687" s="18">
        <f ca="1">Auxiliar_Projetos!E687</f>
        <v>3.6687270894436851E-9</v>
      </c>
      <c r="AB687" s="18">
        <f ca="1">Auxiliar_Projetos!K687</f>
        <v>2.8220977611105218E-9</v>
      </c>
      <c r="AC687" s="18">
        <f ca="1">IF(Z687-AA687-AB687&gt;Investimentos!$C$14,Investimentos!$C$14,IF(Z687-AA687-AB687&lt;Investimentos!$C$14,Z687-AA687-AB687,0))</f>
        <v>300000</v>
      </c>
      <c r="AD687" s="18">
        <f t="shared" ca="1" si="88"/>
        <v>48867152.45107618</v>
      </c>
      <c r="AE687" s="18"/>
    </row>
    <row r="688" spans="1:31" x14ac:dyDescent="0.2">
      <c r="A688" s="4">
        <v>66536</v>
      </c>
      <c r="B688" s="5" t="str">
        <f t="shared" si="84"/>
        <v>março</v>
      </c>
      <c r="C688" s="5" t="str">
        <f t="shared" si="90"/>
        <v>2082</v>
      </c>
      <c r="D688" s="5">
        <f>SUMIFS(Despesas!$F:$F,Despesas!$J:$J,"&lt;="&amp;$A688,Despesas!$L:$L,"&gt;="&amp;$A688,Despesas!$C:$C,D$1,Despesas!$M:$M,"Mensal")+SUMIFS(Despesas!$F:$F,Despesas!$J:$J,"&lt;="&amp;$A688,Despesas!$L:$L,"&gt;="&amp;$A688,Despesas!$C:$C,D$1,Despesas!$M:$M,$B688)</f>
        <v>23000</v>
      </c>
      <c r="E688" s="18">
        <f>SUMIFS(Despesas!$F:$F,Despesas!$J:$J,"&lt;="&amp;$A688,Despesas!$L:$L,"&gt;="&amp;$A688,Despesas!$C:$C,E$1,Despesas!$M:$M,"Mensal")+SUMIFS(Despesas!$F:$F,Despesas!$J:$J,"&lt;="&amp;$A688,Despesas!$L:$L,"&gt;="&amp;$A688,Despesas!$C:$C,E$1,Despesas!$M:$M,$B688)</f>
        <v>0</v>
      </c>
      <c r="F688" s="5">
        <f>SUMIFS(Despesas!$F:$F,Despesas!$J:$J,"&lt;="&amp;$A688,Despesas!$L:$L,"&gt;="&amp;$A688,Despesas!$C:$C,F$1,Despesas!$M:$M,"Mensal")+SUMIFS(Despesas!$F:$F,Despesas!$J:$J,"&lt;="&amp;$A688,Despesas!$L:$L,"&gt;="&amp;$A688,Despesas!$C:$C,F$1,Despesas!$M:$M,$B688)</f>
        <v>13000</v>
      </c>
      <c r="G688" s="5">
        <f>SUMIFS(Despesas!$F:$F,Despesas!$J:$J,"&lt;="&amp;$A688,Despesas!$L:$L,"&gt;="&amp;$A688,Despesas!$C:$C,G$1,Despesas!$M:$M,"Mensal")+SUMIFS(Despesas!$F:$F,Despesas!$J:$J,"&lt;="&amp;$A688,Despesas!$L:$L,"&gt;="&amp;$A688,Despesas!$C:$C,G$1,Despesas!$M:$M,$B688)</f>
        <v>0</v>
      </c>
      <c r="H688" s="18">
        <f>SUMIFS(Despesas!$F:$F,Despesas!$J:$J,"&lt;="&amp;$A688,Despesas!$L:$L,"&gt;="&amp;$A688,Despesas!$C:$C,H$1,Despesas!$M:$M,"Mensal")+SUMIFS(Despesas!$F:$F,Despesas!$J:$J,"&lt;="&amp;$A688,Despesas!$L:$L,"&gt;="&amp;$A688,Despesas!$C:$C,H$1,Despesas!$M:$M,$B688)</f>
        <v>1000</v>
      </c>
      <c r="I688" s="18">
        <f>IF(Imóveis!$F$2="PRICE",IF(AND(Dados!$A688&gt;=Imóveis!$Q$2,Dados!$A688&lt;=Imóveis!$T$2),Imóveis!$U$2,0),IF((IF(AND(Dados!$A688&gt;=Imóveis!$Q$2,Dados!$A688&lt;=Imóveis!$T$2),Imóveis!$S$2-(DATEDIF(Imóveis!$Q$2,Dados!$A688,"m")),0))=0,0,((Imóveis!$N$2/Imóveis!$S$2)+((Imóveis!$N$2-((Imóveis!$S$2-(IF(AND(Dados!$A688&gt;=Imóveis!$Q$2,Dados!$A688&lt;=Imóveis!$T$2),Imóveis!$S$2-(DATEDIF(Imóveis!$Q$2,Dados!$A688,"m")),)))*(Imóveis!$N$2/Imóveis!$S$2)))*Imóveis!$P$2))))*IF(AND(Imóveis!$E$2&gt;0,Dados!$A688&gt;Imóveis!$E$2),0,1)</f>
        <v>0</v>
      </c>
      <c r="J688" s="18">
        <f>IF(Imóveis!$F$3="PRICE",IF(AND(Dados!$A688&gt;=Imóveis!$Q$3,Dados!$A688&lt;=Imóveis!$T$3),Imóveis!$U$3,0),IF((IF(AND(Dados!$A688&gt;=Imóveis!$Q$3,Dados!$A688&lt;=Imóveis!$T$3),Imóveis!$S$3-(DATEDIF(Imóveis!$Q$3,Dados!$A688,"m")),0))=0,0,((Imóveis!$N$3/Imóveis!$S$3)+((Imóveis!$N$3-((Imóveis!$S$3-(IF(AND(Dados!$A688&gt;=Imóveis!$Q$3,Dados!$A688&lt;=Imóveis!$T$3),Imóveis!$S$3-(DATEDIF(Imóveis!$Q$3,Dados!$A688,"m")),)))*(Imóveis!$N$3/Imóveis!$S$3)))*Imóveis!$P$3))))*IF(AND(Imóveis!$E$3&gt;0,Dados!$A688&gt;Imóveis!$E$3),0,1)</f>
        <v>0</v>
      </c>
      <c r="K688" s="18">
        <f>IF(Imóveis!$F$4="PRICE",IF(AND(Dados!$A688&gt;=Imóveis!$Q$4,Dados!$A688&lt;=Imóveis!$T$4),Imóveis!$U$4,0),IF((IF(AND(Dados!$A688&gt;=Imóveis!$Q$4,Dados!$A688&lt;=Imóveis!$T$4),Imóveis!$S$4-(DATEDIF(Imóveis!$Q$4,Dados!$A688,"m")),0))=0,0,((Imóveis!$N$4/Imóveis!$S$4)+((Imóveis!$N$4-((Imóveis!$S$4-(IF(AND(Dados!$A688&gt;=Imóveis!$Q$4,Dados!$A688&lt;=Imóveis!$T$4),Imóveis!$S$4-(DATEDIF(Imóveis!$Q$4,Dados!$A688,"m")),)))*(Imóveis!$N$4/Imóveis!$S$4)))*Imóveis!$P$4))))*IF(AND(Imóveis!$E$4&gt;0,Dados!$A688&gt;Imóveis!$E$4),0,1)</f>
        <v>0</v>
      </c>
      <c r="L688" s="18">
        <f>IF(Imóveis!$F$5="PRICE",IF(AND(Dados!$A688&gt;=Imóveis!$Q$5,Dados!$A688&lt;=Imóveis!$T$5),Imóveis!$U$5,0),IF((IF(AND(Dados!$A688&gt;=Imóveis!$Q$5,Dados!$A688&lt;=Imóveis!$T$5),Imóveis!$S$5-(DATEDIF(Imóveis!$Q$5,Dados!$A688,"m")),0))=0,0,((Imóveis!$N$5/Imóveis!$S$5)+((Imóveis!$N$5-((Imóveis!$S$5-(IF(AND(Dados!$A688 &gt;=Imóveis!$Q$5,Dados!$A688&lt;=Imóveis!$T$5),Imóveis!$S$5-(DATEDIF(Imóveis!$Q$5,Dados!$A688,"m")),)))*(Imóveis!$N$5/Imóveis!$S$5)))*Imóveis!$P$5))))*IF(AND(Imóveis!$E$5&gt;0,Dados!$A688&gt;Imóveis!$E$5),0,1)*Imóveis!$I$5</f>
        <v>0</v>
      </c>
      <c r="M688" s="18">
        <f>IF(Imóveis!$F$6="PRICE",IF(AND(Dados!$A688&gt;=Imóveis!$Q$6,Dados!$A688&lt;=Imóveis!$T$6),Imóveis!$U$6,0),IF((IF(AND(Dados!$A688&gt;=Imóveis!$Q$6,Dados!$A688&lt;=Imóveis!$T$6),Imóveis!$S$6-(DATEDIF(Imóveis!$Q$6,Dados!$A688,"m")),0))=0,0,((Imóveis!$N$6/Imóveis!$S$6)+((Imóveis!$N$6-((Imóveis!$S$6-(IF(AND(Dados!$A688&gt;=Imóveis!$Q$6,Dados!$A688&lt;=Imóveis!$T$6),Imóveis!$S$6-(DATEDIF(Imóveis!$Q$6,Dados!$A688,"m")),)))*(Imóveis!$N$6/Imóveis!$S$6)))*Imóveis!$P$6))))*IF(AND(Imóveis!$E$6&gt;0,Dados!$A688&gt;Imóveis!$E$6),0,1)*Imóveis!$I$6</f>
        <v>0</v>
      </c>
      <c r="N688" s="18">
        <f t="shared" si="85"/>
        <v>37000</v>
      </c>
      <c r="O688" s="18">
        <f>SUMIFS(Receitas!$F:$F,Receitas!$J:$J,"&lt;="&amp;$A688,Receitas!$L:$L,"&gt;="&amp;$A688,Receitas!$C:$C,O$1,Receitas!$M:$M,"Mensal")+SUMIFS(Receitas!$F:$F,Receitas!$J:$J,"&lt;="&amp;$A688,Receitas!$L:$L,"&gt;="&amp;$A688,Receitas!$C:$C,O$1,Receitas!$M:$M,$B688)</f>
        <v>0</v>
      </c>
      <c r="P688" s="18">
        <f>SUMIFS(Receitas!$F:$F,Receitas!$J:$J,"&lt;="&amp;$A688,Receitas!$L:$L,"&gt;="&amp;$A688,Receitas!$C:$C,P$1,Receitas!$M:$M,"Mensal")+SUMIFS(Receitas!$F:$F,Receitas!$J:$J,"&lt;="&amp;$A688,Receitas!$L:$L,"&gt;="&amp;$A688,Receitas!$C:$C,P$1,Receitas!$M:$M,$B688)</f>
        <v>0</v>
      </c>
      <c r="Q688" s="18">
        <f>SUMIFS(Receitas!$F:$F,Receitas!$J:$J,"&lt;="&amp;$A688,Receitas!$L:$L,"&gt;="&amp;$A688,Receitas!$C:$C,Q$1,Receitas!$M:$M,"Mensal")+SUMIFS(Receitas!$F:$F,Receitas!$J:$J,"&lt;="&amp;$A688,Receitas!$L:$L,"&gt;="&amp;$A688,Receitas!$C:$C,Q$1,Receitas!$M:$M,$B688)</f>
        <v>0</v>
      </c>
      <c r="R688" s="18" cm="1">
        <f t="array" ref="R688">(IF(AND(Membros!$F$2="Sim",A688&lt;=MAX(Membros!$E$2:$E$5)),Membros!K$2,IF(AND(A688&gt;=Membros!J$2,A688&lt;=MAX(Membros!$E$2:$E$5)),Membros!K$2,0))+IF(AND(Membros!$F$3="Sim",A688&lt;=MAX(Membros!$E$2:$E$5)),Membros!K$3,IF(AND(A688&gt;=Membros!J$3,A688&lt;=MAX(Membros!$E$2:$E$5)),Membros!K$3,0)))*IF(AND(COUNTIFS(Tabela3[Tipo],"Provedor",Tabela3[Simulação Seguro],"Sim")=2,A688&gt;=MAX(IF(Tabela3[Tipo]="Dependente",Tabela3[Expectativa de Vida (Data)]))),0,1)</f>
        <v>10000</v>
      </c>
      <c r="S688" s="18">
        <f t="shared" si="86"/>
        <v>10000</v>
      </c>
      <c r="U688" s="18">
        <f t="shared" ca="1" si="89"/>
        <v>49167152.45107618</v>
      </c>
      <c r="V688" s="18">
        <f>SUMIF(Imóveis!E:E,Dados!A:A,Imóveis!Z:Z)-SUMIF(Imóveis!E:E,Dados!A:A,Imóveis!Y:Y)</f>
        <v>0</v>
      </c>
      <c r="W688" s="18">
        <f>-SUMIF(Projetos!N:N,A688,Projetos!F:F)</f>
        <v>0</v>
      </c>
      <c r="X688" s="18">
        <f t="shared" si="83"/>
        <v>-27000</v>
      </c>
      <c r="Y688" s="26">
        <f ca="1">(U688*((Indicadores_Economicos!D$2+1)^(1/12)-1))</f>
        <v>160960.46295652696</v>
      </c>
      <c r="Z688" s="18">
        <f t="shared" ca="1" si="87"/>
        <v>49301112.914032705</v>
      </c>
      <c r="AA688" s="18">
        <f ca="1">Auxiliar_Projetos!E688</f>
        <v>3.6807375472664277E-9</v>
      </c>
      <c r="AB688" s="18">
        <f ca="1">Auxiliar_Projetos!K688</f>
        <v>2.831336574820324E-9</v>
      </c>
      <c r="AC688" s="18">
        <f ca="1">IF(Z688-AA688-AB688&gt;Investimentos!$C$14,Investimentos!$C$14,IF(Z688-AA688-AB688&lt;Investimentos!$C$14,Z688-AA688-AB688,0))</f>
        <v>300000</v>
      </c>
      <c r="AD688" s="18">
        <f t="shared" ca="1" si="88"/>
        <v>49001112.914032705</v>
      </c>
      <c r="AE688" s="18"/>
    </row>
    <row r="689" spans="1:31" x14ac:dyDescent="0.2">
      <c r="A689" s="4">
        <v>66567</v>
      </c>
      <c r="B689" s="5" t="str">
        <f t="shared" si="84"/>
        <v>abril</v>
      </c>
      <c r="C689" s="5" t="str">
        <f t="shared" si="90"/>
        <v>2082</v>
      </c>
      <c r="D689" s="5">
        <f>SUMIFS(Despesas!$F:$F,Despesas!$J:$J,"&lt;="&amp;$A689,Despesas!$L:$L,"&gt;="&amp;$A689,Despesas!$C:$C,D$1,Despesas!$M:$M,"Mensal")+SUMIFS(Despesas!$F:$F,Despesas!$J:$J,"&lt;="&amp;$A689,Despesas!$L:$L,"&gt;="&amp;$A689,Despesas!$C:$C,D$1,Despesas!$M:$M,$B689)</f>
        <v>23000</v>
      </c>
      <c r="E689" s="18">
        <f>SUMIFS(Despesas!$F:$F,Despesas!$J:$J,"&lt;="&amp;$A689,Despesas!$L:$L,"&gt;="&amp;$A689,Despesas!$C:$C,E$1,Despesas!$M:$M,"Mensal")+SUMIFS(Despesas!$F:$F,Despesas!$J:$J,"&lt;="&amp;$A689,Despesas!$L:$L,"&gt;="&amp;$A689,Despesas!$C:$C,E$1,Despesas!$M:$M,$B689)</f>
        <v>0</v>
      </c>
      <c r="F689" s="5">
        <f>SUMIFS(Despesas!$F:$F,Despesas!$J:$J,"&lt;="&amp;$A689,Despesas!$L:$L,"&gt;="&amp;$A689,Despesas!$C:$C,F$1,Despesas!$M:$M,"Mensal")+SUMIFS(Despesas!$F:$F,Despesas!$J:$J,"&lt;="&amp;$A689,Despesas!$L:$L,"&gt;="&amp;$A689,Despesas!$C:$C,F$1,Despesas!$M:$M,$B689)</f>
        <v>13000</v>
      </c>
      <c r="G689" s="5">
        <f>SUMIFS(Despesas!$F:$F,Despesas!$J:$J,"&lt;="&amp;$A689,Despesas!$L:$L,"&gt;="&amp;$A689,Despesas!$C:$C,G$1,Despesas!$M:$M,"Mensal")+SUMIFS(Despesas!$F:$F,Despesas!$J:$J,"&lt;="&amp;$A689,Despesas!$L:$L,"&gt;="&amp;$A689,Despesas!$C:$C,G$1,Despesas!$M:$M,$B689)</f>
        <v>0</v>
      </c>
      <c r="H689" s="18">
        <f>SUMIFS(Despesas!$F:$F,Despesas!$J:$J,"&lt;="&amp;$A689,Despesas!$L:$L,"&gt;="&amp;$A689,Despesas!$C:$C,H$1,Despesas!$M:$M,"Mensal")+SUMIFS(Despesas!$F:$F,Despesas!$J:$J,"&lt;="&amp;$A689,Despesas!$L:$L,"&gt;="&amp;$A689,Despesas!$C:$C,H$1,Despesas!$M:$M,$B689)</f>
        <v>1000</v>
      </c>
      <c r="I689" s="18">
        <f>IF(Imóveis!$F$2="PRICE",IF(AND(Dados!$A689&gt;=Imóveis!$Q$2,Dados!$A689&lt;=Imóveis!$T$2),Imóveis!$U$2,0),IF((IF(AND(Dados!$A689&gt;=Imóveis!$Q$2,Dados!$A689&lt;=Imóveis!$T$2),Imóveis!$S$2-(DATEDIF(Imóveis!$Q$2,Dados!$A689,"m")),0))=0,0,((Imóveis!$N$2/Imóveis!$S$2)+((Imóveis!$N$2-((Imóveis!$S$2-(IF(AND(Dados!$A689&gt;=Imóveis!$Q$2,Dados!$A689&lt;=Imóveis!$T$2),Imóveis!$S$2-(DATEDIF(Imóveis!$Q$2,Dados!$A689,"m")),)))*(Imóveis!$N$2/Imóveis!$S$2)))*Imóveis!$P$2))))*IF(AND(Imóveis!$E$2&gt;0,Dados!$A689&gt;Imóveis!$E$2),0,1)</f>
        <v>0</v>
      </c>
      <c r="J689" s="18">
        <f>IF(Imóveis!$F$3="PRICE",IF(AND(Dados!$A689&gt;=Imóveis!$Q$3,Dados!$A689&lt;=Imóveis!$T$3),Imóveis!$U$3,0),IF((IF(AND(Dados!$A689&gt;=Imóveis!$Q$3,Dados!$A689&lt;=Imóveis!$T$3),Imóveis!$S$3-(DATEDIF(Imóveis!$Q$3,Dados!$A689,"m")),0))=0,0,((Imóveis!$N$3/Imóveis!$S$3)+((Imóveis!$N$3-((Imóveis!$S$3-(IF(AND(Dados!$A689&gt;=Imóveis!$Q$3,Dados!$A689&lt;=Imóveis!$T$3),Imóveis!$S$3-(DATEDIF(Imóveis!$Q$3,Dados!$A689,"m")),)))*(Imóveis!$N$3/Imóveis!$S$3)))*Imóveis!$P$3))))*IF(AND(Imóveis!$E$3&gt;0,Dados!$A689&gt;Imóveis!$E$3),0,1)</f>
        <v>0</v>
      </c>
      <c r="K689" s="18">
        <f>IF(Imóveis!$F$4="PRICE",IF(AND(Dados!$A689&gt;=Imóveis!$Q$4,Dados!$A689&lt;=Imóveis!$T$4),Imóveis!$U$4,0),IF((IF(AND(Dados!$A689&gt;=Imóveis!$Q$4,Dados!$A689&lt;=Imóveis!$T$4),Imóveis!$S$4-(DATEDIF(Imóveis!$Q$4,Dados!$A689,"m")),0))=0,0,((Imóveis!$N$4/Imóveis!$S$4)+((Imóveis!$N$4-((Imóveis!$S$4-(IF(AND(Dados!$A689&gt;=Imóveis!$Q$4,Dados!$A689&lt;=Imóveis!$T$4),Imóveis!$S$4-(DATEDIF(Imóveis!$Q$4,Dados!$A689,"m")),)))*(Imóveis!$N$4/Imóveis!$S$4)))*Imóveis!$P$4))))*IF(AND(Imóveis!$E$4&gt;0,Dados!$A689&gt;Imóveis!$E$4),0,1)</f>
        <v>0</v>
      </c>
      <c r="L689" s="18">
        <f>IF(Imóveis!$F$5="PRICE",IF(AND(Dados!$A689&gt;=Imóveis!$Q$5,Dados!$A689&lt;=Imóveis!$T$5),Imóveis!$U$5,0),IF((IF(AND(Dados!$A689&gt;=Imóveis!$Q$5,Dados!$A689&lt;=Imóveis!$T$5),Imóveis!$S$5-(DATEDIF(Imóveis!$Q$5,Dados!$A689,"m")),0))=0,0,((Imóveis!$N$5/Imóveis!$S$5)+((Imóveis!$N$5-((Imóveis!$S$5-(IF(AND(Dados!$A689 &gt;=Imóveis!$Q$5,Dados!$A689&lt;=Imóveis!$T$5),Imóveis!$S$5-(DATEDIF(Imóveis!$Q$5,Dados!$A689,"m")),)))*(Imóveis!$N$5/Imóveis!$S$5)))*Imóveis!$P$5))))*IF(AND(Imóveis!$E$5&gt;0,Dados!$A689&gt;Imóveis!$E$5),0,1)*Imóveis!$I$5</f>
        <v>0</v>
      </c>
      <c r="M689" s="18">
        <f>IF(Imóveis!$F$6="PRICE",IF(AND(Dados!$A689&gt;=Imóveis!$Q$6,Dados!$A689&lt;=Imóveis!$T$6),Imóveis!$U$6,0),IF((IF(AND(Dados!$A689&gt;=Imóveis!$Q$6,Dados!$A689&lt;=Imóveis!$T$6),Imóveis!$S$6-(DATEDIF(Imóveis!$Q$6,Dados!$A689,"m")),0))=0,0,((Imóveis!$N$6/Imóveis!$S$6)+((Imóveis!$N$6-((Imóveis!$S$6-(IF(AND(Dados!$A689&gt;=Imóveis!$Q$6,Dados!$A689&lt;=Imóveis!$T$6),Imóveis!$S$6-(DATEDIF(Imóveis!$Q$6,Dados!$A689,"m")),)))*(Imóveis!$N$6/Imóveis!$S$6)))*Imóveis!$P$6))))*IF(AND(Imóveis!$E$6&gt;0,Dados!$A689&gt;Imóveis!$E$6),0,1)*Imóveis!$I$6</f>
        <v>0</v>
      </c>
      <c r="N689" s="18">
        <f t="shared" si="85"/>
        <v>37000</v>
      </c>
      <c r="O689" s="18">
        <f>SUMIFS(Receitas!$F:$F,Receitas!$J:$J,"&lt;="&amp;$A689,Receitas!$L:$L,"&gt;="&amp;$A689,Receitas!$C:$C,O$1,Receitas!$M:$M,"Mensal")+SUMIFS(Receitas!$F:$F,Receitas!$J:$J,"&lt;="&amp;$A689,Receitas!$L:$L,"&gt;="&amp;$A689,Receitas!$C:$C,O$1,Receitas!$M:$M,$B689)</f>
        <v>0</v>
      </c>
      <c r="P689" s="18">
        <f>SUMIFS(Receitas!$F:$F,Receitas!$J:$J,"&lt;="&amp;$A689,Receitas!$L:$L,"&gt;="&amp;$A689,Receitas!$C:$C,P$1,Receitas!$M:$M,"Mensal")+SUMIFS(Receitas!$F:$F,Receitas!$J:$J,"&lt;="&amp;$A689,Receitas!$L:$L,"&gt;="&amp;$A689,Receitas!$C:$C,P$1,Receitas!$M:$M,$B689)</f>
        <v>0</v>
      </c>
      <c r="Q689" s="18">
        <f>SUMIFS(Receitas!$F:$F,Receitas!$J:$J,"&lt;="&amp;$A689,Receitas!$L:$L,"&gt;="&amp;$A689,Receitas!$C:$C,Q$1,Receitas!$M:$M,"Mensal")+SUMIFS(Receitas!$F:$F,Receitas!$J:$J,"&lt;="&amp;$A689,Receitas!$L:$L,"&gt;="&amp;$A689,Receitas!$C:$C,Q$1,Receitas!$M:$M,$B689)</f>
        <v>0</v>
      </c>
      <c r="R689" s="18" cm="1">
        <f t="array" ref="R689">(IF(AND(Membros!$F$2="Sim",A689&lt;=MAX(Membros!$E$2:$E$5)),Membros!K$2,IF(AND(A689&gt;=Membros!J$2,A689&lt;=MAX(Membros!$E$2:$E$5)),Membros!K$2,0))+IF(AND(Membros!$F$3="Sim",A689&lt;=MAX(Membros!$E$2:$E$5)),Membros!K$3,IF(AND(A689&gt;=Membros!J$3,A689&lt;=MAX(Membros!$E$2:$E$5)),Membros!K$3,0)))*IF(AND(COUNTIFS(Tabela3[Tipo],"Provedor",Tabela3[Simulação Seguro],"Sim")=2,A689&gt;=MAX(IF(Tabela3[Tipo]="Dependente",Tabela3[Expectativa de Vida (Data)]))),0,1)</f>
        <v>10000</v>
      </c>
      <c r="S689" s="18">
        <f t="shared" si="86"/>
        <v>10000</v>
      </c>
      <c r="U689" s="18">
        <f t="shared" ca="1" si="89"/>
        <v>49301112.914032705</v>
      </c>
      <c r="V689" s="18">
        <f>SUMIF(Imóveis!E:E,Dados!A:A,Imóveis!Z:Z)-SUMIF(Imóveis!E:E,Dados!A:A,Imóveis!Y:Y)</f>
        <v>0</v>
      </c>
      <c r="W689" s="18">
        <f>-SUMIF(Projetos!N:N,A689,Projetos!F:F)</f>
        <v>0</v>
      </c>
      <c r="X689" s="18">
        <f t="shared" si="83"/>
        <v>-27000</v>
      </c>
      <c r="Y689" s="26">
        <f ca="1">(U689*((Indicadores_Economicos!D$2+1)^(1/12)-1))</f>
        <v>161399.01465334953</v>
      </c>
      <c r="Z689" s="18">
        <f t="shared" ca="1" si="87"/>
        <v>49435511.928686053</v>
      </c>
      <c r="AA689" s="18">
        <f ca="1">Auxiliar_Projetos!E689</f>
        <v>3.6927873242027472E-9</v>
      </c>
      <c r="AB689" s="18">
        <f ca="1">Auxiliar_Projetos!K689</f>
        <v>2.8406056340021082E-9</v>
      </c>
      <c r="AC689" s="18">
        <f ca="1">IF(Z689-AA689-AB689&gt;Investimentos!$C$14,Investimentos!$C$14,IF(Z689-AA689-AB689&lt;Investimentos!$C$14,Z689-AA689-AB689,0))</f>
        <v>300000</v>
      </c>
      <c r="AD689" s="18">
        <f t="shared" ca="1" si="88"/>
        <v>49135511.928686053</v>
      </c>
      <c r="AE689" s="18"/>
    </row>
    <row r="690" spans="1:31" x14ac:dyDescent="0.2">
      <c r="A690" s="4">
        <v>66597</v>
      </c>
      <c r="B690" s="5" t="str">
        <f t="shared" si="84"/>
        <v>maio</v>
      </c>
      <c r="C690" s="5" t="str">
        <f t="shared" si="90"/>
        <v>2082</v>
      </c>
      <c r="D690" s="5">
        <f>SUMIFS(Despesas!$F:$F,Despesas!$J:$J,"&lt;="&amp;$A690,Despesas!$L:$L,"&gt;="&amp;$A690,Despesas!$C:$C,D$1,Despesas!$M:$M,"Mensal")+SUMIFS(Despesas!$F:$F,Despesas!$J:$J,"&lt;="&amp;$A690,Despesas!$L:$L,"&gt;="&amp;$A690,Despesas!$C:$C,D$1,Despesas!$M:$M,$B690)</f>
        <v>23000</v>
      </c>
      <c r="E690" s="18">
        <f>SUMIFS(Despesas!$F:$F,Despesas!$J:$J,"&lt;="&amp;$A690,Despesas!$L:$L,"&gt;="&amp;$A690,Despesas!$C:$C,E$1,Despesas!$M:$M,"Mensal")+SUMIFS(Despesas!$F:$F,Despesas!$J:$J,"&lt;="&amp;$A690,Despesas!$L:$L,"&gt;="&amp;$A690,Despesas!$C:$C,E$1,Despesas!$M:$M,$B690)</f>
        <v>0</v>
      </c>
      <c r="F690" s="5">
        <f>SUMIFS(Despesas!$F:$F,Despesas!$J:$J,"&lt;="&amp;$A690,Despesas!$L:$L,"&gt;="&amp;$A690,Despesas!$C:$C,F$1,Despesas!$M:$M,"Mensal")+SUMIFS(Despesas!$F:$F,Despesas!$J:$J,"&lt;="&amp;$A690,Despesas!$L:$L,"&gt;="&amp;$A690,Despesas!$C:$C,F$1,Despesas!$M:$M,$B690)</f>
        <v>13000</v>
      </c>
      <c r="G690" s="5">
        <f>SUMIFS(Despesas!$F:$F,Despesas!$J:$J,"&lt;="&amp;$A690,Despesas!$L:$L,"&gt;="&amp;$A690,Despesas!$C:$C,G$1,Despesas!$M:$M,"Mensal")+SUMIFS(Despesas!$F:$F,Despesas!$J:$J,"&lt;="&amp;$A690,Despesas!$L:$L,"&gt;="&amp;$A690,Despesas!$C:$C,G$1,Despesas!$M:$M,$B690)</f>
        <v>0</v>
      </c>
      <c r="H690" s="18">
        <f>SUMIFS(Despesas!$F:$F,Despesas!$J:$J,"&lt;="&amp;$A690,Despesas!$L:$L,"&gt;="&amp;$A690,Despesas!$C:$C,H$1,Despesas!$M:$M,"Mensal")+SUMIFS(Despesas!$F:$F,Despesas!$J:$J,"&lt;="&amp;$A690,Despesas!$L:$L,"&gt;="&amp;$A690,Despesas!$C:$C,H$1,Despesas!$M:$M,$B690)</f>
        <v>1000</v>
      </c>
      <c r="I690" s="18">
        <f>IF(Imóveis!$F$2="PRICE",IF(AND(Dados!$A690&gt;=Imóveis!$Q$2,Dados!$A690&lt;=Imóveis!$T$2),Imóveis!$U$2,0),IF((IF(AND(Dados!$A690&gt;=Imóveis!$Q$2,Dados!$A690&lt;=Imóveis!$T$2),Imóveis!$S$2-(DATEDIF(Imóveis!$Q$2,Dados!$A690,"m")),0))=0,0,((Imóveis!$N$2/Imóveis!$S$2)+((Imóveis!$N$2-((Imóveis!$S$2-(IF(AND(Dados!$A690&gt;=Imóveis!$Q$2,Dados!$A690&lt;=Imóveis!$T$2),Imóveis!$S$2-(DATEDIF(Imóveis!$Q$2,Dados!$A690,"m")),)))*(Imóveis!$N$2/Imóveis!$S$2)))*Imóveis!$P$2))))*IF(AND(Imóveis!$E$2&gt;0,Dados!$A690&gt;Imóveis!$E$2),0,1)</f>
        <v>0</v>
      </c>
      <c r="J690" s="18">
        <f>IF(Imóveis!$F$3="PRICE",IF(AND(Dados!$A690&gt;=Imóveis!$Q$3,Dados!$A690&lt;=Imóveis!$T$3),Imóveis!$U$3,0),IF((IF(AND(Dados!$A690&gt;=Imóveis!$Q$3,Dados!$A690&lt;=Imóveis!$T$3),Imóveis!$S$3-(DATEDIF(Imóveis!$Q$3,Dados!$A690,"m")),0))=0,0,((Imóveis!$N$3/Imóveis!$S$3)+((Imóveis!$N$3-((Imóveis!$S$3-(IF(AND(Dados!$A690&gt;=Imóveis!$Q$3,Dados!$A690&lt;=Imóveis!$T$3),Imóveis!$S$3-(DATEDIF(Imóveis!$Q$3,Dados!$A690,"m")),)))*(Imóveis!$N$3/Imóveis!$S$3)))*Imóveis!$P$3))))*IF(AND(Imóveis!$E$3&gt;0,Dados!$A690&gt;Imóveis!$E$3),0,1)</f>
        <v>0</v>
      </c>
      <c r="K690" s="18">
        <f>IF(Imóveis!$F$4="PRICE",IF(AND(Dados!$A690&gt;=Imóveis!$Q$4,Dados!$A690&lt;=Imóveis!$T$4),Imóveis!$U$4,0),IF((IF(AND(Dados!$A690&gt;=Imóveis!$Q$4,Dados!$A690&lt;=Imóveis!$T$4),Imóveis!$S$4-(DATEDIF(Imóveis!$Q$4,Dados!$A690,"m")),0))=0,0,((Imóveis!$N$4/Imóveis!$S$4)+((Imóveis!$N$4-((Imóveis!$S$4-(IF(AND(Dados!$A690&gt;=Imóveis!$Q$4,Dados!$A690&lt;=Imóveis!$T$4),Imóveis!$S$4-(DATEDIF(Imóveis!$Q$4,Dados!$A690,"m")),)))*(Imóveis!$N$4/Imóveis!$S$4)))*Imóveis!$P$4))))*IF(AND(Imóveis!$E$4&gt;0,Dados!$A690&gt;Imóveis!$E$4),0,1)</f>
        <v>0</v>
      </c>
      <c r="L690" s="18">
        <f>IF(Imóveis!$F$5="PRICE",IF(AND(Dados!$A690&gt;=Imóveis!$Q$5,Dados!$A690&lt;=Imóveis!$T$5),Imóveis!$U$5,0),IF((IF(AND(Dados!$A690&gt;=Imóveis!$Q$5,Dados!$A690&lt;=Imóveis!$T$5),Imóveis!$S$5-(DATEDIF(Imóveis!$Q$5,Dados!$A690,"m")),0))=0,0,((Imóveis!$N$5/Imóveis!$S$5)+((Imóveis!$N$5-((Imóveis!$S$5-(IF(AND(Dados!$A690 &gt;=Imóveis!$Q$5,Dados!$A690&lt;=Imóveis!$T$5),Imóveis!$S$5-(DATEDIF(Imóveis!$Q$5,Dados!$A690,"m")),)))*(Imóveis!$N$5/Imóveis!$S$5)))*Imóveis!$P$5))))*IF(AND(Imóveis!$E$5&gt;0,Dados!$A690&gt;Imóveis!$E$5),0,1)*Imóveis!$I$5</f>
        <v>0</v>
      </c>
      <c r="M690" s="18">
        <f>IF(Imóveis!$F$6="PRICE",IF(AND(Dados!$A690&gt;=Imóveis!$Q$6,Dados!$A690&lt;=Imóveis!$T$6),Imóveis!$U$6,0),IF((IF(AND(Dados!$A690&gt;=Imóveis!$Q$6,Dados!$A690&lt;=Imóveis!$T$6),Imóveis!$S$6-(DATEDIF(Imóveis!$Q$6,Dados!$A690,"m")),0))=0,0,((Imóveis!$N$6/Imóveis!$S$6)+((Imóveis!$N$6-((Imóveis!$S$6-(IF(AND(Dados!$A690&gt;=Imóveis!$Q$6,Dados!$A690&lt;=Imóveis!$T$6),Imóveis!$S$6-(DATEDIF(Imóveis!$Q$6,Dados!$A690,"m")),)))*(Imóveis!$N$6/Imóveis!$S$6)))*Imóveis!$P$6))))*IF(AND(Imóveis!$E$6&gt;0,Dados!$A690&gt;Imóveis!$E$6),0,1)*Imóveis!$I$6</f>
        <v>0</v>
      </c>
      <c r="N690" s="18">
        <f t="shared" si="85"/>
        <v>37000</v>
      </c>
      <c r="O690" s="18">
        <f>SUMIFS(Receitas!$F:$F,Receitas!$J:$J,"&lt;="&amp;$A690,Receitas!$L:$L,"&gt;="&amp;$A690,Receitas!$C:$C,O$1,Receitas!$M:$M,"Mensal")+SUMIFS(Receitas!$F:$F,Receitas!$J:$J,"&lt;="&amp;$A690,Receitas!$L:$L,"&gt;="&amp;$A690,Receitas!$C:$C,O$1,Receitas!$M:$M,$B690)</f>
        <v>0</v>
      </c>
      <c r="P690" s="18">
        <f>SUMIFS(Receitas!$F:$F,Receitas!$J:$J,"&lt;="&amp;$A690,Receitas!$L:$L,"&gt;="&amp;$A690,Receitas!$C:$C,P$1,Receitas!$M:$M,"Mensal")+SUMIFS(Receitas!$F:$F,Receitas!$J:$J,"&lt;="&amp;$A690,Receitas!$L:$L,"&gt;="&amp;$A690,Receitas!$C:$C,P$1,Receitas!$M:$M,$B690)</f>
        <v>0</v>
      </c>
      <c r="Q690" s="18">
        <f>SUMIFS(Receitas!$F:$F,Receitas!$J:$J,"&lt;="&amp;$A690,Receitas!$L:$L,"&gt;="&amp;$A690,Receitas!$C:$C,Q$1,Receitas!$M:$M,"Mensal")+SUMIFS(Receitas!$F:$F,Receitas!$J:$J,"&lt;="&amp;$A690,Receitas!$L:$L,"&gt;="&amp;$A690,Receitas!$C:$C,Q$1,Receitas!$M:$M,$B690)</f>
        <v>0</v>
      </c>
      <c r="R690" s="18" cm="1">
        <f t="array" ref="R690">(IF(AND(Membros!$F$2="Sim",A690&lt;=MAX(Membros!$E$2:$E$5)),Membros!K$2,IF(AND(A690&gt;=Membros!J$2,A690&lt;=MAX(Membros!$E$2:$E$5)),Membros!K$2,0))+IF(AND(Membros!$F$3="Sim",A690&lt;=MAX(Membros!$E$2:$E$5)),Membros!K$3,IF(AND(A690&gt;=Membros!J$3,A690&lt;=MAX(Membros!$E$2:$E$5)),Membros!K$3,0)))*IF(AND(COUNTIFS(Tabela3[Tipo],"Provedor",Tabela3[Simulação Seguro],"Sim")=2,A690&gt;=MAX(IF(Tabela3[Tipo]="Dependente",Tabela3[Expectativa de Vida (Data)]))),0,1)</f>
        <v>10000</v>
      </c>
      <c r="S690" s="18">
        <f t="shared" si="86"/>
        <v>10000</v>
      </c>
      <c r="U690" s="18">
        <f t="shared" ca="1" si="89"/>
        <v>49435511.928686053</v>
      </c>
      <c r="V690" s="18">
        <f>SUMIF(Imóveis!E:E,Dados!A:A,Imóveis!Z:Z)-SUMIF(Imóveis!E:E,Dados!A:A,Imóveis!Y:Y)</f>
        <v>0</v>
      </c>
      <c r="W690" s="18">
        <f>-SUMIF(Projetos!N:N,A690,Projetos!F:F)</f>
        <v>0</v>
      </c>
      <c r="X690" s="18">
        <f t="shared" si="83"/>
        <v>-27000</v>
      </c>
      <c r="Y690" s="26">
        <f ca="1">(U690*((Indicadores_Economicos!D$2+1)^(1/12)-1))</f>
        <v>161839.00205430851</v>
      </c>
      <c r="Z690" s="18">
        <f t="shared" ca="1" si="87"/>
        <v>49570350.930740364</v>
      </c>
      <c r="AA690" s="18">
        <f ca="1">Auxiliar_Projetos!E690</f>
        <v>3.7048765489731895E-9</v>
      </c>
      <c r="AB690" s="18">
        <f ca="1">Auxiliar_Projetos!K690</f>
        <v>2.8499050376716793E-9</v>
      </c>
      <c r="AC690" s="18">
        <f ca="1">IF(Z690-AA690-AB690&gt;Investimentos!$C$14,Investimentos!$C$14,IF(Z690-AA690-AB690&lt;Investimentos!$C$14,Z690-AA690-AB690,0))</f>
        <v>300000</v>
      </c>
      <c r="AD690" s="18">
        <f t="shared" ca="1" si="88"/>
        <v>49270350.930740364</v>
      </c>
      <c r="AE690" s="18"/>
    </row>
    <row r="691" spans="1:31" x14ac:dyDescent="0.2">
      <c r="A691" s="4">
        <v>66628</v>
      </c>
      <c r="B691" s="5" t="str">
        <f t="shared" si="84"/>
        <v>junho</v>
      </c>
      <c r="C691" s="5" t="str">
        <f t="shared" si="90"/>
        <v>2082</v>
      </c>
      <c r="D691" s="5">
        <f>SUMIFS(Despesas!$F:$F,Despesas!$J:$J,"&lt;="&amp;$A691,Despesas!$L:$L,"&gt;="&amp;$A691,Despesas!$C:$C,D$1,Despesas!$M:$M,"Mensal")+SUMIFS(Despesas!$F:$F,Despesas!$J:$J,"&lt;="&amp;$A691,Despesas!$L:$L,"&gt;="&amp;$A691,Despesas!$C:$C,D$1,Despesas!$M:$M,$B691)</f>
        <v>23000</v>
      </c>
      <c r="E691" s="18">
        <f>SUMIFS(Despesas!$F:$F,Despesas!$J:$J,"&lt;="&amp;$A691,Despesas!$L:$L,"&gt;="&amp;$A691,Despesas!$C:$C,E$1,Despesas!$M:$M,"Mensal")+SUMIFS(Despesas!$F:$F,Despesas!$J:$J,"&lt;="&amp;$A691,Despesas!$L:$L,"&gt;="&amp;$A691,Despesas!$C:$C,E$1,Despesas!$M:$M,$B691)</f>
        <v>0</v>
      </c>
      <c r="F691" s="5">
        <f>SUMIFS(Despesas!$F:$F,Despesas!$J:$J,"&lt;="&amp;$A691,Despesas!$L:$L,"&gt;="&amp;$A691,Despesas!$C:$C,F$1,Despesas!$M:$M,"Mensal")+SUMIFS(Despesas!$F:$F,Despesas!$J:$J,"&lt;="&amp;$A691,Despesas!$L:$L,"&gt;="&amp;$A691,Despesas!$C:$C,F$1,Despesas!$M:$M,$B691)</f>
        <v>13000</v>
      </c>
      <c r="G691" s="5">
        <f>SUMIFS(Despesas!$F:$F,Despesas!$J:$J,"&lt;="&amp;$A691,Despesas!$L:$L,"&gt;="&amp;$A691,Despesas!$C:$C,G$1,Despesas!$M:$M,"Mensal")+SUMIFS(Despesas!$F:$F,Despesas!$J:$J,"&lt;="&amp;$A691,Despesas!$L:$L,"&gt;="&amp;$A691,Despesas!$C:$C,G$1,Despesas!$M:$M,$B691)</f>
        <v>0</v>
      </c>
      <c r="H691" s="18">
        <f>SUMIFS(Despesas!$F:$F,Despesas!$J:$J,"&lt;="&amp;$A691,Despesas!$L:$L,"&gt;="&amp;$A691,Despesas!$C:$C,H$1,Despesas!$M:$M,"Mensal")+SUMIFS(Despesas!$F:$F,Despesas!$J:$J,"&lt;="&amp;$A691,Despesas!$L:$L,"&gt;="&amp;$A691,Despesas!$C:$C,H$1,Despesas!$M:$M,$B691)</f>
        <v>1000</v>
      </c>
      <c r="I691" s="18">
        <f>IF(Imóveis!$F$2="PRICE",IF(AND(Dados!$A691&gt;=Imóveis!$Q$2,Dados!$A691&lt;=Imóveis!$T$2),Imóveis!$U$2,0),IF((IF(AND(Dados!$A691&gt;=Imóveis!$Q$2,Dados!$A691&lt;=Imóveis!$T$2),Imóveis!$S$2-(DATEDIF(Imóveis!$Q$2,Dados!$A691,"m")),0))=0,0,((Imóveis!$N$2/Imóveis!$S$2)+((Imóveis!$N$2-((Imóveis!$S$2-(IF(AND(Dados!$A691&gt;=Imóveis!$Q$2,Dados!$A691&lt;=Imóveis!$T$2),Imóveis!$S$2-(DATEDIF(Imóveis!$Q$2,Dados!$A691,"m")),)))*(Imóveis!$N$2/Imóveis!$S$2)))*Imóveis!$P$2))))*IF(AND(Imóveis!$E$2&gt;0,Dados!$A691&gt;Imóveis!$E$2),0,1)</f>
        <v>0</v>
      </c>
      <c r="J691" s="18">
        <f>IF(Imóveis!$F$3="PRICE",IF(AND(Dados!$A691&gt;=Imóveis!$Q$3,Dados!$A691&lt;=Imóveis!$T$3),Imóveis!$U$3,0),IF((IF(AND(Dados!$A691&gt;=Imóveis!$Q$3,Dados!$A691&lt;=Imóveis!$T$3),Imóveis!$S$3-(DATEDIF(Imóveis!$Q$3,Dados!$A691,"m")),0))=0,0,((Imóveis!$N$3/Imóveis!$S$3)+((Imóveis!$N$3-((Imóveis!$S$3-(IF(AND(Dados!$A691&gt;=Imóveis!$Q$3,Dados!$A691&lt;=Imóveis!$T$3),Imóveis!$S$3-(DATEDIF(Imóveis!$Q$3,Dados!$A691,"m")),)))*(Imóveis!$N$3/Imóveis!$S$3)))*Imóveis!$P$3))))*IF(AND(Imóveis!$E$3&gt;0,Dados!$A691&gt;Imóveis!$E$3),0,1)</f>
        <v>0</v>
      </c>
      <c r="K691" s="18">
        <f>IF(Imóveis!$F$4="PRICE",IF(AND(Dados!$A691&gt;=Imóveis!$Q$4,Dados!$A691&lt;=Imóveis!$T$4),Imóveis!$U$4,0),IF((IF(AND(Dados!$A691&gt;=Imóveis!$Q$4,Dados!$A691&lt;=Imóveis!$T$4),Imóveis!$S$4-(DATEDIF(Imóveis!$Q$4,Dados!$A691,"m")),0))=0,0,((Imóveis!$N$4/Imóveis!$S$4)+((Imóveis!$N$4-((Imóveis!$S$4-(IF(AND(Dados!$A691&gt;=Imóveis!$Q$4,Dados!$A691&lt;=Imóveis!$T$4),Imóveis!$S$4-(DATEDIF(Imóveis!$Q$4,Dados!$A691,"m")),)))*(Imóveis!$N$4/Imóveis!$S$4)))*Imóveis!$P$4))))*IF(AND(Imóveis!$E$4&gt;0,Dados!$A691&gt;Imóveis!$E$4),0,1)</f>
        <v>0</v>
      </c>
      <c r="L691" s="18">
        <f>IF(Imóveis!$F$5="PRICE",IF(AND(Dados!$A691&gt;=Imóveis!$Q$5,Dados!$A691&lt;=Imóveis!$T$5),Imóveis!$U$5,0),IF((IF(AND(Dados!$A691&gt;=Imóveis!$Q$5,Dados!$A691&lt;=Imóveis!$T$5),Imóveis!$S$5-(DATEDIF(Imóveis!$Q$5,Dados!$A691,"m")),0))=0,0,((Imóveis!$N$5/Imóveis!$S$5)+((Imóveis!$N$5-((Imóveis!$S$5-(IF(AND(Dados!$A691 &gt;=Imóveis!$Q$5,Dados!$A691&lt;=Imóveis!$T$5),Imóveis!$S$5-(DATEDIF(Imóveis!$Q$5,Dados!$A691,"m")),)))*(Imóveis!$N$5/Imóveis!$S$5)))*Imóveis!$P$5))))*IF(AND(Imóveis!$E$5&gt;0,Dados!$A691&gt;Imóveis!$E$5),0,1)*Imóveis!$I$5</f>
        <v>0</v>
      </c>
      <c r="M691" s="18">
        <f>IF(Imóveis!$F$6="PRICE",IF(AND(Dados!$A691&gt;=Imóveis!$Q$6,Dados!$A691&lt;=Imóveis!$T$6),Imóveis!$U$6,0),IF((IF(AND(Dados!$A691&gt;=Imóveis!$Q$6,Dados!$A691&lt;=Imóveis!$T$6),Imóveis!$S$6-(DATEDIF(Imóveis!$Q$6,Dados!$A691,"m")),0))=0,0,((Imóveis!$N$6/Imóveis!$S$6)+((Imóveis!$N$6-((Imóveis!$S$6-(IF(AND(Dados!$A691&gt;=Imóveis!$Q$6,Dados!$A691&lt;=Imóveis!$T$6),Imóveis!$S$6-(DATEDIF(Imóveis!$Q$6,Dados!$A691,"m")),)))*(Imóveis!$N$6/Imóveis!$S$6)))*Imóveis!$P$6))))*IF(AND(Imóveis!$E$6&gt;0,Dados!$A691&gt;Imóveis!$E$6),0,1)*Imóveis!$I$6</f>
        <v>0</v>
      </c>
      <c r="N691" s="18">
        <f t="shared" si="85"/>
        <v>37000</v>
      </c>
      <c r="O691" s="18">
        <f>SUMIFS(Receitas!$F:$F,Receitas!$J:$J,"&lt;="&amp;$A691,Receitas!$L:$L,"&gt;="&amp;$A691,Receitas!$C:$C,O$1,Receitas!$M:$M,"Mensal")+SUMIFS(Receitas!$F:$F,Receitas!$J:$J,"&lt;="&amp;$A691,Receitas!$L:$L,"&gt;="&amp;$A691,Receitas!$C:$C,O$1,Receitas!$M:$M,$B691)</f>
        <v>0</v>
      </c>
      <c r="P691" s="18">
        <f>SUMIFS(Receitas!$F:$F,Receitas!$J:$J,"&lt;="&amp;$A691,Receitas!$L:$L,"&gt;="&amp;$A691,Receitas!$C:$C,P$1,Receitas!$M:$M,"Mensal")+SUMIFS(Receitas!$F:$F,Receitas!$J:$J,"&lt;="&amp;$A691,Receitas!$L:$L,"&gt;="&amp;$A691,Receitas!$C:$C,P$1,Receitas!$M:$M,$B691)</f>
        <v>0</v>
      </c>
      <c r="Q691" s="18">
        <f>SUMIFS(Receitas!$F:$F,Receitas!$J:$J,"&lt;="&amp;$A691,Receitas!$L:$L,"&gt;="&amp;$A691,Receitas!$C:$C,Q$1,Receitas!$M:$M,"Mensal")+SUMIFS(Receitas!$F:$F,Receitas!$J:$J,"&lt;="&amp;$A691,Receitas!$L:$L,"&gt;="&amp;$A691,Receitas!$C:$C,Q$1,Receitas!$M:$M,$B691)</f>
        <v>0</v>
      </c>
      <c r="R691" s="18" cm="1">
        <f t="array" ref="R691">(IF(AND(Membros!$F$2="Sim",A691&lt;=MAX(Membros!$E$2:$E$5)),Membros!K$2,IF(AND(A691&gt;=Membros!J$2,A691&lt;=MAX(Membros!$E$2:$E$5)),Membros!K$2,0))+IF(AND(Membros!$F$3="Sim",A691&lt;=MAX(Membros!$E$2:$E$5)),Membros!K$3,IF(AND(A691&gt;=Membros!J$3,A691&lt;=MAX(Membros!$E$2:$E$5)),Membros!K$3,0)))*IF(AND(COUNTIFS(Tabela3[Tipo],"Provedor",Tabela3[Simulação Seguro],"Sim")=2,A691&gt;=MAX(IF(Tabela3[Tipo]="Dependente",Tabela3[Expectativa de Vida (Data)]))),0,1)</f>
        <v>10000</v>
      </c>
      <c r="S691" s="18">
        <f t="shared" si="86"/>
        <v>10000</v>
      </c>
      <c r="U691" s="18">
        <f t="shared" ca="1" si="89"/>
        <v>49570350.930740364</v>
      </c>
      <c r="V691" s="18">
        <f>SUMIF(Imóveis!E:E,Dados!A:A,Imóveis!Z:Z)-SUMIF(Imóveis!E:E,Dados!A:A,Imóveis!Y:Y)</f>
        <v>0</v>
      </c>
      <c r="W691" s="18">
        <f>-SUMIF(Projetos!N:N,A691,Projetos!F:F)</f>
        <v>0</v>
      </c>
      <c r="X691" s="18">
        <f t="shared" si="83"/>
        <v>-27000</v>
      </c>
      <c r="Y691" s="26">
        <f ca="1">(U691*((Indicadores_Economicos!D$2+1)^(1/12)-1))</f>
        <v>162280.42985952573</v>
      </c>
      <c r="Z691" s="18">
        <f t="shared" ca="1" si="87"/>
        <v>49705631.36059989</v>
      </c>
      <c r="AA691" s="18">
        <f ca="1">Auxiliar_Projetos!E691</f>
        <v>3.7170053507196988E-9</v>
      </c>
      <c r="AB691" s="18">
        <f ca="1">Auxiliar_Projetos!K691</f>
        <v>2.8592348851689942E-9</v>
      </c>
      <c r="AC691" s="18">
        <f ca="1">IF(Z691-AA691-AB691&gt;Investimentos!$C$14,Investimentos!$C$14,IF(Z691-AA691-AB691&lt;Investimentos!$C$14,Z691-AA691-AB691,0))</f>
        <v>300000</v>
      </c>
      <c r="AD691" s="18">
        <f t="shared" ca="1" si="88"/>
        <v>49405631.36059989</v>
      </c>
      <c r="AE691" s="18"/>
    </row>
    <row r="692" spans="1:31" x14ac:dyDescent="0.2">
      <c r="A692" s="4">
        <v>66658</v>
      </c>
      <c r="B692" s="5" t="str">
        <f t="shared" si="84"/>
        <v>julho</v>
      </c>
      <c r="C692" s="5" t="str">
        <f t="shared" si="90"/>
        <v>2082</v>
      </c>
      <c r="D692" s="5">
        <f>SUMIFS(Despesas!$F:$F,Despesas!$J:$J,"&lt;="&amp;$A692,Despesas!$L:$L,"&gt;="&amp;$A692,Despesas!$C:$C,D$1,Despesas!$M:$M,"Mensal")+SUMIFS(Despesas!$F:$F,Despesas!$J:$J,"&lt;="&amp;$A692,Despesas!$L:$L,"&gt;="&amp;$A692,Despesas!$C:$C,D$1,Despesas!$M:$M,$B692)</f>
        <v>23000</v>
      </c>
      <c r="E692" s="18">
        <f>SUMIFS(Despesas!$F:$F,Despesas!$J:$J,"&lt;="&amp;$A692,Despesas!$L:$L,"&gt;="&amp;$A692,Despesas!$C:$C,E$1,Despesas!$M:$M,"Mensal")+SUMIFS(Despesas!$F:$F,Despesas!$J:$J,"&lt;="&amp;$A692,Despesas!$L:$L,"&gt;="&amp;$A692,Despesas!$C:$C,E$1,Despesas!$M:$M,$B692)</f>
        <v>0</v>
      </c>
      <c r="F692" s="5">
        <f>SUMIFS(Despesas!$F:$F,Despesas!$J:$J,"&lt;="&amp;$A692,Despesas!$L:$L,"&gt;="&amp;$A692,Despesas!$C:$C,F$1,Despesas!$M:$M,"Mensal")+SUMIFS(Despesas!$F:$F,Despesas!$J:$J,"&lt;="&amp;$A692,Despesas!$L:$L,"&gt;="&amp;$A692,Despesas!$C:$C,F$1,Despesas!$M:$M,$B692)</f>
        <v>13000</v>
      </c>
      <c r="G692" s="5">
        <f ca="1">SUMIFS(Despesas!$F:$F,Despesas!$J:$J,"&lt;="&amp;$A692,Despesas!$L:$L,"&gt;="&amp;$A692,Despesas!$C:$C,G$1,Despesas!$M:$M,"Mensal")+SUMIFS(Despesas!$F:$F,Despesas!$J:$J,"&lt;="&amp;$A692,Despesas!$L:$L,"&gt;="&amp;$A692,Despesas!$C:$C,G$1,Despesas!$M:$M,$B692)</f>
        <v>55757</v>
      </c>
      <c r="H692" s="18">
        <f>SUMIFS(Despesas!$F:$F,Despesas!$J:$J,"&lt;="&amp;$A692,Despesas!$L:$L,"&gt;="&amp;$A692,Despesas!$C:$C,H$1,Despesas!$M:$M,"Mensal")+SUMIFS(Despesas!$F:$F,Despesas!$J:$J,"&lt;="&amp;$A692,Despesas!$L:$L,"&gt;="&amp;$A692,Despesas!$C:$C,H$1,Despesas!$M:$M,$B692)</f>
        <v>1000</v>
      </c>
      <c r="I692" s="18">
        <f>IF(Imóveis!$F$2="PRICE",IF(AND(Dados!$A692&gt;=Imóveis!$Q$2,Dados!$A692&lt;=Imóveis!$T$2),Imóveis!$U$2,0),IF((IF(AND(Dados!$A692&gt;=Imóveis!$Q$2,Dados!$A692&lt;=Imóveis!$T$2),Imóveis!$S$2-(DATEDIF(Imóveis!$Q$2,Dados!$A692,"m")),0))=0,0,((Imóveis!$N$2/Imóveis!$S$2)+((Imóveis!$N$2-((Imóveis!$S$2-(IF(AND(Dados!$A692&gt;=Imóveis!$Q$2,Dados!$A692&lt;=Imóveis!$T$2),Imóveis!$S$2-(DATEDIF(Imóveis!$Q$2,Dados!$A692,"m")),)))*(Imóveis!$N$2/Imóveis!$S$2)))*Imóveis!$P$2))))*IF(AND(Imóveis!$E$2&gt;0,Dados!$A692&gt;Imóveis!$E$2),0,1)</f>
        <v>0</v>
      </c>
      <c r="J692" s="18">
        <f>IF(Imóveis!$F$3="PRICE",IF(AND(Dados!$A692&gt;=Imóveis!$Q$3,Dados!$A692&lt;=Imóveis!$T$3),Imóveis!$U$3,0),IF((IF(AND(Dados!$A692&gt;=Imóveis!$Q$3,Dados!$A692&lt;=Imóveis!$T$3),Imóveis!$S$3-(DATEDIF(Imóveis!$Q$3,Dados!$A692,"m")),0))=0,0,((Imóveis!$N$3/Imóveis!$S$3)+((Imóveis!$N$3-((Imóveis!$S$3-(IF(AND(Dados!$A692&gt;=Imóveis!$Q$3,Dados!$A692&lt;=Imóveis!$T$3),Imóveis!$S$3-(DATEDIF(Imóveis!$Q$3,Dados!$A692,"m")),)))*(Imóveis!$N$3/Imóveis!$S$3)))*Imóveis!$P$3))))*IF(AND(Imóveis!$E$3&gt;0,Dados!$A692&gt;Imóveis!$E$3),0,1)</f>
        <v>0</v>
      </c>
      <c r="K692" s="18">
        <f>IF(Imóveis!$F$4="PRICE",IF(AND(Dados!$A692&gt;=Imóveis!$Q$4,Dados!$A692&lt;=Imóveis!$T$4),Imóveis!$U$4,0),IF((IF(AND(Dados!$A692&gt;=Imóveis!$Q$4,Dados!$A692&lt;=Imóveis!$T$4),Imóveis!$S$4-(DATEDIF(Imóveis!$Q$4,Dados!$A692,"m")),0))=0,0,((Imóveis!$N$4/Imóveis!$S$4)+((Imóveis!$N$4-((Imóveis!$S$4-(IF(AND(Dados!$A692&gt;=Imóveis!$Q$4,Dados!$A692&lt;=Imóveis!$T$4),Imóveis!$S$4-(DATEDIF(Imóveis!$Q$4,Dados!$A692,"m")),)))*(Imóveis!$N$4/Imóveis!$S$4)))*Imóveis!$P$4))))*IF(AND(Imóveis!$E$4&gt;0,Dados!$A692&gt;Imóveis!$E$4),0,1)</f>
        <v>0</v>
      </c>
      <c r="L692" s="18">
        <f>IF(Imóveis!$F$5="PRICE",IF(AND(Dados!$A692&gt;=Imóveis!$Q$5,Dados!$A692&lt;=Imóveis!$T$5),Imóveis!$U$5,0),IF((IF(AND(Dados!$A692&gt;=Imóveis!$Q$5,Dados!$A692&lt;=Imóveis!$T$5),Imóveis!$S$5-(DATEDIF(Imóveis!$Q$5,Dados!$A692,"m")),0))=0,0,((Imóveis!$N$5/Imóveis!$S$5)+((Imóveis!$N$5-((Imóveis!$S$5-(IF(AND(Dados!$A692 &gt;=Imóveis!$Q$5,Dados!$A692&lt;=Imóveis!$T$5),Imóveis!$S$5-(DATEDIF(Imóveis!$Q$5,Dados!$A692,"m")),)))*(Imóveis!$N$5/Imóveis!$S$5)))*Imóveis!$P$5))))*IF(AND(Imóveis!$E$5&gt;0,Dados!$A692&gt;Imóveis!$E$5),0,1)*Imóveis!$I$5</f>
        <v>0</v>
      </c>
      <c r="M692" s="18">
        <f>IF(Imóveis!$F$6="PRICE",IF(AND(Dados!$A692&gt;=Imóveis!$Q$6,Dados!$A692&lt;=Imóveis!$T$6),Imóveis!$U$6,0),IF((IF(AND(Dados!$A692&gt;=Imóveis!$Q$6,Dados!$A692&lt;=Imóveis!$T$6),Imóveis!$S$6-(DATEDIF(Imóveis!$Q$6,Dados!$A692,"m")),0))=0,0,((Imóveis!$N$6/Imóveis!$S$6)+((Imóveis!$N$6-((Imóveis!$S$6-(IF(AND(Dados!$A692&gt;=Imóveis!$Q$6,Dados!$A692&lt;=Imóveis!$T$6),Imóveis!$S$6-(DATEDIF(Imóveis!$Q$6,Dados!$A692,"m")),)))*(Imóveis!$N$6/Imóveis!$S$6)))*Imóveis!$P$6))))*IF(AND(Imóveis!$E$6&gt;0,Dados!$A692&gt;Imóveis!$E$6),0,1)*Imóveis!$I$6</f>
        <v>0</v>
      </c>
      <c r="N692" s="18">
        <f t="shared" ca="1" si="85"/>
        <v>92757</v>
      </c>
      <c r="O692" s="18">
        <f>SUMIFS(Receitas!$F:$F,Receitas!$J:$J,"&lt;="&amp;$A692,Receitas!$L:$L,"&gt;="&amp;$A692,Receitas!$C:$C,O$1,Receitas!$M:$M,"Mensal")+SUMIFS(Receitas!$F:$F,Receitas!$J:$J,"&lt;="&amp;$A692,Receitas!$L:$L,"&gt;="&amp;$A692,Receitas!$C:$C,O$1,Receitas!$M:$M,$B692)</f>
        <v>0</v>
      </c>
      <c r="P692" s="18">
        <f>SUMIFS(Receitas!$F:$F,Receitas!$J:$J,"&lt;="&amp;$A692,Receitas!$L:$L,"&gt;="&amp;$A692,Receitas!$C:$C,P$1,Receitas!$M:$M,"Mensal")+SUMIFS(Receitas!$F:$F,Receitas!$J:$J,"&lt;="&amp;$A692,Receitas!$L:$L,"&gt;="&amp;$A692,Receitas!$C:$C,P$1,Receitas!$M:$M,$B692)</f>
        <v>0</v>
      </c>
      <c r="Q692" s="18">
        <f>SUMIFS(Receitas!$F:$F,Receitas!$J:$J,"&lt;="&amp;$A692,Receitas!$L:$L,"&gt;="&amp;$A692,Receitas!$C:$C,Q$1,Receitas!$M:$M,"Mensal")+SUMIFS(Receitas!$F:$F,Receitas!$J:$J,"&lt;="&amp;$A692,Receitas!$L:$L,"&gt;="&amp;$A692,Receitas!$C:$C,Q$1,Receitas!$M:$M,$B692)</f>
        <v>0</v>
      </c>
      <c r="R692" s="18" cm="1">
        <f t="array" ref="R692">(IF(AND(Membros!$F$2="Sim",A692&lt;=MAX(Membros!$E$2:$E$5)),Membros!K$2,IF(AND(A692&gt;=Membros!J$2,A692&lt;=MAX(Membros!$E$2:$E$5)),Membros!K$2,0))+IF(AND(Membros!$F$3="Sim",A692&lt;=MAX(Membros!$E$2:$E$5)),Membros!K$3,IF(AND(A692&gt;=Membros!J$3,A692&lt;=MAX(Membros!$E$2:$E$5)),Membros!K$3,0)))*IF(AND(COUNTIFS(Tabela3[Tipo],"Provedor",Tabela3[Simulação Seguro],"Sim")=2,A692&gt;=MAX(IF(Tabela3[Tipo]="Dependente",Tabela3[Expectativa de Vida (Data)]))),0,1)</f>
        <v>10000</v>
      </c>
      <c r="S692" s="18">
        <f t="shared" si="86"/>
        <v>10000</v>
      </c>
      <c r="U692" s="18">
        <f t="shared" ca="1" si="89"/>
        <v>49705631.36059989</v>
      </c>
      <c r="V692" s="18">
        <f>SUMIF(Imóveis!E:E,Dados!A:A,Imóveis!Z:Z)-SUMIF(Imóveis!E:E,Dados!A:A,Imóveis!Y:Y)</f>
        <v>0</v>
      </c>
      <c r="W692" s="18">
        <f>-SUMIF(Projetos!N:N,A692,Projetos!F:F)</f>
        <v>0</v>
      </c>
      <c r="X692" s="18">
        <f t="shared" ca="1" si="83"/>
        <v>-82757</v>
      </c>
      <c r="Y692" s="26">
        <f ca="1">(U692*((Indicadores_Economicos!D$2+1)^(1/12)-1))</f>
        <v>162723.30278450981</v>
      </c>
      <c r="Z692" s="18">
        <f t="shared" ca="1" si="87"/>
        <v>49785597.6633844</v>
      </c>
      <c r="AA692" s="18">
        <f ca="1">Auxiliar_Projetos!E692</f>
        <v>3.7291738590069958E-9</v>
      </c>
      <c r="AB692" s="18">
        <f ca="1">Auxiliar_Projetos!K692</f>
        <v>2.8685952761592228E-9</v>
      </c>
      <c r="AC692" s="18">
        <f ca="1">IF(Z692-AA692-AB692&gt;Investimentos!$C$14,Investimentos!$C$14,IF(Z692-AA692-AB692&lt;Investimentos!$C$14,Z692-AA692-AB692,0))</f>
        <v>300000</v>
      </c>
      <c r="AD692" s="18">
        <f t="shared" ca="1" si="88"/>
        <v>49485597.663384393</v>
      </c>
      <c r="AE692" s="18"/>
    </row>
    <row r="693" spans="1:31" x14ac:dyDescent="0.2">
      <c r="A693" s="4">
        <v>66689</v>
      </c>
      <c r="B693" s="5" t="str">
        <f t="shared" si="84"/>
        <v>agosto</v>
      </c>
      <c r="C693" s="5" t="str">
        <f t="shared" si="90"/>
        <v>2082</v>
      </c>
      <c r="D693" s="5">
        <f>SUMIFS(Despesas!$F:$F,Despesas!$J:$J,"&lt;="&amp;$A693,Despesas!$L:$L,"&gt;="&amp;$A693,Despesas!$C:$C,D$1,Despesas!$M:$M,"Mensal")+SUMIFS(Despesas!$F:$F,Despesas!$J:$J,"&lt;="&amp;$A693,Despesas!$L:$L,"&gt;="&amp;$A693,Despesas!$C:$C,D$1,Despesas!$M:$M,$B693)</f>
        <v>23000</v>
      </c>
      <c r="E693" s="18">
        <f>SUMIFS(Despesas!$F:$F,Despesas!$J:$J,"&lt;="&amp;$A693,Despesas!$L:$L,"&gt;="&amp;$A693,Despesas!$C:$C,E$1,Despesas!$M:$M,"Mensal")+SUMIFS(Despesas!$F:$F,Despesas!$J:$J,"&lt;="&amp;$A693,Despesas!$L:$L,"&gt;="&amp;$A693,Despesas!$C:$C,E$1,Despesas!$M:$M,$B693)</f>
        <v>0</v>
      </c>
      <c r="F693" s="5">
        <f>SUMIFS(Despesas!$F:$F,Despesas!$J:$J,"&lt;="&amp;$A693,Despesas!$L:$L,"&gt;="&amp;$A693,Despesas!$C:$C,F$1,Despesas!$M:$M,"Mensal")+SUMIFS(Despesas!$F:$F,Despesas!$J:$J,"&lt;="&amp;$A693,Despesas!$L:$L,"&gt;="&amp;$A693,Despesas!$C:$C,F$1,Despesas!$M:$M,$B693)</f>
        <v>13000</v>
      </c>
      <c r="G693" s="5">
        <f>SUMIFS(Despesas!$F:$F,Despesas!$J:$J,"&lt;="&amp;$A693,Despesas!$L:$L,"&gt;="&amp;$A693,Despesas!$C:$C,G$1,Despesas!$M:$M,"Mensal")+SUMIFS(Despesas!$F:$F,Despesas!$J:$J,"&lt;="&amp;$A693,Despesas!$L:$L,"&gt;="&amp;$A693,Despesas!$C:$C,G$1,Despesas!$M:$M,$B693)</f>
        <v>0</v>
      </c>
      <c r="H693" s="18">
        <f>SUMIFS(Despesas!$F:$F,Despesas!$J:$J,"&lt;="&amp;$A693,Despesas!$L:$L,"&gt;="&amp;$A693,Despesas!$C:$C,H$1,Despesas!$M:$M,"Mensal")+SUMIFS(Despesas!$F:$F,Despesas!$J:$J,"&lt;="&amp;$A693,Despesas!$L:$L,"&gt;="&amp;$A693,Despesas!$C:$C,H$1,Despesas!$M:$M,$B693)</f>
        <v>1000</v>
      </c>
      <c r="I693" s="18">
        <f>IF(Imóveis!$F$2="PRICE",IF(AND(Dados!$A693&gt;=Imóveis!$Q$2,Dados!$A693&lt;=Imóveis!$T$2),Imóveis!$U$2,0),IF((IF(AND(Dados!$A693&gt;=Imóveis!$Q$2,Dados!$A693&lt;=Imóveis!$T$2),Imóveis!$S$2-(DATEDIF(Imóveis!$Q$2,Dados!$A693,"m")),0))=0,0,((Imóveis!$N$2/Imóveis!$S$2)+((Imóveis!$N$2-((Imóveis!$S$2-(IF(AND(Dados!$A693&gt;=Imóveis!$Q$2,Dados!$A693&lt;=Imóveis!$T$2),Imóveis!$S$2-(DATEDIF(Imóveis!$Q$2,Dados!$A693,"m")),)))*(Imóveis!$N$2/Imóveis!$S$2)))*Imóveis!$P$2))))*IF(AND(Imóveis!$E$2&gt;0,Dados!$A693&gt;Imóveis!$E$2),0,1)</f>
        <v>0</v>
      </c>
      <c r="J693" s="18">
        <f>IF(Imóveis!$F$3="PRICE",IF(AND(Dados!$A693&gt;=Imóveis!$Q$3,Dados!$A693&lt;=Imóveis!$T$3),Imóveis!$U$3,0),IF((IF(AND(Dados!$A693&gt;=Imóveis!$Q$3,Dados!$A693&lt;=Imóveis!$T$3),Imóveis!$S$3-(DATEDIF(Imóveis!$Q$3,Dados!$A693,"m")),0))=0,0,((Imóveis!$N$3/Imóveis!$S$3)+((Imóveis!$N$3-((Imóveis!$S$3-(IF(AND(Dados!$A693&gt;=Imóveis!$Q$3,Dados!$A693&lt;=Imóveis!$T$3),Imóveis!$S$3-(DATEDIF(Imóveis!$Q$3,Dados!$A693,"m")),)))*(Imóveis!$N$3/Imóveis!$S$3)))*Imóveis!$P$3))))*IF(AND(Imóveis!$E$3&gt;0,Dados!$A693&gt;Imóveis!$E$3),0,1)</f>
        <v>0</v>
      </c>
      <c r="K693" s="18">
        <f>IF(Imóveis!$F$4="PRICE",IF(AND(Dados!$A693&gt;=Imóveis!$Q$4,Dados!$A693&lt;=Imóveis!$T$4),Imóveis!$U$4,0),IF((IF(AND(Dados!$A693&gt;=Imóveis!$Q$4,Dados!$A693&lt;=Imóveis!$T$4),Imóveis!$S$4-(DATEDIF(Imóveis!$Q$4,Dados!$A693,"m")),0))=0,0,((Imóveis!$N$4/Imóveis!$S$4)+((Imóveis!$N$4-((Imóveis!$S$4-(IF(AND(Dados!$A693&gt;=Imóveis!$Q$4,Dados!$A693&lt;=Imóveis!$T$4),Imóveis!$S$4-(DATEDIF(Imóveis!$Q$4,Dados!$A693,"m")),)))*(Imóveis!$N$4/Imóveis!$S$4)))*Imóveis!$P$4))))*IF(AND(Imóveis!$E$4&gt;0,Dados!$A693&gt;Imóveis!$E$4),0,1)</f>
        <v>0</v>
      </c>
      <c r="L693" s="18">
        <f>IF(Imóveis!$F$5="PRICE",IF(AND(Dados!$A693&gt;=Imóveis!$Q$5,Dados!$A693&lt;=Imóveis!$T$5),Imóveis!$U$5,0),IF((IF(AND(Dados!$A693&gt;=Imóveis!$Q$5,Dados!$A693&lt;=Imóveis!$T$5),Imóveis!$S$5-(DATEDIF(Imóveis!$Q$5,Dados!$A693,"m")),0))=0,0,((Imóveis!$N$5/Imóveis!$S$5)+((Imóveis!$N$5-((Imóveis!$S$5-(IF(AND(Dados!$A693 &gt;=Imóveis!$Q$5,Dados!$A693&lt;=Imóveis!$T$5),Imóveis!$S$5-(DATEDIF(Imóveis!$Q$5,Dados!$A693,"m")),)))*(Imóveis!$N$5/Imóveis!$S$5)))*Imóveis!$P$5))))*IF(AND(Imóveis!$E$5&gt;0,Dados!$A693&gt;Imóveis!$E$5),0,1)*Imóveis!$I$5</f>
        <v>0</v>
      </c>
      <c r="M693" s="18">
        <f>IF(Imóveis!$F$6="PRICE",IF(AND(Dados!$A693&gt;=Imóveis!$Q$6,Dados!$A693&lt;=Imóveis!$T$6),Imóveis!$U$6,0),IF((IF(AND(Dados!$A693&gt;=Imóveis!$Q$6,Dados!$A693&lt;=Imóveis!$T$6),Imóveis!$S$6-(DATEDIF(Imóveis!$Q$6,Dados!$A693,"m")),0))=0,0,((Imóveis!$N$6/Imóveis!$S$6)+((Imóveis!$N$6-((Imóveis!$S$6-(IF(AND(Dados!$A693&gt;=Imóveis!$Q$6,Dados!$A693&lt;=Imóveis!$T$6),Imóveis!$S$6-(DATEDIF(Imóveis!$Q$6,Dados!$A693,"m")),)))*(Imóveis!$N$6/Imóveis!$S$6)))*Imóveis!$P$6))))*IF(AND(Imóveis!$E$6&gt;0,Dados!$A693&gt;Imóveis!$E$6),0,1)*Imóveis!$I$6</f>
        <v>0</v>
      </c>
      <c r="N693" s="18">
        <f t="shared" si="85"/>
        <v>37000</v>
      </c>
      <c r="O693" s="18">
        <f>SUMIFS(Receitas!$F:$F,Receitas!$J:$J,"&lt;="&amp;$A693,Receitas!$L:$L,"&gt;="&amp;$A693,Receitas!$C:$C,O$1,Receitas!$M:$M,"Mensal")+SUMIFS(Receitas!$F:$F,Receitas!$J:$J,"&lt;="&amp;$A693,Receitas!$L:$L,"&gt;="&amp;$A693,Receitas!$C:$C,O$1,Receitas!$M:$M,$B693)</f>
        <v>0</v>
      </c>
      <c r="P693" s="18">
        <f>SUMIFS(Receitas!$F:$F,Receitas!$J:$J,"&lt;="&amp;$A693,Receitas!$L:$L,"&gt;="&amp;$A693,Receitas!$C:$C,P$1,Receitas!$M:$M,"Mensal")+SUMIFS(Receitas!$F:$F,Receitas!$J:$J,"&lt;="&amp;$A693,Receitas!$L:$L,"&gt;="&amp;$A693,Receitas!$C:$C,P$1,Receitas!$M:$M,$B693)</f>
        <v>0</v>
      </c>
      <c r="Q693" s="18">
        <f>SUMIFS(Receitas!$F:$F,Receitas!$J:$J,"&lt;="&amp;$A693,Receitas!$L:$L,"&gt;="&amp;$A693,Receitas!$C:$C,Q$1,Receitas!$M:$M,"Mensal")+SUMIFS(Receitas!$F:$F,Receitas!$J:$J,"&lt;="&amp;$A693,Receitas!$L:$L,"&gt;="&amp;$A693,Receitas!$C:$C,Q$1,Receitas!$M:$M,$B693)</f>
        <v>0</v>
      </c>
      <c r="R693" s="18" cm="1">
        <f t="array" ref="R693">(IF(AND(Membros!$F$2="Sim",A693&lt;=MAX(Membros!$E$2:$E$5)),Membros!K$2,IF(AND(A693&gt;=Membros!J$2,A693&lt;=MAX(Membros!$E$2:$E$5)),Membros!K$2,0))+IF(AND(Membros!$F$3="Sim",A693&lt;=MAX(Membros!$E$2:$E$5)),Membros!K$3,IF(AND(A693&gt;=Membros!J$3,A693&lt;=MAX(Membros!$E$2:$E$5)),Membros!K$3,0)))*IF(AND(COUNTIFS(Tabela3[Tipo],"Provedor",Tabela3[Simulação Seguro],"Sim")=2,A693&gt;=MAX(IF(Tabela3[Tipo]="Dependente",Tabela3[Expectativa de Vida (Data)]))),0,1)</f>
        <v>10000</v>
      </c>
      <c r="S693" s="18">
        <f t="shared" si="86"/>
        <v>10000</v>
      </c>
      <c r="U693" s="18">
        <f t="shared" ca="1" si="89"/>
        <v>49785597.6633844</v>
      </c>
      <c r="V693" s="18">
        <f>SUMIF(Imóveis!E:E,Dados!A:A,Imóveis!Z:Z)-SUMIF(Imóveis!E:E,Dados!A:A,Imóveis!Y:Y)</f>
        <v>0</v>
      </c>
      <c r="W693" s="18">
        <f>-SUMIF(Projetos!N:N,A693,Projetos!F:F)</f>
        <v>0</v>
      </c>
      <c r="X693" s="18">
        <f t="shared" si="83"/>
        <v>-27000</v>
      </c>
      <c r="Y693" s="26">
        <f ca="1">(U693*((Indicadores_Economicos!D$2+1)^(1/12)-1))</f>
        <v>162985.09165117083</v>
      </c>
      <c r="Z693" s="18">
        <f t="shared" ca="1" si="87"/>
        <v>49921582.755035572</v>
      </c>
      <c r="AA693" s="18">
        <f ca="1">Auxiliar_Projetos!E693</f>
        <v>3.741382203823963E-9</v>
      </c>
      <c r="AB693" s="18">
        <f ca="1">Auxiliar_Projetos!K693</f>
        <v>2.8779863106338133E-9</v>
      </c>
      <c r="AC693" s="18">
        <f ca="1">IF(Z693-AA693-AB693&gt;Investimentos!$C$14,Investimentos!$C$14,IF(Z693-AA693-AB693&lt;Investimentos!$C$14,Z693-AA693-AB693,0))</f>
        <v>300000</v>
      </c>
      <c r="AD693" s="18">
        <f t="shared" ca="1" si="88"/>
        <v>49621582.755035564</v>
      </c>
      <c r="AE693" s="18"/>
    </row>
    <row r="694" spans="1:31" x14ac:dyDescent="0.2">
      <c r="A694" s="4">
        <v>66720</v>
      </c>
      <c r="B694" s="5" t="str">
        <f t="shared" si="84"/>
        <v>setembro</v>
      </c>
      <c r="C694" s="5" t="str">
        <f t="shared" si="90"/>
        <v>2082</v>
      </c>
      <c r="D694" s="5">
        <f>SUMIFS(Despesas!$F:$F,Despesas!$J:$J,"&lt;="&amp;$A694,Despesas!$L:$L,"&gt;="&amp;$A694,Despesas!$C:$C,D$1,Despesas!$M:$M,"Mensal")+SUMIFS(Despesas!$F:$F,Despesas!$J:$J,"&lt;="&amp;$A694,Despesas!$L:$L,"&gt;="&amp;$A694,Despesas!$C:$C,D$1,Despesas!$M:$M,$B694)</f>
        <v>23000</v>
      </c>
      <c r="E694" s="18">
        <f>SUMIFS(Despesas!$F:$F,Despesas!$J:$J,"&lt;="&amp;$A694,Despesas!$L:$L,"&gt;="&amp;$A694,Despesas!$C:$C,E$1,Despesas!$M:$M,"Mensal")+SUMIFS(Despesas!$F:$F,Despesas!$J:$J,"&lt;="&amp;$A694,Despesas!$L:$L,"&gt;="&amp;$A694,Despesas!$C:$C,E$1,Despesas!$M:$M,$B694)</f>
        <v>0</v>
      </c>
      <c r="F694" s="5">
        <f>SUMIFS(Despesas!$F:$F,Despesas!$J:$J,"&lt;="&amp;$A694,Despesas!$L:$L,"&gt;="&amp;$A694,Despesas!$C:$C,F$1,Despesas!$M:$M,"Mensal")+SUMIFS(Despesas!$F:$F,Despesas!$J:$J,"&lt;="&amp;$A694,Despesas!$L:$L,"&gt;="&amp;$A694,Despesas!$C:$C,F$1,Despesas!$M:$M,$B694)</f>
        <v>13000</v>
      </c>
      <c r="G694" s="5">
        <f>SUMIFS(Despesas!$F:$F,Despesas!$J:$J,"&lt;="&amp;$A694,Despesas!$L:$L,"&gt;="&amp;$A694,Despesas!$C:$C,G$1,Despesas!$M:$M,"Mensal")+SUMIFS(Despesas!$F:$F,Despesas!$J:$J,"&lt;="&amp;$A694,Despesas!$L:$L,"&gt;="&amp;$A694,Despesas!$C:$C,G$1,Despesas!$M:$M,$B694)</f>
        <v>0</v>
      </c>
      <c r="H694" s="18">
        <f>SUMIFS(Despesas!$F:$F,Despesas!$J:$J,"&lt;="&amp;$A694,Despesas!$L:$L,"&gt;="&amp;$A694,Despesas!$C:$C,H$1,Despesas!$M:$M,"Mensal")+SUMIFS(Despesas!$F:$F,Despesas!$J:$J,"&lt;="&amp;$A694,Despesas!$L:$L,"&gt;="&amp;$A694,Despesas!$C:$C,H$1,Despesas!$M:$M,$B694)</f>
        <v>1000</v>
      </c>
      <c r="I694" s="18">
        <f>IF(Imóveis!$F$2="PRICE",IF(AND(Dados!$A694&gt;=Imóveis!$Q$2,Dados!$A694&lt;=Imóveis!$T$2),Imóveis!$U$2,0),IF((IF(AND(Dados!$A694&gt;=Imóveis!$Q$2,Dados!$A694&lt;=Imóveis!$T$2),Imóveis!$S$2-(DATEDIF(Imóveis!$Q$2,Dados!$A694,"m")),0))=0,0,((Imóveis!$N$2/Imóveis!$S$2)+((Imóveis!$N$2-((Imóveis!$S$2-(IF(AND(Dados!$A694&gt;=Imóveis!$Q$2,Dados!$A694&lt;=Imóveis!$T$2),Imóveis!$S$2-(DATEDIF(Imóveis!$Q$2,Dados!$A694,"m")),)))*(Imóveis!$N$2/Imóveis!$S$2)))*Imóveis!$P$2))))*IF(AND(Imóveis!$E$2&gt;0,Dados!$A694&gt;Imóveis!$E$2),0,1)</f>
        <v>0</v>
      </c>
      <c r="J694" s="18">
        <f>IF(Imóveis!$F$3="PRICE",IF(AND(Dados!$A694&gt;=Imóveis!$Q$3,Dados!$A694&lt;=Imóveis!$T$3),Imóveis!$U$3,0),IF((IF(AND(Dados!$A694&gt;=Imóveis!$Q$3,Dados!$A694&lt;=Imóveis!$T$3),Imóveis!$S$3-(DATEDIF(Imóveis!$Q$3,Dados!$A694,"m")),0))=0,0,((Imóveis!$N$3/Imóveis!$S$3)+((Imóveis!$N$3-((Imóveis!$S$3-(IF(AND(Dados!$A694&gt;=Imóveis!$Q$3,Dados!$A694&lt;=Imóveis!$T$3),Imóveis!$S$3-(DATEDIF(Imóveis!$Q$3,Dados!$A694,"m")),)))*(Imóveis!$N$3/Imóveis!$S$3)))*Imóveis!$P$3))))*IF(AND(Imóveis!$E$3&gt;0,Dados!$A694&gt;Imóveis!$E$3),0,1)</f>
        <v>0</v>
      </c>
      <c r="K694" s="18">
        <f>IF(Imóveis!$F$4="PRICE",IF(AND(Dados!$A694&gt;=Imóveis!$Q$4,Dados!$A694&lt;=Imóveis!$T$4),Imóveis!$U$4,0),IF((IF(AND(Dados!$A694&gt;=Imóveis!$Q$4,Dados!$A694&lt;=Imóveis!$T$4),Imóveis!$S$4-(DATEDIF(Imóveis!$Q$4,Dados!$A694,"m")),0))=0,0,((Imóveis!$N$4/Imóveis!$S$4)+((Imóveis!$N$4-((Imóveis!$S$4-(IF(AND(Dados!$A694&gt;=Imóveis!$Q$4,Dados!$A694&lt;=Imóveis!$T$4),Imóveis!$S$4-(DATEDIF(Imóveis!$Q$4,Dados!$A694,"m")),)))*(Imóveis!$N$4/Imóveis!$S$4)))*Imóveis!$P$4))))*IF(AND(Imóveis!$E$4&gt;0,Dados!$A694&gt;Imóveis!$E$4),0,1)</f>
        <v>0</v>
      </c>
      <c r="L694" s="18">
        <f>IF(Imóveis!$F$5="PRICE",IF(AND(Dados!$A694&gt;=Imóveis!$Q$5,Dados!$A694&lt;=Imóveis!$T$5),Imóveis!$U$5,0),IF((IF(AND(Dados!$A694&gt;=Imóveis!$Q$5,Dados!$A694&lt;=Imóveis!$T$5),Imóveis!$S$5-(DATEDIF(Imóveis!$Q$5,Dados!$A694,"m")),0))=0,0,((Imóveis!$N$5/Imóveis!$S$5)+((Imóveis!$N$5-((Imóveis!$S$5-(IF(AND(Dados!$A694 &gt;=Imóveis!$Q$5,Dados!$A694&lt;=Imóveis!$T$5),Imóveis!$S$5-(DATEDIF(Imóveis!$Q$5,Dados!$A694,"m")),)))*(Imóveis!$N$5/Imóveis!$S$5)))*Imóveis!$P$5))))*IF(AND(Imóveis!$E$5&gt;0,Dados!$A694&gt;Imóveis!$E$5),0,1)*Imóveis!$I$5</f>
        <v>0</v>
      </c>
      <c r="M694" s="18">
        <f>IF(Imóveis!$F$6="PRICE",IF(AND(Dados!$A694&gt;=Imóveis!$Q$6,Dados!$A694&lt;=Imóveis!$T$6),Imóveis!$U$6,0),IF((IF(AND(Dados!$A694&gt;=Imóveis!$Q$6,Dados!$A694&lt;=Imóveis!$T$6),Imóveis!$S$6-(DATEDIF(Imóveis!$Q$6,Dados!$A694,"m")),0))=0,0,((Imóveis!$N$6/Imóveis!$S$6)+((Imóveis!$N$6-((Imóveis!$S$6-(IF(AND(Dados!$A694&gt;=Imóveis!$Q$6,Dados!$A694&lt;=Imóveis!$T$6),Imóveis!$S$6-(DATEDIF(Imóveis!$Q$6,Dados!$A694,"m")),)))*(Imóveis!$N$6/Imóveis!$S$6)))*Imóveis!$P$6))))*IF(AND(Imóveis!$E$6&gt;0,Dados!$A694&gt;Imóveis!$E$6),0,1)*Imóveis!$I$6</f>
        <v>0</v>
      </c>
      <c r="N694" s="18">
        <f t="shared" si="85"/>
        <v>37000</v>
      </c>
      <c r="O694" s="18">
        <f>SUMIFS(Receitas!$F:$F,Receitas!$J:$J,"&lt;="&amp;$A694,Receitas!$L:$L,"&gt;="&amp;$A694,Receitas!$C:$C,O$1,Receitas!$M:$M,"Mensal")+SUMIFS(Receitas!$F:$F,Receitas!$J:$J,"&lt;="&amp;$A694,Receitas!$L:$L,"&gt;="&amp;$A694,Receitas!$C:$C,O$1,Receitas!$M:$M,$B694)</f>
        <v>0</v>
      </c>
      <c r="P694" s="18">
        <f>SUMIFS(Receitas!$F:$F,Receitas!$J:$J,"&lt;="&amp;$A694,Receitas!$L:$L,"&gt;="&amp;$A694,Receitas!$C:$C,P$1,Receitas!$M:$M,"Mensal")+SUMIFS(Receitas!$F:$F,Receitas!$J:$J,"&lt;="&amp;$A694,Receitas!$L:$L,"&gt;="&amp;$A694,Receitas!$C:$C,P$1,Receitas!$M:$M,$B694)</f>
        <v>0</v>
      </c>
      <c r="Q694" s="18">
        <f>SUMIFS(Receitas!$F:$F,Receitas!$J:$J,"&lt;="&amp;$A694,Receitas!$L:$L,"&gt;="&amp;$A694,Receitas!$C:$C,Q$1,Receitas!$M:$M,"Mensal")+SUMIFS(Receitas!$F:$F,Receitas!$J:$J,"&lt;="&amp;$A694,Receitas!$L:$L,"&gt;="&amp;$A694,Receitas!$C:$C,Q$1,Receitas!$M:$M,$B694)</f>
        <v>0</v>
      </c>
      <c r="R694" s="18" cm="1">
        <f t="array" ref="R694">(IF(AND(Membros!$F$2="Sim",A694&lt;=MAX(Membros!$E$2:$E$5)),Membros!K$2,IF(AND(A694&gt;=Membros!J$2,A694&lt;=MAX(Membros!$E$2:$E$5)),Membros!K$2,0))+IF(AND(Membros!$F$3="Sim",A694&lt;=MAX(Membros!$E$2:$E$5)),Membros!K$3,IF(AND(A694&gt;=Membros!J$3,A694&lt;=MAX(Membros!$E$2:$E$5)),Membros!K$3,0)))*IF(AND(COUNTIFS(Tabela3[Tipo],"Provedor",Tabela3[Simulação Seguro],"Sim")=2,A694&gt;=MAX(IF(Tabela3[Tipo]="Dependente",Tabela3[Expectativa de Vida (Data)]))),0,1)</f>
        <v>10000</v>
      </c>
      <c r="S694" s="18">
        <f t="shared" si="86"/>
        <v>10000</v>
      </c>
      <c r="U694" s="18">
        <f t="shared" ca="1" si="89"/>
        <v>49921582.755035572</v>
      </c>
      <c r="V694" s="18">
        <f>SUMIF(Imóveis!E:E,Dados!A:A,Imóveis!Z:Z)-SUMIF(Imóveis!E:E,Dados!A:A,Imóveis!Y:Y)</f>
        <v>0</v>
      </c>
      <c r="W694" s="18">
        <f>-SUMIF(Projetos!N:N,A694,Projetos!F:F)</f>
        <v>0</v>
      </c>
      <c r="X694" s="18">
        <f t="shared" si="83"/>
        <v>-27000</v>
      </c>
      <c r="Y694" s="26">
        <f ca="1">(U694*((Indicadores_Economicos!D$2+1)^(1/12)-1))</f>
        <v>163430.27145549524</v>
      </c>
      <c r="Z694" s="18">
        <f t="shared" ca="1" si="87"/>
        <v>50058013.026491068</v>
      </c>
      <c r="AA694" s="18">
        <f ca="1">Auxiliar_Projetos!E694</f>
        <v>3.7536305155850329E-9</v>
      </c>
      <c r="AB694" s="18">
        <f ca="1">Auxiliar_Projetos!K694</f>
        <v>2.887408088911559E-9</v>
      </c>
      <c r="AC694" s="18">
        <f ca="1">IF(Z694-AA694-AB694&gt;Investimentos!$C$14,Investimentos!$C$14,IF(Z694-AA694-AB694&lt;Investimentos!$C$14,Z694-AA694-AB694,0))</f>
        <v>300000</v>
      </c>
      <c r="AD694" s="18">
        <f t="shared" ca="1" si="88"/>
        <v>49758013.026491061</v>
      </c>
      <c r="AE694" s="18"/>
    </row>
    <row r="695" spans="1:31" x14ac:dyDescent="0.2">
      <c r="A695" s="4">
        <v>66750</v>
      </c>
      <c r="B695" s="5" t="str">
        <f t="shared" si="84"/>
        <v>outubro</v>
      </c>
      <c r="C695" s="5" t="str">
        <f t="shared" si="90"/>
        <v>2082</v>
      </c>
      <c r="D695" s="5">
        <f>SUMIFS(Despesas!$F:$F,Despesas!$J:$J,"&lt;="&amp;$A695,Despesas!$L:$L,"&gt;="&amp;$A695,Despesas!$C:$C,D$1,Despesas!$M:$M,"Mensal")+SUMIFS(Despesas!$F:$F,Despesas!$J:$J,"&lt;="&amp;$A695,Despesas!$L:$L,"&gt;="&amp;$A695,Despesas!$C:$C,D$1,Despesas!$M:$M,$B695)</f>
        <v>23000</v>
      </c>
      <c r="E695" s="18">
        <f>SUMIFS(Despesas!$F:$F,Despesas!$J:$J,"&lt;="&amp;$A695,Despesas!$L:$L,"&gt;="&amp;$A695,Despesas!$C:$C,E$1,Despesas!$M:$M,"Mensal")+SUMIFS(Despesas!$F:$F,Despesas!$J:$J,"&lt;="&amp;$A695,Despesas!$L:$L,"&gt;="&amp;$A695,Despesas!$C:$C,E$1,Despesas!$M:$M,$B695)</f>
        <v>0</v>
      </c>
      <c r="F695" s="5">
        <f>SUMIFS(Despesas!$F:$F,Despesas!$J:$J,"&lt;="&amp;$A695,Despesas!$L:$L,"&gt;="&amp;$A695,Despesas!$C:$C,F$1,Despesas!$M:$M,"Mensal")+SUMIFS(Despesas!$F:$F,Despesas!$J:$J,"&lt;="&amp;$A695,Despesas!$L:$L,"&gt;="&amp;$A695,Despesas!$C:$C,F$1,Despesas!$M:$M,$B695)</f>
        <v>13000</v>
      </c>
      <c r="G695" s="5">
        <f>SUMIFS(Despesas!$F:$F,Despesas!$J:$J,"&lt;="&amp;$A695,Despesas!$L:$L,"&gt;="&amp;$A695,Despesas!$C:$C,G$1,Despesas!$M:$M,"Mensal")+SUMIFS(Despesas!$F:$F,Despesas!$J:$J,"&lt;="&amp;$A695,Despesas!$L:$L,"&gt;="&amp;$A695,Despesas!$C:$C,G$1,Despesas!$M:$M,$B695)</f>
        <v>0</v>
      </c>
      <c r="H695" s="18">
        <f>SUMIFS(Despesas!$F:$F,Despesas!$J:$J,"&lt;="&amp;$A695,Despesas!$L:$L,"&gt;="&amp;$A695,Despesas!$C:$C,H$1,Despesas!$M:$M,"Mensal")+SUMIFS(Despesas!$F:$F,Despesas!$J:$J,"&lt;="&amp;$A695,Despesas!$L:$L,"&gt;="&amp;$A695,Despesas!$C:$C,H$1,Despesas!$M:$M,$B695)</f>
        <v>1000</v>
      </c>
      <c r="I695" s="18">
        <f>IF(Imóveis!$F$2="PRICE",IF(AND(Dados!$A695&gt;=Imóveis!$Q$2,Dados!$A695&lt;=Imóveis!$T$2),Imóveis!$U$2,0),IF((IF(AND(Dados!$A695&gt;=Imóveis!$Q$2,Dados!$A695&lt;=Imóveis!$T$2),Imóveis!$S$2-(DATEDIF(Imóveis!$Q$2,Dados!$A695,"m")),0))=0,0,((Imóveis!$N$2/Imóveis!$S$2)+((Imóveis!$N$2-((Imóveis!$S$2-(IF(AND(Dados!$A695&gt;=Imóveis!$Q$2,Dados!$A695&lt;=Imóveis!$T$2),Imóveis!$S$2-(DATEDIF(Imóveis!$Q$2,Dados!$A695,"m")),)))*(Imóveis!$N$2/Imóveis!$S$2)))*Imóveis!$P$2))))*IF(AND(Imóveis!$E$2&gt;0,Dados!$A695&gt;Imóveis!$E$2),0,1)</f>
        <v>0</v>
      </c>
      <c r="J695" s="18">
        <f>IF(Imóveis!$F$3="PRICE",IF(AND(Dados!$A695&gt;=Imóveis!$Q$3,Dados!$A695&lt;=Imóveis!$T$3),Imóveis!$U$3,0),IF((IF(AND(Dados!$A695&gt;=Imóveis!$Q$3,Dados!$A695&lt;=Imóveis!$T$3),Imóveis!$S$3-(DATEDIF(Imóveis!$Q$3,Dados!$A695,"m")),0))=0,0,((Imóveis!$N$3/Imóveis!$S$3)+((Imóveis!$N$3-((Imóveis!$S$3-(IF(AND(Dados!$A695&gt;=Imóveis!$Q$3,Dados!$A695&lt;=Imóveis!$T$3),Imóveis!$S$3-(DATEDIF(Imóveis!$Q$3,Dados!$A695,"m")),)))*(Imóveis!$N$3/Imóveis!$S$3)))*Imóveis!$P$3))))*IF(AND(Imóveis!$E$3&gt;0,Dados!$A695&gt;Imóveis!$E$3),0,1)</f>
        <v>0</v>
      </c>
      <c r="K695" s="18">
        <f>IF(Imóveis!$F$4="PRICE",IF(AND(Dados!$A695&gt;=Imóveis!$Q$4,Dados!$A695&lt;=Imóveis!$T$4),Imóveis!$U$4,0),IF((IF(AND(Dados!$A695&gt;=Imóveis!$Q$4,Dados!$A695&lt;=Imóveis!$T$4),Imóveis!$S$4-(DATEDIF(Imóveis!$Q$4,Dados!$A695,"m")),0))=0,0,((Imóveis!$N$4/Imóveis!$S$4)+((Imóveis!$N$4-((Imóveis!$S$4-(IF(AND(Dados!$A695&gt;=Imóveis!$Q$4,Dados!$A695&lt;=Imóveis!$T$4),Imóveis!$S$4-(DATEDIF(Imóveis!$Q$4,Dados!$A695,"m")),)))*(Imóveis!$N$4/Imóveis!$S$4)))*Imóveis!$P$4))))*IF(AND(Imóveis!$E$4&gt;0,Dados!$A695&gt;Imóveis!$E$4),0,1)</f>
        <v>0</v>
      </c>
      <c r="L695" s="18">
        <f>IF(Imóveis!$F$5="PRICE",IF(AND(Dados!$A695&gt;=Imóveis!$Q$5,Dados!$A695&lt;=Imóveis!$T$5),Imóveis!$U$5,0),IF((IF(AND(Dados!$A695&gt;=Imóveis!$Q$5,Dados!$A695&lt;=Imóveis!$T$5),Imóveis!$S$5-(DATEDIF(Imóveis!$Q$5,Dados!$A695,"m")),0))=0,0,((Imóveis!$N$5/Imóveis!$S$5)+((Imóveis!$N$5-((Imóveis!$S$5-(IF(AND(Dados!$A695 &gt;=Imóveis!$Q$5,Dados!$A695&lt;=Imóveis!$T$5),Imóveis!$S$5-(DATEDIF(Imóveis!$Q$5,Dados!$A695,"m")),)))*(Imóveis!$N$5/Imóveis!$S$5)))*Imóveis!$P$5))))*IF(AND(Imóveis!$E$5&gt;0,Dados!$A695&gt;Imóveis!$E$5),0,1)*Imóveis!$I$5</f>
        <v>0</v>
      </c>
      <c r="M695" s="18">
        <f>IF(Imóveis!$F$6="PRICE",IF(AND(Dados!$A695&gt;=Imóveis!$Q$6,Dados!$A695&lt;=Imóveis!$T$6),Imóveis!$U$6,0),IF((IF(AND(Dados!$A695&gt;=Imóveis!$Q$6,Dados!$A695&lt;=Imóveis!$T$6),Imóveis!$S$6-(DATEDIF(Imóveis!$Q$6,Dados!$A695,"m")),0))=0,0,((Imóveis!$N$6/Imóveis!$S$6)+((Imóveis!$N$6-((Imóveis!$S$6-(IF(AND(Dados!$A695&gt;=Imóveis!$Q$6,Dados!$A695&lt;=Imóveis!$T$6),Imóveis!$S$6-(DATEDIF(Imóveis!$Q$6,Dados!$A695,"m")),)))*(Imóveis!$N$6/Imóveis!$S$6)))*Imóveis!$P$6))))*IF(AND(Imóveis!$E$6&gt;0,Dados!$A695&gt;Imóveis!$E$6),0,1)*Imóveis!$I$6</f>
        <v>0</v>
      </c>
      <c r="N695" s="18">
        <f t="shared" si="85"/>
        <v>37000</v>
      </c>
      <c r="O695" s="18">
        <f>SUMIFS(Receitas!$F:$F,Receitas!$J:$J,"&lt;="&amp;$A695,Receitas!$L:$L,"&gt;="&amp;$A695,Receitas!$C:$C,O$1,Receitas!$M:$M,"Mensal")+SUMIFS(Receitas!$F:$F,Receitas!$J:$J,"&lt;="&amp;$A695,Receitas!$L:$L,"&gt;="&amp;$A695,Receitas!$C:$C,O$1,Receitas!$M:$M,$B695)</f>
        <v>0</v>
      </c>
      <c r="P695" s="18">
        <f>SUMIFS(Receitas!$F:$F,Receitas!$J:$J,"&lt;="&amp;$A695,Receitas!$L:$L,"&gt;="&amp;$A695,Receitas!$C:$C,P$1,Receitas!$M:$M,"Mensal")+SUMIFS(Receitas!$F:$F,Receitas!$J:$J,"&lt;="&amp;$A695,Receitas!$L:$L,"&gt;="&amp;$A695,Receitas!$C:$C,P$1,Receitas!$M:$M,$B695)</f>
        <v>0</v>
      </c>
      <c r="Q695" s="18">
        <f>SUMIFS(Receitas!$F:$F,Receitas!$J:$J,"&lt;="&amp;$A695,Receitas!$L:$L,"&gt;="&amp;$A695,Receitas!$C:$C,Q$1,Receitas!$M:$M,"Mensal")+SUMIFS(Receitas!$F:$F,Receitas!$J:$J,"&lt;="&amp;$A695,Receitas!$L:$L,"&gt;="&amp;$A695,Receitas!$C:$C,Q$1,Receitas!$M:$M,$B695)</f>
        <v>0</v>
      </c>
      <c r="R695" s="18" cm="1">
        <f t="array" ref="R695">(IF(AND(Membros!$F$2="Sim",A695&lt;=MAX(Membros!$E$2:$E$5)),Membros!K$2,IF(AND(A695&gt;=Membros!J$2,A695&lt;=MAX(Membros!$E$2:$E$5)),Membros!K$2,0))+IF(AND(Membros!$F$3="Sim",A695&lt;=MAX(Membros!$E$2:$E$5)),Membros!K$3,IF(AND(A695&gt;=Membros!J$3,A695&lt;=MAX(Membros!$E$2:$E$5)),Membros!K$3,0)))*IF(AND(COUNTIFS(Tabela3[Tipo],"Provedor",Tabela3[Simulação Seguro],"Sim")=2,A695&gt;=MAX(IF(Tabela3[Tipo]="Dependente",Tabela3[Expectativa de Vida (Data)]))),0,1)</f>
        <v>10000</v>
      </c>
      <c r="S695" s="18">
        <f t="shared" si="86"/>
        <v>10000</v>
      </c>
      <c r="U695" s="18">
        <f t="shared" ca="1" si="89"/>
        <v>50058013.026491068</v>
      </c>
      <c r="V695" s="18">
        <f>SUMIF(Imóveis!E:E,Dados!A:A,Imóveis!Z:Z)-SUMIF(Imóveis!E:E,Dados!A:A,Imóveis!Y:Y)</f>
        <v>0</v>
      </c>
      <c r="W695" s="18">
        <f>-SUMIF(Projetos!N:N,A695,Projetos!F:F)</f>
        <v>0</v>
      </c>
      <c r="X695" s="18">
        <f t="shared" si="83"/>
        <v>-27000</v>
      </c>
      <c r="Y695" s="26">
        <f ca="1">(U695*((Indicadores_Economicos!D$2+1)^(1/12)-1))</f>
        <v>163876.9086626553</v>
      </c>
      <c r="Z695" s="18">
        <f t="shared" ca="1" si="87"/>
        <v>50194889.935153723</v>
      </c>
      <c r="AA695" s="18">
        <f ca="1">Auxiliar_Projetos!E695</f>
        <v>3.7659189251315794E-9</v>
      </c>
      <c r="AB695" s="18">
        <f ca="1">Auxiliar_Projetos!K695</f>
        <v>2.8968607116396717E-9</v>
      </c>
      <c r="AC695" s="18">
        <f ca="1">IF(Z695-AA695-AB695&gt;Investimentos!$C$14,Investimentos!$C$14,IF(Z695-AA695-AB695&lt;Investimentos!$C$14,Z695-AA695-AB695,0))</f>
        <v>300000</v>
      </c>
      <c r="AD695" s="18">
        <f t="shared" ca="1" si="88"/>
        <v>49894889.935153715</v>
      </c>
      <c r="AE695" s="18"/>
    </row>
    <row r="696" spans="1:31" x14ac:dyDescent="0.2">
      <c r="A696" s="4">
        <v>66781</v>
      </c>
      <c r="B696" s="5" t="str">
        <f t="shared" si="84"/>
        <v>novembro</v>
      </c>
      <c r="C696" s="5" t="str">
        <f t="shared" si="90"/>
        <v>2082</v>
      </c>
      <c r="D696" s="5">
        <f>SUMIFS(Despesas!$F:$F,Despesas!$J:$J,"&lt;="&amp;$A696,Despesas!$L:$L,"&gt;="&amp;$A696,Despesas!$C:$C,D$1,Despesas!$M:$M,"Mensal")+SUMIFS(Despesas!$F:$F,Despesas!$J:$J,"&lt;="&amp;$A696,Despesas!$L:$L,"&gt;="&amp;$A696,Despesas!$C:$C,D$1,Despesas!$M:$M,$B696)</f>
        <v>23000</v>
      </c>
      <c r="E696" s="18">
        <f>SUMIFS(Despesas!$F:$F,Despesas!$J:$J,"&lt;="&amp;$A696,Despesas!$L:$L,"&gt;="&amp;$A696,Despesas!$C:$C,E$1,Despesas!$M:$M,"Mensal")+SUMIFS(Despesas!$F:$F,Despesas!$J:$J,"&lt;="&amp;$A696,Despesas!$L:$L,"&gt;="&amp;$A696,Despesas!$C:$C,E$1,Despesas!$M:$M,$B696)</f>
        <v>0</v>
      </c>
      <c r="F696" s="5">
        <f>SUMIFS(Despesas!$F:$F,Despesas!$J:$J,"&lt;="&amp;$A696,Despesas!$L:$L,"&gt;="&amp;$A696,Despesas!$C:$C,F$1,Despesas!$M:$M,"Mensal")+SUMIFS(Despesas!$F:$F,Despesas!$J:$J,"&lt;="&amp;$A696,Despesas!$L:$L,"&gt;="&amp;$A696,Despesas!$C:$C,F$1,Despesas!$M:$M,$B696)</f>
        <v>13000</v>
      </c>
      <c r="G696" s="5">
        <f>SUMIFS(Despesas!$F:$F,Despesas!$J:$J,"&lt;="&amp;$A696,Despesas!$L:$L,"&gt;="&amp;$A696,Despesas!$C:$C,G$1,Despesas!$M:$M,"Mensal")+SUMIFS(Despesas!$F:$F,Despesas!$J:$J,"&lt;="&amp;$A696,Despesas!$L:$L,"&gt;="&amp;$A696,Despesas!$C:$C,G$1,Despesas!$M:$M,$B696)</f>
        <v>0</v>
      </c>
      <c r="H696" s="18">
        <f>SUMIFS(Despesas!$F:$F,Despesas!$J:$J,"&lt;="&amp;$A696,Despesas!$L:$L,"&gt;="&amp;$A696,Despesas!$C:$C,H$1,Despesas!$M:$M,"Mensal")+SUMIFS(Despesas!$F:$F,Despesas!$J:$J,"&lt;="&amp;$A696,Despesas!$L:$L,"&gt;="&amp;$A696,Despesas!$C:$C,H$1,Despesas!$M:$M,$B696)</f>
        <v>1000</v>
      </c>
      <c r="I696" s="18">
        <f>IF(Imóveis!$F$2="PRICE",IF(AND(Dados!$A696&gt;=Imóveis!$Q$2,Dados!$A696&lt;=Imóveis!$T$2),Imóveis!$U$2,0),IF((IF(AND(Dados!$A696&gt;=Imóveis!$Q$2,Dados!$A696&lt;=Imóveis!$T$2),Imóveis!$S$2-(DATEDIF(Imóveis!$Q$2,Dados!$A696,"m")),0))=0,0,((Imóveis!$N$2/Imóveis!$S$2)+((Imóveis!$N$2-((Imóveis!$S$2-(IF(AND(Dados!$A696&gt;=Imóveis!$Q$2,Dados!$A696&lt;=Imóveis!$T$2),Imóveis!$S$2-(DATEDIF(Imóveis!$Q$2,Dados!$A696,"m")),)))*(Imóveis!$N$2/Imóveis!$S$2)))*Imóveis!$P$2))))*IF(AND(Imóveis!$E$2&gt;0,Dados!$A696&gt;Imóveis!$E$2),0,1)</f>
        <v>0</v>
      </c>
      <c r="J696" s="18">
        <f>IF(Imóveis!$F$3="PRICE",IF(AND(Dados!$A696&gt;=Imóveis!$Q$3,Dados!$A696&lt;=Imóveis!$T$3),Imóveis!$U$3,0),IF((IF(AND(Dados!$A696&gt;=Imóveis!$Q$3,Dados!$A696&lt;=Imóveis!$T$3),Imóveis!$S$3-(DATEDIF(Imóveis!$Q$3,Dados!$A696,"m")),0))=0,0,((Imóveis!$N$3/Imóveis!$S$3)+((Imóveis!$N$3-((Imóveis!$S$3-(IF(AND(Dados!$A696&gt;=Imóveis!$Q$3,Dados!$A696&lt;=Imóveis!$T$3),Imóveis!$S$3-(DATEDIF(Imóveis!$Q$3,Dados!$A696,"m")),)))*(Imóveis!$N$3/Imóveis!$S$3)))*Imóveis!$P$3))))*IF(AND(Imóveis!$E$3&gt;0,Dados!$A696&gt;Imóveis!$E$3),0,1)</f>
        <v>0</v>
      </c>
      <c r="K696" s="18">
        <f>IF(Imóveis!$F$4="PRICE",IF(AND(Dados!$A696&gt;=Imóveis!$Q$4,Dados!$A696&lt;=Imóveis!$T$4),Imóveis!$U$4,0),IF((IF(AND(Dados!$A696&gt;=Imóveis!$Q$4,Dados!$A696&lt;=Imóveis!$T$4),Imóveis!$S$4-(DATEDIF(Imóveis!$Q$4,Dados!$A696,"m")),0))=0,0,((Imóveis!$N$4/Imóveis!$S$4)+((Imóveis!$N$4-((Imóveis!$S$4-(IF(AND(Dados!$A696&gt;=Imóveis!$Q$4,Dados!$A696&lt;=Imóveis!$T$4),Imóveis!$S$4-(DATEDIF(Imóveis!$Q$4,Dados!$A696,"m")),)))*(Imóveis!$N$4/Imóveis!$S$4)))*Imóveis!$P$4))))*IF(AND(Imóveis!$E$4&gt;0,Dados!$A696&gt;Imóveis!$E$4),0,1)</f>
        <v>0</v>
      </c>
      <c r="L696" s="18">
        <f>IF(Imóveis!$F$5="PRICE",IF(AND(Dados!$A696&gt;=Imóveis!$Q$5,Dados!$A696&lt;=Imóveis!$T$5),Imóveis!$U$5,0),IF((IF(AND(Dados!$A696&gt;=Imóveis!$Q$5,Dados!$A696&lt;=Imóveis!$T$5),Imóveis!$S$5-(DATEDIF(Imóveis!$Q$5,Dados!$A696,"m")),0))=0,0,((Imóveis!$N$5/Imóveis!$S$5)+((Imóveis!$N$5-((Imóveis!$S$5-(IF(AND(Dados!$A696 &gt;=Imóveis!$Q$5,Dados!$A696&lt;=Imóveis!$T$5),Imóveis!$S$5-(DATEDIF(Imóveis!$Q$5,Dados!$A696,"m")),)))*(Imóveis!$N$5/Imóveis!$S$5)))*Imóveis!$P$5))))*IF(AND(Imóveis!$E$5&gt;0,Dados!$A696&gt;Imóveis!$E$5),0,1)*Imóveis!$I$5</f>
        <v>0</v>
      </c>
      <c r="M696" s="18">
        <f>IF(Imóveis!$F$6="PRICE",IF(AND(Dados!$A696&gt;=Imóveis!$Q$6,Dados!$A696&lt;=Imóveis!$T$6),Imóveis!$U$6,0),IF((IF(AND(Dados!$A696&gt;=Imóveis!$Q$6,Dados!$A696&lt;=Imóveis!$T$6),Imóveis!$S$6-(DATEDIF(Imóveis!$Q$6,Dados!$A696,"m")),0))=0,0,((Imóveis!$N$6/Imóveis!$S$6)+((Imóveis!$N$6-((Imóveis!$S$6-(IF(AND(Dados!$A696&gt;=Imóveis!$Q$6,Dados!$A696&lt;=Imóveis!$T$6),Imóveis!$S$6-(DATEDIF(Imóveis!$Q$6,Dados!$A696,"m")),)))*(Imóveis!$N$6/Imóveis!$S$6)))*Imóveis!$P$6))))*IF(AND(Imóveis!$E$6&gt;0,Dados!$A696&gt;Imóveis!$E$6),0,1)*Imóveis!$I$6</f>
        <v>0</v>
      </c>
      <c r="N696" s="18">
        <f t="shared" si="85"/>
        <v>37000</v>
      </c>
      <c r="O696" s="18">
        <f>SUMIFS(Receitas!$F:$F,Receitas!$J:$J,"&lt;="&amp;$A696,Receitas!$L:$L,"&gt;="&amp;$A696,Receitas!$C:$C,O$1,Receitas!$M:$M,"Mensal")+SUMIFS(Receitas!$F:$F,Receitas!$J:$J,"&lt;="&amp;$A696,Receitas!$L:$L,"&gt;="&amp;$A696,Receitas!$C:$C,O$1,Receitas!$M:$M,$B696)</f>
        <v>0</v>
      </c>
      <c r="P696" s="18">
        <f>SUMIFS(Receitas!$F:$F,Receitas!$J:$J,"&lt;="&amp;$A696,Receitas!$L:$L,"&gt;="&amp;$A696,Receitas!$C:$C,P$1,Receitas!$M:$M,"Mensal")+SUMIFS(Receitas!$F:$F,Receitas!$J:$J,"&lt;="&amp;$A696,Receitas!$L:$L,"&gt;="&amp;$A696,Receitas!$C:$C,P$1,Receitas!$M:$M,$B696)</f>
        <v>0</v>
      </c>
      <c r="Q696" s="18">
        <f>SUMIFS(Receitas!$F:$F,Receitas!$J:$J,"&lt;="&amp;$A696,Receitas!$L:$L,"&gt;="&amp;$A696,Receitas!$C:$C,Q$1,Receitas!$M:$M,"Mensal")+SUMIFS(Receitas!$F:$F,Receitas!$J:$J,"&lt;="&amp;$A696,Receitas!$L:$L,"&gt;="&amp;$A696,Receitas!$C:$C,Q$1,Receitas!$M:$M,$B696)</f>
        <v>0</v>
      </c>
      <c r="R696" s="18" cm="1">
        <f t="array" ref="R696">(IF(AND(Membros!$F$2="Sim",A696&lt;=MAX(Membros!$E$2:$E$5)),Membros!K$2,IF(AND(A696&gt;=Membros!J$2,A696&lt;=MAX(Membros!$E$2:$E$5)),Membros!K$2,0))+IF(AND(Membros!$F$3="Sim",A696&lt;=MAX(Membros!$E$2:$E$5)),Membros!K$3,IF(AND(A696&gt;=Membros!J$3,A696&lt;=MAX(Membros!$E$2:$E$5)),Membros!K$3,0)))*IF(AND(COUNTIFS(Tabela3[Tipo],"Provedor",Tabela3[Simulação Seguro],"Sim")=2,A696&gt;=MAX(IF(Tabela3[Tipo]="Dependente",Tabela3[Expectativa de Vida (Data)]))),0,1)</f>
        <v>10000</v>
      </c>
      <c r="S696" s="18">
        <f t="shared" si="86"/>
        <v>10000</v>
      </c>
      <c r="U696" s="18">
        <f t="shared" ca="1" si="89"/>
        <v>50194889.935153723</v>
      </c>
      <c r="V696" s="18">
        <f>SUMIF(Imóveis!E:E,Dados!A:A,Imóveis!Z:Z)-SUMIF(Imóveis!E:E,Dados!A:A,Imóveis!Y:Y)</f>
        <v>0</v>
      </c>
      <c r="W696" s="18">
        <f>-SUMIF(Projetos!N:N,A696,Projetos!F:F)</f>
        <v>0</v>
      </c>
      <c r="X696" s="18">
        <f t="shared" si="83"/>
        <v>-27000</v>
      </c>
      <c r="Y696" s="26">
        <f ca="1">(U696*((Indicadores_Economicos!D$2+1)^(1/12)-1))</f>
        <v>164325.00804380863</v>
      </c>
      <c r="Z696" s="18">
        <f t="shared" ca="1" si="87"/>
        <v>50332214.943197533</v>
      </c>
      <c r="AA696" s="18">
        <f ca="1">Auxiliar_Projetos!E696</f>
        <v>3.7782475637333185E-9</v>
      </c>
      <c r="AB696" s="18">
        <f ca="1">Auxiliar_Projetos!K696</f>
        <v>2.9063442797948556E-9</v>
      </c>
      <c r="AC696" s="18">
        <f ca="1">IF(Z696-AA696-AB696&gt;Investimentos!$C$14,Investimentos!$C$14,IF(Z696-AA696-AB696&lt;Investimentos!$C$14,Z696-AA696-AB696,0))</f>
        <v>300000</v>
      </c>
      <c r="AD696" s="18">
        <f t="shared" ca="1" si="88"/>
        <v>50032214.943197526</v>
      </c>
      <c r="AE696" s="18"/>
    </row>
    <row r="697" spans="1:31" x14ac:dyDescent="0.2">
      <c r="A697" s="4">
        <v>66811</v>
      </c>
      <c r="B697" s="5" t="str">
        <f t="shared" si="84"/>
        <v>dezembro</v>
      </c>
      <c r="C697" s="5" t="str">
        <f t="shared" si="90"/>
        <v>2082</v>
      </c>
      <c r="D697" s="5">
        <f>SUMIFS(Despesas!$F:$F,Despesas!$J:$J,"&lt;="&amp;$A697,Despesas!$L:$L,"&gt;="&amp;$A697,Despesas!$C:$C,D$1,Despesas!$M:$M,"Mensal")+SUMIFS(Despesas!$F:$F,Despesas!$J:$J,"&lt;="&amp;$A697,Despesas!$L:$L,"&gt;="&amp;$A697,Despesas!$C:$C,D$1,Despesas!$M:$M,$B697)</f>
        <v>23000</v>
      </c>
      <c r="E697" s="18">
        <f>SUMIFS(Despesas!$F:$F,Despesas!$J:$J,"&lt;="&amp;$A697,Despesas!$L:$L,"&gt;="&amp;$A697,Despesas!$C:$C,E$1,Despesas!$M:$M,"Mensal")+SUMIFS(Despesas!$F:$F,Despesas!$J:$J,"&lt;="&amp;$A697,Despesas!$L:$L,"&gt;="&amp;$A697,Despesas!$C:$C,E$1,Despesas!$M:$M,$B697)</f>
        <v>0</v>
      </c>
      <c r="F697" s="5">
        <f>SUMIFS(Despesas!$F:$F,Despesas!$J:$J,"&lt;="&amp;$A697,Despesas!$L:$L,"&gt;="&amp;$A697,Despesas!$C:$C,F$1,Despesas!$M:$M,"Mensal")+SUMIFS(Despesas!$F:$F,Despesas!$J:$J,"&lt;="&amp;$A697,Despesas!$L:$L,"&gt;="&amp;$A697,Despesas!$C:$C,F$1,Despesas!$M:$M,$B697)</f>
        <v>13000</v>
      </c>
      <c r="G697" s="5">
        <f ca="1">SUMIFS(Despesas!$F:$F,Despesas!$J:$J,"&lt;="&amp;$A697,Despesas!$L:$L,"&gt;="&amp;$A697,Despesas!$C:$C,G$1,Despesas!$M:$M,"Mensal")+SUMIFS(Despesas!$F:$F,Despesas!$J:$J,"&lt;="&amp;$A697,Despesas!$L:$L,"&gt;="&amp;$A697,Despesas!$C:$C,G$1,Despesas!$M:$M,$B697)</f>
        <v>55757</v>
      </c>
      <c r="H697" s="18">
        <f>SUMIFS(Despesas!$F:$F,Despesas!$J:$J,"&lt;="&amp;$A697,Despesas!$L:$L,"&gt;="&amp;$A697,Despesas!$C:$C,H$1,Despesas!$M:$M,"Mensal")+SUMIFS(Despesas!$F:$F,Despesas!$J:$J,"&lt;="&amp;$A697,Despesas!$L:$L,"&gt;="&amp;$A697,Despesas!$C:$C,H$1,Despesas!$M:$M,$B697)</f>
        <v>1000</v>
      </c>
      <c r="I697" s="18">
        <f>IF(Imóveis!$F$2="PRICE",IF(AND(Dados!$A697&gt;=Imóveis!$Q$2,Dados!$A697&lt;=Imóveis!$T$2),Imóveis!$U$2,0),IF((IF(AND(Dados!$A697&gt;=Imóveis!$Q$2,Dados!$A697&lt;=Imóveis!$T$2),Imóveis!$S$2-(DATEDIF(Imóveis!$Q$2,Dados!$A697,"m")),0))=0,0,((Imóveis!$N$2/Imóveis!$S$2)+((Imóveis!$N$2-((Imóveis!$S$2-(IF(AND(Dados!$A697&gt;=Imóveis!$Q$2,Dados!$A697&lt;=Imóveis!$T$2),Imóveis!$S$2-(DATEDIF(Imóveis!$Q$2,Dados!$A697,"m")),)))*(Imóveis!$N$2/Imóveis!$S$2)))*Imóveis!$P$2))))*IF(AND(Imóveis!$E$2&gt;0,Dados!$A697&gt;Imóveis!$E$2),0,1)</f>
        <v>0</v>
      </c>
      <c r="J697" s="18">
        <f>IF(Imóveis!$F$3="PRICE",IF(AND(Dados!$A697&gt;=Imóveis!$Q$3,Dados!$A697&lt;=Imóveis!$T$3),Imóveis!$U$3,0),IF((IF(AND(Dados!$A697&gt;=Imóveis!$Q$3,Dados!$A697&lt;=Imóveis!$T$3),Imóveis!$S$3-(DATEDIF(Imóveis!$Q$3,Dados!$A697,"m")),0))=0,0,((Imóveis!$N$3/Imóveis!$S$3)+((Imóveis!$N$3-((Imóveis!$S$3-(IF(AND(Dados!$A697&gt;=Imóveis!$Q$3,Dados!$A697&lt;=Imóveis!$T$3),Imóveis!$S$3-(DATEDIF(Imóveis!$Q$3,Dados!$A697,"m")),)))*(Imóveis!$N$3/Imóveis!$S$3)))*Imóveis!$P$3))))*IF(AND(Imóveis!$E$3&gt;0,Dados!$A697&gt;Imóveis!$E$3),0,1)</f>
        <v>0</v>
      </c>
      <c r="K697" s="18">
        <f>IF(Imóveis!$F$4="PRICE",IF(AND(Dados!$A697&gt;=Imóveis!$Q$4,Dados!$A697&lt;=Imóveis!$T$4),Imóveis!$U$4,0),IF((IF(AND(Dados!$A697&gt;=Imóveis!$Q$4,Dados!$A697&lt;=Imóveis!$T$4),Imóveis!$S$4-(DATEDIF(Imóveis!$Q$4,Dados!$A697,"m")),0))=0,0,((Imóveis!$N$4/Imóveis!$S$4)+((Imóveis!$N$4-((Imóveis!$S$4-(IF(AND(Dados!$A697&gt;=Imóveis!$Q$4,Dados!$A697&lt;=Imóveis!$T$4),Imóveis!$S$4-(DATEDIF(Imóveis!$Q$4,Dados!$A697,"m")),)))*(Imóveis!$N$4/Imóveis!$S$4)))*Imóveis!$P$4))))*IF(AND(Imóveis!$E$4&gt;0,Dados!$A697&gt;Imóveis!$E$4),0,1)</f>
        <v>0</v>
      </c>
      <c r="L697" s="18">
        <f>IF(Imóveis!$F$5="PRICE",IF(AND(Dados!$A697&gt;=Imóveis!$Q$5,Dados!$A697&lt;=Imóveis!$T$5),Imóveis!$U$5,0),IF((IF(AND(Dados!$A697&gt;=Imóveis!$Q$5,Dados!$A697&lt;=Imóveis!$T$5),Imóveis!$S$5-(DATEDIF(Imóveis!$Q$5,Dados!$A697,"m")),0))=0,0,((Imóveis!$N$5/Imóveis!$S$5)+((Imóveis!$N$5-((Imóveis!$S$5-(IF(AND(Dados!$A697 &gt;=Imóveis!$Q$5,Dados!$A697&lt;=Imóveis!$T$5),Imóveis!$S$5-(DATEDIF(Imóveis!$Q$5,Dados!$A697,"m")),)))*(Imóveis!$N$5/Imóveis!$S$5)))*Imóveis!$P$5))))*IF(AND(Imóveis!$E$5&gt;0,Dados!$A697&gt;Imóveis!$E$5),0,1)*Imóveis!$I$5</f>
        <v>0</v>
      </c>
      <c r="M697" s="18">
        <f>IF(Imóveis!$F$6="PRICE",IF(AND(Dados!$A697&gt;=Imóveis!$Q$6,Dados!$A697&lt;=Imóveis!$T$6),Imóveis!$U$6,0),IF((IF(AND(Dados!$A697&gt;=Imóveis!$Q$6,Dados!$A697&lt;=Imóveis!$T$6),Imóveis!$S$6-(DATEDIF(Imóveis!$Q$6,Dados!$A697,"m")),0))=0,0,((Imóveis!$N$6/Imóveis!$S$6)+((Imóveis!$N$6-((Imóveis!$S$6-(IF(AND(Dados!$A697&gt;=Imóveis!$Q$6,Dados!$A697&lt;=Imóveis!$T$6),Imóveis!$S$6-(DATEDIF(Imóveis!$Q$6,Dados!$A697,"m")),)))*(Imóveis!$N$6/Imóveis!$S$6)))*Imóveis!$P$6))))*IF(AND(Imóveis!$E$6&gt;0,Dados!$A697&gt;Imóveis!$E$6),0,1)*Imóveis!$I$6</f>
        <v>0</v>
      </c>
      <c r="N697" s="18">
        <f t="shared" ca="1" si="85"/>
        <v>92757</v>
      </c>
      <c r="O697" s="18">
        <f>SUMIFS(Receitas!$F:$F,Receitas!$J:$J,"&lt;="&amp;$A697,Receitas!$L:$L,"&gt;="&amp;$A697,Receitas!$C:$C,O$1,Receitas!$M:$M,"Mensal")+SUMIFS(Receitas!$F:$F,Receitas!$J:$J,"&lt;="&amp;$A697,Receitas!$L:$L,"&gt;="&amp;$A697,Receitas!$C:$C,O$1,Receitas!$M:$M,$B697)</f>
        <v>0</v>
      </c>
      <c r="P697" s="18">
        <f>SUMIFS(Receitas!$F:$F,Receitas!$J:$J,"&lt;="&amp;$A697,Receitas!$L:$L,"&gt;="&amp;$A697,Receitas!$C:$C,P$1,Receitas!$M:$M,"Mensal")+SUMIFS(Receitas!$F:$F,Receitas!$J:$J,"&lt;="&amp;$A697,Receitas!$L:$L,"&gt;="&amp;$A697,Receitas!$C:$C,P$1,Receitas!$M:$M,$B697)</f>
        <v>0</v>
      </c>
      <c r="Q697" s="18">
        <f>SUMIFS(Receitas!$F:$F,Receitas!$J:$J,"&lt;="&amp;$A697,Receitas!$L:$L,"&gt;="&amp;$A697,Receitas!$C:$C,Q$1,Receitas!$M:$M,"Mensal")+SUMIFS(Receitas!$F:$F,Receitas!$J:$J,"&lt;="&amp;$A697,Receitas!$L:$L,"&gt;="&amp;$A697,Receitas!$C:$C,Q$1,Receitas!$M:$M,$B697)</f>
        <v>0</v>
      </c>
      <c r="R697" s="18" cm="1">
        <f t="array" ref="R697">(IF(AND(Membros!$F$2="Sim",A697&lt;=MAX(Membros!$E$2:$E$5)),Membros!K$2,IF(AND(A697&gt;=Membros!J$2,A697&lt;=MAX(Membros!$E$2:$E$5)),Membros!K$2,0))+IF(AND(Membros!$F$3="Sim",A697&lt;=MAX(Membros!$E$2:$E$5)),Membros!K$3,IF(AND(A697&gt;=Membros!J$3,A697&lt;=MAX(Membros!$E$2:$E$5)),Membros!K$3,0)))*IF(AND(COUNTIFS(Tabela3[Tipo],"Provedor",Tabela3[Simulação Seguro],"Sim")=2,A697&gt;=MAX(IF(Tabela3[Tipo]="Dependente",Tabela3[Expectativa de Vida (Data)]))),0,1)</f>
        <v>10000</v>
      </c>
      <c r="S697" s="18">
        <f t="shared" si="86"/>
        <v>10000</v>
      </c>
      <c r="U697" s="18">
        <f t="shared" ca="1" si="89"/>
        <v>50332214.943197533</v>
      </c>
      <c r="V697" s="18">
        <f>SUMIF(Imóveis!E:E,Dados!A:A,Imóveis!Z:Z)-SUMIF(Imóveis!E:E,Dados!A:A,Imóveis!Y:Y)</f>
        <v>0</v>
      </c>
      <c r="W697" s="18">
        <f>-SUMIF(Projetos!N:N,A697,Projetos!F:F)</f>
        <v>0</v>
      </c>
      <c r="X697" s="18">
        <f t="shared" ca="1" si="83"/>
        <v>-82757</v>
      </c>
      <c r="Y697" s="26">
        <f ca="1">(U697*((Indicadores_Economicos!D$2+1)^(1/12)-1))</f>
        <v>164774.57438573244</v>
      </c>
      <c r="Z697" s="18">
        <f t="shared" ca="1" si="87"/>
        <v>50414232.517583266</v>
      </c>
      <c r="AA697" s="18">
        <f ca="1">Auxiliar_Projetos!E697</f>
        <v>3.790616563089708E-9</v>
      </c>
      <c r="AB697" s="18">
        <f ca="1">Auxiliar_Projetos!K697</f>
        <v>2.9158588946843864E-9</v>
      </c>
      <c r="AC697" s="18">
        <f ca="1">IF(Z697-AA697-AB697&gt;Investimentos!$C$14,Investimentos!$C$14,IF(Z697-AA697-AB697&lt;Investimentos!$C$14,Z697-AA697-AB697,0))</f>
        <v>300000</v>
      </c>
      <c r="AD697" s="18">
        <f t="shared" ca="1" si="88"/>
        <v>50114232.517583258</v>
      </c>
      <c r="AE697" s="18"/>
    </row>
    <row r="698" spans="1:31" x14ac:dyDescent="0.2">
      <c r="A698" s="4">
        <v>66842</v>
      </c>
      <c r="B698" s="5" t="str">
        <f t="shared" si="84"/>
        <v>janeiro</v>
      </c>
      <c r="C698" s="5" t="str">
        <f t="shared" si="90"/>
        <v>2083</v>
      </c>
      <c r="D698" s="5">
        <f>SUMIFS(Despesas!$F:$F,Despesas!$J:$J,"&lt;="&amp;$A698,Despesas!$L:$L,"&gt;="&amp;$A698,Despesas!$C:$C,D$1,Despesas!$M:$M,"Mensal")+SUMIFS(Despesas!$F:$F,Despesas!$J:$J,"&lt;="&amp;$A698,Despesas!$L:$L,"&gt;="&amp;$A698,Despesas!$C:$C,D$1,Despesas!$M:$M,$B698)</f>
        <v>23000</v>
      </c>
      <c r="E698" s="18">
        <f>SUMIFS(Despesas!$F:$F,Despesas!$J:$J,"&lt;="&amp;$A698,Despesas!$L:$L,"&gt;="&amp;$A698,Despesas!$C:$C,E$1,Despesas!$M:$M,"Mensal")+SUMIFS(Despesas!$F:$F,Despesas!$J:$J,"&lt;="&amp;$A698,Despesas!$L:$L,"&gt;="&amp;$A698,Despesas!$C:$C,E$1,Despesas!$M:$M,$B698)</f>
        <v>0</v>
      </c>
      <c r="F698" s="5">
        <f>SUMIFS(Despesas!$F:$F,Despesas!$J:$J,"&lt;="&amp;$A698,Despesas!$L:$L,"&gt;="&amp;$A698,Despesas!$C:$C,F$1,Despesas!$M:$M,"Mensal")+SUMIFS(Despesas!$F:$F,Despesas!$J:$J,"&lt;="&amp;$A698,Despesas!$L:$L,"&gt;="&amp;$A698,Despesas!$C:$C,F$1,Despesas!$M:$M,$B698)</f>
        <v>13000</v>
      </c>
      <c r="G698" s="5">
        <f>SUMIFS(Despesas!$F:$F,Despesas!$J:$J,"&lt;="&amp;$A698,Despesas!$L:$L,"&gt;="&amp;$A698,Despesas!$C:$C,G$1,Despesas!$M:$M,"Mensal")+SUMIFS(Despesas!$F:$F,Despesas!$J:$J,"&lt;="&amp;$A698,Despesas!$L:$L,"&gt;="&amp;$A698,Despesas!$C:$C,G$1,Despesas!$M:$M,$B698)</f>
        <v>0</v>
      </c>
      <c r="H698" s="18">
        <f>SUMIFS(Despesas!$F:$F,Despesas!$J:$J,"&lt;="&amp;$A698,Despesas!$L:$L,"&gt;="&amp;$A698,Despesas!$C:$C,H$1,Despesas!$M:$M,"Mensal")+SUMIFS(Despesas!$F:$F,Despesas!$J:$J,"&lt;="&amp;$A698,Despesas!$L:$L,"&gt;="&amp;$A698,Despesas!$C:$C,H$1,Despesas!$M:$M,$B698)</f>
        <v>1000</v>
      </c>
      <c r="I698" s="18">
        <f>IF(Imóveis!$F$2="PRICE",IF(AND(Dados!$A698&gt;=Imóveis!$Q$2,Dados!$A698&lt;=Imóveis!$T$2),Imóveis!$U$2,0),IF((IF(AND(Dados!$A698&gt;=Imóveis!$Q$2,Dados!$A698&lt;=Imóveis!$T$2),Imóveis!$S$2-(DATEDIF(Imóveis!$Q$2,Dados!$A698,"m")),0))=0,0,((Imóveis!$N$2/Imóveis!$S$2)+((Imóveis!$N$2-((Imóveis!$S$2-(IF(AND(Dados!$A698&gt;=Imóveis!$Q$2,Dados!$A698&lt;=Imóveis!$T$2),Imóveis!$S$2-(DATEDIF(Imóveis!$Q$2,Dados!$A698,"m")),)))*(Imóveis!$N$2/Imóveis!$S$2)))*Imóveis!$P$2))))*IF(AND(Imóveis!$E$2&gt;0,Dados!$A698&gt;Imóveis!$E$2),0,1)</f>
        <v>0</v>
      </c>
      <c r="J698" s="18">
        <f>IF(Imóveis!$F$3="PRICE",IF(AND(Dados!$A698&gt;=Imóveis!$Q$3,Dados!$A698&lt;=Imóveis!$T$3),Imóveis!$U$3,0),IF((IF(AND(Dados!$A698&gt;=Imóveis!$Q$3,Dados!$A698&lt;=Imóveis!$T$3),Imóveis!$S$3-(DATEDIF(Imóveis!$Q$3,Dados!$A698,"m")),0))=0,0,((Imóveis!$N$3/Imóveis!$S$3)+((Imóveis!$N$3-((Imóveis!$S$3-(IF(AND(Dados!$A698&gt;=Imóveis!$Q$3,Dados!$A698&lt;=Imóveis!$T$3),Imóveis!$S$3-(DATEDIF(Imóveis!$Q$3,Dados!$A698,"m")),)))*(Imóveis!$N$3/Imóveis!$S$3)))*Imóveis!$P$3))))*IF(AND(Imóveis!$E$3&gt;0,Dados!$A698&gt;Imóveis!$E$3),0,1)</f>
        <v>0</v>
      </c>
      <c r="K698" s="18">
        <f>IF(Imóveis!$F$4="PRICE",IF(AND(Dados!$A698&gt;=Imóveis!$Q$4,Dados!$A698&lt;=Imóveis!$T$4),Imóveis!$U$4,0),IF((IF(AND(Dados!$A698&gt;=Imóveis!$Q$4,Dados!$A698&lt;=Imóveis!$T$4),Imóveis!$S$4-(DATEDIF(Imóveis!$Q$4,Dados!$A698,"m")),0))=0,0,((Imóveis!$N$4/Imóveis!$S$4)+((Imóveis!$N$4-((Imóveis!$S$4-(IF(AND(Dados!$A698&gt;=Imóveis!$Q$4,Dados!$A698&lt;=Imóveis!$T$4),Imóveis!$S$4-(DATEDIF(Imóveis!$Q$4,Dados!$A698,"m")),)))*(Imóveis!$N$4/Imóveis!$S$4)))*Imóveis!$P$4))))*IF(AND(Imóveis!$E$4&gt;0,Dados!$A698&gt;Imóveis!$E$4),0,1)</f>
        <v>0</v>
      </c>
      <c r="L698" s="18">
        <f>IF(Imóveis!$F$5="PRICE",IF(AND(Dados!$A698&gt;=Imóveis!$Q$5,Dados!$A698&lt;=Imóveis!$T$5),Imóveis!$U$5,0),IF((IF(AND(Dados!$A698&gt;=Imóveis!$Q$5,Dados!$A698&lt;=Imóveis!$T$5),Imóveis!$S$5-(DATEDIF(Imóveis!$Q$5,Dados!$A698,"m")),0))=0,0,((Imóveis!$N$5/Imóveis!$S$5)+((Imóveis!$N$5-((Imóveis!$S$5-(IF(AND(Dados!$A698 &gt;=Imóveis!$Q$5,Dados!$A698&lt;=Imóveis!$T$5),Imóveis!$S$5-(DATEDIF(Imóveis!$Q$5,Dados!$A698,"m")),)))*(Imóveis!$N$5/Imóveis!$S$5)))*Imóveis!$P$5))))*IF(AND(Imóveis!$E$5&gt;0,Dados!$A698&gt;Imóveis!$E$5),0,1)*Imóveis!$I$5</f>
        <v>0</v>
      </c>
      <c r="M698" s="18">
        <f>IF(Imóveis!$F$6="PRICE",IF(AND(Dados!$A698&gt;=Imóveis!$Q$6,Dados!$A698&lt;=Imóveis!$T$6),Imóveis!$U$6,0),IF((IF(AND(Dados!$A698&gt;=Imóveis!$Q$6,Dados!$A698&lt;=Imóveis!$T$6),Imóveis!$S$6-(DATEDIF(Imóveis!$Q$6,Dados!$A698,"m")),0))=0,0,((Imóveis!$N$6/Imóveis!$S$6)+((Imóveis!$N$6-((Imóveis!$S$6-(IF(AND(Dados!$A698&gt;=Imóveis!$Q$6,Dados!$A698&lt;=Imóveis!$T$6),Imóveis!$S$6-(DATEDIF(Imóveis!$Q$6,Dados!$A698,"m")),)))*(Imóveis!$N$6/Imóveis!$S$6)))*Imóveis!$P$6))))*IF(AND(Imóveis!$E$6&gt;0,Dados!$A698&gt;Imóveis!$E$6),0,1)*Imóveis!$I$6</f>
        <v>0</v>
      </c>
      <c r="N698" s="18">
        <f t="shared" si="85"/>
        <v>37000</v>
      </c>
      <c r="O698" s="18">
        <f>SUMIFS(Receitas!$F:$F,Receitas!$J:$J,"&lt;="&amp;$A698,Receitas!$L:$L,"&gt;="&amp;$A698,Receitas!$C:$C,O$1,Receitas!$M:$M,"Mensal")+SUMIFS(Receitas!$F:$F,Receitas!$J:$J,"&lt;="&amp;$A698,Receitas!$L:$L,"&gt;="&amp;$A698,Receitas!$C:$C,O$1,Receitas!$M:$M,$B698)</f>
        <v>0</v>
      </c>
      <c r="P698" s="18">
        <f>SUMIFS(Receitas!$F:$F,Receitas!$J:$J,"&lt;="&amp;$A698,Receitas!$L:$L,"&gt;="&amp;$A698,Receitas!$C:$C,P$1,Receitas!$M:$M,"Mensal")+SUMIFS(Receitas!$F:$F,Receitas!$J:$J,"&lt;="&amp;$A698,Receitas!$L:$L,"&gt;="&amp;$A698,Receitas!$C:$C,P$1,Receitas!$M:$M,$B698)</f>
        <v>0</v>
      </c>
      <c r="Q698" s="18">
        <f>SUMIFS(Receitas!$F:$F,Receitas!$J:$J,"&lt;="&amp;$A698,Receitas!$L:$L,"&gt;="&amp;$A698,Receitas!$C:$C,Q$1,Receitas!$M:$M,"Mensal")+SUMIFS(Receitas!$F:$F,Receitas!$J:$J,"&lt;="&amp;$A698,Receitas!$L:$L,"&gt;="&amp;$A698,Receitas!$C:$C,Q$1,Receitas!$M:$M,$B698)</f>
        <v>0</v>
      </c>
      <c r="R698" s="18" cm="1">
        <f t="array" ref="R698">(IF(AND(Membros!$F$2="Sim",A698&lt;=MAX(Membros!$E$2:$E$5)),Membros!K$2,IF(AND(A698&gt;=Membros!J$2,A698&lt;=MAX(Membros!$E$2:$E$5)),Membros!K$2,0))+IF(AND(Membros!$F$3="Sim",A698&lt;=MAX(Membros!$E$2:$E$5)),Membros!K$3,IF(AND(A698&gt;=Membros!J$3,A698&lt;=MAX(Membros!$E$2:$E$5)),Membros!K$3,0)))*IF(AND(COUNTIFS(Tabela3[Tipo],"Provedor",Tabela3[Simulação Seguro],"Sim")=2,A698&gt;=MAX(IF(Tabela3[Tipo]="Dependente",Tabela3[Expectativa de Vida (Data)]))),0,1)</f>
        <v>10000</v>
      </c>
      <c r="S698" s="18">
        <f t="shared" si="86"/>
        <v>10000</v>
      </c>
      <c r="U698" s="18">
        <f t="shared" ca="1" si="89"/>
        <v>50414232.517583266</v>
      </c>
      <c r="V698" s="18">
        <f>SUMIF(Imóveis!E:E,Dados!A:A,Imóveis!Z:Z)-SUMIF(Imóveis!E:E,Dados!A:A,Imóveis!Y:Y)</f>
        <v>0</v>
      </c>
      <c r="W698" s="18">
        <f>-SUMIF(Projetos!N:N,A698,Projetos!F:F)</f>
        <v>0</v>
      </c>
      <c r="X698" s="18">
        <f t="shared" si="83"/>
        <v>-27000</v>
      </c>
      <c r="Y698" s="26">
        <f ca="1">(U698*((Indicadores_Economicos!D$2+1)^(1/12)-1))</f>
        <v>165043.07858183846</v>
      </c>
      <c r="Z698" s="18">
        <f t="shared" ca="1" si="87"/>
        <v>50552275.596165106</v>
      </c>
      <c r="AA698" s="18">
        <f ca="1">Auxiliar_Projetos!E698</f>
        <v>3.8030260553313571E-9</v>
      </c>
      <c r="AB698" s="18">
        <f ca="1">Auxiliar_Projetos!K698</f>
        <v>2.9254046579471932E-9</v>
      </c>
      <c r="AC698" s="18">
        <f ca="1">IF(Z698-AA698-AB698&gt;Investimentos!$C$14,Investimentos!$C$14,IF(Z698-AA698-AB698&lt;Investimentos!$C$14,Z698-AA698-AB698,0))</f>
        <v>300000</v>
      </c>
      <c r="AD698" s="18">
        <f t="shared" ca="1" si="88"/>
        <v>50252275.596165098</v>
      </c>
      <c r="AE698" s="18"/>
    </row>
    <row r="699" spans="1:31" x14ac:dyDescent="0.2">
      <c r="A699" s="4">
        <v>66873</v>
      </c>
      <c r="B699" s="5" t="str">
        <f t="shared" si="84"/>
        <v>fevereiro</v>
      </c>
      <c r="C699" s="5" t="str">
        <f t="shared" si="90"/>
        <v>2083</v>
      </c>
      <c r="D699" s="5">
        <f>SUMIFS(Despesas!$F:$F,Despesas!$J:$J,"&lt;="&amp;$A699,Despesas!$L:$L,"&gt;="&amp;$A699,Despesas!$C:$C,D$1,Despesas!$M:$M,"Mensal")+SUMIFS(Despesas!$F:$F,Despesas!$J:$J,"&lt;="&amp;$A699,Despesas!$L:$L,"&gt;="&amp;$A699,Despesas!$C:$C,D$1,Despesas!$M:$M,$B699)</f>
        <v>23000</v>
      </c>
      <c r="E699" s="18">
        <f>SUMIFS(Despesas!$F:$F,Despesas!$J:$J,"&lt;="&amp;$A699,Despesas!$L:$L,"&gt;="&amp;$A699,Despesas!$C:$C,E$1,Despesas!$M:$M,"Mensal")+SUMIFS(Despesas!$F:$F,Despesas!$J:$J,"&lt;="&amp;$A699,Despesas!$L:$L,"&gt;="&amp;$A699,Despesas!$C:$C,E$1,Despesas!$M:$M,$B699)</f>
        <v>0</v>
      </c>
      <c r="F699" s="5">
        <f>SUMIFS(Despesas!$F:$F,Despesas!$J:$J,"&lt;="&amp;$A699,Despesas!$L:$L,"&gt;="&amp;$A699,Despesas!$C:$C,F$1,Despesas!$M:$M,"Mensal")+SUMIFS(Despesas!$F:$F,Despesas!$J:$J,"&lt;="&amp;$A699,Despesas!$L:$L,"&gt;="&amp;$A699,Despesas!$C:$C,F$1,Despesas!$M:$M,$B699)</f>
        <v>13000</v>
      </c>
      <c r="G699" s="5">
        <f>SUMIFS(Despesas!$F:$F,Despesas!$J:$J,"&lt;="&amp;$A699,Despesas!$L:$L,"&gt;="&amp;$A699,Despesas!$C:$C,G$1,Despesas!$M:$M,"Mensal")+SUMIFS(Despesas!$F:$F,Despesas!$J:$J,"&lt;="&amp;$A699,Despesas!$L:$L,"&gt;="&amp;$A699,Despesas!$C:$C,G$1,Despesas!$M:$M,$B699)</f>
        <v>0</v>
      </c>
      <c r="H699" s="18">
        <f>SUMIFS(Despesas!$F:$F,Despesas!$J:$J,"&lt;="&amp;$A699,Despesas!$L:$L,"&gt;="&amp;$A699,Despesas!$C:$C,H$1,Despesas!$M:$M,"Mensal")+SUMIFS(Despesas!$F:$F,Despesas!$J:$J,"&lt;="&amp;$A699,Despesas!$L:$L,"&gt;="&amp;$A699,Despesas!$C:$C,H$1,Despesas!$M:$M,$B699)</f>
        <v>2200</v>
      </c>
      <c r="I699" s="18">
        <f>IF(Imóveis!$F$2="PRICE",IF(AND(Dados!$A699&gt;=Imóveis!$Q$2,Dados!$A699&lt;=Imóveis!$T$2),Imóveis!$U$2,0),IF((IF(AND(Dados!$A699&gt;=Imóveis!$Q$2,Dados!$A699&lt;=Imóveis!$T$2),Imóveis!$S$2-(DATEDIF(Imóveis!$Q$2,Dados!$A699,"m")),0))=0,0,((Imóveis!$N$2/Imóveis!$S$2)+((Imóveis!$N$2-((Imóveis!$S$2-(IF(AND(Dados!$A699&gt;=Imóveis!$Q$2,Dados!$A699&lt;=Imóveis!$T$2),Imóveis!$S$2-(DATEDIF(Imóveis!$Q$2,Dados!$A699,"m")),)))*(Imóveis!$N$2/Imóveis!$S$2)))*Imóveis!$P$2))))*IF(AND(Imóveis!$E$2&gt;0,Dados!$A699&gt;Imóveis!$E$2),0,1)</f>
        <v>0</v>
      </c>
      <c r="J699" s="18">
        <f>IF(Imóveis!$F$3="PRICE",IF(AND(Dados!$A699&gt;=Imóveis!$Q$3,Dados!$A699&lt;=Imóveis!$T$3),Imóveis!$U$3,0),IF((IF(AND(Dados!$A699&gt;=Imóveis!$Q$3,Dados!$A699&lt;=Imóveis!$T$3),Imóveis!$S$3-(DATEDIF(Imóveis!$Q$3,Dados!$A699,"m")),0))=0,0,((Imóveis!$N$3/Imóveis!$S$3)+((Imóveis!$N$3-((Imóveis!$S$3-(IF(AND(Dados!$A699&gt;=Imóveis!$Q$3,Dados!$A699&lt;=Imóveis!$T$3),Imóveis!$S$3-(DATEDIF(Imóveis!$Q$3,Dados!$A699,"m")),)))*(Imóveis!$N$3/Imóveis!$S$3)))*Imóveis!$P$3))))*IF(AND(Imóveis!$E$3&gt;0,Dados!$A699&gt;Imóveis!$E$3),0,1)</f>
        <v>0</v>
      </c>
      <c r="K699" s="18">
        <f>IF(Imóveis!$F$4="PRICE",IF(AND(Dados!$A699&gt;=Imóveis!$Q$4,Dados!$A699&lt;=Imóveis!$T$4),Imóveis!$U$4,0),IF((IF(AND(Dados!$A699&gt;=Imóveis!$Q$4,Dados!$A699&lt;=Imóveis!$T$4),Imóveis!$S$4-(DATEDIF(Imóveis!$Q$4,Dados!$A699,"m")),0))=0,0,((Imóveis!$N$4/Imóveis!$S$4)+((Imóveis!$N$4-((Imóveis!$S$4-(IF(AND(Dados!$A699&gt;=Imóveis!$Q$4,Dados!$A699&lt;=Imóveis!$T$4),Imóveis!$S$4-(DATEDIF(Imóveis!$Q$4,Dados!$A699,"m")),)))*(Imóveis!$N$4/Imóveis!$S$4)))*Imóveis!$P$4))))*IF(AND(Imóveis!$E$4&gt;0,Dados!$A699&gt;Imóveis!$E$4),0,1)</f>
        <v>0</v>
      </c>
      <c r="L699" s="18">
        <f>IF(Imóveis!$F$5="PRICE",IF(AND(Dados!$A699&gt;=Imóveis!$Q$5,Dados!$A699&lt;=Imóveis!$T$5),Imóveis!$U$5,0),IF((IF(AND(Dados!$A699&gt;=Imóveis!$Q$5,Dados!$A699&lt;=Imóveis!$T$5),Imóveis!$S$5-(DATEDIF(Imóveis!$Q$5,Dados!$A699,"m")),0))=0,0,((Imóveis!$N$5/Imóveis!$S$5)+((Imóveis!$N$5-((Imóveis!$S$5-(IF(AND(Dados!$A699 &gt;=Imóveis!$Q$5,Dados!$A699&lt;=Imóveis!$T$5),Imóveis!$S$5-(DATEDIF(Imóveis!$Q$5,Dados!$A699,"m")),)))*(Imóveis!$N$5/Imóveis!$S$5)))*Imóveis!$P$5))))*IF(AND(Imóveis!$E$5&gt;0,Dados!$A699&gt;Imóveis!$E$5),0,1)*Imóveis!$I$5</f>
        <v>0</v>
      </c>
      <c r="M699" s="18">
        <f>IF(Imóveis!$F$6="PRICE",IF(AND(Dados!$A699&gt;=Imóveis!$Q$6,Dados!$A699&lt;=Imóveis!$T$6),Imóveis!$U$6,0),IF((IF(AND(Dados!$A699&gt;=Imóveis!$Q$6,Dados!$A699&lt;=Imóveis!$T$6),Imóveis!$S$6-(DATEDIF(Imóveis!$Q$6,Dados!$A699,"m")),0))=0,0,((Imóveis!$N$6/Imóveis!$S$6)+((Imóveis!$N$6-((Imóveis!$S$6-(IF(AND(Dados!$A699&gt;=Imóveis!$Q$6,Dados!$A699&lt;=Imóveis!$T$6),Imóveis!$S$6-(DATEDIF(Imóveis!$Q$6,Dados!$A699,"m")),)))*(Imóveis!$N$6/Imóveis!$S$6)))*Imóveis!$P$6))))*IF(AND(Imóveis!$E$6&gt;0,Dados!$A699&gt;Imóveis!$E$6),0,1)*Imóveis!$I$6</f>
        <v>0</v>
      </c>
      <c r="N699" s="18">
        <f t="shared" si="85"/>
        <v>38200</v>
      </c>
      <c r="O699" s="18">
        <f>SUMIFS(Receitas!$F:$F,Receitas!$J:$J,"&lt;="&amp;$A699,Receitas!$L:$L,"&gt;="&amp;$A699,Receitas!$C:$C,O$1,Receitas!$M:$M,"Mensal")+SUMIFS(Receitas!$F:$F,Receitas!$J:$J,"&lt;="&amp;$A699,Receitas!$L:$L,"&gt;="&amp;$A699,Receitas!$C:$C,O$1,Receitas!$M:$M,$B699)</f>
        <v>0</v>
      </c>
      <c r="P699" s="18">
        <f>SUMIFS(Receitas!$F:$F,Receitas!$J:$J,"&lt;="&amp;$A699,Receitas!$L:$L,"&gt;="&amp;$A699,Receitas!$C:$C,P$1,Receitas!$M:$M,"Mensal")+SUMIFS(Receitas!$F:$F,Receitas!$J:$J,"&lt;="&amp;$A699,Receitas!$L:$L,"&gt;="&amp;$A699,Receitas!$C:$C,P$1,Receitas!$M:$M,$B699)</f>
        <v>0</v>
      </c>
      <c r="Q699" s="18">
        <f>SUMIFS(Receitas!$F:$F,Receitas!$J:$J,"&lt;="&amp;$A699,Receitas!$L:$L,"&gt;="&amp;$A699,Receitas!$C:$C,Q$1,Receitas!$M:$M,"Mensal")+SUMIFS(Receitas!$F:$F,Receitas!$J:$J,"&lt;="&amp;$A699,Receitas!$L:$L,"&gt;="&amp;$A699,Receitas!$C:$C,Q$1,Receitas!$M:$M,$B699)</f>
        <v>0</v>
      </c>
      <c r="R699" s="18" cm="1">
        <f t="array" ref="R699">(IF(AND(Membros!$F$2="Sim",A699&lt;=MAX(Membros!$E$2:$E$5)),Membros!K$2,IF(AND(A699&gt;=Membros!J$2,A699&lt;=MAX(Membros!$E$2:$E$5)),Membros!K$2,0))+IF(AND(Membros!$F$3="Sim",A699&lt;=MAX(Membros!$E$2:$E$5)),Membros!K$3,IF(AND(A699&gt;=Membros!J$3,A699&lt;=MAX(Membros!$E$2:$E$5)),Membros!K$3,0)))*IF(AND(COUNTIFS(Tabela3[Tipo],"Provedor",Tabela3[Simulação Seguro],"Sim")=2,A699&gt;=MAX(IF(Tabela3[Tipo]="Dependente",Tabela3[Expectativa de Vida (Data)]))),0,1)</f>
        <v>10000</v>
      </c>
      <c r="S699" s="18">
        <f t="shared" si="86"/>
        <v>10000</v>
      </c>
      <c r="U699" s="18">
        <f t="shared" ca="1" si="89"/>
        <v>50552275.596165106</v>
      </c>
      <c r="V699" s="18">
        <f>SUMIF(Imóveis!E:E,Dados!A:A,Imóveis!Z:Z)-SUMIF(Imóveis!E:E,Dados!A:A,Imóveis!Y:Y)</f>
        <v>0</v>
      </c>
      <c r="W699" s="18">
        <f>-SUMIF(Projetos!N:N,A699,Projetos!F:F)</f>
        <v>0</v>
      </c>
      <c r="X699" s="18">
        <f t="shared" si="83"/>
        <v>-28200</v>
      </c>
      <c r="Y699" s="26">
        <f ca="1">(U699*((Indicadores_Economicos!D$2+1)^(1/12)-1))</f>
        <v>165494.99569984907</v>
      </c>
      <c r="Z699" s="18">
        <f t="shared" ca="1" si="87"/>
        <v>50689570.591864958</v>
      </c>
      <c r="AA699" s="18">
        <f ca="1">Auxiliar_Projetos!E699</f>
        <v>3.8154761730214342E-9</v>
      </c>
      <c r="AB699" s="18">
        <f ca="1">Auxiliar_Projetos!K699</f>
        <v>2.9349816715549448E-9</v>
      </c>
      <c r="AC699" s="18">
        <f ca="1">IF(Z699-AA699-AB699&gt;Investimentos!$C$14,Investimentos!$C$14,IF(Z699-AA699-AB699&lt;Investimentos!$C$14,Z699-AA699-AB699,0))</f>
        <v>300000</v>
      </c>
      <c r="AD699" s="18">
        <f t="shared" ca="1" si="88"/>
        <v>50389570.591864951</v>
      </c>
      <c r="AE699" s="18"/>
    </row>
    <row r="700" spans="1:31" x14ac:dyDescent="0.2">
      <c r="A700" s="4">
        <v>66901</v>
      </c>
      <c r="B700" s="5" t="str">
        <f t="shared" si="84"/>
        <v>março</v>
      </c>
      <c r="C700" s="5" t="str">
        <f t="shared" si="90"/>
        <v>2083</v>
      </c>
      <c r="D700" s="5">
        <f>SUMIFS(Despesas!$F:$F,Despesas!$J:$J,"&lt;="&amp;$A700,Despesas!$L:$L,"&gt;="&amp;$A700,Despesas!$C:$C,D$1,Despesas!$M:$M,"Mensal")+SUMIFS(Despesas!$F:$F,Despesas!$J:$J,"&lt;="&amp;$A700,Despesas!$L:$L,"&gt;="&amp;$A700,Despesas!$C:$C,D$1,Despesas!$M:$M,$B700)</f>
        <v>23000</v>
      </c>
      <c r="E700" s="18">
        <f>SUMIFS(Despesas!$F:$F,Despesas!$J:$J,"&lt;="&amp;$A700,Despesas!$L:$L,"&gt;="&amp;$A700,Despesas!$C:$C,E$1,Despesas!$M:$M,"Mensal")+SUMIFS(Despesas!$F:$F,Despesas!$J:$J,"&lt;="&amp;$A700,Despesas!$L:$L,"&gt;="&amp;$A700,Despesas!$C:$C,E$1,Despesas!$M:$M,$B700)</f>
        <v>0</v>
      </c>
      <c r="F700" s="5">
        <f>SUMIFS(Despesas!$F:$F,Despesas!$J:$J,"&lt;="&amp;$A700,Despesas!$L:$L,"&gt;="&amp;$A700,Despesas!$C:$C,F$1,Despesas!$M:$M,"Mensal")+SUMIFS(Despesas!$F:$F,Despesas!$J:$J,"&lt;="&amp;$A700,Despesas!$L:$L,"&gt;="&amp;$A700,Despesas!$C:$C,F$1,Despesas!$M:$M,$B700)</f>
        <v>13000</v>
      </c>
      <c r="G700" s="5">
        <f>SUMIFS(Despesas!$F:$F,Despesas!$J:$J,"&lt;="&amp;$A700,Despesas!$L:$L,"&gt;="&amp;$A700,Despesas!$C:$C,G$1,Despesas!$M:$M,"Mensal")+SUMIFS(Despesas!$F:$F,Despesas!$J:$J,"&lt;="&amp;$A700,Despesas!$L:$L,"&gt;="&amp;$A700,Despesas!$C:$C,G$1,Despesas!$M:$M,$B700)</f>
        <v>0</v>
      </c>
      <c r="H700" s="18">
        <f>SUMIFS(Despesas!$F:$F,Despesas!$J:$J,"&lt;="&amp;$A700,Despesas!$L:$L,"&gt;="&amp;$A700,Despesas!$C:$C,H$1,Despesas!$M:$M,"Mensal")+SUMIFS(Despesas!$F:$F,Despesas!$J:$J,"&lt;="&amp;$A700,Despesas!$L:$L,"&gt;="&amp;$A700,Despesas!$C:$C,H$1,Despesas!$M:$M,$B700)</f>
        <v>1000</v>
      </c>
      <c r="I700" s="18">
        <f>IF(Imóveis!$F$2="PRICE",IF(AND(Dados!$A700&gt;=Imóveis!$Q$2,Dados!$A700&lt;=Imóveis!$T$2),Imóveis!$U$2,0),IF((IF(AND(Dados!$A700&gt;=Imóveis!$Q$2,Dados!$A700&lt;=Imóveis!$T$2),Imóveis!$S$2-(DATEDIF(Imóveis!$Q$2,Dados!$A700,"m")),0))=0,0,((Imóveis!$N$2/Imóveis!$S$2)+((Imóveis!$N$2-((Imóveis!$S$2-(IF(AND(Dados!$A700&gt;=Imóveis!$Q$2,Dados!$A700&lt;=Imóveis!$T$2),Imóveis!$S$2-(DATEDIF(Imóveis!$Q$2,Dados!$A700,"m")),)))*(Imóveis!$N$2/Imóveis!$S$2)))*Imóveis!$P$2))))*IF(AND(Imóveis!$E$2&gt;0,Dados!$A700&gt;Imóveis!$E$2),0,1)</f>
        <v>0</v>
      </c>
      <c r="J700" s="18">
        <f>IF(Imóveis!$F$3="PRICE",IF(AND(Dados!$A700&gt;=Imóveis!$Q$3,Dados!$A700&lt;=Imóveis!$T$3),Imóveis!$U$3,0),IF((IF(AND(Dados!$A700&gt;=Imóveis!$Q$3,Dados!$A700&lt;=Imóveis!$T$3),Imóveis!$S$3-(DATEDIF(Imóveis!$Q$3,Dados!$A700,"m")),0))=0,0,((Imóveis!$N$3/Imóveis!$S$3)+((Imóveis!$N$3-((Imóveis!$S$3-(IF(AND(Dados!$A700&gt;=Imóveis!$Q$3,Dados!$A700&lt;=Imóveis!$T$3),Imóveis!$S$3-(DATEDIF(Imóveis!$Q$3,Dados!$A700,"m")),)))*(Imóveis!$N$3/Imóveis!$S$3)))*Imóveis!$P$3))))*IF(AND(Imóveis!$E$3&gt;0,Dados!$A700&gt;Imóveis!$E$3),0,1)</f>
        <v>0</v>
      </c>
      <c r="K700" s="18">
        <f>IF(Imóveis!$F$4="PRICE",IF(AND(Dados!$A700&gt;=Imóveis!$Q$4,Dados!$A700&lt;=Imóveis!$T$4),Imóveis!$U$4,0),IF((IF(AND(Dados!$A700&gt;=Imóveis!$Q$4,Dados!$A700&lt;=Imóveis!$T$4),Imóveis!$S$4-(DATEDIF(Imóveis!$Q$4,Dados!$A700,"m")),0))=0,0,((Imóveis!$N$4/Imóveis!$S$4)+((Imóveis!$N$4-((Imóveis!$S$4-(IF(AND(Dados!$A700&gt;=Imóveis!$Q$4,Dados!$A700&lt;=Imóveis!$T$4),Imóveis!$S$4-(DATEDIF(Imóveis!$Q$4,Dados!$A700,"m")),)))*(Imóveis!$N$4/Imóveis!$S$4)))*Imóveis!$P$4))))*IF(AND(Imóveis!$E$4&gt;0,Dados!$A700&gt;Imóveis!$E$4),0,1)</f>
        <v>0</v>
      </c>
      <c r="L700" s="18">
        <f>IF(Imóveis!$F$5="PRICE",IF(AND(Dados!$A700&gt;=Imóveis!$Q$5,Dados!$A700&lt;=Imóveis!$T$5),Imóveis!$U$5,0),IF((IF(AND(Dados!$A700&gt;=Imóveis!$Q$5,Dados!$A700&lt;=Imóveis!$T$5),Imóveis!$S$5-(DATEDIF(Imóveis!$Q$5,Dados!$A700,"m")),0))=0,0,((Imóveis!$N$5/Imóveis!$S$5)+((Imóveis!$N$5-((Imóveis!$S$5-(IF(AND(Dados!$A700 &gt;=Imóveis!$Q$5,Dados!$A700&lt;=Imóveis!$T$5),Imóveis!$S$5-(DATEDIF(Imóveis!$Q$5,Dados!$A700,"m")),)))*(Imóveis!$N$5/Imóveis!$S$5)))*Imóveis!$P$5))))*IF(AND(Imóveis!$E$5&gt;0,Dados!$A700&gt;Imóveis!$E$5),0,1)*Imóveis!$I$5</f>
        <v>0</v>
      </c>
      <c r="M700" s="18">
        <f>IF(Imóveis!$F$6="PRICE",IF(AND(Dados!$A700&gt;=Imóveis!$Q$6,Dados!$A700&lt;=Imóveis!$T$6),Imóveis!$U$6,0),IF((IF(AND(Dados!$A700&gt;=Imóveis!$Q$6,Dados!$A700&lt;=Imóveis!$T$6),Imóveis!$S$6-(DATEDIF(Imóveis!$Q$6,Dados!$A700,"m")),0))=0,0,((Imóveis!$N$6/Imóveis!$S$6)+((Imóveis!$N$6-((Imóveis!$S$6-(IF(AND(Dados!$A700&gt;=Imóveis!$Q$6,Dados!$A700&lt;=Imóveis!$T$6),Imóveis!$S$6-(DATEDIF(Imóveis!$Q$6,Dados!$A700,"m")),)))*(Imóveis!$N$6/Imóveis!$S$6)))*Imóveis!$P$6))))*IF(AND(Imóveis!$E$6&gt;0,Dados!$A700&gt;Imóveis!$E$6),0,1)*Imóveis!$I$6</f>
        <v>0</v>
      </c>
      <c r="N700" s="18">
        <f t="shared" si="85"/>
        <v>37000</v>
      </c>
      <c r="O700" s="18">
        <f>SUMIFS(Receitas!$F:$F,Receitas!$J:$J,"&lt;="&amp;$A700,Receitas!$L:$L,"&gt;="&amp;$A700,Receitas!$C:$C,O$1,Receitas!$M:$M,"Mensal")+SUMIFS(Receitas!$F:$F,Receitas!$J:$J,"&lt;="&amp;$A700,Receitas!$L:$L,"&gt;="&amp;$A700,Receitas!$C:$C,O$1,Receitas!$M:$M,$B700)</f>
        <v>0</v>
      </c>
      <c r="P700" s="18">
        <f>SUMIFS(Receitas!$F:$F,Receitas!$J:$J,"&lt;="&amp;$A700,Receitas!$L:$L,"&gt;="&amp;$A700,Receitas!$C:$C,P$1,Receitas!$M:$M,"Mensal")+SUMIFS(Receitas!$F:$F,Receitas!$J:$J,"&lt;="&amp;$A700,Receitas!$L:$L,"&gt;="&amp;$A700,Receitas!$C:$C,P$1,Receitas!$M:$M,$B700)</f>
        <v>0</v>
      </c>
      <c r="Q700" s="18">
        <f>SUMIFS(Receitas!$F:$F,Receitas!$J:$J,"&lt;="&amp;$A700,Receitas!$L:$L,"&gt;="&amp;$A700,Receitas!$C:$C,Q$1,Receitas!$M:$M,"Mensal")+SUMIFS(Receitas!$F:$F,Receitas!$J:$J,"&lt;="&amp;$A700,Receitas!$L:$L,"&gt;="&amp;$A700,Receitas!$C:$C,Q$1,Receitas!$M:$M,$B700)</f>
        <v>0</v>
      </c>
      <c r="R700" s="18" cm="1">
        <f t="array" ref="R700">(IF(AND(Membros!$F$2="Sim",A700&lt;=MAX(Membros!$E$2:$E$5)),Membros!K$2,IF(AND(A700&gt;=Membros!J$2,A700&lt;=MAX(Membros!$E$2:$E$5)),Membros!K$2,0))+IF(AND(Membros!$F$3="Sim",A700&lt;=MAX(Membros!$E$2:$E$5)),Membros!K$3,IF(AND(A700&gt;=Membros!J$3,A700&lt;=MAX(Membros!$E$2:$E$5)),Membros!K$3,0)))*IF(AND(COUNTIFS(Tabela3[Tipo],"Provedor",Tabela3[Simulação Seguro],"Sim")=2,A700&gt;=MAX(IF(Tabela3[Tipo]="Dependente",Tabela3[Expectativa de Vida (Data)]))),0,1)</f>
        <v>10000</v>
      </c>
      <c r="S700" s="18">
        <f t="shared" si="86"/>
        <v>10000</v>
      </c>
      <c r="U700" s="18">
        <f t="shared" ca="1" si="89"/>
        <v>50689570.591864958</v>
      </c>
      <c r="V700" s="18">
        <f>SUMIF(Imóveis!E:E,Dados!A:A,Imóveis!Z:Z)-SUMIF(Imóveis!E:E,Dados!A:A,Imóveis!Y:Y)</f>
        <v>0</v>
      </c>
      <c r="W700" s="18">
        <f>-SUMIF(Projetos!N:N,A700,Projetos!F:F)</f>
        <v>0</v>
      </c>
      <c r="X700" s="18">
        <f t="shared" si="83"/>
        <v>-27000</v>
      </c>
      <c r="Y700" s="26">
        <f ca="1">(U700*((Indicadores_Economicos!D$2+1)^(1/12)-1))</f>
        <v>165944.46378916848</v>
      </c>
      <c r="Z700" s="18">
        <f t="shared" ca="1" si="87"/>
        <v>50828515.055654123</v>
      </c>
      <c r="AA700" s="18">
        <f ca="1">Auxiliar_Projetos!E700</f>
        <v>3.8279670491570863E-9</v>
      </c>
      <c r="AB700" s="18">
        <f ca="1">Auxiliar_Projetos!K700</f>
        <v>2.944590037813139E-9</v>
      </c>
      <c r="AC700" s="18">
        <f ca="1">IF(Z700-AA700-AB700&gt;Investimentos!$C$14,Investimentos!$C$14,IF(Z700-AA700-AB700&lt;Investimentos!$C$14,Z700-AA700-AB700,0))</f>
        <v>300000</v>
      </c>
      <c r="AD700" s="18">
        <f t="shared" ca="1" si="88"/>
        <v>50528515.055654116</v>
      </c>
      <c r="AE700" s="18"/>
    </row>
    <row r="701" spans="1:31" x14ac:dyDescent="0.2">
      <c r="A701" s="4">
        <v>66932</v>
      </c>
      <c r="B701" s="5" t="str">
        <f t="shared" si="84"/>
        <v>abril</v>
      </c>
      <c r="C701" s="5" t="str">
        <f t="shared" si="90"/>
        <v>2083</v>
      </c>
      <c r="D701" s="5">
        <f>SUMIFS(Despesas!$F:$F,Despesas!$J:$J,"&lt;="&amp;$A701,Despesas!$L:$L,"&gt;="&amp;$A701,Despesas!$C:$C,D$1,Despesas!$M:$M,"Mensal")+SUMIFS(Despesas!$F:$F,Despesas!$J:$J,"&lt;="&amp;$A701,Despesas!$L:$L,"&gt;="&amp;$A701,Despesas!$C:$C,D$1,Despesas!$M:$M,$B701)</f>
        <v>23000</v>
      </c>
      <c r="E701" s="18">
        <f>SUMIFS(Despesas!$F:$F,Despesas!$J:$J,"&lt;="&amp;$A701,Despesas!$L:$L,"&gt;="&amp;$A701,Despesas!$C:$C,E$1,Despesas!$M:$M,"Mensal")+SUMIFS(Despesas!$F:$F,Despesas!$J:$J,"&lt;="&amp;$A701,Despesas!$L:$L,"&gt;="&amp;$A701,Despesas!$C:$C,E$1,Despesas!$M:$M,$B701)</f>
        <v>0</v>
      </c>
      <c r="F701" s="5">
        <f>SUMIFS(Despesas!$F:$F,Despesas!$J:$J,"&lt;="&amp;$A701,Despesas!$L:$L,"&gt;="&amp;$A701,Despesas!$C:$C,F$1,Despesas!$M:$M,"Mensal")+SUMIFS(Despesas!$F:$F,Despesas!$J:$J,"&lt;="&amp;$A701,Despesas!$L:$L,"&gt;="&amp;$A701,Despesas!$C:$C,F$1,Despesas!$M:$M,$B701)</f>
        <v>13000</v>
      </c>
      <c r="G701" s="5">
        <f>SUMIFS(Despesas!$F:$F,Despesas!$J:$J,"&lt;="&amp;$A701,Despesas!$L:$L,"&gt;="&amp;$A701,Despesas!$C:$C,G$1,Despesas!$M:$M,"Mensal")+SUMIFS(Despesas!$F:$F,Despesas!$J:$J,"&lt;="&amp;$A701,Despesas!$L:$L,"&gt;="&amp;$A701,Despesas!$C:$C,G$1,Despesas!$M:$M,$B701)</f>
        <v>0</v>
      </c>
      <c r="H701" s="18">
        <f>SUMIFS(Despesas!$F:$F,Despesas!$J:$J,"&lt;="&amp;$A701,Despesas!$L:$L,"&gt;="&amp;$A701,Despesas!$C:$C,H$1,Despesas!$M:$M,"Mensal")+SUMIFS(Despesas!$F:$F,Despesas!$J:$J,"&lt;="&amp;$A701,Despesas!$L:$L,"&gt;="&amp;$A701,Despesas!$C:$C,H$1,Despesas!$M:$M,$B701)</f>
        <v>1000</v>
      </c>
      <c r="I701" s="18">
        <f>IF(Imóveis!$F$2="PRICE",IF(AND(Dados!$A701&gt;=Imóveis!$Q$2,Dados!$A701&lt;=Imóveis!$T$2),Imóveis!$U$2,0),IF((IF(AND(Dados!$A701&gt;=Imóveis!$Q$2,Dados!$A701&lt;=Imóveis!$T$2),Imóveis!$S$2-(DATEDIF(Imóveis!$Q$2,Dados!$A701,"m")),0))=0,0,((Imóveis!$N$2/Imóveis!$S$2)+((Imóveis!$N$2-((Imóveis!$S$2-(IF(AND(Dados!$A701&gt;=Imóveis!$Q$2,Dados!$A701&lt;=Imóveis!$T$2),Imóveis!$S$2-(DATEDIF(Imóveis!$Q$2,Dados!$A701,"m")),)))*(Imóveis!$N$2/Imóveis!$S$2)))*Imóveis!$P$2))))*IF(AND(Imóveis!$E$2&gt;0,Dados!$A701&gt;Imóveis!$E$2),0,1)</f>
        <v>0</v>
      </c>
      <c r="J701" s="18">
        <f>IF(Imóveis!$F$3="PRICE",IF(AND(Dados!$A701&gt;=Imóveis!$Q$3,Dados!$A701&lt;=Imóveis!$T$3),Imóveis!$U$3,0),IF((IF(AND(Dados!$A701&gt;=Imóveis!$Q$3,Dados!$A701&lt;=Imóveis!$T$3),Imóveis!$S$3-(DATEDIF(Imóveis!$Q$3,Dados!$A701,"m")),0))=0,0,((Imóveis!$N$3/Imóveis!$S$3)+((Imóveis!$N$3-((Imóveis!$S$3-(IF(AND(Dados!$A701&gt;=Imóveis!$Q$3,Dados!$A701&lt;=Imóveis!$T$3),Imóveis!$S$3-(DATEDIF(Imóveis!$Q$3,Dados!$A701,"m")),)))*(Imóveis!$N$3/Imóveis!$S$3)))*Imóveis!$P$3))))*IF(AND(Imóveis!$E$3&gt;0,Dados!$A701&gt;Imóveis!$E$3),0,1)</f>
        <v>0</v>
      </c>
      <c r="K701" s="18">
        <f>IF(Imóveis!$F$4="PRICE",IF(AND(Dados!$A701&gt;=Imóveis!$Q$4,Dados!$A701&lt;=Imóveis!$T$4),Imóveis!$U$4,0),IF((IF(AND(Dados!$A701&gt;=Imóveis!$Q$4,Dados!$A701&lt;=Imóveis!$T$4),Imóveis!$S$4-(DATEDIF(Imóveis!$Q$4,Dados!$A701,"m")),0))=0,0,((Imóveis!$N$4/Imóveis!$S$4)+((Imóveis!$N$4-((Imóveis!$S$4-(IF(AND(Dados!$A701&gt;=Imóveis!$Q$4,Dados!$A701&lt;=Imóveis!$T$4),Imóveis!$S$4-(DATEDIF(Imóveis!$Q$4,Dados!$A701,"m")),)))*(Imóveis!$N$4/Imóveis!$S$4)))*Imóveis!$P$4))))*IF(AND(Imóveis!$E$4&gt;0,Dados!$A701&gt;Imóveis!$E$4),0,1)</f>
        <v>0</v>
      </c>
      <c r="L701" s="18">
        <f>IF(Imóveis!$F$5="PRICE",IF(AND(Dados!$A701&gt;=Imóveis!$Q$5,Dados!$A701&lt;=Imóveis!$T$5),Imóveis!$U$5,0),IF((IF(AND(Dados!$A701&gt;=Imóveis!$Q$5,Dados!$A701&lt;=Imóveis!$T$5),Imóveis!$S$5-(DATEDIF(Imóveis!$Q$5,Dados!$A701,"m")),0))=0,0,((Imóveis!$N$5/Imóveis!$S$5)+((Imóveis!$N$5-((Imóveis!$S$5-(IF(AND(Dados!$A701 &gt;=Imóveis!$Q$5,Dados!$A701&lt;=Imóveis!$T$5),Imóveis!$S$5-(DATEDIF(Imóveis!$Q$5,Dados!$A701,"m")),)))*(Imóveis!$N$5/Imóveis!$S$5)))*Imóveis!$P$5))))*IF(AND(Imóveis!$E$5&gt;0,Dados!$A701&gt;Imóveis!$E$5),0,1)*Imóveis!$I$5</f>
        <v>0</v>
      </c>
      <c r="M701" s="18">
        <f>IF(Imóveis!$F$6="PRICE",IF(AND(Dados!$A701&gt;=Imóveis!$Q$6,Dados!$A701&lt;=Imóveis!$T$6),Imóveis!$U$6,0),IF((IF(AND(Dados!$A701&gt;=Imóveis!$Q$6,Dados!$A701&lt;=Imóveis!$T$6),Imóveis!$S$6-(DATEDIF(Imóveis!$Q$6,Dados!$A701,"m")),0))=0,0,((Imóveis!$N$6/Imóveis!$S$6)+((Imóveis!$N$6-((Imóveis!$S$6-(IF(AND(Dados!$A701&gt;=Imóveis!$Q$6,Dados!$A701&lt;=Imóveis!$T$6),Imóveis!$S$6-(DATEDIF(Imóveis!$Q$6,Dados!$A701,"m")),)))*(Imóveis!$N$6/Imóveis!$S$6)))*Imóveis!$P$6))))*IF(AND(Imóveis!$E$6&gt;0,Dados!$A701&gt;Imóveis!$E$6),0,1)*Imóveis!$I$6</f>
        <v>0</v>
      </c>
      <c r="N701" s="18">
        <f t="shared" si="85"/>
        <v>37000</v>
      </c>
      <c r="O701" s="18">
        <f>SUMIFS(Receitas!$F:$F,Receitas!$J:$J,"&lt;="&amp;$A701,Receitas!$L:$L,"&gt;="&amp;$A701,Receitas!$C:$C,O$1,Receitas!$M:$M,"Mensal")+SUMIFS(Receitas!$F:$F,Receitas!$J:$J,"&lt;="&amp;$A701,Receitas!$L:$L,"&gt;="&amp;$A701,Receitas!$C:$C,O$1,Receitas!$M:$M,$B701)</f>
        <v>0</v>
      </c>
      <c r="P701" s="18">
        <f>SUMIFS(Receitas!$F:$F,Receitas!$J:$J,"&lt;="&amp;$A701,Receitas!$L:$L,"&gt;="&amp;$A701,Receitas!$C:$C,P$1,Receitas!$M:$M,"Mensal")+SUMIFS(Receitas!$F:$F,Receitas!$J:$J,"&lt;="&amp;$A701,Receitas!$L:$L,"&gt;="&amp;$A701,Receitas!$C:$C,P$1,Receitas!$M:$M,$B701)</f>
        <v>0</v>
      </c>
      <c r="Q701" s="18">
        <f>SUMIFS(Receitas!$F:$F,Receitas!$J:$J,"&lt;="&amp;$A701,Receitas!$L:$L,"&gt;="&amp;$A701,Receitas!$C:$C,Q$1,Receitas!$M:$M,"Mensal")+SUMIFS(Receitas!$F:$F,Receitas!$J:$J,"&lt;="&amp;$A701,Receitas!$L:$L,"&gt;="&amp;$A701,Receitas!$C:$C,Q$1,Receitas!$M:$M,$B701)</f>
        <v>0</v>
      </c>
      <c r="R701" s="18" cm="1">
        <f t="array" ref="R701">(IF(AND(Membros!$F$2="Sim",A701&lt;=MAX(Membros!$E$2:$E$5)),Membros!K$2,IF(AND(A701&gt;=Membros!J$2,A701&lt;=MAX(Membros!$E$2:$E$5)),Membros!K$2,0))+IF(AND(Membros!$F$3="Sim",A701&lt;=MAX(Membros!$E$2:$E$5)),Membros!K$3,IF(AND(A701&gt;=Membros!J$3,A701&lt;=MAX(Membros!$E$2:$E$5)),Membros!K$3,0)))*IF(AND(COUNTIFS(Tabela3[Tipo],"Provedor",Tabela3[Simulação Seguro],"Sim")=2,A701&gt;=MAX(IF(Tabela3[Tipo]="Dependente",Tabela3[Expectativa de Vida (Data)]))),0,1)</f>
        <v>10000</v>
      </c>
      <c r="S701" s="18">
        <f t="shared" si="86"/>
        <v>10000</v>
      </c>
      <c r="U701" s="18">
        <f t="shared" ca="1" si="89"/>
        <v>50828515.055654123</v>
      </c>
      <c r="V701" s="18">
        <f>SUMIF(Imóveis!E:E,Dados!A:A,Imóveis!Z:Z)-SUMIF(Imóveis!E:E,Dados!A:A,Imóveis!Y:Y)</f>
        <v>0</v>
      </c>
      <c r="W701" s="18">
        <f>-SUMIF(Projetos!N:N,A701,Projetos!F:F)</f>
        <v>0</v>
      </c>
      <c r="X701" s="18">
        <f t="shared" si="83"/>
        <v>-27000</v>
      </c>
      <c r="Y701" s="26">
        <f ca="1">(U701*((Indicadores_Economicos!D$2+1)^(1/12)-1))</f>
        <v>166399.33180779137</v>
      </c>
      <c r="Z701" s="18">
        <f t="shared" ca="1" si="87"/>
        <v>50967914.387461916</v>
      </c>
      <c r="AA701" s="18">
        <f ca="1">Auxiliar_Projetos!E701</f>
        <v>3.8404988171708585E-9</v>
      </c>
      <c r="AB701" s="18">
        <f ca="1">Auxiliar_Projetos!K701</f>
        <v>2.9542298593621944E-9</v>
      </c>
      <c r="AC701" s="18">
        <f ca="1">IF(Z701-AA701-AB701&gt;Investimentos!$C$14,Investimentos!$C$14,IF(Z701-AA701-AB701&lt;Investimentos!$C$14,Z701-AA701-AB701,0))</f>
        <v>300000</v>
      </c>
      <c r="AD701" s="18">
        <f t="shared" ca="1" si="88"/>
        <v>50667914.387461908</v>
      </c>
      <c r="AE701" s="18"/>
    </row>
    <row r="702" spans="1:31" x14ac:dyDescent="0.2">
      <c r="A702" s="4">
        <v>66962</v>
      </c>
      <c r="B702" s="5" t="str">
        <f t="shared" si="84"/>
        <v>maio</v>
      </c>
      <c r="C702" s="5" t="str">
        <f t="shared" si="90"/>
        <v>2083</v>
      </c>
      <c r="D702" s="5">
        <f>SUMIFS(Despesas!$F:$F,Despesas!$J:$J,"&lt;="&amp;$A702,Despesas!$L:$L,"&gt;="&amp;$A702,Despesas!$C:$C,D$1,Despesas!$M:$M,"Mensal")+SUMIFS(Despesas!$F:$F,Despesas!$J:$J,"&lt;="&amp;$A702,Despesas!$L:$L,"&gt;="&amp;$A702,Despesas!$C:$C,D$1,Despesas!$M:$M,$B702)</f>
        <v>23000</v>
      </c>
      <c r="E702" s="18">
        <f>SUMIFS(Despesas!$F:$F,Despesas!$J:$J,"&lt;="&amp;$A702,Despesas!$L:$L,"&gt;="&amp;$A702,Despesas!$C:$C,E$1,Despesas!$M:$M,"Mensal")+SUMIFS(Despesas!$F:$F,Despesas!$J:$J,"&lt;="&amp;$A702,Despesas!$L:$L,"&gt;="&amp;$A702,Despesas!$C:$C,E$1,Despesas!$M:$M,$B702)</f>
        <v>0</v>
      </c>
      <c r="F702" s="5">
        <f>SUMIFS(Despesas!$F:$F,Despesas!$J:$J,"&lt;="&amp;$A702,Despesas!$L:$L,"&gt;="&amp;$A702,Despesas!$C:$C,F$1,Despesas!$M:$M,"Mensal")+SUMIFS(Despesas!$F:$F,Despesas!$J:$J,"&lt;="&amp;$A702,Despesas!$L:$L,"&gt;="&amp;$A702,Despesas!$C:$C,F$1,Despesas!$M:$M,$B702)</f>
        <v>13000</v>
      </c>
      <c r="G702" s="5">
        <f>SUMIFS(Despesas!$F:$F,Despesas!$J:$J,"&lt;="&amp;$A702,Despesas!$L:$L,"&gt;="&amp;$A702,Despesas!$C:$C,G$1,Despesas!$M:$M,"Mensal")+SUMIFS(Despesas!$F:$F,Despesas!$J:$J,"&lt;="&amp;$A702,Despesas!$L:$L,"&gt;="&amp;$A702,Despesas!$C:$C,G$1,Despesas!$M:$M,$B702)</f>
        <v>0</v>
      </c>
      <c r="H702" s="18">
        <f>SUMIFS(Despesas!$F:$F,Despesas!$J:$J,"&lt;="&amp;$A702,Despesas!$L:$L,"&gt;="&amp;$A702,Despesas!$C:$C,H$1,Despesas!$M:$M,"Mensal")+SUMIFS(Despesas!$F:$F,Despesas!$J:$J,"&lt;="&amp;$A702,Despesas!$L:$L,"&gt;="&amp;$A702,Despesas!$C:$C,H$1,Despesas!$M:$M,$B702)</f>
        <v>1000</v>
      </c>
      <c r="I702" s="18">
        <f>IF(Imóveis!$F$2="PRICE",IF(AND(Dados!$A702&gt;=Imóveis!$Q$2,Dados!$A702&lt;=Imóveis!$T$2),Imóveis!$U$2,0),IF((IF(AND(Dados!$A702&gt;=Imóveis!$Q$2,Dados!$A702&lt;=Imóveis!$T$2),Imóveis!$S$2-(DATEDIF(Imóveis!$Q$2,Dados!$A702,"m")),0))=0,0,((Imóveis!$N$2/Imóveis!$S$2)+((Imóveis!$N$2-((Imóveis!$S$2-(IF(AND(Dados!$A702&gt;=Imóveis!$Q$2,Dados!$A702&lt;=Imóveis!$T$2),Imóveis!$S$2-(DATEDIF(Imóveis!$Q$2,Dados!$A702,"m")),)))*(Imóveis!$N$2/Imóveis!$S$2)))*Imóveis!$P$2))))*IF(AND(Imóveis!$E$2&gt;0,Dados!$A702&gt;Imóveis!$E$2),0,1)</f>
        <v>0</v>
      </c>
      <c r="J702" s="18">
        <f>IF(Imóveis!$F$3="PRICE",IF(AND(Dados!$A702&gt;=Imóveis!$Q$3,Dados!$A702&lt;=Imóveis!$T$3),Imóveis!$U$3,0),IF((IF(AND(Dados!$A702&gt;=Imóveis!$Q$3,Dados!$A702&lt;=Imóveis!$T$3),Imóveis!$S$3-(DATEDIF(Imóveis!$Q$3,Dados!$A702,"m")),0))=0,0,((Imóveis!$N$3/Imóveis!$S$3)+((Imóveis!$N$3-((Imóveis!$S$3-(IF(AND(Dados!$A702&gt;=Imóveis!$Q$3,Dados!$A702&lt;=Imóveis!$T$3),Imóveis!$S$3-(DATEDIF(Imóveis!$Q$3,Dados!$A702,"m")),)))*(Imóveis!$N$3/Imóveis!$S$3)))*Imóveis!$P$3))))*IF(AND(Imóveis!$E$3&gt;0,Dados!$A702&gt;Imóveis!$E$3),0,1)</f>
        <v>0</v>
      </c>
      <c r="K702" s="18">
        <f>IF(Imóveis!$F$4="PRICE",IF(AND(Dados!$A702&gt;=Imóveis!$Q$4,Dados!$A702&lt;=Imóveis!$T$4),Imóveis!$U$4,0),IF((IF(AND(Dados!$A702&gt;=Imóveis!$Q$4,Dados!$A702&lt;=Imóveis!$T$4),Imóveis!$S$4-(DATEDIF(Imóveis!$Q$4,Dados!$A702,"m")),0))=0,0,((Imóveis!$N$4/Imóveis!$S$4)+((Imóveis!$N$4-((Imóveis!$S$4-(IF(AND(Dados!$A702&gt;=Imóveis!$Q$4,Dados!$A702&lt;=Imóveis!$T$4),Imóveis!$S$4-(DATEDIF(Imóveis!$Q$4,Dados!$A702,"m")),)))*(Imóveis!$N$4/Imóveis!$S$4)))*Imóveis!$P$4))))*IF(AND(Imóveis!$E$4&gt;0,Dados!$A702&gt;Imóveis!$E$4),0,1)</f>
        <v>0</v>
      </c>
      <c r="L702" s="18">
        <f>IF(Imóveis!$F$5="PRICE",IF(AND(Dados!$A702&gt;=Imóveis!$Q$5,Dados!$A702&lt;=Imóveis!$T$5),Imóveis!$U$5,0),IF((IF(AND(Dados!$A702&gt;=Imóveis!$Q$5,Dados!$A702&lt;=Imóveis!$T$5),Imóveis!$S$5-(DATEDIF(Imóveis!$Q$5,Dados!$A702,"m")),0))=0,0,((Imóveis!$N$5/Imóveis!$S$5)+((Imóveis!$N$5-((Imóveis!$S$5-(IF(AND(Dados!$A702 &gt;=Imóveis!$Q$5,Dados!$A702&lt;=Imóveis!$T$5),Imóveis!$S$5-(DATEDIF(Imóveis!$Q$5,Dados!$A702,"m")),)))*(Imóveis!$N$5/Imóveis!$S$5)))*Imóveis!$P$5))))*IF(AND(Imóveis!$E$5&gt;0,Dados!$A702&gt;Imóveis!$E$5),0,1)*Imóveis!$I$5</f>
        <v>0</v>
      </c>
      <c r="M702" s="18">
        <f>IF(Imóveis!$F$6="PRICE",IF(AND(Dados!$A702&gt;=Imóveis!$Q$6,Dados!$A702&lt;=Imóveis!$T$6),Imóveis!$U$6,0),IF((IF(AND(Dados!$A702&gt;=Imóveis!$Q$6,Dados!$A702&lt;=Imóveis!$T$6),Imóveis!$S$6-(DATEDIF(Imóveis!$Q$6,Dados!$A702,"m")),0))=0,0,((Imóveis!$N$6/Imóveis!$S$6)+((Imóveis!$N$6-((Imóveis!$S$6-(IF(AND(Dados!$A702&gt;=Imóveis!$Q$6,Dados!$A702&lt;=Imóveis!$T$6),Imóveis!$S$6-(DATEDIF(Imóveis!$Q$6,Dados!$A702,"m")),)))*(Imóveis!$N$6/Imóveis!$S$6)))*Imóveis!$P$6))))*IF(AND(Imóveis!$E$6&gt;0,Dados!$A702&gt;Imóveis!$E$6),0,1)*Imóveis!$I$6</f>
        <v>0</v>
      </c>
      <c r="N702" s="18">
        <f t="shared" si="85"/>
        <v>37000</v>
      </c>
      <c r="O702" s="18">
        <f>SUMIFS(Receitas!$F:$F,Receitas!$J:$J,"&lt;="&amp;$A702,Receitas!$L:$L,"&gt;="&amp;$A702,Receitas!$C:$C,O$1,Receitas!$M:$M,"Mensal")+SUMIFS(Receitas!$F:$F,Receitas!$J:$J,"&lt;="&amp;$A702,Receitas!$L:$L,"&gt;="&amp;$A702,Receitas!$C:$C,O$1,Receitas!$M:$M,$B702)</f>
        <v>0</v>
      </c>
      <c r="P702" s="18">
        <f>SUMIFS(Receitas!$F:$F,Receitas!$J:$J,"&lt;="&amp;$A702,Receitas!$L:$L,"&gt;="&amp;$A702,Receitas!$C:$C,P$1,Receitas!$M:$M,"Mensal")+SUMIFS(Receitas!$F:$F,Receitas!$J:$J,"&lt;="&amp;$A702,Receitas!$L:$L,"&gt;="&amp;$A702,Receitas!$C:$C,P$1,Receitas!$M:$M,$B702)</f>
        <v>0</v>
      </c>
      <c r="Q702" s="18">
        <f>SUMIFS(Receitas!$F:$F,Receitas!$J:$J,"&lt;="&amp;$A702,Receitas!$L:$L,"&gt;="&amp;$A702,Receitas!$C:$C,Q$1,Receitas!$M:$M,"Mensal")+SUMIFS(Receitas!$F:$F,Receitas!$J:$J,"&lt;="&amp;$A702,Receitas!$L:$L,"&gt;="&amp;$A702,Receitas!$C:$C,Q$1,Receitas!$M:$M,$B702)</f>
        <v>0</v>
      </c>
      <c r="R702" s="18" cm="1">
        <f t="array" ref="R702">(IF(AND(Membros!$F$2="Sim",A702&lt;=MAX(Membros!$E$2:$E$5)),Membros!K$2,IF(AND(A702&gt;=Membros!J$2,A702&lt;=MAX(Membros!$E$2:$E$5)),Membros!K$2,0))+IF(AND(Membros!$F$3="Sim",A702&lt;=MAX(Membros!$E$2:$E$5)),Membros!K$3,IF(AND(A702&gt;=Membros!J$3,A702&lt;=MAX(Membros!$E$2:$E$5)),Membros!K$3,0)))*IF(AND(COUNTIFS(Tabela3[Tipo],"Provedor",Tabela3[Simulação Seguro],"Sim")=2,A702&gt;=MAX(IF(Tabela3[Tipo]="Dependente",Tabela3[Expectativa de Vida (Data)]))),0,1)</f>
        <v>10000</v>
      </c>
      <c r="S702" s="18">
        <f t="shared" si="86"/>
        <v>10000</v>
      </c>
      <c r="U702" s="18">
        <f t="shared" ca="1" si="89"/>
        <v>50967914.387461916</v>
      </c>
      <c r="V702" s="18">
        <f>SUMIF(Imóveis!E:E,Dados!A:A,Imóveis!Z:Z)-SUMIF(Imóveis!E:E,Dados!A:A,Imóveis!Y:Y)</f>
        <v>0</v>
      </c>
      <c r="W702" s="18">
        <f>-SUMIF(Projetos!N:N,A702,Projetos!F:F)</f>
        <v>0</v>
      </c>
      <c r="X702" s="18">
        <f t="shared" si="83"/>
        <v>-27000</v>
      </c>
      <c r="Y702" s="26">
        <f ca="1">(U702*((Indicadores_Economicos!D$2+1)^(1/12)-1))</f>
        <v>166855.6889459425</v>
      </c>
      <c r="Z702" s="18">
        <f t="shared" ca="1" si="87"/>
        <v>51107770.076407857</v>
      </c>
      <c r="AA702" s="18">
        <f ca="1">Auxiliar_Projetos!E702</f>
        <v>3.8530716109321186E-9</v>
      </c>
      <c r="AB702" s="18">
        <f ca="1">Auxiliar_Projetos!K702</f>
        <v>2.9639012391785482E-9</v>
      </c>
      <c r="AC702" s="18">
        <f ca="1">IF(Z702-AA702-AB702&gt;Investimentos!$C$14,Investimentos!$C$14,IF(Z702-AA702-AB702&lt;Investimentos!$C$14,Z702-AA702-AB702,0))</f>
        <v>300000</v>
      </c>
      <c r="AD702" s="18">
        <f t="shared" ca="1" si="88"/>
        <v>50807770.07640785</v>
      </c>
      <c r="AE702" s="18"/>
    </row>
    <row r="703" spans="1:31" x14ac:dyDescent="0.2">
      <c r="A703" s="4">
        <v>66993</v>
      </c>
      <c r="B703" s="5" t="str">
        <f t="shared" si="84"/>
        <v>junho</v>
      </c>
      <c r="C703" s="5" t="str">
        <f t="shared" si="90"/>
        <v>2083</v>
      </c>
      <c r="D703" s="5">
        <f>SUMIFS(Despesas!$F:$F,Despesas!$J:$J,"&lt;="&amp;$A703,Despesas!$L:$L,"&gt;="&amp;$A703,Despesas!$C:$C,D$1,Despesas!$M:$M,"Mensal")+SUMIFS(Despesas!$F:$F,Despesas!$J:$J,"&lt;="&amp;$A703,Despesas!$L:$L,"&gt;="&amp;$A703,Despesas!$C:$C,D$1,Despesas!$M:$M,$B703)</f>
        <v>23000</v>
      </c>
      <c r="E703" s="18">
        <f>SUMIFS(Despesas!$F:$F,Despesas!$J:$J,"&lt;="&amp;$A703,Despesas!$L:$L,"&gt;="&amp;$A703,Despesas!$C:$C,E$1,Despesas!$M:$M,"Mensal")+SUMIFS(Despesas!$F:$F,Despesas!$J:$J,"&lt;="&amp;$A703,Despesas!$L:$L,"&gt;="&amp;$A703,Despesas!$C:$C,E$1,Despesas!$M:$M,$B703)</f>
        <v>0</v>
      </c>
      <c r="F703" s="5">
        <f>SUMIFS(Despesas!$F:$F,Despesas!$J:$J,"&lt;="&amp;$A703,Despesas!$L:$L,"&gt;="&amp;$A703,Despesas!$C:$C,F$1,Despesas!$M:$M,"Mensal")+SUMIFS(Despesas!$F:$F,Despesas!$J:$J,"&lt;="&amp;$A703,Despesas!$L:$L,"&gt;="&amp;$A703,Despesas!$C:$C,F$1,Despesas!$M:$M,$B703)</f>
        <v>13000</v>
      </c>
      <c r="G703" s="5">
        <f>SUMIFS(Despesas!$F:$F,Despesas!$J:$J,"&lt;="&amp;$A703,Despesas!$L:$L,"&gt;="&amp;$A703,Despesas!$C:$C,G$1,Despesas!$M:$M,"Mensal")+SUMIFS(Despesas!$F:$F,Despesas!$J:$J,"&lt;="&amp;$A703,Despesas!$L:$L,"&gt;="&amp;$A703,Despesas!$C:$C,G$1,Despesas!$M:$M,$B703)</f>
        <v>0</v>
      </c>
      <c r="H703" s="18">
        <f>SUMIFS(Despesas!$F:$F,Despesas!$J:$J,"&lt;="&amp;$A703,Despesas!$L:$L,"&gt;="&amp;$A703,Despesas!$C:$C,H$1,Despesas!$M:$M,"Mensal")+SUMIFS(Despesas!$F:$F,Despesas!$J:$J,"&lt;="&amp;$A703,Despesas!$L:$L,"&gt;="&amp;$A703,Despesas!$C:$C,H$1,Despesas!$M:$M,$B703)</f>
        <v>1000</v>
      </c>
      <c r="I703" s="18">
        <f>IF(Imóveis!$F$2="PRICE",IF(AND(Dados!$A703&gt;=Imóveis!$Q$2,Dados!$A703&lt;=Imóveis!$T$2),Imóveis!$U$2,0),IF((IF(AND(Dados!$A703&gt;=Imóveis!$Q$2,Dados!$A703&lt;=Imóveis!$T$2),Imóveis!$S$2-(DATEDIF(Imóveis!$Q$2,Dados!$A703,"m")),0))=0,0,((Imóveis!$N$2/Imóveis!$S$2)+((Imóveis!$N$2-((Imóveis!$S$2-(IF(AND(Dados!$A703&gt;=Imóveis!$Q$2,Dados!$A703&lt;=Imóveis!$T$2),Imóveis!$S$2-(DATEDIF(Imóveis!$Q$2,Dados!$A703,"m")),)))*(Imóveis!$N$2/Imóveis!$S$2)))*Imóveis!$P$2))))*IF(AND(Imóveis!$E$2&gt;0,Dados!$A703&gt;Imóveis!$E$2),0,1)</f>
        <v>0</v>
      </c>
      <c r="J703" s="18">
        <f>IF(Imóveis!$F$3="PRICE",IF(AND(Dados!$A703&gt;=Imóveis!$Q$3,Dados!$A703&lt;=Imóveis!$T$3),Imóveis!$U$3,0),IF((IF(AND(Dados!$A703&gt;=Imóveis!$Q$3,Dados!$A703&lt;=Imóveis!$T$3),Imóveis!$S$3-(DATEDIF(Imóveis!$Q$3,Dados!$A703,"m")),0))=0,0,((Imóveis!$N$3/Imóveis!$S$3)+((Imóveis!$N$3-((Imóveis!$S$3-(IF(AND(Dados!$A703&gt;=Imóveis!$Q$3,Dados!$A703&lt;=Imóveis!$T$3),Imóveis!$S$3-(DATEDIF(Imóveis!$Q$3,Dados!$A703,"m")),)))*(Imóveis!$N$3/Imóveis!$S$3)))*Imóveis!$P$3))))*IF(AND(Imóveis!$E$3&gt;0,Dados!$A703&gt;Imóveis!$E$3),0,1)</f>
        <v>0</v>
      </c>
      <c r="K703" s="18">
        <f>IF(Imóveis!$F$4="PRICE",IF(AND(Dados!$A703&gt;=Imóveis!$Q$4,Dados!$A703&lt;=Imóveis!$T$4),Imóveis!$U$4,0),IF((IF(AND(Dados!$A703&gt;=Imóveis!$Q$4,Dados!$A703&lt;=Imóveis!$T$4),Imóveis!$S$4-(DATEDIF(Imóveis!$Q$4,Dados!$A703,"m")),0))=0,0,((Imóveis!$N$4/Imóveis!$S$4)+((Imóveis!$N$4-((Imóveis!$S$4-(IF(AND(Dados!$A703&gt;=Imóveis!$Q$4,Dados!$A703&lt;=Imóveis!$T$4),Imóveis!$S$4-(DATEDIF(Imóveis!$Q$4,Dados!$A703,"m")),)))*(Imóveis!$N$4/Imóveis!$S$4)))*Imóveis!$P$4))))*IF(AND(Imóveis!$E$4&gt;0,Dados!$A703&gt;Imóveis!$E$4),0,1)</f>
        <v>0</v>
      </c>
      <c r="L703" s="18">
        <f>IF(Imóveis!$F$5="PRICE",IF(AND(Dados!$A703&gt;=Imóveis!$Q$5,Dados!$A703&lt;=Imóveis!$T$5),Imóveis!$U$5,0),IF((IF(AND(Dados!$A703&gt;=Imóveis!$Q$5,Dados!$A703&lt;=Imóveis!$T$5),Imóveis!$S$5-(DATEDIF(Imóveis!$Q$5,Dados!$A703,"m")),0))=0,0,((Imóveis!$N$5/Imóveis!$S$5)+((Imóveis!$N$5-((Imóveis!$S$5-(IF(AND(Dados!$A703 &gt;=Imóveis!$Q$5,Dados!$A703&lt;=Imóveis!$T$5),Imóveis!$S$5-(DATEDIF(Imóveis!$Q$5,Dados!$A703,"m")),)))*(Imóveis!$N$5/Imóveis!$S$5)))*Imóveis!$P$5))))*IF(AND(Imóveis!$E$5&gt;0,Dados!$A703&gt;Imóveis!$E$5),0,1)*Imóveis!$I$5</f>
        <v>0</v>
      </c>
      <c r="M703" s="18">
        <f>IF(Imóveis!$F$6="PRICE",IF(AND(Dados!$A703&gt;=Imóveis!$Q$6,Dados!$A703&lt;=Imóveis!$T$6),Imóveis!$U$6,0),IF((IF(AND(Dados!$A703&gt;=Imóveis!$Q$6,Dados!$A703&lt;=Imóveis!$T$6),Imóveis!$S$6-(DATEDIF(Imóveis!$Q$6,Dados!$A703,"m")),0))=0,0,((Imóveis!$N$6/Imóveis!$S$6)+((Imóveis!$N$6-((Imóveis!$S$6-(IF(AND(Dados!$A703&gt;=Imóveis!$Q$6,Dados!$A703&lt;=Imóveis!$T$6),Imóveis!$S$6-(DATEDIF(Imóveis!$Q$6,Dados!$A703,"m")),)))*(Imóveis!$N$6/Imóveis!$S$6)))*Imóveis!$P$6))))*IF(AND(Imóveis!$E$6&gt;0,Dados!$A703&gt;Imóveis!$E$6),0,1)*Imóveis!$I$6</f>
        <v>0</v>
      </c>
      <c r="N703" s="18">
        <f t="shared" si="85"/>
        <v>37000</v>
      </c>
      <c r="O703" s="18">
        <f>SUMIFS(Receitas!$F:$F,Receitas!$J:$J,"&lt;="&amp;$A703,Receitas!$L:$L,"&gt;="&amp;$A703,Receitas!$C:$C,O$1,Receitas!$M:$M,"Mensal")+SUMIFS(Receitas!$F:$F,Receitas!$J:$J,"&lt;="&amp;$A703,Receitas!$L:$L,"&gt;="&amp;$A703,Receitas!$C:$C,O$1,Receitas!$M:$M,$B703)</f>
        <v>0</v>
      </c>
      <c r="P703" s="18">
        <f>SUMIFS(Receitas!$F:$F,Receitas!$J:$J,"&lt;="&amp;$A703,Receitas!$L:$L,"&gt;="&amp;$A703,Receitas!$C:$C,P$1,Receitas!$M:$M,"Mensal")+SUMIFS(Receitas!$F:$F,Receitas!$J:$J,"&lt;="&amp;$A703,Receitas!$L:$L,"&gt;="&amp;$A703,Receitas!$C:$C,P$1,Receitas!$M:$M,$B703)</f>
        <v>0</v>
      </c>
      <c r="Q703" s="18">
        <f>SUMIFS(Receitas!$F:$F,Receitas!$J:$J,"&lt;="&amp;$A703,Receitas!$L:$L,"&gt;="&amp;$A703,Receitas!$C:$C,Q$1,Receitas!$M:$M,"Mensal")+SUMIFS(Receitas!$F:$F,Receitas!$J:$J,"&lt;="&amp;$A703,Receitas!$L:$L,"&gt;="&amp;$A703,Receitas!$C:$C,Q$1,Receitas!$M:$M,$B703)</f>
        <v>0</v>
      </c>
      <c r="R703" s="18" cm="1">
        <f t="array" ref="R703">(IF(AND(Membros!$F$2="Sim",A703&lt;=MAX(Membros!$E$2:$E$5)),Membros!K$2,IF(AND(A703&gt;=Membros!J$2,A703&lt;=MAX(Membros!$E$2:$E$5)),Membros!K$2,0))+IF(AND(Membros!$F$3="Sim",A703&lt;=MAX(Membros!$E$2:$E$5)),Membros!K$3,IF(AND(A703&gt;=Membros!J$3,A703&lt;=MAX(Membros!$E$2:$E$5)),Membros!K$3,0)))*IF(AND(COUNTIFS(Tabela3[Tipo],"Provedor",Tabela3[Simulação Seguro],"Sim")=2,A703&gt;=MAX(IF(Tabela3[Tipo]="Dependente",Tabela3[Expectativa de Vida (Data)]))),0,1)</f>
        <v>10000</v>
      </c>
      <c r="S703" s="18">
        <f t="shared" si="86"/>
        <v>10000</v>
      </c>
      <c r="U703" s="18">
        <f t="shared" ca="1" si="89"/>
        <v>51107770.076407857</v>
      </c>
      <c r="V703" s="18">
        <f>SUMIF(Imóveis!E:E,Dados!A:A,Imóveis!Z:Z)-SUMIF(Imóveis!E:E,Dados!A:A,Imóveis!Y:Y)</f>
        <v>0</v>
      </c>
      <c r="W703" s="18">
        <f>-SUMIF(Projetos!N:N,A703,Projetos!F:F)</f>
        <v>0</v>
      </c>
      <c r="X703" s="18">
        <f t="shared" si="83"/>
        <v>-27000</v>
      </c>
      <c r="Y703" s="26">
        <f ca="1">(U703*((Indicadores_Economicos!D$2+1)^(1/12)-1))</f>
        <v>167313.54007861167</v>
      </c>
      <c r="Z703" s="18">
        <f t="shared" ca="1" si="87"/>
        <v>51248083.616486467</v>
      </c>
      <c r="AA703" s="18">
        <f ca="1">Auxiliar_Projetos!E703</f>
        <v>3.8656855647484884E-9</v>
      </c>
      <c r="AB703" s="18">
        <f ca="1">Auxiliar_Projetos!K703</f>
        <v>2.9736042805757555E-9</v>
      </c>
      <c r="AC703" s="18">
        <f ca="1">IF(Z703-AA703-AB703&gt;Investimentos!$C$14,Investimentos!$C$14,IF(Z703-AA703-AB703&lt;Investimentos!$C$14,Z703-AA703-AB703,0))</f>
        <v>300000</v>
      </c>
      <c r="AD703" s="18">
        <f t="shared" ca="1" si="88"/>
        <v>50948083.61648646</v>
      </c>
      <c r="AE703" s="18"/>
    </row>
    <row r="704" spans="1:31" x14ac:dyDescent="0.2">
      <c r="A704" s="4">
        <v>67023</v>
      </c>
      <c r="B704" s="5" t="str">
        <f t="shared" si="84"/>
        <v>julho</v>
      </c>
      <c r="C704" s="5" t="str">
        <f t="shared" si="90"/>
        <v>2083</v>
      </c>
      <c r="D704" s="5">
        <f>SUMIFS(Despesas!$F:$F,Despesas!$J:$J,"&lt;="&amp;$A704,Despesas!$L:$L,"&gt;="&amp;$A704,Despesas!$C:$C,D$1,Despesas!$M:$M,"Mensal")+SUMIFS(Despesas!$F:$F,Despesas!$J:$J,"&lt;="&amp;$A704,Despesas!$L:$L,"&gt;="&amp;$A704,Despesas!$C:$C,D$1,Despesas!$M:$M,$B704)</f>
        <v>23000</v>
      </c>
      <c r="E704" s="18">
        <f>SUMIFS(Despesas!$F:$F,Despesas!$J:$J,"&lt;="&amp;$A704,Despesas!$L:$L,"&gt;="&amp;$A704,Despesas!$C:$C,E$1,Despesas!$M:$M,"Mensal")+SUMIFS(Despesas!$F:$F,Despesas!$J:$J,"&lt;="&amp;$A704,Despesas!$L:$L,"&gt;="&amp;$A704,Despesas!$C:$C,E$1,Despesas!$M:$M,$B704)</f>
        <v>0</v>
      </c>
      <c r="F704" s="5">
        <f>SUMIFS(Despesas!$F:$F,Despesas!$J:$J,"&lt;="&amp;$A704,Despesas!$L:$L,"&gt;="&amp;$A704,Despesas!$C:$C,F$1,Despesas!$M:$M,"Mensal")+SUMIFS(Despesas!$F:$F,Despesas!$J:$J,"&lt;="&amp;$A704,Despesas!$L:$L,"&gt;="&amp;$A704,Despesas!$C:$C,F$1,Despesas!$M:$M,$B704)</f>
        <v>13000</v>
      </c>
      <c r="G704" s="5">
        <f ca="1">SUMIFS(Despesas!$F:$F,Despesas!$J:$J,"&lt;="&amp;$A704,Despesas!$L:$L,"&gt;="&amp;$A704,Despesas!$C:$C,G$1,Despesas!$M:$M,"Mensal")+SUMIFS(Despesas!$F:$F,Despesas!$J:$J,"&lt;="&amp;$A704,Despesas!$L:$L,"&gt;="&amp;$A704,Despesas!$C:$C,G$1,Despesas!$M:$M,$B704)</f>
        <v>55757</v>
      </c>
      <c r="H704" s="18">
        <f>SUMIFS(Despesas!$F:$F,Despesas!$J:$J,"&lt;="&amp;$A704,Despesas!$L:$L,"&gt;="&amp;$A704,Despesas!$C:$C,H$1,Despesas!$M:$M,"Mensal")+SUMIFS(Despesas!$F:$F,Despesas!$J:$J,"&lt;="&amp;$A704,Despesas!$L:$L,"&gt;="&amp;$A704,Despesas!$C:$C,H$1,Despesas!$M:$M,$B704)</f>
        <v>1000</v>
      </c>
      <c r="I704" s="18">
        <f>IF(Imóveis!$F$2="PRICE",IF(AND(Dados!$A704&gt;=Imóveis!$Q$2,Dados!$A704&lt;=Imóveis!$T$2),Imóveis!$U$2,0),IF((IF(AND(Dados!$A704&gt;=Imóveis!$Q$2,Dados!$A704&lt;=Imóveis!$T$2),Imóveis!$S$2-(DATEDIF(Imóveis!$Q$2,Dados!$A704,"m")),0))=0,0,((Imóveis!$N$2/Imóveis!$S$2)+((Imóveis!$N$2-((Imóveis!$S$2-(IF(AND(Dados!$A704&gt;=Imóveis!$Q$2,Dados!$A704&lt;=Imóveis!$T$2),Imóveis!$S$2-(DATEDIF(Imóveis!$Q$2,Dados!$A704,"m")),)))*(Imóveis!$N$2/Imóveis!$S$2)))*Imóveis!$P$2))))*IF(AND(Imóveis!$E$2&gt;0,Dados!$A704&gt;Imóveis!$E$2),0,1)</f>
        <v>0</v>
      </c>
      <c r="J704" s="18">
        <f>IF(Imóveis!$F$3="PRICE",IF(AND(Dados!$A704&gt;=Imóveis!$Q$3,Dados!$A704&lt;=Imóveis!$T$3),Imóveis!$U$3,0),IF((IF(AND(Dados!$A704&gt;=Imóveis!$Q$3,Dados!$A704&lt;=Imóveis!$T$3),Imóveis!$S$3-(DATEDIF(Imóveis!$Q$3,Dados!$A704,"m")),0))=0,0,((Imóveis!$N$3/Imóveis!$S$3)+((Imóveis!$N$3-((Imóveis!$S$3-(IF(AND(Dados!$A704&gt;=Imóveis!$Q$3,Dados!$A704&lt;=Imóveis!$T$3),Imóveis!$S$3-(DATEDIF(Imóveis!$Q$3,Dados!$A704,"m")),)))*(Imóveis!$N$3/Imóveis!$S$3)))*Imóveis!$P$3))))*IF(AND(Imóveis!$E$3&gt;0,Dados!$A704&gt;Imóveis!$E$3),0,1)</f>
        <v>0</v>
      </c>
      <c r="K704" s="18">
        <f>IF(Imóveis!$F$4="PRICE",IF(AND(Dados!$A704&gt;=Imóveis!$Q$4,Dados!$A704&lt;=Imóveis!$T$4),Imóveis!$U$4,0),IF((IF(AND(Dados!$A704&gt;=Imóveis!$Q$4,Dados!$A704&lt;=Imóveis!$T$4),Imóveis!$S$4-(DATEDIF(Imóveis!$Q$4,Dados!$A704,"m")),0))=0,0,((Imóveis!$N$4/Imóveis!$S$4)+((Imóveis!$N$4-((Imóveis!$S$4-(IF(AND(Dados!$A704&gt;=Imóveis!$Q$4,Dados!$A704&lt;=Imóveis!$T$4),Imóveis!$S$4-(DATEDIF(Imóveis!$Q$4,Dados!$A704,"m")),)))*(Imóveis!$N$4/Imóveis!$S$4)))*Imóveis!$P$4))))*IF(AND(Imóveis!$E$4&gt;0,Dados!$A704&gt;Imóveis!$E$4),0,1)</f>
        <v>0</v>
      </c>
      <c r="L704" s="18">
        <f>IF(Imóveis!$F$5="PRICE",IF(AND(Dados!$A704&gt;=Imóveis!$Q$5,Dados!$A704&lt;=Imóveis!$T$5),Imóveis!$U$5,0),IF((IF(AND(Dados!$A704&gt;=Imóveis!$Q$5,Dados!$A704&lt;=Imóveis!$T$5),Imóveis!$S$5-(DATEDIF(Imóveis!$Q$5,Dados!$A704,"m")),0))=0,0,((Imóveis!$N$5/Imóveis!$S$5)+((Imóveis!$N$5-((Imóveis!$S$5-(IF(AND(Dados!$A704 &gt;=Imóveis!$Q$5,Dados!$A704&lt;=Imóveis!$T$5),Imóveis!$S$5-(DATEDIF(Imóveis!$Q$5,Dados!$A704,"m")),)))*(Imóveis!$N$5/Imóveis!$S$5)))*Imóveis!$P$5))))*IF(AND(Imóveis!$E$5&gt;0,Dados!$A704&gt;Imóveis!$E$5),0,1)*Imóveis!$I$5</f>
        <v>0</v>
      </c>
      <c r="M704" s="18">
        <f>IF(Imóveis!$F$6="PRICE",IF(AND(Dados!$A704&gt;=Imóveis!$Q$6,Dados!$A704&lt;=Imóveis!$T$6),Imóveis!$U$6,0),IF((IF(AND(Dados!$A704&gt;=Imóveis!$Q$6,Dados!$A704&lt;=Imóveis!$T$6),Imóveis!$S$6-(DATEDIF(Imóveis!$Q$6,Dados!$A704,"m")),0))=0,0,((Imóveis!$N$6/Imóveis!$S$6)+((Imóveis!$N$6-((Imóveis!$S$6-(IF(AND(Dados!$A704&gt;=Imóveis!$Q$6,Dados!$A704&lt;=Imóveis!$T$6),Imóveis!$S$6-(DATEDIF(Imóveis!$Q$6,Dados!$A704,"m")),)))*(Imóveis!$N$6/Imóveis!$S$6)))*Imóveis!$P$6))))*IF(AND(Imóveis!$E$6&gt;0,Dados!$A704&gt;Imóveis!$E$6),0,1)*Imóveis!$I$6</f>
        <v>0</v>
      </c>
      <c r="N704" s="18">
        <f t="shared" ca="1" si="85"/>
        <v>92757</v>
      </c>
      <c r="O704" s="18">
        <f>SUMIFS(Receitas!$F:$F,Receitas!$J:$J,"&lt;="&amp;$A704,Receitas!$L:$L,"&gt;="&amp;$A704,Receitas!$C:$C,O$1,Receitas!$M:$M,"Mensal")+SUMIFS(Receitas!$F:$F,Receitas!$J:$J,"&lt;="&amp;$A704,Receitas!$L:$L,"&gt;="&amp;$A704,Receitas!$C:$C,O$1,Receitas!$M:$M,$B704)</f>
        <v>0</v>
      </c>
      <c r="P704" s="18">
        <f>SUMIFS(Receitas!$F:$F,Receitas!$J:$J,"&lt;="&amp;$A704,Receitas!$L:$L,"&gt;="&amp;$A704,Receitas!$C:$C,P$1,Receitas!$M:$M,"Mensal")+SUMIFS(Receitas!$F:$F,Receitas!$J:$J,"&lt;="&amp;$A704,Receitas!$L:$L,"&gt;="&amp;$A704,Receitas!$C:$C,P$1,Receitas!$M:$M,$B704)</f>
        <v>0</v>
      </c>
      <c r="Q704" s="18">
        <f>SUMIFS(Receitas!$F:$F,Receitas!$J:$J,"&lt;="&amp;$A704,Receitas!$L:$L,"&gt;="&amp;$A704,Receitas!$C:$C,Q$1,Receitas!$M:$M,"Mensal")+SUMIFS(Receitas!$F:$F,Receitas!$J:$J,"&lt;="&amp;$A704,Receitas!$L:$L,"&gt;="&amp;$A704,Receitas!$C:$C,Q$1,Receitas!$M:$M,$B704)</f>
        <v>0</v>
      </c>
      <c r="R704" s="18" cm="1">
        <f t="array" ref="R704">(IF(AND(Membros!$F$2="Sim",A704&lt;=MAX(Membros!$E$2:$E$5)),Membros!K$2,IF(AND(A704&gt;=Membros!J$2,A704&lt;=MAX(Membros!$E$2:$E$5)),Membros!K$2,0))+IF(AND(Membros!$F$3="Sim",A704&lt;=MAX(Membros!$E$2:$E$5)),Membros!K$3,IF(AND(A704&gt;=Membros!J$3,A704&lt;=MAX(Membros!$E$2:$E$5)),Membros!K$3,0)))*IF(AND(COUNTIFS(Tabela3[Tipo],"Provedor",Tabela3[Simulação Seguro],"Sim")=2,A704&gt;=MAX(IF(Tabela3[Tipo]="Dependente",Tabela3[Expectativa de Vida (Data)]))),0,1)</f>
        <v>10000</v>
      </c>
      <c r="S704" s="18">
        <f t="shared" si="86"/>
        <v>10000</v>
      </c>
      <c r="U704" s="18">
        <f t="shared" ca="1" si="89"/>
        <v>51248083.616486467</v>
      </c>
      <c r="V704" s="18">
        <f>SUMIF(Imóveis!E:E,Dados!A:A,Imóveis!Z:Z)-SUMIF(Imóveis!E:E,Dados!A:A,Imóveis!Y:Y)</f>
        <v>0</v>
      </c>
      <c r="W704" s="18">
        <f>-SUMIF(Projetos!N:N,A704,Projetos!F:F)</f>
        <v>0</v>
      </c>
      <c r="X704" s="18">
        <f t="shared" ca="1" si="83"/>
        <v>-82757</v>
      </c>
      <c r="Y704" s="26">
        <f ca="1">(U704*((Indicadores_Economicos!D$2+1)^(1/12)-1))</f>
        <v>167772.89009674816</v>
      </c>
      <c r="Z704" s="18">
        <f t="shared" ca="1" si="87"/>
        <v>51333099.506583214</v>
      </c>
      <c r="AA704" s="18">
        <f ca="1">Auxiliar_Projetos!E704</f>
        <v>3.8783408133672779E-9</v>
      </c>
      <c r="AB704" s="18">
        <f ca="1">Auxiliar_Projetos!K704</f>
        <v>2.9833390872055933E-9</v>
      </c>
      <c r="AC704" s="18">
        <f ca="1">IF(Z704-AA704-AB704&gt;Investimentos!$C$14,Investimentos!$C$14,IF(Z704-AA704-AB704&lt;Investimentos!$C$14,Z704-AA704-AB704,0))</f>
        <v>300000</v>
      </c>
      <c r="AD704" s="18">
        <f t="shared" ca="1" si="88"/>
        <v>51033099.506583206</v>
      </c>
      <c r="AE704" s="18"/>
    </row>
    <row r="705" spans="1:31" x14ac:dyDescent="0.2">
      <c r="A705" s="4">
        <v>67054</v>
      </c>
      <c r="B705" s="5" t="str">
        <f t="shared" si="84"/>
        <v>agosto</v>
      </c>
      <c r="C705" s="5" t="str">
        <f t="shared" si="90"/>
        <v>2083</v>
      </c>
      <c r="D705" s="5">
        <f>SUMIFS(Despesas!$F:$F,Despesas!$J:$J,"&lt;="&amp;$A705,Despesas!$L:$L,"&gt;="&amp;$A705,Despesas!$C:$C,D$1,Despesas!$M:$M,"Mensal")+SUMIFS(Despesas!$F:$F,Despesas!$J:$J,"&lt;="&amp;$A705,Despesas!$L:$L,"&gt;="&amp;$A705,Despesas!$C:$C,D$1,Despesas!$M:$M,$B705)</f>
        <v>23000</v>
      </c>
      <c r="E705" s="18">
        <f>SUMIFS(Despesas!$F:$F,Despesas!$J:$J,"&lt;="&amp;$A705,Despesas!$L:$L,"&gt;="&amp;$A705,Despesas!$C:$C,E$1,Despesas!$M:$M,"Mensal")+SUMIFS(Despesas!$F:$F,Despesas!$J:$J,"&lt;="&amp;$A705,Despesas!$L:$L,"&gt;="&amp;$A705,Despesas!$C:$C,E$1,Despesas!$M:$M,$B705)</f>
        <v>0</v>
      </c>
      <c r="F705" s="5">
        <f>SUMIFS(Despesas!$F:$F,Despesas!$J:$J,"&lt;="&amp;$A705,Despesas!$L:$L,"&gt;="&amp;$A705,Despesas!$C:$C,F$1,Despesas!$M:$M,"Mensal")+SUMIFS(Despesas!$F:$F,Despesas!$J:$J,"&lt;="&amp;$A705,Despesas!$L:$L,"&gt;="&amp;$A705,Despesas!$C:$C,F$1,Despesas!$M:$M,$B705)</f>
        <v>13000</v>
      </c>
      <c r="G705" s="5">
        <f>SUMIFS(Despesas!$F:$F,Despesas!$J:$J,"&lt;="&amp;$A705,Despesas!$L:$L,"&gt;="&amp;$A705,Despesas!$C:$C,G$1,Despesas!$M:$M,"Mensal")+SUMIFS(Despesas!$F:$F,Despesas!$J:$J,"&lt;="&amp;$A705,Despesas!$L:$L,"&gt;="&amp;$A705,Despesas!$C:$C,G$1,Despesas!$M:$M,$B705)</f>
        <v>0</v>
      </c>
      <c r="H705" s="18">
        <f>SUMIFS(Despesas!$F:$F,Despesas!$J:$J,"&lt;="&amp;$A705,Despesas!$L:$L,"&gt;="&amp;$A705,Despesas!$C:$C,H$1,Despesas!$M:$M,"Mensal")+SUMIFS(Despesas!$F:$F,Despesas!$J:$J,"&lt;="&amp;$A705,Despesas!$L:$L,"&gt;="&amp;$A705,Despesas!$C:$C,H$1,Despesas!$M:$M,$B705)</f>
        <v>1000</v>
      </c>
      <c r="I705" s="18">
        <f>IF(Imóveis!$F$2="PRICE",IF(AND(Dados!$A705&gt;=Imóveis!$Q$2,Dados!$A705&lt;=Imóveis!$T$2),Imóveis!$U$2,0),IF((IF(AND(Dados!$A705&gt;=Imóveis!$Q$2,Dados!$A705&lt;=Imóveis!$T$2),Imóveis!$S$2-(DATEDIF(Imóveis!$Q$2,Dados!$A705,"m")),0))=0,0,((Imóveis!$N$2/Imóveis!$S$2)+((Imóveis!$N$2-((Imóveis!$S$2-(IF(AND(Dados!$A705&gt;=Imóveis!$Q$2,Dados!$A705&lt;=Imóveis!$T$2),Imóveis!$S$2-(DATEDIF(Imóveis!$Q$2,Dados!$A705,"m")),)))*(Imóveis!$N$2/Imóveis!$S$2)))*Imóveis!$P$2))))*IF(AND(Imóveis!$E$2&gt;0,Dados!$A705&gt;Imóveis!$E$2),0,1)</f>
        <v>0</v>
      </c>
      <c r="J705" s="18">
        <f>IF(Imóveis!$F$3="PRICE",IF(AND(Dados!$A705&gt;=Imóveis!$Q$3,Dados!$A705&lt;=Imóveis!$T$3),Imóveis!$U$3,0),IF((IF(AND(Dados!$A705&gt;=Imóveis!$Q$3,Dados!$A705&lt;=Imóveis!$T$3),Imóveis!$S$3-(DATEDIF(Imóveis!$Q$3,Dados!$A705,"m")),0))=0,0,((Imóveis!$N$3/Imóveis!$S$3)+((Imóveis!$N$3-((Imóveis!$S$3-(IF(AND(Dados!$A705&gt;=Imóveis!$Q$3,Dados!$A705&lt;=Imóveis!$T$3),Imóveis!$S$3-(DATEDIF(Imóveis!$Q$3,Dados!$A705,"m")),)))*(Imóveis!$N$3/Imóveis!$S$3)))*Imóveis!$P$3))))*IF(AND(Imóveis!$E$3&gt;0,Dados!$A705&gt;Imóveis!$E$3),0,1)</f>
        <v>0</v>
      </c>
      <c r="K705" s="18">
        <f>IF(Imóveis!$F$4="PRICE",IF(AND(Dados!$A705&gt;=Imóveis!$Q$4,Dados!$A705&lt;=Imóveis!$T$4),Imóveis!$U$4,0),IF((IF(AND(Dados!$A705&gt;=Imóveis!$Q$4,Dados!$A705&lt;=Imóveis!$T$4),Imóveis!$S$4-(DATEDIF(Imóveis!$Q$4,Dados!$A705,"m")),0))=0,0,((Imóveis!$N$4/Imóveis!$S$4)+((Imóveis!$N$4-((Imóveis!$S$4-(IF(AND(Dados!$A705&gt;=Imóveis!$Q$4,Dados!$A705&lt;=Imóveis!$T$4),Imóveis!$S$4-(DATEDIF(Imóveis!$Q$4,Dados!$A705,"m")),)))*(Imóveis!$N$4/Imóveis!$S$4)))*Imóveis!$P$4))))*IF(AND(Imóveis!$E$4&gt;0,Dados!$A705&gt;Imóveis!$E$4),0,1)</f>
        <v>0</v>
      </c>
      <c r="L705" s="18">
        <f>IF(Imóveis!$F$5="PRICE",IF(AND(Dados!$A705&gt;=Imóveis!$Q$5,Dados!$A705&lt;=Imóveis!$T$5),Imóveis!$U$5,0),IF((IF(AND(Dados!$A705&gt;=Imóveis!$Q$5,Dados!$A705&lt;=Imóveis!$T$5),Imóveis!$S$5-(DATEDIF(Imóveis!$Q$5,Dados!$A705,"m")),0))=0,0,((Imóveis!$N$5/Imóveis!$S$5)+((Imóveis!$N$5-((Imóveis!$S$5-(IF(AND(Dados!$A705 &gt;=Imóveis!$Q$5,Dados!$A705&lt;=Imóveis!$T$5),Imóveis!$S$5-(DATEDIF(Imóveis!$Q$5,Dados!$A705,"m")),)))*(Imóveis!$N$5/Imóveis!$S$5)))*Imóveis!$P$5))))*IF(AND(Imóveis!$E$5&gt;0,Dados!$A705&gt;Imóveis!$E$5),0,1)*Imóveis!$I$5</f>
        <v>0</v>
      </c>
      <c r="M705" s="18">
        <f>IF(Imóveis!$F$6="PRICE",IF(AND(Dados!$A705&gt;=Imóveis!$Q$6,Dados!$A705&lt;=Imóveis!$T$6),Imóveis!$U$6,0),IF((IF(AND(Dados!$A705&gt;=Imóveis!$Q$6,Dados!$A705&lt;=Imóveis!$T$6),Imóveis!$S$6-(DATEDIF(Imóveis!$Q$6,Dados!$A705,"m")),0))=0,0,((Imóveis!$N$6/Imóveis!$S$6)+((Imóveis!$N$6-((Imóveis!$S$6-(IF(AND(Dados!$A705&gt;=Imóveis!$Q$6,Dados!$A705&lt;=Imóveis!$T$6),Imóveis!$S$6-(DATEDIF(Imóveis!$Q$6,Dados!$A705,"m")),)))*(Imóveis!$N$6/Imóveis!$S$6)))*Imóveis!$P$6))))*IF(AND(Imóveis!$E$6&gt;0,Dados!$A705&gt;Imóveis!$E$6),0,1)*Imóveis!$I$6</f>
        <v>0</v>
      </c>
      <c r="N705" s="18">
        <f t="shared" si="85"/>
        <v>37000</v>
      </c>
      <c r="O705" s="18">
        <f>SUMIFS(Receitas!$F:$F,Receitas!$J:$J,"&lt;="&amp;$A705,Receitas!$L:$L,"&gt;="&amp;$A705,Receitas!$C:$C,O$1,Receitas!$M:$M,"Mensal")+SUMIFS(Receitas!$F:$F,Receitas!$J:$J,"&lt;="&amp;$A705,Receitas!$L:$L,"&gt;="&amp;$A705,Receitas!$C:$C,O$1,Receitas!$M:$M,$B705)</f>
        <v>0</v>
      </c>
      <c r="P705" s="18">
        <f>SUMIFS(Receitas!$F:$F,Receitas!$J:$J,"&lt;="&amp;$A705,Receitas!$L:$L,"&gt;="&amp;$A705,Receitas!$C:$C,P$1,Receitas!$M:$M,"Mensal")+SUMIFS(Receitas!$F:$F,Receitas!$J:$J,"&lt;="&amp;$A705,Receitas!$L:$L,"&gt;="&amp;$A705,Receitas!$C:$C,P$1,Receitas!$M:$M,$B705)</f>
        <v>0</v>
      </c>
      <c r="Q705" s="18">
        <f>SUMIFS(Receitas!$F:$F,Receitas!$J:$J,"&lt;="&amp;$A705,Receitas!$L:$L,"&gt;="&amp;$A705,Receitas!$C:$C,Q$1,Receitas!$M:$M,"Mensal")+SUMIFS(Receitas!$F:$F,Receitas!$J:$J,"&lt;="&amp;$A705,Receitas!$L:$L,"&gt;="&amp;$A705,Receitas!$C:$C,Q$1,Receitas!$M:$M,$B705)</f>
        <v>0</v>
      </c>
      <c r="R705" s="18" cm="1">
        <f t="array" ref="R705">(IF(AND(Membros!$F$2="Sim",A705&lt;=MAX(Membros!$E$2:$E$5)),Membros!K$2,IF(AND(A705&gt;=Membros!J$2,A705&lt;=MAX(Membros!$E$2:$E$5)),Membros!K$2,0))+IF(AND(Membros!$F$3="Sim",A705&lt;=MAX(Membros!$E$2:$E$5)),Membros!K$3,IF(AND(A705&gt;=Membros!J$3,A705&lt;=MAX(Membros!$E$2:$E$5)),Membros!K$3,0)))*IF(AND(COUNTIFS(Tabela3[Tipo],"Provedor",Tabela3[Simulação Seguro],"Sim")=2,A705&gt;=MAX(IF(Tabela3[Tipo]="Dependente",Tabela3[Expectativa de Vida (Data)]))),0,1)</f>
        <v>10000</v>
      </c>
      <c r="S705" s="18">
        <f t="shared" si="86"/>
        <v>10000</v>
      </c>
      <c r="U705" s="18">
        <f t="shared" ca="1" si="89"/>
        <v>51333099.506583214</v>
      </c>
      <c r="V705" s="18">
        <f>SUMIF(Imóveis!E:E,Dados!A:A,Imóveis!Z:Z)-SUMIF(Imóveis!E:E,Dados!A:A,Imóveis!Y:Y)</f>
        <v>0</v>
      </c>
      <c r="W705" s="18">
        <f>-SUMIF(Projetos!N:N,A705,Projetos!F:F)</f>
        <v>0</v>
      </c>
      <c r="X705" s="18">
        <f t="shared" si="83"/>
        <v>-27000</v>
      </c>
      <c r="Y705" s="26">
        <f ca="1">(U705*((Indicadores_Economicos!D$2+1)^(1/12)-1))</f>
        <v>168051.20999827693</v>
      </c>
      <c r="Z705" s="18">
        <f t="shared" ca="1" si="87"/>
        <v>51474150.716581494</v>
      </c>
      <c r="AA705" s="18">
        <f ca="1">Auxiliar_Projetos!E705</f>
        <v>3.8910374919769241E-9</v>
      </c>
      <c r="AB705" s="18">
        <f ca="1">Auxiliar_Projetos!K705</f>
        <v>2.9931057630591674E-9</v>
      </c>
      <c r="AC705" s="18">
        <f ca="1">IF(Z705-AA705-AB705&gt;Investimentos!$C$14,Investimentos!$C$14,IF(Z705-AA705-AB705&lt;Investimentos!$C$14,Z705-AA705-AB705,0))</f>
        <v>300000</v>
      </c>
      <c r="AD705" s="18">
        <f t="shared" ca="1" si="88"/>
        <v>51174150.716581486</v>
      </c>
      <c r="AE705" s="18"/>
    </row>
    <row r="706" spans="1:31" x14ac:dyDescent="0.2">
      <c r="A706" s="4">
        <v>67085</v>
      </c>
      <c r="B706" s="5" t="str">
        <f t="shared" si="84"/>
        <v>setembro</v>
      </c>
      <c r="C706" s="5" t="str">
        <f t="shared" si="90"/>
        <v>2083</v>
      </c>
      <c r="D706" s="5">
        <f>SUMIFS(Despesas!$F:$F,Despesas!$J:$J,"&lt;="&amp;$A706,Despesas!$L:$L,"&gt;="&amp;$A706,Despesas!$C:$C,D$1,Despesas!$M:$M,"Mensal")+SUMIFS(Despesas!$F:$F,Despesas!$J:$J,"&lt;="&amp;$A706,Despesas!$L:$L,"&gt;="&amp;$A706,Despesas!$C:$C,D$1,Despesas!$M:$M,$B706)</f>
        <v>23000</v>
      </c>
      <c r="E706" s="18">
        <f>SUMIFS(Despesas!$F:$F,Despesas!$J:$J,"&lt;="&amp;$A706,Despesas!$L:$L,"&gt;="&amp;$A706,Despesas!$C:$C,E$1,Despesas!$M:$M,"Mensal")+SUMIFS(Despesas!$F:$F,Despesas!$J:$J,"&lt;="&amp;$A706,Despesas!$L:$L,"&gt;="&amp;$A706,Despesas!$C:$C,E$1,Despesas!$M:$M,$B706)</f>
        <v>0</v>
      </c>
      <c r="F706" s="5">
        <f>SUMIFS(Despesas!$F:$F,Despesas!$J:$J,"&lt;="&amp;$A706,Despesas!$L:$L,"&gt;="&amp;$A706,Despesas!$C:$C,F$1,Despesas!$M:$M,"Mensal")+SUMIFS(Despesas!$F:$F,Despesas!$J:$J,"&lt;="&amp;$A706,Despesas!$L:$L,"&gt;="&amp;$A706,Despesas!$C:$C,F$1,Despesas!$M:$M,$B706)</f>
        <v>13000</v>
      </c>
      <c r="G706" s="5">
        <f>SUMIFS(Despesas!$F:$F,Despesas!$J:$J,"&lt;="&amp;$A706,Despesas!$L:$L,"&gt;="&amp;$A706,Despesas!$C:$C,G$1,Despesas!$M:$M,"Mensal")+SUMIFS(Despesas!$F:$F,Despesas!$J:$J,"&lt;="&amp;$A706,Despesas!$L:$L,"&gt;="&amp;$A706,Despesas!$C:$C,G$1,Despesas!$M:$M,$B706)</f>
        <v>0</v>
      </c>
      <c r="H706" s="18">
        <f>SUMIFS(Despesas!$F:$F,Despesas!$J:$J,"&lt;="&amp;$A706,Despesas!$L:$L,"&gt;="&amp;$A706,Despesas!$C:$C,H$1,Despesas!$M:$M,"Mensal")+SUMIFS(Despesas!$F:$F,Despesas!$J:$J,"&lt;="&amp;$A706,Despesas!$L:$L,"&gt;="&amp;$A706,Despesas!$C:$C,H$1,Despesas!$M:$M,$B706)</f>
        <v>1000</v>
      </c>
      <c r="I706" s="18">
        <f>IF(Imóveis!$F$2="PRICE",IF(AND(Dados!$A706&gt;=Imóveis!$Q$2,Dados!$A706&lt;=Imóveis!$T$2),Imóveis!$U$2,0),IF((IF(AND(Dados!$A706&gt;=Imóveis!$Q$2,Dados!$A706&lt;=Imóveis!$T$2),Imóveis!$S$2-(DATEDIF(Imóveis!$Q$2,Dados!$A706,"m")),0))=0,0,((Imóveis!$N$2/Imóveis!$S$2)+((Imóveis!$N$2-((Imóveis!$S$2-(IF(AND(Dados!$A706&gt;=Imóveis!$Q$2,Dados!$A706&lt;=Imóveis!$T$2),Imóveis!$S$2-(DATEDIF(Imóveis!$Q$2,Dados!$A706,"m")),)))*(Imóveis!$N$2/Imóveis!$S$2)))*Imóveis!$P$2))))*IF(AND(Imóveis!$E$2&gt;0,Dados!$A706&gt;Imóveis!$E$2),0,1)</f>
        <v>0</v>
      </c>
      <c r="J706" s="18">
        <f>IF(Imóveis!$F$3="PRICE",IF(AND(Dados!$A706&gt;=Imóveis!$Q$3,Dados!$A706&lt;=Imóveis!$T$3),Imóveis!$U$3,0),IF((IF(AND(Dados!$A706&gt;=Imóveis!$Q$3,Dados!$A706&lt;=Imóveis!$T$3),Imóveis!$S$3-(DATEDIF(Imóveis!$Q$3,Dados!$A706,"m")),0))=0,0,((Imóveis!$N$3/Imóveis!$S$3)+((Imóveis!$N$3-((Imóveis!$S$3-(IF(AND(Dados!$A706&gt;=Imóveis!$Q$3,Dados!$A706&lt;=Imóveis!$T$3),Imóveis!$S$3-(DATEDIF(Imóveis!$Q$3,Dados!$A706,"m")),)))*(Imóveis!$N$3/Imóveis!$S$3)))*Imóveis!$P$3))))*IF(AND(Imóveis!$E$3&gt;0,Dados!$A706&gt;Imóveis!$E$3),0,1)</f>
        <v>0</v>
      </c>
      <c r="K706" s="18">
        <f>IF(Imóveis!$F$4="PRICE",IF(AND(Dados!$A706&gt;=Imóveis!$Q$4,Dados!$A706&lt;=Imóveis!$T$4),Imóveis!$U$4,0),IF((IF(AND(Dados!$A706&gt;=Imóveis!$Q$4,Dados!$A706&lt;=Imóveis!$T$4),Imóveis!$S$4-(DATEDIF(Imóveis!$Q$4,Dados!$A706,"m")),0))=0,0,((Imóveis!$N$4/Imóveis!$S$4)+((Imóveis!$N$4-((Imóveis!$S$4-(IF(AND(Dados!$A706&gt;=Imóveis!$Q$4,Dados!$A706&lt;=Imóveis!$T$4),Imóveis!$S$4-(DATEDIF(Imóveis!$Q$4,Dados!$A706,"m")),)))*(Imóveis!$N$4/Imóveis!$S$4)))*Imóveis!$P$4))))*IF(AND(Imóveis!$E$4&gt;0,Dados!$A706&gt;Imóveis!$E$4),0,1)</f>
        <v>0</v>
      </c>
      <c r="L706" s="18">
        <f>IF(Imóveis!$F$5="PRICE",IF(AND(Dados!$A706&gt;=Imóveis!$Q$5,Dados!$A706&lt;=Imóveis!$T$5),Imóveis!$U$5,0),IF((IF(AND(Dados!$A706&gt;=Imóveis!$Q$5,Dados!$A706&lt;=Imóveis!$T$5),Imóveis!$S$5-(DATEDIF(Imóveis!$Q$5,Dados!$A706,"m")),0))=0,0,((Imóveis!$N$5/Imóveis!$S$5)+((Imóveis!$N$5-((Imóveis!$S$5-(IF(AND(Dados!$A706 &gt;=Imóveis!$Q$5,Dados!$A706&lt;=Imóveis!$T$5),Imóveis!$S$5-(DATEDIF(Imóveis!$Q$5,Dados!$A706,"m")),)))*(Imóveis!$N$5/Imóveis!$S$5)))*Imóveis!$P$5))))*IF(AND(Imóveis!$E$5&gt;0,Dados!$A706&gt;Imóveis!$E$5),0,1)*Imóveis!$I$5</f>
        <v>0</v>
      </c>
      <c r="M706" s="18">
        <f>IF(Imóveis!$F$6="PRICE",IF(AND(Dados!$A706&gt;=Imóveis!$Q$6,Dados!$A706&lt;=Imóveis!$T$6),Imóveis!$U$6,0),IF((IF(AND(Dados!$A706&gt;=Imóveis!$Q$6,Dados!$A706&lt;=Imóveis!$T$6),Imóveis!$S$6-(DATEDIF(Imóveis!$Q$6,Dados!$A706,"m")),0))=0,0,((Imóveis!$N$6/Imóveis!$S$6)+((Imóveis!$N$6-((Imóveis!$S$6-(IF(AND(Dados!$A706&gt;=Imóveis!$Q$6,Dados!$A706&lt;=Imóveis!$T$6),Imóveis!$S$6-(DATEDIF(Imóveis!$Q$6,Dados!$A706,"m")),)))*(Imóveis!$N$6/Imóveis!$S$6)))*Imóveis!$P$6))))*IF(AND(Imóveis!$E$6&gt;0,Dados!$A706&gt;Imóveis!$E$6),0,1)*Imóveis!$I$6</f>
        <v>0</v>
      </c>
      <c r="N706" s="18">
        <f t="shared" si="85"/>
        <v>37000</v>
      </c>
      <c r="O706" s="18">
        <f>SUMIFS(Receitas!$F:$F,Receitas!$J:$J,"&lt;="&amp;$A706,Receitas!$L:$L,"&gt;="&amp;$A706,Receitas!$C:$C,O$1,Receitas!$M:$M,"Mensal")+SUMIFS(Receitas!$F:$F,Receitas!$J:$J,"&lt;="&amp;$A706,Receitas!$L:$L,"&gt;="&amp;$A706,Receitas!$C:$C,O$1,Receitas!$M:$M,$B706)</f>
        <v>0</v>
      </c>
      <c r="P706" s="18">
        <f>SUMIFS(Receitas!$F:$F,Receitas!$J:$J,"&lt;="&amp;$A706,Receitas!$L:$L,"&gt;="&amp;$A706,Receitas!$C:$C,P$1,Receitas!$M:$M,"Mensal")+SUMIFS(Receitas!$F:$F,Receitas!$J:$J,"&lt;="&amp;$A706,Receitas!$L:$L,"&gt;="&amp;$A706,Receitas!$C:$C,P$1,Receitas!$M:$M,$B706)</f>
        <v>0</v>
      </c>
      <c r="Q706" s="18">
        <f>SUMIFS(Receitas!$F:$F,Receitas!$J:$J,"&lt;="&amp;$A706,Receitas!$L:$L,"&gt;="&amp;$A706,Receitas!$C:$C,Q$1,Receitas!$M:$M,"Mensal")+SUMIFS(Receitas!$F:$F,Receitas!$J:$J,"&lt;="&amp;$A706,Receitas!$L:$L,"&gt;="&amp;$A706,Receitas!$C:$C,Q$1,Receitas!$M:$M,$B706)</f>
        <v>0</v>
      </c>
      <c r="R706" s="18" cm="1">
        <f t="array" ref="R706">(IF(AND(Membros!$F$2="Sim",A706&lt;=MAX(Membros!$E$2:$E$5)),Membros!K$2,IF(AND(A706&gt;=Membros!J$2,A706&lt;=MAX(Membros!$E$2:$E$5)),Membros!K$2,0))+IF(AND(Membros!$F$3="Sim",A706&lt;=MAX(Membros!$E$2:$E$5)),Membros!K$3,IF(AND(A706&gt;=Membros!J$3,A706&lt;=MAX(Membros!$E$2:$E$5)),Membros!K$3,0)))*IF(AND(COUNTIFS(Tabela3[Tipo],"Provedor",Tabela3[Simulação Seguro],"Sim")=2,A706&gt;=MAX(IF(Tabela3[Tipo]="Dependente",Tabela3[Expectativa de Vida (Data)]))),0,1)</f>
        <v>10000</v>
      </c>
      <c r="S706" s="18">
        <f t="shared" si="86"/>
        <v>10000</v>
      </c>
      <c r="U706" s="18">
        <f t="shared" ca="1" si="89"/>
        <v>51474150.716581494</v>
      </c>
      <c r="V706" s="18">
        <f>SUMIF(Imóveis!E:E,Dados!A:A,Imóveis!Z:Z)-SUMIF(Imóveis!E:E,Dados!A:A,Imóveis!Y:Y)</f>
        <v>0</v>
      </c>
      <c r="W706" s="18">
        <f>-SUMIF(Projetos!N:N,A706,Projetos!F:F)</f>
        <v>0</v>
      </c>
      <c r="X706" s="18">
        <f t="shared" ref="X706:X769" si="91">(S706-N706)</f>
        <v>-27000</v>
      </c>
      <c r="Y706" s="26">
        <f ca="1">(U706*((Indicadores_Economicos!D$2+1)^(1/12)-1))</f>
        <v>168512.9749557756</v>
      </c>
      <c r="Z706" s="18">
        <f t="shared" ca="1" si="87"/>
        <v>51615663.691537268</v>
      </c>
      <c r="AA706" s="18">
        <f ca="1">Auxiliar_Projetos!E706</f>
        <v>3.9037757362084361E-9</v>
      </c>
      <c r="AB706" s="18">
        <f ca="1">Auxiliar_Projetos!K706</f>
        <v>3.0029044124680229E-9</v>
      </c>
      <c r="AC706" s="18">
        <f ca="1">IF(Z706-AA706-AB706&gt;Investimentos!$C$14,Investimentos!$C$14,IF(Z706-AA706-AB706&lt;Investimentos!$C$14,Z706-AA706-AB706,0))</f>
        <v>300000</v>
      </c>
      <c r="AD706" s="18">
        <f t="shared" ca="1" si="88"/>
        <v>51315663.691537261</v>
      </c>
      <c r="AE706" s="18"/>
    </row>
    <row r="707" spans="1:31" x14ac:dyDescent="0.2">
      <c r="A707" s="4">
        <v>67115</v>
      </c>
      <c r="B707" s="5" t="str">
        <f t="shared" ref="B707:B770" si="92">TEXT(A707,"MMMM")</f>
        <v>outubro</v>
      </c>
      <c r="C707" s="5" t="str">
        <f t="shared" si="90"/>
        <v>2083</v>
      </c>
      <c r="D707" s="5">
        <f>SUMIFS(Despesas!$F:$F,Despesas!$J:$J,"&lt;="&amp;$A707,Despesas!$L:$L,"&gt;="&amp;$A707,Despesas!$C:$C,D$1,Despesas!$M:$M,"Mensal")+SUMIFS(Despesas!$F:$F,Despesas!$J:$J,"&lt;="&amp;$A707,Despesas!$L:$L,"&gt;="&amp;$A707,Despesas!$C:$C,D$1,Despesas!$M:$M,$B707)</f>
        <v>23000</v>
      </c>
      <c r="E707" s="18">
        <f>SUMIFS(Despesas!$F:$F,Despesas!$J:$J,"&lt;="&amp;$A707,Despesas!$L:$L,"&gt;="&amp;$A707,Despesas!$C:$C,E$1,Despesas!$M:$M,"Mensal")+SUMIFS(Despesas!$F:$F,Despesas!$J:$J,"&lt;="&amp;$A707,Despesas!$L:$L,"&gt;="&amp;$A707,Despesas!$C:$C,E$1,Despesas!$M:$M,$B707)</f>
        <v>0</v>
      </c>
      <c r="F707" s="5">
        <f>SUMIFS(Despesas!$F:$F,Despesas!$J:$J,"&lt;="&amp;$A707,Despesas!$L:$L,"&gt;="&amp;$A707,Despesas!$C:$C,F$1,Despesas!$M:$M,"Mensal")+SUMIFS(Despesas!$F:$F,Despesas!$J:$J,"&lt;="&amp;$A707,Despesas!$L:$L,"&gt;="&amp;$A707,Despesas!$C:$C,F$1,Despesas!$M:$M,$B707)</f>
        <v>13000</v>
      </c>
      <c r="G707" s="5">
        <f>SUMIFS(Despesas!$F:$F,Despesas!$J:$J,"&lt;="&amp;$A707,Despesas!$L:$L,"&gt;="&amp;$A707,Despesas!$C:$C,G$1,Despesas!$M:$M,"Mensal")+SUMIFS(Despesas!$F:$F,Despesas!$J:$J,"&lt;="&amp;$A707,Despesas!$L:$L,"&gt;="&amp;$A707,Despesas!$C:$C,G$1,Despesas!$M:$M,$B707)</f>
        <v>0</v>
      </c>
      <c r="H707" s="18">
        <f>SUMIFS(Despesas!$F:$F,Despesas!$J:$J,"&lt;="&amp;$A707,Despesas!$L:$L,"&gt;="&amp;$A707,Despesas!$C:$C,H$1,Despesas!$M:$M,"Mensal")+SUMIFS(Despesas!$F:$F,Despesas!$J:$J,"&lt;="&amp;$A707,Despesas!$L:$L,"&gt;="&amp;$A707,Despesas!$C:$C,H$1,Despesas!$M:$M,$B707)</f>
        <v>1000</v>
      </c>
      <c r="I707" s="18">
        <f>IF(Imóveis!$F$2="PRICE",IF(AND(Dados!$A707&gt;=Imóveis!$Q$2,Dados!$A707&lt;=Imóveis!$T$2),Imóveis!$U$2,0),IF((IF(AND(Dados!$A707&gt;=Imóveis!$Q$2,Dados!$A707&lt;=Imóveis!$T$2),Imóveis!$S$2-(DATEDIF(Imóveis!$Q$2,Dados!$A707,"m")),0))=0,0,((Imóveis!$N$2/Imóveis!$S$2)+((Imóveis!$N$2-((Imóveis!$S$2-(IF(AND(Dados!$A707&gt;=Imóveis!$Q$2,Dados!$A707&lt;=Imóveis!$T$2),Imóveis!$S$2-(DATEDIF(Imóveis!$Q$2,Dados!$A707,"m")),)))*(Imóveis!$N$2/Imóveis!$S$2)))*Imóveis!$P$2))))*IF(AND(Imóveis!$E$2&gt;0,Dados!$A707&gt;Imóveis!$E$2),0,1)</f>
        <v>0</v>
      </c>
      <c r="J707" s="18">
        <f>IF(Imóveis!$F$3="PRICE",IF(AND(Dados!$A707&gt;=Imóveis!$Q$3,Dados!$A707&lt;=Imóveis!$T$3),Imóveis!$U$3,0),IF((IF(AND(Dados!$A707&gt;=Imóveis!$Q$3,Dados!$A707&lt;=Imóveis!$T$3),Imóveis!$S$3-(DATEDIF(Imóveis!$Q$3,Dados!$A707,"m")),0))=0,0,((Imóveis!$N$3/Imóveis!$S$3)+((Imóveis!$N$3-((Imóveis!$S$3-(IF(AND(Dados!$A707&gt;=Imóveis!$Q$3,Dados!$A707&lt;=Imóveis!$T$3),Imóveis!$S$3-(DATEDIF(Imóveis!$Q$3,Dados!$A707,"m")),)))*(Imóveis!$N$3/Imóveis!$S$3)))*Imóveis!$P$3))))*IF(AND(Imóveis!$E$3&gt;0,Dados!$A707&gt;Imóveis!$E$3),0,1)</f>
        <v>0</v>
      </c>
      <c r="K707" s="18">
        <f>IF(Imóveis!$F$4="PRICE",IF(AND(Dados!$A707&gt;=Imóveis!$Q$4,Dados!$A707&lt;=Imóveis!$T$4),Imóveis!$U$4,0),IF((IF(AND(Dados!$A707&gt;=Imóveis!$Q$4,Dados!$A707&lt;=Imóveis!$T$4),Imóveis!$S$4-(DATEDIF(Imóveis!$Q$4,Dados!$A707,"m")),0))=0,0,((Imóveis!$N$4/Imóveis!$S$4)+((Imóveis!$N$4-((Imóveis!$S$4-(IF(AND(Dados!$A707&gt;=Imóveis!$Q$4,Dados!$A707&lt;=Imóveis!$T$4),Imóveis!$S$4-(DATEDIF(Imóveis!$Q$4,Dados!$A707,"m")),)))*(Imóveis!$N$4/Imóveis!$S$4)))*Imóveis!$P$4))))*IF(AND(Imóveis!$E$4&gt;0,Dados!$A707&gt;Imóveis!$E$4),0,1)</f>
        <v>0</v>
      </c>
      <c r="L707" s="18">
        <f>IF(Imóveis!$F$5="PRICE",IF(AND(Dados!$A707&gt;=Imóveis!$Q$5,Dados!$A707&lt;=Imóveis!$T$5),Imóveis!$U$5,0),IF((IF(AND(Dados!$A707&gt;=Imóveis!$Q$5,Dados!$A707&lt;=Imóveis!$T$5),Imóveis!$S$5-(DATEDIF(Imóveis!$Q$5,Dados!$A707,"m")),0))=0,0,((Imóveis!$N$5/Imóveis!$S$5)+((Imóveis!$N$5-((Imóveis!$S$5-(IF(AND(Dados!$A707 &gt;=Imóveis!$Q$5,Dados!$A707&lt;=Imóveis!$T$5),Imóveis!$S$5-(DATEDIF(Imóveis!$Q$5,Dados!$A707,"m")),)))*(Imóveis!$N$5/Imóveis!$S$5)))*Imóveis!$P$5))))*IF(AND(Imóveis!$E$5&gt;0,Dados!$A707&gt;Imóveis!$E$5),0,1)*Imóveis!$I$5</f>
        <v>0</v>
      </c>
      <c r="M707" s="18">
        <f>IF(Imóveis!$F$6="PRICE",IF(AND(Dados!$A707&gt;=Imóveis!$Q$6,Dados!$A707&lt;=Imóveis!$T$6),Imóveis!$U$6,0),IF((IF(AND(Dados!$A707&gt;=Imóveis!$Q$6,Dados!$A707&lt;=Imóveis!$T$6),Imóveis!$S$6-(DATEDIF(Imóveis!$Q$6,Dados!$A707,"m")),0))=0,0,((Imóveis!$N$6/Imóveis!$S$6)+((Imóveis!$N$6-((Imóveis!$S$6-(IF(AND(Dados!$A707&gt;=Imóveis!$Q$6,Dados!$A707&lt;=Imóveis!$T$6),Imóveis!$S$6-(DATEDIF(Imóveis!$Q$6,Dados!$A707,"m")),)))*(Imóveis!$N$6/Imóveis!$S$6)))*Imóveis!$P$6))))*IF(AND(Imóveis!$E$6&gt;0,Dados!$A707&gt;Imóveis!$E$6),0,1)*Imóveis!$I$6</f>
        <v>0</v>
      </c>
      <c r="N707" s="18">
        <f t="shared" ref="N707:N770" si="93">SUM(D707:M707)</f>
        <v>37000</v>
      </c>
      <c r="O707" s="18">
        <f>SUMIFS(Receitas!$F:$F,Receitas!$J:$J,"&lt;="&amp;$A707,Receitas!$L:$L,"&gt;="&amp;$A707,Receitas!$C:$C,O$1,Receitas!$M:$M,"Mensal")+SUMIFS(Receitas!$F:$F,Receitas!$J:$J,"&lt;="&amp;$A707,Receitas!$L:$L,"&gt;="&amp;$A707,Receitas!$C:$C,O$1,Receitas!$M:$M,$B707)</f>
        <v>0</v>
      </c>
      <c r="P707" s="18">
        <f>SUMIFS(Receitas!$F:$F,Receitas!$J:$J,"&lt;="&amp;$A707,Receitas!$L:$L,"&gt;="&amp;$A707,Receitas!$C:$C,P$1,Receitas!$M:$M,"Mensal")+SUMIFS(Receitas!$F:$F,Receitas!$J:$J,"&lt;="&amp;$A707,Receitas!$L:$L,"&gt;="&amp;$A707,Receitas!$C:$C,P$1,Receitas!$M:$M,$B707)</f>
        <v>0</v>
      </c>
      <c r="Q707" s="18">
        <f>SUMIFS(Receitas!$F:$F,Receitas!$J:$J,"&lt;="&amp;$A707,Receitas!$L:$L,"&gt;="&amp;$A707,Receitas!$C:$C,Q$1,Receitas!$M:$M,"Mensal")+SUMIFS(Receitas!$F:$F,Receitas!$J:$J,"&lt;="&amp;$A707,Receitas!$L:$L,"&gt;="&amp;$A707,Receitas!$C:$C,Q$1,Receitas!$M:$M,$B707)</f>
        <v>0</v>
      </c>
      <c r="R707" s="18" cm="1">
        <f t="array" ref="R707">(IF(AND(Membros!$F$2="Sim",A707&lt;=MAX(Membros!$E$2:$E$5)),Membros!K$2,IF(AND(A707&gt;=Membros!J$2,A707&lt;=MAX(Membros!$E$2:$E$5)),Membros!K$2,0))+IF(AND(Membros!$F$3="Sim",A707&lt;=MAX(Membros!$E$2:$E$5)),Membros!K$3,IF(AND(A707&gt;=Membros!J$3,A707&lt;=MAX(Membros!$E$2:$E$5)),Membros!K$3,0)))*IF(AND(COUNTIFS(Tabela3[Tipo],"Provedor",Tabela3[Simulação Seguro],"Sim")=2,A707&gt;=MAX(IF(Tabela3[Tipo]="Dependente",Tabela3[Expectativa de Vida (Data)]))),0,1)</f>
        <v>10000</v>
      </c>
      <c r="S707" s="18">
        <f t="shared" ref="S707:S770" si="94">O707+P707+Q707+R707</f>
        <v>10000</v>
      </c>
      <c r="U707" s="18">
        <f t="shared" ca="1" si="89"/>
        <v>51615663.691537268</v>
      </c>
      <c r="V707" s="18">
        <f>SUMIF(Imóveis!E:E,Dados!A:A,Imóveis!Z:Z)-SUMIF(Imóveis!E:E,Dados!A:A,Imóveis!Y:Y)</f>
        <v>0</v>
      </c>
      <c r="W707" s="18">
        <f>-SUMIF(Projetos!N:N,A707,Projetos!F:F)</f>
        <v>0</v>
      </c>
      <c r="X707" s="18">
        <f t="shared" si="91"/>
        <v>-27000</v>
      </c>
      <c r="Y707" s="26">
        <f ca="1">(U707*((Indicadores_Economicos!D$2+1)^(1/12)-1))</f>
        <v>168976.25161158564</v>
      </c>
      <c r="Z707" s="18">
        <f t="shared" ref="Z707:Z770" ca="1" si="95">U707+V707+W707+X707+Y707</f>
        <v>51757639.943148851</v>
      </c>
      <c r="AA707" s="18">
        <f ca="1">Auxiliar_Projetos!E707</f>
        <v>3.9165556821368447E-9</v>
      </c>
      <c r="AB707" s="18">
        <f ca="1">Auxiliar_Projetos!K707</f>
        <v>3.0127351401052599E-9</v>
      </c>
      <c r="AC707" s="18">
        <f ca="1">IF(Z707-AA707-AB707&gt;Investimentos!$C$14,Investimentos!$C$14,IF(Z707-AA707-AB707&lt;Investimentos!$C$14,Z707-AA707-AB707,0))</f>
        <v>300000</v>
      </c>
      <c r="AD707" s="18">
        <f t="shared" ref="AD707:AD770" ca="1" si="96">Z707-AA707-AB707-AC707</f>
        <v>51457639.943148844</v>
      </c>
      <c r="AE707" s="18"/>
    </row>
    <row r="708" spans="1:31" x14ac:dyDescent="0.2">
      <c r="A708" s="4">
        <v>67146</v>
      </c>
      <c r="B708" s="5" t="str">
        <f t="shared" si="92"/>
        <v>novembro</v>
      </c>
      <c r="C708" s="5" t="str">
        <f t="shared" si="90"/>
        <v>2083</v>
      </c>
      <c r="D708" s="5">
        <f>SUMIFS(Despesas!$F:$F,Despesas!$J:$J,"&lt;="&amp;$A708,Despesas!$L:$L,"&gt;="&amp;$A708,Despesas!$C:$C,D$1,Despesas!$M:$M,"Mensal")+SUMIFS(Despesas!$F:$F,Despesas!$J:$J,"&lt;="&amp;$A708,Despesas!$L:$L,"&gt;="&amp;$A708,Despesas!$C:$C,D$1,Despesas!$M:$M,$B708)</f>
        <v>23000</v>
      </c>
      <c r="E708" s="18">
        <f>SUMIFS(Despesas!$F:$F,Despesas!$J:$J,"&lt;="&amp;$A708,Despesas!$L:$L,"&gt;="&amp;$A708,Despesas!$C:$C,E$1,Despesas!$M:$M,"Mensal")+SUMIFS(Despesas!$F:$F,Despesas!$J:$J,"&lt;="&amp;$A708,Despesas!$L:$L,"&gt;="&amp;$A708,Despesas!$C:$C,E$1,Despesas!$M:$M,$B708)</f>
        <v>0</v>
      </c>
      <c r="F708" s="5">
        <f>SUMIFS(Despesas!$F:$F,Despesas!$J:$J,"&lt;="&amp;$A708,Despesas!$L:$L,"&gt;="&amp;$A708,Despesas!$C:$C,F$1,Despesas!$M:$M,"Mensal")+SUMIFS(Despesas!$F:$F,Despesas!$J:$J,"&lt;="&amp;$A708,Despesas!$L:$L,"&gt;="&amp;$A708,Despesas!$C:$C,F$1,Despesas!$M:$M,$B708)</f>
        <v>13000</v>
      </c>
      <c r="G708" s="5">
        <f>SUMIFS(Despesas!$F:$F,Despesas!$J:$J,"&lt;="&amp;$A708,Despesas!$L:$L,"&gt;="&amp;$A708,Despesas!$C:$C,G$1,Despesas!$M:$M,"Mensal")+SUMIFS(Despesas!$F:$F,Despesas!$J:$J,"&lt;="&amp;$A708,Despesas!$L:$L,"&gt;="&amp;$A708,Despesas!$C:$C,G$1,Despesas!$M:$M,$B708)</f>
        <v>0</v>
      </c>
      <c r="H708" s="18">
        <f>SUMIFS(Despesas!$F:$F,Despesas!$J:$J,"&lt;="&amp;$A708,Despesas!$L:$L,"&gt;="&amp;$A708,Despesas!$C:$C,H$1,Despesas!$M:$M,"Mensal")+SUMIFS(Despesas!$F:$F,Despesas!$J:$J,"&lt;="&amp;$A708,Despesas!$L:$L,"&gt;="&amp;$A708,Despesas!$C:$C,H$1,Despesas!$M:$M,$B708)</f>
        <v>1000</v>
      </c>
      <c r="I708" s="18">
        <f>IF(Imóveis!$F$2="PRICE",IF(AND(Dados!$A708&gt;=Imóveis!$Q$2,Dados!$A708&lt;=Imóveis!$T$2),Imóveis!$U$2,0),IF((IF(AND(Dados!$A708&gt;=Imóveis!$Q$2,Dados!$A708&lt;=Imóveis!$T$2),Imóveis!$S$2-(DATEDIF(Imóveis!$Q$2,Dados!$A708,"m")),0))=0,0,((Imóveis!$N$2/Imóveis!$S$2)+((Imóveis!$N$2-((Imóveis!$S$2-(IF(AND(Dados!$A708&gt;=Imóveis!$Q$2,Dados!$A708&lt;=Imóveis!$T$2),Imóveis!$S$2-(DATEDIF(Imóveis!$Q$2,Dados!$A708,"m")),)))*(Imóveis!$N$2/Imóveis!$S$2)))*Imóveis!$P$2))))*IF(AND(Imóveis!$E$2&gt;0,Dados!$A708&gt;Imóveis!$E$2),0,1)</f>
        <v>0</v>
      </c>
      <c r="J708" s="18">
        <f>IF(Imóveis!$F$3="PRICE",IF(AND(Dados!$A708&gt;=Imóveis!$Q$3,Dados!$A708&lt;=Imóveis!$T$3),Imóveis!$U$3,0),IF((IF(AND(Dados!$A708&gt;=Imóveis!$Q$3,Dados!$A708&lt;=Imóveis!$T$3),Imóveis!$S$3-(DATEDIF(Imóveis!$Q$3,Dados!$A708,"m")),0))=0,0,((Imóveis!$N$3/Imóveis!$S$3)+((Imóveis!$N$3-((Imóveis!$S$3-(IF(AND(Dados!$A708&gt;=Imóveis!$Q$3,Dados!$A708&lt;=Imóveis!$T$3),Imóveis!$S$3-(DATEDIF(Imóveis!$Q$3,Dados!$A708,"m")),)))*(Imóveis!$N$3/Imóveis!$S$3)))*Imóveis!$P$3))))*IF(AND(Imóveis!$E$3&gt;0,Dados!$A708&gt;Imóveis!$E$3),0,1)</f>
        <v>0</v>
      </c>
      <c r="K708" s="18">
        <f>IF(Imóveis!$F$4="PRICE",IF(AND(Dados!$A708&gt;=Imóveis!$Q$4,Dados!$A708&lt;=Imóveis!$T$4),Imóveis!$U$4,0),IF((IF(AND(Dados!$A708&gt;=Imóveis!$Q$4,Dados!$A708&lt;=Imóveis!$T$4),Imóveis!$S$4-(DATEDIF(Imóveis!$Q$4,Dados!$A708,"m")),0))=0,0,((Imóveis!$N$4/Imóveis!$S$4)+((Imóveis!$N$4-((Imóveis!$S$4-(IF(AND(Dados!$A708&gt;=Imóveis!$Q$4,Dados!$A708&lt;=Imóveis!$T$4),Imóveis!$S$4-(DATEDIF(Imóveis!$Q$4,Dados!$A708,"m")),)))*(Imóveis!$N$4/Imóveis!$S$4)))*Imóveis!$P$4))))*IF(AND(Imóveis!$E$4&gt;0,Dados!$A708&gt;Imóveis!$E$4),0,1)</f>
        <v>0</v>
      </c>
      <c r="L708" s="18">
        <f>IF(Imóveis!$F$5="PRICE",IF(AND(Dados!$A708&gt;=Imóveis!$Q$5,Dados!$A708&lt;=Imóveis!$T$5),Imóveis!$U$5,0),IF((IF(AND(Dados!$A708&gt;=Imóveis!$Q$5,Dados!$A708&lt;=Imóveis!$T$5),Imóveis!$S$5-(DATEDIF(Imóveis!$Q$5,Dados!$A708,"m")),0))=0,0,((Imóveis!$N$5/Imóveis!$S$5)+((Imóveis!$N$5-((Imóveis!$S$5-(IF(AND(Dados!$A708 &gt;=Imóveis!$Q$5,Dados!$A708&lt;=Imóveis!$T$5),Imóveis!$S$5-(DATEDIF(Imóveis!$Q$5,Dados!$A708,"m")),)))*(Imóveis!$N$5/Imóveis!$S$5)))*Imóveis!$P$5))))*IF(AND(Imóveis!$E$5&gt;0,Dados!$A708&gt;Imóveis!$E$5),0,1)*Imóveis!$I$5</f>
        <v>0</v>
      </c>
      <c r="M708" s="18">
        <f>IF(Imóveis!$F$6="PRICE",IF(AND(Dados!$A708&gt;=Imóveis!$Q$6,Dados!$A708&lt;=Imóveis!$T$6),Imóveis!$U$6,0),IF((IF(AND(Dados!$A708&gt;=Imóveis!$Q$6,Dados!$A708&lt;=Imóveis!$T$6),Imóveis!$S$6-(DATEDIF(Imóveis!$Q$6,Dados!$A708,"m")),0))=0,0,((Imóveis!$N$6/Imóveis!$S$6)+((Imóveis!$N$6-((Imóveis!$S$6-(IF(AND(Dados!$A708&gt;=Imóveis!$Q$6,Dados!$A708&lt;=Imóveis!$T$6),Imóveis!$S$6-(DATEDIF(Imóveis!$Q$6,Dados!$A708,"m")),)))*(Imóveis!$N$6/Imóveis!$S$6)))*Imóveis!$P$6))))*IF(AND(Imóveis!$E$6&gt;0,Dados!$A708&gt;Imóveis!$E$6),0,1)*Imóveis!$I$6</f>
        <v>0</v>
      </c>
      <c r="N708" s="18">
        <f t="shared" si="93"/>
        <v>37000</v>
      </c>
      <c r="O708" s="18">
        <f>SUMIFS(Receitas!$F:$F,Receitas!$J:$J,"&lt;="&amp;$A708,Receitas!$L:$L,"&gt;="&amp;$A708,Receitas!$C:$C,O$1,Receitas!$M:$M,"Mensal")+SUMIFS(Receitas!$F:$F,Receitas!$J:$J,"&lt;="&amp;$A708,Receitas!$L:$L,"&gt;="&amp;$A708,Receitas!$C:$C,O$1,Receitas!$M:$M,$B708)</f>
        <v>0</v>
      </c>
      <c r="P708" s="18">
        <f>SUMIFS(Receitas!$F:$F,Receitas!$J:$J,"&lt;="&amp;$A708,Receitas!$L:$L,"&gt;="&amp;$A708,Receitas!$C:$C,P$1,Receitas!$M:$M,"Mensal")+SUMIFS(Receitas!$F:$F,Receitas!$J:$J,"&lt;="&amp;$A708,Receitas!$L:$L,"&gt;="&amp;$A708,Receitas!$C:$C,P$1,Receitas!$M:$M,$B708)</f>
        <v>0</v>
      </c>
      <c r="Q708" s="18">
        <f>SUMIFS(Receitas!$F:$F,Receitas!$J:$J,"&lt;="&amp;$A708,Receitas!$L:$L,"&gt;="&amp;$A708,Receitas!$C:$C,Q$1,Receitas!$M:$M,"Mensal")+SUMIFS(Receitas!$F:$F,Receitas!$J:$J,"&lt;="&amp;$A708,Receitas!$L:$L,"&gt;="&amp;$A708,Receitas!$C:$C,Q$1,Receitas!$M:$M,$B708)</f>
        <v>0</v>
      </c>
      <c r="R708" s="18" cm="1">
        <f t="array" ref="R708">(IF(AND(Membros!$F$2="Sim",A708&lt;=MAX(Membros!$E$2:$E$5)),Membros!K$2,IF(AND(A708&gt;=Membros!J$2,A708&lt;=MAX(Membros!$E$2:$E$5)),Membros!K$2,0))+IF(AND(Membros!$F$3="Sim",A708&lt;=MAX(Membros!$E$2:$E$5)),Membros!K$3,IF(AND(A708&gt;=Membros!J$3,A708&lt;=MAX(Membros!$E$2:$E$5)),Membros!K$3,0)))*IF(AND(COUNTIFS(Tabela3[Tipo],"Provedor",Tabela3[Simulação Seguro],"Sim")=2,A708&gt;=MAX(IF(Tabela3[Tipo]="Dependente",Tabela3[Expectativa de Vida (Data)]))),0,1)</f>
        <v>10000</v>
      </c>
      <c r="S708" s="18">
        <f t="shared" si="94"/>
        <v>10000</v>
      </c>
      <c r="U708" s="18">
        <f t="shared" ref="U708:U771" ca="1" si="97">Z707</f>
        <v>51757639.943148851</v>
      </c>
      <c r="V708" s="18">
        <f>SUMIF(Imóveis!E:E,Dados!A:A,Imóveis!Z:Z)-SUMIF(Imóveis!E:E,Dados!A:A,Imóveis!Y:Y)</f>
        <v>0</v>
      </c>
      <c r="W708" s="18">
        <f>-SUMIF(Projetos!N:N,A708,Projetos!F:F)</f>
        <v>0</v>
      </c>
      <c r="X708" s="18">
        <f t="shared" si="91"/>
        <v>-27000</v>
      </c>
      <c r="Y708" s="26">
        <f ca="1">(U708*((Indicadores_Economicos!D$2+1)^(1/12)-1))</f>
        <v>169441.04491461394</v>
      </c>
      <c r="Z708" s="18">
        <f t="shared" ca="1" si="95"/>
        <v>51900080.988063462</v>
      </c>
      <c r="AA708" s="18">
        <f ca="1">Auxiliar_Projetos!E708</f>
        <v>3.9293774662826537E-9</v>
      </c>
      <c r="AB708" s="18">
        <f ca="1">Auxiliar_Projetos!K708</f>
        <v>3.0225980509866512E-9</v>
      </c>
      <c r="AC708" s="18">
        <f ca="1">IF(Z708-AA708-AB708&gt;Investimentos!$C$14,Investimentos!$C$14,IF(Z708-AA708-AB708&lt;Investimentos!$C$14,Z708-AA708-AB708,0))</f>
        <v>300000</v>
      </c>
      <c r="AD708" s="18">
        <f t="shared" ca="1" si="96"/>
        <v>51600080.988063455</v>
      </c>
      <c r="AE708" s="18"/>
    </row>
    <row r="709" spans="1:31" x14ac:dyDescent="0.2">
      <c r="A709" s="4">
        <v>67176</v>
      </c>
      <c r="B709" s="5" t="str">
        <f t="shared" si="92"/>
        <v>dezembro</v>
      </c>
      <c r="C709" s="5" t="str">
        <f t="shared" si="90"/>
        <v>2083</v>
      </c>
      <c r="D709" s="5">
        <f>SUMIFS(Despesas!$F:$F,Despesas!$J:$J,"&lt;="&amp;$A709,Despesas!$L:$L,"&gt;="&amp;$A709,Despesas!$C:$C,D$1,Despesas!$M:$M,"Mensal")+SUMIFS(Despesas!$F:$F,Despesas!$J:$J,"&lt;="&amp;$A709,Despesas!$L:$L,"&gt;="&amp;$A709,Despesas!$C:$C,D$1,Despesas!$M:$M,$B709)</f>
        <v>23000</v>
      </c>
      <c r="E709" s="18">
        <f>SUMIFS(Despesas!$F:$F,Despesas!$J:$J,"&lt;="&amp;$A709,Despesas!$L:$L,"&gt;="&amp;$A709,Despesas!$C:$C,E$1,Despesas!$M:$M,"Mensal")+SUMIFS(Despesas!$F:$F,Despesas!$J:$J,"&lt;="&amp;$A709,Despesas!$L:$L,"&gt;="&amp;$A709,Despesas!$C:$C,E$1,Despesas!$M:$M,$B709)</f>
        <v>0</v>
      </c>
      <c r="F709" s="5">
        <f>SUMIFS(Despesas!$F:$F,Despesas!$J:$J,"&lt;="&amp;$A709,Despesas!$L:$L,"&gt;="&amp;$A709,Despesas!$C:$C,F$1,Despesas!$M:$M,"Mensal")+SUMIFS(Despesas!$F:$F,Despesas!$J:$J,"&lt;="&amp;$A709,Despesas!$L:$L,"&gt;="&amp;$A709,Despesas!$C:$C,F$1,Despesas!$M:$M,$B709)</f>
        <v>13000</v>
      </c>
      <c r="G709" s="5">
        <f ca="1">SUMIFS(Despesas!$F:$F,Despesas!$J:$J,"&lt;="&amp;$A709,Despesas!$L:$L,"&gt;="&amp;$A709,Despesas!$C:$C,G$1,Despesas!$M:$M,"Mensal")+SUMIFS(Despesas!$F:$F,Despesas!$J:$J,"&lt;="&amp;$A709,Despesas!$L:$L,"&gt;="&amp;$A709,Despesas!$C:$C,G$1,Despesas!$M:$M,$B709)</f>
        <v>55757</v>
      </c>
      <c r="H709" s="18">
        <f>SUMIFS(Despesas!$F:$F,Despesas!$J:$J,"&lt;="&amp;$A709,Despesas!$L:$L,"&gt;="&amp;$A709,Despesas!$C:$C,H$1,Despesas!$M:$M,"Mensal")+SUMIFS(Despesas!$F:$F,Despesas!$J:$J,"&lt;="&amp;$A709,Despesas!$L:$L,"&gt;="&amp;$A709,Despesas!$C:$C,H$1,Despesas!$M:$M,$B709)</f>
        <v>1000</v>
      </c>
      <c r="I709" s="18">
        <f>IF(Imóveis!$F$2="PRICE",IF(AND(Dados!$A709&gt;=Imóveis!$Q$2,Dados!$A709&lt;=Imóveis!$T$2),Imóveis!$U$2,0),IF((IF(AND(Dados!$A709&gt;=Imóveis!$Q$2,Dados!$A709&lt;=Imóveis!$T$2),Imóveis!$S$2-(DATEDIF(Imóveis!$Q$2,Dados!$A709,"m")),0))=0,0,((Imóveis!$N$2/Imóveis!$S$2)+((Imóveis!$N$2-((Imóveis!$S$2-(IF(AND(Dados!$A709&gt;=Imóveis!$Q$2,Dados!$A709&lt;=Imóveis!$T$2),Imóveis!$S$2-(DATEDIF(Imóveis!$Q$2,Dados!$A709,"m")),)))*(Imóveis!$N$2/Imóveis!$S$2)))*Imóveis!$P$2))))*IF(AND(Imóveis!$E$2&gt;0,Dados!$A709&gt;Imóveis!$E$2),0,1)</f>
        <v>0</v>
      </c>
      <c r="J709" s="18">
        <f>IF(Imóveis!$F$3="PRICE",IF(AND(Dados!$A709&gt;=Imóveis!$Q$3,Dados!$A709&lt;=Imóveis!$T$3),Imóveis!$U$3,0),IF((IF(AND(Dados!$A709&gt;=Imóveis!$Q$3,Dados!$A709&lt;=Imóveis!$T$3),Imóveis!$S$3-(DATEDIF(Imóveis!$Q$3,Dados!$A709,"m")),0))=0,0,((Imóveis!$N$3/Imóveis!$S$3)+((Imóveis!$N$3-((Imóveis!$S$3-(IF(AND(Dados!$A709&gt;=Imóveis!$Q$3,Dados!$A709&lt;=Imóveis!$T$3),Imóveis!$S$3-(DATEDIF(Imóveis!$Q$3,Dados!$A709,"m")),)))*(Imóveis!$N$3/Imóveis!$S$3)))*Imóveis!$P$3))))*IF(AND(Imóveis!$E$3&gt;0,Dados!$A709&gt;Imóveis!$E$3),0,1)</f>
        <v>0</v>
      </c>
      <c r="K709" s="18">
        <f>IF(Imóveis!$F$4="PRICE",IF(AND(Dados!$A709&gt;=Imóveis!$Q$4,Dados!$A709&lt;=Imóveis!$T$4),Imóveis!$U$4,0),IF((IF(AND(Dados!$A709&gt;=Imóveis!$Q$4,Dados!$A709&lt;=Imóveis!$T$4),Imóveis!$S$4-(DATEDIF(Imóveis!$Q$4,Dados!$A709,"m")),0))=0,0,((Imóveis!$N$4/Imóveis!$S$4)+((Imóveis!$N$4-((Imóveis!$S$4-(IF(AND(Dados!$A709&gt;=Imóveis!$Q$4,Dados!$A709&lt;=Imóveis!$T$4),Imóveis!$S$4-(DATEDIF(Imóveis!$Q$4,Dados!$A709,"m")),)))*(Imóveis!$N$4/Imóveis!$S$4)))*Imóveis!$P$4))))*IF(AND(Imóveis!$E$4&gt;0,Dados!$A709&gt;Imóveis!$E$4),0,1)</f>
        <v>0</v>
      </c>
      <c r="L709" s="18">
        <f>IF(Imóveis!$F$5="PRICE",IF(AND(Dados!$A709&gt;=Imóveis!$Q$5,Dados!$A709&lt;=Imóveis!$T$5),Imóveis!$U$5,0),IF((IF(AND(Dados!$A709&gt;=Imóveis!$Q$5,Dados!$A709&lt;=Imóveis!$T$5),Imóveis!$S$5-(DATEDIF(Imóveis!$Q$5,Dados!$A709,"m")),0))=0,0,((Imóveis!$N$5/Imóveis!$S$5)+((Imóveis!$N$5-((Imóveis!$S$5-(IF(AND(Dados!$A709 &gt;=Imóveis!$Q$5,Dados!$A709&lt;=Imóveis!$T$5),Imóveis!$S$5-(DATEDIF(Imóveis!$Q$5,Dados!$A709,"m")),)))*(Imóveis!$N$5/Imóveis!$S$5)))*Imóveis!$P$5))))*IF(AND(Imóveis!$E$5&gt;0,Dados!$A709&gt;Imóveis!$E$5),0,1)*Imóveis!$I$5</f>
        <v>0</v>
      </c>
      <c r="M709" s="18">
        <f>IF(Imóveis!$F$6="PRICE",IF(AND(Dados!$A709&gt;=Imóveis!$Q$6,Dados!$A709&lt;=Imóveis!$T$6),Imóveis!$U$6,0),IF((IF(AND(Dados!$A709&gt;=Imóveis!$Q$6,Dados!$A709&lt;=Imóveis!$T$6),Imóveis!$S$6-(DATEDIF(Imóveis!$Q$6,Dados!$A709,"m")),0))=0,0,((Imóveis!$N$6/Imóveis!$S$6)+((Imóveis!$N$6-((Imóveis!$S$6-(IF(AND(Dados!$A709&gt;=Imóveis!$Q$6,Dados!$A709&lt;=Imóveis!$T$6),Imóveis!$S$6-(DATEDIF(Imóveis!$Q$6,Dados!$A709,"m")),)))*(Imóveis!$N$6/Imóveis!$S$6)))*Imóveis!$P$6))))*IF(AND(Imóveis!$E$6&gt;0,Dados!$A709&gt;Imóveis!$E$6),0,1)*Imóveis!$I$6</f>
        <v>0</v>
      </c>
      <c r="N709" s="18">
        <f t="shared" ca="1" si="93"/>
        <v>92757</v>
      </c>
      <c r="O709" s="18">
        <f>SUMIFS(Receitas!$F:$F,Receitas!$J:$J,"&lt;="&amp;$A709,Receitas!$L:$L,"&gt;="&amp;$A709,Receitas!$C:$C,O$1,Receitas!$M:$M,"Mensal")+SUMIFS(Receitas!$F:$F,Receitas!$J:$J,"&lt;="&amp;$A709,Receitas!$L:$L,"&gt;="&amp;$A709,Receitas!$C:$C,O$1,Receitas!$M:$M,$B709)</f>
        <v>0</v>
      </c>
      <c r="P709" s="18">
        <f>SUMIFS(Receitas!$F:$F,Receitas!$J:$J,"&lt;="&amp;$A709,Receitas!$L:$L,"&gt;="&amp;$A709,Receitas!$C:$C,P$1,Receitas!$M:$M,"Mensal")+SUMIFS(Receitas!$F:$F,Receitas!$J:$J,"&lt;="&amp;$A709,Receitas!$L:$L,"&gt;="&amp;$A709,Receitas!$C:$C,P$1,Receitas!$M:$M,$B709)</f>
        <v>0</v>
      </c>
      <c r="Q709" s="18">
        <f>SUMIFS(Receitas!$F:$F,Receitas!$J:$J,"&lt;="&amp;$A709,Receitas!$L:$L,"&gt;="&amp;$A709,Receitas!$C:$C,Q$1,Receitas!$M:$M,"Mensal")+SUMIFS(Receitas!$F:$F,Receitas!$J:$J,"&lt;="&amp;$A709,Receitas!$L:$L,"&gt;="&amp;$A709,Receitas!$C:$C,Q$1,Receitas!$M:$M,$B709)</f>
        <v>0</v>
      </c>
      <c r="R709" s="18" cm="1">
        <f t="array" ref="R709">(IF(AND(Membros!$F$2="Sim",A709&lt;=MAX(Membros!$E$2:$E$5)),Membros!K$2,IF(AND(A709&gt;=Membros!J$2,A709&lt;=MAX(Membros!$E$2:$E$5)),Membros!K$2,0))+IF(AND(Membros!$F$3="Sim",A709&lt;=MAX(Membros!$E$2:$E$5)),Membros!K$3,IF(AND(A709&gt;=Membros!J$3,A709&lt;=MAX(Membros!$E$2:$E$5)),Membros!K$3,0)))*IF(AND(COUNTIFS(Tabela3[Tipo],"Provedor",Tabela3[Simulação Seguro],"Sim")=2,A709&gt;=MAX(IF(Tabela3[Tipo]="Dependente",Tabela3[Expectativa de Vida (Data)]))),0,1)</f>
        <v>10000</v>
      </c>
      <c r="S709" s="18">
        <f t="shared" si="94"/>
        <v>10000</v>
      </c>
      <c r="U709" s="18">
        <f t="shared" ca="1" si="97"/>
        <v>51900080.988063462</v>
      </c>
      <c r="V709" s="18">
        <f>SUMIF(Imóveis!E:E,Dados!A:A,Imóveis!Z:Z)-SUMIF(Imóveis!E:E,Dados!A:A,Imóveis!Y:Y)</f>
        <v>0</v>
      </c>
      <c r="W709" s="18">
        <f>-SUMIF(Projetos!N:N,A709,Projetos!F:F)</f>
        <v>0</v>
      </c>
      <c r="X709" s="18">
        <f t="shared" ca="1" si="91"/>
        <v>-82757</v>
      </c>
      <c r="Y709" s="26">
        <f ca="1">(U709*((Indicadores_Economicos!D$2+1)^(1/12)-1))</f>
        <v>169907.35982996889</v>
      </c>
      <c r="Z709" s="18">
        <f t="shared" ca="1" si="95"/>
        <v>51987231.347893432</v>
      </c>
      <c r="AA709" s="18">
        <f ca="1">Auxiliar_Projetos!E709</f>
        <v>3.9422412256132992E-9</v>
      </c>
      <c r="AB709" s="18">
        <f ca="1">Auxiliar_Projetos!K709</f>
        <v>3.032493250471763E-9</v>
      </c>
      <c r="AC709" s="18">
        <f ca="1">IF(Z709-AA709-AB709&gt;Investimentos!$C$14,Investimentos!$C$14,IF(Z709-AA709-AB709&lt;Investimentos!$C$14,Z709-AA709-AB709,0))</f>
        <v>300000</v>
      </c>
      <c r="AD709" s="18">
        <f t="shared" ca="1" si="96"/>
        <v>51687231.347893424</v>
      </c>
      <c r="AE709" s="18"/>
    </row>
    <row r="710" spans="1:31" x14ac:dyDescent="0.2">
      <c r="A710" s="4">
        <v>67207</v>
      </c>
      <c r="B710" s="5" t="str">
        <f t="shared" si="92"/>
        <v>janeiro</v>
      </c>
      <c r="C710" s="5" t="str">
        <f t="shared" si="90"/>
        <v>2084</v>
      </c>
      <c r="D710" s="5">
        <f>SUMIFS(Despesas!$F:$F,Despesas!$J:$J,"&lt;="&amp;$A710,Despesas!$L:$L,"&gt;="&amp;$A710,Despesas!$C:$C,D$1,Despesas!$M:$M,"Mensal")+SUMIFS(Despesas!$F:$F,Despesas!$J:$J,"&lt;="&amp;$A710,Despesas!$L:$L,"&gt;="&amp;$A710,Despesas!$C:$C,D$1,Despesas!$M:$M,$B710)</f>
        <v>23000</v>
      </c>
      <c r="E710" s="18">
        <f>SUMIFS(Despesas!$F:$F,Despesas!$J:$J,"&lt;="&amp;$A710,Despesas!$L:$L,"&gt;="&amp;$A710,Despesas!$C:$C,E$1,Despesas!$M:$M,"Mensal")+SUMIFS(Despesas!$F:$F,Despesas!$J:$J,"&lt;="&amp;$A710,Despesas!$L:$L,"&gt;="&amp;$A710,Despesas!$C:$C,E$1,Despesas!$M:$M,$B710)</f>
        <v>0</v>
      </c>
      <c r="F710" s="5">
        <f>SUMIFS(Despesas!$F:$F,Despesas!$J:$J,"&lt;="&amp;$A710,Despesas!$L:$L,"&gt;="&amp;$A710,Despesas!$C:$C,F$1,Despesas!$M:$M,"Mensal")+SUMIFS(Despesas!$F:$F,Despesas!$J:$J,"&lt;="&amp;$A710,Despesas!$L:$L,"&gt;="&amp;$A710,Despesas!$C:$C,F$1,Despesas!$M:$M,$B710)</f>
        <v>13000</v>
      </c>
      <c r="G710" s="5">
        <f>SUMIFS(Despesas!$F:$F,Despesas!$J:$J,"&lt;="&amp;$A710,Despesas!$L:$L,"&gt;="&amp;$A710,Despesas!$C:$C,G$1,Despesas!$M:$M,"Mensal")+SUMIFS(Despesas!$F:$F,Despesas!$J:$J,"&lt;="&amp;$A710,Despesas!$L:$L,"&gt;="&amp;$A710,Despesas!$C:$C,G$1,Despesas!$M:$M,$B710)</f>
        <v>0</v>
      </c>
      <c r="H710" s="18">
        <f>SUMIFS(Despesas!$F:$F,Despesas!$J:$J,"&lt;="&amp;$A710,Despesas!$L:$L,"&gt;="&amp;$A710,Despesas!$C:$C,H$1,Despesas!$M:$M,"Mensal")+SUMIFS(Despesas!$F:$F,Despesas!$J:$J,"&lt;="&amp;$A710,Despesas!$L:$L,"&gt;="&amp;$A710,Despesas!$C:$C,H$1,Despesas!$M:$M,$B710)</f>
        <v>1000</v>
      </c>
      <c r="I710" s="18">
        <f>IF(Imóveis!$F$2="PRICE",IF(AND(Dados!$A710&gt;=Imóveis!$Q$2,Dados!$A710&lt;=Imóveis!$T$2),Imóveis!$U$2,0),IF((IF(AND(Dados!$A710&gt;=Imóveis!$Q$2,Dados!$A710&lt;=Imóveis!$T$2),Imóveis!$S$2-(DATEDIF(Imóveis!$Q$2,Dados!$A710,"m")),0))=0,0,((Imóveis!$N$2/Imóveis!$S$2)+((Imóveis!$N$2-((Imóveis!$S$2-(IF(AND(Dados!$A710&gt;=Imóveis!$Q$2,Dados!$A710&lt;=Imóveis!$T$2),Imóveis!$S$2-(DATEDIF(Imóveis!$Q$2,Dados!$A710,"m")),)))*(Imóveis!$N$2/Imóveis!$S$2)))*Imóveis!$P$2))))*IF(AND(Imóveis!$E$2&gt;0,Dados!$A710&gt;Imóveis!$E$2),0,1)</f>
        <v>0</v>
      </c>
      <c r="J710" s="18">
        <f>IF(Imóveis!$F$3="PRICE",IF(AND(Dados!$A710&gt;=Imóveis!$Q$3,Dados!$A710&lt;=Imóveis!$T$3),Imóveis!$U$3,0),IF((IF(AND(Dados!$A710&gt;=Imóveis!$Q$3,Dados!$A710&lt;=Imóveis!$T$3),Imóveis!$S$3-(DATEDIF(Imóveis!$Q$3,Dados!$A710,"m")),0))=0,0,((Imóveis!$N$3/Imóveis!$S$3)+((Imóveis!$N$3-((Imóveis!$S$3-(IF(AND(Dados!$A710&gt;=Imóveis!$Q$3,Dados!$A710&lt;=Imóveis!$T$3),Imóveis!$S$3-(DATEDIF(Imóveis!$Q$3,Dados!$A710,"m")),)))*(Imóveis!$N$3/Imóveis!$S$3)))*Imóveis!$P$3))))*IF(AND(Imóveis!$E$3&gt;0,Dados!$A710&gt;Imóveis!$E$3),0,1)</f>
        <v>0</v>
      </c>
      <c r="K710" s="18">
        <f>IF(Imóveis!$F$4="PRICE",IF(AND(Dados!$A710&gt;=Imóveis!$Q$4,Dados!$A710&lt;=Imóveis!$T$4),Imóveis!$U$4,0),IF((IF(AND(Dados!$A710&gt;=Imóveis!$Q$4,Dados!$A710&lt;=Imóveis!$T$4),Imóveis!$S$4-(DATEDIF(Imóveis!$Q$4,Dados!$A710,"m")),0))=0,0,((Imóveis!$N$4/Imóveis!$S$4)+((Imóveis!$N$4-((Imóveis!$S$4-(IF(AND(Dados!$A710&gt;=Imóveis!$Q$4,Dados!$A710&lt;=Imóveis!$T$4),Imóveis!$S$4-(DATEDIF(Imóveis!$Q$4,Dados!$A710,"m")),)))*(Imóveis!$N$4/Imóveis!$S$4)))*Imóveis!$P$4))))*IF(AND(Imóveis!$E$4&gt;0,Dados!$A710&gt;Imóveis!$E$4),0,1)</f>
        <v>0</v>
      </c>
      <c r="L710" s="18">
        <f>IF(Imóveis!$F$5="PRICE",IF(AND(Dados!$A710&gt;=Imóveis!$Q$5,Dados!$A710&lt;=Imóveis!$T$5),Imóveis!$U$5,0),IF((IF(AND(Dados!$A710&gt;=Imóveis!$Q$5,Dados!$A710&lt;=Imóveis!$T$5),Imóveis!$S$5-(DATEDIF(Imóveis!$Q$5,Dados!$A710,"m")),0))=0,0,((Imóveis!$N$5/Imóveis!$S$5)+((Imóveis!$N$5-((Imóveis!$S$5-(IF(AND(Dados!$A710 &gt;=Imóveis!$Q$5,Dados!$A710&lt;=Imóveis!$T$5),Imóveis!$S$5-(DATEDIF(Imóveis!$Q$5,Dados!$A710,"m")),)))*(Imóveis!$N$5/Imóveis!$S$5)))*Imóveis!$P$5))))*IF(AND(Imóveis!$E$5&gt;0,Dados!$A710&gt;Imóveis!$E$5),0,1)*Imóveis!$I$5</f>
        <v>0</v>
      </c>
      <c r="M710" s="18">
        <f>IF(Imóveis!$F$6="PRICE",IF(AND(Dados!$A710&gt;=Imóveis!$Q$6,Dados!$A710&lt;=Imóveis!$T$6),Imóveis!$U$6,0),IF((IF(AND(Dados!$A710&gt;=Imóveis!$Q$6,Dados!$A710&lt;=Imóveis!$T$6),Imóveis!$S$6-(DATEDIF(Imóveis!$Q$6,Dados!$A710,"m")),0))=0,0,((Imóveis!$N$6/Imóveis!$S$6)+((Imóveis!$N$6-((Imóveis!$S$6-(IF(AND(Dados!$A710&gt;=Imóveis!$Q$6,Dados!$A710&lt;=Imóveis!$T$6),Imóveis!$S$6-(DATEDIF(Imóveis!$Q$6,Dados!$A710,"m")),)))*(Imóveis!$N$6/Imóveis!$S$6)))*Imóveis!$P$6))))*IF(AND(Imóveis!$E$6&gt;0,Dados!$A710&gt;Imóveis!$E$6),0,1)*Imóveis!$I$6</f>
        <v>0</v>
      </c>
      <c r="N710" s="18">
        <f t="shared" si="93"/>
        <v>37000</v>
      </c>
      <c r="O710" s="18">
        <f>SUMIFS(Receitas!$F:$F,Receitas!$J:$J,"&lt;="&amp;$A710,Receitas!$L:$L,"&gt;="&amp;$A710,Receitas!$C:$C,O$1,Receitas!$M:$M,"Mensal")+SUMIFS(Receitas!$F:$F,Receitas!$J:$J,"&lt;="&amp;$A710,Receitas!$L:$L,"&gt;="&amp;$A710,Receitas!$C:$C,O$1,Receitas!$M:$M,$B710)</f>
        <v>0</v>
      </c>
      <c r="P710" s="18">
        <f>SUMIFS(Receitas!$F:$F,Receitas!$J:$J,"&lt;="&amp;$A710,Receitas!$L:$L,"&gt;="&amp;$A710,Receitas!$C:$C,P$1,Receitas!$M:$M,"Mensal")+SUMIFS(Receitas!$F:$F,Receitas!$J:$J,"&lt;="&amp;$A710,Receitas!$L:$L,"&gt;="&amp;$A710,Receitas!$C:$C,P$1,Receitas!$M:$M,$B710)</f>
        <v>0</v>
      </c>
      <c r="Q710" s="18">
        <f>SUMIFS(Receitas!$F:$F,Receitas!$J:$J,"&lt;="&amp;$A710,Receitas!$L:$L,"&gt;="&amp;$A710,Receitas!$C:$C,Q$1,Receitas!$M:$M,"Mensal")+SUMIFS(Receitas!$F:$F,Receitas!$J:$J,"&lt;="&amp;$A710,Receitas!$L:$L,"&gt;="&amp;$A710,Receitas!$C:$C,Q$1,Receitas!$M:$M,$B710)</f>
        <v>0</v>
      </c>
      <c r="R710" s="18" cm="1">
        <f t="array" ref="R710">(IF(AND(Membros!$F$2="Sim",A710&lt;=MAX(Membros!$E$2:$E$5)),Membros!K$2,IF(AND(A710&gt;=Membros!J$2,A710&lt;=MAX(Membros!$E$2:$E$5)),Membros!K$2,0))+IF(AND(Membros!$F$3="Sim",A710&lt;=MAX(Membros!$E$2:$E$5)),Membros!K$3,IF(AND(A710&gt;=Membros!J$3,A710&lt;=MAX(Membros!$E$2:$E$5)),Membros!K$3,0)))*IF(AND(COUNTIFS(Tabela3[Tipo],"Provedor",Tabela3[Simulação Seguro],"Sim")=2,A710&gt;=MAX(IF(Tabela3[Tipo]="Dependente",Tabela3[Expectativa de Vida (Data)]))),0,1)</f>
        <v>10000</v>
      </c>
      <c r="S710" s="18">
        <f t="shared" si="94"/>
        <v>10000</v>
      </c>
      <c r="U710" s="18">
        <f t="shared" ca="1" si="97"/>
        <v>51987231.347893432</v>
      </c>
      <c r="V710" s="18">
        <f>SUMIF(Imóveis!E:E,Dados!A:A,Imóveis!Z:Z)-SUMIF(Imóveis!E:E,Dados!A:A,Imóveis!Y:Y)</f>
        <v>0</v>
      </c>
      <c r="W710" s="18">
        <f>-SUMIF(Projetos!N:N,A710,Projetos!F:F)</f>
        <v>0</v>
      </c>
      <c r="X710" s="18">
        <f t="shared" si="91"/>
        <v>-27000</v>
      </c>
      <c r="Y710" s="26">
        <f ca="1">(U710*((Indicadores_Economicos!D$2+1)^(1/12)-1))</f>
        <v>170192.66742997721</v>
      </c>
      <c r="Z710" s="18">
        <f t="shared" ca="1" si="95"/>
        <v>52130424.015323408</v>
      </c>
      <c r="AA710" s="18">
        <f ca="1">Auxiliar_Projetos!E710</f>
        <v>3.9551470975446139E-9</v>
      </c>
      <c r="AB710" s="18">
        <f ca="1">Auxiliar_Projetos!K710</f>
        <v>3.0424208442650821E-9</v>
      </c>
      <c r="AC710" s="18">
        <f ca="1">IF(Z710-AA710-AB710&gt;Investimentos!$C$14,Investimentos!$C$14,IF(Z710-AA710-AB710&lt;Investimentos!$C$14,Z710-AA710-AB710,0))</f>
        <v>300000</v>
      </c>
      <c r="AD710" s="18">
        <f t="shared" ca="1" si="96"/>
        <v>51830424.0153234</v>
      </c>
      <c r="AE710" s="18"/>
    </row>
    <row r="711" spans="1:31" x14ac:dyDescent="0.2">
      <c r="A711" s="4">
        <v>67238</v>
      </c>
      <c r="B711" s="5" t="str">
        <f t="shared" si="92"/>
        <v>fevereiro</v>
      </c>
      <c r="C711" s="5" t="str">
        <f t="shared" si="90"/>
        <v>2084</v>
      </c>
      <c r="D711" s="5">
        <f>SUMIFS(Despesas!$F:$F,Despesas!$J:$J,"&lt;="&amp;$A711,Despesas!$L:$L,"&gt;="&amp;$A711,Despesas!$C:$C,D$1,Despesas!$M:$M,"Mensal")+SUMIFS(Despesas!$F:$F,Despesas!$J:$J,"&lt;="&amp;$A711,Despesas!$L:$L,"&gt;="&amp;$A711,Despesas!$C:$C,D$1,Despesas!$M:$M,$B711)</f>
        <v>23000</v>
      </c>
      <c r="E711" s="18">
        <f>SUMIFS(Despesas!$F:$F,Despesas!$J:$J,"&lt;="&amp;$A711,Despesas!$L:$L,"&gt;="&amp;$A711,Despesas!$C:$C,E$1,Despesas!$M:$M,"Mensal")+SUMIFS(Despesas!$F:$F,Despesas!$J:$J,"&lt;="&amp;$A711,Despesas!$L:$L,"&gt;="&amp;$A711,Despesas!$C:$C,E$1,Despesas!$M:$M,$B711)</f>
        <v>0</v>
      </c>
      <c r="F711" s="5">
        <f>SUMIFS(Despesas!$F:$F,Despesas!$J:$J,"&lt;="&amp;$A711,Despesas!$L:$L,"&gt;="&amp;$A711,Despesas!$C:$C,F$1,Despesas!$M:$M,"Mensal")+SUMIFS(Despesas!$F:$F,Despesas!$J:$J,"&lt;="&amp;$A711,Despesas!$L:$L,"&gt;="&amp;$A711,Despesas!$C:$C,F$1,Despesas!$M:$M,$B711)</f>
        <v>13000</v>
      </c>
      <c r="G711" s="5">
        <f>SUMIFS(Despesas!$F:$F,Despesas!$J:$J,"&lt;="&amp;$A711,Despesas!$L:$L,"&gt;="&amp;$A711,Despesas!$C:$C,G$1,Despesas!$M:$M,"Mensal")+SUMIFS(Despesas!$F:$F,Despesas!$J:$J,"&lt;="&amp;$A711,Despesas!$L:$L,"&gt;="&amp;$A711,Despesas!$C:$C,G$1,Despesas!$M:$M,$B711)</f>
        <v>0</v>
      </c>
      <c r="H711" s="18">
        <f>SUMIFS(Despesas!$F:$F,Despesas!$J:$J,"&lt;="&amp;$A711,Despesas!$L:$L,"&gt;="&amp;$A711,Despesas!$C:$C,H$1,Despesas!$M:$M,"Mensal")+SUMIFS(Despesas!$F:$F,Despesas!$J:$J,"&lt;="&amp;$A711,Despesas!$L:$L,"&gt;="&amp;$A711,Despesas!$C:$C,H$1,Despesas!$M:$M,$B711)</f>
        <v>2200</v>
      </c>
      <c r="I711" s="18">
        <f>IF(Imóveis!$F$2="PRICE",IF(AND(Dados!$A711&gt;=Imóveis!$Q$2,Dados!$A711&lt;=Imóveis!$T$2),Imóveis!$U$2,0),IF((IF(AND(Dados!$A711&gt;=Imóveis!$Q$2,Dados!$A711&lt;=Imóveis!$T$2),Imóveis!$S$2-(DATEDIF(Imóveis!$Q$2,Dados!$A711,"m")),0))=0,0,((Imóveis!$N$2/Imóveis!$S$2)+((Imóveis!$N$2-((Imóveis!$S$2-(IF(AND(Dados!$A711&gt;=Imóveis!$Q$2,Dados!$A711&lt;=Imóveis!$T$2),Imóveis!$S$2-(DATEDIF(Imóveis!$Q$2,Dados!$A711,"m")),)))*(Imóveis!$N$2/Imóveis!$S$2)))*Imóveis!$P$2))))*IF(AND(Imóveis!$E$2&gt;0,Dados!$A711&gt;Imóveis!$E$2),0,1)</f>
        <v>0</v>
      </c>
      <c r="J711" s="18">
        <f>IF(Imóveis!$F$3="PRICE",IF(AND(Dados!$A711&gt;=Imóveis!$Q$3,Dados!$A711&lt;=Imóveis!$T$3),Imóveis!$U$3,0),IF((IF(AND(Dados!$A711&gt;=Imóveis!$Q$3,Dados!$A711&lt;=Imóveis!$T$3),Imóveis!$S$3-(DATEDIF(Imóveis!$Q$3,Dados!$A711,"m")),0))=0,0,((Imóveis!$N$3/Imóveis!$S$3)+((Imóveis!$N$3-((Imóveis!$S$3-(IF(AND(Dados!$A711&gt;=Imóveis!$Q$3,Dados!$A711&lt;=Imóveis!$T$3),Imóveis!$S$3-(DATEDIF(Imóveis!$Q$3,Dados!$A711,"m")),)))*(Imóveis!$N$3/Imóveis!$S$3)))*Imóveis!$P$3))))*IF(AND(Imóveis!$E$3&gt;0,Dados!$A711&gt;Imóveis!$E$3),0,1)</f>
        <v>0</v>
      </c>
      <c r="K711" s="18">
        <f>IF(Imóveis!$F$4="PRICE",IF(AND(Dados!$A711&gt;=Imóveis!$Q$4,Dados!$A711&lt;=Imóveis!$T$4),Imóveis!$U$4,0),IF((IF(AND(Dados!$A711&gt;=Imóveis!$Q$4,Dados!$A711&lt;=Imóveis!$T$4),Imóveis!$S$4-(DATEDIF(Imóveis!$Q$4,Dados!$A711,"m")),0))=0,0,((Imóveis!$N$4/Imóveis!$S$4)+((Imóveis!$N$4-((Imóveis!$S$4-(IF(AND(Dados!$A711&gt;=Imóveis!$Q$4,Dados!$A711&lt;=Imóveis!$T$4),Imóveis!$S$4-(DATEDIF(Imóveis!$Q$4,Dados!$A711,"m")),)))*(Imóveis!$N$4/Imóveis!$S$4)))*Imóveis!$P$4))))*IF(AND(Imóveis!$E$4&gt;0,Dados!$A711&gt;Imóveis!$E$4),0,1)</f>
        <v>0</v>
      </c>
      <c r="L711" s="18">
        <f>IF(Imóveis!$F$5="PRICE",IF(AND(Dados!$A711&gt;=Imóveis!$Q$5,Dados!$A711&lt;=Imóveis!$T$5),Imóveis!$U$5,0),IF((IF(AND(Dados!$A711&gt;=Imóveis!$Q$5,Dados!$A711&lt;=Imóveis!$T$5),Imóveis!$S$5-(DATEDIF(Imóveis!$Q$5,Dados!$A711,"m")),0))=0,0,((Imóveis!$N$5/Imóveis!$S$5)+((Imóveis!$N$5-((Imóveis!$S$5-(IF(AND(Dados!$A711 &gt;=Imóveis!$Q$5,Dados!$A711&lt;=Imóveis!$T$5),Imóveis!$S$5-(DATEDIF(Imóveis!$Q$5,Dados!$A711,"m")),)))*(Imóveis!$N$5/Imóveis!$S$5)))*Imóveis!$P$5))))*IF(AND(Imóveis!$E$5&gt;0,Dados!$A711&gt;Imóveis!$E$5),0,1)*Imóveis!$I$5</f>
        <v>0</v>
      </c>
      <c r="M711" s="18">
        <f>IF(Imóveis!$F$6="PRICE",IF(AND(Dados!$A711&gt;=Imóveis!$Q$6,Dados!$A711&lt;=Imóveis!$T$6),Imóveis!$U$6,0),IF((IF(AND(Dados!$A711&gt;=Imóveis!$Q$6,Dados!$A711&lt;=Imóveis!$T$6),Imóveis!$S$6-(DATEDIF(Imóveis!$Q$6,Dados!$A711,"m")),0))=0,0,((Imóveis!$N$6/Imóveis!$S$6)+((Imóveis!$N$6-((Imóveis!$S$6-(IF(AND(Dados!$A711&gt;=Imóveis!$Q$6,Dados!$A711&lt;=Imóveis!$T$6),Imóveis!$S$6-(DATEDIF(Imóveis!$Q$6,Dados!$A711,"m")),)))*(Imóveis!$N$6/Imóveis!$S$6)))*Imóveis!$P$6))))*IF(AND(Imóveis!$E$6&gt;0,Dados!$A711&gt;Imóveis!$E$6),0,1)*Imóveis!$I$6</f>
        <v>0</v>
      </c>
      <c r="N711" s="18">
        <f t="shared" si="93"/>
        <v>38200</v>
      </c>
      <c r="O711" s="18">
        <f>SUMIFS(Receitas!$F:$F,Receitas!$J:$J,"&lt;="&amp;$A711,Receitas!$L:$L,"&gt;="&amp;$A711,Receitas!$C:$C,O$1,Receitas!$M:$M,"Mensal")+SUMIFS(Receitas!$F:$F,Receitas!$J:$J,"&lt;="&amp;$A711,Receitas!$L:$L,"&gt;="&amp;$A711,Receitas!$C:$C,O$1,Receitas!$M:$M,$B711)</f>
        <v>0</v>
      </c>
      <c r="P711" s="18">
        <f>SUMIFS(Receitas!$F:$F,Receitas!$J:$J,"&lt;="&amp;$A711,Receitas!$L:$L,"&gt;="&amp;$A711,Receitas!$C:$C,P$1,Receitas!$M:$M,"Mensal")+SUMIFS(Receitas!$F:$F,Receitas!$J:$J,"&lt;="&amp;$A711,Receitas!$L:$L,"&gt;="&amp;$A711,Receitas!$C:$C,P$1,Receitas!$M:$M,$B711)</f>
        <v>0</v>
      </c>
      <c r="Q711" s="18">
        <f>SUMIFS(Receitas!$F:$F,Receitas!$J:$J,"&lt;="&amp;$A711,Receitas!$L:$L,"&gt;="&amp;$A711,Receitas!$C:$C,Q$1,Receitas!$M:$M,"Mensal")+SUMIFS(Receitas!$F:$F,Receitas!$J:$J,"&lt;="&amp;$A711,Receitas!$L:$L,"&gt;="&amp;$A711,Receitas!$C:$C,Q$1,Receitas!$M:$M,$B711)</f>
        <v>0</v>
      </c>
      <c r="R711" s="18" cm="1">
        <f t="array" ref="R711">(IF(AND(Membros!$F$2="Sim",A711&lt;=MAX(Membros!$E$2:$E$5)),Membros!K$2,IF(AND(A711&gt;=Membros!J$2,A711&lt;=MAX(Membros!$E$2:$E$5)),Membros!K$2,0))+IF(AND(Membros!$F$3="Sim",A711&lt;=MAX(Membros!$E$2:$E$5)),Membros!K$3,IF(AND(A711&gt;=Membros!J$3,A711&lt;=MAX(Membros!$E$2:$E$5)),Membros!K$3,0)))*IF(AND(COUNTIFS(Tabela3[Tipo],"Provedor",Tabela3[Simulação Seguro],"Sim")=2,A711&gt;=MAX(IF(Tabela3[Tipo]="Dependente",Tabela3[Expectativa de Vida (Data)]))),0,1)</f>
        <v>10000</v>
      </c>
      <c r="S711" s="18">
        <f t="shared" si="94"/>
        <v>10000</v>
      </c>
      <c r="U711" s="18">
        <f t="shared" ca="1" si="97"/>
        <v>52130424.015323408</v>
      </c>
      <c r="V711" s="18">
        <f>SUMIF(Imóveis!E:E,Dados!A:A,Imóveis!Z:Z)-SUMIF(Imóveis!E:E,Dados!A:A,Imóveis!Y:Y)</f>
        <v>0</v>
      </c>
      <c r="W711" s="18">
        <f>-SUMIF(Projetos!N:N,A711,Projetos!F:F)</f>
        <v>0</v>
      </c>
      <c r="X711" s="18">
        <f t="shared" si="91"/>
        <v>-28200</v>
      </c>
      <c r="Y711" s="26">
        <f ca="1">(U711*((Indicadores_Economicos!D$2+1)^(1/12)-1))</f>
        <v>170661.4429618619</v>
      </c>
      <c r="Z711" s="18">
        <f t="shared" ca="1" si="95"/>
        <v>52272885.458285272</v>
      </c>
      <c r="AA711" s="18">
        <f ca="1">Auxiliar_Projetos!E711</f>
        <v>3.968095219942294E-9</v>
      </c>
      <c r="AB711" s="18">
        <f ca="1">Auxiliar_Projetos!K711</f>
        <v>3.0523809384171438E-9</v>
      </c>
      <c r="AC711" s="18">
        <f ca="1">IF(Z711-AA711-AB711&gt;Investimentos!$C$14,Investimentos!$C$14,IF(Z711-AA711-AB711&lt;Investimentos!$C$14,Z711-AA711-AB711,0))</f>
        <v>300000</v>
      </c>
      <c r="AD711" s="18">
        <f t="shared" ca="1" si="96"/>
        <v>51972885.458285265</v>
      </c>
      <c r="AE711" s="18"/>
    </row>
    <row r="712" spans="1:31" x14ac:dyDescent="0.2">
      <c r="A712" s="4">
        <v>67267</v>
      </c>
      <c r="B712" s="5" t="str">
        <f t="shared" si="92"/>
        <v>março</v>
      </c>
      <c r="C712" s="5" t="str">
        <f t="shared" si="90"/>
        <v>2084</v>
      </c>
      <c r="D712" s="5">
        <f>SUMIFS(Despesas!$F:$F,Despesas!$J:$J,"&lt;="&amp;$A712,Despesas!$L:$L,"&gt;="&amp;$A712,Despesas!$C:$C,D$1,Despesas!$M:$M,"Mensal")+SUMIFS(Despesas!$F:$F,Despesas!$J:$J,"&lt;="&amp;$A712,Despesas!$L:$L,"&gt;="&amp;$A712,Despesas!$C:$C,D$1,Despesas!$M:$M,$B712)</f>
        <v>23000</v>
      </c>
      <c r="E712" s="18">
        <f>SUMIFS(Despesas!$F:$F,Despesas!$J:$J,"&lt;="&amp;$A712,Despesas!$L:$L,"&gt;="&amp;$A712,Despesas!$C:$C,E$1,Despesas!$M:$M,"Mensal")+SUMIFS(Despesas!$F:$F,Despesas!$J:$J,"&lt;="&amp;$A712,Despesas!$L:$L,"&gt;="&amp;$A712,Despesas!$C:$C,E$1,Despesas!$M:$M,$B712)</f>
        <v>0</v>
      </c>
      <c r="F712" s="5">
        <f>SUMIFS(Despesas!$F:$F,Despesas!$J:$J,"&lt;="&amp;$A712,Despesas!$L:$L,"&gt;="&amp;$A712,Despesas!$C:$C,F$1,Despesas!$M:$M,"Mensal")+SUMIFS(Despesas!$F:$F,Despesas!$J:$J,"&lt;="&amp;$A712,Despesas!$L:$L,"&gt;="&amp;$A712,Despesas!$C:$C,F$1,Despesas!$M:$M,$B712)</f>
        <v>13000</v>
      </c>
      <c r="G712" s="5">
        <f>SUMIFS(Despesas!$F:$F,Despesas!$J:$J,"&lt;="&amp;$A712,Despesas!$L:$L,"&gt;="&amp;$A712,Despesas!$C:$C,G$1,Despesas!$M:$M,"Mensal")+SUMIFS(Despesas!$F:$F,Despesas!$J:$J,"&lt;="&amp;$A712,Despesas!$L:$L,"&gt;="&amp;$A712,Despesas!$C:$C,G$1,Despesas!$M:$M,$B712)</f>
        <v>0</v>
      </c>
      <c r="H712" s="18">
        <f>SUMIFS(Despesas!$F:$F,Despesas!$J:$J,"&lt;="&amp;$A712,Despesas!$L:$L,"&gt;="&amp;$A712,Despesas!$C:$C,H$1,Despesas!$M:$M,"Mensal")+SUMIFS(Despesas!$F:$F,Despesas!$J:$J,"&lt;="&amp;$A712,Despesas!$L:$L,"&gt;="&amp;$A712,Despesas!$C:$C,H$1,Despesas!$M:$M,$B712)</f>
        <v>1000</v>
      </c>
      <c r="I712" s="18">
        <f>IF(Imóveis!$F$2="PRICE",IF(AND(Dados!$A712&gt;=Imóveis!$Q$2,Dados!$A712&lt;=Imóveis!$T$2),Imóveis!$U$2,0),IF((IF(AND(Dados!$A712&gt;=Imóveis!$Q$2,Dados!$A712&lt;=Imóveis!$T$2),Imóveis!$S$2-(DATEDIF(Imóveis!$Q$2,Dados!$A712,"m")),0))=0,0,((Imóveis!$N$2/Imóveis!$S$2)+((Imóveis!$N$2-((Imóveis!$S$2-(IF(AND(Dados!$A712&gt;=Imóveis!$Q$2,Dados!$A712&lt;=Imóveis!$T$2),Imóveis!$S$2-(DATEDIF(Imóveis!$Q$2,Dados!$A712,"m")),)))*(Imóveis!$N$2/Imóveis!$S$2)))*Imóveis!$P$2))))*IF(AND(Imóveis!$E$2&gt;0,Dados!$A712&gt;Imóveis!$E$2),0,1)</f>
        <v>0</v>
      </c>
      <c r="J712" s="18">
        <f>IF(Imóveis!$F$3="PRICE",IF(AND(Dados!$A712&gt;=Imóveis!$Q$3,Dados!$A712&lt;=Imóveis!$T$3),Imóveis!$U$3,0),IF((IF(AND(Dados!$A712&gt;=Imóveis!$Q$3,Dados!$A712&lt;=Imóveis!$T$3),Imóveis!$S$3-(DATEDIF(Imóveis!$Q$3,Dados!$A712,"m")),0))=0,0,((Imóveis!$N$3/Imóveis!$S$3)+((Imóveis!$N$3-((Imóveis!$S$3-(IF(AND(Dados!$A712&gt;=Imóveis!$Q$3,Dados!$A712&lt;=Imóveis!$T$3),Imóveis!$S$3-(DATEDIF(Imóveis!$Q$3,Dados!$A712,"m")),)))*(Imóveis!$N$3/Imóveis!$S$3)))*Imóveis!$P$3))))*IF(AND(Imóveis!$E$3&gt;0,Dados!$A712&gt;Imóveis!$E$3),0,1)</f>
        <v>0</v>
      </c>
      <c r="K712" s="18">
        <f>IF(Imóveis!$F$4="PRICE",IF(AND(Dados!$A712&gt;=Imóveis!$Q$4,Dados!$A712&lt;=Imóveis!$T$4),Imóveis!$U$4,0),IF((IF(AND(Dados!$A712&gt;=Imóveis!$Q$4,Dados!$A712&lt;=Imóveis!$T$4),Imóveis!$S$4-(DATEDIF(Imóveis!$Q$4,Dados!$A712,"m")),0))=0,0,((Imóveis!$N$4/Imóveis!$S$4)+((Imóveis!$N$4-((Imóveis!$S$4-(IF(AND(Dados!$A712&gt;=Imóveis!$Q$4,Dados!$A712&lt;=Imóveis!$T$4),Imóveis!$S$4-(DATEDIF(Imóveis!$Q$4,Dados!$A712,"m")),)))*(Imóveis!$N$4/Imóveis!$S$4)))*Imóveis!$P$4))))*IF(AND(Imóveis!$E$4&gt;0,Dados!$A712&gt;Imóveis!$E$4),0,1)</f>
        <v>0</v>
      </c>
      <c r="L712" s="18">
        <f>IF(Imóveis!$F$5="PRICE",IF(AND(Dados!$A712&gt;=Imóveis!$Q$5,Dados!$A712&lt;=Imóveis!$T$5),Imóveis!$U$5,0),IF((IF(AND(Dados!$A712&gt;=Imóveis!$Q$5,Dados!$A712&lt;=Imóveis!$T$5),Imóveis!$S$5-(DATEDIF(Imóveis!$Q$5,Dados!$A712,"m")),0))=0,0,((Imóveis!$N$5/Imóveis!$S$5)+((Imóveis!$N$5-((Imóveis!$S$5-(IF(AND(Dados!$A712 &gt;=Imóveis!$Q$5,Dados!$A712&lt;=Imóveis!$T$5),Imóveis!$S$5-(DATEDIF(Imóveis!$Q$5,Dados!$A712,"m")),)))*(Imóveis!$N$5/Imóveis!$S$5)))*Imóveis!$P$5))))*IF(AND(Imóveis!$E$5&gt;0,Dados!$A712&gt;Imóveis!$E$5),0,1)*Imóveis!$I$5</f>
        <v>0</v>
      </c>
      <c r="M712" s="18">
        <f>IF(Imóveis!$F$6="PRICE",IF(AND(Dados!$A712&gt;=Imóveis!$Q$6,Dados!$A712&lt;=Imóveis!$T$6),Imóveis!$U$6,0),IF((IF(AND(Dados!$A712&gt;=Imóveis!$Q$6,Dados!$A712&lt;=Imóveis!$T$6),Imóveis!$S$6-(DATEDIF(Imóveis!$Q$6,Dados!$A712,"m")),0))=0,0,((Imóveis!$N$6/Imóveis!$S$6)+((Imóveis!$N$6-((Imóveis!$S$6-(IF(AND(Dados!$A712&gt;=Imóveis!$Q$6,Dados!$A712&lt;=Imóveis!$T$6),Imóveis!$S$6-(DATEDIF(Imóveis!$Q$6,Dados!$A712,"m")),)))*(Imóveis!$N$6/Imóveis!$S$6)))*Imóveis!$P$6))))*IF(AND(Imóveis!$E$6&gt;0,Dados!$A712&gt;Imóveis!$E$6),0,1)*Imóveis!$I$6</f>
        <v>0</v>
      </c>
      <c r="N712" s="18">
        <f t="shared" si="93"/>
        <v>37000</v>
      </c>
      <c r="O712" s="18">
        <f>SUMIFS(Receitas!$F:$F,Receitas!$J:$J,"&lt;="&amp;$A712,Receitas!$L:$L,"&gt;="&amp;$A712,Receitas!$C:$C,O$1,Receitas!$M:$M,"Mensal")+SUMIFS(Receitas!$F:$F,Receitas!$J:$J,"&lt;="&amp;$A712,Receitas!$L:$L,"&gt;="&amp;$A712,Receitas!$C:$C,O$1,Receitas!$M:$M,$B712)</f>
        <v>0</v>
      </c>
      <c r="P712" s="18">
        <f>SUMIFS(Receitas!$F:$F,Receitas!$J:$J,"&lt;="&amp;$A712,Receitas!$L:$L,"&gt;="&amp;$A712,Receitas!$C:$C,P$1,Receitas!$M:$M,"Mensal")+SUMIFS(Receitas!$F:$F,Receitas!$J:$J,"&lt;="&amp;$A712,Receitas!$L:$L,"&gt;="&amp;$A712,Receitas!$C:$C,P$1,Receitas!$M:$M,$B712)</f>
        <v>0</v>
      </c>
      <c r="Q712" s="18">
        <f>SUMIFS(Receitas!$F:$F,Receitas!$J:$J,"&lt;="&amp;$A712,Receitas!$L:$L,"&gt;="&amp;$A712,Receitas!$C:$C,Q$1,Receitas!$M:$M,"Mensal")+SUMIFS(Receitas!$F:$F,Receitas!$J:$J,"&lt;="&amp;$A712,Receitas!$L:$L,"&gt;="&amp;$A712,Receitas!$C:$C,Q$1,Receitas!$M:$M,$B712)</f>
        <v>0</v>
      </c>
      <c r="R712" s="18" cm="1">
        <f t="array" ref="R712">(IF(AND(Membros!$F$2="Sim",A712&lt;=MAX(Membros!$E$2:$E$5)),Membros!K$2,IF(AND(A712&gt;=Membros!J$2,A712&lt;=MAX(Membros!$E$2:$E$5)),Membros!K$2,0))+IF(AND(Membros!$F$3="Sim",A712&lt;=MAX(Membros!$E$2:$E$5)),Membros!K$3,IF(AND(A712&gt;=Membros!J$3,A712&lt;=MAX(Membros!$E$2:$E$5)),Membros!K$3,0)))*IF(AND(COUNTIFS(Tabela3[Tipo],"Provedor",Tabela3[Simulação Seguro],"Sim")=2,A712&gt;=MAX(IF(Tabela3[Tipo]="Dependente",Tabela3[Expectativa de Vida (Data)]))),0,1)</f>
        <v>10000</v>
      </c>
      <c r="S712" s="18">
        <f t="shared" si="94"/>
        <v>10000</v>
      </c>
      <c r="U712" s="18">
        <f t="shared" ca="1" si="97"/>
        <v>52272885.458285272</v>
      </c>
      <c r="V712" s="18">
        <f>SUMIF(Imóveis!E:E,Dados!A:A,Imóveis!Z:Z)-SUMIF(Imóveis!E:E,Dados!A:A,Imóveis!Y:Y)</f>
        <v>0</v>
      </c>
      <c r="W712" s="18">
        <f>-SUMIF(Projetos!N:N,A712,Projetos!F:F)</f>
        <v>0</v>
      </c>
      <c r="X712" s="18">
        <f t="shared" si="91"/>
        <v>-27000</v>
      </c>
      <c r="Y712" s="26">
        <f ca="1">(U712*((Indicadores_Economicos!D$2+1)^(1/12)-1))</f>
        <v>171127.82465511563</v>
      </c>
      <c r="Z712" s="18">
        <f t="shared" ca="1" si="95"/>
        <v>52417013.282940388</v>
      </c>
      <c r="AA712" s="18">
        <f ca="1">Auxiliar_Projetos!E712</f>
        <v>3.9810857311233722E-9</v>
      </c>
      <c r="AB712" s="18">
        <f ca="1">Auxiliar_Projetos!K712</f>
        <v>3.0623736393256655E-9</v>
      </c>
      <c r="AC712" s="18">
        <f ca="1">IF(Z712-AA712-AB712&gt;Investimentos!$C$14,Investimentos!$C$14,IF(Z712-AA712-AB712&lt;Investimentos!$C$14,Z712-AA712-AB712,0))</f>
        <v>300000</v>
      </c>
      <c r="AD712" s="18">
        <f t="shared" ca="1" si="96"/>
        <v>52117013.28294038</v>
      </c>
      <c r="AE712" s="18"/>
    </row>
    <row r="713" spans="1:31" x14ac:dyDescent="0.2">
      <c r="A713" s="4">
        <v>67298</v>
      </c>
      <c r="B713" s="5" t="str">
        <f t="shared" si="92"/>
        <v>abril</v>
      </c>
      <c r="C713" s="5" t="str">
        <f t="shared" si="90"/>
        <v>2084</v>
      </c>
      <c r="D713" s="5">
        <f>SUMIFS(Despesas!$F:$F,Despesas!$J:$J,"&lt;="&amp;$A713,Despesas!$L:$L,"&gt;="&amp;$A713,Despesas!$C:$C,D$1,Despesas!$M:$M,"Mensal")+SUMIFS(Despesas!$F:$F,Despesas!$J:$J,"&lt;="&amp;$A713,Despesas!$L:$L,"&gt;="&amp;$A713,Despesas!$C:$C,D$1,Despesas!$M:$M,$B713)</f>
        <v>23000</v>
      </c>
      <c r="E713" s="18">
        <f>SUMIFS(Despesas!$F:$F,Despesas!$J:$J,"&lt;="&amp;$A713,Despesas!$L:$L,"&gt;="&amp;$A713,Despesas!$C:$C,E$1,Despesas!$M:$M,"Mensal")+SUMIFS(Despesas!$F:$F,Despesas!$J:$J,"&lt;="&amp;$A713,Despesas!$L:$L,"&gt;="&amp;$A713,Despesas!$C:$C,E$1,Despesas!$M:$M,$B713)</f>
        <v>0</v>
      </c>
      <c r="F713" s="5">
        <f>SUMIFS(Despesas!$F:$F,Despesas!$J:$J,"&lt;="&amp;$A713,Despesas!$L:$L,"&gt;="&amp;$A713,Despesas!$C:$C,F$1,Despesas!$M:$M,"Mensal")+SUMIFS(Despesas!$F:$F,Despesas!$J:$J,"&lt;="&amp;$A713,Despesas!$L:$L,"&gt;="&amp;$A713,Despesas!$C:$C,F$1,Despesas!$M:$M,$B713)</f>
        <v>13000</v>
      </c>
      <c r="G713" s="5">
        <f>SUMIFS(Despesas!$F:$F,Despesas!$J:$J,"&lt;="&amp;$A713,Despesas!$L:$L,"&gt;="&amp;$A713,Despesas!$C:$C,G$1,Despesas!$M:$M,"Mensal")+SUMIFS(Despesas!$F:$F,Despesas!$J:$J,"&lt;="&amp;$A713,Despesas!$L:$L,"&gt;="&amp;$A713,Despesas!$C:$C,G$1,Despesas!$M:$M,$B713)</f>
        <v>0</v>
      </c>
      <c r="H713" s="18">
        <f>SUMIFS(Despesas!$F:$F,Despesas!$J:$J,"&lt;="&amp;$A713,Despesas!$L:$L,"&gt;="&amp;$A713,Despesas!$C:$C,H$1,Despesas!$M:$M,"Mensal")+SUMIFS(Despesas!$F:$F,Despesas!$J:$J,"&lt;="&amp;$A713,Despesas!$L:$L,"&gt;="&amp;$A713,Despesas!$C:$C,H$1,Despesas!$M:$M,$B713)</f>
        <v>1000</v>
      </c>
      <c r="I713" s="18">
        <f>IF(Imóveis!$F$2="PRICE",IF(AND(Dados!$A713&gt;=Imóveis!$Q$2,Dados!$A713&lt;=Imóveis!$T$2),Imóveis!$U$2,0),IF((IF(AND(Dados!$A713&gt;=Imóveis!$Q$2,Dados!$A713&lt;=Imóveis!$T$2),Imóveis!$S$2-(DATEDIF(Imóveis!$Q$2,Dados!$A713,"m")),0))=0,0,((Imóveis!$N$2/Imóveis!$S$2)+((Imóveis!$N$2-((Imóveis!$S$2-(IF(AND(Dados!$A713&gt;=Imóveis!$Q$2,Dados!$A713&lt;=Imóveis!$T$2),Imóveis!$S$2-(DATEDIF(Imóveis!$Q$2,Dados!$A713,"m")),)))*(Imóveis!$N$2/Imóveis!$S$2)))*Imóveis!$P$2))))*IF(AND(Imóveis!$E$2&gt;0,Dados!$A713&gt;Imóveis!$E$2),0,1)</f>
        <v>0</v>
      </c>
      <c r="J713" s="18">
        <f>IF(Imóveis!$F$3="PRICE",IF(AND(Dados!$A713&gt;=Imóveis!$Q$3,Dados!$A713&lt;=Imóveis!$T$3),Imóveis!$U$3,0),IF((IF(AND(Dados!$A713&gt;=Imóveis!$Q$3,Dados!$A713&lt;=Imóveis!$T$3),Imóveis!$S$3-(DATEDIF(Imóveis!$Q$3,Dados!$A713,"m")),0))=0,0,((Imóveis!$N$3/Imóveis!$S$3)+((Imóveis!$N$3-((Imóveis!$S$3-(IF(AND(Dados!$A713&gt;=Imóveis!$Q$3,Dados!$A713&lt;=Imóveis!$T$3),Imóveis!$S$3-(DATEDIF(Imóveis!$Q$3,Dados!$A713,"m")),)))*(Imóveis!$N$3/Imóveis!$S$3)))*Imóveis!$P$3))))*IF(AND(Imóveis!$E$3&gt;0,Dados!$A713&gt;Imóveis!$E$3),0,1)</f>
        <v>0</v>
      </c>
      <c r="K713" s="18">
        <f>IF(Imóveis!$F$4="PRICE",IF(AND(Dados!$A713&gt;=Imóveis!$Q$4,Dados!$A713&lt;=Imóveis!$T$4),Imóveis!$U$4,0),IF((IF(AND(Dados!$A713&gt;=Imóveis!$Q$4,Dados!$A713&lt;=Imóveis!$T$4),Imóveis!$S$4-(DATEDIF(Imóveis!$Q$4,Dados!$A713,"m")),0))=0,0,((Imóveis!$N$4/Imóveis!$S$4)+((Imóveis!$N$4-((Imóveis!$S$4-(IF(AND(Dados!$A713&gt;=Imóveis!$Q$4,Dados!$A713&lt;=Imóveis!$T$4),Imóveis!$S$4-(DATEDIF(Imóveis!$Q$4,Dados!$A713,"m")),)))*(Imóveis!$N$4/Imóveis!$S$4)))*Imóveis!$P$4))))*IF(AND(Imóveis!$E$4&gt;0,Dados!$A713&gt;Imóveis!$E$4),0,1)</f>
        <v>0</v>
      </c>
      <c r="L713" s="18">
        <f>IF(Imóveis!$F$5="PRICE",IF(AND(Dados!$A713&gt;=Imóveis!$Q$5,Dados!$A713&lt;=Imóveis!$T$5),Imóveis!$U$5,0),IF((IF(AND(Dados!$A713&gt;=Imóveis!$Q$5,Dados!$A713&lt;=Imóveis!$T$5),Imóveis!$S$5-(DATEDIF(Imóveis!$Q$5,Dados!$A713,"m")),0))=0,0,((Imóveis!$N$5/Imóveis!$S$5)+((Imóveis!$N$5-((Imóveis!$S$5-(IF(AND(Dados!$A713 &gt;=Imóveis!$Q$5,Dados!$A713&lt;=Imóveis!$T$5),Imóveis!$S$5-(DATEDIF(Imóveis!$Q$5,Dados!$A713,"m")),)))*(Imóveis!$N$5/Imóveis!$S$5)))*Imóveis!$P$5))))*IF(AND(Imóveis!$E$5&gt;0,Dados!$A713&gt;Imóveis!$E$5),0,1)*Imóveis!$I$5</f>
        <v>0</v>
      </c>
      <c r="M713" s="18">
        <f>IF(Imóveis!$F$6="PRICE",IF(AND(Dados!$A713&gt;=Imóveis!$Q$6,Dados!$A713&lt;=Imóveis!$T$6),Imóveis!$U$6,0),IF((IF(AND(Dados!$A713&gt;=Imóveis!$Q$6,Dados!$A713&lt;=Imóveis!$T$6),Imóveis!$S$6-(DATEDIF(Imóveis!$Q$6,Dados!$A713,"m")),0))=0,0,((Imóveis!$N$6/Imóveis!$S$6)+((Imóveis!$N$6-((Imóveis!$S$6-(IF(AND(Dados!$A713&gt;=Imóveis!$Q$6,Dados!$A713&lt;=Imóveis!$T$6),Imóveis!$S$6-(DATEDIF(Imóveis!$Q$6,Dados!$A713,"m")),)))*(Imóveis!$N$6/Imóveis!$S$6)))*Imóveis!$P$6))))*IF(AND(Imóveis!$E$6&gt;0,Dados!$A713&gt;Imóveis!$E$6),0,1)*Imóveis!$I$6</f>
        <v>0</v>
      </c>
      <c r="N713" s="18">
        <f t="shared" si="93"/>
        <v>37000</v>
      </c>
      <c r="O713" s="18">
        <f>SUMIFS(Receitas!$F:$F,Receitas!$J:$J,"&lt;="&amp;$A713,Receitas!$L:$L,"&gt;="&amp;$A713,Receitas!$C:$C,O$1,Receitas!$M:$M,"Mensal")+SUMIFS(Receitas!$F:$F,Receitas!$J:$J,"&lt;="&amp;$A713,Receitas!$L:$L,"&gt;="&amp;$A713,Receitas!$C:$C,O$1,Receitas!$M:$M,$B713)</f>
        <v>0</v>
      </c>
      <c r="P713" s="18">
        <f>SUMIFS(Receitas!$F:$F,Receitas!$J:$J,"&lt;="&amp;$A713,Receitas!$L:$L,"&gt;="&amp;$A713,Receitas!$C:$C,P$1,Receitas!$M:$M,"Mensal")+SUMIFS(Receitas!$F:$F,Receitas!$J:$J,"&lt;="&amp;$A713,Receitas!$L:$L,"&gt;="&amp;$A713,Receitas!$C:$C,P$1,Receitas!$M:$M,$B713)</f>
        <v>0</v>
      </c>
      <c r="Q713" s="18">
        <f>SUMIFS(Receitas!$F:$F,Receitas!$J:$J,"&lt;="&amp;$A713,Receitas!$L:$L,"&gt;="&amp;$A713,Receitas!$C:$C,Q$1,Receitas!$M:$M,"Mensal")+SUMIFS(Receitas!$F:$F,Receitas!$J:$J,"&lt;="&amp;$A713,Receitas!$L:$L,"&gt;="&amp;$A713,Receitas!$C:$C,Q$1,Receitas!$M:$M,$B713)</f>
        <v>0</v>
      </c>
      <c r="R713" s="18" cm="1">
        <f t="array" ref="R713">(IF(AND(Membros!$F$2="Sim",A713&lt;=MAX(Membros!$E$2:$E$5)),Membros!K$2,IF(AND(A713&gt;=Membros!J$2,A713&lt;=MAX(Membros!$E$2:$E$5)),Membros!K$2,0))+IF(AND(Membros!$F$3="Sim",A713&lt;=MAX(Membros!$E$2:$E$5)),Membros!K$3,IF(AND(A713&gt;=Membros!J$3,A713&lt;=MAX(Membros!$E$2:$E$5)),Membros!K$3,0)))*IF(AND(COUNTIFS(Tabela3[Tipo],"Provedor",Tabela3[Simulação Seguro],"Sim")=2,A713&gt;=MAX(IF(Tabela3[Tipo]="Dependente",Tabela3[Expectativa de Vida (Data)]))),0,1)</f>
        <v>10000</v>
      </c>
      <c r="S713" s="18">
        <f t="shared" si="94"/>
        <v>10000</v>
      </c>
      <c r="U713" s="18">
        <f t="shared" ca="1" si="97"/>
        <v>52417013.282940388</v>
      </c>
      <c r="V713" s="18">
        <f>SUMIF(Imóveis!E:E,Dados!A:A,Imóveis!Z:Z)-SUMIF(Imóveis!E:E,Dados!A:A,Imóveis!Y:Y)</f>
        <v>0</v>
      </c>
      <c r="W713" s="18">
        <f>-SUMIF(Projetos!N:N,A713,Projetos!F:F)</f>
        <v>0</v>
      </c>
      <c r="X713" s="18">
        <f t="shared" si="91"/>
        <v>-27000</v>
      </c>
      <c r="Y713" s="26">
        <f ca="1">(U713*((Indicadores_Economicos!D$2+1)^(1/12)-1))</f>
        <v>171599.66164841087</v>
      </c>
      <c r="Z713" s="18">
        <f t="shared" ca="1" si="95"/>
        <v>52561612.944588795</v>
      </c>
      <c r="AA713" s="18">
        <f ca="1">Auxiliar_Projetos!E713</f>
        <v>3.9941187698576955E-9</v>
      </c>
      <c r="AB713" s="18">
        <f ca="1">Auxiliar_Projetos!K713</f>
        <v>3.0723990537366833E-9</v>
      </c>
      <c r="AC713" s="18">
        <f ca="1">IF(Z713-AA713-AB713&gt;Investimentos!$C$14,Investimentos!$C$14,IF(Z713-AA713-AB713&lt;Investimentos!$C$14,Z713-AA713-AB713,0))</f>
        <v>300000</v>
      </c>
      <c r="AD713" s="18">
        <f t="shared" ca="1" si="96"/>
        <v>52261612.944588788</v>
      </c>
      <c r="AE713" s="18"/>
    </row>
    <row r="714" spans="1:31" x14ac:dyDescent="0.2">
      <c r="A714" s="4">
        <v>67328</v>
      </c>
      <c r="B714" s="5" t="str">
        <f t="shared" si="92"/>
        <v>maio</v>
      </c>
      <c r="C714" s="5" t="str">
        <f t="shared" si="90"/>
        <v>2084</v>
      </c>
      <c r="D714" s="5">
        <f>SUMIFS(Despesas!$F:$F,Despesas!$J:$J,"&lt;="&amp;$A714,Despesas!$L:$L,"&gt;="&amp;$A714,Despesas!$C:$C,D$1,Despesas!$M:$M,"Mensal")+SUMIFS(Despesas!$F:$F,Despesas!$J:$J,"&lt;="&amp;$A714,Despesas!$L:$L,"&gt;="&amp;$A714,Despesas!$C:$C,D$1,Despesas!$M:$M,$B714)</f>
        <v>23000</v>
      </c>
      <c r="E714" s="18">
        <f>SUMIFS(Despesas!$F:$F,Despesas!$J:$J,"&lt;="&amp;$A714,Despesas!$L:$L,"&gt;="&amp;$A714,Despesas!$C:$C,E$1,Despesas!$M:$M,"Mensal")+SUMIFS(Despesas!$F:$F,Despesas!$J:$J,"&lt;="&amp;$A714,Despesas!$L:$L,"&gt;="&amp;$A714,Despesas!$C:$C,E$1,Despesas!$M:$M,$B714)</f>
        <v>0</v>
      </c>
      <c r="F714" s="5">
        <f>SUMIFS(Despesas!$F:$F,Despesas!$J:$J,"&lt;="&amp;$A714,Despesas!$L:$L,"&gt;="&amp;$A714,Despesas!$C:$C,F$1,Despesas!$M:$M,"Mensal")+SUMIFS(Despesas!$F:$F,Despesas!$J:$J,"&lt;="&amp;$A714,Despesas!$L:$L,"&gt;="&amp;$A714,Despesas!$C:$C,F$1,Despesas!$M:$M,$B714)</f>
        <v>13000</v>
      </c>
      <c r="G714" s="5">
        <f>SUMIFS(Despesas!$F:$F,Despesas!$J:$J,"&lt;="&amp;$A714,Despesas!$L:$L,"&gt;="&amp;$A714,Despesas!$C:$C,G$1,Despesas!$M:$M,"Mensal")+SUMIFS(Despesas!$F:$F,Despesas!$J:$J,"&lt;="&amp;$A714,Despesas!$L:$L,"&gt;="&amp;$A714,Despesas!$C:$C,G$1,Despesas!$M:$M,$B714)</f>
        <v>0</v>
      </c>
      <c r="H714" s="18">
        <f>SUMIFS(Despesas!$F:$F,Despesas!$J:$J,"&lt;="&amp;$A714,Despesas!$L:$L,"&gt;="&amp;$A714,Despesas!$C:$C,H$1,Despesas!$M:$M,"Mensal")+SUMIFS(Despesas!$F:$F,Despesas!$J:$J,"&lt;="&amp;$A714,Despesas!$L:$L,"&gt;="&amp;$A714,Despesas!$C:$C,H$1,Despesas!$M:$M,$B714)</f>
        <v>1000</v>
      </c>
      <c r="I714" s="18">
        <f>IF(Imóveis!$F$2="PRICE",IF(AND(Dados!$A714&gt;=Imóveis!$Q$2,Dados!$A714&lt;=Imóveis!$T$2),Imóveis!$U$2,0),IF((IF(AND(Dados!$A714&gt;=Imóveis!$Q$2,Dados!$A714&lt;=Imóveis!$T$2),Imóveis!$S$2-(DATEDIF(Imóveis!$Q$2,Dados!$A714,"m")),0))=0,0,((Imóveis!$N$2/Imóveis!$S$2)+((Imóveis!$N$2-((Imóveis!$S$2-(IF(AND(Dados!$A714&gt;=Imóveis!$Q$2,Dados!$A714&lt;=Imóveis!$T$2),Imóveis!$S$2-(DATEDIF(Imóveis!$Q$2,Dados!$A714,"m")),)))*(Imóveis!$N$2/Imóveis!$S$2)))*Imóveis!$P$2))))*IF(AND(Imóveis!$E$2&gt;0,Dados!$A714&gt;Imóveis!$E$2),0,1)</f>
        <v>0</v>
      </c>
      <c r="J714" s="18">
        <f>IF(Imóveis!$F$3="PRICE",IF(AND(Dados!$A714&gt;=Imóveis!$Q$3,Dados!$A714&lt;=Imóveis!$T$3),Imóveis!$U$3,0),IF((IF(AND(Dados!$A714&gt;=Imóveis!$Q$3,Dados!$A714&lt;=Imóveis!$T$3),Imóveis!$S$3-(DATEDIF(Imóveis!$Q$3,Dados!$A714,"m")),0))=0,0,((Imóveis!$N$3/Imóveis!$S$3)+((Imóveis!$N$3-((Imóveis!$S$3-(IF(AND(Dados!$A714&gt;=Imóveis!$Q$3,Dados!$A714&lt;=Imóveis!$T$3),Imóveis!$S$3-(DATEDIF(Imóveis!$Q$3,Dados!$A714,"m")),)))*(Imóveis!$N$3/Imóveis!$S$3)))*Imóveis!$P$3))))*IF(AND(Imóveis!$E$3&gt;0,Dados!$A714&gt;Imóveis!$E$3),0,1)</f>
        <v>0</v>
      </c>
      <c r="K714" s="18">
        <f>IF(Imóveis!$F$4="PRICE",IF(AND(Dados!$A714&gt;=Imóveis!$Q$4,Dados!$A714&lt;=Imóveis!$T$4),Imóveis!$U$4,0),IF((IF(AND(Dados!$A714&gt;=Imóveis!$Q$4,Dados!$A714&lt;=Imóveis!$T$4),Imóveis!$S$4-(DATEDIF(Imóveis!$Q$4,Dados!$A714,"m")),0))=0,0,((Imóveis!$N$4/Imóveis!$S$4)+((Imóveis!$N$4-((Imóveis!$S$4-(IF(AND(Dados!$A714&gt;=Imóveis!$Q$4,Dados!$A714&lt;=Imóveis!$T$4),Imóveis!$S$4-(DATEDIF(Imóveis!$Q$4,Dados!$A714,"m")),)))*(Imóveis!$N$4/Imóveis!$S$4)))*Imóveis!$P$4))))*IF(AND(Imóveis!$E$4&gt;0,Dados!$A714&gt;Imóveis!$E$4),0,1)</f>
        <v>0</v>
      </c>
      <c r="L714" s="18">
        <f>IF(Imóveis!$F$5="PRICE",IF(AND(Dados!$A714&gt;=Imóveis!$Q$5,Dados!$A714&lt;=Imóveis!$T$5),Imóveis!$U$5,0),IF((IF(AND(Dados!$A714&gt;=Imóveis!$Q$5,Dados!$A714&lt;=Imóveis!$T$5),Imóveis!$S$5-(DATEDIF(Imóveis!$Q$5,Dados!$A714,"m")),0))=0,0,((Imóveis!$N$5/Imóveis!$S$5)+((Imóveis!$N$5-((Imóveis!$S$5-(IF(AND(Dados!$A714 &gt;=Imóveis!$Q$5,Dados!$A714&lt;=Imóveis!$T$5),Imóveis!$S$5-(DATEDIF(Imóveis!$Q$5,Dados!$A714,"m")),)))*(Imóveis!$N$5/Imóveis!$S$5)))*Imóveis!$P$5))))*IF(AND(Imóveis!$E$5&gt;0,Dados!$A714&gt;Imóveis!$E$5),0,1)*Imóveis!$I$5</f>
        <v>0</v>
      </c>
      <c r="M714" s="18">
        <f>IF(Imóveis!$F$6="PRICE",IF(AND(Dados!$A714&gt;=Imóveis!$Q$6,Dados!$A714&lt;=Imóveis!$T$6),Imóveis!$U$6,0),IF((IF(AND(Dados!$A714&gt;=Imóveis!$Q$6,Dados!$A714&lt;=Imóveis!$T$6),Imóveis!$S$6-(DATEDIF(Imóveis!$Q$6,Dados!$A714,"m")),0))=0,0,((Imóveis!$N$6/Imóveis!$S$6)+((Imóveis!$N$6-((Imóveis!$S$6-(IF(AND(Dados!$A714&gt;=Imóveis!$Q$6,Dados!$A714&lt;=Imóveis!$T$6),Imóveis!$S$6-(DATEDIF(Imóveis!$Q$6,Dados!$A714,"m")),)))*(Imóveis!$N$6/Imóveis!$S$6)))*Imóveis!$P$6))))*IF(AND(Imóveis!$E$6&gt;0,Dados!$A714&gt;Imóveis!$E$6),0,1)*Imóveis!$I$6</f>
        <v>0</v>
      </c>
      <c r="N714" s="18">
        <f t="shared" si="93"/>
        <v>37000</v>
      </c>
      <c r="O714" s="18">
        <f>SUMIFS(Receitas!$F:$F,Receitas!$J:$J,"&lt;="&amp;$A714,Receitas!$L:$L,"&gt;="&amp;$A714,Receitas!$C:$C,O$1,Receitas!$M:$M,"Mensal")+SUMIFS(Receitas!$F:$F,Receitas!$J:$J,"&lt;="&amp;$A714,Receitas!$L:$L,"&gt;="&amp;$A714,Receitas!$C:$C,O$1,Receitas!$M:$M,$B714)</f>
        <v>0</v>
      </c>
      <c r="P714" s="18">
        <f>SUMIFS(Receitas!$F:$F,Receitas!$J:$J,"&lt;="&amp;$A714,Receitas!$L:$L,"&gt;="&amp;$A714,Receitas!$C:$C,P$1,Receitas!$M:$M,"Mensal")+SUMIFS(Receitas!$F:$F,Receitas!$J:$J,"&lt;="&amp;$A714,Receitas!$L:$L,"&gt;="&amp;$A714,Receitas!$C:$C,P$1,Receitas!$M:$M,$B714)</f>
        <v>0</v>
      </c>
      <c r="Q714" s="18">
        <f>SUMIFS(Receitas!$F:$F,Receitas!$J:$J,"&lt;="&amp;$A714,Receitas!$L:$L,"&gt;="&amp;$A714,Receitas!$C:$C,Q$1,Receitas!$M:$M,"Mensal")+SUMIFS(Receitas!$F:$F,Receitas!$J:$J,"&lt;="&amp;$A714,Receitas!$L:$L,"&gt;="&amp;$A714,Receitas!$C:$C,Q$1,Receitas!$M:$M,$B714)</f>
        <v>0</v>
      </c>
      <c r="R714" s="18" cm="1">
        <f t="array" ref="R714">(IF(AND(Membros!$F$2="Sim",A714&lt;=MAX(Membros!$E$2:$E$5)),Membros!K$2,IF(AND(A714&gt;=Membros!J$2,A714&lt;=MAX(Membros!$E$2:$E$5)),Membros!K$2,0))+IF(AND(Membros!$F$3="Sim",A714&lt;=MAX(Membros!$E$2:$E$5)),Membros!K$3,IF(AND(A714&gt;=Membros!J$3,A714&lt;=MAX(Membros!$E$2:$E$5)),Membros!K$3,0)))*IF(AND(COUNTIFS(Tabela3[Tipo],"Provedor",Tabela3[Simulação Seguro],"Sim")=2,A714&gt;=MAX(IF(Tabela3[Tipo]="Dependente",Tabela3[Expectativa de Vida (Data)]))),0,1)</f>
        <v>10000</v>
      </c>
      <c r="S714" s="18">
        <f t="shared" si="94"/>
        <v>10000</v>
      </c>
      <c r="U714" s="18">
        <f t="shared" ca="1" si="97"/>
        <v>52561612.944588795</v>
      </c>
      <c r="V714" s="18">
        <f>SUMIF(Imóveis!E:E,Dados!A:A,Imóveis!Z:Z)-SUMIF(Imóveis!E:E,Dados!A:A,Imóveis!Y:Y)</f>
        <v>0</v>
      </c>
      <c r="W714" s="18">
        <f>-SUMIF(Projetos!N:N,A714,Projetos!F:F)</f>
        <v>0</v>
      </c>
      <c r="X714" s="18">
        <f t="shared" si="91"/>
        <v>-27000</v>
      </c>
      <c r="Y714" s="26">
        <f ca="1">(U714*((Indicadores_Economicos!D$2+1)^(1/12)-1))</f>
        <v>172073.04331324177</v>
      </c>
      <c r="Z714" s="18">
        <f t="shared" ca="1" si="95"/>
        <v>52706685.987902038</v>
      </c>
      <c r="AA714" s="18">
        <f ca="1">Auxiliar_Projetos!E714</f>
        <v>4.0071944753694059E-9</v>
      </c>
      <c r="AB714" s="18">
        <f ca="1">Auxiliar_Projetos!K714</f>
        <v>3.0824572887456913E-9</v>
      </c>
      <c r="AC714" s="18">
        <f ca="1">IF(Z714-AA714-AB714&gt;Investimentos!$C$14,Investimentos!$C$14,IF(Z714-AA714-AB714&lt;Investimentos!$C$14,Z714-AA714-AB714,0))</f>
        <v>300000</v>
      </c>
      <c r="AD714" s="18">
        <f t="shared" ca="1" si="96"/>
        <v>52406685.98790203</v>
      </c>
      <c r="AE714" s="18"/>
    </row>
    <row r="715" spans="1:31" x14ac:dyDescent="0.2">
      <c r="A715" s="4">
        <v>67359</v>
      </c>
      <c r="B715" s="5" t="str">
        <f t="shared" si="92"/>
        <v>junho</v>
      </c>
      <c r="C715" s="5" t="str">
        <f t="shared" si="90"/>
        <v>2084</v>
      </c>
      <c r="D715" s="5">
        <f>SUMIFS(Despesas!$F:$F,Despesas!$J:$J,"&lt;="&amp;$A715,Despesas!$L:$L,"&gt;="&amp;$A715,Despesas!$C:$C,D$1,Despesas!$M:$M,"Mensal")+SUMIFS(Despesas!$F:$F,Despesas!$J:$J,"&lt;="&amp;$A715,Despesas!$L:$L,"&gt;="&amp;$A715,Despesas!$C:$C,D$1,Despesas!$M:$M,$B715)</f>
        <v>23000</v>
      </c>
      <c r="E715" s="18">
        <f>SUMIFS(Despesas!$F:$F,Despesas!$J:$J,"&lt;="&amp;$A715,Despesas!$L:$L,"&gt;="&amp;$A715,Despesas!$C:$C,E$1,Despesas!$M:$M,"Mensal")+SUMIFS(Despesas!$F:$F,Despesas!$J:$J,"&lt;="&amp;$A715,Despesas!$L:$L,"&gt;="&amp;$A715,Despesas!$C:$C,E$1,Despesas!$M:$M,$B715)</f>
        <v>0</v>
      </c>
      <c r="F715" s="5">
        <f>SUMIFS(Despesas!$F:$F,Despesas!$J:$J,"&lt;="&amp;$A715,Despesas!$L:$L,"&gt;="&amp;$A715,Despesas!$C:$C,F$1,Despesas!$M:$M,"Mensal")+SUMIFS(Despesas!$F:$F,Despesas!$J:$J,"&lt;="&amp;$A715,Despesas!$L:$L,"&gt;="&amp;$A715,Despesas!$C:$C,F$1,Despesas!$M:$M,$B715)</f>
        <v>13000</v>
      </c>
      <c r="G715" s="5">
        <f>SUMIFS(Despesas!$F:$F,Despesas!$J:$J,"&lt;="&amp;$A715,Despesas!$L:$L,"&gt;="&amp;$A715,Despesas!$C:$C,G$1,Despesas!$M:$M,"Mensal")+SUMIFS(Despesas!$F:$F,Despesas!$J:$J,"&lt;="&amp;$A715,Despesas!$L:$L,"&gt;="&amp;$A715,Despesas!$C:$C,G$1,Despesas!$M:$M,$B715)</f>
        <v>0</v>
      </c>
      <c r="H715" s="18">
        <f>SUMIFS(Despesas!$F:$F,Despesas!$J:$J,"&lt;="&amp;$A715,Despesas!$L:$L,"&gt;="&amp;$A715,Despesas!$C:$C,H$1,Despesas!$M:$M,"Mensal")+SUMIFS(Despesas!$F:$F,Despesas!$J:$J,"&lt;="&amp;$A715,Despesas!$L:$L,"&gt;="&amp;$A715,Despesas!$C:$C,H$1,Despesas!$M:$M,$B715)</f>
        <v>1000</v>
      </c>
      <c r="I715" s="18">
        <f>IF(Imóveis!$F$2="PRICE",IF(AND(Dados!$A715&gt;=Imóveis!$Q$2,Dados!$A715&lt;=Imóveis!$T$2),Imóveis!$U$2,0),IF((IF(AND(Dados!$A715&gt;=Imóveis!$Q$2,Dados!$A715&lt;=Imóveis!$T$2),Imóveis!$S$2-(DATEDIF(Imóveis!$Q$2,Dados!$A715,"m")),0))=0,0,((Imóveis!$N$2/Imóveis!$S$2)+((Imóveis!$N$2-((Imóveis!$S$2-(IF(AND(Dados!$A715&gt;=Imóveis!$Q$2,Dados!$A715&lt;=Imóveis!$T$2),Imóveis!$S$2-(DATEDIF(Imóveis!$Q$2,Dados!$A715,"m")),)))*(Imóveis!$N$2/Imóveis!$S$2)))*Imóveis!$P$2))))*IF(AND(Imóveis!$E$2&gt;0,Dados!$A715&gt;Imóveis!$E$2),0,1)</f>
        <v>0</v>
      </c>
      <c r="J715" s="18">
        <f>IF(Imóveis!$F$3="PRICE",IF(AND(Dados!$A715&gt;=Imóveis!$Q$3,Dados!$A715&lt;=Imóveis!$T$3),Imóveis!$U$3,0),IF((IF(AND(Dados!$A715&gt;=Imóveis!$Q$3,Dados!$A715&lt;=Imóveis!$T$3),Imóveis!$S$3-(DATEDIF(Imóveis!$Q$3,Dados!$A715,"m")),0))=0,0,((Imóveis!$N$3/Imóveis!$S$3)+((Imóveis!$N$3-((Imóveis!$S$3-(IF(AND(Dados!$A715&gt;=Imóveis!$Q$3,Dados!$A715&lt;=Imóveis!$T$3),Imóveis!$S$3-(DATEDIF(Imóveis!$Q$3,Dados!$A715,"m")),)))*(Imóveis!$N$3/Imóveis!$S$3)))*Imóveis!$P$3))))*IF(AND(Imóveis!$E$3&gt;0,Dados!$A715&gt;Imóveis!$E$3),0,1)</f>
        <v>0</v>
      </c>
      <c r="K715" s="18">
        <f>IF(Imóveis!$F$4="PRICE",IF(AND(Dados!$A715&gt;=Imóveis!$Q$4,Dados!$A715&lt;=Imóveis!$T$4),Imóveis!$U$4,0),IF((IF(AND(Dados!$A715&gt;=Imóveis!$Q$4,Dados!$A715&lt;=Imóveis!$T$4),Imóveis!$S$4-(DATEDIF(Imóveis!$Q$4,Dados!$A715,"m")),0))=0,0,((Imóveis!$N$4/Imóveis!$S$4)+((Imóveis!$N$4-((Imóveis!$S$4-(IF(AND(Dados!$A715&gt;=Imóveis!$Q$4,Dados!$A715&lt;=Imóveis!$T$4),Imóveis!$S$4-(DATEDIF(Imóveis!$Q$4,Dados!$A715,"m")),)))*(Imóveis!$N$4/Imóveis!$S$4)))*Imóveis!$P$4))))*IF(AND(Imóveis!$E$4&gt;0,Dados!$A715&gt;Imóveis!$E$4),0,1)</f>
        <v>0</v>
      </c>
      <c r="L715" s="18">
        <f>IF(Imóveis!$F$5="PRICE",IF(AND(Dados!$A715&gt;=Imóveis!$Q$5,Dados!$A715&lt;=Imóveis!$T$5),Imóveis!$U$5,0),IF((IF(AND(Dados!$A715&gt;=Imóveis!$Q$5,Dados!$A715&lt;=Imóveis!$T$5),Imóveis!$S$5-(DATEDIF(Imóveis!$Q$5,Dados!$A715,"m")),0))=0,0,((Imóveis!$N$5/Imóveis!$S$5)+((Imóveis!$N$5-((Imóveis!$S$5-(IF(AND(Dados!$A715 &gt;=Imóveis!$Q$5,Dados!$A715&lt;=Imóveis!$T$5),Imóveis!$S$5-(DATEDIF(Imóveis!$Q$5,Dados!$A715,"m")),)))*(Imóveis!$N$5/Imóveis!$S$5)))*Imóveis!$P$5))))*IF(AND(Imóveis!$E$5&gt;0,Dados!$A715&gt;Imóveis!$E$5),0,1)*Imóveis!$I$5</f>
        <v>0</v>
      </c>
      <c r="M715" s="18">
        <f>IF(Imóveis!$F$6="PRICE",IF(AND(Dados!$A715&gt;=Imóveis!$Q$6,Dados!$A715&lt;=Imóveis!$T$6),Imóveis!$U$6,0),IF((IF(AND(Dados!$A715&gt;=Imóveis!$Q$6,Dados!$A715&lt;=Imóveis!$T$6),Imóveis!$S$6-(DATEDIF(Imóveis!$Q$6,Dados!$A715,"m")),0))=0,0,((Imóveis!$N$6/Imóveis!$S$6)+((Imóveis!$N$6-((Imóveis!$S$6-(IF(AND(Dados!$A715&gt;=Imóveis!$Q$6,Dados!$A715&lt;=Imóveis!$T$6),Imóveis!$S$6-(DATEDIF(Imóveis!$Q$6,Dados!$A715,"m")),)))*(Imóveis!$N$6/Imóveis!$S$6)))*Imóveis!$P$6))))*IF(AND(Imóveis!$E$6&gt;0,Dados!$A715&gt;Imóveis!$E$6),0,1)*Imóveis!$I$6</f>
        <v>0</v>
      </c>
      <c r="N715" s="18">
        <f t="shared" si="93"/>
        <v>37000</v>
      </c>
      <c r="O715" s="18">
        <f>SUMIFS(Receitas!$F:$F,Receitas!$J:$J,"&lt;="&amp;$A715,Receitas!$L:$L,"&gt;="&amp;$A715,Receitas!$C:$C,O$1,Receitas!$M:$M,"Mensal")+SUMIFS(Receitas!$F:$F,Receitas!$J:$J,"&lt;="&amp;$A715,Receitas!$L:$L,"&gt;="&amp;$A715,Receitas!$C:$C,O$1,Receitas!$M:$M,$B715)</f>
        <v>0</v>
      </c>
      <c r="P715" s="18">
        <f>SUMIFS(Receitas!$F:$F,Receitas!$J:$J,"&lt;="&amp;$A715,Receitas!$L:$L,"&gt;="&amp;$A715,Receitas!$C:$C,P$1,Receitas!$M:$M,"Mensal")+SUMIFS(Receitas!$F:$F,Receitas!$J:$J,"&lt;="&amp;$A715,Receitas!$L:$L,"&gt;="&amp;$A715,Receitas!$C:$C,P$1,Receitas!$M:$M,$B715)</f>
        <v>0</v>
      </c>
      <c r="Q715" s="18">
        <f>SUMIFS(Receitas!$F:$F,Receitas!$J:$J,"&lt;="&amp;$A715,Receitas!$L:$L,"&gt;="&amp;$A715,Receitas!$C:$C,Q$1,Receitas!$M:$M,"Mensal")+SUMIFS(Receitas!$F:$F,Receitas!$J:$J,"&lt;="&amp;$A715,Receitas!$L:$L,"&gt;="&amp;$A715,Receitas!$C:$C,Q$1,Receitas!$M:$M,$B715)</f>
        <v>0</v>
      </c>
      <c r="R715" s="18" cm="1">
        <f t="array" ref="R715">(IF(AND(Membros!$F$2="Sim",A715&lt;=MAX(Membros!$E$2:$E$5)),Membros!K$2,IF(AND(A715&gt;=Membros!J$2,A715&lt;=MAX(Membros!$E$2:$E$5)),Membros!K$2,0))+IF(AND(Membros!$F$3="Sim",A715&lt;=MAX(Membros!$E$2:$E$5)),Membros!K$3,IF(AND(A715&gt;=Membros!J$3,A715&lt;=MAX(Membros!$E$2:$E$5)),Membros!K$3,0)))*IF(AND(COUNTIFS(Tabela3[Tipo],"Provedor",Tabela3[Simulação Seguro],"Sim")=2,A715&gt;=MAX(IF(Tabela3[Tipo]="Dependente",Tabela3[Expectativa de Vida (Data)]))),0,1)</f>
        <v>10000</v>
      </c>
      <c r="S715" s="18">
        <f t="shared" si="94"/>
        <v>10000</v>
      </c>
      <c r="U715" s="18">
        <f t="shared" ca="1" si="97"/>
        <v>52706685.987902038</v>
      </c>
      <c r="V715" s="18">
        <f>SUMIF(Imóveis!E:E,Dados!A:A,Imóveis!Z:Z)-SUMIF(Imóveis!E:E,Dados!A:A,Imóveis!Y:Y)</f>
        <v>0</v>
      </c>
      <c r="W715" s="18">
        <f>-SUMIF(Projetos!N:N,A715,Projetos!F:F)</f>
        <v>0</v>
      </c>
      <c r="X715" s="18">
        <f t="shared" si="91"/>
        <v>-27000</v>
      </c>
      <c r="Y715" s="26">
        <f ca="1">(U715*((Indicadores_Economicos!D$2+1)^(1/12)-1))</f>
        <v>172547.97470646098</v>
      </c>
      <c r="Z715" s="18">
        <f t="shared" ca="1" si="95"/>
        <v>52852233.962608501</v>
      </c>
      <c r="AA715" s="18">
        <f ca="1">Auxiliar_Projetos!E715</f>
        <v>4.0203129873384302E-9</v>
      </c>
      <c r="AB715" s="18">
        <f ca="1">Auxiliar_Projetos!K715</f>
        <v>3.0925484517987869E-9</v>
      </c>
      <c r="AC715" s="18">
        <f ca="1">IF(Z715-AA715-AB715&gt;Investimentos!$C$14,Investimentos!$C$14,IF(Z715-AA715-AB715&lt;Investimentos!$C$14,Z715-AA715-AB715,0))</f>
        <v>300000</v>
      </c>
      <c r="AD715" s="18">
        <f t="shared" ca="1" si="96"/>
        <v>52552233.962608494</v>
      </c>
      <c r="AE715" s="18"/>
    </row>
    <row r="716" spans="1:31" x14ac:dyDescent="0.2">
      <c r="A716" s="4">
        <v>67389</v>
      </c>
      <c r="B716" s="5" t="str">
        <f t="shared" si="92"/>
        <v>julho</v>
      </c>
      <c r="C716" s="5" t="str">
        <f t="shared" si="90"/>
        <v>2084</v>
      </c>
      <c r="D716" s="5">
        <f>SUMIFS(Despesas!$F:$F,Despesas!$J:$J,"&lt;="&amp;$A716,Despesas!$L:$L,"&gt;="&amp;$A716,Despesas!$C:$C,D$1,Despesas!$M:$M,"Mensal")+SUMIFS(Despesas!$F:$F,Despesas!$J:$J,"&lt;="&amp;$A716,Despesas!$L:$L,"&gt;="&amp;$A716,Despesas!$C:$C,D$1,Despesas!$M:$M,$B716)</f>
        <v>23000</v>
      </c>
      <c r="E716" s="18">
        <f>SUMIFS(Despesas!$F:$F,Despesas!$J:$J,"&lt;="&amp;$A716,Despesas!$L:$L,"&gt;="&amp;$A716,Despesas!$C:$C,E$1,Despesas!$M:$M,"Mensal")+SUMIFS(Despesas!$F:$F,Despesas!$J:$J,"&lt;="&amp;$A716,Despesas!$L:$L,"&gt;="&amp;$A716,Despesas!$C:$C,E$1,Despesas!$M:$M,$B716)</f>
        <v>0</v>
      </c>
      <c r="F716" s="5">
        <f>SUMIFS(Despesas!$F:$F,Despesas!$J:$J,"&lt;="&amp;$A716,Despesas!$L:$L,"&gt;="&amp;$A716,Despesas!$C:$C,F$1,Despesas!$M:$M,"Mensal")+SUMIFS(Despesas!$F:$F,Despesas!$J:$J,"&lt;="&amp;$A716,Despesas!$L:$L,"&gt;="&amp;$A716,Despesas!$C:$C,F$1,Despesas!$M:$M,$B716)</f>
        <v>13000</v>
      </c>
      <c r="G716" s="5">
        <f ca="1">SUMIFS(Despesas!$F:$F,Despesas!$J:$J,"&lt;="&amp;$A716,Despesas!$L:$L,"&gt;="&amp;$A716,Despesas!$C:$C,G$1,Despesas!$M:$M,"Mensal")+SUMIFS(Despesas!$F:$F,Despesas!$J:$J,"&lt;="&amp;$A716,Despesas!$L:$L,"&gt;="&amp;$A716,Despesas!$C:$C,G$1,Despesas!$M:$M,$B716)</f>
        <v>55757</v>
      </c>
      <c r="H716" s="18">
        <f>SUMIFS(Despesas!$F:$F,Despesas!$J:$J,"&lt;="&amp;$A716,Despesas!$L:$L,"&gt;="&amp;$A716,Despesas!$C:$C,H$1,Despesas!$M:$M,"Mensal")+SUMIFS(Despesas!$F:$F,Despesas!$J:$J,"&lt;="&amp;$A716,Despesas!$L:$L,"&gt;="&amp;$A716,Despesas!$C:$C,H$1,Despesas!$M:$M,$B716)</f>
        <v>1000</v>
      </c>
      <c r="I716" s="18">
        <f>IF(Imóveis!$F$2="PRICE",IF(AND(Dados!$A716&gt;=Imóveis!$Q$2,Dados!$A716&lt;=Imóveis!$T$2),Imóveis!$U$2,0),IF((IF(AND(Dados!$A716&gt;=Imóveis!$Q$2,Dados!$A716&lt;=Imóveis!$T$2),Imóveis!$S$2-(DATEDIF(Imóveis!$Q$2,Dados!$A716,"m")),0))=0,0,((Imóveis!$N$2/Imóveis!$S$2)+((Imóveis!$N$2-((Imóveis!$S$2-(IF(AND(Dados!$A716&gt;=Imóveis!$Q$2,Dados!$A716&lt;=Imóveis!$T$2),Imóveis!$S$2-(DATEDIF(Imóveis!$Q$2,Dados!$A716,"m")),)))*(Imóveis!$N$2/Imóveis!$S$2)))*Imóveis!$P$2))))*IF(AND(Imóveis!$E$2&gt;0,Dados!$A716&gt;Imóveis!$E$2),0,1)</f>
        <v>0</v>
      </c>
      <c r="J716" s="18">
        <f>IF(Imóveis!$F$3="PRICE",IF(AND(Dados!$A716&gt;=Imóveis!$Q$3,Dados!$A716&lt;=Imóveis!$T$3),Imóveis!$U$3,0),IF((IF(AND(Dados!$A716&gt;=Imóveis!$Q$3,Dados!$A716&lt;=Imóveis!$T$3),Imóveis!$S$3-(DATEDIF(Imóveis!$Q$3,Dados!$A716,"m")),0))=0,0,((Imóveis!$N$3/Imóveis!$S$3)+((Imóveis!$N$3-((Imóveis!$S$3-(IF(AND(Dados!$A716&gt;=Imóveis!$Q$3,Dados!$A716&lt;=Imóveis!$T$3),Imóveis!$S$3-(DATEDIF(Imóveis!$Q$3,Dados!$A716,"m")),)))*(Imóveis!$N$3/Imóveis!$S$3)))*Imóveis!$P$3))))*IF(AND(Imóveis!$E$3&gt;0,Dados!$A716&gt;Imóveis!$E$3),0,1)</f>
        <v>0</v>
      </c>
      <c r="K716" s="18">
        <f>IF(Imóveis!$F$4="PRICE",IF(AND(Dados!$A716&gt;=Imóveis!$Q$4,Dados!$A716&lt;=Imóveis!$T$4),Imóveis!$U$4,0),IF((IF(AND(Dados!$A716&gt;=Imóveis!$Q$4,Dados!$A716&lt;=Imóveis!$T$4),Imóveis!$S$4-(DATEDIF(Imóveis!$Q$4,Dados!$A716,"m")),0))=0,0,((Imóveis!$N$4/Imóveis!$S$4)+((Imóveis!$N$4-((Imóveis!$S$4-(IF(AND(Dados!$A716&gt;=Imóveis!$Q$4,Dados!$A716&lt;=Imóveis!$T$4),Imóveis!$S$4-(DATEDIF(Imóveis!$Q$4,Dados!$A716,"m")),)))*(Imóveis!$N$4/Imóveis!$S$4)))*Imóveis!$P$4))))*IF(AND(Imóveis!$E$4&gt;0,Dados!$A716&gt;Imóveis!$E$4),0,1)</f>
        <v>0</v>
      </c>
      <c r="L716" s="18">
        <f>IF(Imóveis!$F$5="PRICE",IF(AND(Dados!$A716&gt;=Imóveis!$Q$5,Dados!$A716&lt;=Imóveis!$T$5),Imóveis!$U$5,0),IF((IF(AND(Dados!$A716&gt;=Imóveis!$Q$5,Dados!$A716&lt;=Imóveis!$T$5),Imóveis!$S$5-(DATEDIF(Imóveis!$Q$5,Dados!$A716,"m")),0))=0,0,((Imóveis!$N$5/Imóveis!$S$5)+((Imóveis!$N$5-((Imóveis!$S$5-(IF(AND(Dados!$A716 &gt;=Imóveis!$Q$5,Dados!$A716&lt;=Imóveis!$T$5),Imóveis!$S$5-(DATEDIF(Imóveis!$Q$5,Dados!$A716,"m")),)))*(Imóveis!$N$5/Imóveis!$S$5)))*Imóveis!$P$5))))*IF(AND(Imóveis!$E$5&gt;0,Dados!$A716&gt;Imóveis!$E$5),0,1)*Imóveis!$I$5</f>
        <v>0</v>
      </c>
      <c r="M716" s="18">
        <f>IF(Imóveis!$F$6="PRICE",IF(AND(Dados!$A716&gt;=Imóveis!$Q$6,Dados!$A716&lt;=Imóveis!$T$6),Imóveis!$U$6,0),IF((IF(AND(Dados!$A716&gt;=Imóveis!$Q$6,Dados!$A716&lt;=Imóveis!$T$6),Imóveis!$S$6-(DATEDIF(Imóveis!$Q$6,Dados!$A716,"m")),0))=0,0,((Imóveis!$N$6/Imóveis!$S$6)+((Imóveis!$N$6-((Imóveis!$S$6-(IF(AND(Dados!$A716&gt;=Imóveis!$Q$6,Dados!$A716&lt;=Imóveis!$T$6),Imóveis!$S$6-(DATEDIF(Imóveis!$Q$6,Dados!$A716,"m")),)))*(Imóveis!$N$6/Imóveis!$S$6)))*Imóveis!$P$6))))*IF(AND(Imóveis!$E$6&gt;0,Dados!$A716&gt;Imóveis!$E$6),0,1)*Imóveis!$I$6</f>
        <v>0</v>
      </c>
      <c r="N716" s="18">
        <f t="shared" ca="1" si="93"/>
        <v>92757</v>
      </c>
      <c r="O716" s="18">
        <f>SUMIFS(Receitas!$F:$F,Receitas!$J:$J,"&lt;="&amp;$A716,Receitas!$L:$L,"&gt;="&amp;$A716,Receitas!$C:$C,O$1,Receitas!$M:$M,"Mensal")+SUMIFS(Receitas!$F:$F,Receitas!$J:$J,"&lt;="&amp;$A716,Receitas!$L:$L,"&gt;="&amp;$A716,Receitas!$C:$C,O$1,Receitas!$M:$M,$B716)</f>
        <v>0</v>
      </c>
      <c r="P716" s="18">
        <f>SUMIFS(Receitas!$F:$F,Receitas!$J:$J,"&lt;="&amp;$A716,Receitas!$L:$L,"&gt;="&amp;$A716,Receitas!$C:$C,P$1,Receitas!$M:$M,"Mensal")+SUMIFS(Receitas!$F:$F,Receitas!$J:$J,"&lt;="&amp;$A716,Receitas!$L:$L,"&gt;="&amp;$A716,Receitas!$C:$C,P$1,Receitas!$M:$M,$B716)</f>
        <v>0</v>
      </c>
      <c r="Q716" s="18">
        <f>SUMIFS(Receitas!$F:$F,Receitas!$J:$J,"&lt;="&amp;$A716,Receitas!$L:$L,"&gt;="&amp;$A716,Receitas!$C:$C,Q$1,Receitas!$M:$M,"Mensal")+SUMIFS(Receitas!$F:$F,Receitas!$J:$J,"&lt;="&amp;$A716,Receitas!$L:$L,"&gt;="&amp;$A716,Receitas!$C:$C,Q$1,Receitas!$M:$M,$B716)</f>
        <v>0</v>
      </c>
      <c r="R716" s="18" cm="1">
        <f t="array" ref="R716">(IF(AND(Membros!$F$2="Sim",A716&lt;=MAX(Membros!$E$2:$E$5)),Membros!K$2,IF(AND(A716&gt;=Membros!J$2,A716&lt;=MAX(Membros!$E$2:$E$5)),Membros!K$2,0))+IF(AND(Membros!$F$3="Sim",A716&lt;=MAX(Membros!$E$2:$E$5)),Membros!K$3,IF(AND(A716&gt;=Membros!J$3,A716&lt;=MAX(Membros!$E$2:$E$5)),Membros!K$3,0)))*IF(AND(COUNTIFS(Tabela3[Tipo],"Provedor",Tabela3[Simulação Seguro],"Sim")=2,A716&gt;=MAX(IF(Tabela3[Tipo]="Dependente",Tabela3[Expectativa de Vida (Data)]))),0,1)</f>
        <v>10000</v>
      </c>
      <c r="S716" s="18">
        <f t="shared" si="94"/>
        <v>10000</v>
      </c>
      <c r="U716" s="18">
        <f t="shared" ca="1" si="97"/>
        <v>52852233.962608501</v>
      </c>
      <c r="V716" s="18">
        <f>SUMIF(Imóveis!E:E,Dados!A:A,Imóveis!Z:Z)-SUMIF(Imóveis!E:E,Dados!A:A,Imóveis!Y:Y)</f>
        <v>0</v>
      </c>
      <c r="W716" s="18">
        <f>-SUMIF(Projetos!N:N,A716,Projetos!F:F)</f>
        <v>0</v>
      </c>
      <c r="X716" s="18">
        <f t="shared" ca="1" si="91"/>
        <v>-82757</v>
      </c>
      <c r="Y716" s="26">
        <f ca="1">(U716*((Indicadores_Economicos!D$2+1)^(1/12)-1))</f>
        <v>173024.46090147604</v>
      </c>
      <c r="Z716" s="18">
        <f t="shared" ca="1" si="95"/>
        <v>52942501.423509978</v>
      </c>
      <c r="AA716" s="18">
        <f ca="1">Auxiliar_Projetos!E716</f>
        <v>4.0334744459019714E-9</v>
      </c>
      <c r="AB716" s="18">
        <f ca="1">Auxiliar_Projetos!K716</f>
        <v>3.1026726506938184E-9</v>
      </c>
      <c r="AC716" s="18">
        <f ca="1">IF(Z716-AA716-AB716&gt;Investimentos!$C$14,Investimentos!$C$14,IF(Z716-AA716-AB716&lt;Investimentos!$C$14,Z716-AA716-AB716,0))</f>
        <v>300000</v>
      </c>
      <c r="AD716" s="18">
        <f t="shared" ca="1" si="96"/>
        <v>52642501.42350997</v>
      </c>
      <c r="AE716" s="18"/>
    </row>
    <row r="717" spans="1:31" x14ac:dyDescent="0.2">
      <c r="A717" s="4">
        <v>67420</v>
      </c>
      <c r="B717" s="5" t="str">
        <f t="shared" si="92"/>
        <v>agosto</v>
      </c>
      <c r="C717" s="5" t="str">
        <f t="shared" si="90"/>
        <v>2084</v>
      </c>
      <c r="D717" s="5">
        <f>SUMIFS(Despesas!$F:$F,Despesas!$J:$J,"&lt;="&amp;$A717,Despesas!$L:$L,"&gt;="&amp;$A717,Despesas!$C:$C,D$1,Despesas!$M:$M,"Mensal")+SUMIFS(Despesas!$F:$F,Despesas!$J:$J,"&lt;="&amp;$A717,Despesas!$L:$L,"&gt;="&amp;$A717,Despesas!$C:$C,D$1,Despesas!$M:$M,$B717)</f>
        <v>23000</v>
      </c>
      <c r="E717" s="18">
        <f>SUMIFS(Despesas!$F:$F,Despesas!$J:$J,"&lt;="&amp;$A717,Despesas!$L:$L,"&gt;="&amp;$A717,Despesas!$C:$C,E$1,Despesas!$M:$M,"Mensal")+SUMIFS(Despesas!$F:$F,Despesas!$J:$J,"&lt;="&amp;$A717,Despesas!$L:$L,"&gt;="&amp;$A717,Despesas!$C:$C,E$1,Despesas!$M:$M,$B717)</f>
        <v>0</v>
      </c>
      <c r="F717" s="5">
        <f>SUMIFS(Despesas!$F:$F,Despesas!$J:$J,"&lt;="&amp;$A717,Despesas!$L:$L,"&gt;="&amp;$A717,Despesas!$C:$C,F$1,Despesas!$M:$M,"Mensal")+SUMIFS(Despesas!$F:$F,Despesas!$J:$J,"&lt;="&amp;$A717,Despesas!$L:$L,"&gt;="&amp;$A717,Despesas!$C:$C,F$1,Despesas!$M:$M,$B717)</f>
        <v>13000</v>
      </c>
      <c r="G717" s="5">
        <f>SUMIFS(Despesas!$F:$F,Despesas!$J:$J,"&lt;="&amp;$A717,Despesas!$L:$L,"&gt;="&amp;$A717,Despesas!$C:$C,G$1,Despesas!$M:$M,"Mensal")+SUMIFS(Despesas!$F:$F,Despesas!$J:$J,"&lt;="&amp;$A717,Despesas!$L:$L,"&gt;="&amp;$A717,Despesas!$C:$C,G$1,Despesas!$M:$M,$B717)</f>
        <v>0</v>
      </c>
      <c r="H717" s="18">
        <f>SUMIFS(Despesas!$F:$F,Despesas!$J:$J,"&lt;="&amp;$A717,Despesas!$L:$L,"&gt;="&amp;$A717,Despesas!$C:$C,H$1,Despesas!$M:$M,"Mensal")+SUMIFS(Despesas!$F:$F,Despesas!$J:$J,"&lt;="&amp;$A717,Despesas!$L:$L,"&gt;="&amp;$A717,Despesas!$C:$C,H$1,Despesas!$M:$M,$B717)</f>
        <v>1000</v>
      </c>
      <c r="I717" s="18">
        <f>IF(Imóveis!$F$2="PRICE",IF(AND(Dados!$A717&gt;=Imóveis!$Q$2,Dados!$A717&lt;=Imóveis!$T$2),Imóveis!$U$2,0),IF((IF(AND(Dados!$A717&gt;=Imóveis!$Q$2,Dados!$A717&lt;=Imóveis!$T$2),Imóveis!$S$2-(DATEDIF(Imóveis!$Q$2,Dados!$A717,"m")),0))=0,0,((Imóveis!$N$2/Imóveis!$S$2)+((Imóveis!$N$2-((Imóveis!$S$2-(IF(AND(Dados!$A717&gt;=Imóveis!$Q$2,Dados!$A717&lt;=Imóveis!$T$2),Imóveis!$S$2-(DATEDIF(Imóveis!$Q$2,Dados!$A717,"m")),)))*(Imóveis!$N$2/Imóveis!$S$2)))*Imóveis!$P$2))))*IF(AND(Imóveis!$E$2&gt;0,Dados!$A717&gt;Imóveis!$E$2),0,1)</f>
        <v>0</v>
      </c>
      <c r="J717" s="18">
        <f>IF(Imóveis!$F$3="PRICE",IF(AND(Dados!$A717&gt;=Imóveis!$Q$3,Dados!$A717&lt;=Imóveis!$T$3),Imóveis!$U$3,0),IF((IF(AND(Dados!$A717&gt;=Imóveis!$Q$3,Dados!$A717&lt;=Imóveis!$T$3),Imóveis!$S$3-(DATEDIF(Imóveis!$Q$3,Dados!$A717,"m")),0))=0,0,((Imóveis!$N$3/Imóveis!$S$3)+((Imóveis!$N$3-((Imóveis!$S$3-(IF(AND(Dados!$A717&gt;=Imóveis!$Q$3,Dados!$A717&lt;=Imóveis!$T$3),Imóveis!$S$3-(DATEDIF(Imóveis!$Q$3,Dados!$A717,"m")),)))*(Imóveis!$N$3/Imóveis!$S$3)))*Imóveis!$P$3))))*IF(AND(Imóveis!$E$3&gt;0,Dados!$A717&gt;Imóveis!$E$3),0,1)</f>
        <v>0</v>
      </c>
      <c r="K717" s="18">
        <f>IF(Imóveis!$F$4="PRICE",IF(AND(Dados!$A717&gt;=Imóveis!$Q$4,Dados!$A717&lt;=Imóveis!$T$4),Imóveis!$U$4,0),IF((IF(AND(Dados!$A717&gt;=Imóveis!$Q$4,Dados!$A717&lt;=Imóveis!$T$4),Imóveis!$S$4-(DATEDIF(Imóveis!$Q$4,Dados!$A717,"m")),0))=0,0,((Imóveis!$N$4/Imóveis!$S$4)+((Imóveis!$N$4-((Imóveis!$S$4-(IF(AND(Dados!$A717&gt;=Imóveis!$Q$4,Dados!$A717&lt;=Imóveis!$T$4),Imóveis!$S$4-(DATEDIF(Imóveis!$Q$4,Dados!$A717,"m")),)))*(Imóveis!$N$4/Imóveis!$S$4)))*Imóveis!$P$4))))*IF(AND(Imóveis!$E$4&gt;0,Dados!$A717&gt;Imóveis!$E$4),0,1)</f>
        <v>0</v>
      </c>
      <c r="L717" s="18">
        <f>IF(Imóveis!$F$5="PRICE",IF(AND(Dados!$A717&gt;=Imóveis!$Q$5,Dados!$A717&lt;=Imóveis!$T$5),Imóveis!$U$5,0),IF((IF(AND(Dados!$A717&gt;=Imóveis!$Q$5,Dados!$A717&lt;=Imóveis!$T$5),Imóveis!$S$5-(DATEDIF(Imóveis!$Q$5,Dados!$A717,"m")),0))=0,0,((Imóveis!$N$5/Imóveis!$S$5)+((Imóveis!$N$5-((Imóveis!$S$5-(IF(AND(Dados!$A717 &gt;=Imóveis!$Q$5,Dados!$A717&lt;=Imóveis!$T$5),Imóveis!$S$5-(DATEDIF(Imóveis!$Q$5,Dados!$A717,"m")),)))*(Imóveis!$N$5/Imóveis!$S$5)))*Imóveis!$P$5))))*IF(AND(Imóveis!$E$5&gt;0,Dados!$A717&gt;Imóveis!$E$5),0,1)*Imóveis!$I$5</f>
        <v>0</v>
      </c>
      <c r="M717" s="18">
        <f>IF(Imóveis!$F$6="PRICE",IF(AND(Dados!$A717&gt;=Imóveis!$Q$6,Dados!$A717&lt;=Imóveis!$T$6),Imóveis!$U$6,0),IF((IF(AND(Dados!$A717&gt;=Imóveis!$Q$6,Dados!$A717&lt;=Imóveis!$T$6),Imóveis!$S$6-(DATEDIF(Imóveis!$Q$6,Dados!$A717,"m")),0))=0,0,((Imóveis!$N$6/Imóveis!$S$6)+((Imóveis!$N$6-((Imóveis!$S$6-(IF(AND(Dados!$A717&gt;=Imóveis!$Q$6,Dados!$A717&lt;=Imóveis!$T$6),Imóveis!$S$6-(DATEDIF(Imóveis!$Q$6,Dados!$A717,"m")),)))*(Imóveis!$N$6/Imóveis!$S$6)))*Imóveis!$P$6))))*IF(AND(Imóveis!$E$6&gt;0,Dados!$A717&gt;Imóveis!$E$6),0,1)*Imóveis!$I$6</f>
        <v>0</v>
      </c>
      <c r="N717" s="18">
        <f t="shared" si="93"/>
        <v>37000</v>
      </c>
      <c r="O717" s="18">
        <f>SUMIFS(Receitas!$F:$F,Receitas!$J:$J,"&lt;="&amp;$A717,Receitas!$L:$L,"&gt;="&amp;$A717,Receitas!$C:$C,O$1,Receitas!$M:$M,"Mensal")+SUMIFS(Receitas!$F:$F,Receitas!$J:$J,"&lt;="&amp;$A717,Receitas!$L:$L,"&gt;="&amp;$A717,Receitas!$C:$C,O$1,Receitas!$M:$M,$B717)</f>
        <v>0</v>
      </c>
      <c r="P717" s="18">
        <f>SUMIFS(Receitas!$F:$F,Receitas!$J:$J,"&lt;="&amp;$A717,Receitas!$L:$L,"&gt;="&amp;$A717,Receitas!$C:$C,P$1,Receitas!$M:$M,"Mensal")+SUMIFS(Receitas!$F:$F,Receitas!$J:$J,"&lt;="&amp;$A717,Receitas!$L:$L,"&gt;="&amp;$A717,Receitas!$C:$C,P$1,Receitas!$M:$M,$B717)</f>
        <v>0</v>
      </c>
      <c r="Q717" s="18">
        <f>SUMIFS(Receitas!$F:$F,Receitas!$J:$J,"&lt;="&amp;$A717,Receitas!$L:$L,"&gt;="&amp;$A717,Receitas!$C:$C,Q$1,Receitas!$M:$M,"Mensal")+SUMIFS(Receitas!$F:$F,Receitas!$J:$J,"&lt;="&amp;$A717,Receitas!$L:$L,"&gt;="&amp;$A717,Receitas!$C:$C,Q$1,Receitas!$M:$M,$B717)</f>
        <v>0</v>
      </c>
      <c r="R717" s="18" cm="1">
        <f t="array" ref="R717">(IF(AND(Membros!$F$2="Sim",A717&lt;=MAX(Membros!$E$2:$E$5)),Membros!K$2,IF(AND(A717&gt;=Membros!J$2,A717&lt;=MAX(Membros!$E$2:$E$5)),Membros!K$2,0))+IF(AND(Membros!$F$3="Sim",A717&lt;=MAX(Membros!$E$2:$E$5)),Membros!K$3,IF(AND(A717&gt;=Membros!J$3,A717&lt;=MAX(Membros!$E$2:$E$5)),Membros!K$3,0)))*IF(AND(COUNTIFS(Tabela3[Tipo],"Provedor",Tabela3[Simulação Seguro],"Sim")=2,A717&gt;=MAX(IF(Tabela3[Tipo]="Dependente",Tabela3[Expectativa de Vida (Data)]))),0,1)</f>
        <v>10000</v>
      </c>
      <c r="S717" s="18">
        <f t="shared" si="94"/>
        <v>10000</v>
      </c>
      <c r="U717" s="18">
        <f t="shared" ca="1" si="97"/>
        <v>52942501.423509978</v>
      </c>
      <c r="V717" s="18">
        <f>SUMIF(Imóveis!E:E,Dados!A:A,Imóveis!Z:Z)-SUMIF(Imóveis!E:E,Dados!A:A,Imóveis!Y:Y)</f>
        <v>0</v>
      </c>
      <c r="W717" s="18">
        <f>-SUMIF(Projetos!N:N,A717,Projetos!F:F)</f>
        <v>0</v>
      </c>
      <c r="X717" s="18">
        <f t="shared" si="91"/>
        <v>-27000</v>
      </c>
      <c r="Y717" s="26">
        <f ca="1">(U717*((Indicadores_Economicos!D$2+1)^(1/12)-1))</f>
        <v>173319.97307926728</v>
      </c>
      <c r="Z717" s="18">
        <f t="shared" ca="1" si="95"/>
        <v>53088821.396589242</v>
      </c>
      <c r="AA717" s="18">
        <f ca="1">Auxiliar_Projetos!E717</f>
        <v>4.0466789916560034E-9</v>
      </c>
      <c r="AB717" s="18">
        <f ca="1">Auxiliar_Projetos!K717</f>
        <v>3.1128299935815354E-9</v>
      </c>
      <c r="AC717" s="18">
        <f ca="1">IF(Z717-AA717-AB717&gt;Investimentos!$C$14,Investimentos!$C$14,IF(Z717-AA717-AB717&lt;Investimentos!$C$14,Z717-AA717-AB717,0))</f>
        <v>300000</v>
      </c>
      <c r="AD717" s="18">
        <f t="shared" ca="1" si="96"/>
        <v>52788821.396589234</v>
      </c>
      <c r="AE717" s="18"/>
    </row>
    <row r="718" spans="1:31" x14ac:dyDescent="0.2">
      <c r="A718" s="4">
        <v>67451</v>
      </c>
      <c r="B718" s="5" t="str">
        <f t="shared" si="92"/>
        <v>setembro</v>
      </c>
      <c r="C718" s="5" t="str">
        <f t="shared" si="90"/>
        <v>2084</v>
      </c>
      <c r="D718" s="5">
        <f>SUMIFS(Despesas!$F:$F,Despesas!$J:$J,"&lt;="&amp;$A718,Despesas!$L:$L,"&gt;="&amp;$A718,Despesas!$C:$C,D$1,Despesas!$M:$M,"Mensal")+SUMIFS(Despesas!$F:$F,Despesas!$J:$J,"&lt;="&amp;$A718,Despesas!$L:$L,"&gt;="&amp;$A718,Despesas!$C:$C,D$1,Despesas!$M:$M,$B718)</f>
        <v>23000</v>
      </c>
      <c r="E718" s="18">
        <f>SUMIFS(Despesas!$F:$F,Despesas!$J:$J,"&lt;="&amp;$A718,Despesas!$L:$L,"&gt;="&amp;$A718,Despesas!$C:$C,E$1,Despesas!$M:$M,"Mensal")+SUMIFS(Despesas!$F:$F,Despesas!$J:$J,"&lt;="&amp;$A718,Despesas!$L:$L,"&gt;="&amp;$A718,Despesas!$C:$C,E$1,Despesas!$M:$M,$B718)</f>
        <v>0</v>
      </c>
      <c r="F718" s="5">
        <f>SUMIFS(Despesas!$F:$F,Despesas!$J:$J,"&lt;="&amp;$A718,Despesas!$L:$L,"&gt;="&amp;$A718,Despesas!$C:$C,F$1,Despesas!$M:$M,"Mensal")+SUMIFS(Despesas!$F:$F,Despesas!$J:$J,"&lt;="&amp;$A718,Despesas!$L:$L,"&gt;="&amp;$A718,Despesas!$C:$C,F$1,Despesas!$M:$M,$B718)</f>
        <v>13000</v>
      </c>
      <c r="G718" s="5">
        <f>SUMIFS(Despesas!$F:$F,Despesas!$J:$J,"&lt;="&amp;$A718,Despesas!$L:$L,"&gt;="&amp;$A718,Despesas!$C:$C,G$1,Despesas!$M:$M,"Mensal")+SUMIFS(Despesas!$F:$F,Despesas!$J:$J,"&lt;="&amp;$A718,Despesas!$L:$L,"&gt;="&amp;$A718,Despesas!$C:$C,G$1,Despesas!$M:$M,$B718)</f>
        <v>0</v>
      </c>
      <c r="H718" s="18">
        <f>SUMIFS(Despesas!$F:$F,Despesas!$J:$J,"&lt;="&amp;$A718,Despesas!$L:$L,"&gt;="&amp;$A718,Despesas!$C:$C,H$1,Despesas!$M:$M,"Mensal")+SUMIFS(Despesas!$F:$F,Despesas!$J:$J,"&lt;="&amp;$A718,Despesas!$L:$L,"&gt;="&amp;$A718,Despesas!$C:$C,H$1,Despesas!$M:$M,$B718)</f>
        <v>1000</v>
      </c>
      <c r="I718" s="18">
        <f>IF(Imóveis!$F$2="PRICE",IF(AND(Dados!$A718&gt;=Imóveis!$Q$2,Dados!$A718&lt;=Imóveis!$T$2),Imóveis!$U$2,0),IF((IF(AND(Dados!$A718&gt;=Imóveis!$Q$2,Dados!$A718&lt;=Imóveis!$T$2),Imóveis!$S$2-(DATEDIF(Imóveis!$Q$2,Dados!$A718,"m")),0))=0,0,((Imóveis!$N$2/Imóveis!$S$2)+((Imóveis!$N$2-((Imóveis!$S$2-(IF(AND(Dados!$A718&gt;=Imóveis!$Q$2,Dados!$A718&lt;=Imóveis!$T$2),Imóveis!$S$2-(DATEDIF(Imóveis!$Q$2,Dados!$A718,"m")),)))*(Imóveis!$N$2/Imóveis!$S$2)))*Imóveis!$P$2))))*IF(AND(Imóveis!$E$2&gt;0,Dados!$A718&gt;Imóveis!$E$2),0,1)</f>
        <v>0</v>
      </c>
      <c r="J718" s="18">
        <f>IF(Imóveis!$F$3="PRICE",IF(AND(Dados!$A718&gt;=Imóveis!$Q$3,Dados!$A718&lt;=Imóveis!$T$3),Imóveis!$U$3,0),IF((IF(AND(Dados!$A718&gt;=Imóveis!$Q$3,Dados!$A718&lt;=Imóveis!$T$3),Imóveis!$S$3-(DATEDIF(Imóveis!$Q$3,Dados!$A718,"m")),0))=0,0,((Imóveis!$N$3/Imóveis!$S$3)+((Imóveis!$N$3-((Imóveis!$S$3-(IF(AND(Dados!$A718&gt;=Imóveis!$Q$3,Dados!$A718&lt;=Imóveis!$T$3),Imóveis!$S$3-(DATEDIF(Imóveis!$Q$3,Dados!$A718,"m")),)))*(Imóveis!$N$3/Imóveis!$S$3)))*Imóveis!$P$3))))*IF(AND(Imóveis!$E$3&gt;0,Dados!$A718&gt;Imóveis!$E$3),0,1)</f>
        <v>0</v>
      </c>
      <c r="K718" s="18">
        <f>IF(Imóveis!$F$4="PRICE",IF(AND(Dados!$A718&gt;=Imóveis!$Q$4,Dados!$A718&lt;=Imóveis!$T$4),Imóveis!$U$4,0),IF((IF(AND(Dados!$A718&gt;=Imóveis!$Q$4,Dados!$A718&lt;=Imóveis!$T$4),Imóveis!$S$4-(DATEDIF(Imóveis!$Q$4,Dados!$A718,"m")),0))=0,0,((Imóveis!$N$4/Imóveis!$S$4)+((Imóveis!$N$4-((Imóveis!$S$4-(IF(AND(Dados!$A718&gt;=Imóveis!$Q$4,Dados!$A718&lt;=Imóveis!$T$4),Imóveis!$S$4-(DATEDIF(Imóveis!$Q$4,Dados!$A718,"m")),)))*(Imóveis!$N$4/Imóveis!$S$4)))*Imóveis!$P$4))))*IF(AND(Imóveis!$E$4&gt;0,Dados!$A718&gt;Imóveis!$E$4),0,1)</f>
        <v>0</v>
      </c>
      <c r="L718" s="18">
        <f>IF(Imóveis!$F$5="PRICE",IF(AND(Dados!$A718&gt;=Imóveis!$Q$5,Dados!$A718&lt;=Imóveis!$T$5),Imóveis!$U$5,0),IF((IF(AND(Dados!$A718&gt;=Imóveis!$Q$5,Dados!$A718&lt;=Imóveis!$T$5),Imóveis!$S$5-(DATEDIF(Imóveis!$Q$5,Dados!$A718,"m")),0))=0,0,((Imóveis!$N$5/Imóveis!$S$5)+((Imóveis!$N$5-((Imóveis!$S$5-(IF(AND(Dados!$A718 &gt;=Imóveis!$Q$5,Dados!$A718&lt;=Imóveis!$T$5),Imóveis!$S$5-(DATEDIF(Imóveis!$Q$5,Dados!$A718,"m")),)))*(Imóveis!$N$5/Imóveis!$S$5)))*Imóveis!$P$5))))*IF(AND(Imóveis!$E$5&gt;0,Dados!$A718&gt;Imóveis!$E$5),0,1)*Imóveis!$I$5</f>
        <v>0</v>
      </c>
      <c r="M718" s="18">
        <f>IF(Imóveis!$F$6="PRICE",IF(AND(Dados!$A718&gt;=Imóveis!$Q$6,Dados!$A718&lt;=Imóveis!$T$6),Imóveis!$U$6,0),IF((IF(AND(Dados!$A718&gt;=Imóveis!$Q$6,Dados!$A718&lt;=Imóveis!$T$6),Imóveis!$S$6-(DATEDIF(Imóveis!$Q$6,Dados!$A718,"m")),0))=0,0,((Imóveis!$N$6/Imóveis!$S$6)+((Imóveis!$N$6-((Imóveis!$S$6-(IF(AND(Dados!$A718&gt;=Imóveis!$Q$6,Dados!$A718&lt;=Imóveis!$T$6),Imóveis!$S$6-(DATEDIF(Imóveis!$Q$6,Dados!$A718,"m")),)))*(Imóveis!$N$6/Imóveis!$S$6)))*Imóveis!$P$6))))*IF(AND(Imóveis!$E$6&gt;0,Dados!$A718&gt;Imóveis!$E$6),0,1)*Imóveis!$I$6</f>
        <v>0</v>
      </c>
      <c r="N718" s="18">
        <f t="shared" si="93"/>
        <v>37000</v>
      </c>
      <c r="O718" s="18">
        <f>SUMIFS(Receitas!$F:$F,Receitas!$J:$J,"&lt;="&amp;$A718,Receitas!$L:$L,"&gt;="&amp;$A718,Receitas!$C:$C,O$1,Receitas!$M:$M,"Mensal")+SUMIFS(Receitas!$F:$F,Receitas!$J:$J,"&lt;="&amp;$A718,Receitas!$L:$L,"&gt;="&amp;$A718,Receitas!$C:$C,O$1,Receitas!$M:$M,$B718)</f>
        <v>0</v>
      </c>
      <c r="P718" s="18">
        <f>SUMIFS(Receitas!$F:$F,Receitas!$J:$J,"&lt;="&amp;$A718,Receitas!$L:$L,"&gt;="&amp;$A718,Receitas!$C:$C,P$1,Receitas!$M:$M,"Mensal")+SUMIFS(Receitas!$F:$F,Receitas!$J:$J,"&lt;="&amp;$A718,Receitas!$L:$L,"&gt;="&amp;$A718,Receitas!$C:$C,P$1,Receitas!$M:$M,$B718)</f>
        <v>0</v>
      </c>
      <c r="Q718" s="18">
        <f>SUMIFS(Receitas!$F:$F,Receitas!$J:$J,"&lt;="&amp;$A718,Receitas!$L:$L,"&gt;="&amp;$A718,Receitas!$C:$C,Q$1,Receitas!$M:$M,"Mensal")+SUMIFS(Receitas!$F:$F,Receitas!$J:$J,"&lt;="&amp;$A718,Receitas!$L:$L,"&gt;="&amp;$A718,Receitas!$C:$C,Q$1,Receitas!$M:$M,$B718)</f>
        <v>0</v>
      </c>
      <c r="R718" s="18" cm="1">
        <f t="array" ref="R718">(IF(AND(Membros!$F$2="Sim",A718&lt;=MAX(Membros!$E$2:$E$5)),Membros!K$2,IF(AND(A718&gt;=Membros!J$2,A718&lt;=MAX(Membros!$E$2:$E$5)),Membros!K$2,0))+IF(AND(Membros!$F$3="Sim",A718&lt;=MAX(Membros!$E$2:$E$5)),Membros!K$3,IF(AND(A718&gt;=Membros!J$3,A718&lt;=MAX(Membros!$E$2:$E$5)),Membros!K$3,0)))*IF(AND(COUNTIFS(Tabela3[Tipo],"Provedor",Tabela3[Simulação Seguro],"Sim")=2,A718&gt;=MAX(IF(Tabela3[Tipo]="Dependente",Tabela3[Expectativa de Vida (Data)]))),0,1)</f>
        <v>10000</v>
      </c>
      <c r="S718" s="18">
        <f t="shared" si="94"/>
        <v>10000</v>
      </c>
      <c r="U718" s="18">
        <f t="shared" ca="1" si="97"/>
        <v>53088821.396589242</v>
      </c>
      <c r="V718" s="18">
        <f>SUMIF(Imóveis!E:E,Dados!A:A,Imóveis!Z:Z)-SUMIF(Imóveis!E:E,Dados!A:A,Imóveis!Y:Y)</f>
        <v>0</v>
      </c>
      <c r="W718" s="18">
        <f>-SUMIF(Projetos!N:N,A718,Projetos!F:F)</f>
        <v>0</v>
      </c>
      <c r="X718" s="18">
        <f t="shared" si="91"/>
        <v>-27000</v>
      </c>
      <c r="Y718" s="26">
        <f ca="1">(U718*((Indicadores_Economicos!D$2+1)^(1/12)-1))</f>
        <v>173798.98659606715</v>
      </c>
      <c r="Z718" s="18">
        <f t="shared" ca="1" si="95"/>
        <v>53235620.383185312</v>
      </c>
      <c r="AA718" s="18">
        <f ca="1">Auxiliar_Projetos!E718</f>
        <v>4.0599267656567765E-9</v>
      </c>
      <c r="AB718" s="18">
        <f ca="1">Auxiliar_Projetos!K718</f>
        <v>3.1230205889667453E-9</v>
      </c>
      <c r="AC718" s="18">
        <f ca="1">IF(Z718-AA718-AB718&gt;Investimentos!$C$14,Investimentos!$C$14,IF(Z718-AA718-AB718&lt;Investimentos!$C$14,Z718-AA718-AB718,0))</f>
        <v>300000</v>
      </c>
      <c r="AD718" s="18">
        <f t="shared" ca="1" si="96"/>
        <v>52935620.383185305</v>
      </c>
      <c r="AE718" s="18"/>
    </row>
    <row r="719" spans="1:31" x14ac:dyDescent="0.2">
      <c r="A719" s="4">
        <v>67481</v>
      </c>
      <c r="B719" s="5" t="str">
        <f t="shared" si="92"/>
        <v>outubro</v>
      </c>
      <c r="C719" s="5" t="str">
        <f t="shared" si="90"/>
        <v>2084</v>
      </c>
      <c r="D719" s="5">
        <f>SUMIFS(Despesas!$F:$F,Despesas!$J:$J,"&lt;="&amp;$A719,Despesas!$L:$L,"&gt;="&amp;$A719,Despesas!$C:$C,D$1,Despesas!$M:$M,"Mensal")+SUMIFS(Despesas!$F:$F,Despesas!$J:$J,"&lt;="&amp;$A719,Despesas!$L:$L,"&gt;="&amp;$A719,Despesas!$C:$C,D$1,Despesas!$M:$M,$B719)</f>
        <v>23000</v>
      </c>
      <c r="E719" s="18">
        <f>SUMIFS(Despesas!$F:$F,Despesas!$J:$J,"&lt;="&amp;$A719,Despesas!$L:$L,"&gt;="&amp;$A719,Despesas!$C:$C,E$1,Despesas!$M:$M,"Mensal")+SUMIFS(Despesas!$F:$F,Despesas!$J:$J,"&lt;="&amp;$A719,Despesas!$L:$L,"&gt;="&amp;$A719,Despesas!$C:$C,E$1,Despesas!$M:$M,$B719)</f>
        <v>0</v>
      </c>
      <c r="F719" s="5">
        <f>SUMIFS(Despesas!$F:$F,Despesas!$J:$J,"&lt;="&amp;$A719,Despesas!$L:$L,"&gt;="&amp;$A719,Despesas!$C:$C,F$1,Despesas!$M:$M,"Mensal")+SUMIFS(Despesas!$F:$F,Despesas!$J:$J,"&lt;="&amp;$A719,Despesas!$L:$L,"&gt;="&amp;$A719,Despesas!$C:$C,F$1,Despesas!$M:$M,$B719)</f>
        <v>13000</v>
      </c>
      <c r="G719" s="5">
        <f>SUMIFS(Despesas!$F:$F,Despesas!$J:$J,"&lt;="&amp;$A719,Despesas!$L:$L,"&gt;="&amp;$A719,Despesas!$C:$C,G$1,Despesas!$M:$M,"Mensal")+SUMIFS(Despesas!$F:$F,Despesas!$J:$J,"&lt;="&amp;$A719,Despesas!$L:$L,"&gt;="&amp;$A719,Despesas!$C:$C,G$1,Despesas!$M:$M,$B719)</f>
        <v>0</v>
      </c>
      <c r="H719" s="18">
        <f>SUMIFS(Despesas!$F:$F,Despesas!$J:$J,"&lt;="&amp;$A719,Despesas!$L:$L,"&gt;="&amp;$A719,Despesas!$C:$C,H$1,Despesas!$M:$M,"Mensal")+SUMIFS(Despesas!$F:$F,Despesas!$J:$J,"&lt;="&amp;$A719,Despesas!$L:$L,"&gt;="&amp;$A719,Despesas!$C:$C,H$1,Despesas!$M:$M,$B719)</f>
        <v>1000</v>
      </c>
      <c r="I719" s="18">
        <f>IF(Imóveis!$F$2="PRICE",IF(AND(Dados!$A719&gt;=Imóveis!$Q$2,Dados!$A719&lt;=Imóveis!$T$2),Imóveis!$U$2,0),IF((IF(AND(Dados!$A719&gt;=Imóveis!$Q$2,Dados!$A719&lt;=Imóveis!$T$2),Imóveis!$S$2-(DATEDIF(Imóveis!$Q$2,Dados!$A719,"m")),0))=0,0,((Imóveis!$N$2/Imóveis!$S$2)+((Imóveis!$N$2-((Imóveis!$S$2-(IF(AND(Dados!$A719&gt;=Imóveis!$Q$2,Dados!$A719&lt;=Imóveis!$T$2),Imóveis!$S$2-(DATEDIF(Imóveis!$Q$2,Dados!$A719,"m")),)))*(Imóveis!$N$2/Imóveis!$S$2)))*Imóveis!$P$2))))*IF(AND(Imóveis!$E$2&gt;0,Dados!$A719&gt;Imóveis!$E$2),0,1)</f>
        <v>0</v>
      </c>
      <c r="J719" s="18">
        <f>IF(Imóveis!$F$3="PRICE",IF(AND(Dados!$A719&gt;=Imóveis!$Q$3,Dados!$A719&lt;=Imóveis!$T$3),Imóveis!$U$3,0),IF((IF(AND(Dados!$A719&gt;=Imóveis!$Q$3,Dados!$A719&lt;=Imóveis!$T$3),Imóveis!$S$3-(DATEDIF(Imóveis!$Q$3,Dados!$A719,"m")),0))=0,0,((Imóveis!$N$3/Imóveis!$S$3)+((Imóveis!$N$3-((Imóveis!$S$3-(IF(AND(Dados!$A719&gt;=Imóveis!$Q$3,Dados!$A719&lt;=Imóveis!$T$3),Imóveis!$S$3-(DATEDIF(Imóveis!$Q$3,Dados!$A719,"m")),)))*(Imóveis!$N$3/Imóveis!$S$3)))*Imóveis!$P$3))))*IF(AND(Imóveis!$E$3&gt;0,Dados!$A719&gt;Imóveis!$E$3),0,1)</f>
        <v>0</v>
      </c>
      <c r="K719" s="18">
        <f>IF(Imóveis!$F$4="PRICE",IF(AND(Dados!$A719&gt;=Imóveis!$Q$4,Dados!$A719&lt;=Imóveis!$T$4),Imóveis!$U$4,0),IF((IF(AND(Dados!$A719&gt;=Imóveis!$Q$4,Dados!$A719&lt;=Imóveis!$T$4),Imóveis!$S$4-(DATEDIF(Imóveis!$Q$4,Dados!$A719,"m")),0))=0,0,((Imóveis!$N$4/Imóveis!$S$4)+((Imóveis!$N$4-((Imóveis!$S$4-(IF(AND(Dados!$A719&gt;=Imóveis!$Q$4,Dados!$A719&lt;=Imóveis!$T$4),Imóveis!$S$4-(DATEDIF(Imóveis!$Q$4,Dados!$A719,"m")),)))*(Imóveis!$N$4/Imóveis!$S$4)))*Imóveis!$P$4))))*IF(AND(Imóveis!$E$4&gt;0,Dados!$A719&gt;Imóveis!$E$4),0,1)</f>
        <v>0</v>
      </c>
      <c r="L719" s="18">
        <f>IF(Imóveis!$F$5="PRICE",IF(AND(Dados!$A719&gt;=Imóveis!$Q$5,Dados!$A719&lt;=Imóveis!$T$5),Imóveis!$U$5,0),IF((IF(AND(Dados!$A719&gt;=Imóveis!$Q$5,Dados!$A719&lt;=Imóveis!$T$5),Imóveis!$S$5-(DATEDIF(Imóveis!$Q$5,Dados!$A719,"m")),0))=0,0,((Imóveis!$N$5/Imóveis!$S$5)+((Imóveis!$N$5-((Imóveis!$S$5-(IF(AND(Dados!$A719 &gt;=Imóveis!$Q$5,Dados!$A719&lt;=Imóveis!$T$5),Imóveis!$S$5-(DATEDIF(Imóveis!$Q$5,Dados!$A719,"m")),)))*(Imóveis!$N$5/Imóveis!$S$5)))*Imóveis!$P$5))))*IF(AND(Imóveis!$E$5&gt;0,Dados!$A719&gt;Imóveis!$E$5),0,1)*Imóveis!$I$5</f>
        <v>0</v>
      </c>
      <c r="M719" s="18">
        <f>IF(Imóveis!$F$6="PRICE",IF(AND(Dados!$A719&gt;=Imóveis!$Q$6,Dados!$A719&lt;=Imóveis!$T$6),Imóveis!$U$6,0),IF((IF(AND(Dados!$A719&gt;=Imóveis!$Q$6,Dados!$A719&lt;=Imóveis!$T$6),Imóveis!$S$6-(DATEDIF(Imóveis!$Q$6,Dados!$A719,"m")),0))=0,0,((Imóveis!$N$6/Imóveis!$S$6)+((Imóveis!$N$6-((Imóveis!$S$6-(IF(AND(Dados!$A719&gt;=Imóveis!$Q$6,Dados!$A719&lt;=Imóveis!$T$6),Imóveis!$S$6-(DATEDIF(Imóveis!$Q$6,Dados!$A719,"m")),)))*(Imóveis!$N$6/Imóveis!$S$6)))*Imóveis!$P$6))))*IF(AND(Imóveis!$E$6&gt;0,Dados!$A719&gt;Imóveis!$E$6),0,1)*Imóveis!$I$6</f>
        <v>0</v>
      </c>
      <c r="N719" s="18">
        <f t="shared" si="93"/>
        <v>37000</v>
      </c>
      <c r="O719" s="18">
        <f>SUMIFS(Receitas!$F:$F,Receitas!$J:$J,"&lt;="&amp;$A719,Receitas!$L:$L,"&gt;="&amp;$A719,Receitas!$C:$C,O$1,Receitas!$M:$M,"Mensal")+SUMIFS(Receitas!$F:$F,Receitas!$J:$J,"&lt;="&amp;$A719,Receitas!$L:$L,"&gt;="&amp;$A719,Receitas!$C:$C,O$1,Receitas!$M:$M,$B719)</f>
        <v>0</v>
      </c>
      <c r="P719" s="18">
        <f>SUMIFS(Receitas!$F:$F,Receitas!$J:$J,"&lt;="&amp;$A719,Receitas!$L:$L,"&gt;="&amp;$A719,Receitas!$C:$C,P$1,Receitas!$M:$M,"Mensal")+SUMIFS(Receitas!$F:$F,Receitas!$J:$J,"&lt;="&amp;$A719,Receitas!$L:$L,"&gt;="&amp;$A719,Receitas!$C:$C,P$1,Receitas!$M:$M,$B719)</f>
        <v>0</v>
      </c>
      <c r="Q719" s="18">
        <f>SUMIFS(Receitas!$F:$F,Receitas!$J:$J,"&lt;="&amp;$A719,Receitas!$L:$L,"&gt;="&amp;$A719,Receitas!$C:$C,Q$1,Receitas!$M:$M,"Mensal")+SUMIFS(Receitas!$F:$F,Receitas!$J:$J,"&lt;="&amp;$A719,Receitas!$L:$L,"&gt;="&amp;$A719,Receitas!$C:$C,Q$1,Receitas!$M:$M,$B719)</f>
        <v>0</v>
      </c>
      <c r="R719" s="18" cm="1">
        <f t="array" ref="R719">(IF(AND(Membros!$F$2="Sim",A719&lt;=MAX(Membros!$E$2:$E$5)),Membros!K$2,IF(AND(A719&gt;=Membros!J$2,A719&lt;=MAX(Membros!$E$2:$E$5)),Membros!K$2,0))+IF(AND(Membros!$F$3="Sim",A719&lt;=MAX(Membros!$E$2:$E$5)),Membros!K$3,IF(AND(A719&gt;=Membros!J$3,A719&lt;=MAX(Membros!$E$2:$E$5)),Membros!K$3,0)))*IF(AND(COUNTIFS(Tabela3[Tipo],"Provedor",Tabela3[Simulação Seguro],"Sim")=2,A719&gt;=MAX(IF(Tabela3[Tipo]="Dependente",Tabela3[Expectativa de Vida (Data)]))),0,1)</f>
        <v>10000</v>
      </c>
      <c r="S719" s="18">
        <f t="shared" si="94"/>
        <v>10000</v>
      </c>
      <c r="U719" s="18">
        <f t="shared" ca="1" si="97"/>
        <v>53235620.383185312</v>
      </c>
      <c r="V719" s="18">
        <f>SUMIF(Imóveis!E:E,Dados!A:A,Imóveis!Z:Z)-SUMIF(Imóveis!E:E,Dados!A:A,Imóveis!Y:Y)</f>
        <v>0</v>
      </c>
      <c r="W719" s="18">
        <f>-SUMIF(Projetos!N:N,A719,Projetos!F:F)</f>
        <v>0</v>
      </c>
      <c r="X719" s="18">
        <f t="shared" si="91"/>
        <v>-27000</v>
      </c>
      <c r="Y719" s="26">
        <f ca="1">(U719*((Indicadores_Economicos!D$2+1)^(1/12)-1))</f>
        <v>174279.56827847316</v>
      </c>
      <c r="Z719" s="18">
        <f t="shared" ca="1" si="95"/>
        <v>53382899.951463789</v>
      </c>
      <c r="AA719" s="18">
        <f ca="1">Auxiliar_Projetos!E719</f>
        <v>4.0732179094223212E-9</v>
      </c>
      <c r="AB719" s="18">
        <f ca="1">Auxiliar_Projetos!K719</f>
        <v>3.1332445457094721E-9</v>
      </c>
      <c r="AC719" s="18">
        <f ca="1">IF(Z719-AA719-AB719&gt;Investimentos!$C$14,Investimentos!$C$14,IF(Z719-AA719-AB719&lt;Investimentos!$C$14,Z719-AA719-AB719,0))</f>
        <v>300000</v>
      </c>
      <c r="AD719" s="18">
        <f t="shared" ca="1" si="96"/>
        <v>53082899.951463781</v>
      </c>
      <c r="AE719" s="18"/>
    </row>
    <row r="720" spans="1:31" x14ac:dyDescent="0.2">
      <c r="A720" s="4">
        <v>67512</v>
      </c>
      <c r="B720" s="5" t="str">
        <f t="shared" si="92"/>
        <v>novembro</v>
      </c>
      <c r="C720" s="5" t="str">
        <f t="shared" si="90"/>
        <v>2084</v>
      </c>
      <c r="D720" s="5">
        <f>SUMIFS(Despesas!$F:$F,Despesas!$J:$J,"&lt;="&amp;$A720,Despesas!$L:$L,"&gt;="&amp;$A720,Despesas!$C:$C,D$1,Despesas!$M:$M,"Mensal")+SUMIFS(Despesas!$F:$F,Despesas!$J:$J,"&lt;="&amp;$A720,Despesas!$L:$L,"&gt;="&amp;$A720,Despesas!$C:$C,D$1,Despesas!$M:$M,$B720)</f>
        <v>23000</v>
      </c>
      <c r="E720" s="18">
        <f>SUMIFS(Despesas!$F:$F,Despesas!$J:$J,"&lt;="&amp;$A720,Despesas!$L:$L,"&gt;="&amp;$A720,Despesas!$C:$C,E$1,Despesas!$M:$M,"Mensal")+SUMIFS(Despesas!$F:$F,Despesas!$J:$J,"&lt;="&amp;$A720,Despesas!$L:$L,"&gt;="&amp;$A720,Despesas!$C:$C,E$1,Despesas!$M:$M,$B720)</f>
        <v>0</v>
      </c>
      <c r="F720" s="5">
        <f>SUMIFS(Despesas!$F:$F,Despesas!$J:$J,"&lt;="&amp;$A720,Despesas!$L:$L,"&gt;="&amp;$A720,Despesas!$C:$C,F$1,Despesas!$M:$M,"Mensal")+SUMIFS(Despesas!$F:$F,Despesas!$J:$J,"&lt;="&amp;$A720,Despesas!$L:$L,"&gt;="&amp;$A720,Despesas!$C:$C,F$1,Despesas!$M:$M,$B720)</f>
        <v>13000</v>
      </c>
      <c r="G720" s="5">
        <f>SUMIFS(Despesas!$F:$F,Despesas!$J:$J,"&lt;="&amp;$A720,Despesas!$L:$L,"&gt;="&amp;$A720,Despesas!$C:$C,G$1,Despesas!$M:$M,"Mensal")+SUMIFS(Despesas!$F:$F,Despesas!$J:$J,"&lt;="&amp;$A720,Despesas!$L:$L,"&gt;="&amp;$A720,Despesas!$C:$C,G$1,Despesas!$M:$M,$B720)</f>
        <v>0</v>
      </c>
      <c r="H720" s="18">
        <f>SUMIFS(Despesas!$F:$F,Despesas!$J:$J,"&lt;="&amp;$A720,Despesas!$L:$L,"&gt;="&amp;$A720,Despesas!$C:$C,H$1,Despesas!$M:$M,"Mensal")+SUMIFS(Despesas!$F:$F,Despesas!$J:$J,"&lt;="&amp;$A720,Despesas!$L:$L,"&gt;="&amp;$A720,Despesas!$C:$C,H$1,Despesas!$M:$M,$B720)</f>
        <v>1000</v>
      </c>
      <c r="I720" s="18">
        <f>IF(Imóveis!$F$2="PRICE",IF(AND(Dados!$A720&gt;=Imóveis!$Q$2,Dados!$A720&lt;=Imóveis!$T$2),Imóveis!$U$2,0),IF((IF(AND(Dados!$A720&gt;=Imóveis!$Q$2,Dados!$A720&lt;=Imóveis!$T$2),Imóveis!$S$2-(DATEDIF(Imóveis!$Q$2,Dados!$A720,"m")),0))=0,0,((Imóveis!$N$2/Imóveis!$S$2)+((Imóveis!$N$2-((Imóveis!$S$2-(IF(AND(Dados!$A720&gt;=Imóveis!$Q$2,Dados!$A720&lt;=Imóveis!$T$2),Imóveis!$S$2-(DATEDIF(Imóveis!$Q$2,Dados!$A720,"m")),)))*(Imóveis!$N$2/Imóveis!$S$2)))*Imóveis!$P$2))))*IF(AND(Imóveis!$E$2&gt;0,Dados!$A720&gt;Imóveis!$E$2),0,1)</f>
        <v>0</v>
      </c>
      <c r="J720" s="18">
        <f>IF(Imóveis!$F$3="PRICE",IF(AND(Dados!$A720&gt;=Imóveis!$Q$3,Dados!$A720&lt;=Imóveis!$T$3),Imóveis!$U$3,0),IF((IF(AND(Dados!$A720&gt;=Imóveis!$Q$3,Dados!$A720&lt;=Imóveis!$T$3),Imóveis!$S$3-(DATEDIF(Imóveis!$Q$3,Dados!$A720,"m")),0))=0,0,((Imóveis!$N$3/Imóveis!$S$3)+((Imóveis!$N$3-((Imóveis!$S$3-(IF(AND(Dados!$A720&gt;=Imóveis!$Q$3,Dados!$A720&lt;=Imóveis!$T$3),Imóveis!$S$3-(DATEDIF(Imóveis!$Q$3,Dados!$A720,"m")),)))*(Imóveis!$N$3/Imóveis!$S$3)))*Imóveis!$P$3))))*IF(AND(Imóveis!$E$3&gt;0,Dados!$A720&gt;Imóveis!$E$3),0,1)</f>
        <v>0</v>
      </c>
      <c r="K720" s="18">
        <f>IF(Imóveis!$F$4="PRICE",IF(AND(Dados!$A720&gt;=Imóveis!$Q$4,Dados!$A720&lt;=Imóveis!$T$4),Imóveis!$U$4,0),IF((IF(AND(Dados!$A720&gt;=Imóveis!$Q$4,Dados!$A720&lt;=Imóveis!$T$4),Imóveis!$S$4-(DATEDIF(Imóveis!$Q$4,Dados!$A720,"m")),0))=0,0,((Imóveis!$N$4/Imóveis!$S$4)+((Imóveis!$N$4-((Imóveis!$S$4-(IF(AND(Dados!$A720&gt;=Imóveis!$Q$4,Dados!$A720&lt;=Imóveis!$T$4),Imóveis!$S$4-(DATEDIF(Imóveis!$Q$4,Dados!$A720,"m")),)))*(Imóveis!$N$4/Imóveis!$S$4)))*Imóveis!$P$4))))*IF(AND(Imóveis!$E$4&gt;0,Dados!$A720&gt;Imóveis!$E$4),0,1)</f>
        <v>0</v>
      </c>
      <c r="L720" s="18">
        <f>IF(Imóveis!$F$5="PRICE",IF(AND(Dados!$A720&gt;=Imóveis!$Q$5,Dados!$A720&lt;=Imóveis!$T$5),Imóveis!$U$5,0),IF((IF(AND(Dados!$A720&gt;=Imóveis!$Q$5,Dados!$A720&lt;=Imóveis!$T$5),Imóveis!$S$5-(DATEDIF(Imóveis!$Q$5,Dados!$A720,"m")),0))=0,0,((Imóveis!$N$5/Imóveis!$S$5)+((Imóveis!$N$5-((Imóveis!$S$5-(IF(AND(Dados!$A720 &gt;=Imóveis!$Q$5,Dados!$A720&lt;=Imóveis!$T$5),Imóveis!$S$5-(DATEDIF(Imóveis!$Q$5,Dados!$A720,"m")),)))*(Imóveis!$N$5/Imóveis!$S$5)))*Imóveis!$P$5))))*IF(AND(Imóveis!$E$5&gt;0,Dados!$A720&gt;Imóveis!$E$5),0,1)*Imóveis!$I$5</f>
        <v>0</v>
      </c>
      <c r="M720" s="18">
        <f>IF(Imóveis!$F$6="PRICE",IF(AND(Dados!$A720&gt;=Imóveis!$Q$6,Dados!$A720&lt;=Imóveis!$T$6),Imóveis!$U$6,0),IF((IF(AND(Dados!$A720&gt;=Imóveis!$Q$6,Dados!$A720&lt;=Imóveis!$T$6),Imóveis!$S$6-(DATEDIF(Imóveis!$Q$6,Dados!$A720,"m")),0))=0,0,((Imóveis!$N$6/Imóveis!$S$6)+((Imóveis!$N$6-((Imóveis!$S$6-(IF(AND(Dados!$A720&gt;=Imóveis!$Q$6,Dados!$A720&lt;=Imóveis!$T$6),Imóveis!$S$6-(DATEDIF(Imóveis!$Q$6,Dados!$A720,"m")),)))*(Imóveis!$N$6/Imóveis!$S$6)))*Imóveis!$P$6))))*IF(AND(Imóveis!$E$6&gt;0,Dados!$A720&gt;Imóveis!$E$6),0,1)*Imóveis!$I$6</f>
        <v>0</v>
      </c>
      <c r="N720" s="18">
        <f t="shared" si="93"/>
        <v>37000</v>
      </c>
      <c r="O720" s="18">
        <f>SUMIFS(Receitas!$F:$F,Receitas!$J:$J,"&lt;="&amp;$A720,Receitas!$L:$L,"&gt;="&amp;$A720,Receitas!$C:$C,O$1,Receitas!$M:$M,"Mensal")+SUMIFS(Receitas!$F:$F,Receitas!$J:$J,"&lt;="&amp;$A720,Receitas!$L:$L,"&gt;="&amp;$A720,Receitas!$C:$C,O$1,Receitas!$M:$M,$B720)</f>
        <v>0</v>
      </c>
      <c r="P720" s="18">
        <f>SUMIFS(Receitas!$F:$F,Receitas!$J:$J,"&lt;="&amp;$A720,Receitas!$L:$L,"&gt;="&amp;$A720,Receitas!$C:$C,P$1,Receitas!$M:$M,"Mensal")+SUMIFS(Receitas!$F:$F,Receitas!$J:$J,"&lt;="&amp;$A720,Receitas!$L:$L,"&gt;="&amp;$A720,Receitas!$C:$C,P$1,Receitas!$M:$M,$B720)</f>
        <v>0</v>
      </c>
      <c r="Q720" s="18">
        <f>SUMIFS(Receitas!$F:$F,Receitas!$J:$J,"&lt;="&amp;$A720,Receitas!$L:$L,"&gt;="&amp;$A720,Receitas!$C:$C,Q$1,Receitas!$M:$M,"Mensal")+SUMIFS(Receitas!$F:$F,Receitas!$J:$J,"&lt;="&amp;$A720,Receitas!$L:$L,"&gt;="&amp;$A720,Receitas!$C:$C,Q$1,Receitas!$M:$M,$B720)</f>
        <v>0</v>
      </c>
      <c r="R720" s="18" cm="1">
        <f t="array" ref="R720">(IF(AND(Membros!$F$2="Sim",A720&lt;=MAX(Membros!$E$2:$E$5)),Membros!K$2,IF(AND(A720&gt;=Membros!J$2,A720&lt;=MAX(Membros!$E$2:$E$5)),Membros!K$2,0))+IF(AND(Membros!$F$3="Sim",A720&lt;=MAX(Membros!$E$2:$E$5)),Membros!K$3,IF(AND(A720&gt;=Membros!J$3,A720&lt;=MAX(Membros!$E$2:$E$5)),Membros!K$3,0)))*IF(AND(COUNTIFS(Tabela3[Tipo],"Provedor",Tabela3[Simulação Seguro],"Sim")=2,A720&gt;=MAX(IF(Tabela3[Tipo]="Dependente",Tabela3[Expectativa de Vida (Data)]))),0,1)</f>
        <v>10000</v>
      </c>
      <c r="S720" s="18">
        <f t="shared" si="94"/>
        <v>10000</v>
      </c>
      <c r="U720" s="18">
        <f t="shared" ca="1" si="97"/>
        <v>53382899.951463789</v>
      </c>
      <c r="V720" s="18">
        <f>SUMIF(Imóveis!E:E,Dados!A:A,Imóveis!Z:Z)-SUMIF(Imóveis!E:E,Dados!A:A,Imóveis!Y:Y)</f>
        <v>0</v>
      </c>
      <c r="W720" s="18">
        <f>-SUMIF(Projetos!N:N,A720,Projetos!F:F)</f>
        <v>0</v>
      </c>
      <c r="X720" s="18">
        <f t="shared" si="91"/>
        <v>-27000</v>
      </c>
      <c r="Y720" s="26">
        <f ca="1">(U720*((Indicadores_Economicos!D$2+1)^(1/12)-1))</f>
        <v>174761.72326025151</v>
      </c>
      <c r="Z720" s="18">
        <f t="shared" ca="1" si="95"/>
        <v>53530661.674724042</v>
      </c>
      <c r="AA720" s="18">
        <f ca="1">Auxiliar_Projetos!E720</f>
        <v>4.0865525649339619E-9</v>
      </c>
      <c r="AB720" s="18">
        <f ca="1">Auxiliar_Projetos!K720</f>
        <v>3.1435019730261191E-9</v>
      </c>
      <c r="AC720" s="18">
        <f ca="1">IF(Z720-AA720-AB720&gt;Investimentos!$C$14,Investimentos!$C$14,IF(Z720-AA720-AB720&lt;Investimentos!$C$14,Z720-AA720-AB720,0))</f>
        <v>300000</v>
      </c>
      <c r="AD720" s="18">
        <f t="shared" ca="1" si="96"/>
        <v>53230661.674724035</v>
      </c>
      <c r="AE720" s="18"/>
    </row>
    <row r="721" spans="1:31" x14ac:dyDescent="0.2">
      <c r="A721" s="4">
        <v>67542</v>
      </c>
      <c r="B721" s="5" t="str">
        <f t="shared" si="92"/>
        <v>dezembro</v>
      </c>
      <c r="C721" s="5" t="str">
        <f t="shared" si="90"/>
        <v>2084</v>
      </c>
      <c r="D721" s="5">
        <f>SUMIFS(Despesas!$F:$F,Despesas!$J:$J,"&lt;="&amp;$A721,Despesas!$L:$L,"&gt;="&amp;$A721,Despesas!$C:$C,D$1,Despesas!$M:$M,"Mensal")+SUMIFS(Despesas!$F:$F,Despesas!$J:$J,"&lt;="&amp;$A721,Despesas!$L:$L,"&gt;="&amp;$A721,Despesas!$C:$C,D$1,Despesas!$M:$M,$B721)</f>
        <v>23000</v>
      </c>
      <c r="E721" s="18">
        <f>SUMIFS(Despesas!$F:$F,Despesas!$J:$J,"&lt;="&amp;$A721,Despesas!$L:$L,"&gt;="&amp;$A721,Despesas!$C:$C,E$1,Despesas!$M:$M,"Mensal")+SUMIFS(Despesas!$F:$F,Despesas!$J:$J,"&lt;="&amp;$A721,Despesas!$L:$L,"&gt;="&amp;$A721,Despesas!$C:$C,E$1,Despesas!$M:$M,$B721)</f>
        <v>0</v>
      </c>
      <c r="F721" s="5">
        <f>SUMIFS(Despesas!$F:$F,Despesas!$J:$J,"&lt;="&amp;$A721,Despesas!$L:$L,"&gt;="&amp;$A721,Despesas!$C:$C,F$1,Despesas!$M:$M,"Mensal")+SUMIFS(Despesas!$F:$F,Despesas!$J:$J,"&lt;="&amp;$A721,Despesas!$L:$L,"&gt;="&amp;$A721,Despesas!$C:$C,F$1,Despesas!$M:$M,$B721)</f>
        <v>13000</v>
      </c>
      <c r="G721" s="5">
        <f ca="1">SUMIFS(Despesas!$F:$F,Despesas!$J:$J,"&lt;="&amp;$A721,Despesas!$L:$L,"&gt;="&amp;$A721,Despesas!$C:$C,G$1,Despesas!$M:$M,"Mensal")+SUMIFS(Despesas!$F:$F,Despesas!$J:$J,"&lt;="&amp;$A721,Despesas!$L:$L,"&gt;="&amp;$A721,Despesas!$C:$C,G$1,Despesas!$M:$M,$B721)</f>
        <v>55757</v>
      </c>
      <c r="H721" s="18">
        <f>SUMIFS(Despesas!$F:$F,Despesas!$J:$J,"&lt;="&amp;$A721,Despesas!$L:$L,"&gt;="&amp;$A721,Despesas!$C:$C,H$1,Despesas!$M:$M,"Mensal")+SUMIFS(Despesas!$F:$F,Despesas!$J:$J,"&lt;="&amp;$A721,Despesas!$L:$L,"&gt;="&amp;$A721,Despesas!$C:$C,H$1,Despesas!$M:$M,$B721)</f>
        <v>1000</v>
      </c>
      <c r="I721" s="18">
        <f>IF(Imóveis!$F$2="PRICE",IF(AND(Dados!$A721&gt;=Imóveis!$Q$2,Dados!$A721&lt;=Imóveis!$T$2),Imóveis!$U$2,0),IF((IF(AND(Dados!$A721&gt;=Imóveis!$Q$2,Dados!$A721&lt;=Imóveis!$T$2),Imóveis!$S$2-(DATEDIF(Imóveis!$Q$2,Dados!$A721,"m")),0))=0,0,((Imóveis!$N$2/Imóveis!$S$2)+((Imóveis!$N$2-((Imóveis!$S$2-(IF(AND(Dados!$A721&gt;=Imóveis!$Q$2,Dados!$A721&lt;=Imóveis!$T$2),Imóveis!$S$2-(DATEDIF(Imóveis!$Q$2,Dados!$A721,"m")),)))*(Imóveis!$N$2/Imóveis!$S$2)))*Imóveis!$P$2))))*IF(AND(Imóveis!$E$2&gt;0,Dados!$A721&gt;Imóveis!$E$2),0,1)</f>
        <v>0</v>
      </c>
      <c r="J721" s="18">
        <f>IF(Imóveis!$F$3="PRICE",IF(AND(Dados!$A721&gt;=Imóveis!$Q$3,Dados!$A721&lt;=Imóveis!$T$3),Imóveis!$U$3,0),IF((IF(AND(Dados!$A721&gt;=Imóveis!$Q$3,Dados!$A721&lt;=Imóveis!$T$3),Imóveis!$S$3-(DATEDIF(Imóveis!$Q$3,Dados!$A721,"m")),0))=0,0,((Imóveis!$N$3/Imóveis!$S$3)+((Imóveis!$N$3-((Imóveis!$S$3-(IF(AND(Dados!$A721&gt;=Imóveis!$Q$3,Dados!$A721&lt;=Imóveis!$T$3),Imóveis!$S$3-(DATEDIF(Imóveis!$Q$3,Dados!$A721,"m")),)))*(Imóveis!$N$3/Imóveis!$S$3)))*Imóveis!$P$3))))*IF(AND(Imóveis!$E$3&gt;0,Dados!$A721&gt;Imóveis!$E$3),0,1)</f>
        <v>0</v>
      </c>
      <c r="K721" s="18">
        <f>IF(Imóveis!$F$4="PRICE",IF(AND(Dados!$A721&gt;=Imóveis!$Q$4,Dados!$A721&lt;=Imóveis!$T$4),Imóveis!$U$4,0),IF((IF(AND(Dados!$A721&gt;=Imóveis!$Q$4,Dados!$A721&lt;=Imóveis!$T$4),Imóveis!$S$4-(DATEDIF(Imóveis!$Q$4,Dados!$A721,"m")),0))=0,0,((Imóveis!$N$4/Imóveis!$S$4)+((Imóveis!$N$4-((Imóveis!$S$4-(IF(AND(Dados!$A721&gt;=Imóveis!$Q$4,Dados!$A721&lt;=Imóveis!$T$4),Imóveis!$S$4-(DATEDIF(Imóveis!$Q$4,Dados!$A721,"m")),)))*(Imóveis!$N$4/Imóveis!$S$4)))*Imóveis!$P$4))))*IF(AND(Imóveis!$E$4&gt;0,Dados!$A721&gt;Imóveis!$E$4),0,1)</f>
        <v>0</v>
      </c>
      <c r="L721" s="18">
        <f>IF(Imóveis!$F$5="PRICE",IF(AND(Dados!$A721&gt;=Imóveis!$Q$5,Dados!$A721&lt;=Imóveis!$T$5),Imóveis!$U$5,0),IF((IF(AND(Dados!$A721&gt;=Imóveis!$Q$5,Dados!$A721&lt;=Imóveis!$T$5),Imóveis!$S$5-(DATEDIF(Imóveis!$Q$5,Dados!$A721,"m")),0))=0,0,((Imóveis!$N$5/Imóveis!$S$5)+((Imóveis!$N$5-((Imóveis!$S$5-(IF(AND(Dados!$A721 &gt;=Imóveis!$Q$5,Dados!$A721&lt;=Imóveis!$T$5),Imóveis!$S$5-(DATEDIF(Imóveis!$Q$5,Dados!$A721,"m")),)))*(Imóveis!$N$5/Imóveis!$S$5)))*Imóveis!$P$5))))*IF(AND(Imóveis!$E$5&gt;0,Dados!$A721&gt;Imóveis!$E$5),0,1)*Imóveis!$I$5</f>
        <v>0</v>
      </c>
      <c r="M721" s="18">
        <f>IF(Imóveis!$F$6="PRICE",IF(AND(Dados!$A721&gt;=Imóveis!$Q$6,Dados!$A721&lt;=Imóveis!$T$6),Imóveis!$U$6,0),IF((IF(AND(Dados!$A721&gt;=Imóveis!$Q$6,Dados!$A721&lt;=Imóveis!$T$6),Imóveis!$S$6-(DATEDIF(Imóveis!$Q$6,Dados!$A721,"m")),0))=0,0,((Imóveis!$N$6/Imóveis!$S$6)+((Imóveis!$N$6-((Imóveis!$S$6-(IF(AND(Dados!$A721&gt;=Imóveis!$Q$6,Dados!$A721&lt;=Imóveis!$T$6),Imóveis!$S$6-(DATEDIF(Imóveis!$Q$6,Dados!$A721,"m")),)))*(Imóveis!$N$6/Imóveis!$S$6)))*Imóveis!$P$6))))*IF(AND(Imóveis!$E$6&gt;0,Dados!$A721&gt;Imóveis!$E$6),0,1)*Imóveis!$I$6</f>
        <v>0</v>
      </c>
      <c r="N721" s="18">
        <f t="shared" ca="1" si="93"/>
        <v>92757</v>
      </c>
      <c r="O721" s="18">
        <f>SUMIFS(Receitas!$F:$F,Receitas!$J:$J,"&lt;="&amp;$A721,Receitas!$L:$L,"&gt;="&amp;$A721,Receitas!$C:$C,O$1,Receitas!$M:$M,"Mensal")+SUMIFS(Receitas!$F:$F,Receitas!$J:$J,"&lt;="&amp;$A721,Receitas!$L:$L,"&gt;="&amp;$A721,Receitas!$C:$C,O$1,Receitas!$M:$M,$B721)</f>
        <v>0</v>
      </c>
      <c r="P721" s="18">
        <f>SUMIFS(Receitas!$F:$F,Receitas!$J:$J,"&lt;="&amp;$A721,Receitas!$L:$L,"&gt;="&amp;$A721,Receitas!$C:$C,P$1,Receitas!$M:$M,"Mensal")+SUMIFS(Receitas!$F:$F,Receitas!$J:$J,"&lt;="&amp;$A721,Receitas!$L:$L,"&gt;="&amp;$A721,Receitas!$C:$C,P$1,Receitas!$M:$M,$B721)</f>
        <v>0</v>
      </c>
      <c r="Q721" s="18">
        <f>SUMIFS(Receitas!$F:$F,Receitas!$J:$J,"&lt;="&amp;$A721,Receitas!$L:$L,"&gt;="&amp;$A721,Receitas!$C:$C,Q$1,Receitas!$M:$M,"Mensal")+SUMIFS(Receitas!$F:$F,Receitas!$J:$J,"&lt;="&amp;$A721,Receitas!$L:$L,"&gt;="&amp;$A721,Receitas!$C:$C,Q$1,Receitas!$M:$M,$B721)</f>
        <v>0</v>
      </c>
      <c r="R721" s="18" cm="1">
        <f t="array" ref="R721">(IF(AND(Membros!$F$2="Sim",A721&lt;=MAX(Membros!$E$2:$E$5)),Membros!K$2,IF(AND(A721&gt;=Membros!J$2,A721&lt;=MAX(Membros!$E$2:$E$5)),Membros!K$2,0))+IF(AND(Membros!$F$3="Sim",A721&lt;=MAX(Membros!$E$2:$E$5)),Membros!K$3,IF(AND(A721&gt;=Membros!J$3,A721&lt;=MAX(Membros!$E$2:$E$5)),Membros!K$3,0)))*IF(AND(COUNTIFS(Tabela3[Tipo],"Provedor",Tabela3[Simulação Seguro],"Sim")=2,A721&gt;=MAX(IF(Tabela3[Tipo]="Dependente",Tabela3[Expectativa de Vida (Data)]))),0,1)</f>
        <v>10000</v>
      </c>
      <c r="S721" s="18">
        <f t="shared" si="94"/>
        <v>10000</v>
      </c>
      <c r="U721" s="18">
        <f t="shared" ca="1" si="97"/>
        <v>53530661.674724042</v>
      </c>
      <c r="V721" s="18">
        <f>SUMIF(Imóveis!E:E,Dados!A:A,Imóveis!Z:Z)-SUMIF(Imóveis!E:E,Dados!A:A,Imóveis!Y:Y)</f>
        <v>0</v>
      </c>
      <c r="W721" s="18">
        <f>-SUMIF(Projetos!N:N,A721,Projetos!F:F)</f>
        <v>0</v>
      </c>
      <c r="X721" s="18">
        <f t="shared" ca="1" si="91"/>
        <v>-82757</v>
      </c>
      <c r="Y721" s="26">
        <f ca="1">(U721*((Indicadores_Economicos!D$2+1)^(1/12)-1))</f>
        <v>175245.45669197486</v>
      </c>
      <c r="Z721" s="18">
        <f t="shared" ca="1" si="95"/>
        <v>53623150.131416015</v>
      </c>
      <c r="AA721" s="18">
        <f ca="1">Auxiliar_Projetos!E721</f>
        <v>4.0999308746378332E-9</v>
      </c>
      <c r="AB721" s="18">
        <f ca="1">Auxiliar_Projetos!K721</f>
        <v>3.1537929804906353E-9</v>
      </c>
      <c r="AC721" s="18">
        <f ca="1">IF(Z721-AA721-AB721&gt;Investimentos!$C$14,Investimentos!$C$14,IF(Z721-AA721-AB721&lt;Investimentos!$C$14,Z721-AA721-AB721,0))</f>
        <v>300000</v>
      </c>
      <c r="AD721" s="18">
        <f t="shared" ca="1" si="96"/>
        <v>53323150.131416008</v>
      </c>
      <c r="AE721" s="18"/>
    </row>
    <row r="722" spans="1:31" x14ac:dyDescent="0.2">
      <c r="A722" s="4">
        <v>67573</v>
      </c>
      <c r="B722" s="5" t="str">
        <f t="shared" si="92"/>
        <v>janeiro</v>
      </c>
      <c r="C722" s="5" t="str">
        <f t="shared" si="90"/>
        <v>2085</v>
      </c>
      <c r="D722" s="5">
        <f>SUMIFS(Despesas!$F:$F,Despesas!$J:$J,"&lt;="&amp;$A722,Despesas!$L:$L,"&gt;="&amp;$A722,Despesas!$C:$C,D$1,Despesas!$M:$M,"Mensal")+SUMIFS(Despesas!$F:$F,Despesas!$J:$J,"&lt;="&amp;$A722,Despesas!$L:$L,"&gt;="&amp;$A722,Despesas!$C:$C,D$1,Despesas!$M:$M,$B722)</f>
        <v>23000</v>
      </c>
      <c r="E722" s="18">
        <f>SUMIFS(Despesas!$F:$F,Despesas!$J:$J,"&lt;="&amp;$A722,Despesas!$L:$L,"&gt;="&amp;$A722,Despesas!$C:$C,E$1,Despesas!$M:$M,"Mensal")+SUMIFS(Despesas!$F:$F,Despesas!$J:$J,"&lt;="&amp;$A722,Despesas!$L:$L,"&gt;="&amp;$A722,Despesas!$C:$C,E$1,Despesas!$M:$M,$B722)</f>
        <v>0</v>
      </c>
      <c r="F722" s="5">
        <f>SUMIFS(Despesas!$F:$F,Despesas!$J:$J,"&lt;="&amp;$A722,Despesas!$L:$L,"&gt;="&amp;$A722,Despesas!$C:$C,F$1,Despesas!$M:$M,"Mensal")+SUMIFS(Despesas!$F:$F,Despesas!$J:$J,"&lt;="&amp;$A722,Despesas!$L:$L,"&gt;="&amp;$A722,Despesas!$C:$C,F$1,Despesas!$M:$M,$B722)</f>
        <v>13000</v>
      </c>
      <c r="G722" s="5">
        <f>SUMIFS(Despesas!$F:$F,Despesas!$J:$J,"&lt;="&amp;$A722,Despesas!$L:$L,"&gt;="&amp;$A722,Despesas!$C:$C,G$1,Despesas!$M:$M,"Mensal")+SUMIFS(Despesas!$F:$F,Despesas!$J:$J,"&lt;="&amp;$A722,Despesas!$L:$L,"&gt;="&amp;$A722,Despesas!$C:$C,G$1,Despesas!$M:$M,$B722)</f>
        <v>0</v>
      </c>
      <c r="H722" s="18">
        <f>SUMIFS(Despesas!$F:$F,Despesas!$J:$J,"&lt;="&amp;$A722,Despesas!$L:$L,"&gt;="&amp;$A722,Despesas!$C:$C,H$1,Despesas!$M:$M,"Mensal")+SUMIFS(Despesas!$F:$F,Despesas!$J:$J,"&lt;="&amp;$A722,Despesas!$L:$L,"&gt;="&amp;$A722,Despesas!$C:$C,H$1,Despesas!$M:$M,$B722)</f>
        <v>1000</v>
      </c>
      <c r="I722" s="18">
        <f>IF(Imóveis!$F$2="PRICE",IF(AND(Dados!$A722&gt;=Imóveis!$Q$2,Dados!$A722&lt;=Imóveis!$T$2),Imóveis!$U$2,0),IF((IF(AND(Dados!$A722&gt;=Imóveis!$Q$2,Dados!$A722&lt;=Imóveis!$T$2),Imóveis!$S$2-(DATEDIF(Imóveis!$Q$2,Dados!$A722,"m")),0))=0,0,((Imóveis!$N$2/Imóveis!$S$2)+((Imóveis!$N$2-((Imóveis!$S$2-(IF(AND(Dados!$A722&gt;=Imóveis!$Q$2,Dados!$A722&lt;=Imóveis!$T$2),Imóveis!$S$2-(DATEDIF(Imóveis!$Q$2,Dados!$A722,"m")),)))*(Imóveis!$N$2/Imóveis!$S$2)))*Imóveis!$P$2))))*IF(AND(Imóveis!$E$2&gt;0,Dados!$A722&gt;Imóveis!$E$2),0,1)</f>
        <v>0</v>
      </c>
      <c r="J722" s="18">
        <f>IF(Imóveis!$F$3="PRICE",IF(AND(Dados!$A722&gt;=Imóveis!$Q$3,Dados!$A722&lt;=Imóveis!$T$3),Imóveis!$U$3,0),IF((IF(AND(Dados!$A722&gt;=Imóveis!$Q$3,Dados!$A722&lt;=Imóveis!$T$3),Imóveis!$S$3-(DATEDIF(Imóveis!$Q$3,Dados!$A722,"m")),0))=0,0,((Imóveis!$N$3/Imóveis!$S$3)+((Imóveis!$N$3-((Imóveis!$S$3-(IF(AND(Dados!$A722&gt;=Imóveis!$Q$3,Dados!$A722&lt;=Imóveis!$T$3),Imóveis!$S$3-(DATEDIF(Imóveis!$Q$3,Dados!$A722,"m")),)))*(Imóveis!$N$3/Imóveis!$S$3)))*Imóveis!$P$3))))*IF(AND(Imóveis!$E$3&gt;0,Dados!$A722&gt;Imóveis!$E$3),0,1)</f>
        <v>0</v>
      </c>
      <c r="K722" s="18">
        <f>IF(Imóveis!$F$4="PRICE",IF(AND(Dados!$A722&gt;=Imóveis!$Q$4,Dados!$A722&lt;=Imóveis!$T$4),Imóveis!$U$4,0),IF((IF(AND(Dados!$A722&gt;=Imóveis!$Q$4,Dados!$A722&lt;=Imóveis!$T$4),Imóveis!$S$4-(DATEDIF(Imóveis!$Q$4,Dados!$A722,"m")),0))=0,0,((Imóveis!$N$4/Imóveis!$S$4)+((Imóveis!$N$4-((Imóveis!$S$4-(IF(AND(Dados!$A722&gt;=Imóveis!$Q$4,Dados!$A722&lt;=Imóveis!$T$4),Imóveis!$S$4-(DATEDIF(Imóveis!$Q$4,Dados!$A722,"m")),)))*(Imóveis!$N$4/Imóveis!$S$4)))*Imóveis!$P$4))))*IF(AND(Imóveis!$E$4&gt;0,Dados!$A722&gt;Imóveis!$E$4),0,1)</f>
        <v>0</v>
      </c>
      <c r="L722" s="18">
        <f>IF(Imóveis!$F$5="PRICE",IF(AND(Dados!$A722&gt;=Imóveis!$Q$5,Dados!$A722&lt;=Imóveis!$T$5),Imóveis!$U$5,0),IF((IF(AND(Dados!$A722&gt;=Imóveis!$Q$5,Dados!$A722&lt;=Imóveis!$T$5),Imóveis!$S$5-(DATEDIF(Imóveis!$Q$5,Dados!$A722,"m")),0))=0,0,((Imóveis!$N$5/Imóveis!$S$5)+((Imóveis!$N$5-((Imóveis!$S$5-(IF(AND(Dados!$A722 &gt;=Imóveis!$Q$5,Dados!$A722&lt;=Imóveis!$T$5),Imóveis!$S$5-(DATEDIF(Imóveis!$Q$5,Dados!$A722,"m")),)))*(Imóveis!$N$5/Imóveis!$S$5)))*Imóveis!$P$5))))*IF(AND(Imóveis!$E$5&gt;0,Dados!$A722&gt;Imóveis!$E$5),0,1)*Imóveis!$I$5</f>
        <v>0</v>
      </c>
      <c r="M722" s="18">
        <f>IF(Imóveis!$F$6="PRICE",IF(AND(Dados!$A722&gt;=Imóveis!$Q$6,Dados!$A722&lt;=Imóveis!$T$6),Imóveis!$U$6,0),IF((IF(AND(Dados!$A722&gt;=Imóveis!$Q$6,Dados!$A722&lt;=Imóveis!$T$6),Imóveis!$S$6-(DATEDIF(Imóveis!$Q$6,Dados!$A722,"m")),0))=0,0,((Imóveis!$N$6/Imóveis!$S$6)+((Imóveis!$N$6-((Imóveis!$S$6-(IF(AND(Dados!$A722&gt;=Imóveis!$Q$6,Dados!$A722&lt;=Imóveis!$T$6),Imóveis!$S$6-(DATEDIF(Imóveis!$Q$6,Dados!$A722,"m")),)))*(Imóveis!$N$6/Imóveis!$S$6)))*Imóveis!$P$6))))*IF(AND(Imóveis!$E$6&gt;0,Dados!$A722&gt;Imóveis!$E$6),0,1)*Imóveis!$I$6</f>
        <v>0</v>
      </c>
      <c r="N722" s="18">
        <f t="shared" si="93"/>
        <v>37000</v>
      </c>
      <c r="O722" s="18">
        <f>SUMIFS(Receitas!$F:$F,Receitas!$J:$J,"&lt;="&amp;$A722,Receitas!$L:$L,"&gt;="&amp;$A722,Receitas!$C:$C,O$1,Receitas!$M:$M,"Mensal")+SUMIFS(Receitas!$F:$F,Receitas!$J:$J,"&lt;="&amp;$A722,Receitas!$L:$L,"&gt;="&amp;$A722,Receitas!$C:$C,O$1,Receitas!$M:$M,$B722)</f>
        <v>0</v>
      </c>
      <c r="P722" s="18">
        <f>SUMIFS(Receitas!$F:$F,Receitas!$J:$J,"&lt;="&amp;$A722,Receitas!$L:$L,"&gt;="&amp;$A722,Receitas!$C:$C,P$1,Receitas!$M:$M,"Mensal")+SUMIFS(Receitas!$F:$F,Receitas!$J:$J,"&lt;="&amp;$A722,Receitas!$L:$L,"&gt;="&amp;$A722,Receitas!$C:$C,P$1,Receitas!$M:$M,$B722)</f>
        <v>0</v>
      </c>
      <c r="Q722" s="18">
        <f>SUMIFS(Receitas!$F:$F,Receitas!$J:$J,"&lt;="&amp;$A722,Receitas!$L:$L,"&gt;="&amp;$A722,Receitas!$C:$C,Q$1,Receitas!$M:$M,"Mensal")+SUMIFS(Receitas!$F:$F,Receitas!$J:$J,"&lt;="&amp;$A722,Receitas!$L:$L,"&gt;="&amp;$A722,Receitas!$C:$C,Q$1,Receitas!$M:$M,$B722)</f>
        <v>0</v>
      </c>
      <c r="R722" s="18" cm="1">
        <f t="array" ref="R722">(IF(AND(Membros!$F$2="Sim",A722&lt;=MAX(Membros!$E$2:$E$5)),Membros!K$2,IF(AND(A722&gt;=Membros!J$2,A722&lt;=MAX(Membros!$E$2:$E$5)),Membros!K$2,0))+IF(AND(Membros!$F$3="Sim",A722&lt;=MAX(Membros!$E$2:$E$5)),Membros!K$3,IF(AND(A722&gt;=Membros!J$3,A722&lt;=MAX(Membros!$E$2:$E$5)),Membros!K$3,0)))*IF(AND(COUNTIFS(Tabela3[Tipo],"Provedor",Tabela3[Simulação Seguro],"Sim")=2,A722&gt;=MAX(IF(Tabela3[Tipo]="Dependente",Tabela3[Expectativa de Vida (Data)]))),0,1)</f>
        <v>10000</v>
      </c>
      <c r="S722" s="18">
        <f t="shared" si="94"/>
        <v>10000</v>
      </c>
      <c r="U722" s="18">
        <f t="shared" ca="1" si="97"/>
        <v>53623150.131416015</v>
      </c>
      <c r="V722" s="18">
        <f>SUMIF(Imóveis!E:E,Dados!A:A,Imóveis!Z:Z)-SUMIF(Imóveis!E:E,Dados!A:A,Imóveis!Y:Y)</f>
        <v>0</v>
      </c>
      <c r="W722" s="18">
        <f>-SUMIF(Projetos!N:N,A722,Projetos!F:F)</f>
        <v>0</v>
      </c>
      <c r="X722" s="18">
        <f t="shared" si="91"/>
        <v>-27000</v>
      </c>
      <c r="Y722" s="26">
        <f ca="1">(U722*((Indicadores_Economicos!D$2+1)^(1/12)-1))</f>
        <v>175548.23983204155</v>
      </c>
      <c r="Z722" s="18">
        <f t="shared" ca="1" si="95"/>
        <v>53771698.371248059</v>
      </c>
      <c r="AA722" s="18">
        <f ca="1">Auxiliar_Projetos!E722</f>
        <v>4.1133529814464011E-9</v>
      </c>
      <c r="AB722" s="18">
        <f ca="1">Auxiliar_Projetos!K722</f>
        <v>3.1641176780356872E-9</v>
      </c>
      <c r="AC722" s="18">
        <f ca="1">IF(Z722-AA722-AB722&gt;Investimentos!$C$14,Investimentos!$C$14,IF(Z722-AA722-AB722&lt;Investimentos!$C$14,Z722-AA722-AB722,0))</f>
        <v>300000</v>
      </c>
      <c r="AD722" s="18">
        <f t="shared" ca="1" si="96"/>
        <v>53471698.371248052</v>
      </c>
      <c r="AE722" s="18"/>
    </row>
    <row r="723" spans="1:31" x14ac:dyDescent="0.2">
      <c r="A723" s="4">
        <v>67604</v>
      </c>
      <c r="B723" s="5" t="str">
        <f t="shared" si="92"/>
        <v>fevereiro</v>
      </c>
      <c r="C723" s="5" t="str">
        <f t="shared" si="90"/>
        <v>2085</v>
      </c>
      <c r="D723" s="5">
        <f>SUMIFS(Despesas!$F:$F,Despesas!$J:$J,"&lt;="&amp;$A723,Despesas!$L:$L,"&gt;="&amp;$A723,Despesas!$C:$C,D$1,Despesas!$M:$M,"Mensal")+SUMIFS(Despesas!$F:$F,Despesas!$J:$J,"&lt;="&amp;$A723,Despesas!$L:$L,"&gt;="&amp;$A723,Despesas!$C:$C,D$1,Despesas!$M:$M,$B723)</f>
        <v>23000</v>
      </c>
      <c r="E723" s="18">
        <f>SUMIFS(Despesas!$F:$F,Despesas!$J:$J,"&lt;="&amp;$A723,Despesas!$L:$L,"&gt;="&amp;$A723,Despesas!$C:$C,E$1,Despesas!$M:$M,"Mensal")+SUMIFS(Despesas!$F:$F,Despesas!$J:$J,"&lt;="&amp;$A723,Despesas!$L:$L,"&gt;="&amp;$A723,Despesas!$C:$C,E$1,Despesas!$M:$M,$B723)</f>
        <v>0</v>
      </c>
      <c r="F723" s="5">
        <f>SUMIFS(Despesas!$F:$F,Despesas!$J:$J,"&lt;="&amp;$A723,Despesas!$L:$L,"&gt;="&amp;$A723,Despesas!$C:$C,F$1,Despesas!$M:$M,"Mensal")+SUMIFS(Despesas!$F:$F,Despesas!$J:$J,"&lt;="&amp;$A723,Despesas!$L:$L,"&gt;="&amp;$A723,Despesas!$C:$C,F$1,Despesas!$M:$M,$B723)</f>
        <v>13000</v>
      </c>
      <c r="G723" s="5">
        <f>SUMIFS(Despesas!$F:$F,Despesas!$J:$J,"&lt;="&amp;$A723,Despesas!$L:$L,"&gt;="&amp;$A723,Despesas!$C:$C,G$1,Despesas!$M:$M,"Mensal")+SUMIFS(Despesas!$F:$F,Despesas!$J:$J,"&lt;="&amp;$A723,Despesas!$L:$L,"&gt;="&amp;$A723,Despesas!$C:$C,G$1,Despesas!$M:$M,$B723)</f>
        <v>0</v>
      </c>
      <c r="H723" s="18">
        <f>SUMIFS(Despesas!$F:$F,Despesas!$J:$J,"&lt;="&amp;$A723,Despesas!$L:$L,"&gt;="&amp;$A723,Despesas!$C:$C,H$1,Despesas!$M:$M,"Mensal")+SUMIFS(Despesas!$F:$F,Despesas!$J:$J,"&lt;="&amp;$A723,Despesas!$L:$L,"&gt;="&amp;$A723,Despesas!$C:$C,H$1,Despesas!$M:$M,$B723)</f>
        <v>2200</v>
      </c>
      <c r="I723" s="18">
        <f>IF(Imóveis!$F$2="PRICE",IF(AND(Dados!$A723&gt;=Imóveis!$Q$2,Dados!$A723&lt;=Imóveis!$T$2),Imóveis!$U$2,0),IF((IF(AND(Dados!$A723&gt;=Imóveis!$Q$2,Dados!$A723&lt;=Imóveis!$T$2),Imóveis!$S$2-(DATEDIF(Imóveis!$Q$2,Dados!$A723,"m")),0))=0,0,((Imóveis!$N$2/Imóveis!$S$2)+((Imóveis!$N$2-((Imóveis!$S$2-(IF(AND(Dados!$A723&gt;=Imóveis!$Q$2,Dados!$A723&lt;=Imóveis!$T$2),Imóveis!$S$2-(DATEDIF(Imóveis!$Q$2,Dados!$A723,"m")),)))*(Imóveis!$N$2/Imóveis!$S$2)))*Imóveis!$P$2))))*IF(AND(Imóveis!$E$2&gt;0,Dados!$A723&gt;Imóveis!$E$2),0,1)</f>
        <v>0</v>
      </c>
      <c r="J723" s="18">
        <f>IF(Imóveis!$F$3="PRICE",IF(AND(Dados!$A723&gt;=Imóveis!$Q$3,Dados!$A723&lt;=Imóveis!$T$3),Imóveis!$U$3,0),IF((IF(AND(Dados!$A723&gt;=Imóveis!$Q$3,Dados!$A723&lt;=Imóveis!$T$3),Imóveis!$S$3-(DATEDIF(Imóveis!$Q$3,Dados!$A723,"m")),0))=0,0,((Imóveis!$N$3/Imóveis!$S$3)+((Imóveis!$N$3-((Imóveis!$S$3-(IF(AND(Dados!$A723&gt;=Imóveis!$Q$3,Dados!$A723&lt;=Imóveis!$T$3),Imóveis!$S$3-(DATEDIF(Imóveis!$Q$3,Dados!$A723,"m")),)))*(Imóveis!$N$3/Imóveis!$S$3)))*Imóveis!$P$3))))*IF(AND(Imóveis!$E$3&gt;0,Dados!$A723&gt;Imóveis!$E$3),0,1)</f>
        <v>0</v>
      </c>
      <c r="K723" s="18">
        <f>IF(Imóveis!$F$4="PRICE",IF(AND(Dados!$A723&gt;=Imóveis!$Q$4,Dados!$A723&lt;=Imóveis!$T$4),Imóveis!$U$4,0),IF((IF(AND(Dados!$A723&gt;=Imóveis!$Q$4,Dados!$A723&lt;=Imóveis!$T$4),Imóveis!$S$4-(DATEDIF(Imóveis!$Q$4,Dados!$A723,"m")),0))=0,0,((Imóveis!$N$4/Imóveis!$S$4)+((Imóveis!$N$4-((Imóveis!$S$4-(IF(AND(Dados!$A723&gt;=Imóveis!$Q$4,Dados!$A723&lt;=Imóveis!$T$4),Imóveis!$S$4-(DATEDIF(Imóveis!$Q$4,Dados!$A723,"m")),)))*(Imóveis!$N$4/Imóveis!$S$4)))*Imóveis!$P$4))))*IF(AND(Imóveis!$E$4&gt;0,Dados!$A723&gt;Imóveis!$E$4),0,1)</f>
        <v>0</v>
      </c>
      <c r="L723" s="18">
        <f>IF(Imóveis!$F$5="PRICE",IF(AND(Dados!$A723&gt;=Imóveis!$Q$5,Dados!$A723&lt;=Imóveis!$T$5),Imóveis!$U$5,0),IF((IF(AND(Dados!$A723&gt;=Imóveis!$Q$5,Dados!$A723&lt;=Imóveis!$T$5),Imóveis!$S$5-(DATEDIF(Imóveis!$Q$5,Dados!$A723,"m")),0))=0,0,((Imóveis!$N$5/Imóveis!$S$5)+((Imóveis!$N$5-((Imóveis!$S$5-(IF(AND(Dados!$A723 &gt;=Imóveis!$Q$5,Dados!$A723&lt;=Imóveis!$T$5),Imóveis!$S$5-(DATEDIF(Imóveis!$Q$5,Dados!$A723,"m")),)))*(Imóveis!$N$5/Imóveis!$S$5)))*Imóveis!$P$5))))*IF(AND(Imóveis!$E$5&gt;0,Dados!$A723&gt;Imóveis!$E$5),0,1)*Imóveis!$I$5</f>
        <v>0</v>
      </c>
      <c r="M723" s="18">
        <f>IF(Imóveis!$F$6="PRICE",IF(AND(Dados!$A723&gt;=Imóveis!$Q$6,Dados!$A723&lt;=Imóveis!$T$6),Imóveis!$U$6,0),IF((IF(AND(Dados!$A723&gt;=Imóveis!$Q$6,Dados!$A723&lt;=Imóveis!$T$6),Imóveis!$S$6-(DATEDIF(Imóveis!$Q$6,Dados!$A723,"m")),0))=0,0,((Imóveis!$N$6/Imóveis!$S$6)+((Imóveis!$N$6-((Imóveis!$S$6-(IF(AND(Dados!$A723&gt;=Imóveis!$Q$6,Dados!$A723&lt;=Imóveis!$T$6),Imóveis!$S$6-(DATEDIF(Imóveis!$Q$6,Dados!$A723,"m")),)))*(Imóveis!$N$6/Imóveis!$S$6)))*Imóveis!$P$6))))*IF(AND(Imóveis!$E$6&gt;0,Dados!$A723&gt;Imóveis!$E$6),0,1)*Imóveis!$I$6</f>
        <v>0</v>
      </c>
      <c r="N723" s="18">
        <f t="shared" si="93"/>
        <v>38200</v>
      </c>
      <c r="O723" s="18">
        <f>SUMIFS(Receitas!$F:$F,Receitas!$J:$J,"&lt;="&amp;$A723,Receitas!$L:$L,"&gt;="&amp;$A723,Receitas!$C:$C,O$1,Receitas!$M:$M,"Mensal")+SUMIFS(Receitas!$F:$F,Receitas!$J:$J,"&lt;="&amp;$A723,Receitas!$L:$L,"&gt;="&amp;$A723,Receitas!$C:$C,O$1,Receitas!$M:$M,$B723)</f>
        <v>0</v>
      </c>
      <c r="P723" s="18">
        <f>SUMIFS(Receitas!$F:$F,Receitas!$J:$J,"&lt;="&amp;$A723,Receitas!$L:$L,"&gt;="&amp;$A723,Receitas!$C:$C,P$1,Receitas!$M:$M,"Mensal")+SUMIFS(Receitas!$F:$F,Receitas!$J:$J,"&lt;="&amp;$A723,Receitas!$L:$L,"&gt;="&amp;$A723,Receitas!$C:$C,P$1,Receitas!$M:$M,$B723)</f>
        <v>0</v>
      </c>
      <c r="Q723" s="18">
        <f>SUMIFS(Receitas!$F:$F,Receitas!$J:$J,"&lt;="&amp;$A723,Receitas!$L:$L,"&gt;="&amp;$A723,Receitas!$C:$C,Q$1,Receitas!$M:$M,"Mensal")+SUMIFS(Receitas!$F:$F,Receitas!$J:$J,"&lt;="&amp;$A723,Receitas!$L:$L,"&gt;="&amp;$A723,Receitas!$C:$C,Q$1,Receitas!$M:$M,$B723)</f>
        <v>0</v>
      </c>
      <c r="R723" s="18" cm="1">
        <f t="array" ref="R723">(IF(AND(Membros!$F$2="Sim",A723&lt;=MAX(Membros!$E$2:$E$5)),Membros!K$2,IF(AND(A723&gt;=Membros!J$2,A723&lt;=MAX(Membros!$E$2:$E$5)),Membros!K$2,0))+IF(AND(Membros!$F$3="Sim",A723&lt;=MAX(Membros!$E$2:$E$5)),Membros!K$3,IF(AND(A723&gt;=Membros!J$3,A723&lt;=MAX(Membros!$E$2:$E$5)),Membros!K$3,0)))*IF(AND(COUNTIFS(Tabela3[Tipo],"Provedor",Tabela3[Simulação Seguro],"Sim")=2,A723&gt;=MAX(IF(Tabela3[Tipo]="Dependente",Tabela3[Expectativa de Vida (Data)]))),0,1)</f>
        <v>10000</v>
      </c>
      <c r="S723" s="18">
        <f t="shared" si="94"/>
        <v>10000</v>
      </c>
      <c r="U723" s="18">
        <f t="shared" ca="1" si="97"/>
        <v>53771698.371248059</v>
      </c>
      <c r="V723" s="18">
        <f>SUMIF(Imóveis!E:E,Dados!A:A,Imóveis!Z:Z)-SUMIF(Imóveis!E:E,Dados!A:A,Imóveis!Y:Y)</f>
        <v>0</v>
      </c>
      <c r="W723" s="18">
        <f>-SUMIF(Projetos!N:N,A723,Projetos!F:F)</f>
        <v>0</v>
      </c>
      <c r="X723" s="18">
        <f t="shared" si="91"/>
        <v>-28200</v>
      </c>
      <c r="Y723" s="26">
        <f ca="1">(U723*((Indicadores_Economicos!D$2+1)^(1/12)-1))</f>
        <v>176034.54811435533</v>
      </c>
      <c r="Z723" s="18">
        <f t="shared" ca="1" si="95"/>
        <v>53919532.919362411</v>
      </c>
      <c r="AA723" s="18">
        <f ca="1">Auxiliar_Projetos!E723</f>
        <v>4.1268190287399889E-9</v>
      </c>
      <c r="AB723" s="18">
        <f ca="1">Auxiliar_Projetos!K723</f>
        <v>3.1744761759538315E-9</v>
      </c>
      <c r="AC723" s="18">
        <f ca="1">IF(Z723-AA723-AB723&gt;Investimentos!$C$14,Investimentos!$C$14,IF(Z723-AA723-AB723&lt;Investimentos!$C$14,Z723-AA723-AB723,0))</f>
        <v>300000</v>
      </c>
      <c r="AD723" s="18">
        <f t="shared" ca="1" si="96"/>
        <v>53619532.919362403</v>
      </c>
      <c r="AE723" s="18"/>
    </row>
    <row r="724" spans="1:31" x14ac:dyDescent="0.2">
      <c r="A724" s="4">
        <v>67632</v>
      </c>
      <c r="B724" s="5" t="str">
        <f t="shared" si="92"/>
        <v>março</v>
      </c>
      <c r="C724" s="5" t="str">
        <f t="shared" si="90"/>
        <v>2085</v>
      </c>
      <c r="D724" s="5">
        <f>SUMIFS(Despesas!$F:$F,Despesas!$J:$J,"&lt;="&amp;$A724,Despesas!$L:$L,"&gt;="&amp;$A724,Despesas!$C:$C,D$1,Despesas!$M:$M,"Mensal")+SUMIFS(Despesas!$F:$F,Despesas!$J:$J,"&lt;="&amp;$A724,Despesas!$L:$L,"&gt;="&amp;$A724,Despesas!$C:$C,D$1,Despesas!$M:$M,$B724)</f>
        <v>23000</v>
      </c>
      <c r="E724" s="18">
        <f>SUMIFS(Despesas!$F:$F,Despesas!$J:$J,"&lt;="&amp;$A724,Despesas!$L:$L,"&gt;="&amp;$A724,Despesas!$C:$C,E$1,Despesas!$M:$M,"Mensal")+SUMIFS(Despesas!$F:$F,Despesas!$J:$J,"&lt;="&amp;$A724,Despesas!$L:$L,"&gt;="&amp;$A724,Despesas!$C:$C,E$1,Despesas!$M:$M,$B724)</f>
        <v>0</v>
      </c>
      <c r="F724" s="5">
        <f>SUMIFS(Despesas!$F:$F,Despesas!$J:$J,"&lt;="&amp;$A724,Despesas!$L:$L,"&gt;="&amp;$A724,Despesas!$C:$C,F$1,Despesas!$M:$M,"Mensal")+SUMIFS(Despesas!$F:$F,Despesas!$J:$J,"&lt;="&amp;$A724,Despesas!$L:$L,"&gt;="&amp;$A724,Despesas!$C:$C,F$1,Despesas!$M:$M,$B724)</f>
        <v>13000</v>
      </c>
      <c r="G724" s="5">
        <f>SUMIFS(Despesas!$F:$F,Despesas!$J:$J,"&lt;="&amp;$A724,Despesas!$L:$L,"&gt;="&amp;$A724,Despesas!$C:$C,G$1,Despesas!$M:$M,"Mensal")+SUMIFS(Despesas!$F:$F,Despesas!$J:$J,"&lt;="&amp;$A724,Despesas!$L:$L,"&gt;="&amp;$A724,Despesas!$C:$C,G$1,Despesas!$M:$M,$B724)</f>
        <v>0</v>
      </c>
      <c r="H724" s="18">
        <f>SUMIFS(Despesas!$F:$F,Despesas!$J:$J,"&lt;="&amp;$A724,Despesas!$L:$L,"&gt;="&amp;$A724,Despesas!$C:$C,H$1,Despesas!$M:$M,"Mensal")+SUMIFS(Despesas!$F:$F,Despesas!$J:$J,"&lt;="&amp;$A724,Despesas!$L:$L,"&gt;="&amp;$A724,Despesas!$C:$C,H$1,Despesas!$M:$M,$B724)</f>
        <v>1000</v>
      </c>
      <c r="I724" s="18">
        <f>IF(Imóveis!$F$2="PRICE",IF(AND(Dados!$A724&gt;=Imóveis!$Q$2,Dados!$A724&lt;=Imóveis!$T$2),Imóveis!$U$2,0),IF((IF(AND(Dados!$A724&gt;=Imóveis!$Q$2,Dados!$A724&lt;=Imóveis!$T$2),Imóveis!$S$2-(DATEDIF(Imóveis!$Q$2,Dados!$A724,"m")),0))=0,0,((Imóveis!$N$2/Imóveis!$S$2)+((Imóveis!$N$2-((Imóveis!$S$2-(IF(AND(Dados!$A724&gt;=Imóveis!$Q$2,Dados!$A724&lt;=Imóveis!$T$2),Imóveis!$S$2-(DATEDIF(Imóveis!$Q$2,Dados!$A724,"m")),)))*(Imóveis!$N$2/Imóveis!$S$2)))*Imóveis!$P$2))))*IF(AND(Imóveis!$E$2&gt;0,Dados!$A724&gt;Imóveis!$E$2),0,1)</f>
        <v>0</v>
      </c>
      <c r="J724" s="18">
        <f>IF(Imóveis!$F$3="PRICE",IF(AND(Dados!$A724&gt;=Imóveis!$Q$3,Dados!$A724&lt;=Imóveis!$T$3),Imóveis!$U$3,0),IF((IF(AND(Dados!$A724&gt;=Imóveis!$Q$3,Dados!$A724&lt;=Imóveis!$T$3),Imóveis!$S$3-(DATEDIF(Imóveis!$Q$3,Dados!$A724,"m")),0))=0,0,((Imóveis!$N$3/Imóveis!$S$3)+((Imóveis!$N$3-((Imóveis!$S$3-(IF(AND(Dados!$A724&gt;=Imóveis!$Q$3,Dados!$A724&lt;=Imóveis!$T$3),Imóveis!$S$3-(DATEDIF(Imóveis!$Q$3,Dados!$A724,"m")),)))*(Imóveis!$N$3/Imóveis!$S$3)))*Imóveis!$P$3))))*IF(AND(Imóveis!$E$3&gt;0,Dados!$A724&gt;Imóveis!$E$3),0,1)</f>
        <v>0</v>
      </c>
      <c r="K724" s="18">
        <f>IF(Imóveis!$F$4="PRICE",IF(AND(Dados!$A724&gt;=Imóveis!$Q$4,Dados!$A724&lt;=Imóveis!$T$4),Imóveis!$U$4,0),IF((IF(AND(Dados!$A724&gt;=Imóveis!$Q$4,Dados!$A724&lt;=Imóveis!$T$4),Imóveis!$S$4-(DATEDIF(Imóveis!$Q$4,Dados!$A724,"m")),0))=0,0,((Imóveis!$N$4/Imóveis!$S$4)+((Imóveis!$N$4-((Imóveis!$S$4-(IF(AND(Dados!$A724&gt;=Imóveis!$Q$4,Dados!$A724&lt;=Imóveis!$T$4),Imóveis!$S$4-(DATEDIF(Imóveis!$Q$4,Dados!$A724,"m")),)))*(Imóveis!$N$4/Imóveis!$S$4)))*Imóveis!$P$4))))*IF(AND(Imóveis!$E$4&gt;0,Dados!$A724&gt;Imóveis!$E$4),0,1)</f>
        <v>0</v>
      </c>
      <c r="L724" s="18">
        <f>IF(Imóveis!$F$5="PRICE",IF(AND(Dados!$A724&gt;=Imóveis!$Q$5,Dados!$A724&lt;=Imóveis!$T$5),Imóveis!$U$5,0),IF((IF(AND(Dados!$A724&gt;=Imóveis!$Q$5,Dados!$A724&lt;=Imóveis!$T$5),Imóveis!$S$5-(DATEDIF(Imóveis!$Q$5,Dados!$A724,"m")),0))=0,0,((Imóveis!$N$5/Imóveis!$S$5)+((Imóveis!$N$5-((Imóveis!$S$5-(IF(AND(Dados!$A724 &gt;=Imóveis!$Q$5,Dados!$A724&lt;=Imóveis!$T$5),Imóveis!$S$5-(DATEDIF(Imóveis!$Q$5,Dados!$A724,"m")),)))*(Imóveis!$N$5/Imóveis!$S$5)))*Imóveis!$P$5))))*IF(AND(Imóveis!$E$5&gt;0,Dados!$A724&gt;Imóveis!$E$5),0,1)*Imóveis!$I$5</f>
        <v>0</v>
      </c>
      <c r="M724" s="18">
        <f>IF(Imóveis!$F$6="PRICE",IF(AND(Dados!$A724&gt;=Imóveis!$Q$6,Dados!$A724&lt;=Imóveis!$T$6),Imóveis!$U$6,0),IF((IF(AND(Dados!$A724&gt;=Imóveis!$Q$6,Dados!$A724&lt;=Imóveis!$T$6),Imóveis!$S$6-(DATEDIF(Imóveis!$Q$6,Dados!$A724,"m")),0))=0,0,((Imóveis!$N$6/Imóveis!$S$6)+((Imóveis!$N$6-((Imóveis!$S$6-(IF(AND(Dados!$A724&gt;=Imóveis!$Q$6,Dados!$A724&lt;=Imóveis!$T$6),Imóveis!$S$6-(DATEDIF(Imóveis!$Q$6,Dados!$A724,"m")),)))*(Imóveis!$N$6/Imóveis!$S$6)))*Imóveis!$P$6))))*IF(AND(Imóveis!$E$6&gt;0,Dados!$A724&gt;Imóveis!$E$6),0,1)*Imóveis!$I$6</f>
        <v>0</v>
      </c>
      <c r="N724" s="18">
        <f t="shared" si="93"/>
        <v>37000</v>
      </c>
      <c r="O724" s="18">
        <f>SUMIFS(Receitas!$F:$F,Receitas!$J:$J,"&lt;="&amp;$A724,Receitas!$L:$L,"&gt;="&amp;$A724,Receitas!$C:$C,O$1,Receitas!$M:$M,"Mensal")+SUMIFS(Receitas!$F:$F,Receitas!$J:$J,"&lt;="&amp;$A724,Receitas!$L:$L,"&gt;="&amp;$A724,Receitas!$C:$C,O$1,Receitas!$M:$M,$B724)</f>
        <v>0</v>
      </c>
      <c r="P724" s="18">
        <f>SUMIFS(Receitas!$F:$F,Receitas!$J:$J,"&lt;="&amp;$A724,Receitas!$L:$L,"&gt;="&amp;$A724,Receitas!$C:$C,P$1,Receitas!$M:$M,"Mensal")+SUMIFS(Receitas!$F:$F,Receitas!$J:$J,"&lt;="&amp;$A724,Receitas!$L:$L,"&gt;="&amp;$A724,Receitas!$C:$C,P$1,Receitas!$M:$M,$B724)</f>
        <v>0</v>
      </c>
      <c r="Q724" s="18">
        <f>SUMIFS(Receitas!$F:$F,Receitas!$J:$J,"&lt;="&amp;$A724,Receitas!$L:$L,"&gt;="&amp;$A724,Receitas!$C:$C,Q$1,Receitas!$M:$M,"Mensal")+SUMIFS(Receitas!$F:$F,Receitas!$J:$J,"&lt;="&amp;$A724,Receitas!$L:$L,"&gt;="&amp;$A724,Receitas!$C:$C,Q$1,Receitas!$M:$M,$B724)</f>
        <v>0</v>
      </c>
      <c r="R724" s="18" cm="1">
        <f t="array" ref="R724">(IF(AND(Membros!$F$2="Sim",A724&lt;=MAX(Membros!$E$2:$E$5)),Membros!K$2,IF(AND(A724&gt;=Membros!J$2,A724&lt;=MAX(Membros!$E$2:$E$5)),Membros!K$2,0))+IF(AND(Membros!$F$3="Sim",A724&lt;=MAX(Membros!$E$2:$E$5)),Membros!K$3,IF(AND(A724&gt;=Membros!J$3,A724&lt;=MAX(Membros!$E$2:$E$5)),Membros!K$3,0)))*IF(AND(COUNTIFS(Tabela3[Tipo],"Provedor",Tabela3[Simulação Seguro],"Sim")=2,A724&gt;=MAX(IF(Tabela3[Tipo]="Dependente",Tabela3[Expectativa de Vida (Data)]))),0,1)</f>
        <v>10000</v>
      </c>
      <c r="S724" s="18">
        <f t="shared" si="94"/>
        <v>10000</v>
      </c>
      <c r="U724" s="18">
        <f t="shared" ca="1" si="97"/>
        <v>53919532.919362411</v>
      </c>
      <c r="V724" s="18">
        <f>SUMIF(Imóveis!E:E,Dados!A:A,Imóveis!Z:Z)-SUMIF(Imóveis!E:E,Dados!A:A,Imóveis!Y:Y)</f>
        <v>0</v>
      </c>
      <c r="W724" s="18">
        <f>-SUMIF(Projetos!N:N,A724,Projetos!F:F)</f>
        <v>0</v>
      </c>
      <c r="X724" s="18">
        <f t="shared" si="91"/>
        <v>-27000</v>
      </c>
      <c r="Y724" s="26">
        <f ca="1">(U724*((Indicadores_Economicos!D$2+1)^(1/12)-1))</f>
        <v>176518.5199557007</v>
      </c>
      <c r="Z724" s="18">
        <f t="shared" ca="1" si="95"/>
        <v>54069051.439318113</v>
      </c>
      <c r="AA724" s="18">
        <f ca="1">Auxiliar_Projetos!E724</f>
        <v>4.1403291603683103E-9</v>
      </c>
      <c r="AB724" s="18">
        <f ca="1">Auxiliar_Projetos!K724</f>
        <v>3.1848685848986941E-9</v>
      </c>
      <c r="AC724" s="18">
        <f ca="1">IF(Z724-AA724-AB724&gt;Investimentos!$C$14,Investimentos!$C$14,IF(Z724-AA724-AB724&lt;Investimentos!$C$14,Z724-AA724-AB724,0))</f>
        <v>300000</v>
      </c>
      <c r="AD724" s="18">
        <f t="shared" ca="1" si="96"/>
        <v>53769051.439318106</v>
      </c>
      <c r="AE724" s="18"/>
    </row>
    <row r="725" spans="1:31" x14ac:dyDescent="0.2">
      <c r="A725" s="4">
        <v>67663</v>
      </c>
      <c r="B725" s="5" t="str">
        <f t="shared" si="92"/>
        <v>abril</v>
      </c>
      <c r="C725" s="5" t="str">
        <f t="shared" si="90"/>
        <v>2085</v>
      </c>
      <c r="D725" s="5">
        <f>SUMIFS(Despesas!$F:$F,Despesas!$J:$J,"&lt;="&amp;$A725,Despesas!$L:$L,"&gt;="&amp;$A725,Despesas!$C:$C,D$1,Despesas!$M:$M,"Mensal")+SUMIFS(Despesas!$F:$F,Despesas!$J:$J,"&lt;="&amp;$A725,Despesas!$L:$L,"&gt;="&amp;$A725,Despesas!$C:$C,D$1,Despesas!$M:$M,$B725)</f>
        <v>23000</v>
      </c>
      <c r="E725" s="18">
        <f>SUMIFS(Despesas!$F:$F,Despesas!$J:$J,"&lt;="&amp;$A725,Despesas!$L:$L,"&gt;="&amp;$A725,Despesas!$C:$C,E$1,Despesas!$M:$M,"Mensal")+SUMIFS(Despesas!$F:$F,Despesas!$J:$J,"&lt;="&amp;$A725,Despesas!$L:$L,"&gt;="&amp;$A725,Despesas!$C:$C,E$1,Despesas!$M:$M,$B725)</f>
        <v>0</v>
      </c>
      <c r="F725" s="5">
        <f>SUMIFS(Despesas!$F:$F,Despesas!$J:$J,"&lt;="&amp;$A725,Despesas!$L:$L,"&gt;="&amp;$A725,Despesas!$C:$C,F$1,Despesas!$M:$M,"Mensal")+SUMIFS(Despesas!$F:$F,Despesas!$J:$J,"&lt;="&amp;$A725,Despesas!$L:$L,"&gt;="&amp;$A725,Despesas!$C:$C,F$1,Despesas!$M:$M,$B725)</f>
        <v>13000</v>
      </c>
      <c r="G725" s="5">
        <f>SUMIFS(Despesas!$F:$F,Despesas!$J:$J,"&lt;="&amp;$A725,Despesas!$L:$L,"&gt;="&amp;$A725,Despesas!$C:$C,G$1,Despesas!$M:$M,"Mensal")+SUMIFS(Despesas!$F:$F,Despesas!$J:$J,"&lt;="&amp;$A725,Despesas!$L:$L,"&gt;="&amp;$A725,Despesas!$C:$C,G$1,Despesas!$M:$M,$B725)</f>
        <v>0</v>
      </c>
      <c r="H725" s="18">
        <f>SUMIFS(Despesas!$F:$F,Despesas!$J:$J,"&lt;="&amp;$A725,Despesas!$L:$L,"&gt;="&amp;$A725,Despesas!$C:$C,H$1,Despesas!$M:$M,"Mensal")+SUMIFS(Despesas!$F:$F,Despesas!$J:$J,"&lt;="&amp;$A725,Despesas!$L:$L,"&gt;="&amp;$A725,Despesas!$C:$C,H$1,Despesas!$M:$M,$B725)</f>
        <v>1000</v>
      </c>
      <c r="I725" s="18">
        <f>IF(Imóveis!$F$2="PRICE",IF(AND(Dados!$A725&gt;=Imóveis!$Q$2,Dados!$A725&lt;=Imóveis!$T$2),Imóveis!$U$2,0),IF((IF(AND(Dados!$A725&gt;=Imóveis!$Q$2,Dados!$A725&lt;=Imóveis!$T$2),Imóveis!$S$2-(DATEDIF(Imóveis!$Q$2,Dados!$A725,"m")),0))=0,0,((Imóveis!$N$2/Imóveis!$S$2)+((Imóveis!$N$2-((Imóveis!$S$2-(IF(AND(Dados!$A725&gt;=Imóveis!$Q$2,Dados!$A725&lt;=Imóveis!$T$2),Imóveis!$S$2-(DATEDIF(Imóveis!$Q$2,Dados!$A725,"m")),)))*(Imóveis!$N$2/Imóveis!$S$2)))*Imóveis!$P$2))))*IF(AND(Imóveis!$E$2&gt;0,Dados!$A725&gt;Imóveis!$E$2),0,1)</f>
        <v>0</v>
      </c>
      <c r="J725" s="18">
        <f>IF(Imóveis!$F$3="PRICE",IF(AND(Dados!$A725&gt;=Imóveis!$Q$3,Dados!$A725&lt;=Imóveis!$T$3),Imóveis!$U$3,0),IF((IF(AND(Dados!$A725&gt;=Imóveis!$Q$3,Dados!$A725&lt;=Imóveis!$T$3),Imóveis!$S$3-(DATEDIF(Imóveis!$Q$3,Dados!$A725,"m")),0))=0,0,((Imóveis!$N$3/Imóveis!$S$3)+((Imóveis!$N$3-((Imóveis!$S$3-(IF(AND(Dados!$A725&gt;=Imóveis!$Q$3,Dados!$A725&lt;=Imóveis!$T$3),Imóveis!$S$3-(DATEDIF(Imóveis!$Q$3,Dados!$A725,"m")),)))*(Imóveis!$N$3/Imóveis!$S$3)))*Imóveis!$P$3))))*IF(AND(Imóveis!$E$3&gt;0,Dados!$A725&gt;Imóveis!$E$3),0,1)</f>
        <v>0</v>
      </c>
      <c r="K725" s="18">
        <f>IF(Imóveis!$F$4="PRICE",IF(AND(Dados!$A725&gt;=Imóveis!$Q$4,Dados!$A725&lt;=Imóveis!$T$4),Imóveis!$U$4,0),IF((IF(AND(Dados!$A725&gt;=Imóveis!$Q$4,Dados!$A725&lt;=Imóveis!$T$4),Imóveis!$S$4-(DATEDIF(Imóveis!$Q$4,Dados!$A725,"m")),0))=0,0,((Imóveis!$N$4/Imóveis!$S$4)+((Imóveis!$N$4-((Imóveis!$S$4-(IF(AND(Dados!$A725&gt;=Imóveis!$Q$4,Dados!$A725&lt;=Imóveis!$T$4),Imóveis!$S$4-(DATEDIF(Imóveis!$Q$4,Dados!$A725,"m")),)))*(Imóveis!$N$4/Imóveis!$S$4)))*Imóveis!$P$4))))*IF(AND(Imóveis!$E$4&gt;0,Dados!$A725&gt;Imóveis!$E$4),0,1)</f>
        <v>0</v>
      </c>
      <c r="L725" s="18">
        <f>IF(Imóveis!$F$5="PRICE",IF(AND(Dados!$A725&gt;=Imóveis!$Q$5,Dados!$A725&lt;=Imóveis!$T$5),Imóveis!$U$5,0),IF((IF(AND(Dados!$A725&gt;=Imóveis!$Q$5,Dados!$A725&lt;=Imóveis!$T$5),Imóveis!$S$5-(DATEDIF(Imóveis!$Q$5,Dados!$A725,"m")),0))=0,0,((Imóveis!$N$5/Imóveis!$S$5)+((Imóveis!$N$5-((Imóveis!$S$5-(IF(AND(Dados!$A725 &gt;=Imóveis!$Q$5,Dados!$A725&lt;=Imóveis!$T$5),Imóveis!$S$5-(DATEDIF(Imóveis!$Q$5,Dados!$A725,"m")),)))*(Imóveis!$N$5/Imóveis!$S$5)))*Imóveis!$P$5))))*IF(AND(Imóveis!$E$5&gt;0,Dados!$A725&gt;Imóveis!$E$5),0,1)*Imóveis!$I$5</f>
        <v>0</v>
      </c>
      <c r="M725" s="18">
        <f>IF(Imóveis!$F$6="PRICE",IF(AND(Dados!$A725&gt;=Imóveis!$Q$6,Dados!$A725&lt;=Imóveis!$T$6),Imóveis!$U$6,0),IF((IF(AND(Dados!$A725&gt;=Imóveis!$Q$6,Dados!$A725&lt;=Imóveis!$T$6),Imóveis!$S$6-(DATEDIF(Imóveis!$Q$6,Dados!$A725,"m")),0))=0,0,((Imóveis!$N$6/Imóveis!$S$6)+((Imóveis!$N$6-((Imóveis!$S$6-(IF(AND(Dados!$A725&gt;=Imóveis!$Q$6,Dados!$A725&lt;=Imóveis!$T$6),Imóveis!$S$6-(DATEDIF(Imóveis!$Q$6,Dados!$A725,"m")),)))*(Imóveis!$N$6/Imóveis!$S$6)))*Imóveis!$P$6))))*IF(AND(Imóveis!$E$6&gt;0,Dados!$A725&gt;Imóveis!$E$6),0,1)*Imóveis!$I$6</f>
        <v>0</v>
      </c>
      <c r="N725" s="18">
        <f t="shared" si="93"/>
        <v>37000</v>
      </c>
      <c r="O725" s="18">
        <f>SUMIFS(Receitas!$F:$F,Receitas!$J:$J,"&lt;="&amp;$A725,Receitas!$L:$L,"&gt;="&amp;$A725,Receitas!$C:$C,O$1,Receitas!$M:$M,"Mensal")+SUMIFS(Receitas!$F:$F,Receitas!$J:$J,"&lt;="&amp;$A725,Receitas!$L:$L,"&gt;="&amp;$A725,Receitas!$C:$C,O$1,Receitas!$M:$M,$B725)</f>
        <v>0</v>
      </c>
      <c r="P725" s="18">
        <f>SUMIFS(Receitas!$F:$F,Receitas!$J:$J,"&lt;="&amp;$A725,Receitas!$L:$L,"&gt;="&amp;$A725,Receitas!$C:$C,P$1,Receitas!$M:$M,"Mensal")+SUMIFS(Receitas!$F:$F,Receitas!$J:$J,"&lt;="&amp;$A725,Receitas!$L:$L,"&gt;="&amp;$A725,Receitas!$C:$C,P$1,Receitas!$M:$M,$B725)</f>
        <v>0</v>
      </c>
      <c r="Q725" s="18">
        <f>SUMIFS(Receitas!$F:$F,Receitas!$J:$J,"&lt;="&amp;$A725,Receitas!$L:$L,"&gt;="&amp;$A725,Receitas!$C:$C,Q$1,Receitas!$M:$M,"Mensal")+SUMIFS(Receitas!$F:$F,Receitas!$J:$J,"&lt;="&amp;$A725,Receitas!$L:$L,"&gt;="&amp;$A725,Receitas!$C:$C,Q$1,Receitas!$M:$M,$B725)</f>
        <v>0</v>
      </c>
      <c r="R725" s="18" cm="1">
        <f t="array" ref="R725">(IF(AND(Membros!$F$2="Sim",A725&lt;=MAX(Membros!$E$2:$E$5)),Membros!K$2,IF(AND(A725&gt;=Membros!J$2,A725&lt;=MAX(Membros!$E$2:$E$5)),Membros!K$2,0))+IF(AND(Membros!$F$3="Sim",A725&lt;=MAX(Membros!$E$2:$E$5)),Membros!K$3,IF(AND(A725&gt;=Membros!J$3,A725&lt;=MAX(Membros!$E$2:$E$5)),Membros!K$3,0)))*IF(AND(COUNTIFS(Tabela3[Tipo],"Provedor",Tabela3[Simulação Seguro],"Sim")=2,A725&gt;=MAX(IF(Tabela3[Tipo]="Dependente",Tabela3[Expectativa de Vida (Data)]))),0,1)</f>
        <v>10000</v>
      </c>
      <c r="S725" s="18">
        <f t="shared" si="94"/>
        <v>10000</v>
      </c>
      <c r="U725" s="18">
        <f t="shared" ca="1" si="97"/>
        <v>54069051.439318113</v>
      </c>
      <c r="V725" s="18">
        <f>SUMIF(Imóveis!E:E,Dados!A:A,Imóveis!Z:Z)-SUMIF(Imóveis!E:E,Dados!A:A,Imóveis!Y:Y)</f>
        <v>0</v>
      </c>
      <c r="W725" s="18">
        <f>-SUMIF(Projetos!N:N,A725,Projetos!F:F)</f>
        <v>0</v>
      </c>
      <c r="X725" s="18">
        <f t="shared" si="91"/>
        <v>-27000</v>
      </c>
      <c r="Y725" s="26">
        <f ca="1">(U725*((Indicadores_Economicos!D$2+1)^(1/12)-1))</f>
        <v>177008.00468265518</v>
      </c>
      <c r="Z725" s="18">
        <f t="shared" ca="1" si="95"/>
        <v>54219059.444000766</v>
      </c>
      <c r="AA725" s="18">
        <f ca="1">Auxiliar_Projetos!E725</f>
        <v>4.1538835206520062E-9</v>
      </c>
      <c r="AB725" s="18">
        <f ca="1">Auxiliar_Projetos!K725</f>
        <v>3.1952950158861525E-9</v>
      </c>
      <c r="AC725" s="18">
        <f ca="1">IF(Z725-AA725-AB725&gt;Investimentos!$C$14,Investimentos!$C$14,IF(Z725-AA725-AB725&lt;Investimentos!$C$14,Z725-AA725-AB725,0))</f>
        <v>300000</v>
      </c>
      <c r="AD725" s="18">
        <f t="shared" ca="1" si="96"/>
        <v>53919059.444000758</v>
      </c>
      <c r="AE725" s="18"/>
    </row>
    <row r="726" spans="1:31" x14ac:dyDescent="0.2">
      <c r="A726" s="4">
        <v>67693</v>
      </c>
      <c r="B726" s="5" t="str">
        <f t="shared" si="92"/>
        <v>maio</v>
      </c>
      <c r="C726" s="5" t="str">
        <f t="shared" si="90"/>
        <v>2085</v>
      </c>
      <c r="D726" s="5">
        <f>SUMIFS(Despesas!$F:$F,Despesas!$J:$J,"&lt;="&amp;$A726,Despesas!$L:$L,"&gt;="&amp;$A726,Despesas!$C:$C,D$1,Despesas!$M:$M,"Mensal")+SUMIFS(Despesas!$F:$F,Despesas!$J:$J,"&lt;="&amp;$A726,Despesas!$L:$L,"&gt;="&amp;$A726,Despesas!$C:$C,D$1,Despesas!$M:$M,$B726)</f>
        <v>23000</v>
      </c>
      <c r="E726" s="18">
        <f>SUMIFS(Despesas!$F:$F,Despesas!$J:$J,"&lt;="&amp;$A726,Despesas!$L:$L,"&gt;="&amp;$A726,Despesas!$C:$C,E$1,Despesas!$M:$M,"Mensal")+SUMIFS(Despesas!$F:$F,Despesas!$J:$J,"&lt;="&amp;$A726,Despesas!$L:$L,"&gt;="&amp;$A726,Despesas!$C:$C,E$1,Despesas!$M:$M,$B726)</f>
        <v>0</v>
      </c>
      <c r="F726" s="5">
        <f>SUMIFS(Despesas!$F:$F,Despesas!$J:$J,"&lt;="&amp;$A726,Despesas!$L:$L,"&gt;="&amp;$A726,Despesas!$C:$C,F$1,Despesas!$M:$M,"Mensal")+SUMIFS(Despesas!$F:$F,Despesas!$J:$J,"&lt;="&amp;$A726,Despesas!$L:$L,"&gt;="&amp;$A726,Despesas!$C:$C,F$1,Despesas!$M:$M,$B726)</f>
        <v>13000</v>
      </c>
      <c r="G726" s="5">
        <f>SUMIFS(Despesas!$F:$F,Despesas!$J:$J,"&lt;="&amp;$A726,Despesas!$L:$L,"&gt;="&amp;$A726,Despesas!$C:$C,G$1,Despesas!$M:$M,"Mensal")+SUMIFS(Despesas!$F:$F,Despesas!$J:$J,"&lt;="&amp;$A726,Despesas!$L:$L,"&gt;="&amp;$A726,Despesas!$C:$C,G$1,Despesas!$M:$M,$B726)</f>
        <v>0</v>
      </c>
      <c r="H726" s="18">
        <f>SUMIFS(Despesas!$F:$F,Despesas!$J:$J,"&lt;="&amp;$A726,Despesas!$L:$L,"&gt;="&amp;$A726,Despesas!$C:$C,H$1,Despesas!$M:$M,"Mensal")+SUMIFS(Despesas!$F:$F,Despesas!$J:$J,"&lt;="&amp;$A726,Despesas!$L:$L,"&gt;="&amp;$A726,Despesas!$C:$C,H$1,Despesas!$M:$M,$B726)</f>
        <v>1000</v>
      </c>
      <c r="I726" s="18">
        <f>IF(Imóveis!$F$2="PRICE",IF(AND(Dados!$A726&gt;=Imóveis!$Q$2,Dados!$A726&lt;=Imóveis!$T$2),Imóveis!$U$2,0),IF((IF(AND(Dados!$A726&gt;=Imóveis!$Q$2,Dados!$A726&lt;=Imóveis!$T$2),Imóveis!$S$2-(DATEDIF(Imóveis!$Q$2,Dados!$A726,"m")),0))=0,0,((Imóveis!$N$2/Imóveis!$S$2)+((Imóveis!$N$2-((Imóveis!$S$2-(IF(AND(Dados!$A726&gt;=Imóveis!$Q$2,Dados!$A726&lt;=Imóveis!$T$2),Imóveis!$S$2-(DATEDIF(Imóveis!$Q$2,Dados!$A726,"m")),)))*(Imóveis!$N$2/Imóveis!$S$2)))*Imóveis!$P$2))))*IF(AND(Imóveis!$E$2&gt;0,Dados!$A726&gt;Imóveis!$E$2),0,1)</f>
        <v>0</v>
      </c>
      <c r="J726" s="18">
        <f>IF(Imóveis!$F$3="PRICE",IF(AND(Dados!$A726&gt;=Imóveis!$Q$3,Dados!$A726&lt;=Imóveis!$T$3),Imóveis!$U$3,0),IF((IF(AND(Dados!$A726&gt;=Imóveis!$Q$3,Dados!$A726&lt;=Imóveis!$T$3),Imóveis!$S$3-(DATEDIF(Imóveis!$Q$3,Dados!$A726,"m")),0))=0,0,((Imóveis!$N$3/Imóveis!$S$3)+((Imóveis!$N$3-((Imóveis!$S$3-(IF(AND(Dados!$A726&gt;=Imóveis!$Q$3,Dados!$A726&lt;=Imóveis!$T$3),Imóveis!$S$3-(DATEDIF(Imóveis!$Q$3,Dados!$A726,"m")),)))*(Imóveis!$N$3/Imóveis!$S$3)))*Imóveis!$P$3))))*IF(AND(Imóveis!$E$3&gt;0,Dados!$A726&gt;Imóveis!$E$3),0,1)</f>
        <v>0</v>
      </c>
      <c r="K726" s="18">
        <f>IF(Imóveis!$F$4="PRICE",IF(AND(Dados!$A726&gt;=Imóveis!$Q$4,Dados!$A726&lt;=Imóveis!$T$4),Imóveis!$U$4,0),IF((IF(AND(Dados!$A726&gt;=Imóveis!$Q$4,Dados!$A726&lt;=Imóveis!$T$4),Imóveis!$S$4-(DATEDIF(Imóveis!$Q$4,Dados!$A726,"m")),0))=0,0,((Imóveis!$N$4/Imóveis!$S$4)+((Imóveis!$N$4-((Imóveis!$S$4-(IF(AND(Dados!$A726&gt;=Imóveis!$Q$4,Dados!$A726&lt;=Imóveis!$T$4),Imóveis!$S$4-(DATEDIF(Imóveis!$Q$4,Dados!$A726,"m")),)))*(Imóveis!$N$4/Imóveis!$S$4)))*Imóveis!$P$4))))*IF(AND(Imóveis!$E$4&gt;0,Dados!$A726&gt;Imóveis!$E$4),0,1)</f>
        <v>0</v>
      </c>
      <c r="L726" s="18">
        <f>IF(Imóveis!$F$5="PRICE",IF(AND(Dados!$A726&gt;=Imóveis!$Q$5,Dados!$A726&lt;=Imóveis!$T$5),Imóveis!$U$5,0),IF((IF(AND(Dados!$A726&gt;=Imóveis!$Q$5,Dados!$A726&lt;=Imóveis!$T$5),Imóveis!$S$5-(DATEDIF(Imóveis!$Q$5,Dados!$A726,"m")),0))=0,0,((Imóveis!$N$5/Imóveis!$S$5)+((Imóveis!$N$5-((Imóveis!$S$5-(IF(AND(Dados!$A726 &gt;=Imóveis!$Q$5,Dados!$A726&lt;=Imóveis!$T$5),Imóveis!$S$5-(DATEDIF(Imóveis!$Q$5,Dados!$A726,"m")),)))*(Imóveis!$N$5/Imóveis!$S$5)))*Imóveis!$P$5))))*IF(AND(Imóveis!$E$5&gt;0,Dados!$A726&gt;Imóveis!$E$5),0,1)*Imóveis!$I$5</f>
        <v>0</v>
      </c>
      <c r="M726" s="18">
        <f>IF(Imóveis!$F$6="PRICE",IF(AND(Dados!$A726&gt;=Imóveis!$Q$6,Dados!$A726&lt;=Imóveis!$T$6),Imóveis!$U$6,0),IF((IF(AND(Dados!$A726&gt;=Imóveis!$Q$6,Dados!$A726&lt;=Imóveis!$T$6),Imóveis!$S$6-(DATEDIF(Imóveis!$Q$6,Dados!$A726,"m")),0))=0,0,((Imóveis!$N$6/Imóveis!$S$6)+((Imóveis!$N$6-((Imóveis!$S$6-(IF(AND(Dados!$A726&gt;=Imóveis!$Q$6,Dados!$A726&lt;=Imóveis!$T$6),Imóveis!$S$6-(DATEDIF(Imóveis!$Q$6,Dados!$A726,"m")),)))*(Imóveis!$N$6/Imóveis!$S$6)))*Imóveis!$P$6))))*IF(AND(Imóveis!$E$6&gt;0,Dados!$A726&gt;Imóveis!$E$6),0,1)*Imóveis!$I$6</f>
        <v>0</v>
      </c>
      <c r="N726" s="18">
        <f t="shared" si="93"/>
        <v>37000</v>
      </c>
      <c r="O726" s="18">
        <f>SUMIFS(Receitas!$F:$F,Receitas!$J:$J,"&lt;="&amp;$A726,Receitas!$L:$L,"&gt;="&amp;$A726,Receitas!$C:$C,O$1,Receitas!$M:$M,"Mensal")+SUMIFS(Receitas!$F:$F,Receitas!$J:$J,"&lt;="&amp;$A726,Receitas!$L:$L,"&gt;="&amp;$A726,Receitas!$C:$C,O$1,Receitas!$M:$M,$B726)</f>
        <v>0</v>
      </c>
      <c r="P726" s="18">
        <f>SUMIFS(Receitas!$F:$F,Receitas!$J:$J,"&lt;="&amp;$A726,Receitas!$L:$L,"&gt;="&amp;$A726,Receitas!$C:$C,P$1,Receitas!$M:$M,"Mensal")+SUMIFS(Receitas!$F:$F,Receitas!$J:$J,"&lt;="&amp;$A726,Receitas!$L:$L,"&gt;="&amp;$A726,Receitas!$C:$C,P$1,Receitas!$M:$M,$B726)</f>
        <v>0</v>
      </c>
      <c r="Q726" s="18">
        <f>SUMIFS(Receitas!$F:$F,Receitas!$J:$J,"&lt;="&amp;$A726,Receitas!$L:$L,"&gt;="&amp;$A726,Receitas!$C:$C,Q$1,Receitas!$M:$M,"Mensal")+SUMIFS(Receitas!$F:$F,Receitas!$J:$J,"&lt;="&amp;$A726,Receitas!$L:$L,"&gt;="&amp;$A726,Receitas!$C:$C,Q$1,Receitas!$M:$M,$B726)</f>
        <v>0</v>
      </c>
      <c r="R726" s="18" cm="1">
        <f t="array" ref="R726">(IF(AND(Membros!$F$2="Sim",A726&lt;=MAX(Membros!$E$2:$E$5)),Membros!K$2,IF(AND(A726&gt;=Membros!J$2,A726&lt;=MAX(Membros!$E$2:$E$5)),Membros!K$2,0))+IF(AND(Membros!$F$3="Sim",A726&lt;=MAX(Membros!$E$2:$E$5)),Membros!K$3,IF(AND(A726&gt;=Membros!J$3,A726&lt;=MAX(Membros!$E$2:$E$5)),Membros!K$3,0)))*IF(AND(COUNTIFS(Tabela3[Tipo],"Provedor",Tabela3[Simulação Seguro],"Sim")=2,A726&gt;=MAX(IF(Tabela3[Tipo]="Dependente",Tabela3[Expectativa de Vida (Data)]))),0,1)</f>
        <v>10000</v>
      </c>
      <c r="S726" s="18">
        <f t="shared" si="94"/>
        <v>10000</v>
      </c>
      <c r="U726" s="18">
        <f t="shared" ca="1" si="97"/>
        <v>54219059.444000766</v>
      </c>
      <c r="V726" s="18">
        <f>SUMIF(Imóveis!E:E,Dados!A:A,Imóveis!Z:Z)-SUMIF(Imóveis!E:E,Dados!A:A,Imóveis!Y:Y)</f>
        <v>0</v>
      </c>
      <c r="W726" s="18">
        <f>-SUMIF(Projetos!N:N,A726,Projetos!F:F)</f>
        <v>0</v>
      </c>
      <c r="X726" s="18">
        <f t="shared" si="91"/>
        <v>-27000</v>
      </c>
      <c r="Y726" s="26">
        <f ca="1">(U726*((Indicadores_Economicos!D$2+1)^(1/12)-1))</f>
        <v>177499.09185523307</v>
      </c>
      <c r="Z726" s="18">
        <f t="shared" ca="1" si="95"/>
        <v>54369558.535856001</v>
      </c>
      <c r="AA726" s="18">
        <f ca="1">Auxiliar_Projetos!E726</f>
        <v>4.1674822543841855E-9</v>
      </c>
      <c r="AB726" s="18">
        <f ca="1">Auxiliar_Projetos!K726</f>
        <v>3.2057555802955211E-9</v>
      </c>
      <c r="AC726" s="18">
        <f ca="1">IF(Z726-AA726-AB726&gt;Investimentos!$C$14,Investimentos!$C$14,IF(Z726-AA726-AB726&lt;Investimentos!$C$14,Z726-AA726-AB726,0))</f>
        <v>300000</v>
      </c>
      <c r="AD726" s="18">
        <f t="shared" ca="1" si="96"/>
        <v>54069558.535855994</v>
      </c>
      <c r="AE726" s="18"/>
    </row>
    <row r="727" spans="1:31" x14ac:dyDescent="0.2">
      <c r="A727" s="4">
        <v>67724</v>
      </c>
      <c r="B727" s="5" t="str">
        <f t="shared" si="92"/>
        <v>junho</v>
      </c>
      <c r="C727" s="5" t="str">
        <f t="shared" si="90"/>
        <v>2085</v>
      </c>
      <c r="D727" s="5">
        <f>SUMIFS(Despesas!$F:$F,Despesas!$J:$J,"&lt;="&amp;$A727,Despesas!$L:$L,"&gt;="&amp;$A727,Despesas!$C:$C,D$1,Despesas!$M:$M,"Mensal")+SUMIFS(Despesas!$F:$F,Despesas!$J:$J,"&lt;="&amp;$A727,Despesas!$L:$L,"&gt;="&amp;$A727,Despesas!$C:$C,D$1,Despesas!$M:$M,$B727)</f>
        <v>23000</v>
      </c>
      <c r="E727" s="18">
        <f>SUMIFS(Despesas!$F:$F,Despesas!$J:$J,"&lt;="&amp;$A727,Despesas!$L:$L,"&gt;="&amp;$A727,Despesas!$C:$C,E$1,Despesas!$M:$M,"Mensal")+SUMIFS(Despesas!$F:$F,Despesas!$J:$J,"&lt;="&amp;$A727,Despesas!$L:$L,"&gt;="&amp;$A727,Despesas!$C:$C,E$1,Despesas!$M:$M,$B727)</f>
        <v>0</v>
      </c>
      <c r="F727" s="5">
        <f>SUMIFS(Despesas!$F:$F,Despesas!$J:$J,"&lt;="&amp;$A727,Despesas!$L:$L,"&gt;="&amp;$A727,Despesas!$C:$C,F$1,Despesas!$M:$M,"Mensal")+SUMIFS(Despesas!$F:$F,Despesas!$J:$J,"&lt;="&amp;$A727,Despesas!$L:$L,"&gt;="&amp;$A727,Despesas!$C:$C,F$1,Despesas!$M:$M,$B727)</f>
        <v>13000</v>
      </c>
      <c r="G727" s="5">
        <f>SUMIFS(Despesas!$F:$F,Despesas!$J:$J,"&lt;="&amp;$A727,Despesas!$L:$L,"&gt;="&amp;$A727,Despesas!$C:$C,G$1,Despesas!$M:$M,"Mensal")+SUMIFS(Despesas!$F:$F,Despesas!$J:$J,"&lt;="&amp;$A727,Despesas!$L:$L,"&gt;="&amp;$A727,Despesas!$C:$C,G$1,Despesas!$M:$M,$B727)</f>
        <v>0</v>
      </c>
      <c r="H727" s="18">
        <f>SUMIFS(Despesas!$F:$F,Despesas!$J:$J,"&lt;="&amp;$A727,Despesas!$L:$L,"&gt;="&amp;$A727,Despesas!$C:$C,H$1,Despesas!$M:$M,"Mensal")+SUMIFS(Despesas!$F:$F,Despesas!$J:$J,"&lt;="&amp;$A727,Despesas!$L:$L,"&gt;="&amp;$A727,Despesas!$C:$C,H$1,Despesas!$M:$M,$B727)</f>
        <v>1000</v>
      </c>
      <c r="I727" s="18">
        <f>IF(Imóveis!$F$2="PRICE",IF(AND(Dados!$A727&gt;=Imóveis!$Q$2,Dados!$A727&lt;=Imóveis!$T$2),Imóveis!$U$2,0),IF((IF(AND(Dados!$A727&gt;=Imóveis!$Q$2,Dados!$A727&lt;=Imóveis!$T$2),Imóveis!$S$2-(DATEDIF(Imóveis!$Q$2,Dados!$A727,"m")),0))=0,0,((Imóveis!$N$2/Imóveis!$S$2)+((Imóveis!$N$2-((Imóveis!$S$2-(IF(AND(Dados!$A727&gt;=Imóveis!$Q$2,Dados!$A727&lt;=Imóveis!$T$2),Imóveis!$S$2-(DATEDIF(Imóveis!$Q$2,Dados!$A727,"m")),)))*(Imóveis!$N$2/Imóveis!$S$2)))*Imóveis!$P$2))))*IF(AND(Imóveis!$E$2&gt;0,Dados!$A727&gt;Imóveis!$E$2),0,1)</f>
        <v>0</v>
      </c>
      <c r="J727" s="18">
        <f>IF(Imóveis!$F$3="PRICE",IF(AND(Dados!$A727&gt;=Imóveis!$Q$3,Dados!$A727&lt;=Imóveis!$T$3),Imóveis!$U$3,0),IF((IF(AND(Dados!$A727&gt;=Imóveis!$Q$3,Dados!$A727&lt;=Imóveis!$T$3),Imóveis!$S$3-(DATEDIF(Imóveis!$Q$3,Dados!$A727,"m")),0))=0,0,((Imóveis!$N$3/Imóveis!$S$3)+((Imóveis!$N$3-((Imóveis!$S$3-(IF(AND(Dados!$A727&gt;=Imóveis!$Q$3,Dados!$A727&lt;=Imóveis!$T$3),Imóveis!$S$3-(DATEDIF(Imóveis!$Q$3,Dados!$A727,"m")),)))*(Imóveis!$N$3/Imóveis!$S$3)))*Imóveis!$P$3))))*IF(AND(Imóveis!$E$3&gt;0,Dados!$A727&gt;Imóveis!$E$3),0,1)</f>
        <v>0</v>
      </c>
      <c r="K727" s="18">
        <f>IF(Imóveis!$F$4="PRICE",IF(AND(Dados!$A727&gt;=Imóveis!$Q$4,Dados!$A727&lt;=Imóveis!$T$4),Imóveis!$U$4,0),IF((IF(AND(Dados!$A727&gt;=Imóveis!$Q$4,Dados!$A727&lt;=Imóveis!$T$4),Imóveis!$S$4-(DATEDIF(Imóveis!$Q$4,Dados!$A727,"m")),0))=0,0,((Imóveis!$N$4/Imóveis!$S$4)+((Imóveis!$N$4-((Imóveis!$S$4-(IF(AND(Dados!$A727&gt;=Imóveis!$Q$4,Dados!$A727&lt;=Imóveis!$T$4),Imóveis!$S$4-(DATEDIF(Imóveis!$Q$4,Dados!$A727,"m")),)))*(Imóveis!$N$4/Imóveis!$S$4)))*Imóveis!$P$4))))*IF(AND(Imóveis!$E$4&gt;0,Dados!$A727&gt;Imóveis!$E$4),0,1)</f>
        <v>0</v>
      </c>
      <c r="L727" s="18">
        <f>IF(Imóveis!$F$5="PRICE",IF(AND(Dados!$A727&gt;=Imóveis!$Q$5,Dados!$A727&lt;=Imóveis!$T$5),Imóveis!$U$5,0),IF((IF(AND(Dados!$A727&gt;=Imóveis!$Q$5,Dados!$A727&lt;=Imóveis!$T$5),Imóveis!$S$5-(DATEDIF(Imóveis!$Q$5,Dados!$A727,"m")),0))=0,0,((Imóveis!$N$5/Imóveis!$S$5)+((Imóveis!$N$5-((Imóveis!$S$5-(IF(AND(Dados!$A727 &gt;=Imóveis!$Q$5,Dados!$A727&lt;=Imóveis!$T$5),Imóveis!$S$5-(DATEDIF(Imóveis!$Q$5,Dados!$A727,"m")),)))*(Imóveis!$N$5/Imóveis!$S$5)))*Imóveis!$P$5))))*IF(AND(Imóveis!$E$5&gt;0,Dados!$A727&gt;Imóveis!$E$5),0,1)*Imóveis!$I$5</f>
        <v>0</v>
      </c>
      <c r="M727" s="18">
        <f>IF(Imóveis!$F$6="PRICE",IF(AND(Dados!$A727&gt;=Imóveis!$Q$6,Dados!$A727&lt;=Imóveis!$T$6),Imóveis!$U$6,0),IF((IF(AND(Dados!$A727&gt;=Imóveis!$Q$6,Dados!$A727&lt;=Imóveis!$T$6),Imóveis!$S$6-(DATEDIF(Imóveis!$Q$6,Dados!$A727,"m")),0))=0,0,((Imóveis!$N$6/Imóveis!$S$6)+((Imóveis!$N$6-((Imóveis!$S$6-(IF(AND(Dados!$A727&gt;=Imóveis!$Q$6,Dados!$A727&lt;=Imóveis!$T$6),Imóveis!$S$6-(DATEDIF(Imóveis!$Q$6,Dados!$A727,"m")),)))*(Imóveis!$N$6/Imóveis!$S$6)))*Imóveis!$P$6))))*IF(AND(Imóveis!$E$6&gt;0,Dados!$A727&gt;Imóveis!$E$6),0,1)*Imóveis!$I$6</f>
        <v>0</v>
      </c>
      <c r="N727" s="18">
        <f t="shared" si="93"/>
        <v>37000</v>
      </c>
      <c r="O727" s="18">
        <f>SUMIFS(Receitas!$F:$F,Receitas!$J:$J,"&lt;="&amp;$A727,Receitas!$L:$L,"&gt;="&amp;$A727,Receitas!$C:$C,O$1,Receitas!$M:$M,"Mensal")+SUMIFS(Receitas!$F:$F,Receitas!$J:$J,"&lt;="&amp;$A727,Receitas!$L:$L,"&gt;="&amp;$A727,Receitas!$C:$C,O$1,Receitas!$M:$M,$B727)</f>
        <v>0</v>
      </c>
      <c r="P727" s="18">
        <f>SUMIFS(Receitas!$F:$F,Receitas!$J:$J,"&lt;="&amp;$A727,Receitas!$L:$L,"&gt;="&amp;$A727,Receitas!$C:$C,P$1,Receitas!$M:$M,"Mensal")+SUMIFS(Receitas!$F:$F,Receitas!$J:$J,"&lt;="&amp;$A727,Receitas!$L:$L,"&gt;="&amp;$A727,Receitas!$C:$C,P$1,Receitas!$M:$M,$B727)</f>
        <v>0</v>
      </c>
      <c r="Q727" s="18">
        <f>SUMIFS(Receitas!$F:$F,Receitas!$J:$J,"&lt;="&amp;$A727,Receitas!$L:$L,"&gt;="&amp;$A727,Receitas!$C:$C,Q$1,Receitas!$M:$M,"Mensal")+SUMIFS(Receitas!$F:$F,Receitas!$J:$J,"&lt;="&amp;$A727,Receitas!$L:$L,"&gt;="&amp;$A727,Receitas!$C:$C,Q$1,Receitas!$M:$M,$B727)</f>
        <v>0</v>
      </c>
      <c r="R727" s="18" cm="1">
        <f t="array" ref="R727">(IF(AND(Membros!$F$2="Sim",A727&lt;=MAX(Membros!$E$2:$E$5)),Membros!K$2,IF(AND(A727&gt;=Membros!J$2,A727&lt;=MAX(Membros!$E$2:$E$5)),Membros!K$2,0))+IF(AND(Membros!$F$3="Sim",A727&lt;=MAX(Membros!$E$2:$E$5)),Membros!K$3,IF(AND(A727&gt;=Membros!J$3,A727&lt;=MAX(Membros!$E$2:$E$5)),Membros!K$3,0)))*IF(AND(COUNTIFS(Tabela3[Tipo],"Provedor",Tabela3[Simulação Seguro],"Sim")=2,A727&gt;=MAX(IF(Tabela3[Tipo]="Dependente",Tabela3[Expectativa de Vida (Data)]))),0,1)</f>
        <v>10000</v>
      </c>
      <c r="S727" s="18">
        <f t="shared" si="94"/>
        <v>10000</v>
      </c>
      <c r="U727" s="18">
        <f t="shared" ca="1" si="97"/>
        <v>54369558.535856001</v>
      </c>
      <c r="V727" s="18">
        <f>SUMIF(Imóveis!E:E,Dados!A:A,Imóveis!Z:Z)-SUMIF(Imóveis!E:E,Dados!A:A,Imóveis!Y:Y)</f>
        <v>0</v>
      </c>
      <c r="W727" s="18">
        <f>-SUMIF(Projetos!N:N,A727,Projetos!F:F)</f>
        <v>0</v>
      </c>
      <c r="X727" s="18">
        <f t="shared" si="91"/>
        <v>-27000</v>
      </c>
      <c r="Y727" s="26">
        <f ca="1">(U727*((Indicadores_Economicos!D$2+1)^(1/12)-1))</f>
        <v>177991.78671942436</v>
      </c>
      <c r="Z727" s="18">
        <f t="shared" ca="1" si="95"/>
        <v>54520550.322575428</v>
      </c>
      <c r="AA727" s="18">
        <f ca="1">Auxiliar_Projetos!E727</f>
        <v>4.1811255068319707E-9</v>
      </c>
      <c r="AB727" s="18">
        <f ca="1">Auxiliar_Projetos!K727</f>
        <v>3.2162503898707408E-9</v>
      </c>
      <c r="AC727" s="18">
        <f ca="1">IF(Z727-AA727-AB727&gt;Investimentos!$C$14,Investimentos!$C$14,IF(Z727-AA727-AB727&lt;Investimentos!$C$14,Z727-AA727-AB727,0))</f>
        <v>300000</v>
      </c>
      <c r="AD727" s="18">
        <f t="shared" ca="1" si="96"/>
        <v>54220550.32257542</v>
      </c>
      <c r="AE727" s="18"/>
    </row>
    <row r="728" spans="1:31" x14ac:dyDescent="0.2">
      <c r="A728" s="4">
        <v>67754</v>
      </c>
      <c r="B728" s="5" t="str">
        <f t="shared" si="92"/>
        <v>julho</v>
      </c>
      <c r="C728" s="5" t="str">
        <f t="shared" ref="C728:C791" si="98">TEXT(A728,"AAAA")</f>
        <v>2085</v>
      </c>
      <c r="D728" s="5">
        <f>SUMIFS(Despesas!$F:$F,Despesas!$J:$J,"&lt;="&amp;$A728,Despesas!$L:$L,"&gt;="&amp;$A728,Despesas!$C:$C,D$1,Despesas!$M:$M,"Mensal")+SUMIFS(Despesas!$F:$F,Despesas!$J:$J,"&lt;="&amp;$A728,Despesas!$L:$L,"&gt;="&amp;$A728,Despesas!$C:$C,D$1,Despesas!$M:$M,$B728)</f>
        <v>23000</v>
      </c>
      <c r="E728" s="18">
        <f>SUMIFS(Despesas!$F:$F,Despesas!$J:$J,"&lt;="&amp;$A728,Despesas!$L:$L,"&gt;="&amp;$A728,Despesas!$C:$C,E$1,Despesas!$M:$M,"Mensal")+SUMIFS(Despesas!$F:$F,Despesas!$J:$J,"&lt;="&amp;$A728,Despesas!$L:$L,"&gt;="&amp;$A728,Despesas!$C:$C,E$1,Despesas!$M:$M,$B728)</f>
        <v>0</v>
      </c>
      <c r="F728" s="5">
        <f>SUMIFS(Despesas!$F:$F,Despesas!$J:$J,"&lt;="&amp;$A728,Despesas!$L:$L,"&gt;="&amp;$A728,Despesas!$C:$C,F$1,Despesas!$M:$M,"Mensal")+SUMIFS(Despesas!$F:$F,Despesas!$J:$J,"&lt;="&amp;$A728,Despesas!$L:$L,"&gt;="&amp;$A728,Despesas!$C:$C,F$1,Despesas!$M:$M,$B728)</f>
        <v>13000</v>
      </c>
      <c r="G728" s="5">
        <f ca="1">SUMIFS(Despesas!$F:$F,Despesas!$J:$J,"&lt;="&amp;$A728,Despesas!$L:$L,"&gt;="&amp;$A728,Despesas!$C:$C,G$1,Despesas!$M:$M,"Mensal")+SUMIFS(Despesas!$F:$F,Despesas!$J:$J,"&lt;="&amp;$A728,Despesas!$L:$L,"&gt;="&amp;$A728,Despesas!$C:$C,G$1,Despesas!$M:$M,$B728)</f>
        <v>55757</v>
      </c>
      <c r="H728" s="18">
        <f>SUMIFS(Despesas!$F:$F,Despesas!$J:$J,"&lt;="&amp;$A728,Despesas!$L:$L,"&gt;="&amp;$A728,Despesas!$C:$C,H$1,Despesas!$M:$M,"Mensal")+SUMIFS(Despesas!$F:$F,Despesas!$J:$J,"&lt;="&amp;$A728,Despesas!$L:$L,"&gt;="&amp;$A728,Despesas!$C:$C,H$1,Despesas!$M:$M,$B728)</f>
        <v>1000</v>
      </c>
      <c r="I728" s="18">
        <f>IF(Imóveis!$F$2="PRICE",IF(AND(Dados!$A728&gt;=Imóveis!$Q$2,Dados!$A728&lt;=Imóveis!$T$2),Imóveis!$U$2,0),IF((IF(AND(Dados!$A728&gt;=Imóveis!$Q$2,Dados!$A728&lt;=Imóveis!$T$2),Imóveis!$S$2-(DATEDIF(Imóveis!$Q$2,Dados!$A728,"m")),0))=0,0,((Imóveis!$N$2/Imóveis!$S$2)+((Imóveis!$N$2-((Imóveis!$S$2-(IF(AND(Dados!$A728&gt;=Imóveis!$Q$2,Dados!$A728&lt;=Imóveis!$T$2),Imóveis!$S$2-(DATEDIF(Imóveis!$Q$2,Dados!$A728,"m")),)))*(Imóveis!$N$2/Imóveis!$S$2)))*Imóveis!$P$2))))*IF(AND(Imóveis!$E$2&gt;0,Dados!$A728&gt;Imóveis!$E$2),0,1)</f>
        <v>0</v>
      </c>
      <c r="J728" s="18">
        <f>IF(Imóveis!$F$3="PRICE",IF(AND(Dados!$A728&gt;=Imóveis!$Q$3,Dados!$A728&lt;=Imóveis!$T$3),Imóveis!$U$3,0),IF((IF(AND(Dados!$A728&gt;=Imóveis!$Q$3,Dados!$A728&lt;=Imóveis!$T$3),Imóveis!$S$3-(DATEDIF(Imóveis!$Q$3,Dados!$A728,"m")),0))=0,0,((Imóveis!$N$3/Imóveis!$S$3)+((Imóveis!$N$3-((Imóveis!$S$3-(IF(AND(Dados!$A728&gt;=Imóveis!$Q$3,Dados!$A728&lt;=Imóveis!$T$3),Imóveis!$S$3-(DATEDIF(Imóveis!$Q$3,Dados!$A728,"m")),)))*(Imóveis!$N$3/Imóveis!$S$3)))*Imóveis!$P$3))))*IF(AND(Imóveis!$E$3&gt;0,Dados!$A728&gt;Imóveis!$E$3),0,1)</f>
        <v>0</v>
      </c>
      <c r="K728" s="18">
        <f>IF(Imóveis!$F$4="PRICE",IF(AND(Dados!$A728&gt;=Imóveis!$Q$4,Dados!$A728&lt;=Imóveis!$T$4),Imóveis!$U$4,0),IF((IF(AND(Dados!$A728&gt;=Imóveis!$Q$4,Dados!$A728&lt;=Imóveis!$T$4),Imóveis!$S$4-(DATEDIF(Imóveis!$Q$4,Dados!$A728,"m")),0))=0,0,((Imóveis!$N$4/Imóveis!$S$4)+((Imóveis!$N$4-((Imóveis!$S$4-(IF(AND(Dados!$A728&gt;=Imóveis!$Q$4,Dados!$A728&lt;=Imóveis!$T$4),Imóveis!$S$4-(DATEDIF(Imóveis!$Q$4,Dados!$A728,"m")),)))*(Imóveis!$N$4/Imóveis!$S$4)))*Imóveis!$P$4))))*IF(AND(Imóveis!$E$4&gt;0,Dados!$A728&gt;Imóveis!$E$4),0,1)</f>
        <v>0</v>
      </c>
      <c r="L728" s="18">
        <f>IF(Imóveis!$F$5="PRICE",IF(AND(Dados!$A728&gt;=Imóveis!$Q$5,Dados!$A728&lt;=Imóveis!$T$5),Imóveis!$U$5,0),IF((IF(AND(Dados!$A728&gt;=Imóveis!$Q$5,Dados!$A728&lt;=Imóveis!$T$5),Imóveis!$S$5-(DATEDIF(Imóveis!$Q$5,Dados!$A728,"m")),0))=0,0,((Imóveis!$N$5/Imóveis!$S$5)+((Imóveis!$N$5-((Imóveis!$S$5-(IF(AND(Dados!$A728 &gt;=Imóveis!$Q$5,Dados!$A728&lt;=Imóveis!$T$5),Imóveis!$S$5-(DATEDIF(Imóveis!$Q$5,Dados!$A728,"m")),)))*(Imóveis!$N$5/Imóveis!$S$5)))*Imóveis!$P$5))))*IF(AND(Imóveis!$E$5&gt;0,Dados!$A728&gt;Imóveis!$E$5),0,1)*Imóveis!$I$5</f>
        <v>0</v>
      </c>
      <c r="M728" s="18">
        <f>IF(Imóveis!$F$6="PRICE",IF(AND(Dados!$A728&gt;=Imóveis!$Q$6,Dados!$A728&lt;=Imóveis!$T$6),Imóveis!$U$6,0),IF((IF(AND(Dados!$A728&gt;=Imóveis!$Q$6,Dados!$A728&lt;=Imóveis!$T$6),Imóveis!$S$6-(DATEDIF(Imóveis!$Q$6,Dados!$A728,"m")),0))=0,0,((Imóveis!$N$6/Imóveis!$S$6)+((Imóveis!$N$6-((Imóveis!$S$6-(IF(AND(Dados!$A728&gt;=Imóveis!$Q$6,Dados!$A728&lt;=Imóveis!$T$6),Imóveis!$S$6-(DATEDIF(Imóveis!$Q$6,Dados!$A728,"m")),)))*(Imóveis!$N$6/Imóveis!$S$6)))*Imóveis!$P$6))))*IF(AND(Imóveis!$E$6&gt;0,Dados!$A728&gt;Imóveis!$E$6),0,1)*Imóveis!$I$6</f>
        <v>0</v>
      </c>
      <c r="N728" s="18">
        <f t="shared" ca="1" si="93"/>
        <v>92757</v>
      </c>
      <c r="O728" s="18">
        <f>SUMIFS(Receitas!$F:$F,Receitas!$J:$J,"&lt;="&amp;$A728,Receitas!$L:$L,"&gt;="&amp;$A728,Receitas!$C:$C,O$1,Receitas!$M:$M,"Mensal")+SUMIFS(Receitas!$F:$F,Receitas!$J:$J,"&lt;="&amp;$A728,Receitas!$L:$L,"&gt;="&amp;$A728,Receitas!$C:$C,O$1,Receitas!$M:$M,$B728)</f>
        <v>0</v>
      </c>
      <c r="P728" s="18">
        <f>SUMIFS(Receitas!$F:$F,Receitas!$J:$J,"&lt;="&amp;$A728,Receitas!$L:$L,"&gt;="&amp;$A728,Receitas!$C:$C,P$1,Receitas!$M:$M,"Mensal")+SUMIFS(Receitas!$F:$F,Receitas!$J:$J,"&lt;="&amp;$A728,Receitas!$L:$L,"&gt;="&amp;$A728,Receitas!$C:$C,P$1,Receitas!$M:$M,$B728)</f>
        <v>0</v>
      </c>
      <c r="Q728" s="18">
        <f>SUMIFS(Receitas!$F:$F,Receitas!$J:$J,"&lt;="&amp;$A728,Receitas!$L:$L,"&gt;="&amp;$A728,Receitas!$C:$C,Q$1,Receitas!$M:$M,"Mensal")+SUMIFS(Receitas!$F:$F,Receitas!$J:$J,"&lt;="&amp;$A728,Receitas!$L:$L,"&gt;="&amp;$A728,Receitas!$C:$C,Q$1,Receitas!$M:$M,$B728)</f>
        <v>0</v>
      </c>
      <c r="R728" s="18" cm="1">
        <f t="array" ref="R728">(IF(AND(Membros!$F$2="Sim",A728&lt;=MAX(Membros!$E$2:$E$5)),Membros!K$2,IF(AND(A728&gt;=Membros!J$2,A728&lt;=MAX(Membros!$E$2:$E$5)),Membros!K$2,0))+IF(AND(Membros!$F$3="Sim",A728&lt;=MAX(Membros!$E$2:$E$5)),Membros!K$3,IF(AND(A728&gt;=Membros!J$3,A728&lt;=MAX(Membros!$E$2:$E$5)),Membros!K$3,0)))*IF(AND(COUNTIFS(Tabela3[Tipo],"Provedor",Tabela3[Simulação Seguro],"Sim")=2,A728&gt;=MAX(IF(Tabela3[Tipo]="Dependente",Tabela3[Expectativa de Vida (Data)]))),0,1)</f>
        <v>10000</v>
      </c>
      <c r="S728" s="18">
        <f t="shared" si="94"/>
        <v>10000</v>
      </c>
      <c r="U728" s="18">
        <f t="shared" ca="1" si="97"/>
        <v>54520550.322575428</v>
      </c>
      <c r="V728" s="18">
        <f>SUMIF(Imóveis!E:E,Dados!A:A,Imóveis!Z:Z)-SUMIF(Imóveis!E:E,Dados!A:A,Imóveis!Y:Y)</f>
        <v>0</v>
      </c>
      <c r="W728" s="18">
        <f>-SUMIF(Projetos!N:N,A728,Projetos!F:F)</f>
        <v>0</v>
      </c>
      <c r="X728" s="18">
        <f t="shared" ca="1" si="91"/>
        <v>-82757</v>
      </c>
      <c r="Y728" s="26">
        <f ca="1">(U728*((Indicadores_Economicos!D$2+1)^(1/12)-1))</f>
        <v>178486.09453839302</v>
      </c>
      <c r="Z728" s="18">
        <f t="shared" ca="1" si="95"/>
        <v>54616279.417113818</v>
      </c>
      <c r="AA728" s="18">
        <f ca="1">Auxiliar_Projetos!E728</f>
        <v>4.1948134237380534E-9</v>
      </c>
      <c r="AB728" s="18">
        <f ca="1">Auxiliar_Projetos!K728</f>
        <v>3.2267795567215735E-9</v>
      </c>
      <c r="AC728" s="18">
        <f ca="1">IF(Z728-AA728-AB728&gt;Investimentos!$C$14,Investimentos!$C$14,IF(Z728-AA728-AB728&lt;Investimentos!$C$14,Z728-AA728-AB728,0))</f>
        <v>300000</v>
      </c>
      <c r="AD728" s="18">
        <f t="shared" ca="1" si="96"/>
        <v>54316279.417113811</v>
      </c>
      <c r="AE728" s="18"/>
    </row>
    <row r="729" spans="1:31" x14ac:dyDescent="0.2">
      <c r="A729" s="4">
        <v>67785</v>
      </c>
      <c r="B729" s="5" t="str">
        <f t="shared" si="92"/>
        <v>agosto</v>
      </c>
      <c r="C729" s="5" t="str">
        <f t="shared" si="98"/>
        <v>2085</v>
      </c>
      <c r="D729" s="5">
        <f>SUMIFS(Despesas!$F:$F,Despesas!$J:$J,"&lt;="&amp;$A729,Despesas!$L:$L,"&gt;="&amp;$A729,Despesas!$C:$C,D$1,Despesas!$M:$M,"Mensal")+SUMIFS(Despesas!$F:$F,Despesas!$J:$J,"&lt;="&amp;$A729,Despesas!$L:$L,"&gt;="&amp;$A729,Despesas!$C:$C,D$1,Despesas!$M:$M,$B729)</f>
        <v>23000</v>
      </c>
      <c r="E729" s="18">
        <f>SUMIFS(Despesas!$F:$F,Despesas!$J:$J,"&lt;="&amp;$A729,Despesas!$L:$L,"&gt;="&amp;$A729,Despesas!$C:$C,E$1,Despesas!$M:$M,"Mensal")+SUMIFS(Despesas!$F:$F,Despesas!$J:$J,"&lt;="&amp;$A729,Despesas!$L:$L,"&gt;="&amp;$A729,Despesas!$C:$C,E$1,Despesas!$M:$M,$B729)</f>
        <v>0</v>
      </c>
      <c r="F729" s="5">
        <f>SUMIFS(Despesas!$F:$F,Despesas!$J:$J,"&lt;="&amp;$A729,Despesas!$L:$L,"&gt;="&amp;$A729,Despesas!$C:$C,F$1,Despesas!$M:$M,"Mensal")+SUMIFS(Despesas!$F:$F,Despesas!$J:$J,"&lt;="&amp;$A729,Despesas!$L:$L,"&gt;="&amp;$A729,Despesas!$C:$C,F$1,Despesas!$M:$M,$B729)</f>
        <v>13000</v>
      </c>
      <c r="G729" s="5">
        <f>SUMIFS(Despesas!$F:$F,Despesas!$J:$J,"&lt;="&amp;$A729,Despesas!$L:$L,"&gt;="&amp;$A729,Despesas!$C:$C,G$1,Despesas!$M:$M,"Mensal")+SUMIFS(Despesas!$F:$F,Despesas!$J:$J,"&lt;="&amp;$A729,Despesas!$L:$L,"&gt;="&amp;$A729,Despesas!$C:$C,G$1,Despesas!$M:$M,$B729)</f>
        <v>0</v>
      </c>
      <c r="H729" s="18">
        <f>SUMIFS(Despesas!$F:$F,Despesas!$J:$J,"&lt;="&amp;$A729,Despesas!$L:$L,"&gt;="&amp;$A729,Despesas!$C:$C,H$1,Despesas!$M:$M,"Mensal")+SUMIFS(Despesas!$F:$F,Despesas!$J:$J,"&lt;="&amp;$A729,Despesas!$L:$L,"&gt;="&amp;$A729,Despesas!$C:$C,H$1,Despesas!$M:$M,$B729)</f>
        <v>1000</v>
      </c>
      <c r="I729" s="18">
        <f>IF(Imóveis!$F$2="PRICE",IF(AND(Dados!$A729&gt;=Imóveis!$Q$2,Dados!$A729&lt;=Imóveis!$T$2),Imóveis!$U$2,0),IF((IF(AND(Dados!$A729&gt;=Imóveis!$Q$2,Dados!$A729&lt;=Imóveis!$T$2),Imóveis!$S$2-(DATEDIF(Imóveis!$Q$2,Dados!$A729,"m")),0))=0,0,((Imóveis!$N$2/Imóveis!$S$2)+((Imóveis!$N$2-((Imóveis!$S$2-(IF(AND(Dados!$A729&gt;=Imóveis!$Q$2,Dados!$A729&lt;=Imóveis!$T$2),Imóveis!$S$2-(DATEDIF(Imóveis!$Q$2,Dados!$A729,"m")),)))*(Imóveis!$N$2/Imóveis!$S$2)))*Imóveis!$P$2))))*IF(AND(Imóveis!$E$2&gt;0,Dados!$A729&gt;Imóveis!$E$2),0,1)</f>
        <v>0</v>
      </c>
      <c r="J729" s="18">
        <f>IF(Imóveis!$F$3="PRICE",IF(AND(Dados!$A729&gt;=Imóveis!$Q$3,Dados!$A729&lt;=Imóveis!$T$3),Imóveis!$U$3,0),IF((IF(AND(Dados!$A729&gt;=Imóveis!$Q$3,Dados!$A729&lt;=Imóveis!$T$3),Imóveis!$S$3-(DATEDIF(Imóveis!$Q$3,Dados!$A729,"m")),0))=0,0,((Imóveis!$N$3/Imóveis!$S$3)+((Imóveis!$N$3-((Imóveis!$S$3-(IF(AND(Dados!$A729&gt;=Imóveis!$Q$3,Dados!$A729&lt;=Imóveis!$T$3),Imóveis!$S$3-(DATEDIF(Imóveis!$Q$3,Dados!$A729,"m")),)))*(Imóveis!$N$3/Imóveis!$S$3)))*Imóveis!$P$3))))*IF(AND(Imóveis!$E$3&gt;0,Dados!$A729&gt;Imóveis!$E$3),0,1)</f>
        <v>0</v>
      </c>
      <c r="K729" s="18">
        <f>IF(Imóveis!$F$4="PRICE",IF(AND(Dados!$A729&gt;=Imóveis!$Q$4,Dados!$A729&lt;=Imóveis!$T$4),Imóveis!$U$4,0),IF((IF(AND(Dados!$A729&gt;=Imóveis!$Q$4,Dados!$A729&lt;=Imóveis!$T$4),Imóveis!$S$4-(DATEDIF(Imóveis!$Q$4,Dados!$A729,"m")),0))=0,0,((Imóveis!$N$4/Imóveis!$S$4)+((Imóveis!$N$4-((Imóveis!$S$4-(IF(AND(Dados!$A729&gt;=Imóveis!$Q$4,Dados!$A729&lt;=Imóveis!$T$4),Imóveis!$S$4-(DATEDIF(Imóveis!$Q$4,Dados!$A729,"m")),)))*(Imóveis!$N$4/Imóveis!$S$4)))*Imóveis!$P$4))))*IF(AND(Imóveis!$E$4&gt;0,Dados!$A729&gt;Imóveis!$E$4),0,1)</f>
        <v>0</v>
      </c>
      <c r="L729" s="18">
        <f>IF(Imóveis!$F$5="PRICE",IF(AND(Dados!$A729&gt;=Imóveis!$Q$5,Dados!$A729&lt;=Imóveis!$T$5),Imóveis!$U$5,0),IF((IF(AND(Dados!$A729&gt;=Imóveis!$Q$5,Dados!$A729&lt;=Imóveis!$T$5),Imóveis!$S$5-(DATEDIF(Imóveis!$Q$5,Dados!$A729,"m")),0))=0,0,((Imóveis!$N$5/Imóveis!$S$5)+((Imóveis!$N$5-((Imóveis!$S$5-(IF(AND(Dados!$A729 &gt;=Imóveis!$Q$5,Dados!$A729&lt;=Imóveis!$T$5),Imóveis!$S$5-(DATEDIF(Imóveis!$Q$5,Dados!$A729,"m")),)))*(Imóveis!$N$5/Imóveis!$S$5)))*Imóveis!$P$5))))*IF(AND(Imóveis!$E$5&gt;0,Dados!$A729&gt;Imóveis!$E$5),0,1)*Imóveis!$I$5</f>
        <v>0</v>
      </c>
      <c r="M729" s="18">
        <f>IF(Imóveis!$F$6="PRICE",IF(AND(Dados!$A729&gt;=Imóveis!$Q$6,Dados!$A729&lt;=Imóveis!$T$6),Imóveis!$U$6,0),IF((IF(AND(Dados!$A729&gt;=Imóveis!$Q$6,Dados!$A729&lt;=Imóveis!$T$6),Imóveis!$S$6-(DATEDIF(Imóveis!$Q$6,Dados!$A729,"m")),0))=0,0,((Imóveis!$N$6/Imóveis!$S$6)+((Imóveis!$N$6-((Imóveis!$S$6-(IF(AND(Dados!$A729&gt;=Imóveis!$Q$6,Dados!$A729&lt;=Imóveis!$T$6),Imóveis!$S$6-(DATEDIF(Imóveis!$Q$6,Dados!$A729,"m")),)))*(Imóveis!$N$6/Imóveis!$S$6)))*Imóveis!$P$6))))*IF(AND(Imóveis!$E$6&gt;0,Dados!$A729&gt;Imóveis!$E$6),0,1)*Imóveis!$I$6</f>
        <v>0</v>
      </c>
      <c r="N729" s="18">
        <f t="shared" si="93"/>
        <v>37000</v>
      </c>
      <c r="O729" s="18">
        <f>SUMIFS(Receitas!$F:$F,Receitas!$J:$J,"&lt;="&amp;$A729,Receitas!$L:$L,"&gt;="&amp;$A729,Receitas!$C:$C,O$1,Receitas!$M:$M,"Mensal")+SUMIFS(Receitas!$F:$F,Receitas!$J:$J,"&lt;="&amp;$A729,Receitas!$L:$L,"&gt;="&amp;$A729,Receitas!$C:$C,O$1,Receitas!$M:$M,$B729)</f>
        <v>0</v>
      </c>
      <c r="P729" s="18">
        <f>SUMIFS(Receitas!$F:$F,Receitas!$J:$J,"&lt;="&amp;$A729,Receitas!$L:$L,"&gt;="&amp;$A729,Receitas!$C:$C,P$1,Receitas!$M:$M,"Mensal")+SUMIFS(Receitas!$F:$F,Receitas!$J:$J,"&lt;="&amp;$A729,Receitas!$L:$L,"&gt;="&amp;$A729,Receitas!$C:$C,P$1,Receitas!$M:$M,$B729)</f>
        <v>0</v>
      </c>
      <c r="Q729" s="18">
        <f>SUMIFS(Receitas!$F:$F,Receitas!$J:$J,"&lt;="&amp;$A729,Receitas!$L:$L,"&gt;="&amp;$A729,Receitas!$C:$C,Q$1,Receitas!$M:$M,"Mensal")+SUMIFS(Receitas!$F:$F,Receitas!$J:$J,"&lt;="&amp;$A729,Receitas!$L:$L,"&gt;="&amp;$A729,Receitas!$C:$C,Q$1,Receitas!$M:$M,$B729)</f>
        <v>0</v>
      </c>
      <c r="R729" s="18" cm="1">
        <f t="array" ref="R729">(IF(AND(Membros!$F$2="Sim",A729&lt;=MAX(Membros!$E$2:$E$5)),Membros!K$2,IF(AND(A729&gt;=Membros!J$2,A729&lt;=MAX(Membros!$E$2:$E$5)),Membros!K$2,0))+IF(AND(Membros!$F$3="Sim",A729&lt;=MAX(Membros!$E$2:$E$5)),Membros!K$3,IF(AND(A729&gt;=Membros!J$3,A729&lt;=MAX(Membros!$E$2:$E$5)),Membros!K$3,0)))*IF(AND(COUNTIFS(Tabela3[Tipo],"Provedor",Tabela3[Simulação Seguro],"Sim")=2,A729&gt;=MAX(IF(Tabela3[Tipo]="Dependente",Tabela3[Expectativa de Vida (Data)]))),0,1)</f>
        <v>10000</v>
      </c>
      <c r="S729" s="18">
        <f t="shared" si="94"/>
        <v>10000</v>
      </c>
      <c r="U729" s="18">
        <f t="shared" ca="1" si="97"/>
        <v>54616279.417113818</v>
      </c>
      <c r="V729" s="18">
        <f>SUMIF(Imóveis!E:E,Dados!A:A,Imóveis!Z:Z)-SUMIF(Imóveis!E:E,Dados!A:A,Imóveis!Y:Y)</f>
        <v>0</v>
      </c>
      <c r="W729" s="18">
        <f>-SUMIF(Projetos!N:N,A729,Projetos!F:F)</f>
        <v>0</v>
      </c>
      <c r="X729" s="18">
        <f t="shared" si="91"/>
        <v>-27000</v>
      </c>
      <c r="Y729" s="26">
        <f ca="1">(U729*((Indicadores_Economicos!D$2+1)^(1/12)-1))</f>
        <v>178799.48668349723</v>
      </c>
      <c r="Z729" s="18">
        <f t="shared" ca="1" si="95"/>
        <v>54768078.903797314</v>
      </c>
      <c r="AA729" s="18">
        <f ca="1">Auxiliar_Projetos!E729</f>
        <v>4.2085461513222465E-9</v>
      </c>
      <c r="AB729" s="18">
        <f ca="1">Auxiliar_Projetos!K729</f>
        <v>3.237343193324799E-9</v>
      </c>
      <c r="AC729" s="18">
        <f ca="1">IF(Z729-AA729-AB729&gt;Investimentos!$C$14,Investimentos!$C$14,IF(Z729-AA729-AB729&lt;Investimentos!$C$14,Z729-AA729-AB729,0))</f>
        <v>300000</v>
      </c>
      <c r="AD729" s="18">
        <f t="shared" ca="1" si="96"/>
        <v>54468078.903797306</v>
      </c>
      <c r="AE729" s="18"/>
    </row>
    <row r="730" spans="1:31" x14ac:dyDescent="0.2">
      <c r="A730" s="4">
        <v>67816</v>
      </c>
      <c r="B730" s="5" t="str">
        <f t="shared" si="92"/>
        <v>setembro</v>
      </c>
      <c r="C730" s="5" t="str">
        <f t="shared" si="98"/>
        <v>2085</v>
      </c>
      <c r="D730" s="5">
        <f>SUMIFS(Despesas!$F:$F,Despesas!$J:$J,"&lt;="&amp;$A730,Despesas!$L:$L,"&gt;="&amp;$A730,Despesas!$C:$C,D$1,Despesas!$M:$M,"Mensal")+SUMIFS(Despesas!$F:$F,Despesas!$J:$J,"&lt;="&amp;$A730,Despesas!$L:$L,"&gt;="&amp;$A730,Despesas!$C:$C,D$1,Despesas!$M:$M,$B730)</f>
        <v>23000</v>
      </c>
      <c r="E730" s="18">
        <f>SUMIFS(Despesas!$F:$F,Despesas!$J:$J,"&lt;="&amp;$A730,Despesas!$L:$L,"&gt;="&amp;$A730,Despesas!$C:$C,E$1,Despesas!$M:$M,"Mensal")+SUMIFS(Despesas!$F:$F,Despesas!$J:$J,"&lt;="&amp;$A730,Despesas!$L:$L,"&gt;="&amp;$A730,Despesas!$C:$C,E$1,Despesas!$M:$M,$B730)</f>
        <v>0</v>
      </c>
      <c r="F730" s="5">
        <f>SUMIFS(Despesas!$F:$F,Despesas!$J:$J,"&lt;="&amp;$A730,Despesas!$L:$L,"&gt;="&amp;$A730,Despesas!$C:$C,F$1,Despesas!$M:$M,"Mensal")+SUMIFS(Despesas!$F:$F,Despesas!$J:$J,"&lt;="&amp;$A730,Despesas!$L:$L,"&gt;="&amp;$A730,Despesas!$C:$C,F$1,Despesas!$M:$M,$B730)</f>
        <v>13000</v>
      </c>
      <c r="G730" s="5">
        <f>SUMIFS(Despesas!$F:$F,Despesas!$J:$J,"&lt;="&amp;$A730,Despesas!$L:$L,"&gt;="&amp;$A730,Despesas!$C:$C,G$1,Despesas!$M:$M,"Mensal")+SUMIFS(Despesas!$F:$F,Despesas!$J:$J,"&lt;="&amp;$A730,Despesas!$L:$L,"&gt;="&amp;$A730,Despesas!$C:$C,G$1,Despesas!$M:$M,$B730)</f>
        <v>0</v>
      </c>
      <c r="H730" s="18">
        <f>SUMIFS(Despesas!$F:$F,Despesas!$J:$J,"&lt;="&amp;$A730,Despesas!$L:$L,"&gt;="&amp;$A730,Despesas!$C:$C,H$1,Despesas!$M:$M,"Mensal")+SUMIFS(Despesas!$F:$F,Despesas!$J:$J,"&lt;="&amp;$A730,Despesas!$L:$L,"&gt;="&amp;$A730,Despesas!$C:$C,H$1,Despesas!$M:$M,$B730)</f>
        <v>1000</v>
      </c>
      <c r="I730" s="18">
        <f>IF(Imóveis!$F$2="PRICE",IF(AND(Dados!$A730&gt;=Imóveis!$Q$2,Dados!$A730&lt;=Imóveis!$T$2),Imóveis!$U$2,0),IF((IF(AND(Dados!$A730&gt;=Imóveis!$Q$2,Dados!$A730&lt;=Imóveis!$T$2),Imóveis!$S$2-(DATEDIF(Imóveis!$Q$2,Dados!$A730,"m")),0))=0,0,((Imóveis!$N$2/Imóveis!$S$2)+((Imóveis!$N$2-((Imóveis!$S$2-(IF(AND(Dados!$A730&gt;=Imóveis!$Q$2,Dados!$A730&lt;=Imóveis!$T$2),Imóveis!$S$2-(DATEDIF(Imóveis!$Q$2,Dados!$A730,"m")),)))*(Imóveis!$N$2/Imóveis!$S$2)))*Imóveis!$P$2))))*IF(AND(Imóveis!$E$2&gt;0,Dados!$A730&gt;Imóveis!$E$2),0,1)</f>
        <v>0</v>
      </c>
      <c r="J730" s="18">
        <f>IF(Imóveis!$F$3="PRICE",IF(AND(Dados!$A730&gt;=Imóveis!$Q$3,Dados!$A730&lt;=Imóveis!$T$3),Imóveis!$U$3,0),IF((IF(AND(Dados!$A730&gt;=Imóveis!$Q$3,Dados!$A730&lt;=Imóveis!$T$3),Imóveis!$S$3-(DATEDIF(Imóveis!$Q$3,Dados!$A730,"m")),0))=0,0,((Imóveis!$N$3/Imóveis!$S$3)+((Imóveis!$N$3-((Imóveis!$S$3-(IF(AND(Dados!$A730&gt;=Imóveis!$Q$3,Dados!$A730&lt;=Imóveis!$T$3),Imóveis!$S$3-(DATEDIF(Imóveis!$Q$3,Dados!$A730,"m")),)))*(Imóveis!$N$3/Imóveis!$S$3)))*Imóveis!$P$3))))*IF(AND(Imóveis!$E$3&gt;0,Dados!$A730&gt;Imóveis!$E$3),0,1)</f>
        <v>0</v>
      </c>
      <c r="K730" s="18">
        <f>IF(Imóveis!$F$4="PRICE",IF(AND(Dados!$A730&gt;=Imóveis!$Q$4,Dados!$A730&lt;=Imóveis!$T$4),Imóveis!$U$4,0),IF((IF(AND(Dados!$A730&gt;=Imóveis!$Q$4,Dados!$A730&lt;=Imóveis!$T$4),Imóveis!$S$4-(DATEDIF(Imóveis!$Q$4,Dados!$A730,"m")),0))=0,0,((Imóveis!$N$4/Imóveis!$S$4)+((Imóveis!$N$4-((Imóveis!$S$4-(IF(AND(Dados!$A730&gt;=Imóveis!$Q$4,Dados!$A730&lt;=Imóveis!$T$4),Imóveis!$S$4-(DATEDIF(Imóveis!$Q$4,Dados!$A730,"m")),)))*(Imóveis!$N$4/Imóveis!$S$4)))*Imóveis!$P$4))))*IF(AND(Imóveis!$E$4&gt;0,Dados!$A730&gt;Imóveis!$E$4),0,1)</f>
        <v>0</v>
      </c>
      <c r="L730" s="18">
        <f>IF(Imóveis!$F$5="PRICE",IF(AND(Dados!$A730&gt;=Imóveis!$Q$5,Dados!$A730&lt;=Imóveis!$T$5),Imóveis!$U$5,0),IF((IF(AND(Dados!$A730&gt;=Imóveis!$Q$5,Dados!$A730&lt;=Imóveis!$T$5),Imóveis!$S$5-(DATEDIF(Imóveis!$Q$5,Dados!$A730,"m")),0))=0,0,((Imóveis!$N$5/Imóveis!$S$5)+((Imóveis!$N$5-((Imóveis!$S$5-(IF(AND(Dados!$A730 &gt;=Imóveis!$Q$5,Dados!$A730&lt;=Imóveis!$T$5),Imóveis!$S$5-(DATEDIF(Imóveis!$Q$5,Dados!$A730,"m")),)))*(Imóveis!$N$5/Imóveis!$S$5)))*Imóveis!$P$5))))*IF(AND(Imóveis!$E$5&gt;0,Dados!$A730&gt;Imóveis!$E$5),0,1)*Imóveis!$I$5</f>
        <v>0</v>
      </c>
      <c r="M730" s="18">
        <f>IF(Imóveis!$F$6="PRICE",IF(AND(Dados!$A730&gt;=Imóveis!$Q$6,Dados!$A730&lt;=Imóveis!$T$6),Imóveis!$U$6,0),IF((IF(AND(Dados!$A730&gt;=Imóveis!$Q$6,Dados!$A730&lt;=Imóveis!$T$6),Imóveis!$S$6-(DATEDIF(Imóveis!$Q$6,Dados!$A730,"m")),0))=0,0,((Imóveis!$N$6/Imóveis!$S$6)+((Imóveis!$N$6-((Imóveis!$S$6-(IF(AND(Dados!$A730&gt;=Imóveis!$Q$6,Dados!$A730&lt;=Imóveis!$T$6),Imóveis!$S$6-(DATEDIF(Imóveis!$Q$6,Dados!$A730,"m")),)))*(Imóveis!$N$6/Imóveis!$S$6)))*Imóveis!$P$6))))*IF(AND(Imóveis!$E$6&gt;0,Dados!$A730&gt;Imóveis!$E$6),0,1)*Imóveis!$I$6</f>
        <v>0</v>
      </c>
      <c r="N730" s="18">
        <f t="shared" si="93"/>
        <v>37000</v>
      </c>
      <c r="O730" s="18">
        <f>SUMIFS(Receitas!$F:$F,Receitas!$J:$J,"&lt;="&amp;$A730,Receitas!$L:$L,"&gt;="&amp;$A730,Receitas!$C:$C,O$1,Receitas!$M:$M,"Mensal")+SUMIFS(Receitas!$F:$F,Receitas!$J:$J,"&lt;="&amp;$A730,Receitas!$L:$L,"&gt;="&amp;$A730,Receitas!$C:$C,O$1,Receitas!$M:$M,$B730)</f>
        <v>0</v>
      </c>
      <c r="P730" s="18">
        <f>SUMIFS(Receitas!$F:$F,Receitas!$J:$J,"&lt;="&amp;$A730,Receitas!$L:$L,"&gt;="&amp;$A730,Receitas!$C:$C,P$1,Receitas!$M:$M,"Mensal")+SUMIFS(Receitas!$F:$F,Receitas!$J:$J,"&lt;="&amp;$A730,Receitas!$L:$L,"&gt;="&amp;$A730,Receitas!$C:$C,P$1,Receitas!$M:$M,$B730)</f>
        <v>0</v>
      </c>
      <c r="Q730" s="18">
        <f>SUMIFS(Receitas!$F:$F,Receitas!$J:$J,"&lt;="&amp;$A730,Receitas!$L:$L,"&gt;="&amp;$A730,Receitas!$C:$C,Q$1,Receitas!$M:$M,"Mensal")+SUMIFS(Receitas!$F:$F,Receitas!$J:$J,"&lt;="&amp;$A730,Receitas!$L:$L,"&gt;="&amp;$A730,Receitas!$C:$C,Q$1,Receitas!$M:$M,$B730)</f>
        <v>0</v>
      </c>
      <c r="R730" s="18" cm="1">
        <f t="array" ref="R730">(IF(AND(Membros!$F$2="Sim",A730&lt;=MAX(Membros!$E$2:$E$5)),Membros!K$2,IF(AND(A730&gt;=Membros!J$2,A730&lt;=MAX(Membros!$E$2:$E$5)),Membros!K$2,0))+IF(AND(Membros!$F$3="Sim",A730&lt;=MAX(Membros!$E$2:$E$5)),Membros!K$3,IF(AND(A730&gt;=Membros!J$3,A730&lt;=MAX(Membros!$E$2:$E$5)),Membros!K$3,0)))*IF(AND(COUNTIFS(Tabela3[Tipo],"Provedor",Tabela3[Simulação Seguro],"Sim")=2,A730&gt;=MAX(IF(Tabela3[Tipo]="Dependente",Tabela3[Expectativa de Vida (Data)]))),0,1)</f>
        <v>10000</v>
      </c>
      <c r="S730" s="18">
        <f t="shared" si="94"/>
        <v>10000</v>
      </c>
      <c r="U730" s="18">
        <f t="shared" ca="1" si="97"/>
        <v>54768078.903797314</v>
      </c>
      <c r="V730" s="18">
        <f>SUMIF(Imóveis!E:E,Dados!A:A,Imóveis!Z:Z)-SUMIF(Imóveis!E:E,Dados!A:A,Imóveis!Y:Y)</f>
        <v>0</v>
      </c>
      <c r="W730" s="18">
        <f>-SUMIF(Projetos!N:N,A730,Projetos!F:F)</f>
        <v>0</v>
      </c>
      <c r="X730" s="18">
        <f t="shared" si="91"/>
        <v>-27000</v>
      </c>
      <c r="Y730" s="26">
        <f ca="1">(U730*((Indicadores_Economicos!D$2+1)^(1/12)-1))</f>
        <v>179296.43870197039</v>
      </c>
      <c r="Z730" s="18">
        <f t="shared" ca="1" si="95"/>
        <v>54920375.342499286</v>
      </c>
      <c r="AA730" s="18">
        <f ca="1">Auxiliar_Projetos!E730</f>
        <v>4.2223238362830504E-9</v>
      </c>
      <c r="AB730" s="18">
        <f ca="1">Auxiliar_Projetos!K730</f>
        <v>3.2479414125254173E-9</v>
      </c>
      <c r="AC730" s="18">
        <f ca="1">IF(Z730-AA730-AB730&gt;Investimentos!$C$14,Investimentos!$C$14,IF(Z730-AA730-AB730&lt;Investimentos!$C$14,Z730-AA730-AB730,0))</f>
        <v>300000</v>
      </c>
      <c r="AD730" s="18">
        <f t="shared" ca="1" si="96"/>
        <v>54620375.342499278</v>
      </c>
      <c r="AE730" s="18"/>
    </row>
    <row r="731" spans="1:31" x14ac:dyDescent="0.2">
      <c r="A731" s="4">
        <v>67846</v>
      </c>
      <c r="B731" s="5" t="str">
        <f t="shared" si="92"/>
        <v>outubro</v>
      </c>
      <c r="C731" s="5" t="str">
        <f t="shared" si="98"/>
        <v>2085</v>
      </c>
      <c r="D731" s="5">
        <f>SUMIFS(Despesas!$F:$F,Despesas!$J:$J,"&lt;="&amp;$A731,Despesas!$L:$L,"&gt;="&amp;$A731,Despesas!$C:$C,D$1,Despesas!$M:$M,"Mensal")+SUMIFS(Despesas!$F:$F,Despesas!$J:$J,"&lt;="&amp;$A731,Despesas!$L:$L,"&gt;="&amp;$A731,Despesas!$C:$C,D$1,Despesas!$M:$M,$B731)</f>
        <v>23000</v>
      </c>
      <c r="E731" s="18">
        <f>SUMIFS(Despesas!$F:$F,Despesas!$J:$J,"&lt;="&amp;$A731,Despesas!$L:$L,"&gt;="&amp;$A731,Despesas!$C:$C,E$1,Despesas!$M:$M,"Mensal")+SUMIFS(Despesas!$F:$F,Despesas!$J:$J,"&lt;="&amp;$A731,Despesas!$L:$L,"&gt;="&amp;$A731,Despesas!$C:$C,E$1,Despesas!$M:$M,$B731)</f>
        <v>0</v>
      </c>
      <c r="F731" s="5">
        <f>SUMIFS(Despesas!$F:$F,Despesas!$J:$J,"&lt;="&amp;$A731,Despesas!$L:$L,"&gt;="&amp;$A731,Despesas!$C:$C,F$1,Despesas!$M:$M,"Mensal")+SUMIFS(Despesas!$F:$F,Despesas!$J:$J,"&lt;="&amp;$A731,Despesas!$L:$L,"&gt;="&amp;$A731,Despesas!$C:$C,F$1,Despesas!$M:$M,$B731)</f>
        <v>13000</v>
      </c>
      <c r="G731" s="5">
        <f>SUMIFS(Despesas!$F:$F,Despesas!$J:$J,"&lt;="&amp;$A731,Despesas!$L:$L,"&gt;="&amp;$A731,Despesas!$C:$C,G$1,Despesas!$M:$M,"Mensal")+SUMIFS(Despesas!$F:$F,Despesas!$J:$J,"&lt;="&amp;$A731,Despesas!$L:$L,"&gt;="&amp;$A731,Despesas!$C:$C,G$1,Despesas!$M:$M,$B731)</f>
        <v>0</v>
      </c>
      <c r="H731" s="18">
        <f>SUMIFS(Despesas!$F:$F,Despesas!$J:$J,"&lt;="&amp;$A731,Despesas!$L:$L,"&gt;="&amp;$A731,Despesas!$C:$C,H$1,Despesas!$M:$M,"Mensal")+SUMIFS(Despesas!$F:$F,Despesas!$J:$J,"&lt;="&amp;$A731,Despesas!$L:$L,"&gt;="&amp;$A731,Despesas!$C:$C,H$1,Despesas!$M:$M,$B731)</f>
        <v>1000</v>
      </c>
      <c r="I731" s="18">
        <f>IF(Imóveis!$F$2="PRICE",IF(AND(Dados!$A731&gt;=Imóveis!$Q$2,Dados!$A731&lt;=Imóveis!$T$2),Imóveis!$U$2,0),IF((IF(AND(Dados!$A731&gt;=Imóveis!$Q$2,Dados!$A731&lt;=Imóveis!$T$2),Imóveis!$S$2-(DATEDIF(Imóveis!$Q$2,Dados!$A731,"m")),0))=0,0,((Imóveis!$N$2/Imóveis!$S$2)+((Imóveis!$N$2-((Imóveis!$S$2-(IF(AND(Dados!$A731&gt;=Imóveis!$Q$2,Dados!$A731&lt;=Imóveis!$T$2),Imóveis!$S$2-(DATEDIF(Imóveis!$Q$2,Dados!$A731,"m")),)))*(Imóveis!$N$2/Imóveis!$S$2)))*Imóveis!$P$2))))*IF(AND(Imóveis!$E$2&gt;0,Dados!$A731&gt;Imóveis!$E$2),0,1)</f>
        <v>0</v>
      </c>
      <c r="J731" s="18">
        <f>IF(Imóveis!$F$3="PRICE",IF(AND(Dados!$A731&gt;=Imóveis!$Q$3,Dados!$A731&lt;=Imóveis!$T$3),Imóveis!$U$3,0),IF((IF(AND(Dados!$A731&gt;=Imóveis!$Q$3,Dados!$A731&lt;=Imóveis!$T$3),Imóveis!$S$3-(DATEDIF(Imóveis!$Q$3,Dados!$A731,"m")),0))=0,0,((Imóveis!$N$3/Imóveis!$S$3)+((Imóveis!$N$3-((Imóveis!$S$3-(IF(AND(Dados!$A731&gt;=Imóveis!$Q$3,Dados!$A731&lt;=Imóveis!$T$3),Imóveis!$S$3-(DATEDIF(Imóveis!$Q$3,Dados!$A731,"m")),)))*(Imóveis!$N$3/Imóveis!$S$3)))*Imóveis!$P$3))))*IF(AND(Imóveis!$E$3&gt;0,Dados!$A731&gt;Imóveis!$E$3),0,1)</f>
        <v>0</v>
      </c>
      <c r="K731" s="18">
        <f>IF(Imóveis!$F$4="PRICE",IF(AND(Dados!$A731&gt;=Imóveis!$Q$4,Dados!$A731&lt;=Imóveis!$T$4),Imóveis!$U$4,0),IF((IF(AND(Dados!$A731&gt;=Imóveis!$Q$4,Dados!$A731&lt;=Imóveis!$T$4),Imóveis!$S$4-(DATEDIF(Imóveis!$Q$4,Dados!$A731,"m")),0))=0,0,((Imóveis!$N$4/Imóveis!$S$4)+((Imóveis!$N$4-((Imóveis!$S$4-(IF(AND(Dados!$A731&gt;=Imóveis!$Q$4,Dados!$A731&lt;=Imóveis!$T$4),Imóveis!$S$4-(DATEDIF(Imóveis!$Q$4,Dados!$A731,"m")),)))*(Imóveis!$N$4/Imóveis!$S$4)))*Imóveis!$P$4))))*IF(AND(Imóveis!$E$4&gt;0,Dados!$A731&gt;Imóveis!$E$4),0,1)</f>
        <v>0</v>
      </c>
      <c r="L731" s="18">
        <f>IF(Imóveis!$F$5="PRICE",IF(AND(Dados!$A731&gt;=Imóveis!$Q$5,Dados!$A731&lt;=Imóveis!$T$5),Imóveis!$U$5,0),IF((IF(AND(Dados!$A731&gt;=Imóveis!$Q$5,Dados!$A731&lt;=Imóveis!$T$5),Imóveis!$S$5-(DATEDIF(Imóveis!$Q$5,Dados!$A731,"m")),0))=0,0,((Imóveis!$N$5/Imóveis!$S$5)+((Imóveis!$N$5-((Imóveis!$S$5-(IF(AND(Dados!$A731 &gt;=Imóveis!$Q$5,Dados!$A731&lt;=Imóveis!$T$5),Imóveis!$S$5-(DATEDIF(Imóveis!$Q$5,Dados!$A731,"m")),)))*(Imóveis!$N$5/Imóveis!$S$5)))*Imóveis!$P$5))))*IF(AND(Imóveis!$E$5&gt;0,Dados!$A731&gt;Imóveis!$E$5),0,1)*Imóveis!$I$5</f>
        <v>0</v>
      </c>
      <c r="M731" s="18">
        <f>IF(Imóveis!$F$6="PRICE",IF(AND(Dados!$A731&gt;=Imóveis!$Q$6,Dados!$A731&lt;=Imóveis!$T$6),Imóveis!$U$6,0),IF((IF(AND(Dados!$A731&gt;=Imóveis!$Q$6,Dados!$A731&lt;=Imóveis!$T$6),Imóveis!$S$6-(DATEDIF(Imóveis!$Q$6,Dados!$A731,"m")),0))=0,0,((Imóveis!$N$6/Imóveis!$S$6)+((Imóveis!$N$6-((Imóveis!$S$6-(IF(AND(Dados!$A731&gt;=Imóveis!$Q$6,Dados!$A731&lt;=Imóveis!$T$6),Imóveis!$S$6-(DATEDIF(Imóveis!$Q$6,Dados!$A731,"m")),)))*(Imóveis!$N$6/Imóveis!$S$6)))*Imóveis!$P$6))))*IF(AND(Imóveis!$E$6&gt;0,Dados!$A731&gt;Imóveis!$E$6),0,1)*Imóveis!$I$6</f>
        <v>0</v>
      </c>
      <c r="N731" s="18">
        <f t="shared" si="93"/>
        <v>37000</v>
      </c>
      <c r="O731" s="18">
        <f>SUMIFS(Receitas!$F:$F,Receitas!$J:$J,"&lt;="&amp;$A731,Receitas!$L:$L,"&gt;="&amp;$A731,Receitas!$C:$C,O$1,Receitas!$M:$M,"Mensal")+SUMIFS(Receitas!$F:$F,Receitas!$J:$J,"&lt;="&amp;$A731,Receitas!$L:$L,"&gt;="&amp;$A731,Receitas!$C:$C,O$1,Receitas!$M:$M,$B731)</f>
        <v>0</v>
      </c>
      <c r="P731" s="18">
        <f>SUMIFS(Receitas!$F:$F,Receitas!$J:$J,"&lt;="&amp;$A731,Receitas!$L:$L,"&gt;="&amp;$A731,Receitas!$C:$C,P$1,Receitas!$M:$M,"Mensal")+SUMIFS(Receitas!$F:$F,Receitas!$J:$J,"&lt;="&amp;$A731,Receitas!$L:$L,"&gt;="&amp;$A731,Receitas!$C:$C,P$1,Receitas!$M:$M,$B731)</f>
        <v>0</v>
      </c>
      <c r="Q731" s="18">
        <f>SUMIFS(Receitas!$F:$F,Receitas!$J:$J,"&lt;="&amp;$A731,Receitas!$L:$L,"&gt;="&amp;$A731,Receitas!$C:$C,Q$1,Receitas!$M:$M,"Mensal")+SUMIFS(Receitas!$F:$F,Receitas!$J:$J,"&lt;="&amp;$A731,Receitas!$L:$L,"&gt;="&amp;$A731,Receitas!$C:$C,Q$1,Receitas!$M:$M,$B731)</f>
        <v>0</v>
      </c>
      <c r="R731" s="18" cm="1">
        <f t="array" ref="R731">(IF(AND(Membros!$F$2="Sim",A731&lt;=MAX(Membros!$E$2:$E$5)),Membros!K$2,IF(AND(A731&gt;=Membros!J$2,A731&lt;=MAX(Membros!$E$2:$E$5)),Membros!K$2,0))+IF(AND(Membros!$F$3="Sim",A731&lt;=MAX(Membros!$E$2:$E$5)),Membros!K$3,IF(AND(A731&gt;=Membros!J$3,A731&lt;=MAX(Membros!$E$2:$E$5)),Membros!K$3,0)))*IF(AND(COUNTIFS(Tabela3[Tipo],"Provedor",Tabela3[Simulação Seguro],"Sim")=2,A731&gt;=MAX(IF(Tabela3[Tipo]="Dependente",Tabela3[Expectativa de Vida (Data)]))),0,1)</f>
        <v>10000</v>
      </c>
      <c r="S731" s="18">
        <f t="shared" si="94"/>
        <v>10000</v>
      </c>
      <c r="U731" s="18">
        <f t="shared" ca="1" si="97"/>
        <v>54920375.342499286</v>
      </c>
      <c r="V731" s="18">
        <f>SUMIF(Imóveis!E:E,Dados!A:A,Imóveis!Z:Z)-SUMIF(Imóveis!E:E,Dados!A:A,Imóveis!Y:Y)</f>
        <v>0</v>
      </c>
      <c r="W731" s="18">
        <f>-SUMIF(Projetos!N:N,A731,Projetos!F:F)</f>
        <v>0</v>
      </c>
      <c r="X731" s="18">
        <f t="shared" si="91"/>
        <v>-27000</v>
      </c>
      <c r="Y731" s="26">
        <f ca="1">(U731*((Indicadores_Economicos!D$2+1)^(1/12)-1))</f>
        <v>179795.01761203626</v>
      </c>
      <c r="Z731" s="18">
        <f t="shared" ca="1" si="95"/>
        <v>55073170.360111319</v>
      </c>
      <c r="AA731" s="18">
        <f ca="1">Auxiliar_Projetos!E731</f>
        <v>4.2361466257992168E-9</v>
      </c>
      <c r="AB731" s="18">
        <f ca="1">Auxiliar_Projetos!K731</f>
        <v>3.258574327537853E-9</v>
      </c>
      <c r="AC731" s="18">
        <f ca="1">IF(Z731-AA731-AB731&gt;Investimentos!$C$14,Investimentos!$C$14,IF(Z731-AA731-AB731&lt;Investimentos!$C$14,Z731-AA731-AB731,0))</f>
        <v>300000</v>
      </c>
      <c r="AD731" s="18">
        <f t="shared" ca="1" si="96"/>
        <v>54773170.360111311</v>
      </c>
      <c r="AE731" s="18"/>
    </row>
    <row r="732" spans="1:31" x14ac:dyDescent="0.2">
      <c r="A732" s="4">
        <v>67877</v>
      </c>
      <c r="B732" s="5" t="str">
        <f t="shared" si="92"/>
        <v>novembro</v>
      </c>
      <c r="C732" s="5" t="str">
        <f t="shared" si="98"/>
        <v>2085</v>
      </c>
      <c r="D732" s="5">
        <f>SUMIFS(Despesas!$F:$F,Despesas!$J:$J,"&lt;="&amp;$A732,Despesas!$L:$L,"&gt;="&amp;$A732,Despesas!$C:$C,D$1,Despesas!$M:$M,"Mensal")+SUMIFS(Despesas!$F:$F,Despesas!$J:$J,"&lt;="&amp;$A732,Despesas!$L:$L,"&gt;="&amp;$A732,Despesas!$C:$C,D$1,Despesas!$M:$M,$B732)</f>
        <v>23000</v>
      </c>
      <c r="E732" s="18">
        <f>SUMIFS(Despesas!$F:$F,Despesas!$J:$J,"&lt;="&amp;$A732,Despesas!$L:$L,"&gt;="&amp;$A732,Despesas!$C:$C,E$1,Despesas!$M:$M,"Mensal")+SUMIFS(Despesas!$F:$F,Despesas!$J:$J,"&lt;="&amp;$A732,Despesas!$L:$L,"&gt;="&amp;$A732,Despesas!$C:$C,E$1,Despesas!$M:$M,$B732)</f>
        <v>0</v>
      </c>
      <c r="F732" s="5">
        <f>SUMIFS(Despesas!$F:$F,Despesas!$J:$J,"&lt;="&amp;$A732,Despesas!$L:$L,"&gt;="&amp;$A732,Despesas!$C:$C,F$1,Despesas!$M:$M,"Mensal")+SUMIFS(Despesas!$F:$F,Despesas!$J:$J,"&lt;="&amp;$A732,Despesas!$L:$L,"&gt;="&amp;$A732,Despesas!$C:$C,F$1,Despesas!$M:$M,$B732)</f>
        <v>13000</v>
      </c>
      <c r="G732" s="5">
        <f>SUMIFS(Despesas!$F:$F,Despesas!$J:$J,"&lt;="&amp;$A732,Despesas!$L:$L,"&gt;="&amp;$A732,Despesas!$C:$C,G$1,Despesas!$M:$M,"Mensal")+SUMIFS(Despesas!$F:$F,Despesas!$J:$J,"&lt;="&amp;$A732,Despesas!$L:$L,"&gt;="&amp;$A732,Despesas!$C:$C,G$1,Despesas!$M:$M,$B732)</f>
        <v>0</v>
      </c>
      <c r="H732" s="18">
        <f>SUMIFS(Despesas!$F:$F,Despesas!$J:$J,"&lt;="&amp;$A732,Despesas!$L:$L,"&gt;="&amp;$A732,Despesas!$C:$C,H$1,Despesas!$M:$M,"Mensal")+SUMIFS(Despesas!$F:$F,Despesas!$J:$J,"&lt;="&amp;$A732,Despesas!$L:$L,"&gt;="&amp;$A732,Despesas!$C:$C,H$1,Despesas!$M:$M,$B732)</f>
        <v>1000</v>
      </c>
      <c r="I732" s="18">
        <f>IF(Imóveis!$F$2="PRICE",IF(AND(Dados!$A732&gt;=Imóveis!$Q$2,Dados!$A732&lt;=Imóveis!$T$2),Imóveis!$U$2,0),IF((IF(AND(Dados!$A732&gt;=Imóveis!$Q$2,Dados!$A732&lt;=Imóveis!$T$2),Imóveis!$S$2-(DATEDIF(Imóveis!$Q$2,Dados!$A732,"m")),0))=0,0,((Imóveis!$N$2/Imóveis!$S$2)+((Imóveis!$N$2-((Imóveis!$S$2-(IF(AND(Dados!$A732&gt;=Imóveis!$Q$2,Dados!$A732&lt;=Imóveis!$T$2),Imóveis!$S$2-(DATEDIF(Imóveis!$Q$2,Dados!$A732,"m")),)))*(Imóveis!$N$2/Imóveis!$S$2)))*Imóveis!$P$2))))*IF(AND(Imóveis!$E$2&gt;0,Dados!$A732&gt;Imóveis!$E$2),0,1)</f>
        <v>0</v>
      </c>
      <c r="J732" s="18">
        <f>IF(Imóveis!$F$3="PRICE",IF(AND(Dados!$A732&gt;=Imóveis!$Q$3,Dados!$A732&lt;=Imóveis!$T$3),Imóveis!$U$3,0),IF((IF(AND(Dados!$A732&gt;=Imóveis!$Q$3,Dados!$A732&lt;=Imóveis!$T$3),Imóveis!$S$3-(DATEDIF(Imóveis!$Q$3,Dados!$A732,"m")),0))=0,0,((Imóveis!$N$3/Imóveis!$S$3)+((Imóveis!$N$3-((Imóveis!$S$3-(IF(AND(Dados!$A732&gt;=Imóveis!$Q$3,Dados!$A732&lt;=Imóveis!$T$3),Imóveis!$S$3-(DATEDIF(Imóveis!$Q$3,Dados!$A732,"m")),)))*(Imóveis!$N$3/Imóveis!$S$3)))*Imóveis!$P$3))))*IF(AND(Imóveis!$E$3&gt;0,Dados!$A732&gt;Imóveis!$E$3),0,1)</f>
        <v>0</v>
      </c>
      <c r="K732" s="18">
        <f>IF(Imóveis!$F$4="PRICE",IF(AND(Dados!$A732&gt;=Imóveis!$Q$4,Dados!$A732&lt;=Imóveis!$T$4),Imóveis!$U$4,0),IF((IF(AND(Dados!$A732&gt;=Imóveis!$Q$4,Dados!$A732&lt;=Imóveis!$T$4),Imóveis!$S$4-(DATEDIF(Imóveis!$Q$4,Dados!$A732,"m")),0))=0,0,((Imóveis!$N$4/Imóveis!$S$4)+((Imóveis!$N$4-((Imóveis!$S$4-(IF(AND(Dados!$A732&gt;=Imóveis!$Q$4,Dados!$A732&lt;=Imóveis!$T$4),Imóveis!$S$4-(DATEDIF(Imóveis!$Q$4,Dados!$A732,"m")),)))*(Imóveis!$N$4/Imóveis!$S$4)))*Imóveis!$P$4))))*IF(AND(Imóveis!$E$4&gt;0,Dados!$A732&gt;Imóveis!$E$4),0,1)</f>
        <v>0</v>
      </c>
      <c r="L732" s="18">
        <f>IF(Imóveis!$F$5="PRICE",IF(AND(Dados!$A732&gt;=Imóveis!$Q$5,Dados!$A732&lt;=Imóveis!$T$5),Imóveis!$U$5,0),IF((IF(AND(Dados!$A732&gt;=Imóveis!$Q$5,Dados!$A732&lt;=Imóveis!$T$5),Imóveis!$S$5-(DATEDIF(Imóveis!$Q$5,Dados!$A732,"m")),0))=0,0,((Imóveis!$N$5/Imóveis!$S$5)+((Imóveis!$N$5-((Imóveis!$S$5-(IF(AND(Dados!$A732 &gt;=Imóveis!$Q$5,Dados!$A732&lt;=Imóveis!$T$5),Imóveis!$S$5-(DATEDIF(Imóveis!$Q$5,Dados!$A732,"m")),)))*(Imóveis!$N$5/Imóveis!$S$5)))*Imóveis!$P$5))))*IF(AND(Imóveis!$E$5&gt;0,Dados!$A732&gt;Imóveis!$E$5),0,1)*Imóveis!$I$5</f>
        <v>0</v>
      </c>
      <c r="M732" s="18">
        <f>IF(Imóveis!$F$6="PRICE",IF(AND(Dados!$A732&gt;=Imóveis!$Q$6,Dados!$A732&lt;=Imóveis!$T$6),Imóveis!$U$6,0),IF((IF(AND(Dados!$A732&gt;=Imóveis!$Q$6,Dados!$A732&lt;=Imóveis!$T$6),Imóveis!$S$6-(DATEDIF(Imóveis!$Q$6,Dados!$A732,"m")),0))=0,0,((Imóveis!$N$6/Imóveis!$S$6)+((Imóveis!$N$6-((Imóveis!$S$6-(IF(AND(Dados!$A732&gt;=Imóveis!$Q$6,Dados!$A732&lt;=Imóveis!$T$6),Imóveis!$S$6-(DATEDIF(Imóveis!$Q$6,Dados!$A732,"m")),)))*(Imóveis!$N$6/Imóveis!$S$6)))*Imóveis!$P$6))))*IF(AND(Imóveis!$E$6&gt;0,Dados!$A732&gt;Imóveis!$E$6),0,1)*Imóveis!$I$6</f>
        <v>0</v>
      </c>
      <c r="N732" s="18">
        <f t="shared" si="93"/>
        <v>37000</v>
      </c>
      <c r="O732" s="18">
        <f>SUMIFS(Receitas!$F:$F,Receitas!$J:$J,"&lt;="&amp;$A732,Receitas!$L:$L,"&gt;="&amp;$A732,Receitas!$C:$C,O$1,Receitas!$M:$M,"Mensal")+SUMIFS(Receitas!$F:$F,Receitas!$J:$J,"&lt;="&amp;$A732,Receitas!$L:$L,"&gt;="&amp;$A732,Receitas!$C:$C,O$1,Receitas!$M:$M,$B732)</f>
        <v>0</v>
      </c>
      <c r="P732" s="18">
        <f>SUMIFS(Receitas!$F:$F,Receitas!$J:$J,"&lt;="&amp;$A732,Receitas!$L:$L,"&gt;="&amp;$A732,Receitas!$C:$C,P$1,Receitas!$M:$M,"Mensal")+SUMIFS(Receitas!$F:$F,Receitas!$J:$J,"&lt;="&amp;$A732,Receitas!$L:$L,"&gt;="&amp;$A732,Receitas!$C:$C,P$1,Receitas!$M:$M,$B732)</f>
        <v>0</v>
      </c>
      <c r="Q732" s="18">
        <f>SUMIFS(Receitas!$F:$F,Receitas!$J:$J,"&lt;="&amp;$A732,Receitas!$L:$L,"&gt;="&amp;$A732,Receitas!$C:$C,Q$1,Receitas!$M:$M,"Mensal")+SUMIFS(Receitas!$F:$F,Receitas!$J:$J,"&lt;="&amp;$A732,Receitas!$L:$L,"&gt;="&amp;$A732,Receitas!$C:$C,Q$1,Receitas!$M:$M,$B732)</f>
        <v>0</v>
      </c>
      <c r="R732" s="18" cm="1">
        <f t="array" ref="R732">(IF(AND(Membros!$F$2="Sim",A732&lt;=MAX(Membros!$E$2:$E$5)),Membros!K$2,IF(AND(A732&gt;=Membros!J$2,A732&lt;=MAX(Membros!$E$2:$E$5)),Membros!K$2,0))+IF(AND(Membros!$F$3="Sim",A732&lt;=MAX(Membros!$E$2:$E$5)),Membros!K$3,IF(AND(A732&gt;=Membros!J$3,A732&lt;=MAX(Membros!$E$2:$E$5)),Membros!K$3,0)))*IF(AND(COUNTIFS(Tabela3[Tipo],"Provedor",Tabela3[Simulação Seguro],"Sim")=2,A732&gt;=MAX(IF(Tabela3[Tipo]="Dependente",Tabela3[Expectativa de Vida (Data)]))),0,1)</f>
        <v>10000</v>
      </c>
      <c r="S732" s="18">
        <f t="shared" si="94"/>
        <v>10000</v>
      </c>
      <c r="U732" s="18">
        <f t="shared" ca="1" si="97"/>
        <v>55073170.360111319</v>
      </c>
      <c r="V732" s="18">
        <f>SUMIF(Imóveis!E:E,Dados!A:A,Imóveis!Z:Z)-SUMIF(Imóveis!E:E,Dados!A:A,Imóveis!Y:Y)</f>
        <v>0</v>
      </c>
      <c r="W732" s="18">
        <f>-SUMIF(Projetos!N:N,A732,Projetos!F:F)</f>
        <v>0</v>
      </c>
      <c r="X732" s="18">
        <f t="shared" si="91"/>
        <v>-27000</v>
      </c>
      <c r="Y732" s="26">
        <f ca="1">(U732*((Indicadores_Economicos!D$2+1)^(1/12)-1))</f>
        <v>180295.22873971454</v>
      </c>
      <c r="Z732" s="18">
        <f t="shared" ca="1" si="95"/>
        <v>55226465.588851035</v>
      </c>
      <c r="AA732" s="18">
        <f ca="1">Auxiliar_Projetos!E732</f>
        <v>4.2500146675313235E-9</v>
      </c>
      <c r="AB732" s="18">
        <f ca="1">Auxiliar_Projetos!K732</f>
        <v>3.2692420519471658E-9</v>
      </c>
      <c r="AC732" s="18">
        <f ca="1">IF(Z732-AA732-AB732&gt;Investimentos!$C$14,Investimentos!$C$14,IF(Z732-AA732-AB732&lt;Investimentos!$C$14,Z732-AA732-AB732,0))</f>
        <v>300000</v>
      </c>
      <c r="AD732" s="18">
        <f t="shared" ca="1" si="96"/>
        <v>54926465.588851027</v>
      </c>
      <c r="AE732" s="18"/>
    </row>
    <row r="733" spans="1:31" x14ac:dyDescent="0.2">
      <c r="A733" s="4">
        <v>67907</v>
      </c>
      <c r="B733" s="5" t="str">
        <f t="shared" si="92"/>
        <v>dezembro</v>
      </c>
      <c r="C733" s="5" t="str">
        <f t="shared" si="98"/>
        <v>2085</v>
      </c>
      <c r="D733" s="5">
        <f>SUMIFS(Despesas!$F:$F,Despesas!$J:$J,"&lt;="&amp;$A733,Despesas!$L:$L,"&gt;="&amp;$A733,Despesas!$C:$C,D$1,Despesas!$M:$M,"Mensal")+SUMIFS(Despesas!$F:$F,Despesas!$J:$J,"&lt;="&amp;$A733,Despesas!$L:$L,"&gt;="&amp;$A733,Despesas!$C:$C,D$1,Despesas!$M:$M,$B733)</f>
        <v>23000</v>
      </c>
      <c r="E733" s="18">
        <f>SUMIFS(Despesas!$F:$F,Despesas!$J:$J,"&lt;="&amp;$A733,Despesas!$L:$L,"&gt;="&amp;$A733,Despesas!$C:$C,E$1,Despesas!$M:$M,"Mensal")+SUMIFS(Despesas!$F:$F,Despesas!$J:$J,"&lt;="&amp;$A733,Despesas!$L:$L,"&gt;="&amp;$A733,Despesas!$C:$C,E$1,Despesas!$M:$M,$B733)</f>
        <v>0</v>
      </c>
      <c r="F733" s="5">
        <f>SUMIFS(Despesas!$F:$F,Despesas!$J:$J,"&lt;="&amp;$A733,Despesas!$L:$L,"&gt;="&amp;$A733,Despesas!$C:$C,F$1,Despesas!$M:$M,"Mensal")+SUMIFS(Despesas!$F:$F,Despesas!$J:$J,"&lt;="&amp;$A733,Despesas!$L:$L,"&gt;="&amp;$A733,Despesas!$C:$C,F$1,Despesas!$M:$M,$B733)</f>
        <v>13000</v>
      </c>
      <c r="G733" s="5">
        <f ca="1">SUMIFS(Despesas!$F:$F,Despesas!$J:$J,"&lt;="&amp;$A733,Despesas!$L:$L,"&gt;="&amp;$A733,Despesas!$C:$C,G$1,Despesas!$M:$M,"Mensal")+SUMIFS(Despesas!$F:$F,Despesas!$J:$J,"&lt;="&amp;$A733,Despesas!$L:$L,"&gt;="&amp;$A733,Despesas!$C:$C,G$1,Despesas!$M:$M,$B733)</f>
        <v>55757</v>
      </c>
      <c r="H733" s="18">
        <f>SUMIFS(Despesas!$F:$F,Despesas!$J:$J,"&lt;="&amp;$A733,Despesas!$L:$L,"&gt;="&amp;$A733,Despesas!$C:$C,H$1,Despesas!$M:$M,"Mensal")+SUMIFS(Despesas!$F:$F,Despesas!$J:$J,"&lt;="&amp;$A733,Despesas!$L:$L,"&gt;="&amp;$A733,Despesas!$C:$C,H$1,Despesas!$M:$M,$B733)</f>
        <v>1000</v>
      </c>
      <c r="I733" s="18">
        <f>IF(Imóveis!$F$2="PRICE",IF(AND(Dados!$A733&gt;=Imóveis!$Q$2,Dados!$A733&lt;=Imóveis!$T$2),Imóveis!$U$2,0),IF((IF(AND(Dados!$A733&gt;=Imóveis!$Q$2,Dados!$A733&lt;=Imóveis!$T$2),Imóveis!$S$2-(DATEDIF(Imóveis!$Q$2,Dados!$A733,"m")),0))=0,0,((Imóveis!$N$2/Imóveis!$S$2)+((Imóveis!$N$2-((Imóveis!$S$2-(IF(AND(Dados!$A733&gt;=Imóveis!$Q$2,Dados!$A733&lt;=Imóveis!$T$2),Imóveis!$S$2-(DATEDIF(Imóveis!$Q$2,Dados!$A733,"m")),)))*(Imóveis!$N$2/Imóveis!$S$2)))*Imóveis!$P$2))))*IF(AND(Imóveis!$E$2&gt;0,Dados!$A733&gt;Imóveis!$E$2),0,1)</f>
        <v>0</v>
      </c>
      <c r="J733" s="18">
        <f>IF(Imóveis!$F$3="PRICE",IF(AND(Dados!$A733&gt;=Imóveis!$Q$3,Dados!$A733&lt;=Imóveis!$T$3),Imóveis!$U$3,0),IF((IF(AND(Dados!$A733&gt;=Imóveis!$Q$3,Dados!$A733&lt;=Imóveis!$T$3),Imóveis!$S$3-(DATEDIF(Imóveis!$Q$3,Dados!$A733,"m")),0))=0,0,((Imóveis!$N$3/Imóveis!$S$3)+((Imóveis!$N$3-((Imóveis!$S$3-(IF(AND(Dados!$A733&gt;=Imóveis!$Q$3,Dados!$A733&lt;=Imóveis!$T$3),Imóveis!$S$3-(DATEDIF(Imóveis!$Q$3,Dados!$A733,"m")),)))*(Imóveis!$N$3/Imóveis!$S$3)))*Imóveis!$P$3))))*IF(AND(Imóveis!$E$3&gt;0,Dados!$A733&gt;Imóveis!$E$3),0,1)</f>
        <v>0</v>
      </c>
      <c r="K733" s="18">
        <f>IF(Imóveis!$F$4="PRICE",IF(AND(Dados!$A733&gt;=Imóveis!$Q$4,Dados!$A733&lt;=Imóveis!$T$4),Imóveis!$U$4,0),IF((IF(AND(Dados!$A733&gt;=Imóveis!$Q$4,Dados!$A733&lt;=Imóveis!$T$4),Imóveis!$S$4-(DATEDIF(Imóveis!$Q$4,Dados!$A733,"m")),0))=0,0,((Imóveis!$N$4/Imóveis!$S$4)+((Imóveis!$N$4-((Imóveis!$S$4-(IF(AND(Dados!$A733&gt;=Imóveis!$Q$4,Dados!$A733&lt;=Imóveis!$T$4),Imóveis!$S$4-(DATEDIF(Imóveis!$Q$4,Dados!$A733,"m")),)))*(Imóveis!$N$4/Imóveis!$S$4)))*Imóveis!$P$4))))*IF(AND(Imóveis!$E$4&gt;0,Dados!$A733&gt;Imóveis!$E$4),0,1)</f>
        <v>0</v>
      </c>
      <c r="L733" s="18">
        <f>IF(Imóveis!$F$5="PRICE",IF(AND(Dados!$A733&gt;=Imóveis!$Q$5,Dados!$A733&lt;=Imóveis!$T$5),Imóveis!$U$5,0),IF((IF(AND(Dados!$A733&gt;=Imóveis!$Q$5,Dados!$A733&lt;=Imóveis!$T$5),Imóveis!$S$5-(DATEDIF(Imóveis!$Q$5,Dados!$A733,"m")),0))=0,0,((Imóveis!$N$5/Imóveis!$S$5)+((Imóveis!$N$5-((Imóveis!$S$5-(IF(AND(Dados!$A733 &gt;=Imóveis!$Q$5,Dados!$A733&lt;=Imóveis!$T$5),Imóveis!$S$5-(DATEDIF(Imóveis!$Q$5,Dados!$A733,"m")),)))*(Imóveis!$N$5/Imóveis!$S$5)))*Imóveis!$P$5))))*IF(AND(Imóveis!$E$5&gt;0,Dados!$A733&gt;Imóveis!$E$5),0,1)*Imóveis!$I$5</f>
        <v>0</v>
      </c>
      <c r="M733" s="18">
        <f>IF(Imóveis!$F$6="PRICE",IF(AND(Dados!$A733&gt;=Imóveis!$Q$6,Dados!$A733&lt;=Imóveis!$T$6),Imóveis!$U$6,0),IF((IF(AND(Dados!$A733&gt;=Imóveis!$Q$6,Dados!$A733&lt;=Imóveis!$T$6),Imóveis!$S$6-(DATEDIF(Imóveis!$Q$6,Dados!$A733,"m")),0))=0,0,((Imóveis!$N$6/Imóveis!$S$6)+((Imóveis!$N$6-((Imóveis!$S$6-(IF(AND(Dados!$A733&gt;=Imóveis!$Q$6,Dados!$A733&lt;=Imóveis!$T$6),Imóveis!$S$6-(DATEDIF(Imóveis!$Q$6,Dados!$A733,"m")),)))*(Imóveis!$N$6/Imóveis!$S$6)))*Imóveis!$P$6))))*IF(AND(Imóveis!$E$6&gt;0,Dados!$A733&gt;Imóveis!$E$6),0,1)*Imóveis!$I$6</f>
        <v>0</v>
      </c>
      <c r="N733" s="18">
        <f t="shared" ca="1" si="93"/>
        <v>92757</v>
      </c>
      <c r="O733" s="18">
        <f>SUMIFS(Receitas!$F:$F,Receitas!$J:$J,"&lt;="&amp;$A733,Receitas!$L:$L,"&gt;="&amp;$A733,Receitas!$C:$C,O$1,Receitas!$M:$M,"Mensal")+SUMIFS(Receitas!$F:$F,Receitas!$J:$J,"&lt;="&amp;$A733,Receitas!$L:$L,"&gt;="&amp;$A733,Receitas!$C:$C,O$1,Receitas!$M:$M,$B733)</f>
        <v>0</v>
      </c>
      <c r="P733" s="18">
        <f>SUMIFS(Receitas!$F:$F,Receitas!$J:$J,"&lt;="&amp;$A733,Receitas!$L:$L,"&gt;="&amp;$A733,Receitas!$C:$C,P$1,Receitas!$M:$M,"Mensal")+SUMIFS(Receitas!$F:$F,Receitas!$J:$J,"&lt;="&amp;$A733,Receitas!$L:$L,"&gt;="&amp;$A733,Receitas!$C:$C,P$1,Receitas!$M:$M,$B733)</f>
        <v>0</v>
      </c>
      <c r="Q733" s="18">
        <f>SUMIFS(Receitas!$F:$F,Receitas!$J:$J,"&lt;="&amp;$A733,Receitas!$L:$L,"&gt;="&amp;$A733,Receitas!$C:$C,Q$1,Receitas!$M:$M,"Mensal")+SUMIFS(Receitas!$F:$F,Receitas!$J:$J,"&lt;="&amp;$A733,Receitas!$L:$L,"&gt;="&amp;$A733,Receitas!$C:$C,Q$1,Receitas!$M:$M,$B733)</f>
        <v>0</v>
      </c>
      <c r="R733" s="18" cm="1">
        <f t="array" ref="R733">(IF(AND(Membros!$F$2="Sim",A733&lt;=MAX(Membros!$E$2:$E$5)),Membros!K$2,IF(AND(A733&gt;=Membros!J$2,A733&lt;=MAX(Membros!$E$2:$E$5)),Membros!K$2,0))+IF(AND(Membros!$F$3="Sim",A733&lt;=MAX(Membros!$E$2:$E$5)),Membros!K$3,IF(AND(A733&gt;=Membros!J$3,A733&lt;=MAX(Membros!$E$2:$E$5)),Membros!K$3,0)))*IF(AND(COUNTIFS(Tabela3[Tipo],"Provedor",Tabela3[Simulação Seguro],"Sim")=2,A733&gt;=MAX(IF(Tabela3[Tipo]="Dependente",Tabela3[Expectativa de Vida (Data)]))),0,1)</f>
        <v>10000</v>
      </c>
      <c r="S733" s="18">
        <f t="shared" si="94"/>
        <v>10000</v>
      </c>
      <c r="U733" s="18">
        <f t="shared" ca="1" si="97"/>
        <v>55226465.588851035</v>
      </c>
      <c r="V733" s="18">
        <f>SUMIF(Imóveis!E:E,Dados!A:A,Imóveis!Z:Z)-SUMIF(Imóveis!E:E,Dados!A:A,Imóveis!Y:Y)</f>
        <v>0</v>
      </c>
      <c r="W733" s="18">
        <f>-SUMIF(Projetos!N:N,A733,Projetos!F:F)</f>
        <v>0</v>
      </c>
      <c r="X733" s="18">
        <f t="shared" ca="1" si="91"/>
        <v>-82757</v>
      </c>
      <c r="Y733" s="26">
        <f ca="1">(U733*((Indicadores_Economicos!D$2+1)^(1/12)-1))</f>
        <v>180797.07742846102</v>
      </c>
      <c r="Z733" s="18">
        <f t="shared" ca="1" si="95"/>
        <v>55324505.666279495</v>
      </c>
      <c r="AA733" s="18">
        <f ca="1">Auxiliar_Projetos!E733</f>
        <v>4.2639281096233493E-9</v>
      </c>
      <c r="AB733" s="18">
        <f ca="1">Auxiliar_Projetos!K733</f>
        <v>3.279944699710263E-9</v>
      </c>
      <c r="AC733" s="18">
        <f ca="1">IF(Z733-AA733-AB733&gt;Investimentos!$C$14,Investimentos!$C$14,IF(Z733-AA733-AB733&lt;Investimentos!$C$14,Z733-AA733-AB733,0))</f>
        <v>300000</v>
      </c>
      <c r="AD733" s="18">
        <f t="shared" ca="1" si="96"/>
        <v>55024505.666279487</v>
      </c>
      <c r="AE733" s="18"/>
    </row>
    <row r="734" spans="1:31" x14ac:dyDescent="0.2">
      <c r="A734" s="4">
        <v>67938</v>
      </c>
      <c r="B734" s="5" t="str">
        <f t="shared" si="92"/>
        <v>janeiro</v>
      </c>
      <c r="C734" s="5" t="str">
        <f t="shared" si="98"/>
        <v>2086</v>
      </c>
      <c r="D734" s="5">
        <f>SUMIFS(Despesas!$F:$F,Despesas!$J:$J,"&lt;="&amp;$A734,Despesas!$L:$L,"&gt;="&amp;$A734,Despesas!$C:$C,D$1,Despesas!$M:$M,"Mensal")+SUMIFS(Despesas!$F:$F,Despesas!$J:$J,"&lt;="&amp;$A734,Despesas!$L:$L,"&gt;="&amp;$A734,Despesas!$C:$C,D$1,Despesas!$M:$M,$B734)</f>
        <v>23000</v>
      </c>
      <c r="E734" s="18">
        <f>SUMIFS(Despesas!$F:$F,Despesas!$J:$J,"&lt;="&amp;$A734,Despesas!$L:$L,"&gt;="&amp;$A734,Despesas!$C:$C,E$1,Despesas!$M:$M,"Mensal")+SUMIFS(Despesas!$F:$F,Despesas!$J:$J,"&lt;="&amp;$A734,Despesas!$L:$L,"&gt;="&amp;$A734,Despesas!$C:$C,E$1,Despesas!$M:$M,$B734)</f>
        <v>0</v>
      </c>
      <c r="F734" s="5">
        <f>SUMIFS(Despesas!$F:$F,Despesas!$J:$J,"&lt;="&amp;$A734,Despesas!$L:$L,"&gt;="&amp;$A734,Despesas!$C:$C,F$1,Despesas!$M:$M,"Mensal")+SUMIFS(Despesas!$F:$F,Despesas!$J:$J,"&lt;="&amp;$A734,Despesas!$L:$L,"&gt;="&amp;$A734,Despesas!$C:$C,F$1,Despesas!$M:$M,$B734)</f>
        <v>13000</v>
      </c>
      <c r="G734" s="5">
        <f>SUMIFS(Despesas!$F:$F,Despesas!$J:$J,"&lt;="&amp;$A734,Despesas!$L:$L,"&gt;="&amp;$A734,Despesas!$C:$C,G$1,Despesas!$M:$M,"Mensal")+SUMIFS(Despesas!$F:$F,Despesas!$J:$J,"&lt;="&amp;$A734,Despesas!$L:$L,"&gt;="&amp;$A734,Despesas!$C:$C,G$1,Despesas!$M:$M,$B734)</f>
        <v>0</v>
      </c>
      <c r="H734" s="18">
        <f>SUMIFS(Despesas!$F:$F,Despesas!$J:$J,"&lt;="&amp;$A734,Despesas!$L:$L,"&gt;="&amp;$A734,Despesas!$C:$C,H$1,Despesas!$M:$M,"Mensal")+SUMIFS(Despesas!$F:$F,Despesas!$J:$J,"&lt;="&amp;$A734,Despesas!$L:$L,"&gt;="&amp;$A734,Despesas!$C:$C,H$1,Despesas!$M:$M,$B734)</f>
        <v>1000</v>
      </c>
      <c r="I734" s="18">
        <f>IF(Imóveis!$F$2="PRICE",IF(AND(Dados!$A734&gt;=Imóveis!$Q$2,Dados!$A734&lt;=Imóveis!$T$2),Imóveis!$U$2,0),IF((IF(AND(Dados!$A734&gt;=Imóveis!$Q$2,Dados!$A734&lt;=Imóveis!$T$2),Imóveis!$S$2-(DATEDIF(Imóveis!$Q$2,Dados!$A734,"m")),0))=0,0,((Imóveis!$N$2/Imóveis!$S$2)+((Imóveis!$N$2-((Imóveis!$S$2-(IF(AND(Dados!$A734&gt;=Imóveis!$Q$2,Dados!$A734&lt;=Imóveis!$T$2),Imóveis!$S$2-(DATEDIF(Imóveis!$Q$2,Dados!$A734,"m")),)))*(Imóveis!$N$2/Imóveis!$S$2)))*Imóveis!$P$2))))*IF(AND(Imóveis!$E$2&gt;0,Dados!$A734&gt;Imóveis!$E$2),0,1)</f>
        <v>0</v>
      </c>
      <c r="J734" s="18">
        <f>IF(Imóveis!$F$3="PRICE",IF(AND(Dados!$A734&gt;=Imóveis!$Q$3,Dados!$A734&lt;=Imóveis!$T$3),Imóveis!$U$3,0),IF((IF(AND(Dados!$A734&gt;=Imóveis!$Q$3,Dados!$A734&lt;=Imóveis!$T$3),Imóveis!$S$3-(DATEDIF(Imóveis!$Q$3,Dados!$A734,"m")),0))=0,0,((Imóveis!$N$3/Imóveis!$S$3)+((Imóveis!$N$3-((Imóveis!$S$3-(IF(AND(Dados!$A734&gt;=Imóveis!$Q$3,Dados!$A734&lt;=Imóveis!$T$3),Imóveis!$S$3-(DATEDIF(Imóveis!$Q$3,Dados!$A734,"m")),)))*(Imóveis!$N$3/Imóveis!$S$3)))*Imóveis!$P$3))))*IF(AND(Imóveis!$E$3&gt;0,Dados!$A734&gt;Imóveis!$E$3),0,1)</f>
        <v>0</v>
      </c>
      <c r="K734" s="18">
        <f>IF(Imóveis!$F$4="PRICE",IF(AND(Dados!$A734&gt;=Imóveis!$Q$4,Dados!$A734&lt;=Imóveis!$T$4),Imóveis!$U$4,0),IF((IF(AND(Dados!$A734&gt;=Imóveis!$Q$4,Dados!$A734&lt;=Imóveis!$T$4),Imóveis!$S$4-(DATEDIF(Imóveis!$Q$4,Dados!$A734,"m")),0))=0,0,((Imóveis!$N$4/Imóveis!$S$4)+((Imóveis!$N$4-((Imóveis!$S$4-(IF(AND(Dados!$A734&gt;=Imóveis!$Q$4,Dados!$A734&lt;=Imóveis!$T$4),Imóveis!$S$4-(DATEDIF(Imóveis!$Q$4,Dados!$A734,"m")),)))*(Imóveis!$N$4/Imóveis!$S$4)))*Imóveis!$P$4))))*IF(AND(Imóveis!$E$4&gt;0,Dados!$A734&gt;Imóveis!$E$4),0,1)</f>
        <v>0</v>
      </c>
      <c r="L734" s="18">
        <f>IF(Imóveis!$F$5="PRICE",IF(AND(Dados!$A734&gt;=Imóveis!$Q$5,Dados!$A734&lt;=Imóveis!$T$5),Imóveis!$U$5,0),IF((IF(AND(Dados!$A734&gt;=Imóveis!$Q$5,Dados!$A734&lt;=Imóveis!$T$5),Imóveis!$S$5-(DATEDIF(Imóveis!$Q$5,Dados!$A734,"m")),0))=0,0,((Imóveis!$N$5/Imóveis!$S$5)+((Imóveis!$N$5-((Imóveis!$S$5-(IF(AND(Dados!$A734 &gt;=Imóveis!$Q$5,Dados!$A734&lt;=Imóveis!$T$5),Imóveis!$S$5-(DATEDIF(Imóveis!$Q$5,Dados!$A734,"m")),)))*(Imóveis!$N$5/Imóveis!$S$5)))*Imóveis!$P$5))))*IF(AND(Imóveis!$E$5&gt;0,Dados!$A734&gt;Imóveis!$E$5),0,1)*Imóveis!$I$5</f>
        <v>0</v>
      </c>
      <c r="M734" s="18">
        <f>IF(Imóveis!$F$6="PRICE",IF(AND(Dados!$A734&gt;=Imóveis!$Q$6,Dados!$A734&lt;=Imóveis!$T$6),Imóveis!$U$6,0),IF((IF(AND(Dados!$A734&gt;=Imóveis!$Q$6,Dados!$A734&lt;=Imóveis!$T$6),Imóveis!$S$6-(DATEDIF(Imóveis!$Q$6,Dados!$A734,"m")),0))=0,0,((Imóveis!$N$6/Imóveis!$S$6)+((Imóveis!$N$6-((Imóveis!$S$6-(IF(AND(Dados!$A734&gt;=Imóveis!$Q$6,Dados!$A734&lt;=Imóveis!$T$6),Imóveis!$S$6-(DATEDIF(Imóveis!$Q$6,Dados!$A734,"m")),)))*(Imóveis!$N$6/Imóveis!$S$6)))*Imóveis!$P$6))))*IF(AND(Imóveis!$E$6&gt;0,Dados!$A734&gt;Imóveis!$E$6),0,1)*Imóveis!$I$6</f>
        <v>0</v>
      </c>
      <c r="N734" s="18">
        <f t="shared" si="93"/>
        <v>37000</v>
      </c>
      <c r="O734" s="18">
        <f>SUMIFS(Receitas!$F:$F,Receitas!$J:$J,"&lt;="&amp;$A734,Receitas!$L:$L,"&gt;="&amp;$A734,Receitas!$C:$C,O$1,Receitas!$M:$M,"Mensal")+SUMIFS(Receitas!$F:$F,Receitas!$J:$J,"&lt;="&amp;$A734,Receitas!$L:$L,"&gt;="&amp;$A734,Receitas!$C:$C,O$1,Receitas!$M:$M,$B734)</f>
        <v>0</v>
      </c>
      <c r="P734" s="18">
        <f>SUMIFS(Receitas!$F:$F,Receitas!$J:$J,"&lt;="&amp;$A734,Receitas!$L:$L,"&gt;="&amp;$A734,Receitas!$C:$C,P$1,Receitas!$M:$M,"Mensal")+SUMIFS(Receitas!$F:$F,Receitas!$J:$J,"&lt;="&amp;$A734,Receitas!$L:$L,"&gt;="&amp;$A734,Receitas!$C:$C,P$1,Receitas!$M:$M,$B734)</f>
        <v>0</v>
      </c>
      <c r="Q734" s="18">
        <f>SUMIFS(Receitas!$F:$F,Receitas!$J:$J,"&lt;="&amp;$A734,Receitas!$L:$L,"&gt;="&amp;$A734,Receitas!$C:$C,Q$1,Receitas!$M:$M,"Mensal")+SUMIFS(Receitas!$F:$F,Receitas!$J:$J,"&lt;="&amp;$A734,Receitas!$L:$L,"&gt;="&amp;$A734,Receitas!$C:$C,Q$1,Receitas!$M:$M,$B734)</f>
        <v>0</v>
      </c>
      <c r="R734" s="18" cm="1">
        <f t="array" ref="R734">(IF(AND(Membros!$F$2="Sim",A734&lt;=MAX(Membros!$E$2:$E$5)),Membros!K$2,IF(AND(A734&gt;=Membros!J$2,A734&lt;=MAX(Membros!$E$2:$E$5)),Membros!K$2,0))+IF(AND(Membros!$F$3="Sim",A734&lt;=MAX(Membros!$E$2:$E$5)),Membros!K$3,IF(AND(A734&gt;=Membros!J$3,A734&lt;=MAX(Membros!$E$2:$E$5)),Membros!K$3,0)))*IF(AND(COUNTIFS(Tabela3[Tipo],"Provedor",Tabela3[Simulação Seguro],"Sim")=2,A734&gt;=MAX(IF(Tabela3[Tipo]="Dependente",Tabela3[Expectativa de Vida (Data)]))),0,1)</f>
        <v>10000</v>
      </c>
      <c r="S734" s="18">
        <f t="shared" si="94"/>
        <v>10000</v>
      </c>
      <c r="U734" s="18">
        <f t="shared" ca="1" si="97"/>
        <v>55324505.666279495</v>
      </c>
      <c r="V734" s="18">
        <f>SUMIF(Imóveis!E:E,Dados!A:A,Imóveis!Z:Z)-SUMIF(Imóveis!E:E,Dados!A:A,Imóveis!Y:Y)</f>
        <v>0</v>
      </c>
      <c r="W734" s="18">
        <f>-SUMIF(Projetos!N:N,A734,Projetos!F:F)</f>
        <v>0</v>
      </c>
      <c r="X734" s="18">
        <f t="shared" si="91"/>
        <v>-27000</v>
      </c>
      <c r="Y734" s="26">
        <f ca="1">(U734*((Indicadores_Economicos!D$2+1)^(1/12)-1))</f>
        <v>181118.03513018845</v>
      </c>
      <c r="Z734" s="18">
        <f t="shared" ca="1" si="95"/>
        <v>55478623.701409683</v>
      </c>
      <c r="AA734" s="18">
        <f ca="1">Auxiliar_Projetos!E734</f>
        <v>4.2778871007042598E-9</v>
      </c>
      <c r="AB734" s="18">
        <f ca="1">Auxiliar_Projetos!K734</f>
        <v>3.290682385157117E-9</v>
      </c>
      <c r="AC734" s="18">
        <f ca="1">IF(Z734-AA734-AB734&gt;Investimentos!$C$14,Investimentos!$C$14,IF(Z734-AA734-AB734&lt;Investimentos!$C$14,Z734-AA734-AB734,0))</f>
        <v>300000</v>
      </c>
      <c r="AD734" s="18">
        <f t="shared" ca="1" si="96"/>
        <v>55178623.701409675</v>
      </c>
      <c r="AE734" s="18"/>
    </row>
    <row r="735" spans="1:31" x14ac:dyDescent="0.2">
      <c r="A735" s="4">
        <v>67969</v>
      </c>
      <c r="B735" s="5" t="str">
        <f t="shared" si="92"/>
        <v>fevereiro</v>
      </c>
      <c r="C735" s="5" t="str">
        <f t="shared" si="98"/>
        <v>2086</v>
      </c>
      <c r="D735" s="5">
        <f>SUMIFS(Despesas!$F:$F,Despesas!$J:$J,"&lt;="&amp;$A735,Despesas!$L:$L,"&gt;="&amp;$A735,Despesas!$C:$C,D$1,Despesas!$M:$M,"Mensal")+SUMIFS(Despesas!$F:$F,Despesas!$J:$J,"&lt;="&amp;$A735,Despesas!$L:$L,"&gt;="&amp;$A735,Despesas!$C:$C,D$1,Despesas!$M:$M,$B735)</f>
        <v>23000</v>
      </c>
      <c r="E735" s="18">
        <f>SUMIFS(Despesas!$F:$F,Despesas!$J:$J,"&lt;="&amp;$A735,Despesas!$L:$L,"&gt;="&amp;$A735,Despesas!$C:$C,E$1,Despesas!$M:$M,"Mensal")+SUMIFS(Despesas!$F:$F,Despesas!$J:$J,"&lt;="&amp;$A735,Despesas!$L:$L,"&gt;="&amp;$A735,Despesas!$C:$C,E$1,Despesas!$M:$M,$B735)</f>
        <v>0</v>
      </c>
      <c r="F735" s="5">
        <f>SUMIFS(Despesas!$F:$F,Despesas!$J:$J,"&lt;="&amp;$A735,Despesas!$L:$L,"&gt;="&amp;$A735,Despesas!$C:$C,F$1,Despesas!$M:$M,"Mensal")+SUMIFS(Despesas!$F:$F,Despesas!$J:$J,"&lt;="&amp;$A735,Despesas!$L:$L,"&gt;="&amp;$A735,Despesas!$C:$C,F$1,Despesas!$M:$M,$B735)</f>
        <v>13000</v>
      </c>
      <c r="G735" s="5">
        <f>SUMIFS(Despesas!$F:$F,Despesas!$J:$J,"&lt;="&amp;$A735,Despesas!$L:$L,"&gt;="&amp;$A735,Despesas!$C:$C,G$1,Despesas!$M:$M,"Mensal")+SUMIFS(Despesas!$F:$F,Despesas!$J:$J,"&lt;="&amp;$A735,Despesas!$L:$L,"&gt;="&amp;$A735,Despesas!$C:$C,G$1,Despesas!$M:$M,$B735)</f>
        <v>0</v>
      </c>
      <c r="H735" s="18">
        <f>SUMIFS(Despesas!$F:$F,Despesas!$J:$J,"&lt;="&amp;$A735,Despesas!$L:$L,"&gt;="&amp;$A735,Despesas!$C:$C,H$1,Despesas!$M:$M,"Mensal")+SUMIFS(Despesas!$F:$F,Despesas!$J:$J,"&lt;="&amp;$A735,Despesas!$L:$L,"&gt;="&amp;$A735,Despesas!$C:$C,H$1,Despesas!$M:$M,$B735)</f>
        <v>2200</v>
      </c>
      <c r="I735" s="18">
        <f>IF(Imóveis!$F$2="PRICE",IF(AND(Dados!$A735&gt;=Imóveis!$Q$2,Dados!$A735&lt;=Imóveis!$T$2),Imóveis!$U$2,0),IF((IF(AND(Dados!$A735&gt;=Imóveis!$Q$2,Dados!$A735&lt;=Imóveis!$T$2),Imóveis!$S$2-(DATEDIF(Imóveis!$Q$2,Dados!$A735,"m")),0))=0,0,((Imóveis!$N$2/Imóveis!$S$2)+((Imóveis!$N$2-((Imóveis!$S$2-(IF(AND(Dados!$A735&gt;=Imóveis!$Q$2,Dados!$A735&lt;=Imóveis!$T$2),Imóveis!$S$2-(DATEDIF(Imóveis!$Q$2,Dados!$A735,"m")),)))*(Imóveis!$N$2/Imóveis!$S$2)))*Imóveis!$P$2))))*IF(AND(Imóveis!$E$2&gt;0,Dados!$A735&gt;Imóveis!$E$2),0,1)</f>
        <v>0</v>
      </c>
      <c r="J735" s="18">
        <f>IF(Imóveis!$F$3="PRICE",IF(AND(Dados!$A735&gt;=Imóveis!$Q$3,Dados!$A735&lt;=Imóveis!$T$3),Imóveis!$U$3,0),IF((IF(AND(Dados!$A735&gt;=Imóveis!$Q$3,Dados!$A735&lt;=Imóveis!$T$3),Imóveis!$S$3-(DATEDIF(Imóveis!$Q$3,Dados!$A735,"m")),0))=0,0,((Imóveis!$N$3/Imóveis!$S$3)+((Imóveis!$N$3-((Imóveis!$S$3-(IF(AND(Dados!$A735&gt;=Imóveis!$Q$3,Dados!$A735&lt;=Imóveis!$T$3),Imóveis!$S$3-(DATEDIF(Imóveis!$Q$3,Dados!$A735,"m")),)))*(Imóveis!$N$3/Imóveis!$S$3)))*Imóveis!$P$3))))*IF(AND(Imóveis!$E$3&gt;0,Dados!$A735&gt;Imóveis!$E$3),0,1)</f>
        <v>0</v>
      </c>
      <c r="K735" s="18">
        <f>IF(Imóveis!$F$4="PRICE",IF(AND(Dados!$A735&gt;=Imóveis!$Q$4,Dados!$A735&lt;=Imóveis!$T$4),Imóveis!$U$4,0),IF((IF(AND(Dados!$A735&gt;=Imóveis!$Q$4,Dados!$A735&lt;=Imóveis!$T$4),Imóveis!$S$4-(DATEDIF(Imóveis!$Q$4,Dados!$A735,"m")),0))=0,0,((Imóveis!$N$4/Imóveis!$S$4)+((Imóveis!$N$4-((Imóveis!$S$4-(IF(AND(Dados!$A735&gt;=Imóveis!$Q$4,Dados!$A735&lt;=Imóveis!$T$4),Imóveis!$S$4-(DATEDIF(Imóveis!$Q$4,Dados!$A735,"m")),)))*(Imóveis!$N$4/Imóveis!$S$4)))*Imóveis!$P$4))))*IF(AND(Imóveis!$E$4&gt;0,Dados!$A735&gt;Imóveis!$E$4),0,1)</f>
        <v>0</v>
      </c>
      <c r="L735" s="18">
        <f>IF(Imóveis!$F$5="PRICE",IF(AND(Dados!$A735&gt;=Imóveis!$Q$5,Dados!$A735&lt;=Imóveis!$T$5),Imóveis!$U$5,0),IF((IF(AND(Dados!$A735&gt;=Imóveis!$Q$5,Dados!$A735&lt;=Imóveis!$T$5),Imóveis!$S$5-(DATEDIF(Imóveis!$Q$5,Dados!$A735,"m")),0))=0,0,((Imóveis!$N$5/Imóveis!$S$5)+((Imóveis!$N$5-((Imóveis!$S$5-(IF(AND(Dados!$A735 &gt;=Imóveis!$Q$5,Dados!$A735&lt;=Imóveis!$T$5),Imóveis!$S$5-(DATEDIF(Imóveis!$Q$5,Dados!$A735,"m")),)))*(Imóveis!$N$5/Imóveis!$S$5)))*Imóveis!$P$5))))*IF(AND(Imóveis!$E$5&gt;0,Dados!$A735&gt;Imóveis!$E$5),0,1)*Imóveis!$I$5</f>
        <v>0</v>
      </c>
      <c r="M735" s="18">
        <f>IF(Imóveis!$F$6="PRICE",IF(AND(Dados!$A735&gt;=Imóveis!$Q$6,Dados!$A735&lt;=Imóveis!$T$6),Imóveis!$U$6,0),IF((IF(AND(Dados!$A735&gt;=Imóveis!$Q$6,Dados!$A735&lt;=Imóveis!$T$6),Imóveis!$S$6-(DATEDIF(Imóveis!$Q$6,Dados!$A735,"m")),0))=0,0,((Imóveis!$N$6/Imóveis!$S$6)+((Imóveis!$N$6-((Imóveis!$S$6-(IF(AND(Dados!$A735&gt;=Imóveis!$Q$6,Dados!$A735&lt;=Imóveis!$T$6),Imóveis!$S$6-(DATEDIF(Imóveis!$Q$6,Dados!$A735,"m")),)))*(Imóveis!$N$6/Imóveis!$S$6)))*Imóveis!$P$6))))*IF(AND(Imóveis!$E$6&gt;0,Dados!$A735&gt;Imóveis!$E$6),0,1)*Imóveis!$I$6</f>
        <v>0</v>
      </c>
      <c r="N735" s="18">
        <f t="shared" si="93"/>
        <v>38200</v>
      </c>
      <c r="O735" s="18">
        <f>SUMIFS(Receitas!$F:$F,Receitas!$J:$J,"&lt;="&amp;$A735,Receitas!$L:$L,"&gt;="&amp;$A735,Receitas!$C:$C,O$1,Receitas!$M:$M,"Mensal")+SUMIFS(Receitas!$F:$F,Receitas!$J:$J,"&lt;="&amp;$A735,Receitas!$L:$L,"&gt;="&amp;$A735,Receitas!$C:$C,O$1,Receitas!$M:$M,$B735)</f>
        <v>0</v>
      </c>
      <c r="P735" s="18">
        <f>SUMIFS(Receitas!$F:$F,Receitas!$J:$J,"&lt;="&amp;$A735,Receitas!$L:$L,"&gt;="&amp;$A735,Receitas!$C:$C,P$1,Receitas!$M:$M,"Mensal")+SUMIFS(Receitas!$F:$F,Receitas!$J:$J,"&lt;="&amp;$A735,Receitas!$L:$L,"&gt;="&amp;$A735,Receitas!$C:$C,P$1,Receitas!$M:$M,$B735)</f>
        <v>0</v>
      </c>
      <c r="Q735" s="18">
        <f>SUMIFS(Receitas!$F:$F,Receitas!$J:$J,"&lt;="&amp;$A735,Receitas!$L:$L,"&gt;="&amp;$A735,Receitas!$C:$C,Q$1,Receitas!$M:$M,"Mensal")+SUMIFS(Receitas!$F:$F,Receitas!$J:$J,"&lt;="&amp;$A735,Receitas!$L:$L,"&gt;="&amp;$A735,Receitas!$C:$C,Q$1,Receitas!$M:$M,$B735)</f>
        <v>0</v>
      </c>
      <c r="R735" s="18" cm="1">
        <f t="array" ref="R735">(IF(AND(Membros!$F$2="Sim",A735&lt;=MAX(Membros!$E$2:$E$5)),Membros!K$2,IF(AND(A735&gt;=Membros!J$2,A735&lt;=MAX(Membros!$E$2:$E$5)),Membros!K$2,0))+IF(AND(Membros!$F$3="Sim",A735&lt;=MAX(Membros!$E$2:$E$5)),Membros!K$3,IF(AND(A735&gt;=Membros!J$3,A735&lt;=MAX(Membros!$E$2:$E$5)),Membros!K$3,0)))*IF(AND(COUNTIFS(Tabela3[Tipo],"Provedor",Tabela3[Simulação Seguro],"Sim")=2,A735&gt;=MAX(IF(Tabela3[Tipo]="Dependente",Tabela3[Expectativa de Vida (Data)]))),0,1)</f>
        <v>10000</v>
      </c>
      <c r="S735" s="18">
        <f t="shared" si="94"/>
        <v>10000</v>
      </c>
      <c r="U735" s="18">
        <f t="shared" ca="1" si="97"/>
        <v>55478623.701409683</v>
      </c>
      <c r="V735" s="18">
        <f>SUMIF(Imóveis!E:E,Dados!A:A,Imóveis!Z:Z)-SUMIF(Imóveis!E:E,Dados!A:A,Imóveis!Y:Y)</f>
        <v>0</v>
      </c>
      <c r="W735" s="18">
        <f>-SUMIF(Projetos!N:N,A735,Projetos!F:F)</f>
        <v>0</v>
      </c>
      <c r="X735" s="18">
        <f t="shared" si="91"/>
        <v>-28200</v>
      </c>
      <c r="Y735" s="26">
        <f ca="1">(U735*((Indicadores_Economicos!D$2+1)^(1/12)-1))</f>
        <v>181622.57747294847</v>
      </c>
      <c r="Z735" s="18">
        <f t="shared" ca="1" si="95"/>
        <v>55632046.27888263</v>
      </c>
      <c r="AA735" s="18">
        <f ca="1">Auxiliar_Projetos!E735</f>
        <v>4.2918917898895913E-9</v>
      </c>
      <c r="AB735" s="18">
        <f ca="1">Auxiliar_Projetos!K735</f>
        <v>3.3014552229919872E-9</v>
      </c>
      <c r="AC735" s="18">
        <f ca="1">IF(Z735-AA735-AB735&gt;Investimentos!$C$14,Investimentos!$C$14,IF(Z735-AA735-AB735&lt;Investimentos!$C$14,Z735-AA735-AB735,0))</f>
        <v>300000</v>
      </c>
      <c r="AD735" s="18">
        <f t="shared" ca="1" si="96"/>
        <v>55332046.278882623</v>
      </c>
      <c r="AE735" s="18"/>
    </row>
    <row r="736" spans="1:31" x14ac:dyDescent="0.2">
      <c r="A736" s="4">
        <v>67997</v>
      </c>
      <c r="B736" s="5" t="str">
        <f t="shared" si="92"/>
        <v>março</v>
      </c>
      <c r="C736" s="5" t="str">
        <f t="shared" si="98"/>
        <v>2086</v>
      </c>
      <c r="D736" s="5">
        <f>SUMIFS(Despesas!$F:$F,Despesas!$J:$J,"&lt;="&amp;$A736,Despesas!$L:$L,"&gt;="&amp;$A736,Despesas!$C:$C,D$1,Despesas!$M:$M,"Mensal")+SUMIFS(Despesas!$F:$F,Despesas!$J:$J,"&lt;="&amp;$A736,Despesas!$L:$L,"&gt;="&amp;$A736,Despesas!$C:$C,D$1,Despesas!$M:$M,$B736)</f>
        <v>23000</v>
      </c>
      <c r="E736" s="18">
        <f>SUMIFS(Despesas!$F:$F,Despesas!$J:$J,"&lt;="&amp;$A736,Despesas!$L:$L,"&gt;="&amp;$A736,Despesas!$C:$C,E$1,Despesas!$M:$M,"Mensal")+SUMIFS(Despesas!$F:$F,Despesas!$J:$J,"&lt;="&amp;$A736,Despesas!$L:$L,"&gt;="&amp;$A736,Despesas!$C:$C,E$1,Despesas!$M:$M,$B736)</f>
        <v>0</v>
      </c>
      <c r="F736" s="5">
        <f>SUMIFS(Despesas!$F:$F,Despesas!$J:$J,"&lt;="&amp;$A736,Despesas!$L:$L,"&gt;="&amp;$A736,Despesas!$C:$C,F$1,Despesas!$M:$M,"Mensal")+SUMIFS(Despesas!$F:$F,Despesas!$J:$J,"&lt;="&amp;$A736,Despesas!$L:$L,"&gt;="&amp;$A736,Despesas!$C:$C,F$1,Despesas!$M:$M,$B736)</f>
        <v>13000</v>
      </c>
      <c r="G736" s="5">
        <f>SUMIFS(Despesas!$F:$F,Despesas!$J:$J,"&lt;="&amp;$A736,Despesas!$L:$L,"&gt;="&amp;$A736,Despesas!$C:$C,G$1,Despesas!$M:$M,"Mensal")+SUMIFS(Despesas!$F:$F,Despesas!$J:$J,"&lt;="&amp;$A736,Despesas!$L:$L,"&gt;="&amp;$A736,Despesas!$C:$C,G$1,Despesas!$M:$M,$B736)</f>
        <v>0</v>
      </c>
      <c r="H736" s="18">
        <f>SUMIFS(Despesas!$F:$F,Despesas!$J:$J,"&lt;="&amp;$A736,Despesas!$L:$L,"&gt;="&amp;$A736,Despesas!$C:$C,H$1,Despesas!$M:$M,"Mensal")+SUMIFS(Despesas!$F:$F,Despesas!$J:$J,"&lt;="&amp;$A736,Despesas!$L:$L,"&gt;="&amp;$A736,Despesas!$C:$C,H$1,Despesas!$M:$M,$B736)</f>
        <v>1000</v>
      </c>
      <c r="I736" s="18">
        <f>IF(Imóveis!$F$2="PRICE",IF(AND(Dados!$A736&gt;=Imóveis!$Q$2,Dados!$A736&lt;=Imóveis!$T$2),Imóveis!$U$2,0),IF((IF(AND(Dados!$A736&gt;=Imóveis!$Q$2,Dados!$A736&lt;=Imóveis!$T$2),Imóveis!$S$2-(DATEDIF(Imóveis!$Q$2,Dados!$A736,"m")),0))=0,0,((Imóveis!$N$2/Imóveis!$S$2)+((Imóveis!$N$2-((Imóveis!$S$2-(IF(AND(Dados!$A736&gt;=Imóveis!$Q$2,Dados!$A736&lt;=Imóveis!$T$2),Imóveis!$S$2-(DATEDIF(Imóveis!$Q$2,Dados!$A736,"m")),)))*(Imóveis!$N$2/Imóveis!$S$2)))*Imóveis!$P$2))))*IF(AND(Imóveis!$E$2&gt;0,Dados!$A736&gt;Imóveis!$E$2),0,1)</f>
        <v>0</v>
      </c>
      <c r="J736" s="18">
        <f>IF(Imóveis!$F$3="PRICE",IF(AND(Dados!$A736&gt;=Imóveis!$Q$3,Dados!$A736&lt;=Imóveis!$T$3),Imóveis!$U$3,0),IF((IF(AND(Dados!$A736&gt;=Imóveis!$Q$3,Dados!$A736&lt;=Imóveis!$T$3),Imóveis!$S$3-(DATEDIF(Imóveis!$Q$3,Dados!$A736,"m")),0))=0,0,((Imóveis!$N$3/Imóveis!$S$3)+((Imóveis!$N$3-((Imóveis!$S$3-(IF(AND(Dados!$A736&gt;=Imóveis!$Q$3,Dados!$A736&lt;=Imóveis!$T$3),Imóveis!$S$3-(DATEDIF(Imóveis!$Q$3,Dados!$A736,"m")),)))*(Imóveis!$N$3/Imóveis!$S$3)))*Imóveis!$P$3))))*IF(AND(Imóveis!$E$3&gt;0,Dados!$A736&gt;Imóveis!$E$3),0,1)</f>
        <v>0</v>
      </c>
      <c r="K736" s="18">
        <f>IF(Imóveis!$F$4="PRICE",IF(AND(Dados!$A736&gt;=Imóveis!$Q$4,Dados!$A736&lt;=Imóveis!$T$4),Imóveis!$U$4,0),IF((IF(AND(Dados!$A736&gt;=Imóveis!$Q$4,Dados!$A736&lt;=Imóveis!$T$4),Imóveis!$S$4-(DATEDIF(Imóveis!$Q$4,Dados!$A736,"m")),0))=0,0,((Imóveis!$N$4/Imóveis!$S$4)+((Imóveis!$N$4-((Imóveis!$S$4-(IF(AND(Dados!$A736&gt;=Imóveis!$Q$4,Dados!$A736&lt;=Imóveis!$T$4),Imóveis!$S$4-(DATEDIF(Imóveis!$Q$4,Dados!$A736,"m")),)))*(Imóveis!$N$4/Imóveis!$S$4)))*Imóveis!$P$4))))*IF(AND(Imóveis!$E$4&gt;0,Dados!$A736&gt;Imóveis!$E$4),0,1)</f>
        <v>0</v>
      </c>
      <c r="L736" s="18">
        <f>IF(Imóveis!$F$5="PRICE",IF(AND(Dados!$A736&gt;=Imóveis!$Q$5,Dados!$A736&lt;=Imóveis!$T$5),Imóveis!$U$5,0),IF((IF(AND(Dados!$A736&gt;=Imóveis!$Q$5,Dados!$A736&lt;=Imóveis!$T$5),Imóveis!$S$5-(DATEDIF(Imóveis!$Q$5,Dados!$A736,"m")),0))=0,0,((Imóveis!$N$5/Imóveis!$S$5)+((Imóveis!$N$5-((Imóveis!$S$5-(IF(AND(Dados!$A736 &gt;=Imóveis!$Q$5,Dados!$A736&lt;=Imóveis!$T$5),Imóveis!$S$5-(DATEDIF(Imóveis!$Q$5,Dados!$A736,"m")),)))*(Imóveis!$N$5/Imóveis!$S$5)))*Imóveis!$P$5))))*IF(AND(Imóveis!$E$5&gt;0,Dados!$A736&gt;Imóveis!$E$5),0,1)*Imóveis!$I$5</f>
        <v>0</v>
      </c>
      <c r="M736" s="18">
        <f>IF(Imóveis!$F$6="PRICE",IF(AND(Dados!$A736&gt;=Imóveis!$Q$6,Dados!$A736&lt;=Imóveis!$T$6),Imóveis!$U$6,0),IF((IF(AND(Dados!$A736&gt;=Imóveis!$Q$6,Dados!$A736&lt;=Imóveis!$T$6),Imóveis!$S$6-(DATEDIF(Imóveis!$Q$6,Dados!$A736,"m")),0))=0,0,((Imóveis!$N$6/Imóveis!$S$6)+((Imóveis!$N$6-((Imóveis!$S$6-(IF(AND(Dados!$A736&gt;=Imóveis!$Q$6,Dados!$A736&lt;=Imóveis!$T$6),Imóveis!$S$6-(DATEDIF(Imóveis!$Q$6,Dados!$A736,"m")),)))*(Imóveis!$N$6/Imóveis!$S$6)))*Imóveis!$P$6))))*IF(AND(Imóveis!$E$6&gt;0,Dados!$A736&gt;Imóveis!$E$6),0,1)*Imóveis!$I$6</f>
        <v>0</v>
      </c>
      <c r="N736" s="18">
        <f t="shared" si="93"/>
        <v>37000</v>
      </c>
      <c r="O736" s="18">
        <f>SUMIFS(Receitas!$F:$F,Receitas!$J:$J,"&lt;="&amp;$A736,Receitas!$L:$L,"&gt;="&amp;$A736,Receitas!$C:$C,O$1,Receitas!$M:$M,"Mensal")+SUMIFS(Receitas!$F:$F,Receitas!$J:$J,"&lt;="&amp;$A736,Receitas!$L:$L,"&gt;="&amp;$A736,Receitas!$C:$C,O$1,Receitas!$M:$M,$B736)</f>
        <v>0</v>
      </c>
      <c r="P736" s="18">
        <f>SUMIFS(Receitas!$F:$F,Receitas!$J:$J,"&lt;="&amp;$A736,Receitas!$L:$L,"&gt;="&amp;$A736,Receitas!$C:$C,P$1,Receitas!$M:$M,"Mensal")+SUMIFS(Receitas!$F:$F,Receitas!$J:$J,"&lt;="&amp;$A736,Receitas!$L:$L,"&gt;="&amp;$A736,Receitas!$C:$C,P$1,Receitas!$M:$M,$B736)</f>
        <v>0</v>
      </c>
      <c r="Q736" s="18">
        <f>SUMIFS(Receitas!$F:$F,Receitas!$J:$J,"&lt;="&amp;$A736,Receitas!$L:$L,"&gt;="&amp;$A736,Receitas!$C:$C,Q$1,Receitas!$M:$M,"Mensal")+SUMIFS(Receitas!$F:$F,Receitas!$J:$J,"&lt;="&amp;$A736,Receitas!$L:$L,"&gt;="&amp;$A736,Receitas!$C:$C,Q$1,Receitas!$M:$M,$B736)</f>
        <v>0</v>
      </c>
      <c r="R736" s="18" cm="1">
        <f t="array" ref="R736">(IF(AND(Membros!$F$2="Sim",A736&lt;=MAX(Membros!$E$2:$E$5)),Membros!K$2,IF(AND(A736&gt;=Membros!J$2,A736&lt;=MAX(Membros!$E$2:$E$5)),Membros!K$2,0))+IF(AND(Membros!$F$3="Sim",A736&lt;=MAX(Membros!$E$2:$E$5)),Membros!K$3,IF(AND(A736&gt;=Membros!J$3,A736&lt;=MAX(Membros!$E$2:$E$5)),Membros!K$3,0)))*IF(AND(COUNTIFS(Tabela3[Tipo],"Provedor",Tabela3[Simulação Seguro],"Sim")=2,A736&gt;=MAX(IF(Tabela3[Tipo]="Dependente",Tabela3[Expectativa de Vida (Data)]))),0,1)</f>
        <v>10000</v>
      </c>
      <c r="S736" s="18">
        <f t="shared" si="94"/>
        <v>10000</v>
      </c>
      <c r="U736" s="18">
        <f t="shared" ca="1" si="97"/>
        <v>55632046.27888263</v>
      </c>
      <c r="V736" s="18">
        <f>SUMIF(Imóveis!E:E,Dados!A:A,Imóveis!Z:Z)-SUMIF(Imóveis!E:E,Dados!A:A,Imóveis!Y:Y)</f>
        <v>0</v>
      </c>
      <c r="W736" s="18">
        <f>-SUMIF(Projetos!N:N,A736,Projetos!F:F)</f>
        <v>0</v>
      </c>
      <c r="X736" s="18">
        <f t="shared" si="91"/>
        <v>-27000</v>
      </c>
      <c r="Y736" s="26">
        <f ca="1">(U736*((Indicadores_Economicos!D$2+1)^(1/12)-1))</f>
        <v>182124.84306830916</v>
      </c>
      <c r="Z736" s="18">
        <f t="shared" ca="1" si="95"/>
        <v>55787171.121950939</v>
      </c>
      <c r="AA736" s="18">
        <f ca="1">Auxiliar_Projetos!E736</f>
        <v>4.3059423267830458E-9</v>
      </c>
      <c r="AB736" s="18">
        <f ca="1">Auxiliar_Projetos!K736</f>
        <v>3.3122633282946444E-9</v>
      </c>
      <c r="AC736" s="18">
        <f ca="1">IF(Z736-AA736-AB736&gt;Investimentos!$C$14,Investimentos!$C$14,IF(Z736-AA736-AB736&lt;Investimentos!$C$14,Z736-AA736-AB736,0))</f>
        <v>300000</v>
      </c>
      <c r="AD736" s="18">
        <f t="shared" ca="1" si="96"/>
        <v>55487171.121950932</v>
      </c>
      <c r="AE736" s="18"/>
    </row>
    <row r="737" spans="1:31" x14ac:dyDescent="0.2">
      <c r="A737" s="4">
        <v>68028</v>
      </c>
      <c r="B737" s="5" t="str">
        <f t="shared" si="92"/>
        <v>abril</v>
      </c>
      <c r="C737" s="5" t="str">
        <f t="shared" si="98"/>
        <v>2086</v>
      </c>
      <c r="D737" s="5">
        <f>SUMIFS(Despesas!$F:$F,Despesas!$J:$J,"&lt;="&amp;$A737,Despesas!$L:$L,"&gt;="&amp;$A737,Despesas!$C:$C,D$1,Despesas!$M:$M,"Mensal")+SUMIFS(Despesas!$F:$F,Despesas!$J:$J,"&lt;="&amp;$A737,Despesas!$L:$L,"&gt;="&amp;$A737,Despesas!$C:$C,D$1,Despesas!$M:$M,$B737)</f>
        <v>23000</v>
      </c>
      <c r="E737" s="18">
        <f>SUMIFS(Despesas!$F:$F,Despesas!$J:$J,"&lt;="&amp;$A737,Despesas!$L:$L,"&gt;="&amp;$A737,Despesas!$C:$C,E$1,Despesas!$M:$M,"Mensal")+SUMIFS(Despesas!$F:$F,Despesas!$J:$J,"&lt;="&amp;$A737,Despesas!$L:$L,"&gt;="&amp;$A737,Despesas!$C:$C,E$1,Despesas!$M:$M,$B737)</f>
        <v>0</v>
      </c>
      <c r="F737" s="5">
        <f>SUMIFS(Despesas!$F:$F,Despesas!$J:$J,"&lt;="&amp;$A737,Despesas!$L:$L,"&gt;="&amp;$A737,Despesas!$C:$C,F$1,Despesas!$M:$M,"Mensal")+SUMIFS(Despesas!$F:$F,Despesas!$J:$J,"&lt;="&amp;$A737,Despesas!$L:$L,"&gt;="&amp;$A737,Despesas!$C:$C,F$1,Despesas!$M:$M,$B737)</f>
        <v>13000</v>
      </c>
      <c r="G737" s="5">
        <f>SUMIFS(Despesas!$F:$F,Despesas!$J:$J,"&lt;="&amp;$A737,Despesas!$L:$L,"&gt;="&amp;$A737,Despesas!$C:$C,G$1,Despesas!$M:$M,"Mensal")+SUMIFS(Despesas!$F:$F,Despesas!$J:$J,"&lt;="&amp;$A737,Despesas!$L:$L,"&gt;="&amp;$A737,Despesas!$C:$C,G$1,Despesas!$M:$M,$B737)</f>
        <v>0</v>
      </c>
      <c r="H737" s="18">
        <f>SUMIFS(Despesas!$F:$F,Despesas!$J:$J,"&lt;="&amp;$A737,Despesas!$L:$L,"&gt;="&amp;$A737,Despesas!$C:$C,H$1,Despesas!$M:$M,"Mensal")+SUMIFS(Despesas!$F:$F,Despesas!$J:$J,"&lt;="&amp;$A737,Despesas!$L:$L,"&gt;="&amp;$A737,Despesas!$C:$C,H$1,Despesas!$M:$M,$B737)</f>
        <v>1000</v>
      </c>
      <c r="I737" s="18">
        <f>IF(Imóveis!$F$2="PRICE",IF(AND(Dados!$A737&gt;=Imóveis!$Q$2,Dados!$A737&lt;=Imóveis!$T$2),Imóveis!$U$2,0),IF((IF(AND(Dados!$A737&gt;=Imóveis!$Q$2,Dados!$A737&lt;=Imóveis!$T$2),Imóveis!$S$2-(DATEDIF(Imóveis!$Q$2,Dados!$A737,"m")),0))=0,0,((Imóveis!$N$2/Imóveis!$S$2)+((Imóveis!$N$2-((Imóveis!$S$2-(IF(AND(Dados!$A737&gt;=Imóveis!$Q$2,Dados!$A737&lt;=Imóveis!$T$2),Imóveis!$S$2-(DATEDIF(Imóveis!$Q$2,Dados!$A737,"m")),)))*(Imóveis!$N$2/Imóveis!$S$2)))*Imóveis!$P$2))))*IF(AND(Imóveis!$E$2&gt;0,Dados!$A737&gt;Imóveis!$E$2),0,1)</f>
        <v>0</v>
      </c>
      <c r="J737" s="18">
        <f>IF(Imóveis!$F$3="PRICE",IF(AND(Dados!$A737&gt;=Imóveis!$Q$3,Dados!$A737&lt;=Imóveis!$T$3),Imóveis!$U$3,0),IF((IF(AND(Dados!$A737&gt;=Imóveis!$Q$3,Dados!$A737&lt;=Imóveis!$T$3),Imóveis!$S$3-(DATEDIF(Imóveis!$Q$3,Dados!$A737,"m")),0))=0,0,((Imóveis!$N$3/Imóveis!$S$3)+((Imóveis!$N$3-((Imóveis!$S$3-(IF(AND(Dados!$A737&gt;=Imóveis!$Q$3,Dados!$A737&lt;=Imóveis!$T$3),Imóveis!$S$3-(DATEDIF(Imóveis!$Q$3,Dados!$A737,"m")),)))*(Imóveis!$N$3/Imóveis!$S$3)))*Imóveis!$P$3))))*IF(AND(Imóveis!$E$3&gt;0,Dados!$A737&gt;Imóveis!$E$3),0,1)</f>
        <v>0</v>
      </c>
      <c r="K737" s="18">
        <f>IF(Imóveis!$F$4="PRICE",IF(AND(Dados!$A737&gt;=Imóveis!$Q$4,Dados!$A737&lt;=Imóveis!$T$4),Imóveis!$U$4,0),IF((IF(AND(Dados!$A737&gt;=Imóveis!$Q$4,Dados!$A737&lt;=Imóveis!$T$4),Imóveis!$S$4-(DATEDIF(Imóveis!$Q$4,Dados!$A737,"m")),0))=0,0,((Imóveis!$N$4/Imóveis!$S$4)+((Imóveis!$N$4-((Imóveis!$S$4-(IF(AND(Dados!$A737&gt;=Imóveis!$Q$4,Dados!$A737&lt;=Imóveis!$T$4),Imóveis!$S$4-(DATEDIF(Imóveis!$Q$4,Dados!$A737,"m")),)))*(Imóveis!$N$4/Imóveis!$S$4)))*Imóveis!$P$4))))*IF(AND(Imóveis!$E$4&gt;0,Dados!$A737&gt;Imóveis!$E$4),0,1)</f>
        <v>0</v>
      </c>
      <c r="L737" s="18">
        <f>IF(Imóveis!$F$5="PRICE",IF(AND(Dados!$A737&gt;=Imóveis!$Q$5,Dados!$A737&lt;=Imóveis!$T$5),Imóveis!$U$5,0),IF((IF(AND(Dados!$A737&gt;=Imóveis!$Q$5,Dados!$A737&lt;=Imóveis!$T$5),Imóveis!$S$5-(DATEDIF(Imóveis!$Q$5,Dados!$A737,"m")),0))=0,0,((Imóveis!$N$5/Imóveis!$S$5)+((Imóveis!$N$5-((Imóveis!$S$5-(IF(AND(Dados!$A737 &gt;=Imóveis!$Q$5,Dados!$A737&lt;=Imóveis!$T$5),Imóveis!$S$5-(DATEDIF(Imóveis!$Q$5,Dados!$A737,"m")),)))*(Imóveis!$N$5/Imóveis!$S$5)))*Imóveis!$P$5))))*IF(AND(Imóveis!$E$5&gt;0,Dados!$A737&gt;Imóveis!$E$5),0,1)*Imóveis!$I$5</f>
        <v>0</v>
      </c>
      <c r="M737" s="18">
        <f>IF(Imóveis!$F$6="PRICE",IF(AND(Dados!$A737&gt;=Imóveis!$Q$6,Dados!$A737&lt;=Imóveis!$T$6),Imóveis!$U$6,0),IF((IF(AND(Dados!$A737&gt;=Imóveis!$Q$6,Dados!$A737&lt;=Imóveis!$T$6),Imóveis!$S$6-(DATEDIF(Imóveis!$Q$6,Dados!$A737,"m")),0))=0,0,((Imóveis!$N$6/Imóveis!$S$6)+((Imóveis!$N$6-((Imóveis!$S$6-(IF(AND(Dados!$A737&gt;=Imóveis!$Q$6,Dados!$A737&lt;=Imóveis!$T$6),Imóveis!$S$6-(DATEDIF(Imóveis!$Q$6,Dados!$A737,"m")),)))*(Imóveis!$N$6/Imóveis!$S$6)))*Imóveis!$P$6))))*IF(AND(Imóveis!$E$6&gt;0,Dados!$A737&gt;Imóveis!$E$6),0,1)*Imóveis!$I$6</f>
        <v>0</v>
      </c>
      <c r="N737" s="18">
        <f t="shared" si="93"/>
        <v>37000</v>
      </c>
      <c r="O737" s="18">
        <f>SUMIFS(Receitas!$F:$F,Receitas!$J:$J,"&lt;="&amp;$A737,Receitas!$L:$L,"&gt;="&amp;$A737,Receitas!$C:$C,O$1,Receitas!$M:$M,"Mensal")+SUMIFS(Receitas!$F:$F,Receitas!$J:$J,"&lt;="&amp;$A737,Receitas!$L:$L,"&gt;="&amp;$A737,Receitas!$C:$C,O$1,Receitas!$M:$M,$B737)</f>
        <v>0</v>
      </c>
      <c r="P737" s="18">
        <f>SUMIFS(Receitas!$F:$F,Receitas!$J:$J,"&lt;="&amp;$A737,Receitas!$L:$L,"&gt;="&amp;$A737,Receitas!$C:$C,P$1,Receitas!$M:$M,"Mensal")+SUMIFS(Receitas!$F:$F,Receitas!$J:$J,"&lt;="&amp;$A737,Receitas!$L:$L,"&gt;="&amp;$A737,Receitas!$C:$C,P$1,Receitas!$M:$M,$B737)</f>
        <v>0</v>
      </c>
      <c r="Q737" s="18">
        <f>SUMIFS(Receitas!$F:$F,Receitas!$J:$J,"&lt;="&amp;$A737,Receitas!$L:$L,"&gt;="&amp;$A737,Receitas!$C:$C,Q$1,Receitas!$M:$M,"Mensal")+SUMIFS(Receitas!$F:$F,Receitas!$J:$J,"&lt;="&amp;$A737,Receitas!$L:$L,"&gt;="&amp;$A737,Receitas!$C:$C,Q$1,Receitas!$M:$M,$B737)</f>
        <v>0</v>
      </c>
      <c r="R737" s="18" cm="1">
        <f t="array" ref="R737">(IF(AND(Membros!$F$2="Sim",A737&lt;=MAX(Membros!$E$2:$E$5)),Membros!K$2,IF(AND(A737&gt;=Membros!J$2,A737&lt;=MAX(Membros!$E$2:$E$5)),Membros!K$2,0))+IF(AND(Membros!$F$3="Sim",A737&lt;=MAX(Membros!$E$2:$E$5)),Membros!K$3,IF(AND(A737&gt;=Membros!J$3,A737&lt;=MAX(Membros!$E$2:$E$5)),Membros!K$3,0)))*IF(AND(COUNTIFS(Tabela3[Tipo],"Provedor",Tabela3[Simulação Seguro],"Sim")=2,A737&gt;=MAX(IF(Tabela3[Tipo]="Dependente",Tabela3[Expectativa de Vida (Data)]))),0,1)</f>
        <v>10000</v>
      </c>
      <c r="S737" s="18">
        <f t="shared" si="94"/>
        <v>10000</v>
      </c>
      <c r="U737" s="18">
        <f t="shared" ca="1" si="97"/>
        <v>55787171.121950939</v>
      </c>
      <c r="V737" s="18">
        <f>SUMIF(Imóveis!E:E,Dados!A:A,Imóveis!Z:Z)-SUMIF(Imóveis!E:E,Dados!A:A,Imóveis!Y:Y)</f>
        <v>0</v>
      </c>
      <c r="W737" s="18">
        <f>-SUMIF(Projetos!N:N,A737,Projetos!F:F)</f>
        <v>0</v>
      </c>
      <c r="X737" s="18">
        <f t="shared" si="91"/>
        <v>-27000</v>
      </c>
      <c r="Y737" s="26">
        <f ca="1">(U737*((Indicadores_Economicos!D$2+1)^(1/12)-1))</f>
        <v>182632.68143826924</v>
      </c>
      <c r="Z737" s="18">
        <f t="shared" ca="1" si="95"/>
        <v>55942803.803389207</v>
      </c>
      <c r="AA737" s="18">
        <f ca="1">Auxiliar_Projetos!E737</f>
        <v>4.3200388614780896E-9</v>
      </c>
      <c r="AB737" s="18">
        <f ca="1">Auxiliar_Projetos!K737</f>
        <v>3.3231068165216013E-9</v>
      </c>
      <c r="AC737" s="18">
        <f ca="1">IF(Z737-AA737-AB737&gt;Investimentos!$C$14,Investimentos!$C$14,IF(Z737-AA737-AB737&lt;Investimentos!$C$14,Z737-AA737-AB737,0))</f>
        <v>300000</v>
      </c>
      <c r="AD737" s="18">
        <f t="shared" ca="1" si="96"/>
        <v>55642803.803389199</v>
      </c>
      <c r="AE737" s="18"/>
    </row>
    <row r="738" spans="1:31" x14ac:dyDescent="0.2">
      <c r="A738" s="4">
        <v>68058</v>
      </c>
      <c r="B738" s="5" t="str">
        <f t="shared" si="92"/>
        <v>maio</v>
      </c>
      <c r="C738" s="5" t="str">
        <f t="shared" si="98"/>
        <v>2086</v>
      </c>
      <c r="D738" s="5">
        <f>SUMIFS(Despesas!$F:$F,Despesas!$J:$J,"&lt;="&amp;$A738,Despesas!$L:$L,"&gt;="&amp;$A738,Despesas!$C:$C,D$1,Despesas!$M:$M,"Mensal")+SUMIFS(Despesas!$F:$F,Despesas!$J:$J,"&lt;="&amp;$A738,Despesas!$L:$L,"&gt;="&amp;$A738,Despesas!$C:$C,D$1,Despesas!$M:$M,$B738)</f>
        <v>23000</v>
      </c>
      <c r="E738" s="18">
        <f>SUMIFS(Despesas!$F:$F,Despesas!$J:$J,"&lt;="&amp;$A738,Despesas!$L:$L,"&gt;="&amp;$A738,Despesas!$C:$C,E$1,Despesas!$M:$M,"Mensal")+SUMIFS(Despesas!$F:$F,Despesas!$J:$J,"&lt;="&amp;$A738,Despesas!$L:$L,"&gt;="&amp;$A738,Despesas!$C:$C,E$1,Despesas!$M:$M,$B738)</f>
        <v>0</v>
      </c>
      <c r="F738" s="5">
        <f>SUMIFS(Despesas!$F:$F,Despesas!$J:$J,"&lt;="&amp;$A738,Despesas!$L:$L,"&gt;="&amp;$A738,Despesas!$C:$C,F$1,Despesas!$M:$M,"Mensal")+SUMIFS(Despesas!$F:$F,Despesas!$J:$J,"&lt;="&amp;$A738,Despesas!$L:$L,"&gt;="&amp;$A738,Despesas!$C:$C,F$1,Despesas!$M:$M,$B738)</f>
        <v>13000</v>
      </c>
      <c r="G738" s="5">
        <f>SUMIFS(Despesas!$F:$F,Despesas!$J:$J,"&lt;="&amp;$A738,Despesas!$L:$L,"&gt;="&amp;$A738,Despesas!$C:$C,G$1,Despesas!$M:$M,"Mensal")+SUMIFS(Despesas!$F:$F,Despesas!$J:$J,"&lt;="&amp;$A738,Despesas!$L:$L,"&gt;="&amp;$A738,Despesas!$C:$C,G$1,Despesas!$M:$M,$B738)</f>
        <v>0</v>
      </c>
      <c r="H738" s="18">
        <f>SUMIFS(Despesas!$F:$F,Despesas!$J:$J,"&lt;="&amp;$A738,Despesas!$L:$L,"&gt;="&amp;$A738,Despesas!$C:$C,H$1,Despesas!$M:$M,"Mensal")+SUMIFS(Despesas!$F:$F,Despesas!$J:$J,"&lt;="&amp;$A738,Despesas!$L:$L,"&gt;="&amp;$A738,Despesas!$C:$C,H$1,Despesas!$M:$M,$B738)</f>
        <v>1000</v>
      </c>
      <c r="I738" s="18">
        <f>IF(Imóveis!$F$2="PRICE",IF(AND(Dados!$A738&gt;=Imóveis!$Q$2,Dados!$A738&lt;=Imóveis!$T$2),Imóveis!$U$2,0),IF((IF(AND(Dados!$A738&gt;=Imóveis!$Q$2,Dados!$A738&lt;=Imóveis!$T$2),Imóveis!$S$2-(DATEDIF(Imóveis!$Q$2,Dados!$A738,"m")),0))=0,0,((Imóveis!$N$2/Imóveis!$S$2)+((Imóveis!$N$2-((Imóveis!$S$2-(IF(AND(Dados!$A738&gt;=Imóveis!$Q$2,Dados!$A738&lt;=Imóveis!$T$2),Imóveis!$S$2-(DATEDIF(Imóveis!$Q$2,Dados!$A738,"m")),)))*(Imóveis!$N$2/Imóveis!$S$2)))*Imóveis!$P$2))))*IF(AND(Imóveis!$E$2&gt;0,Dados!$A738&gt;Imóveis!$E$2),0,1)</f>
        <v>0</v>
      </c>
      <c r="J738" s="18">
        <f>IF(Imóveis!$F$3="PRICE",IF(AND(Dados!$A738&gt;=Imóveis!$Q$3,Dados!$A738&lt;=Imóveis!$T$3),Imóveis!$U$3,0),IF((IF(AND(Dados!$A738&gt;=Imóveis!$Q$3,Dados!$A738&lt;=Imóveis!$T$3),Imóveis!$S$3-(DATEDIF(Imóveis!$Q$3,Dados!$A738,"m")),0))=0,0,((Imóveis!$N$3/Imóveis!$S$3)+((Imóveis!$N$3-((Imóveis!$S$3-(IF(AND(Dados!$A738&gt;=Imóveis!$Q$3,Dados!$A738&lt;=Imóveis!$T$3),Imóveis!$S$3-(DATEDIF(Imóveis!$Q$3,Dados!$A738,"m")),)))*(Imóveis!$N$3/Imóveis!$S$3)))*Imóveis!$P$3))))*IF(AND(Imóveis!$E$3&gt;0,Dados!$A738&gt;Imóveis!$E$3),0,1)</f>
        <v>0</v>
      </c>
      <c r="K738" s="18">
        <f>IF(Imóveis!$F$4="PRICE",IF(AND(Dados!$A738&gt;=Imóveis!$Q$4,Dados!$A738&lt;=Imóveis!$T$4),Imóveis!$U$4,0),IF((IF(AND(Dados!$A738&gt;=Imóveis!$Q$4,Dados!$A738&lt;=Imóveis!$T$4),Imóveis!$S$4-(DATEDIF(Imóveis!$Q$4,Dados!$A738,"m")),0))=0,0,((Imóveis!$N$4/Imóveis!$S$4)+((Imóveis!$N$4-((Imóveis!$S$4-(IF(AND(Dados!$A738&gt;=Imóveis!$Q$4,Dados!$A738&lt;=Imóveis!$T$4),Imóveis!$S$4-(DATEDIF(Imóveis!$Q$4,Dados!$A738,"m")),)))*(Imóveis!$N$4/Imóveis!$S$4)))*Imóveis!$P$4))))*IF(AND(Imóveis!$E$4&gt;0,Dados!$A738&gt;Imóveis!$E$4),0,1)</f>
        <v>0</v>
      </c>
      <c r="L738" s="18">
        <f>IF(Imóveis!$F$5="PRICE",IF(AND(Dados!$A738&gt;=Imóveis!$Q$5,Dados!$A738&lt;=Imóveis!$T$5),Imóveis!$U$5,0),IF((IF(AND(Dados!$A738&gt;=Imóveis!$Q$5,Dados!$A738&lt;=Imóveis!$T$5),Imóveis!$S$5-(DATEDIF(Imóveis!$Q$5,Dados!$A738,"m")),0))=0,0,((Imóveis!$N$5/Imóveis!$S$5)+((Imóveis!$N$5-((Imóveis!$S$5-(IF(AND(Dados!$A738 &gt;=Imóveis!$Q$5,Dados!$A738&lt;=Imóveis!$T$5),Imóveis!$S$5-(DATEDIF(Imóveis!$Q$5,Dados!$A738,"m")),)))*(Imóveis!$N$5/Imóveis!$S$5)))*Imóveis!$P$5))))*IF(AND(Imóveis!$E$5&gt;0,Dados!$A738&gt;Imóveis!$E$5),0,1)*Imóveis!$I$5</f>
        <v>0</v>
      </c>
      <c r="M738" s="18">
        <f>IF(Imóveis!$F$6="PRICE",IF(AND(Dados!$A738&gt;=Imóveis!$Q$6,Dados!$A738&lt;=Imóveis!$T$6),Imóveis!$U$6,0),IF((IF(AND(Dados!$A738&gt;=Imóveis!$Q$6,Dados!$A738&lt;=Imóveis!$T$6),Imóveis!$S$6-(DATEDIF(Imóveis!$Q$6,Dados!$A738,"m")),0))=0,0,((Imóveis!$N$6/Imóveis!$S$6)+((Imóveis!$N$6-((Imóveis!$S$6-(IF(AND(Dados!$A738&gt;=Imóveis!$Q$6,Dados!$A738&lt;=Imóveis!$T$6),Imóveis!$S$6-(DATEDIF(Imóveis!$Q$6,Dados!$A738,"m")),)))*(Imóveis!$N$6/Imóveis!$S$6)))*Imóveis!$P$6))))*IF(AND(Imóveis!$E$6&gt;0,Dados!$A738&gt;Imóveis!$E$6),0,1)*Imóveis!$I$6</f>
        <v>0</v>
      </c>
      <c r="N738" s="18">
        <f t="shared" si="93"/>
        <v>37000</v>
      </c>
      <c r="O738" s="18">
        <f>SUMIFS(Receitas!$F:$F,Receitas!$J:$J,"&lt;="&amp;$A738,Receitas!$L:$L,"&gt;="&amp;$A738,Receitas!$C:$C,O$1,Receitas!$M:$M,"Mensal")+SUMIFS(Receitas!$F:$F,Receitas!$J:$J,"&lt;="&amp;$A738,Receitas!$L:$L,"&gt;="&amp;$A738,Receitas!$C:$C,O$1,Receitas!$M:$M,$B738)</f>
        <v>0</v>
      </c>
      <c r="P738" s="18">
        <f>SUMIFS(Receitas!$F:$F,Receitas!$J:$J,"&lt;="&amp;$A738,Receitas!$L:$L,"&gt;="&amp;$A738,Receitas!$C:$C,P$1,Receitas!$M:$M,"Mensal")+SUMIFS(Receitas!$F:$F,Receitas!$J:$J,"&lt;="&amp;$A738,Receitas!$L:$L,"&gt;="&amp;$A738,Receitas!$C:$C,P$1,Receitas!$M:$M,$B738)</f>
        <v>0</v>
      </c>
      <c r="Q738" s="18">
        <f>SUMIFS(Receitas!$F:$F,Receitas!$J:$J,"&lt;="&amp;$A738,Receitas!$L:$L,"&gt;="&amp;$A738,Receitas!$C:$C,Q$1,Receitas!$M:$M,"Mensal")+SUMIFS(Receitas!$F:$F,Receitas!$J:$J,"&lt;="&amp;$A738,Receitas!$L:$L,"&gt;="&amp;$A738,Receitas!$C:$C,Q$1,Receitas!$M:$M,$B738)</f>
        <v>0</v>
      </c>
      <c r="R738" s="18" cm="1">
        <f t="array" ref="R738">(IF(AND(Membros!$F$2="Sim",A738&lt;=MAX(Membros!$E$2:$E$5)),Membros!K$2,IF(AND(A738&gt;=Membros!J$2,A738&lt;=MAX(Membros!$E$2:$E$5)),Membros!K$2,0))+IF(AND(Membros!$F$3="Sim",A738&lt;=MAX(Membros!$E$2:$E$5)),Membros!K$3,IF(AND(A738&gt;=Membros!J$3,A738&lt;=MAX(Membros!$E$2:$E$5)),Membros!K$3,0)))*IF(AND(COUNTIFS(Tabela3[Tipo],"Provedor",Tabela3[Simulação Seguro],"Sim")=2,A738&gt;=MAX(IF(Tabela3[Tipo]="Dependente",Tabela3[Expectativa de Vida (Data)]))),0,1)</f>
        <v>10000</v>
      </c>
      <c r="S738" s="18">
        <f t="shared" si="94"/>
        <v>10000</v>
      </c>
      <c r="U738" s="18">
        <f t="shared" ca="1" si="97"/>
        <v>55942803.803389207</v>
      </c>
      <c r="V738" s="18">
        <f>SUMIF(Imóveis!E:E,Dados!A:A,Imóveis!Z:Z)-SUMIF(Imóveis!E:E,Dados!A:A,Imóveis!Y:Y)</f>
        <v>0</v>
      </c>
      <c r="W738" s="18">
        <f>-SUMIF(Projetos!N:N,A738,Projetos!F:F)</f>
        <v>0</v>
      </c>
      <c r="X738" s="18">
        <f t="shared" si="91"/>
        <v>-27000</v>
      </c>
      <c r="Y738" s="26">
        <f ca="1">(U738*((Indicadores_Economicos!D$2+1)^(1/12)-1))</f>
        <v>183142.18233890398</v>
      </c>
      <c r="Z738" s="18">
        <f t="shared" ca="1" si="95"/>
        <v>56098945.985728107</v>
      </c>
      <c r="AA738" s="18">
        <f ca="1">Auxiliar_Projetos!E738</f>
        <v>4.3341815445595555E-9</v>
      </c>
      <c r="AB738" s="18">
        <f ca="1">Auxiliar_Projetos!K738</f>
        <v>3.3339858035073445E-9</v>
      </c>
      <c r="AC738" s="18">
        <f ca="1">IF(Z738-AA738-AB738&gt;Investimentos!$C$14,Investimentos!$C$14,IF(Z738-AA738-AB738&lt;Investimentos!$C$14,Z738-AA738-AB738,0))</f>
        <v>300000</v>
      </c>
      <c r="AD738" s="18">
        <f t="shared" ca="1" si="96"/>
        <v>55798945.9857281</v>
      </c>
      <c r="AE738" s="18"/>
    </row>
    <row r="739" spans="1:31" x14ac:dyDescent="0.2">
      <c r="A739" s="4">
        <v>68089</v>
      </c>
      <c r="B739" s="5" t="str">
        <f t="shared" si="92"/>
        <v>junho</v>
      </c>
      <c r="C739" s="5" t="str">
        <f t="shared" si="98"/>
        <v>2086</v>
      </c>
      <c r="D739" s="5">
        <f>SUMIFS(Despesas!$F:$F,Despesas!$J:$J,"&lt;="&amp;$A739,Despesas!$L:$L,"&gt;="&amp;$A739,Despesas!$C:$C,D$1,Despesas!$M:$M,"Mensal")+SUMIFS(Despesas!$F:$F,Despesas!$J:$J,"&lt;="&amp;$A739,Despesas!$L:$L,"&gt;="&amp;$A739,Despesas!$C:$C,D$1,Despesas!$M:$M,$B739)</f>
        <v>23000</v>
      </c>
      <c r="E739" s="18">
        <f>SUMIFS(Despesas!$F:$F,Despesas!$J:$J,"&lt;="&amp;$A739,Despesas!$L:$L,"&gt;="&amp;$A739,Despesas!$C:$C,E$1,Despesas!$M:$M,"Mensal")+SUMIFS(Despesas!$F:$F,Despesas!$J:$J,"&lt;="&amp;$A739,Despesas!$L:$L,"&gt;="&amp;$A739,Despesas!$C:$C,E$1,Despesas!$M:$M,$B739)</f>
        <v>0</v>
      </c>
      <c r="F739" s="5">
        <f>SUMIFS(Despesas!$F:$F,Despesas!$J:$J,"&lt;="&amp;$A739,Despesas!$L:$L,"&gt;="&amp;$A739,Despesas!$C:$C,F$1,Despesas!$M:$M,"Mensal")+SUMIFS(Despesas!$F:$F,Despesas!$J:$J,"&lt;="&amp;$A739,Despesas!$L:$L,"&gt;="&amp;$A739,Despesas!$C:$C,F$1,Despesas!$M:$M,$B739)</f>
        <v>13000</v>
      </c>
      <c r="G739" s="5">
        <f>SUMIFS(Despesas!$F:$F,Despesas!$J:$J,"&lt;="&amp;$A739,Despesas!$L:$L,"&gt;="&amp;$A739,Despesas!$C:$C,G$1,Despesas!$M:$M,"Mensal")+SUMIFS(Despesas!$F:$F,Despesas!$J:$J,"&lt;="&amp;$A739,Despesas!$L:$L,"&gt;="&amp;$A739,Despesas!$C:$C,G$1,Despesas!$M:$M,$B739)</f>
        <v>0</v>
      </c>
      <c r="H739" s="18">
        <f>SUMIFS(Despesas!$F:$F,Despesas!$J:$J,"&lt;="&amp;$A739,Despesas!$L:$L,"&gt;="&amp;$A739,Despesas!$C:$C,H$1,Despesas!$M:$M,"Mensal")+SUMIFS(Despesas!$F:$F,Despesas!$J:$J,"&lt;="&amp;$A739,Despesas!$L:$L,"&gt;="&amp;$A739,Despesas!$C:$C,H$1,Despesas!$M:$M,$B739)</f>
        <v>1000</v>
      </c>
      <c r="I739" s="18">
        <f>IF(Imóveis!$F$2="PRICE",IF(AND(Dados!$A739&gt;=Imóveis!$Q$2,Dados!$A739&lt;=Imóveis!$T$2),Imóveis!$U$2,0),IF((IF(AND(Dados!$A739&gt;=Imóveis!$Q$2,Dados!$A739&lt;=Imóveis!$T$2),Imóveis!$S$2-(DATEDIF(Imóveis!$Q$2,Dados!$A739,"m")),0))=0,0,((Imóveis!$N$2/Imóveis!$S$2)+((Imóveis!$N$2-((Imóveis!$S$2-(IF(AND(Dados!$A739&gt;=Imóveis!$Q$2,Dados!$A739&lt;=Imóveis!$T$2),Imóveis!$S$2-(DATEDIF(Imóveis!$Q$2,Dados!$A739,"m")),)))*(Imóveis!$N$2/Imóveis!$S$2)))*Imóveis!$P$2))))*IF(AND(Imóveis!$E$2&gt;0,Dados!$A739&gt;Imóveis!$E$2),0,1)</f>
        <v>0</v>
      </c>
      <c r="J739" s="18">
        <f>IF(Imóveis!$F$3="PRICE",IF(AND(Dados!$A739&gt;=Imóveis!$Q$3,Dados!$A739&lt;=Imóveis!$T$3),Imóveis!$U$3,0),IF((IF(AND(Dados!$A739&gt;=Imóveis!$Q$3,Dados!$A739&lt;=Imóveis!$T$3),Imóveis!$S$3-(DATEDIF(Imóveis!$Q$3,Dados!$A739,"m")),0))=0,0,((Imóveis!$N$3/Imóveis!$S$3)+((Imóveis!$N$3-((Imóveis!$S$3-(IF(AND(Dados!$A739&gt;=Imóveis!$Q$3,Dados!$A739&lt;=Imóveis!$T$3),Imóveis!$S$3-(DATEDIF(Imóveis!$Q$3,Dados!$A739,"m")),)))*(Imóveis!$N$3/Imóveis!$S$3)))*Imóveis!$P$3))))*IF(AND(Imóveis!$E$3&gt;0,Dados!$A739&gt;Imóveis!$E$3),0,1)</f>
        <v>0</v>
      </c>
      <c r="K739" s="18">
        <f>IF(Imóveis!$F$4="PRICE",IF(AND(Dados!$A739&gt;=Imóveis!$Q$4,Dados!$A739&lt;=Imóveis!$T$4),Imóveis!$U$4,0),IF((IF(AND(Dados!$A739&gt;=Imóveis!$Q$4,Dados!$A739&lt;=Imóveis!$T$4),Imóveis!$S$4-(DATEDIF(Imóveis!$Q$4,Dados!$A739,"m")),0))=0,0,((Imóveis!$N$4/Imóveis!$S$4)+((Imóveis!$N$4-((Imóveis!$S$4-(IF(AND(Dados!$A739&gt;=Imóveis!$Q$4,Dados!$A739&lt;=Imóveis!$T$4),Imóveis!$S$4-(DATEDIF(Imóveis!$Q$4,Dados!$A739,"m")),)))*(Imóveis!$N$4/Imóveis!$S$4)))*Imóveis!$P$4))))*IF(AND(Imóveis!$E$4&gt;0,Dados!$A739&gt;Imóveis!$E$4),0,1)</f>
        <v>0</v>
      </c>
      <c r="L739" s="18">
        <f>IF(Imóveis!$F$5="PRICE",IF(AND(Dados!$A739&gt;=Imóveis!$Q$5,Dados!$A739&lt;=Imóveis!$T$5),Imóveis!$U$5,0),IF((IF(AND(Dados!$A739&gt;=Imóveis!$Q$5,Dados!$A739&lt;=Imóveis!$T$5),Imóveis!$S$5-(DATEDIF(Imóveis!$Q$5,Dados!$A739,"m")),0))=0,0,((Imóveis!$N$5/Imóveis!$S$5)+((Imóveis!$N$5-((Imóveis!$S$5-(IF(AND(Dados!$A739 &gt;=Imóveis!$Q$5,Dados!$A739&lt;=Imóveis!$T$5),Imóveis!$S$5-(DATEDIF(Imóveis!$Q$5,Dados!$A739,"m")),)))*(Imóveis!$N$5/Imóveis!$S$5)))*Imóveis!$P$5))))*IF(AND(Imóveis!$E$5&gt;0,Dados!$A739&gt;Imóveis!$E$5),0,1)*Imóveis!$I$5</f>
        <v>0</v>
      </c>
      <c r="M739" s="18">
        <f>IF(Imóveis!$F$6="PRICE",IF(AND(Dados!$A739&gt;=Imóveis!$Q$6,Dados!$A739&lt;=Imóveis!$T$6),Imóveis!$U$6,0),IF((IF(AND(Dados!$A739&gt;=Imóveis!$Q$6,Dados!$A739&lt;=Imóveis!$T$6),Imóveis!$S$6-(DATEDIF(Imóveis!$Q$6,Dados!$A739,"m")),0))=0,0,((Imóveis!$N$6/Imóveis!$S$6)+((Imóveis!$N$6-((Imóveis!$S$6-(IF(AND(Dados!$A739&gt;=Imóveis!$Q$6,Dados!$A739&lt;=Imóveis!$T$6),Imóveis!$S$6-(DATEDIF(Imóveis!$Q$6,Dados!$A739,"m")),)))*(Imóveis!$N$6/Imóveis!$S$6)))*Imóveis!$P$6))))*IF(AND(Imóveis!$E$6&gt;0,Dados!$A739&gt;Imóveis!$E$6),0,1)*Imóveis!$I$6</f>
        <v>0</v>
      </c>
      <c r="N739" s="18">
        <f t="shared" si="93"/>
        <v>37000</v>
      </c>
      <c r="O739" s="18">
        <f>SUMIFS(Receitas!$F:$F,Receitas!$J:$J,"&lt;="&amp;$A739,Receitas!$L:$L,"&gt;="&amp;$A739,Receitas!$C:$C,O$1,Receitas!$M:$M,"Mensal")+SUMIFS(Receitas!$F:$F,Receitas!$J:$J,"&lt;="&amp;$A739,Receitas!$L:$L,"&gt;="&amp;$A739,Receitas!$C:$C,O$1,Receitas!$M:$M,$B739)</f>
        <v>0</v>
      </c>
      <c r="P739" s="18">
        <f>SUMIFS(Receitas!$F:$F,Receitas!$J:$J,"&lt;="&amp;$A739,Receitas!$L:$L,"&gt;="&amp;$A739,Receitas!$C:$C,P$1,Receitas!$M:$M,"Mensal")+SUMIFS(Receitas!$F:$F,Receitas!$J:$J,"&lt;="&amp;$A739,Receitas!$L:$L,"&gt;="&amp;$A739,Receitas!$C:$C,P$1,Receitas!$M:$M,$B739)</f>
        <v>0</v>
      </c>
      <c r="Q739" s="18">
        <f>SUMIFS(Receitas!$F:$F,Receitas!$J:$J,"&lt;="&amp;$A739,Receitas!$L:$L,"&gt;="&amp;$A739,Receitas!$C:$C,Q$1,Receitas!$M:$M,"Mensal")+SUMIFS(Receitas!$F:$F,Receitas!$J:$J,"&lt;="&amp;$A739,Receitas!$L:$L,"&gt;="&amp;$A739,Receitas!$C:$C,Q$1,Receitas!$M:$M,$B739)</f>
        <v>0</v>
      </c>
      <c r="R739" s="18" cm="1">
        <f t="array" ref="R739">(IF(AND(Membros!$F$2="Sim",A739&lt;=MAX(Membros!$E$2:$E$5)),Membros!K$2,IF(AND(A739&gt;=Membros!J$2,A739&lt;=MAX(Membros!$E$2:$E$5)),Membros!K$2,0))+IF(AND(Membros!$F$3="Sim",A739&lt;=MAX(Membros!$E$2:$E$5)),Membros!K$3,IF(AND(A739&gt;=Membros!J$3,A739&lt;=MAX(Membros!$E$2:$E$5)),Membros!K$3,0)))*IF(AND(COUNTIFS(Tabela3[Tipo],"Provedor",Tabela3[Simulação Seguro],"Sim")=2,A739&gt;=MAX(IF(Tabela3[Tipo]="Dependente",Tabela3[Expectativa de Vida (Data)]))),0,1)</f>
        <v>10000</v>
      </c>
      <c r="S739" s="18">
        <f t="shared" si="94"/>
        <v>10000</v>
      </c>
      <c r="U739" s="18">
        <f t="shared" ca="1" si="97"/>
        <v>56098945.985728107</v>
      </c>
      <c r="V739" s="18">
        <f>SUMIF(Imóveis!E:E,Dados!A:A,Imóveis!Z:Z)-SUMIF(Imóveis!E:E,Dados!A:A,Imóveis!Y:Y)</f>
        <v>0</v>
      </c>
      <c r="W739" s="18">
        <f>-SUMIF(Projetos!N:N,A739,Projetos!F:F)</f>
        <v>0</v>
      </c>
      <c r="X739" s="18">
        <f t="shared" si="91"/>
        <v>-27000</v>
      </c>
      <c r="Y739" s="26">
        <f ca="1">(U739*((Indicadores_Economicos!D$2+1)^(1/12)-1))</f>
        <v>183653.35121290621</v>
      </c>
      <c r="Z739" s="18">
        <f t="shared" ca="1" si="95"/>
        <v>56255599.336941011</v>
      </c>
      <c r="AA739" s="18">
        <f ca="1">Auxiliar_Projetos!E739</f>
        <v>4.3483705271052521E-9</v>
      </c>
      <c r="AB739" s="18">
        <f ca="1">Auxiliar_Projetos!K739</f>
        <v>3.3449004054655728E-9</v>
      </c>
      <c r="AC739" s="18">
        <f ca="1">IF(Z739-AA739-AB739&gt;Investimentos!$C$14,Investimentos!$C$14,IF(Z739-AA739-AB739&lt;Investimentos!$C$14,Z739-AA739-AB739,0))</f>
        <v>300000</v>
      </c>
      <c r="AD739" s="18">
        <f t="shared" ca="1" si="96"/>
        <v>55955599.336941004</v>
      </c>
      <c r="AE739" s="18"/>
    </row>
    <row r="740" spans="1:31" x14ac:dyDescent="0.2">
      <c r="A740" s="4">
        <v>68119</v>
      </c>
      <c r="B740" s="5" t="str">
        <f t="shared" si="92"/>
        <v>julho</v>
      </c>
      <c r="C740" s="5" t="str">
        <f t="shared" si="98"/>
        <v>2086</v>
      </c>
      <c r="D740" s="5">
        <f>SUMIFS(Despesas!$F:$F,Despesas!$J:$J,"&lt;="&amp;$A740,Despesas!$L:$L,"&gt;="&amp;$A740,Despesas!$C:$C,D$1,Despesas!$M:$M,"Mensal")+SUMIFS(Despesas!$F:$F,Despesas!$J:$J,"&lt;="&amp;$A740,Despesas!$L:$L,"&gt;="&amp;$A740,Despesas!$C:$C,D$1,Despesas!$M:$M,$B740)</f>
        <v>23000</v>
      </c>
      <c r="E740" s="18">
        <f>SUMIFS(Despesas!$F:$F,Despesas!$J:$J,"&lt;="&amp;$A740,Despesas!$L:$L,"&gt;="&amp;$A740,Despesas!$C:$C,E$1,Despesas!$M:$M,"Mensal")+SUMIFS(Despesas!$F:$F,Despesas!$J:$J,"&lt;="&amp;$A740,Despesas!$L:$L,"&gt;="&amp;$A740,Despesas!$C:$C,E$1,Despesas!$M:$M,$B740)</f>
        <v>0</v>
      </c>
      <c r="F740" s="5">
        <f>SUMIFS(Despesas!$F:$F,Despesas!$J:$J,"&lt;="&amp;$A740,Despesas!$L:$L,"&gt;="&amp;$A740,Despesas!$C:$C,F$1,Despesas!$M:$M,"Mensal")+SUMIFS(Despesas!$F:$F,Despesas!$J:$J,"&lt;="&amp;$A740,Despesas!$L:$L,"&gt;="&amp;$A740,Despesas!$C:$C,F$1,Despesas!$M:$M,$B740)</f>
        <v>13000</v>
      </c>
      <c r="G740" s="5">
        <f ca="1">SUMIFS(Despesas!$F:$F,Despesas!$J:$J,"&lt;="&amp;$A740,Despesas!$L:$L,"&gt;="&amp;$A740,Despesas!$C:$C,G$1,Despesas!$M:$M,"Mensal")+SUMIFS(Despesas!$F:$F,Despesas!$J:$J,"&lt;="&amp;$A740,Despesas!$L:$L,"&gt;="&amp;$A740,Despesas!$C:$C,G$1,Despesas!$M:$M,$B740)</f>
        <v>55757</v>
      </c>
      <c r="H740" s="18">
        <f>SUMIFS(Despesas!$F:$F,Despesas!$J:$J,"&lt;="&amp;$A740,Despesas!$L:$L,"&gt;="&amp;$A740,Despesas!$C:$C,H$1,Despesas!$M:$M,"Mensal")+SUMIFS(Despesas!$F:$F,Despesas!$J:$J,"&lt;="&amp;$A740,Despesas!$L:$L,"&gt;="&amp;$A740,Despesas!$C:$C,H$1,Despesas!$M:$M,$B740)</f>
        <v>1000</v>
      </c>
      <c r="I740" s="18">
        <f>IF(Imóveis!$F$2="PRICE",IF(AND(Dados!$A740&gt;=Imóveis!$Q$2,Dados!$A740&lt;=Imóveis!$T$2),Imóveis!$U$2,0),IF((IF(AND(Dados!$A740&gt;=Imóveis!$Q$2,Dados!$A740&lt;=Imóveis!$T$2),Imóveis!$S$2-(DATEDIF(Imóveis!$Q$2,Dados!$A740,"m")),0))=0,0,((Imóveis!$N$2/Imóveis!$S$2)+((Imóveis!$N$2-((Imóveis!$S$2-(IF(AND(Dados!$A740&gt;=Imóveis!$Q$2,Dados!$A740&lt;=Imóveis!$T$2),Imóveis!$S$2-(DATEDIF(Imóveis!$Q$2,Dados!$A740,"m")),)))*(Imóveis!$N$2/Imóveis!$S$2)))*Imóveis!$P$2))))*IF(AND(Imóveis!$E$2&gt;0,Dados!$A740&gt;Imóveis!$E$2),0,1)</f>
        <v>0</v>
      </c>
      <c r="J740" s="18">
        <f>IF(Imóveis!$F$3="PRICE",IF(AND(Dados!$A740&gt;=Imóveis!$Q$3,Dados!$A740&lt;=Imóveis!$T$3),Imóveis!$U$3,0),IF((IF(AND(Dados!$A740&gt;=Imóveis!$Q$3,Dados!$A740&lt;=Imóveis!$T$3),Imóveis!$S$3-(DATEDIF(Imóveis!$Q$3,Dados!$A740,"m")),0))=0,0,((Imóveis!$N$3/Imóveis!$S$3)+((Imóveis!$N$3-((Imóveis!$S$3-(IF(AND(Dados!$A740&gt;=Imóveis!$Q$3,Dados!$A740&lt;=Imóveis!$T$3),Imóveis!$S$3-(DATEDIF(Imóveis!$Q$3,Dados!$A740,"m")),)))*(Imóveis!$N$3/Imóveis!$S$3)))*Imóveis!$P$3))))*IF(AND(Imóveis!$E$3&gt;0,Dados!$A740&gt;Imóveis!$E$3),0,1)</f>
        <v>0</v>
      </c>
      <c r="K740" s="18">
        <f>IF(Imóveis!$F$4="PRICE",IF(AND(Dados!$A740&gt;=Imóveis!$Q$4,Dados!$A740&lt;=Imóveis!$T$4),Imóveis!$U$4,0),IF((IF(AND(Dados!$A740&gt;=Imóveis!$Q$4,Dados!$A740&lt;=Imóveis!$T$4),Imóveis!$S$4-(DATEDIF(Imóveis!$Q$4,Dados!$A740,"m")),0))=0,0,((Imóveis!$N$4/Imóveis!$S$4)+((Imóveis!$N$4-((Imóveis!$S$4-(IF(AND(Dados!$A740&gt;=Imóveis!$Q$4,Dados!$A740&lt;=Imóveis!$T$4),Imóveis!$S$4-(DATEDIF(Imóveis!$Q$4,Dados!$A740,"m")),)))*(Imóveis!$N$4/Imóveis!$S$4)))*Imóveis!$P$4))))*IF(AND(Imóveis!$E$4&gt;0,Dados!$A740&gt;Imóveis!$E$4),0,1)</f>
        <v>0</v>
      </c>
      <c r="L740" s="18">
        <f>IF(Imóveis!$F$5="PRICE",IF(AND(Dados!$A740&gt;=Imóveis!$Q$5,Dados!$A740&lt;=Imóveis!$T$5),Imóveis!$U$5,0),IF((IF(AND(Dados!$A740&gt;=Imóveis!$Q$5,Dados!$A740&lt;=Imóveis!$T$5),Imóveis!$S$5-(DATEDIF(Imóveis!$Q$5,Dados!$A740,"m")),0))=0,0,((Imóveis!$N$5/Imóveis!$S$5)+((Imóveis!$N$5-((Imóveis!$S$5-(IF(AND(Dados!$A740 &gt;=Imóveis!$Q$5,Dados!$A740&lt;=Imóveis!$T$5),Imóveis!$S$5-(DATEDIF(Imóveis!$Q$5,Dados!$A740,"m")),)))*(Imóveis!$N$5/Imóveis!$S$5)))*Imóveis!$P$5))))*IF(AND(Imóveis!$E$5&gt;0,Dados!$A740&gt;Imóveis!$E$5),0,1)*Imóveis!$I$5</f>
        <v>0</v>
      </c>
      <c r="M740" s="18">
        <f>IF(Imóveis!$F$6="PRICE",IF(AND(Dados!$A740&gt;=Imóveis!$Q$6,Dados!$A740&lt;=Imóveis!$T$6),Imóveis!$U$6,0),IF((IF(AND(Dados!$A740&gt;=Imóveis!$Q$6,Dados!$A740&lt;=Imóveis!$T$6),Imóveis!$S$6-(DATEDIF(Imóveis!$Q$6,Dados!$A740,"m")),0))=0,0,((Imóveis!$N$6/Imóveis!$S$6)+((Imóveis!$N$6-((Imóveis!$S$6-(IF(AND(Dados!$A740&gt;=Imóveis!$Q$6,Dados!$A740&lt;=Imóveis!$T$6),Imóveis!$S$6-(DATEDIF(Imóveis!$Q$6,Dados!$A740,"m")),)))*(Imóveis!$N$6/Imóveis!$S$6)))*Imóveis!$P$6))))*IF(AND(Imóveis!$E$6&gt;0,Dados!$A740&gt;Imóveis!$E$6),0,1)*Imóveis!$I$6</f>
        <v>0</v>
      </c>
      <c r="N740" s="18">
        <f t="shared" ca="1" si="93"/>
        <v>92757</v>
      </c>
      <c r="O740" s="18">
        <f>SUMIFS(Receitas!$F:$F,Receitas!$J:$J,"&lt;="&amp;$A740,Receitas!$L:$L,"&gt;="&amp;$A740,Receitas!$C:$C,O$1,Receitas!$M:$M,"Mensal")+SUMIFS(Receitas!$F:$F,Receitas!$J:$J,"&lt;="&amp;$A740,Receitas!$L:$L,"&gt;="&amp;$A740,Receitas!$C:$C,O$1,Receitas!$M:$M,$B740)</f>
        <v>0</v>
      </c>
      <c r="P740" s="18">
        <f>SUMIFS(Receitas!$F:$F,Receitas!$J:$J,"&lt;="&amp;$A740,Receitas!$L:$L,"&gt;="&amp;$A740,Receitas!$C:$C,P$1,Receitas!$M:$M,"Mensal")+SUMIFS(Receitas!$F:$F,Receitas!$J:$J,"&lt;="&amp;$A740,Receitas!$L:$L,"&gt;="&amp;$A740,Receitas!$C:$C,P$1,Receitas!$M:$M,$B740)</f>
        <v>0</v>
      </c>
      <c r="Q740" s="18">
        <f>SUMIFS(Receitas!$F:$F,Receitas!$J:$J,"&lt;="&amp;$A740,Receitas!$L:$L,"&gt;="&amp;$A740,Receitas!$C:$C,Q$1,Receitas!$M:$M,"Mensal")+SUMIFS(Receitas!$F:$F,Receitas!$J:$J,"&lt;="&amp;$A740,Receitas!$L:$L,"&gt;="&amp;$A740,Receitas!$C:$C,Q$1,Receitas!$M:$M,$B740)</f>
        <v>0</v>
      </c>
      <c r="R740" s="18" cm="1">
        <f t="array" ref="R740">(IF(AND(Membros!$F$2="Sim",A740&lt;=MAX(Membros!$E$2:$E$5)),Membros!K$2,IF(AND(A740&gt;=Membros!J$2,A740&lt;=MAX(Membros!$E$2:$E$5)),Membros!K$2,0))+IF(AND(Membros!$F$3="Sim",A740&lt;=MAX(Membros!$E$2:$E$5)),Membros!K$3,IF(AND(A740&gt;=Membros!J$3,A740&lt;=MAX(Membros!$E$2:$E$5)),Membros!K$3,0)))*IF(AND(COUNTIFS(Tabela3[Tipo],"Provedor",Tabela3[Simulação Seguro],"Sim")=2,A740&gt;=MAX(IF(Tabela3[Tipo]="Dependente",Tabela3[Expectativa de Vida (Data)]))),0,1)</f>
        <v>10000</v>
      </c>
      <c r="S740" s="18">
        <f t="shared" si="94"/>
        <v>10000</v>
      </c>
      <c r="U740" s="18">
        <f t="shared" ca="1" si="97"/>
        <v>56255599.336941011</v>
      </c>
      <c r="V740" s="18">
        <f>SUMIF(Imóveis!E:E,Dados!A:A,Imóveis!Z:Z)-SUMIF(Imóveis!E:E,Dados!A:A,Imóveis!Y:Y)</f>
        <v>0</v>
      </c>
      <c r="W740" s="18">
        <f>-SUMIF(Projetos!N:N,A740,Projetos!F:F)</f>
        <v>0</v>
      </c>
      <c r="X740" s="18">
        <f t="shared" ca="1" si="91"/>
        <v>-82757</v>
      </c>
      <c r="Y740" s="26">
        <f ca="1">(U740*((Indicadores_Economicos!D$2+1)^(1/12)-1))</f>
        <v>184166.19352078668</v>
      </c>
      <c r="Z740" s="18">
        <f t="shared" ca="1" si="95"/>
        <v>56357008.530461796</v>
      </c>
      <c r="AA740" s="18">
        <f ca="1">Auxiliar_Projetos!E740</f>
        <v>4.3626059606875781E-9</v>
      </c>
      <c r="AB740" s="18">
        <f ca="1">Auxiliar_Projetos!K740</f>
        <v>3.3558507389904386E-9</v>
      </c>
      <c r="AC740" s="18">
        <f ca="1">IF(Z740-AA740-AB740&gt;Investimentos!$C$14,Investimentos!$C$14,IF(Z740-AA740-AB740&lt;Investimentos!$C$14,Z740-AA740-AB740,0))</f>
        <v>300000</v>
      </c>
      <c r="AD740" s="18">
        <f t="shared" ca="1" si="96"/>
        <v>56057008.530461788</v>
      </c>
      <c r="AE740" s="18"/>
    </row>
    <row r="741" spans="1:31" x14ac:dyDescent="0.2">
      <c r="A741" s="4">
        <v>68150</v>
      </c>
      <c r="B741" s="5" t="str">
        <f t="shared" si="92"/>
        <v>agosto</v>
      </c>
      <c r="C741" s="5" t="str">
        <f t="shared" si="98"/>
        <v>2086</v>
      </c>
      <c r="D741" s="5">
        <f>SUMIFS(Despesas!$F:$F,Despesas!$J:$J,"&lt;="&amp;$A741,Despesas!$L:$L,"&gt;="&amp;$A741,Despesas!$C:$C,D$1,Despesas!$M:$M,"Mensal")+SUMIFS(Despesas!$F:$F,Despesas!$J:$J,"&lt;="&amp;$A741,Despesas!$L:$L,"&gt;="&amp;$A741,Despesas!$C:$C,D$1,Despesas!$M:$M,$B741)</f>
        <v>23000</v>
      </c>
      <c r="E741" s="18">
        <f>SUMIFS(Despesas!$F:$F,Despesas!$J:$J,"&lt;="&amp;$A741,Despesas!$L:$L,"&gt;="&amp;$A741,Despesas!$C:$C,E$1,Despesas!$M:$M,"Mensal")+SUMIFS(Despesas!$F:$F,Despesas!$J:$J,"&lt;="&amp;$A741,Despesas!$L:$L,"&gt;="&amp;$A741,Despesas!$C:$C,E$1,Despesas!$M:$M,$B741)</f>
        <v>0</v>
      </c>
      <c r="F741" s="5">
        <f>SUMIFS(Despesas!$F:$F,Despesas!$J:$J,"&lt;="&amp;$A741,Despesas!$L:$L,"&gt;="&amp;$A741,Despesas!$C:$C,F$1,Despesas!$M:$M,"Mensal")+SUMIFS(Despesas!$F:$F,Despesas!$J:$J,"&lt;="&amp;$A741,Despesas!$L:$L,"&gt;="&amp;$A741,Despesas!$C:$C,F$1,Despesas!$M:$M,$B741)</f>
        <v>13000</v>
      </c>
      <c r="G741" s="5">
        <f>SUMIFS(Despesas!$F:$F,Despesas!$J:$J,"&lt;="&amp;$A741,Despesas!$L:$L,"&gt;="&amp;$A741,Despesas!$C:$C,G$1,Despesas!$M:$M,"Mensal")+SUMIFS(Despesas!$F:$F,Despesas!$J:$J,"&lt;="&amp;$A741,Despesas!$L:$L,"&gt;="&amp;$A741,Despesas!$C:$C,G$1,Despesas!$M:$M,$B741)</f>
        <v>0</v>
      </c>
      <c r="H741" s="18">
        <f>SUMIFS(Despesas!$F:$F,Despesas!$J:$J,"&lt;="&amp;$A741,Despesas!$L:$L,"&gt;="&amp;$A741,Despesas!$C:$C,H$1,Despesas!$M:$M,"Mensal")+SUMIFS(Despesas!$F:$F,Despesas!$J:$J,"&lt;="&amp;$A741,Despesas!$L:$L,"&gt;="&amp;$A741,Despesas!$C:$C,H$1,Despesas!$M:$M,$B741)</f>
        <v>1000</v>
      </c>
      <c r="I741" s="18">
        <f>IF(Imóveis!$F$2="PRICE",IF(AND(Dados!$A741&gt;=Imóveis!$Q$2,Dados!$A741&lt;=Imóveis!$T$2),Imóveis!$U$2,0),IF((IF(AND(Dados!$A741&gt;=Imóveis!$Q$2,Dados!$A741&lt;=Imóveis!$T$2),Imóveis!$S$2-(DATEDIF(Imóveis!$Q$2,Dados!$A741,"m")),0))=0,0,((Imóveis!$N$2/Imóveis!$S$2)+((Imóveis!$N$2-((Imóveis!$S$2-(IF(AND(Dados!$A741&gt;=Imóveis!$Q$2,Dados!$A741&lt;=Imóveis!$T$2),Imóveis!$S$2-(DATEDIF(Imóveis!$Q$2,Dados!$A741,"m")),)))*(Imóveis!$N$2/Imóveis!$S$2)))*Imóveis!$P$2))))*IF(AND(Imóveis!$E$2&gt;0,Dados!$A741&gt;Imóveis!$E$2),0,1)</f>
        <v>0</v>
      </c>
      <c r="J741" s="18">
        <f>IF(Imóveis!$F$3="PRICE",IF(AND(Dados!$A741&gt;=Imóveis!$Q$3,Dados!$A741&lt;=Imóveis!$T$3),Imóveis!$U$3,0),IF((IF(AND(Dados!$A741&gt;=Imóveis!$Q$3,Dados!$A741&lt;=Imóveis!$T$3),Imóveis!$S$3-(DATEDIF(Imóveis!$Q$3,Dados!$A741,"m")),0))=0,0,((Imóveis!$N$3/Imóveis!$S$3)+((Imóveis!$N$3-((Imóveis!$S$3-(IF(AND(Dados!$A741&gt;=Imóveis!$Q$3,Dados!$A741&lt;=Imóveis!$T$3),Imóveis!$S$3-(DATEDIF(Imóveis!$Q$3,Dados!$A741,"m")),)))*(Imóveis!$N$3/Imóveis!$S$3)))*Imóveis!$P$3))))*IF(AND(Imóveis!$E$3&gt;0,Dados!$A741&gt;Imóveis!$E$3),0,1)</f>
        <v>0</v>
      </c>
      <c r="K741" s="18">
        <f>IF(Imóveis!$F$4="PRICE",IF(AND(Dados!$A741&gt;=Imóveis!$Q$4,Dados!$A741&lt;=Imóveis!$T$4),Imóveis!$U$4,0),IF((IF(AND(Dados!$A741&gt;=Imóveis!$Q$4,Dados!$A741&lt;=Imóveis!$T$4),Imóveis!$S$4-(DATEDIF(Imóveis!$Q$4,Dados!$A741,"m")),0))=0,0,((Imóveis!$N$4/Imóveis!$S$4)+((Imóveis!$N$4-((Imóveis!$S$4-(IF(AND(Dados!$A741&gt;=Imóveis!$Q$4,Dados!$A741&lt;=Imóveis!$T$4),Imóveis!$S$4-(DATEDIF(Imóveis!$Q$4,Dados!$A741,"m")),)))*(Imóveis!$N$4/Imóveis!$S$4)))*Imóveis!$P$4))))*IF(AND(Imóveis!$E$4&gt;0,Dados!$A741&gt;Imóveis!$E$4),0,1)</f>
        <v>0</v>
      </c>
      <c r="L741" s="18">
        <f>IF(Imóveis!$F$5="PRICE",IF(AND(Dados!$A741&gt;=Imóveis!$Q$5,Dados!$A741&lt;=Imóveis!$T$5),Imóveis!$U$5,0),IF((IF(AND(Dados!$A741&gt;=Imóveis!$Q$5,Dados!$A741&lt;=Imóveis!$T$5),Imóveis!$S$5-(DATEDIF(Imóveis!$Q$5,Dados!$A741,"m")),0))=0,0,((Imóveis!$N$5/Imóveis!$S$5)+((Imóveis!$N$5-((Imóveis!$S$5-(IF(AND(Dados!$A741 &gt;=Imóveis!$Q$5,Dados!$A741&lt;=Imóveis!$T$5),Imóveis!$S$5-(DATEDIF(Imóveis!$Q$5,Dados!$A741,"m")),)))*(Imóveis!$N$5/Imóveis!$S$5)))*Imóveis!$P$5))))*IF(AND(Imóveis!$E$5&gt;0,Dados!$A741&gt;Imóveis!$E$5),0,1)*Imóveis!$I$5</f>
        <v>0</v>
      </c>
      <c r="M741" s="18">
        <f>IF(Imóveis!$F$6="PRICE",IF(AND(Dados!$A741&gt;=Imóveis!$Q$6,Dados!$A741&lt;=Imóveis!$T$6),Imóveis!$U$6,0),IF((IF(AND(Dados!$A741&gt;=Imóveis!$Q$6,Dados!$A741&lt;=Imóveis!$T$6),Imóveis!$S$6-(DATEDIF(Imóveis!$Q$6,Dados!$A741,"m")),0))=0,0,((Imóveis!$N$6/Imóveis!$S$6)+((Imóveis!$N$6-((Imóveis!$S$6-(IF(AND(Dados!$A741&gt;=Imóveis!$Q$6,Dados!$A741&lt;=Imóveis!$T$6),Imóveis!$S$6-(DATEDIF(Imóveis!$Q$6,Dados!$A741,"m")),)))*(Imóveis!$N$6/Imóveis!$S$6)))*Imóveis!$P$6))))*IF(AND(Imóveis!$E$6&gt;0,Dados!$A741&gt;Imóveis!$E$6),0,1)*Imóveis!$I$6</f>
        <v>0</v>
      </c>
      <c r="N741" s="18">
        <f t="shared" si="93"/>
        <v>37000</v>
      </c>
      <c r="O741" s="18">
        <f>SUMIFS(Receitas!$F:$F,Receitas!$J:$J,"&lt;="&amp;$A741,Receitas!$L:$L,"&gt;="&amp;$A741,Receitas!$C:$C,O$1,Receitas!$M:$M,"Mensal")+SUMIFS(Receitas!$F:$F,Receitas!$J:$J,"&lt;="&amp;$A741,Receitas!$L:$L,"&gt;="&amp;$A741,Receitas!$C:$C,O$1,Receitas!$M:$M,$B741)</f>
        <v>0</v>
      </c>
      <c r="P741" s="18">
        <f>SUMIFS(Receitas!$F:$F,Receitas!$J:$J,"&lt;="&amp;$A741,Receitas!$L:$L,"&gt;="&amp;$A741,Receitas!$C:$C,P$1,Receitas!$M:$M,"Mensal")+SUMIFS(Receitas!$F:$F,Receitas!$J:$J,"&lt;="&amp;$A741,Receitas!$L:$L,"&gt;="&amp;$A741,Receitas!$C:$C,P$1,Receitas!$M:$M,$B741)</f>
        <v>0</v>
      </c>
      <c r="Q741" s="18">
        <f>SUMIFS(Receitas!$F:$F,Receitas!$J:$J,"&lt;="&amp;$A741,Receitas!$L:$L,"&gt;="&amp;$A741,Receitas!$C:$C,Q$1,Receitas!$M:$M,"Mensal")+SUMIFS(Receitas!$F:$F,Receitas!$J:$J,"&lt;="&amp;$A741,Receitas!$L:$L,"&gt;="&amp;$A741,Receitas!$C:$C,Q$1,Receitas!$M:$M,$B741)</f>
        <v>0</v>
      </c>
      <c r="R741" s="18" cm="1">
        <f t="array" ref="R741">(IF(AND(Membros!$F$2="Sim",A741&lt;=MAX(Membros!$E$2:$E$5)),Membros!K$2,IF(AND(A741&gt;=Membros!J$2,A741&lt;=MAX(Membros!$E$2:$E$5)),Membros!K$2,0))+IF(AND(Membros!$F$3="Sim",A741&lt;=MAX(Membros!$E$2:$E$5)),Membros!K$3,IF(AND(A741&gt;=Membros!J$3,A741&lt;=MAX(Membros!$E$2:$E$5)),Membros!K$3,0)))*IF(AND(COUNTIFS(Tabela3[Tipo],"Provedor",Tabela3[Simulação Seguro],"Sim")=2,A741&gt;=MAX(IF(Tabela3[Tipo]="Dependente",Tabela3[Expectativa de Vida (Data)]))),0,1)</f>
        <v>10000</v>
      </c>
      <c r="S741" s="18">
        <f t="shared" si="94"/>
        <v>10000</v>
      </c>
      <c r="U741" s="18">
        <f t="shared" ca="1" si="97"/>
        <v>56357008.530461796</v>
      </c>
      <c r="V741" s="18">
        <f>SUMIF(Imóveis!E:E,Dados!A:A,Imóveis!Z:Z)-SUMIF(Imóveis!E:E,Dados!A:A,Imóveis!Y:Y)</f>
        <v>0</v>
      </c>
      <c r="W741" s="18">
        <f>-SUMIF(Projetos!N:N,A741,Projetos!F:F)</f>
        <v>0</v>
      </c>
      <c r="X741" s="18">
        <f t="shared" si="91"/>
        <v>-27000</v>
      </c>
      <c r="Y741" s="26">
        <f ca="1">(U741*((Indicadores_Economicos!D$2+1)^(1/12)-1))</f>
        <v>184498.18083189637</v>
      </c>
      <c r="Z741" s="18">
        <f t="shared" ca="1" si="95"/>
        <v>56514506.71129369</v>
      </c>
      <c r="AA741" s="18">
        <f ca="1">Auxiliar_Projetos!E741</f>
        <v>4.3768879973751391E-9</v>
      </c>
      <c r="AB741" s="18">
        <f ca="1">Auxiliar_Projetos!K741</f>
        <v>3.366836921057793E-9</v>
      </c>
      <c r="AC741" s="18">
        <f ca="1">IF(Z741-AA741-AB741&gt;Investimentos!$C$14,Investimentos!$C$14,IF(Z741-AA741-AB741&lt;Investimentos!$C$14,Z741-AA741-AB741,0))</f>
        <v>300000</v>
      </c>
      <c r="AD741" s="18">
        <f t="shared" ca="1" si="96"/>
        <v>56214506.711293682</v>
      </c>
      <c r="AE741" s="18"/>
    </row>
    <row r="742" spans="1:31" x14ac:dyDescent="0.2">
      <c r="A742" s="4">
        <v>68181</v>
      </c>
      <c r="B742" s="5" t="str">
        <f t="shared" si="92"/>
        <v>setembro</v>
      </c>
      <c r="C742" s="5" t="str">
        <f t="shared" si="98"/>
        <v>2086</v>
      </c>
      <c r="D742" s="5">
        <f>SUMIFS(Despesas!$F:$F,Despesas!$J:$J,"&lt;="&amp;$A742,Despesas!$L:$L,"&gt;="&amp;$A742,Despesas!$C:$C,D$1,Despesas!$M:$M,"Mensal")+SUMIFS(Despesas!$F:$F,Despesas!$J:$J,"&lt;="&amp;$A742,Despesas!$L:$L,"&gt;="&amp;$A742,Despesas!$C:$C,D$1,Despesas!$M:$M,$B742)</f>
        <v>23000</v>
      </c>
      <c r="E742" s="18">
        <f>SUMIFS(Despesas!$F:$F,Despesas!$J:$J,"&lt;="&amp;$A742,Despesas!$L:$L,"&gt;="&amp;$A742,Despesas!$C:$C,E$1,Despesas!$M:$M,"Mensal")+SUMIFS(Despesas!$F:$F,Despesas!$J:$J,"&lt;="&amp;$A742,Despesas!$L:$L,"&gt;="&amp;$A742,Despesas!$C:$C,E$1,Despesas!$M:$M,$B742)</f>
        <v>0</v>
      </c>
      <c r="F742" s="5">
        <f>SUMIFS(Despesas!$F:$F,Despesas!$J:$J,"&lt;="&amp;$A742,Despesas!$L:$L,"&gt;="&amp;$A742,Despesas!$C:$C,F$1,Despesas!$M:$M,"Mensal")+SUMIFS(Despesas!$F:$F,Despesas!$J:$J,"&lt;="&amp;$A742,Despesas!$L:$L,"&gt;="&amp;$A742,Despesas!$C:$C,F$1,Despesas!$M:$M,$B742)</f>
        <v>13000</v>
      </c>
      <c r="G742" s="5">
        <f>SUMIFS(Despesas!$F:$F,Despesas!$J:$J,"&lt;="&amp;$A742,Despesas!$L:$L,"&gt;="&amp;$A742,Despesas!$C:$C,G$1,Despesas!$M:$M,"Mensal")+SUMIFS(Despesas!$F:$F,Despesas!$J:$J,"&lt;="&amp;$A742,Despesas!$L:$L,"&gt;="&amp;$A742,Despesas!$C:$C,G$1,Despesas!$M:$M,$B742)</f>
        <v>0</v>
      </c>
      <c r="H742" s="18">
        <f>SUMIFS(Despesas!$F:$F,Despesas!$J:$J,"&lt;="&amp;$A742,Despesas!$L:$L,"&gt;="&amp;$A742,Despesas!$C:$C,H$1,Despesas!$M:$M,"Mensal")+SUMIFS(Despesas!$F:$F,Despesas!$J:$J,"&lt;="&amp;$A742,Despesas!$L:$L,"&gt;="&amp;$A742,Despesas!$C:$C,H$1,Despesas!$M:$M,$B742)</f>
        <v>1000</v>
      </c>
      <c r="I742" s="18">
        <f>IF(Imóveis!$F$2="PRICE",IF(AND(Dados!$A742&gt;=Imóveis!$Q$2,Dados!$A742&lt;=Imóveis!$T$2),Imóveis!$U$2,0),IF((IF(AND(Dados!$A742&gt;=Imóveis!$Q$2,Dados!$A742&lt;=Imóveis!$T$2),Imóveis!$S$2-(DATEDIF(Imóveis!$Q$2,Dados!$A742,"m")),0))=0,0,((Imóveis!$N$2/Imóveis!$S$2)+((Imóveis!$N$2-((Imóveis!$S$2-(IF(AND(Dados!$A742&gt;=Imóveis!$Q$2,Dados!$A742&lt;=Imóveis!$T$2),Imóveis!$S$2-(DATEDIF(Imóveis!$Q$2,Dados!$A742,"m")),)))*(Imóveis!$N$2/Imóveis!$S$2)))*Imóveis!$P$2))))*IF(AND(Imóveis!$E$2&gt;0,Dados!$A742&gt;Imóveis!$E$2),0,1)</f>
        <v>0</v>
      </c>
      <c r="J742" s="18">
        <f>IF(Imóveis!$F$3="PRICE",IF(AND(Dados!$A742&gt;=Imóveis!$Q$3,Dados!$A742&lt;=Imóveis!$T$3),Imóveis!$U$3,0),IF((IF(AND(Dados!$A742&gt;=Imóveis!$Q$3,Dados!$A742&lt;=Imóveis!$T$3),Imóveis!$S$3-(DATEDIF(Imóveis!$Q$3,Dados!$A742,"m")),0))=0,0,((Imóveis!$N$3/Imóveis!$S$3)+((Imóveis!$N$3-((Imóveis!$S$3-(IF(AND(Dados!$A742&gt;=Imóveis!$Q$3,Dados!$A742&lt;=Imóveis!$T$3),Imóveis!$S$3-(DATEDIF(Imóveis!$Q$3,Dados!$A742,"m")),)))*(Imóveis!$N$3/Imóveis!$S$3)))*Imóveis!$P$3))))*IF(AND(Imóveis!$E$3&gt;0,Dados!$A742&gt;Imóveis!$E$3),0,1)</f>
        <v>0</v>
      </c>
      <c r="K742" s="18">
        <f>IF(Imóveis!$F$4="PRICE",IF(AND(Dados!$A742&gt;=Imóveis!$Q$4,Dados!$A742&lt;=Imóveis!$T$4),Imóveis!$U$4,0),IF((IF(AND(Dados!$A742&gt;=Imóveis!$Q$4,Dados!$A742&lt;=Imóveis!$T$4),Imóveis!$S$4-(DATEDIF(Imóveis!$Q$4,Dados!$A742,"m")),0))=0,0,((Imóveis!$N$4/Imóveis!$S$4)+((Imóveis!$N$4-((Imóveis!$S$4-(IF(AND(Dados!$A742&gt;=Imóveis!$Q$4,Dados!$A742&lt;=Imóveis!$T$4),Imóveis!$S$4-(DATEDIF(Imóveis!$Q$4,Dados!$A742,"m")),)))*(Imóveis!$N$4/Imóveis!$S$4)))*Imóveis!$P$4))))*IF(AND(Imóveis!$E$4&gt;0,Dados!$A742&gt;Imóveis!$E$4),0,1)</f>
        <v>0</v>
      </c>
      <c r="L742" s="18">
        <f>IF(Imóveis!$F$5="PRICE",IF(AND(Dados!$A742&gt;=Imóveis!$Q$5,Dados!$A742&lt;=Imóveis!$T$5),Imóveis!$U$5,0),IF((IF(AND(Dados!$A742&gt;=Imóveis!$Q$5,Dados!$A742&lt;=Imóveis!$T$5),Imóveis!$S$5-(DATEDIF(Imóveis!$Q$5,Dados!$A742,"m")),0))=0,0,((Imóveis!$N$5/Imóveis!$S$5)+((Imóveis!$N$5-((Imóveis!$S$5-(IF(AND(Dados!$A742 &gt;=Imóveis!$Q$5,Dados!$A742&lt;=Imóveis!$T$5),Imóveis!$S$5-(DATEDIF(Imóveis!$Q$5,Dados!$A742,"m")),)))*(Imóveis!$N$5/Imóveis!$S$5)))*Imóveis!$P$5))))*IF(AND(Imóveis!$E$5&gt;0,Dados!$A742&gt;Imóveis!$E$5),0,1)*Imóveis!$I$5</f>
        <v>0</v>
      </c>
      <c r="M742" s="18">
        <f>IF(Imóveis!$F$6="PRICE",IF(AND(Dados!$A742&gt;=Imóveis!$Q$6,Dados!$A742&lt;=Imóveis!$T$6),Imóveis!$U$6,0),IF((IF(AND(Dados!$A742&gt;=Imóveis!$Q$6,Dados!$A742&lt;=Imóveis!$T$6),Imóveis!$S$6-(DATEDIF(Imóveis!$Q$6,Dados!$A742,"m")),0))=0,0,((Imóveis!$N$6/Imóveis!$S$6)+((Imóveis!$N$6-((Imóveis!$S$6-(IF(AND(Dados!$A742&gt;=Imóveis!$Q$6,Dados!$A742&lt;=Imóveis!$T$6),Imóveis!$S$6-(DATEDIF(Imóveis!$Q$6,Dados!$A742,"m")),)))*(Imóveis!$N$6/Imóveis!$S$6)))*Imóveis!$P$6))))*IF(AND(Imóveis!$E$6&gt;0,Dados!$A742&gt;Imóveis!$E$6),0,1)*Imóveis!$I$6</f>
        <v>0</v>
      </c>
      <c r="N742" s="18">
        <f t="shared" si="93"/>
        <v>37000</v>
      </c>
      <c r="O742" s="18">
        <f>SUMIFS(Receitas!$F:$F,Receitas!$J:$J,"&lt;="&amp;$A742,Receitas!$L:$L,"&gt;="&amp;$A742,Receitas!$C:$C,O$1,Receitas!$M:$M,"Mensal")+SUMIFS(Receitas!$F:$F,Receitas!$J:$J,"&lt;="&amp;$A742,Receitas!$L:$L,"&gt;="&amp;$A742,Receitas!$C:$C,O$1,Receitas!$M:$M,$B742)</f>
        <v>0</v>
      </c>
      <c r="P742" s="18">
        <f>SUMIFS(Receitas!$F:$F,Receitas!$J:$J,"&lt;="&amp;$A742,Receitas!$L:$L,"&gt;="&amp;$A742,Receitas!$C:$C,P$1,Receitas!$M:$M,"Mensal")+SUMIFS(Receitas!$F:$F,Receitas!$J:$J,"&lt;="&amp;$A742,Receitas!$L:$L,"&gt;="&amp;$A742,Receitas!$C:$C,P$1,Receitas!$M:$M,$B742)</f>
        <v>0</v>
      </c>
      <c r="Q742" s="18">
        <f>SUMIFS(Receitas!$F:$F,Receitas!$J:$J,"&lt;="&amp;$A742,Receitas!$L:$L,"&gt;="&amp;$A742,Receitas!$C:$C,Q$1,Receitas!$M:$M,"Mensal")+SUMIFS(Receitas!$F:$F,Receitas!$J:$J,"&lt;="&amp;$A742,Receitas!$L:$L,"&gt;="&amp;$A742,Receitas!$C:$C,Q$1,Receitas!$M:$M,$B742)</f>
        <v>0</v>
      </c>
      <c r="R742" s="18" cm="1">
        <f t="array" ref="R742">(IF(AND(Membros!$F$2="Sim",A742&lt;=MAX(Membros!$E$2:$E$5)),Membros!K$2,IF(AND(A742&gt;=Membros!J$2,A742&lt;=MAX(Membros!$E$2:$E$5)),Membros!K$2,0))+IF(AND(Membros!$F$3="Sim",A742&lt;=MAX(Membros!$E$2:$E$5)),Membros!K$3,IF(AND(A742&gt;=Membros!J$3,A742&lt;=MAX(Membros!$E$2:$E$5)),Membros!K$3,0)))*IF(AND(COUNTIFS(Tabela3[Tipo],"Provedor",Tabela3[Simulação Seguro],"Sim")=2,A742&gt;=MAX(IF(Tabela3[Tipo]="Dependente",Tabela3[Expectativa de Vida (Data)]))),0,1)</f>
        <v>10000</v>
      </c>
      <c r="S742" s="18">
        <f t="shared" si="94"/>
        <v>10000</v>
      </c>
      <c r="U742" s="18">
        <f t="shared" ca="1" si="97"/>
        <v>56514506.71129369</v>
      </c>
      <c r="V742" s="18">
        <f>SUMIF(Imóveis!E:E,Dados!A:A,Imóveis!Z:Z)-SUMIF(Imóveis!E:E,Dados!A:A,Imóveis!Y:Y)</f>
        <v>0</v>
      </c>
      <c r="W742" s="18">
        <f>-SUMIF(Projetos!N:N,A742,Projetos!F:F)</f>
        <v>0</v>
      </c>
      <c r="X742" s="18">
        <f t="shared" si="91"/>
        <v>-27000</v>
      </c>
      <c r="Y742" s="26">
        <f ca="1">(U742*((Indicadores_Economicos!D$2+1)^(1/12)-1))</f>
        <v>185013.7888921097</v>
      </c>
      <c r="Z742" s="18">
        <f t="shared" ca="1" si="95"/>
        <v>56672520.500185803</v>
      </c>
      <c r="AA742" s="18">
        <f ca="1">Auxiliar_Projetos!E742</f>
        <v>4.391216789734375E-9</v>
      </c>
      <c r="AB742" s="18">
        <f ca="1">Auxiliar_Projetos!K742</f>
        <v>3.3778590690264361E-9</v>
      </c>
      <c r="AC742" s="18">
        <f ca="1">IF(Z742-AA742-AB742&gt;Investimentos!$C$14,Investimentos!$C$14,IF(Z742-AA742-AB742&lt;Investimentos!$C$14,Z742-AA742-AB742,0))</f>
        <v>300000</v>
      </c>
      <c r="AD742" s="18">
        <f t="shared" ca="1" si="96"/>
        <v>56372520.500185795</v>
      </c>
      <c r="AE742" s="18"/>
    </row>
    <row r="743" spans="1:31" x14ac:dyDescent="0.2">
      <c r="A743" s="4">
        <v>68211</v>
      </c>
      <c r="B743" s="5" t="str">
        <f t="shared" si="92"/>
        <v>outubro</v>
      </c>
      <c r="C743" s="5" t="str">
        <f t="shared" si="98"/>
        <v>2086</v>
      </c>
      <c r="D743" s="5">
        <f>SUMIFS(Despesas!$F:$F,Despesas!$J:$J,"&lt;="&amp;$A743,Despesas!$L:$L,"&gt;="&amp;$A743,Despesas!$C:$C,D$1,Despesas!$M:$M,"Mensal")+SUMIFS(Despesas!$F:$F,Despesas!$J:$J,"&lt;="&amp;$A743,Despesas!$L:$L,"&gt;="&amp;$A743,Despesas!$C:$C,D$1,Despesas!$M:$M,$B743)</f>
        <v>23000</v>
      </c>
      <c r="E743" s="18">
        <f>SUMIFS(Despesas!$F:$F,Despesas!$J:$J,"&lt;="&amp;$A743,Despesas!$L:$L,"&gt;="&amp;$A743,Despesas!$C:$C,E$1,Despesas!$M:$M,"Mensal")+SUMIFS(Despesas!$F:$F,Despesas!$J:$J,"&lt;="&amp;$A743,Despesas!$L:$L,"&gt;="&amp;$A743,Despesas!$C:$C,E$1,Despesas!$M:$M,$B743)</f>
        <v>0</v>
      </c>
      <c r="F743" s="5">
        <f>SUMIFS(Despesas!$F:$F,Despesas!$J:$J,"&lt;="&amp;$A743,Despesas!$L:$L,"&gt;="&amp;$A743,Despesas!$C:$C,F$1,Despesas!$M:$M,"Mensal")+SUMIFS(Despesas!$F:$F,Despesas!$J:$J,"&lt;="&amp;$A743,Despesas!$L:$L,"&gt;="&amp;$A743,Despesas!$C:$C,F$1,Despesas!$M:$M,$B743)</f>
        <v>13000</v>
      </c>
      <c r="G743" s="5">
        <f>SUMIFS(Despesas!$F:$F,Despesas!$J:$J,"&lt;="&amp;$A743,Despesas!$L:$L,"&gt;="&amp;$A743,Despesas!$C:$C,G$1,Despesas!$M:$M,"Mensal")+SUMIFS(Despesas!$F:$F,Despesas!$J:$J,"&lt;="&amp;$A743,Despesas!$L:$L,"&gt;="&amp;$A743,Despesas!$C:$C,G$1,Despesas!$M:$M,$B743)</f>
        <v>0</v>
      </c>
      <c r="H743" s="18">
        <f>SUMIFS(Despesas!$F:$F,Despesas!$J:$J,"&lt;="&amp;$A743,Despesas!$L:$L,"&gt;="&amp;$A743,Despesas!$C:$C,H$1,Despesas!$M:$M,"Mensal")+SUMIFS(Despesas!$F:$F,Despesas!$J:$J,"&lt;="&amp;$A743,Despesas!$L:$L,"&gt;="&amp;$A743,Despesas!$C:$C,H$1,Despesas!$M:$M,$B743)</f>
        <v>1000</v>
      </c>
      <c r="I743" s="18">
        <f>IF(Imóveis!$F$2="PRICE",IF(AND(Dados!$A743&gt;=Imóveis!$Q$2,Dados!$A743&lt;=Imóveis!$T$2),Imóveis!$U$2,0),IF((IF(AND(Dados!$A743&gt;=Imóveis!$Q$2,Dados!$A743&lt;=Imóveis!$T$2),Imóveis!$S$2-(DATEDIF(Imóveis!$Q$2,Dados!$A743,"m")),0))=0,0,((Imóveis!$N$2/Imóveis!$S$2)+((Imóveis!$N$2-((Imóveis!$S$2-(IF(AND(Dados!$A743&gt;=Imóveis!$Q$2,Dados!$A743&lt;=Imóveis!$T$2),Imóveis!$S$2-(DATEDIF(Imóveis!$Q$2,Dados!$A743,"m")),)))*(Imóveis!$N$2/Imóveis!$S$2)))*Imóveis!$P$2))))*IF(AND(Imóveis!$E$2&gt;0,Dados!$A743&gt;Imóveis!$E$2),0,1)</f>
        <v>0</v>
      </c>
      <c r="J743" s="18">
        <f>IF(Imóveis!$F$3="PRICE",IF(AND(Dados!$A743&gt;=Imóveis!$Q$3,Dados!$A743&lt;=Imóveis!$T$3),Imóveis!$U$3,0),IF((IF(AND(Dados!$A743&gt;=Imóveis!$Q$3,Dados!$A743&lt;=Imóveis!$T$3),Imóveis!$S$3-(DATEDIF(Imóveis!$Q$3,Dados!$A743,"m")),0))=0,0,((Imóveis!$N$3/Imóveis!$S$3)+((Imóveis!$N$3-((Imóveis!$S$3-(IF(AND(Dados!$A743&gt;=Imóveis!$Q$3,Dados!$A743&lt;=Imóveis!$T$3),Imóveis!$S$3-(DATEDIF(Imóveis!$Q$3,Dados!$A743,"m")),)))*(Imóveis!$N$3/Imóveis!$S$3)))*Imóveis!$P$3))))*IF(AND(Imóveis!$E$3&gt;0,Dados!$A743&gt;Imóveis!$E$3),0,1)</f>
        <v>0</v>
      </c>
      <c r="K743" s="18">
        <f>IF(Imóveis!$F$4="PRICE",IF(AND(Dados!$A743&gt;=Imóveis!$Q$4,Dados!$A743&lt;=Imóveis!$T$4),Imóveis!$U$4,0),IF((IF(AND(Dados!$A743&gt;=Imóveis!$Q$4,Dados!$A743&lt;=Imóveis!$T$4),Imóveis!$S$4-(DATEDIF(Imóveis!$Q$4,Dados!$A743,"m")),0))=0,0,((Imóveis!$N$4/Imóveis!$S$4)+((Imóveis!$N$4-((Imóveis!$S$4-(IF(AND(Dados!$A743&gt;=Imóveis!$Q$4,Dados!$A743&lt;=Imóveis!$T$4),Imóveis!$S$4-(DATEDIF(Imóveis!$Q$4,Dados!$A743,"m")),)))*(Imóveis!$N$4/Imóveis!$S$4)))*Imóveis!$P$4))))*IF(AND(Imóveis!$E$4&gt;0,Dados!$A743&gt;Imóveis!$E$4),0,1)</f>
        <v>0</v>
      </c>
      <c r="L743" s="18">
        <f>IF(Imóveis!$F$5="PRICE",IF(AND(Dados!$A743&gt;=Imóveis!$Q$5,Dados!$A743&lt;=Imóveis!$T$5),Imóveis!$U$5,0),IF((IF(AND(Dados!$A743&gt;=Imóveis!$Q$5,Dados!$A743&lt;=Imóveis!$T$5),Imóveis!$S$5-(DATEDIF(Imóveis!$Q$5,Dados!$A743,"m")),0))=0,0,((Imóveis!$N$5/Imóveis!$S$5)+((Imóveis!$N$5-((Imóveis!$S$5-(IF(AND(Dados!$A743 &gt;=Imóveis!$Q$5,Dados!$A743&lt;=Imóveis!$T$5),Imóveis!$S$5-(DATEDIF(Imóveis!$Q$5,Dados!$A743,"m")),)))*(Imóveis!$N$5/Imóveis!$S$5)))*Imóveis!$P$5))))*IF(AND(Imóveis!$E$5&gt;0,Dados!$A743&gt;Imóveis!$E$5),0,1)*Imóveis!$I$5</f>
        <v>0</v>
      </c>
      <c r="M743" s="18">
        <f>IF(Imóveis!$F$6="PRICE",IF(AND(Dados!$A743&gt;=Imóveis!$Q$6,Dados!$A743&lt;=Imóveis!$T$6),Imóveis!$U$6,0),IF((IF(AND(Dados!$A743&gt;=Imóveis!$Q$6,Dados!$A743&lt;=Imóveis!$T$6),Imóveis!$S$6-(DATEDIF(Imóveis!$Q$6,Dados!$A743,"m")),0))=0,0,((Imóveis!$N$6/Imóveis!$S$6)+((Imóveis!$N$6-((Imóveis!$S$6-(IF(AND(Dados!$A743&gt;=Imóveis!$Q$6,Dados!$A743&lt;=Imóveis!$T$6),Imóveis!$S$6-(DATEDIF(Imóveis!$Q$6,Dados!$A743,"m")),)))*(Imóveis!$N$6/Imóveis!$S$6)))*Imóveis!$P$6))))*IF(AND(Imóveis!$E$6&gt;0,Dados!$A743&gt;Imóveis!$E$6),0,1)*Imóveis!$I$6</f>
        <v>0</v>
      </c>
      <c r="N743" s="18">
        <f t="shared" si="93"/>
        <v>37000</v>
      </c>
      <c r="O743" s="18">
        <f>SUMIFS(Receitas!$F:$F,Receitas!$J:$J,"&lt;="&amp;$A743,Receitas!$L:$L,"&gt;="&amp;$A743,Receitas!$C:$C,O$1,Receitas!$M:$M,"Mensal")+SUMIFS(Receitas!$F:$F,Receitas!$J:$J,"&lt;="&amp;$A743,Receitas!$L:$L,"&gt;="&amp;$A743,Receitas!$C:$C,O$1,Receitas!$M:$M,$B743)</f>
        <v>0</v>
      </c>
      <c r="P743" s="18">
        <f>SUMIFS(Receitas!$F:$F,Receitas!$J:$J,"&lt;="&amp;$A743,Receitas!$L:$L,"&gt;="&amp;$A743,Receitas!$C:$C,P$1,Receitas!$M:$M,"Mensal")+SUMIFS(Receitas!$F:$F,Receitas!$J:$J,"&lt;="&amp;$A743,Receitas!$L:$L,"&gt;="&amp;$A743,Receitas!$C:$C,P$1,Receitas!$M:$M,$B743)</f>
        <v>0</v>
      </c>
      <c r="Q743" s="18">
        <f>SUMIFS(Receitas!$F:$F,Receitas!$J:$J,"&lt;="&amp;$A743,Receitas!$L:$L,"&gt;="&amp;$A743,Receitas!$C:$C,Q$1,Receitas!$M:$M,"Mensal")+SUMIFS(Receitas!$F:$F,Receitas!$J:$J,"&lt;="&amp;$A743,Receitas!$L:$L,"&gt;="&amp;$A743,Receitas!$C:$C,Q$1,Receitas!$M:$M,$B743)</f>
        <v>0</v>
      </c>
      <c r="R743" s="18" cm="1">
        <f t="array" ref="R743">(IF(AND(Membros!$F$2="Sim",A743&lt;=MAX(Membros!$E$2:$E$5)),Membros!K$2,IF(AND(A743&gt;=Membros!J$2,A743&lt;=MAX(Membros!$E$2:$E$5)),Membros!K$2,0))+IF(AND(Membros!$F$3="Sim",A743&lt;=MAX(Membros!$E$2:$E$5)),Membros!K$3,IF(AND(A743&gt;=Membros!J$3,A743&lt;=MAX(Membros!$E$2:$E$5)),Membros!K$3,0)))*IF(AND(COUNTIFS(Tabela3[Tipo],"Provedor",Tabela3[Simulação Seguro],"Sim")=2,A743&gt;=MAX(IF(Tabela3[Tipo]="Dependente",Tabela3[Expectativa de Vida (Data)]))),0,1)</f>
        <v>10000</v>
      </c>
      <c r="S743" s="18">
        <f t="shared" si="94"/>
        <v>10000</v>
      </c>
      <c r="U743" s="18">
        <f t="shared" ca="1" si="97"/>
        <v>56672520.500185803</v>
      </c>
      <c r="V743" s="18">
        <f>SUMIF(Imóveis!E:E,Dados!A:A,Imóveis!Z:Z)-SUMIF(Imóveis!E:E,Dados!A:A,Imóveis!Y:Y)</f>
        <v>0</v>
      </c>
      <c r="W743" s="18">
        <f>-SUMIF(Projetos!N:N,A743,Projetos!F:F)</f>
        <v>0</v>
      </c>
      <c r="X743" s="18">
        <f t="shared" si="91"/>
        <v>-27000</v>
      </c>
      <c r="Y743" s="26">
        <f ca="1">(U743*((Indicadores_Economicos!D$2+1)^(1/12)-1))</f>
        <v>185531.08491894178</v>
      </c>
      <c r="Z743" s="18">
        <f t="shared" ca="1" si="95"/>
        <v>56831051.585104741</v>
      </c>
      <c r="AA743" s="18">
        <f ca="1">Auxiliar_Projetos!E743</f>
        <v>4.4055924908311883E-9</v>
      </c>
      <c r="AB743" s="18">
        <f ca="1">Auxiliar_Projetos!K743</f>
        <v>3.3889173006393691E-9</v>
      </c>
      <c r="AC743" s="18">
        <f ca="1">IF(Z743-AA743-AB743&gt;Investimentos!$C$14,Investimentos!$C$14,IF(Z743-AA743-AB743&lt;Investimentos!$C$14,Z743-AA743-AB743,0))</f>
        <v>300000</v>
      </c>
      <c r="AD743" s="18">
        <f t="shared" ca="1" si="96"/>
        <v>56531051.585104734</v>
      </c>
      <c r="AE743" s="18"/>
    </row>
    <row r="744" spans="1:31" x14ac:dyDescent="0.2">
      <c r="A744" s="4">
        <v>68242</v>
      </c>
      <c r="B744" s="5" t="str">
        <f t="shared" si="92"/>
        <v>novembro</v>
      </c>
      <c r="C744" s="5" t="str">
        <f t="shared" si="98"/>
        <v>2086</v>
      </c>
      <c r="D744" s="5">
        <f>SUMIFS(Despesas!$F:$F,Despesas!$J:$J,"&lt;="&amp;$A744,Despesas!$L:$L,"&gt;="&amp;$A744,Despesas!$C:$C,D$1,Despesas!$M:$M,"Mensal")+SUMIFS(Despesas!$F:$F,Despesas!$J:$J,"&lt;="&amp;$A744,Despesas!$L:$L,"&gt;="&amp;$A744,Despesas!$C:$C,D$1,Despesas!$M:$M,$B744)</f>
        <v>23000</v>
      </c>
      <c r="E744" s="18">
        <f>SUMIFS(Despesas!$F:$F,Despesas!$J:$J,"&lt;="&amp;$A744,Despesas!$L:$L,"&gt;="&amp;$A744,Despesas!$C:$C,E$1,Despesas!$M:$M,"Mensal")+SUMIFS(Despesas!$F:$F,Despesas!$J:$J,"&lt;="&amp;$A744,Despesas!$L:$L,"&gt;="&amp;$A744,Despesas!$C:$C,E$1,Despesas!$M:$M,$B744)</f>
        <v>0</v>
      </c>
      <c r="F744" s="5">
        <f>SUMIFS(Despesas!$F:$F,Despesas!$J:$J,"&lt;="&amp;$A744,Despesas!$L:$L,"&gt;="&amp;$A744,Despesas!$C:$C,F$1,Despesas!$M:$M,"Mensal")+SUMIFS(Despesas!$F:$F,Despesas!$J:$J,"&lt;="&amp;$A744,Despesas!$L:$L,"&gt;="&amp;$A744,Despesas!$C:$C,F$1,Despesas!$M:$M,$B744)</f>
        <v>13000</v>
      </c>
      <c r="G744" s="5">
        <f>SUMIFS(Despesas!$F:$F,Despesas!$J:$J,"&lt;="&amp;$A744,Despesas!$L:$L,"&gt;="&amp;$A744,Despesas!$C:$C,G$1,Despesas!$M:$M,"Mensal")+SUMIFS(Despesas!$F:$F,Despesas!$J:$J,"&lt;="&amp;$A744,Despesas!$L:$L,"&gt;="&amp;$A744,Despesas!$C:$C,G$1,Despesas!$M:$M,$B744)</f>
        <v>0</v>
      </c>
      <c r="H744" s="18">
        <f>SUMIFS(Despesas!$F:$F,Despesas!$J:$J,"&lt;="&amp;$A744,Despesas!$L:$L,"&gt;="&amp;$A744,Despesas!$C:$C,H$1,Despesas!$M:$M,"Mensal")+SUMIFS(Despesas!$F:$F,Despesas!$J:$J,"&lt;="&amp;$A744,Despesas!$L:$L,"&gt;="&amp;$A744,Despesas!$C:$C,H$1,Despesas!$M:$M,$B744)</f>
        <v>1000</v>
      </c>
      <c r="I744" s="18">
        <f>IF(Imóveis!$F$2="PRICE",IF(AND(Dados!$A744&gt;=Imóveis!$Q$2,Dados!$A744&lt;=Imóveis!$T$2),Imóveis!$U$2,0),IF((IF(AND(Dados!$A744&gt;=Imóveis!$Q$2,Dados!$A744&lt;=Imóveis!$T$2),Imóveis!$S$2-(DATEDIF(Imóveis!$Q$2,Dados!$A744,"m")),0))=0,0,((Imóveis!$N$2/Imóveis!$S$2)+((Imóveis!$N$2-((Imóveis!$S$2-(IF(AND(Dados!$A744&gt;=Imóveis!$Q$2,Dados!$A744&lt;=Imóveis!$T$2),Imóveis!$S$2-(DATEDIF(Imóveis!$Q$2,Dados!$A744,"m")),)))*(Imóveis!$N$2/Imóveis!$S$2)))*Imóveis!$P$2))))*IF(AND(Imóveis!$E$2&gt;0,Dados!$A744&gt;Imóveis!$E$2),0,1)</f>
        <v>0</v>
      </c>
      <c r="J744" s="18">
        <f>IF(Imóveis!$F$3="PRICE",IF(AND(Dados!$A744&gt;=Imóveis!$Q$3,Dados!$A744&lt;=Imóveis!$T$3),Imóveis!$U$3,0),IF((IF(AND(Dados!$A744&gt;=Imóveis!$Q$3,Dados!$A744&lt;=Imóveis!$T$3),Imóveis!$S$3-(DATEDIF(Imóveis!$Q$3,Dados!$A744,"m")),0))=0,0,((Imóveis!$N$3/Imóveis!$S$3)+((Imóveis!$N$3-((Imóveis!$S$3-(IF(AND(Dados!$A744&gt;=Imóveis!$Q$3,Dados!$A744&lt;=Imóveis!$T$3),Imóveis!$S$3-(DATEDIF(Imóveis!$Q$3,Dados!$A744,"m")),)))*(Imóveis!$N$3/Imóveis!$S$3)))*Imóveis!$P$3))))*IF(AND(Imóveis!$E$3&gt;0,Dados!$A744&gt;Imóveis!$E$3),0,1)</f>
        <v>0</v>
      </c>
      <c r="K744" s="18">
        <f>IF(Imóveis!$F$4="PRICE",IF(AND(Dados!$A744&gt;=Imóveis!$Q$4,Dados!$A744&lt;=Imóveis!$T$4),Imóveis!$U$4,0),IF((IF(AND(Dados!$A744&gt;=Imóveis!$Q$4,Dados!$A744&lt;=Imóveis!$T$4),Imóveis!$S$4-(DATEDIF(Imóveis!$Q$4,Dados!$A744,"m")),0))=0,0,((Imóveis!$N$4/Imóveis!$S$4)+((Imóveis!$N$4-((Imóveis!$S$4-(IF(AND(Dados!$A744&gt;=Imóveis!$Q$4,Dados!$A744&lt;=Imóveis!$T$4),Imóveis!$S$4-(DATEDIF(Imóveis!$Q$4,Dados!$A744,"m")),)))*(Imóveis!$N$4/Imóveis!$S$4)))*Imóveis!$P$4))))*IF(AND(Imóveis!$E$4&gt;0,Dados!$A744&gt;Imóveis!$E$4),0,1)</f>
        <v>0</v>
      </c>
      <c r="L744" s="18">
        <f>IF(Imóveis!$F$5="PRICE",IF(AND(Dados!$A744&gt;=Imóveis!$Q$5,Dados!$A744&lt;=Imóveis!$T$5),Imóveis!$U$5,0),IF((IF(AND(Dados!$A744&gt;=Imóveis!$Q$5,Dados!$A744&lt;=Imóveis!$T$5),Imóveis!$S$5-(DATEDIF(Imóveis!$Q$5,Dados!$A744,"m")),0))=0,0,((Imóveis!$N$5/Imóveis!$S$5)+((Imóveis!$N$5-((Imóveis!$S$5-(IF(AND(Dados!$A744 &gt;=Imóveis!$Q$5,Dados!$A744&lt;=Imóveis!$T$5),Imóveis!$S$5-(DATEDIF(Imóveis!$Q$5,Dados!$A744,"m")),)))*(Imóveis!$N$5/Imóveis!$S$5)))*Imóveis!$P$5))))*IF(AND(Imóveis!$E$5&gt;0,Dados!$A744&gt;Imóveis!$E$5),0,1)*Imóveis!$I$5</f>
        <v>0</v>
      </c>
      <c r="M744" s="18">
        <f>IF(Imóveis!$F$6="PRICE",IF(AND(Dados!$A744&gt;=Imóveis!$Q$6,Dados!$A744&lt;=Imóveis!$T$6),Imóveis!$U$6,0),IF((IF(AND(Dados!$A744&gt;=Imóveis!$Q$6,Dados!$A744&lt;=Imóveis!$T$6),Imóveis!$S$6-(DATEDIF(Imóveis!$Q$6,Dados!$A744,"m")),0))=0,0,((Imóveis!$N$6/Imóveis!$S$6)+((Imóveis!$N$6-((Imóveis!$S$6-(IF(AND(Dados!$A744&gt;=Imóveis!$Q$6,Dados!$A744&lt;=Imóveis!$T$6),Imóveis!$S$6-(DATEDIF(Imóveis!$Q$6,Dados!$A744,"m")),)))*(Imóveis!$N$6/Imóveis!$S$6)))*Imóveis!$P$6))))*IF(AND(Imóveis!$E$6&gt;0,Dados!$A744&gt;Imóveis!$E$6),0,1)*Imóveis!$I$6</f>
        <v>0</v>
      </c>
      <c r="N744" s="18">
        <f t="shared" si="93"/>
        <v>37000</v>
      </c>
      <c r="O744" s="18">
        <f>SUMIFS(Receitas!$F:$F,Receitas!$J:$J,"&lt;="&amp;$A744,Receitas!$L:$L,"&gt;="&amp;$A744,Receitas!$C:$C,O$1,Receitas!$M:$M,"Mensal")+SUMIFS(Receitas!$F:$F,Receitas!$J:$J,"&lt;="&amp;$A744,Receitas!$L:$L,"&gt;="&amp;$A744,Receitas!$C:$C,O$1,Receitas!$M:$M,$B744)</f>
        <v>0</v>
      </c>
      <c r="P744" s="18">
        <f>SUMIFS(Receitas!$F:$F,Receitas!$J:$J,"&lt;="&amp;$A744,Receitas!$L:$L,"&gt;="&amp;$A744,Receitas!$C:$C,P$1,Receitas!$M:$M,"Mensal")+SUMIFS(Receitas!$F:$F,Receitas!$J:$J,"&lt;="&amp;$A744,Receitas!$L:$L,"&gt;="&amp;$A744,Receitas!$C:$C,P$1,Receitas!$M:$M,$B744)</f>
        <v>0</v>
      </c>
      <c r="Q744" s="18">
        <f>SUMIFS(Receitas!$F:$F,Receitas!$J:$J,"&lt;="&amp;$A744,Receitas!$L:$L,"&gt;="&amp;$A744,Receitas!$C:$C,Q$1,Receitas!$M:$M,"Mensal")+SUMIFS(Receitas!$F:$F,Receitas!$J:$J,"&lt;="&amp;$A744,Receitas!$L:$L,"&gt;="&amp;$A744,Receitas!$C:$C,Q$1,Receitas!$M:$M,$B744)</f>
        <v>0</v>
      </c>
      <c r="R744" s="18" cm="1">
        <f t="array" ref="R744">(IF(AND(Membros!$F$2="Sim",A744&lt;=MAX(Membros!$E$2:$E$5)),Membros!K$2,IF(AND(A744&gt;=Membros!J$2,A744&lt;=MAX(Membros!$E$2:$E$5)),Membros!K$2,0))+IF(AND(Membros!$F$3="Sim",A744&lt;=MAX(Membros!$E$2:$E$5)),Membros!K$3,IF(AND(A744&gt;=Membros!J$3,A744&lt;=MAX(Membros!$E$2:$E$5)),Membros!K$3,0)))*IF(AND(COUNTIFS(Tabela3[Tipo],"Provedor",Tabela3[Simulação Seguro],"Sim")=2,A744&gt;=MAX(IF(Tabela3[Tipo]="Dependente",Tabela3[Expectativa de Vida (Data)]))),0,1)</f>
        <v>10000</v>
      </c>
      <c r="S744" s="18">
        <f t="shared" si="94"/>
        <v>10000</v>
      </c>
      <c r="U744" s="18">
        <f t="shared" ca="1" si="97"/>
        <v>56831051.585104741</v>
      </c>
      <c r="V744" s="18">
        <f>SUMIF(Imóveis!E:E,Dados!A:A,Imóveis!Z:Z)-SUMIF(Imóveis!E:E,Dados!A:A,Imóveis!Y:Y)</f>
        <v>0</v>
      </c>
      <c r="W744" s="18">
        <f>-SUMIF(Projetos!N:N,A744,Projetos!F:F)</f>
        <v>0</v>
      </c>
      <c r="X744" s="18">
        <f t="shared" si="91"/>
        <v>-27000</v>
      </c>
      <c r="Y744" s="26">
        <f ca="1">(U744*((Indicadores_Economicos!D$2+1)^(1/12)-1))</f>
        <v>186050.07443835607</v>
      </c>
      <c r="Z744" s="18">
        <f t="shared" ca="1" si="95"/>
        <v>56990101.659543097</v>
      </c>
      <c r="AA744" s="18">
        <f ca="1">Auxiliar_Projetos!E744</f>
        <v>4.4200152542325789E-9</v>
      </c>
      <c r="AB744" s="18">
        <f ca="1">Auxiliar_Projetos!K744</f>
        <v>3.4000117340250544E-9</v>
      </c>
      <c r="AC744" s="18">
        <f ca="1">IF(Z744-AA744-AB744&gt;Investimentos!$C$14,Investimentos!$C$14,IF(Z744-AA744-AB744&lt;Investimentos!$C$14,Z744-AA744-AB744,0))</f>
        <v>300000</v>
      </c>
      <c r="AD744" s="18">
        <f t="shared" ca="1" si="96"/>
        <v>56690101.65954309</v>
      </c>
      <c r="AE744" s="18"/>
    </row>
    <row r="745" spans="1:31" x14ac:dyDescent="0.2">
      <c r="A745" s="4">
        <v>68272</v>
      </c>
      <c r="B745" s="5" t="str">
        <f t="shared" si="92"/>
        <v>dezembro</v>
      </c>
      <c r="C745" s="5" t="str">
        <f t="shared" si="98"/>
        <v>2086</v>
      </c>
      <c r="D745" s="5">
        <f>SUMIFS(Despesas!$F:$F,Despesas!$J:$J,"&lt;="&amp;$A745,Despesas!$L:$L,"&gt;="&amp;$A745,Despesas!$C:$C,D$1,Despesas!$M:$M,"Mensal")+SUMIFS(Despesas!$F:$F,Despesas!$J:$J,"&lt;="&amp;$A745,Despesas!$L:$L,"&gt;="&amp;$A745,Despesas!$C:$C,D$1,Despesas!$M:$M,$B745)</f>
        <v>23000</v>
      </c>
      <c r="E745" s="18">
        <f>SUMIFS(Despesas!$F:$F,Despesas!$J:$J,"&lt;="&amp;$A745,Despesas!$L:$L,"&gt;="&amp;$A745,Despesas!$C:$C,E$1,Despesas!$M:$M,"Mensal")+SUMIFS(Despesas!$F:$F,Despesas!$J:$J,"&lt;="&amp;$A745,Despesas!$L:$L,"&gt;="&amp;$A745,Despesas!$C:$C,E$1,Despesas!$M:$M,$B745)</f>
        <v>0</v>
      </c>
      <c r="F745" s="5">
        <f>SUMIFS(Despesas!$F:$F,Despesas!$J:$J,"&lt;="&amp;$A745,Despesas!$L:$L,"&gt;="&amp;$A745,Despesas!$C:$C,F$1,Despesas!$M:$M,"Mensal")+SUMIFS(Despesas!$F:$F,Despesas!$J:$J,"&lt;="&amp;$A745,Despesas!$L:$L,"&gt;="&amp;$A745,Despesas!$C:$C,F$1,Despesas!$M:$M,$B745)</f>
        <v>13000</v>
      </c>
      <c r="G745" s="5">
        <f ca="1">SUMIFS(Despesas!$F:$F,Despesas!$J:$J,"&lt;="&amp;$A745,Despesas!$L:$L,"&gt;="&amp;$A745,Despesas!$C:$C,G$1,Despesas!$M:$M,"Mensal")+SUMIFS(Despesas!$F:$F,Despesas!$J:$J,"&lt;="&amp;$A745,Despesas!$L:$L,"&gt;="&amp;$A745,Despesas!$C:$C,G$1,Despesas!$M:$M,$B745)</f>
        <v>55757</v>
      </c>
      <c r="H745" s="18">
        <f>SUMIFS(Despesas!$F:$F,Despesas!$J:$J,"&lt;="&amp;$A745,Despesas!$L:$L,"&gt;="&amp;$A745,Despesas!$C:$C,H$1,Despesas!$M:$M,"Mensal")+SUMIFS(Despesas!$F:$F,Despesas!$J:$J,"&lt;="&amp;$A745,Despesas!$L:$L,"&gt;="&amp;$A745,Despesas!$C:$C,H$1,Despesas!$M:$M,$B745)</f>
        <v>1000</v>
      </c>
      <c r="I745" s="18">
        <f>IF(Imóveis!$F$2="PRICE",IF(AND(Dados!$A745&gt;=Imóveis!$Q$2,Dados!$A745&lt;=Imóveis!$T$2),Imóveis!$U$2,0),IF((IF(AND(Dados!$A745&gt;=Imóveis!$Q$2,Dados!$A745&lt;=Imóveis!$T$2),Imóveis!$S$2-(DATEDIF(Imóveis!$Q$2,Dados!$A745,"m")),0))=0,0,((Imóveis!$N$2/Imóveis!$S$2)+((Imóveis!$N$2-((Imóveis!$S$2-(IF(AND(Dados!$A745&gt;=Imóveis!$Q$2,Dados!$A745&lt;=Imóveis!$T$2),Imóveis!$S$2-(DATEDIF(Imóveis!$Q$2,Dados!$A745,"m")),)))*(Imóveis!$N$2/Imóveis!$S$2)))*Imóveis!$P$2))))*IF(AND(Imóveis!$E$2&gt;0,Dados!$A745&gt;Imóveis!$E$2),0,1)</f>
        <v>0</v>
      </c>
      <c r="J745" s="18">
        <f>IF(Imóveis!$F$3="PRICE",IF(AND(Dados!$A745&gt;=Imóveis!$Q$3,Dados!$A745&lt;=Imóveis!$T$3),Imóveis!$U$3,0),IF((IF(AND(Dados!$A745&gt;=Imóveis!$Q$3,Dados!$A745&lt;=Imóveis!$T$3),Imóveis!$S$3-(DATEDIF(Imóveis!$Q$3,Dados!$A745,"m")),0))=0,0,((Imóveis!$N$3/Imóveis!$S$3)+((Imóveis!$N$3-((Imóveis!$S$3-(IF(AND(Dados!$A745&gt;=Imóveis!$Q$3,Dados!$A745&lt;=Imóveis!$T$3),Imóveis!$S$3-(DATEDIF(Imóveis!$Q$3,Dados!$A745,"m")),)))*(Imóveis!$N$3/Imóveis!$S$3)))*Imóveis!$P$3))))*IF(AND(Imóveis!$E$3&gt;0,Dados!$A745&gt;Imóveis!$E$3),0,1)</f>
        <v>0</v>
      </c>
      <c r="K745" s="18">
        <f>IF(Imóveis!$F$4="PRICE",IF(AND(Dados!$A745&gt;=Imóveis!$Q$4,Dados!$A745&lt;=Imóveis!$T$4),Imóveis!$U$4,0),IF((IF(AND(Dados!$A745&gt;=Imóveis!$Q$4,Dados!$A745&lt;=Imóveis!$T$4),Imóveis!$S$4-(DATEDIF(Imóveis!$Q$4,Dados!$A745,"m")),0))=0,0,((Imóveis!$N$4/Imóveis!$S$4)+((Imóveis!$N$4-((Imóveis!$S$4-(IF(AND(Dados!$A745&gt;=Imóveis!$Q$4,Dados!$A745&lt;=Imóveis!$T$4),Imóveis!$S$4-(DATEDIF(Imóveis!$Q$4,Dados!$A745,"m")),)))*(Imóveis!$N$4/Imóveis!$S$4)))*Imóveis!$P$4))))*IF(AND(Imóveis!$E$4&gt;0,Dados!$A745&gt;Imóveis!$E$4),0,1)</f>
        <v>0</v>
      </c>
      <c r="L745" s="18">
        <f>IF(Imóveis!$F$5="PRICE",IF(AND(Dados!$A745&gt;=Imóveis!$Q$5,Dados!$A745&lt;=Imóveis!$T$5),Imóveis!$U$5,0),IF((IF(AND(Dados!$A745&gt;=Imóveis!$Q$5,Dados!$A745&lt;=Imóveis!$T$5),Imóveis!$S$5-(DATEDIF(Imóveis!$Q$5,Dados!$A745,"m")),0))=0,0,((Imóveis!$N$5/Imóveis!$S$5)+((Imóveis!$N$5-((Imóveis!$S$5-(IF(AND(Dados!$A745 &gt;=Imóveis!$Q$5,Dados!$A745&lt;=Imóveis!$T$5),Imóveis!$S$5-(DATEDIF(Imóveis!$Q$5,Dados!$A745,"m")),)))*(Imóveis!$N$5/Imóveis!$S$5)))*Imóveis!$P$5))))*IF(AND(Imóveis!$E$5&gt;0,Dados!$A745&gt;Imóveis!$E$5),0,1)*Imóveis!$I$5</f>
        <v>0</v>
      </c>
      <c r="M745" s="18">
        <f>IF(Imóveis!$F$6="PRICE",IF(AND(Dados!$A745&gt;=Imóveis!$Q$6,Dados!$A745&lt;=Imóveis!$T$6),Imóveis!$U$6,0),IF((IF(AND(Dados!$A745&gt;=Imóveis!$Q$6,Dados!$A745&lt;=Imóveis!$T$6),Imóveis!$S$6-(DATEDIF(Imóveis!$Q$6,Dados!$A745,"m")),0))=0,0,((Imóveis!$N$6/Imóveis!$S$6)+((Imóveis!$N$6-((Imóveis!$S$6-(IF(AND(Dados!$A745&gt;=Imóveis!$Q$6,Dados!$A745&lt;=Imóveis!$T$6),Imóveis!$S$6-(DATEDIF(Imóveis!$Q$6,Dados!$A745,"m")),)))*(Imóveis!$N$6/Imóveis!$S$6)))*Imóveis!$P$6))))*IF(AND(Imóveis!$E$6&gt;0,Dados!$A745&gt;Imóveis!$E$6),0,1)*Imóveis!$I$6</f>
        <v>0</v>
      </c>
      <c r="N745" s="18">
        <f t="shared" ca="1" si="93"/>
        <v>92757</v>
      </c>
      <c r="O745" s="18">
        <f>SUMIFS(Receitas!$F:$F,Receitas!$J:$J,"&lt;="&amp;$A745,Receitas!$L:$L,"&gt;="&amp;$A745,Receitas!$C:$C,O$1,Receitas!$M:$M,"Mensal")+SUMIFS(Receitas!$F:$F,Receitas!$J:$J,"&lt;="&amp;$A745,Receitas!$L:$L,"&gt;="&amp;$A745,Receitas!$C:$C,O$1,Receitas!$M:$M,$B745)</f>
        <v>0</v>
      </c>
      <c r="P745" s="18">
        <f>SUMIFS(Receitas!$F:$F,Receitas!$J:$J,"&lt;="&amp;$A745,Receitas!$L:$L,"&gt;="&amp;$A745,Receitas!$C:$C,P$1,Receitas!$M:$M,"Mensal")+SUMIFS(Receitas!$F:$F,Receitas!$J:$J,"&lt;="&amp;$A745,Receitas!$L:$L,"&gt;="&amp;$A745,Receitas!$C:$C,P$1,Receitas!$M:$M,$B745)</f>
        <v>0</v>
      </c>
      <c r="Q745" s="18">
        <f>SUMIFS(Receitas!$F:$F,Receitas!$J:$J,"&lt;="&amp;$A745,Receitas!$L:$L,"&gt;="&amp;$A745,Receitas!$C:$C,Q$1,Receitas!$M:$M,"Mensal")+SUMIFS(Receitas!$F:$F,Receitas!$J:$J,"&lt;="&amp;$A745,Receitas!$L:$L,"&gt;="&amp;$A745,Receitas!$C:$C,Q$1,Receitas!$M:$M,$B745)</f>
        <v>0</v>
      </c>
      <c r="R745" s="18" cm="1">
        <f t="array" ref="R745">(IF(AND(Membros!$F$2="Sim",A745&lt;=MAX(Membros!$E$2:$E$5)),Membros!K$2,IF(AND(A745&gt;=Membros!J$2,A745&lt;=MAX(Membros!$E$2:$E$5)),Membros!K$2,0))+IF(AND(Membros!$F$3="Sim",A745&lt;=MAX(Membros!$E$2:$E$5)),Membros!K$3,IF(AND(A745&gt;=Membros!J$3,A745&lt;=MAX(Membros!$E$2:$E$5)),Membros!K$3,0)))*IF(AND(COUNTIFS(Tabela3[Tipo],"Provedor",Tabela3[Simulação Seguro],"Sim")=2,A745&gt;=MAX(IF(Tabela3[Tipo]="Dependente",Tabela3[Expectativa de Vida (Data)]))),0,1)</f>
        <v>10000</v>
      </c>
      <c r="S745" s="18">
        <f t="shared" si="94"/>
        <v>10000</v>
      </c>
      <c r="U745" s="18">
        <f t="shared" ca="1" si="97"/>
        <v>56990101.659543097</v>
      </c>
      <c r="V745" s="18">
        <f>SUMIF(Imóveis!E:E,Dados!A:A,Imóveis!Z:Z)-SUMIF(Imóveis!E:E,Dados!A:A,Imóveis!Y:Y)</f>
        <v>0</v>
      </c>
      <c r="W745" s="18">
        <f>-SUMIF(Projetos!N:N,A745,Projetos!F:F)</f>
        <v>0</v>
      </c>
      <c r="X745" s="18">
        <f t="shared" ca="1" si="91"/>
        <v>-82757</v>
      </c>
      <c r="Y745" s="26">
        <f ca="1">(U745*((Indicadores_Economicos!D$2+1)^(1/12)-1))</f>
        <v>186570.7629944066</v>
      </c>
      <c r="Z745" s="18">
        <f t="shared" ca="1" si="95"/>
        <v>57093915.422537506</v>
      </c>
      <c r="AA745" s="18">
        <f ca="1">Auxiliar_Projetos!E745</f>
        <v>4.4344852340082862E-9</v>
      </c>
      <c r="AB745" s="18">
        <f ca="1">Auxiliar_Projetos!K745</f>
        <v>3.4111424876986752E-9</v>
      </c>
      <c r="AC745" s="18">
        <f ca="1">IF(Z745-AA745-AB745&gt;Investimentos!$C$14,Investimentos!$C$14,IF(Z745-AA745-AB745&lt;Investimentos!$C$14,Z745-AA745-AB745,0))</f>
        <v>300000</v>
      </c>
      <c r="AD745" s="18">
        <f t="shared" ca="1" si="96"/>
        <v>56793915.422537498</v>
      </c>
      <c r="AE745" s="18"/>
    </row>
    <row r="746" spans="1:31" x14ac:dyDescent="0.2">
      <c r="A746" s="4">
        <v>68303</v>
      </c>
      <c r="B746" s="5" t="str">
        <f t="shared" si="92"/>
        <v>janeiro</v>
      </c>
      <c r="C746" s="5" t="str">
        <f t="shared" si="98"/>
        <v>2087</v>
      </c>
      <c r="D746" s="5">
        <f>SUMIFS(Despesas!$F:$F,Despesas!$J:$J,"&lt;="&amp;$A746,Despesas!$L:$L,"&gt;="&amp;$A746,Despesas!$C:$C,D$1,Despesas!$M:$M,"Mensal")+SUMIFS(Despesas!$F:$F,Despesas!$J:$J,"&lt;="&amp;$A746,Despesas!$L:$L,"&gt;="&amp;$A746,Despesas!$C:$C,D$1,Despesas!$M:$M,$B746)</f>
        <v>23000</v>
      </c>
      <c r="E746" s="18">
        <f>SUMIFS(Despesas!$F:$F,Despesas!$J:$J,"&lt;="&amp;$A746,Despesas!$L:$L,"&gt;="&amp;$A746,Despesas!$C:$C,E$1,Despesas!$M:$M,"Mensal")+SUMIFS(Despesas!$F:$F,Despesas!$J:$J,"&lt;="&amp;$A746,Despesas!$L:$L,"&gt;="&amp;$A746,Despesas!$C:$C,E$1,Despesas!$M:$M,$B746)</f>
        <v>0</v>
      </c>
      <c r="F746" s="5">
        <f>SUMIFS(Despesas!$F:$F,Despesas!$J:$J,"&lt;="&amp;$A746,Despesas!$L:$L,"&gt;="&amp;$A746,Despesas!$C:$C,F$1,Despesas!$M:$M,"Mensal")+SUMIFS(Despesas!$F:$F,Despesas!$J:$J,"&lt;="&amp;$A746,Despesas!$L:$L,"&gt;="&amp;$A746,Despesas!$C:$C,F$1,Despesas!$M:$M,$B746)</f>
        <v>13000</v>
      </c>
      <c r="G746" s="5">
        <f>SUMIFS(Despesas!$F:$F,Despesas!$J:$J,"&lt;="&amp;$A746,Despesas!$L:$L,"&gt;="&amp;$A746,Despesas!$C:$C,G$1,Despesas!$M:$M,"Mensal")+SUMIFS(Despesas!$F:$F,Despesas!$J:$J,"&lt;="&amp;$A746,Despesas!$L:$L,"&gt;="&amp;$A746,Despesas!$C:$C,G$1,Despesas!$M:$M,$B746)</f>
        <v>0</v>
      </c>
      <c r="H746" s="18">
        <f>SUMIFS(Despesas!$F:$F,Despesas!$J:$J,"&lt;="&amp;$A746,Despesas!$L:$L,"&gt;="&amp;$A746,Despesas!$C:$C,H$1,Despesas!$M:$M,"Mensal")+SUMIFS(Despesas!$F:$F,Despesas!$J:$J,"&lt;="&amp;$A746,Despesas!$L:$L,"&gt;="&amp;$A746,Despesas!$C:$C,H$1,Despesas!$M:$M,$B746)</f>
        <v>1000</v>
      </c>
      <c r="I746" s="18">
        <f>IF(Imóveis!$F$2="PRICE",IF(AND(Dados!$A746&gt;=Imóveis!$Q$2,Dados!$A746&lt;=Imóveis!$T$2),Imóveis!$U$2,0),IF((IF(AND(Dados!$A746&gt;=Imóveis!$Q$2,Dados!$A746&lt;=Imóveis!$T$2),Imóveis!$S$2-(DATEDIF(Imóveis!$Q$2,Dados!$A746,"m")),0))=0,0,((Imóveis!$N$2/Imóveis!$S$2)+((Imóveis!$N$2-((Imóveis!$S$2-(IF(AND(Dados!$A746&gt;=Imóveis!$Q$2,Dados!$A746&lt;=Imóveis!$T$2),Imóveis!$S$2-(DATEDIF(Imóveis!$Q$2,Dados!$A746,"m")),)))*(Imóveis!$N$2/Imóveis!$S$2)))*Imóveis!$P$2))))*IF(AND(Imóveis!$E$2&gt;0,Dados!$A746&gt;Imóveis!$E$2),0,1)</f>
        <v>0</v>
      </c>
      <c r="J746" s="18">
        <f>IF(Imóveis!$F$3="PRICE",IF(AND(Dados!$A746&gt;=Imóveis!$Q$3,Dados!$A746&lt;=Imóveis!$T$3),Imóveis!$U$3,0),IF((IF(AND(Dados!$A746&gt;=Imóveis!$Q$3,Dados!$A746&lt;=Imóveis!$T$3),Imóveis!$S$3-(DATEDIF(Imóveis!$Q$3,Dados!$A746,"m")),0))=0,0,((Imóveis!$N$3/Imóveis!$S$3)+((Imóveis!$N$3-((Imóveis!$S$3-(IF(AND(Dados!$A746&gt;=Imóveis!$Q$3,Dados!$A746&lt;=Imóveis!$T$3),Imóveis!$S$3-(DATEDIF(Imóveis!$Q$3,Dados!$A746,"m")),)))*(Imóveis!$N$3/Imóveis!$S$3)))*Imóveis!$P$3))))*IF(AND(Imóveis!$E$3&gt;0,Dados!$A746&gt;Imóveis!$E$3),0,1)</f>
        <v>0</v>
      </c>
      <c r="K746" s="18">
        <f>IF(Imóveis!$F$4="PRICE",IF(AND(Dados!$A746&gt;=Imóveis!$Q$4,Dados!$A746&lt;=Imóveis!$T$4),Imóveis!$U$4,0),IF((IF(AND(Dados!$A746&gt;=Imóveis!$Q$4,Dados!$A746&lt;=Imóveis!$T$4),Imóveis!$S$4-(DATEDIF(Imóveis!$Q$4,Dados!$A746,"m")),0))=0,0,((Imóveis!$N$4/Imóveis!$S$4)+((Imóveis!$N$4-((Imóveis!$S$4-(IF(AND(Dados!$A746&gt;=Imóveis!$Q$4,Dados!$A746&lt;=Imóveis!$T$4),Imóveis!$S$4-(DATEDIF(Imóveis!$Q$4,Dados!$A746,"m")),)))*(Imóveis!$N$4/Imóveis!$S$4)))*Imóveis!$P$4))))*IF(AND(Imóveis!$E$4&gt;0,Dados!$A746&gt;Imóveis!$E$4),0,1)</f>
        <v>0</v>
      </c>
      <c r="L746" s="18">
        <f>IF(Imóveis!$F$5="PRICE",IF(AND(Dados!$A746&gt;=Imóveis!$Q$5,Dados!$A746&lt;=Imóveis!$T$5),Imóveis!$U$5,0),IF((IF(AND(Dados!$A746&gt;=Imóveis!$Q$5,Dados!$A746&lt;=Imóveis!$T$5),Imóveis!$S$5-(DATEDIF(Imóveis!$Q$5,Dados!$A746,"m")),0))=0,0,((Imóveis!$N$5/Imóveis!$S$5)+((Imóveis!$N$5-((Imóveis!$S$5-(IF(AND(Dados!$A746 &gt;=Imóveis!$Q$5,Dados!$A746&lt;=Imóveis!$T$5),Imóveis!$S$5-(DATEDIF(Imóveis!$Q$5,Dados!$A746,"m")),)))*(Imóveis!$N$5/Imóveis!$S$5)))*Imóveis!$P$5))))*IF(AND(Imóveis!$E$5&gt;0,Dados!$A746&gt;Imóveis!$E$5),0,1)*Imóveis!$I$5</f>
        <v>0</v>
      </c>
      <c r="M746" s="18">
        <f>IF(Imóveis!$F$6="PRICE",IF(AND(Dados!$A746&gt;=Imóveis!$Q$6,Dados!$A746&lt;=Imóveis!$T$6),Imóveis!$U$6,0),IF((IF(AND(Dados!$A746&gt;=Imóveis!$Q$6,Dados!$A746&lt;=Imóveis!$T$6),Imóveis!$S$6-(DATEDIF(Imóveis!$Q$6,Dados!$A746,"m")),0))=0,0,((Imóveis!$N$6/Imóveis!$S$6)+((Imóveis!$N$6-((Imóveis!$S$6-(IF(AND(Dados!$A746&gt;=Imóveis!$Q$6,Dados!$A746&lt;=Imóveis!$T$6),Imóveis!$S$6-(DATEDIF(Imóveis!$Q$6,Dados!$A746,"m")),)))*(Imóveis!$N$6/Imóveis!$S$6)))*Imóveis!$P$6))))*IF(AND(Imóveis!$E$6&gt;0,Dados!$A746&gt;Imóveis!$E$6),0,1)*Imóveis!$I$6</f>
        <v>0</v>
      </c>
      <c r="N746" s="18">
        <f t="shared" si="93"/>
        <v>37000</v>
      </c>
      <c r="O746" s="18">
        <f>SUMIFS(Receitas!$F:$F,Receitas!$J:$J,"&lt;="&amp;$A746,Receitas!$L:$L,"&gt;="&amp;$A746,Receitas!$C:$C,O$1,Receitas!$M:$M,"Mensal")+SUMIFS(Receitas!$F:$F,Receitas!$J:$J,"&lt;="&amp;$A746,Receitas!$L:$L,"&gt;="&amp;$A746,Receitas!$C:$C,O$1,Receitas!$M:$M,$B746)</f>
        <v>0</v>
      </c>
      <c r="P746" s="18">
        <f>SUMIFS(Receitas!$F:$F,Receitas!$J:$J,"&lt;="&amp;$A746,Receitas!$L:$L,"&gt;="&amp;$A746,Receitas!$C:$C,P$1,Receitas!$M:$M,"Mensal")+SUMIFS(Receitas!$F:$F,Receitas!$J:$J,"&lt;="&amp;$A746,Receitas!$L:$L,"&gt;="&amp;$A746,Receitas!$C:$C,P$1,Receitas!$M:$M,$B746)</f>
        <v>0</v>
      </c>
      <c r="Q746" s="18">
        <f>SUMIFS(Receitas!$F:$F,Receitas!$J:$J,"&lt;="&amp;$A746,Receitas!$L:$L,"&gt;="&amp;$A746,Receitas!$C:$C,Q$1,Receitas!$M:$M,"Mensal")+SUMIFS(Receitas!$F:$F,Receitas!$J:$J,"&lt;="&amp;$A746,Receitas!$L:$L,"&gt;="&amp;$A746,Receitas!$C:$C,Q$1,Receitas!$M:$M,$B746)</f>
        <v>0</v>
      </c>
      <c r="R746" s="18" cm="1">
        <f t="array" ref="R746">(IF(AND(Membros!$F$2="Sim",A746&lt;=MAX(Membros!$E$2:$E$5)),Membros!K$2,IF(AND(A746&gt;=Membros!J$2,A746&lt;=MAX(Membros!$E$2:$E$5)),Membros!K$2,0))+IF(AND(Membros!$F$3="Sim",A746&lt;=MAX(Membros!$E$2:$E$5)),Membros!K$3,IF(AND(A746&gt;=Membros!J$3,A746&lt;=MAX(Membros!$E$2:$E$5)),Membros!K$3,0)))*IF(AND(COUNTIFS(Tabela3[Tipo],"Provedor",Tabela3[Simulação Seguro],"Sim")=2,A746&gt;=MAX(IF(Tabela3[Tipo]="Dependente",Tabela3[Expectativa de Vida (Data)]))),0,1)</f>
        <v>10000</v>
      </c>
      <c r="S746" s="18">
        <f t="shared" si="94"/>
        <v>10000</v>
      </c>
      <c r="U746" s="18">
        <f t="shared" ca="1" si="97"/>
        <v>57093915.422537506</v>
      </c>
      <c r="V746" s="18">
        <f>SUMIF(Imóveis!E:E,Dados!A:A,Imóveis!Z:Z)-SUMIF(Imóveis!E:E,Dados!A:A,Imóveis!Y:Y)</f>
        <v>0</v>
      </c>
      <c r="W746" s="18">
        <f>-SUMIF(Projetos!N:N,A746,Projetos!F:F)</f>
        <v>0</v>
      </c>
      <c r="X746" s="18">
        <f t="shared" si="91"/>
        <v>-27000</v>
      </c>
      <c r="Y746" s="26">
        <f ca="1">(U746*((Indicadores_Economicos!D$2+1)^(1/12)-1))</f>
        <v>186910.62224026117</v>
      </c>
      <c r="Z746" s="18">
        <f t="shared" ca="1" si="95"/>
        <v>57253826.044777766</v>
      </c>
      <c r="AA746" s="18">
        <f ca="1">Auxiliar_Projetos!E746</f>
        <v>4.4490025847324328E-9</v>
      </c>
      <c r="AB746" s="18">
        <f ca="1">Auxiliar_Projetos!K746</f>
        <v>3.4223096805634032E-9</v>
      </c>
      <c r="AC746" s="18">
        <f ca="1">IF(Z746-AA746-AB746&gt;Investimentos!$C$14,Investimentos!$C$14,IF(Z746-AA746-AB746&lt;Investimentos!$C$14,Z746-AA746-AB746,0))</f>
        <v>300000</v>
      </c>
      <c r="AD746" s="18">
        <f t="shared" ca="1" si="96"/>
        <v>56953826.044777758</v>
      </c>
      <c r="AE746" s="18"/>
    </row>
    <row r="747" spans="1:31" x14ac:dyDescent="0.2">
      <c r="A747" s="4">
        <v>68334</v>
      </c>
      <c r="B747" s="5" t="str">
        <f t="shared" si="92"/>
        <v>fevereiro</v>
      </c>
      <c r="C747" s="5" t="str">
        <f t="shared" si="98"/>
        <v>2087</v>
      </c>
      <c r="D747" s="5">
        <f>SUMIFS(Despesas!$F:$F,Despesas!$J:$J,"&lt;="&amp;$A747,Despesas!$L:$L,"&gt;="&amp;$A747,Despesas!$C:$C,D$1,Despesas!$M:$M,"Mensal")+SUMIFS(Despesas!$F:$F,Despesas!$J:$J,"&lt;="&amp;$A747,Despesas!$L:$L,"&gt;="&amp;$A747,Despesas!$C:$C,D$1,Despesas!$M:$M,$B747)</f>
        <v>23000</v>
      </c>
      <c r="E747" s="18">
        <f>SUMIFS(Despesas!$F:$F,Despesas!$J:$J,"&lt;="&amp;$A747,Despesas!$L:$L,"&gt;="&amp;$A747,Despesas!$C:$C,E$1,Despesas!$M:$M,"Mensal")+SUMIFS(Despesas!$F:$F,Despesas!$J:$J,"&lt;="&amp;$A747,Despesas!$L:$L,"&gt;="&amp;$A747,Despesas!$C:$C,E$1,Despesas!$M:$M,$B747)</f>
        <v>0</v>
      </c>
      <c r="F747" s="5">
        <f>SUMIFS(Despesas!$F:$F,Despesas!$J:$J,"&lt;="&amp;$A747,Despesas!$L:$L,"&gt;="&amp;$A747,Despesas!$C:$C,F$1,Despesas!$M:$M,"Mensal")+SUMIFS(Despesas!$F:$F,Despesas!$J:$J,"&lt;="&amp;$A747,Despesas!$L:$L,"&gt;="&amp;$A747,Despesas!$C:$C,F$1,Despesas!$M:$M,$B747)</f>
        <v>13000</v>
      </c>
      <c r="G747" s="5">
        <f>SUMIFS(Despesas!$F:$F,Despesas!$J:$J,"&lt;="&amp;$A747,Despesas!$L:$L,"&gt;="&amp;$A747,Despesas!$C:$C,G$1,Despesas!$M:$M,"Mensal")+SUMIFS(Despesas!$F:$F,Despesas!$J:$J,"&lt;="&amp;$A747,Despesas!$L:$L,"&gt;="&amp;$A747,Despesas!$C:$C,G$1,Despesas!$M:$M,$B747)</f>
        <v>0</v>
      </c>
      <c r="H747" s="18">
        <f>SUMIFS(Despesas!$F:$F,Despesas!$J:$J,"&lt;="&amp;$A747,Despesas!$L:$L,"&gt;="&amp;$A747,Despesas!$C:$C,H$1,Despesas!$M:$M,"Mensal")+SUMIFS(Despesas!$F:$F,Despesas!$J:$J,"&lt;="&amp;$A747,Despesas!$L:$L,"&gt;="&amp;$A747,Despesas!$C:$C,H$1,Despesas!$M:$M,$B747)</f>
        <v>2200</v>
      </c>
      <c r="I747" s="18">
        <f>IF(Imóveis!$F$2="PRICE",IF(AND(Dados!$A747&gt;=Imóveis!$Q$2,Dados!$A747&lt;=Imóveis!$T$2),Imóveis!$U$2,0),IF((IF(AND(Dados!$A747&gt;=Imóveis!$Q$2,Dados!$A747&lt;=Imóveis!$T$2),Imóveis!$S$2-(DATEDIF(Imóveis!$Q$2,Dados!$A747,"m")),0))=0,0,((Imóveis!$N$2/Imóveis!$S$2)+((Imóveis!$N$2-((Imóveis!$S$2-(IF(AND(Dados!$A747&gt;=Imóveis!$Q$2,Dados!$A747&lt;=Imóveis!$T$2),Imóveis!$S$2-(DATEDIF(Imóveis!$Q$2,Dados!$A747,"m")),)))*(Imóveis!$N$2/Imóveis!$S$2)))*Imóveis!$P$2))))*IF(AND(Imóveis!$E$2&gt;0,Dados!$A747&gt;Imóveis!$E$2),0,1)</f>
        <v>0</v>
      </c>
      <c r="J747" s="18">
        <f>IF(Imóveis!$F$3="PRICE",IF(AND(Dados!$A747&gt;=Imóveis!$Q$3,Dados!$A747&lt;=Imóveis!$T$3),Imóveis!$U$3,0),IF((IF(AND(Dados!$A747&gt;=Imóveis!$Q$3,Dados!$A747&lt;=Imóveis!$T$3),Imóveis!$S$3-(DATEDIF(Imóveis!$Q$3,Dados!$A747,"m")),0))=0,0,((Imóveis!$N$3/Imóveis!$S$3)+((Imóveis!$N$3-((Imóveis!$S$3-(IF(AND(Dados!$A747&gt;=Imóveis!$Q$3,Dados!$A747&lt;=Imóveis!$T$3),Imóveis!$S$3-(DATEDIF(Imóveis!$Q$3,Dados!$A747,"m")),)))*(Imóveis!$N$3/Imóveis!$S$3)))*Imóveis!$P$3))))*IF(AND(Imóveis!$E$3&gt;0,Dados!$A747&gt;Imóveis!$E$3),0,1)</f>
        <v>0</v>
      </c>
      <c r="K747" s="18">
        <f>IF(Imóveis!$F$4="PRICE",IF(AND(Dados!$A747&gt;=Imóveis!$Q$4,Dados!$A747&lt;=Imóveis!$T$4),Imóveis!$U$4,0),IF((IF(AND(Dados!$A747&gt;=Imóveis!$Q$4,Dados!$A747&lt;=Imóveis!$T$4),Imóveis!$S$4-(DATEDIF(Imóveis!$Q$4,Dados!$A747,"m")),0))=0,0,((Imóveis!$N$4/Imóveis!$S$4)+((Imóveis!$N$4-((Imóveis!$S$4-(IF(AND(Dados!$A747&gt;=Imóveis!$Q$4,Dados!$A747&lt;=Imóveis!$T$4),Imóveis!$S$4-(DATEDIF(Imóveis!$Q$4,Dados!$A747,"m")),)))*(Imóveis!$N$4/Imóveis!$S$4)))*Imóveis!$P$4))))*IF(AND(Imóveis!$E$4&gt;0,Dados!$A747&gt;Imóveis!$E$4),0,1)</f>
        <v>0</v>
      </c>
      <c r="L747" s="18">
        <f>IF(Imóveis!$F$5="PRICE",IF(AND(Dados!$A747&gt;=Imóveis!$Q$5,Dados!$A747&lt;=Imóveis!$T$5),Imóveis!$U$5,0),IF((IF(AND(Dados!$A747&gt;=Imóveis!$Q$5,Dados!$A747&lt;=Imóveis!$T$5),Imóveis!$S$5-(DATEDIF(Imóveis!$Q$5,Dados!$A747,"m")),0))=0,0,((Imóveis!$N$5/Imóveis!$S$5)+((Imóveis!$N$5-((Imóveis!$S$5-(IF(AND(Dados!$A747 &gt;=Imóveis!$Q$5,Dados!$A747&lt;=Imóveis!$T$5),Imóveis!$S$5-(DATEDIF(Imóveis!$Q$5,Dados!$A747,"m")),)))*(Imóveis!$N$5/Imóveis!$S$5)))*Imóveis!$P$5))))*IF(AND(Imóveis!$E$5&gt;0,Dados!$A747&gt;Imóveis!$E$5),0,1)*Imóveis!$I$5</f>
        <v>0</v>
      </c>
      <c r="M747" s="18">
        <f>IF(Imóveis!$F$6="PRICE",IF(AND(Dados!$A747&gt;=Imóveis!$Q$6,Dados!$A747&lt;=Imóveis!$T$6),Imóveis!$U$6,0),IF((IF(AND(Dados!$A747&gt;=Imóveis!$Q$6,Dados!$A747&lt;=Imóveis!$T$6),Imóveis!$S$6-(DATEDIF(Imóveis!$Q$6,Dados!$A747,"m")),0))=0,0,((Imóveis!$N$6/Imóveis!$S$6)+((Imóveis!$N$6-((Imóveis!$S$6-(IF(AND(Dados!$A747&gt;=Imóveis!$Q$6,Dados!$A747&lt;=Imóveis!$T$6),Imóveis!$S$6-(DATEDIF(Imóveis!$Q$6,Dados!$A747,"m")),)))*(Imóveis!$N$6/Imóveis!$S$6)))*Imóveis!$P$6))))*IF(AND(Imóveis!$E$6&gt;0,Dados!$A747&gt;Imóveis!$E$6),0,1)*Imóveis!$I$6</f>
        <v>0</v>
      </c>
      <c r="N747" s="18">
        <f t="shared" si="93"/>
        <v>38200</v>
      </c>
      <c r="O747" s="18">
        <f>SUMIFS(Receitas!$F:$F,Receitas!$J:$J,"&lt;="&amp;$A747,Receitas!$L:$L,"&gt;="&amp;$A747,Receitas!$C:$C,O$1,Receitas!$M:$M,"Mensal")+SUMIFS(Receitas!$F:$F,Receitas!$J:$J,"&lt;="&amp;$A747,Receitas!$L:$L,"&gt;="&amp;$A747,Receitas!$C:$C,O$1,Receitas!$M:$M,$B747)</f>
        <v>0</v>
      </c>
      <c r="P747" s="18">
        <f>SUMIFS(Receitas!$F:$F,Receitas!$J:$J,"&lt;="&amp;$A747,Receitas!$L:$L,"&gt;="&amp;$A747,Receitas!$C:$C,P$1,Receitas!$M:$M,"Mensal")+SUMIFS(Receitas!$F:$F,Receitas!$J:$J,"&lt;="&amp;$A747,Receitas!$L:$L,"&gt;="&amp;$A747,Receitas!$C:$C,P$1,Receitas!$M:$M,$B747)</f>
        <v>0</v>
      </c>
      <c r="Q747" s="18">
        <f>SUMIFS(Receitas!$F:$F,Receitas!$J:$J,"&lt;="&amp;$A747,Receitas!$L:$L,"&gt;="&amp;$A747,Receitas!$C:$C,Q$1,Receitas!$M:$M,"Mensal")+SUMIFS(Receitas!$F:$F,Receitas!$J:$J,"&lt;="&amp;$A747,Receitas!$L:$L,"&gt;="&amp;$A747,Receitas!$C:$C,Q$1,Receitas!$M:$M,$B747)</f>
        <v>0</v>
      </c>
      <c r="R747" s="18" cm="1">
        <f t="array" ref="R747">(IF(AND(Membros!$F$2="Sim",A747&lt;=MAX(Membros!$E$2:$E$5)),Membros!K$2,IF(AND(A747&gt;=Membros!J$2,A747&lt;=MAX(Membros!$E$2:$E$5)),Membros!K$2,0))+IF(AND(Membros!$F$3="Sim",A747&lt;=MAX(Membros!$E$2:$E$5)),Membros!K$3,IF(AND(A747&gt;=Membros!J$3,A747&lt;=MAX(Membros!$E$2:$E$5)),Membros!K$3,0)))*IF(AND(COUNTIFS(Tabela3[Tipo],"Provedor",Tabela3[Simulação Seguro],"Sim")=2,A747&gt;=MAX(IF(Tabela3[Tipo]="Dependente",Tabela3[Expectativa de Vida (Data)]))),0,1)</f>
        <v>10000</v>
      </c>
      <c r="S747" s="18">
        <f t="shared" si="94"/>
        <v>10000</v>
      </c>
      <c r="U747" s="18">
        <f t="shared" ca="1" si="97"/>
        <v>57253826.044777766</v>
      </c>
      <c r="V747" s="18">
        <f>SUMIF(Imóveis!E:E,Dados!A:A,Imóveis!Z:Z)-SUMIF(Imóveis!E:E,Dados!A:A,Imóveis!Y:Y)</f>
        <v>0</v>
      </c>
      <c r="W747" s="18">
        <f>-SUMIF(Projetos!N:N,A747,Projetos!F:F)</f>
        <v>0</v>
      </c>
      <c r="X747" s="18">
        <f t="shared" si="91"/>
        <v>-28200</v>
      </c>
      <c r="Y747" s="26">
        <f ca="1">(U747*((Indicadores_Economicos!D$2+1)^(1/12)-1))</f>
        <v>187434.12800588529</v>
      </c>
      <c r="Z747" s="18">
        <f t="shared" ca="1" si="95"/>
        <v>57413060.17278365</v>
      </c>
      <c r="AA747" s="18">
        <f ca="1">Auxiliar_Projetos!E747</f>
        <v>4.4635674614851775E-9</v>
      </c>
      <c r="AB747" s="18">
        <f ca="1">Auxiliar_Projetos!K747</f>
        <v>3.433513431911668E-9</v>
      </c>
      <c r="AC747" s="18">
        <f ca="1">IF(Z747-AA747-AB747&gt;Investimentos!$C$14,Investimentos!$C$14,IF(Z747-AA747-AB747&lt;Investimentos!$C$14,Z747-AA747-AB747,0))</f>
        <v>300000</v>
      </c>
      <c r="AD747" s="18">
        <f t="shared" ca="1" si="96"/>
        <v>57113060.172783643</v>
      </c>
      <c r="AE747" s="18"/>
    </row>
    <row r="748" spans="1:31" x14ac:dyDescent="0.2">
      <c r="A748" s="4">
        <v>68362</v>
      </c>
      <c r="B748" s="5" t="str">
        <f t="shared" si="92"/>
        <v>março</v>
      </c>
      <c r="C748" s="5" t="str">
        <f t="shared" si="98"/>
        <v>2087</v>
      </c>
      <c r="D748" s="5">
        <f>SUMIFS(Despesas!$F:$F,Despesas!$J:$J,"&lt;="&amp;$A748,Despesas!$L:$L,"&gt;="&amp;$A748,Despesas!$C:$C,D$1,Despesas!$M:$M,"Mensal")+SUMIFS(Despesas!$F:$F,Despesas!$J:$J,"&lt;="&amp;$A748,Despesas!$L:$L,"&gt;="&amp;$A748,Despesas!$C:$C,D$1,Despesas!$M:$M,$B748)</f>
        <v>23000</v>
      </c>
      <c r="E748" s="18">
        <f>SUMIFS(Despesas!$F:$F,Despesas!$J:$J,"&lt;="&amp;$A748,Despesas!$L:$L,"&gt;="&amp;$A748,Despesas!$C:$C,E$1,Despesas!$M:$M,"Mensal")+SUMIFS(Despesas!$F:$F,Despesas!$J:$J,"&lt;="&amp;$A748,Despesas!$L:$L,"&gt;="&amp;$A748,Despesas!$C:$C,E$1,Despesas!$M:$M,$B748)</f>
        <v>0</v>
      </c>
      <c r="F748" s="5">
        <f>SUMIFS(Despesas!$F:$F,Despesas!$J:$J,"&lt;="&amp;$A748,Despesas!$L:$L,"&gt;="&amp;$A748,Despesas!$C:$C,F$1,Despesas!$M:$M,"Mensal")+SUMIFS(Despesas!$F:$F,Despesas!$J:$J,"&lt;="&amp;$A748,Despesas!$L:$L,"&gt;="&amp;$A748,Despesas!$C:$C,F$1,Despesas!$M:$M,$B748)</f>
        <v>13000</v>
      </c>
      <c r="G748" s="5">
        <f>SUMIFS(Despesas!$F:$F,Despesas!$J:$J,"&lt;="&amp;$A748,Despesas!$L:$L,"&gt;="&amp;$A748,Despesas!$C:$C,G$1,Despesas!$M:$M,"Mensal")+SUMIFS(Despesas!$F:$F,Despesas!$J:$J,"&lt;="&amp;$A748,Despesas!$L:$L,"&gt;="&amp;$A748,Despesas!$C:$C,G$1,Despesas!$M:$M,$B748)</f>
        <v>0</v>
      </c>
      <c r="H748" s="18">
        <f>SUMIFS(Despesas!$F:$F,Despesas!$J:$J,"&lt;="&amp;$A748,Despesas!$L:$L,"&gt;="&amp;$A748,Despesas!$C:$C,H$1,Despesas!$M:$M,"Mensal")+SUMIFS(Despesas!$F:$F,Despesas!$J:$J,"&lt;="&amp;$A748,Despesas!$L:$L,"&gt;="&amp;$A748,Despesas!$C:$C,H$1,Despesas!$M:$M,$B748)</f>
        <v>1000</v>
      </c>
      <c r="I748" s="18">
        <f>IF(Imóveis!$F$2="PRICE",IF(AND(Dados!$A748&gt;=Imóveis!$Q$2,Dados!$A748&lt;=Imóveis!$T$2),Imóveis!$U$2,0),IF((IF(AND(Dados!$A748&gt;=Imóveis!$Q$2,Dados!$A748&lt;=Imóveis!$T$2),Imóveis!$S$2-(DATEDIF(Imóveis!$Q$2,Dados!$A748,"m")),0))=0,0,((Imóveis!$N$2/Imóveis!$S$2)+((Imóveis!$N$2-((Imóveis!$S$2-(IF(AND(Dados!$A748&gt;=Imóveis!$Q$2,Dados!$A748&lt;=Imóveis!$T$2),Imóveis!$S$2-(DATEDIF(Imóveis!$Q$2,Dados!$A748,"m")),)))*(Imóveis!$N$2/Imóveis!$S$2)))*Imóveis!$P$2))))*IF(AND(Imóveis!$E$2&gt;0,Dados!$A748&gt;Imóveis!$E$2),0,1)</f>
        <v>0</v>
      </c>
      <c r="J748" s="18">
        <f>IF(Imóveis!$F$3="PRICE",IF(AND(Dados!$A748&gt;=Imóveis!$Q$3,Dados!$A748&lt;=Imóveis!$T$3),Imóveis!$U$3,0),IF((IF(AND(Dados!$A748&gt;=Imóveis!$Q$3,Dados!$A748&lt;=Imóveis!$T$3),Imóveis!$S$3-(DATEDIF(Imóveis!$Q$3,Dados!$A748,"m")),0))=0,0,((Imóveis!$N$3/Imóveis!$S$3)+((Imóveis!$N$3-((Imóveis!$S$3-(IF(AND(Dados!$A748&gt;=Imóveis!$Q$3,Dados!$A748&lt;=Imóveis!$T$3),Imóveis!$S$3-(DATEDIF(Imóveis!$Q$3,Dados!$A748,"m")),)))*(Imóveis!$N$3/Imóveis!$S$3)))*Imóveis!$P$3))))*IF(AND(Imóveis!$E$3&gt;0,Dados!$A748&gt;Imóveis!$E$3),0,1)</f>
        <v>0</v>
      </c>
      <c r="K748" s="18">
        <f>IF(Imóveis!$F$4="PRICE",IF(AND(Dados!$A748&gt;=Imóveis!$Q$4,Dados!$A748&lt;=Imóveis!$T$4),Imóveis!$U$4,0),IF((IF(AND(Dados!$A748&gt;=Imóveis!$Q$4,Dados!$A748&lt;=Imóveis!$T$4),Imóveis!$S$4-(DATEDIF(Imóveis!$Q$4,Dados!$A748,"m")),0))=0,0,((Imóveis!$N$4/Imóveis!$S$4)+((Imóveis!$N$4-((Imóveis!$S$4-(IF(AND(Dados!$A748&gt;=Imóveis!$Q$4,Dados!$A748&lt;=Imóveis!$T$4),Imóveis!$S$4-(DATEDIF(Imóveis!$Q$4,Dados!$A748,"m")),)))*(Imóveis!$N$4/Imóveis!$S$4)))*Imóveis!$P$4))))*IF(AND(Imóveis!$E$4&gt;0,Dados!$A748&gt;Imóveis!$E$4),0,1)</f>
        <v>0</v>
      </c>
      <c r="L748" s="18">
        <f>IF(Imóveis!$F$5="PRICE",IF(AND(Dados!$A748&gt;=Imóveis!$Q$5,Dados!$A748&lt;=Imóveis!$T$5),Imóveis!$U$5,0),IF((IF(AND(Dados!$A748&gt;=Imóveis!$Q$5,Dados!$A748&lt;=Imóveis!$T$5),Imóveis!$S$5-(DATEDIF(Imóveis!$Q$5,Dados!$A748,"m")),0))=0,0,((Imóveis!$N$5/Imóveis!$S$5)+((Imóveis!$N$5-((Imóveis!$S$5-(IF(AND(Dados!$A748 &gt;=Imóveis!$Q$5,Dados!$A748&lt;=Imóveis!$T$5),Imóveis!$S$5-(DATEDIF(Imóveis!$Q$5,Dados!$A748,"m")),)))*(Imóveis!$N$5/Imóveis!$S$5)))*Imóveis!$P$5))))*IF(AND(Imóveis!$E$5&gt;0,Dados!$A748&gt;Imóveis!$E$5),0,1)*Imóveis!$I$5</f>
        <v>0</v>
      </c>
      <c r="M748" s="18">
        <f>IF(Imóveis!$F$6="PRICE",IF(AND(Dados!$A748&gt;=Imóveis!$Q$6,Dados!$A748&lt;=Imóveis!$T$6),Imóveis!$U$6,0),IF((IF(AND(Dados!$A748&gt;=Imóveis!$Q$6,Dados!$A748&lt;=Imóveis!$T$6),Imóveis!$S$6-(DATEDIF(Imóveis!$Q$6,Dados!$A748,"m")),0))=0,0,((Imóveis!$N$6/Imóveis!$S$6)+((Imóveis!$N$6-((Imóveis!$S$6-(IF(AND(Dados!$A748&gt;=Imóveis!$Q$6,Dados!$A748&lt;=Imóveis!$T$6),Imóveis!$S$6-(DATEDIF(Imóveis!$Q$6,Dados!$A748,"m")),)))*(Imóveis!$N$6/Imóveis!$S$6)))*Imóveis!$P$6))))*IF(AND(Imóveis!$E$6&gt;0,Dados!$A748&gt;Imóveis!$E$6),0,1)*Imóveis!$I$6</f>
        <v>0</v>
      </c>
      <c r="N748" s="18">
        <f t="shared" si="93"/>
        <v>37000</v>
      </c>
      <c r="O748" s="18">
        <f>SUMIFS(Receitas!$F:$F,Receitas!$J:$J,"&lt;="&amp;$A748,Receitas!$L:$L,"&gt;="&amp;$A748,Receitas!$C:$C,O$1,Receitas!$M:$M,"Mensal")+SUMIFS(Receitas!$F:$F,Receitas!$J:$J,"&lt;="&amp;$A748,Receitas!$L:$L,"&gt;="&amp;$A748,Receitas!$C:$C,O$1,Receitas!$M:$M,$B748)</f>
        <v>0</v>
      </c>
      <c r="P748" s="18">
        <f>SUMIFS(Receitas!$F:$F,Receitas!$J:$J,"&lt;="&amp;$A748,Receitas!$L:$L,"&gt;="&amp;$A748,Receitas!$C:$C,P$1,Receitas!$M:$M,"Mensal")+SUMIFS(Receitas!$F:$F,Receitas!$J:$J,"&lt;="&amp;$A748,Receitas!$L:$L,"&gt;="&amp;$A748,Receitas!$C:$C,P$1,Receitas!$M:$M,$B748)</f>
        <v>0</v>
      </c>
      <c r="Q748" s="18">
        <f>SUMIFS(Receitas!$F:$F,Receitas!$J:$J,"&lt;="&amp;$A748,Receitas!$L:$L,"&gt;="&amp;$A748,Receitas!$C:$C,Q$1,Receitas!$M:$M,"Mensal")+SUMIFS(Receitas!$F:$F,Receitas!$J:$J,"&lt;="&amp;$A748,Receitas!$L:$L,"&gt;="&amp;$A748,Receitas!$C:$C,Q$1,Receitas!$M:$M,$B748)</f>
        <v>0</v>
      </c>
      <c r="R748" s="18" cm="1">
        <f t="array" ref="R748">(IF(AND(Membros!$F$2="Sim",A748&lt;=MAX(Membros!$E$2:$E$5)),Membros!K$2,IF(AND(A748&gt;=Membros!J$2,A748&lt;=MAX(Membros!$E$2:$E$5)),Membros!K$2,0))+IF(AND(Membros!$F$3="Sim",A748&lt;=MAX(Membros!$E$2:$E$5)),Membros!K$3,IF(AND(A748&gt;=Membros!J$3,A748&lt;=MAX(Membros!$E$2:$E$5)),Membros!K$3,0)))*IF(AND(COUNTIFS(Tabela3[Tipo],"Provedor",Tabela3[Simulação Seguro],"Sim")=2,A748&gt;=MAX(IF(Tabela3[Tipo]="Dependente",Tabela3[Expectativa de Vida (Data)]))),0,1)</f>
        <v>10000</v>
      </c>
      <c r="S748" s="18">
        <f t="shared" si="94"/>
        <v>10000</v>
      </c>
      <c r="U748" s="18">
        <f t="shared" ca="1" si="97"/>
        <v>57413060.17278365</v>
      </c>
      <c r="V748" s="18">
        <f>SUMIF(Imóveis!E:E,Dados!A:A,Imóveis!Z:Z)-SUMIF(Imóveis!E:E,Dados!A:A,Imóveis!Y:Y)</f>
        <v>0</v>
      </c>
      <c r="W748" s="18">
        <f>-SUMIF(Projetos!N:N,A748,Projetos!F:F)</f>
        <v>0</v>
      </c>
      <c r="X748" s="18">
        <f t="shared" si="91"/>
        <v>-27000</v>
      </c>
      <c r="Y748" s="26">
        <f ca="1">(U748*((Indicadores_Economicos!D$2+1)^(1/12)-1))</f>
        <v>187955.41910542193</v>
      </c>
      <c r="Z748" s="18">
        <f t="shared" ca="1" si="95"/>
        <v>57574015.591889076</v>
      </c>
      <c r="AA748" s="18">
        <f ca="1">Auxiliar_Projetos!E748</f>
        <v>4.4781800198543703E-9</v>
      </c>
      <c r="AB748" s="18">
        <f ca="1">Auxiliar_Projetos!K748</f>
        <v>3.4447538614264316E-9</v>
      </c>
      <c r="AC748" s="18">
        <f ca="1">IF(Z748-AA748-AB748&gt;Investimentos!$C$14,Investimentos!$C$14,IF(Z748-AA748-AB748&lt;Investimentos!$C$14,Z748-AA748-AB748,0))</f>
        <v>300000</v>
      </c>
      <c r="AD748" s="18">
        <f t="shared" ca="1" si="96"/>
        <v>57274015.591889068</v>
      </c>
      <c r="AE748" s="18"/>
    </row>
    <row r="749" spans="1:31" x14ac:dyDescent="0.2">
      <c r="A749" s="4">
        <v>68393</v>
      </c>
      <c r="B749" s="5" t="str">
        <f t="shared" si="92"/>
        <v>abril</v>
      </c>
      <c r="C749" s="5" t="str">
        <f t="shared" si="98"/>
        <v>2087</v>
      </c>
      <c r="D749" s="5">
        <f>SUMIFS(Despesas!$F:$F,Despesas!$J:$J,"&lt;="&amp;$A749,Despesas!$L:$L,"&gt;="&amp;$A749,Despesas!$C:$C,D$1,Despesas!$M:$M,"Mensal")+SUMIFS(Despesas!$F:$F,Despesas!$J:$J,"&lt;="&amp;$A749,Despesas!$L:$L,"&gt;="&amp;$A749,Despesas!$C:$C,D$1,Despesas!$M:$M,$B749)</f>
        <v>23000</v>
      </c>
      <c r="E749" s="18">
        <f>SUMIFS(Despesas!$F:$F,Despesas!$J:$J,"&lt;="&amp;$A749,Despesas!$L:$L,"&gt;="&amp;$A749,Despesas!$C:$C,E$1,Despesas!$M:$M,"Mensal")+SUMIFS(Despesas!$F:$F,Despesas!$J:$J,"&lt;="&amp;$A749,Despesas!$L:$L,"&gt;="&amp;$A749,Despesas!$C:$C,E$1,Despesas!$M:$M,$B749)</f>
        <v>0</v>
      </c>
      <c r="F749" s="5">
        <f>SUMIFS(Despesas!$F:$F,Despesas!$J:$J,"&lt;="&amp;$A749,Despesas!$L:$L,"&gt;="&amp;$A749,Despesas!$C:$C,F$1,Despesas!$M:$M,"Mensal")+SUMIFS(Despesas!$F:$F,Despesas!$J:$J,"&lt;="&amp;$A749,Despesas!$L:$L,"&gt;="&amp;$A749,Despesas!$C:$C,F$1,Despesas!$M:$M,$B749)</f>
        <v>13000</v>
      </c>
      <c r="G749" s="5">
        <f>SUMIFS(Despesas!$F:$F,Despesas!$J:$J,"&lt;="&amp;$A749,Despesas!$L:$L,"&gt;="&amp;$A749,Despesas!$C:$C,G$1,Despesas!$M:$M,"Mensal")+SUMIFS(Despesas!$F:$F,Despesas!$J:$J,"&lt;="&amp;$A749,Despesas!$L:$L,"&gt;="&amp;$A749,Despesas!$C:$C,G$1,Despesas!$M:$M,$B749)</f>
        <v>0</v>
      </c>
      <c r="H749" s="18">
        <f>SUMIFS(Despesas!$F:$F,Despesas!$J:$J,"&lt;="&amp;$A749,Despesas!$L:$L,"&gt;="&amp;$A749,Despesas!$C:$C,H$1,Despesas!$M:$M,"Mensal")+SUMIFS(Despesas!$F:$F,Despesas!$J:$J,"&lt;="&amp;$A749,Despesas!$L:$L,"&gt;="&amp;$A749,Despesas!$C:$C,H$1,Despesas!$M:$M,$B749)</f>
        <v>1000</v>
      </c>
      <c r="I749" s="18">
        <f>IF(Imóveis!$F$2="PRICE",IF(AND(Dados!$A749&gt;=Imóveis!$Q$2,Dados!$A749&lt;=Imóveis!$T$2),Imóveis!$U$2,0),IF((IF(AND(Dados!$A749&gt;=Imóveis!$Q$2,Dados!$A749&lt;=Imóveis!$T$2),Imóveis!$S$2-(DATEDIF(Imóveis!$Q$2,Dados!$A749,"m")),0))=0,0,((Imóveis!$N$2/Imóveis!$S$2)+((Imóveis!$N$2-((Imóveis!$S$2-(IF(AND(Dados!$A749&gt;=Imóveis!$Q$2,Dados!$A749&lt;=Imóveis!$T$2),Imóveis!$S$2-(DATEDIF(Imóveis!$Q$2,Dados!$A749,"m")),)))*(Imóveis!$N$2/Imóveis!$S$2)))*Imóveis!$P$2))))*IF(AND(Imóveis!$E$2&gt;0,Dados!$A749&gt;Imóveis!$E$2),0,1)</f>
        <v>0</v>
      </c>
      <c r="J749" s="18">
        <f>IF(Imóveis!$F$3="PRICE",IF(AND(Dados!$A749&gt;=Imóveis!$Q$3,Dados!$A749&lt;=Imóveis!$T$3),Imóveis!$U$3,0),IF((IF(AND(Dados!$A749&gt;=Imóveis!$Q$3,Dados!$A749&lt;=Imóveis!$T$3),Imóveis!$S$3-(DATEDIF(Imóveis!$Q$3,Dados!$A749,"m")),0))=0,0,((Imóveis!$N$3/Imóveis!$S$3)+((Imóveis!$N$3-((Imóveis!$S$3-(IF(AND(Dados!$A749&gt;=Imóveis!$Q$3,Dados!$A749&lt;=Imóveis!$T$3),Imóveis!$S$3-(DATEDIF(Imóveis!$Q$3,Dados!$A749,"m")),)))*(Imóveis!$N$3/Imóveis!$S$3)))*Imóveis!$P$3))))*IF(AND(Imóveis!$E$3&gt;0,Dados!$A749&gt;Imóveis!$E$3),0,1)</f>
        <v>0</v>
      </c>
      <c r="K749" s="18">
        <f>IF(Imóveis!$F$4="PRICE",IF(AND(Dados!$A749&gt;=Imóveis!$Q$4,Dados!$A749&lt;=Imóveis!$T$4),Imóveis!$U$4,0),IF((IF(AND(Dados!$A749&gt;=Imóveis!$Q$4,Dados!$A749&lt;=Imóveis!$T$4),Imóveis!$S$4-(DATEDIF(Imóveis!$Q$4,Dados!$A749,"m")),0))=0,0,((Imóveis!$N$4/Imóveis!$S$4)+((Imóveis!$N$4-((Imóveis!$S$4-(IF(AND(Dados!$A749&gt;=Imóveis!$Q$4,Dados!$A749&lt;=Imóveis!$T$4),Imóveis!$S$4-(DATEDIF(Imóveis!$Q$4,Dados!$A749,"m")),)))*(Imóveis!$N$4/Imóveis!$S$4)))*Imóveis!$P$4))))*IF(AND(Imóveis!$E$4&gt;0,Dados!$A749&gt;Imóveis!$E$4),0,1)</f>
        <v>0</v>
      </c>
      <c r="L749" s="18">
        <f>IF(Imóveis!$F$5="PRICE",IF(AND(Dados!$A749&gt;=Imóveis!$Q$5,Dados!$A749&lt;=Imóveis!$T$5),Imóveis!$U$5,0),IF((IF(AND(Dados!$A749&gt;=Imóveis!$Q$5,Dados!$A749&lt;=Imóveis!$T$5),Imóveis!$S$5-(DATEDIF(Imóveis!$Q$5,Dados!$A749,"m")),0))=0,0,((Imóveis!$N$5/Imóveis!$S$5)+((Imóveis!$N$5-((Imóveis!$S$5-(IF(AND(Dados!$A749 &gt;=Imóveis!$Q$5,Dados!$A749&lt;=Imóveis!$T$5),Imóveis!$S$5-(DATEDIF(Imóveis!$Q$5,Dados!$A749,"m")),)))*(Imóveis!$N$5/Imóveis!$S$5)))*Imóveis!$P$5))))*IF(AND(Imóveis!$E$5&gt;0,Dados!$A749&gt;Imóveis!$E$5),0,1)*Imóveis!$I$5</f>
        <v>0</v>
      </c>
      <c r="M749" s="18">
        <f>IF(Imóveis!$F$6="PRICE",IF(AND(Dados!$A749&gt;=Imóveis!$Q$6,Dados!$A749&lt;=Imóveis!$T$6),Imóveis!$U$6,0),IF((IF(AND(Dados!$A749&gt;=Imóveis!$Q$6,Dados!$A749&lt;=Imóveis!$T$6),Imóveis!$S$6-(DATEDIF(Imóveis!$Q$6,Dados!$A749,"m")),0))=0,0,((Imóveis!$N$6/Imóveis!$S$6)+((Imóveis!$N$6-((Imóveis!$S$6-(IF(AND(Dados!$A749&gt;=Imóveis!$Q$6,Dados!$A749&lt;=Imóveis!$T$6),Imóveis!$S$6-(DATEDIF(Imóveis!$Q$6,Dados!$A749,"m")),)))*(Imóveis!$N$6/Imóveis!$S$6)))*Imóveis!$P$6))))*IF(AND(Imóveis!$E$6&gt;0,Dados!$A749&gt;Imóveis!$E$6),0,1)*Imóveis!$I$6</f>
        <v>0</v>
      </c>
      <c r="N749" s="18">
        <f t="shared" si="93"/>
        <v>37000</v>
      </c>
      <c r="O749" s="18">
        <f>SUMIFS(Receitas!$F:$F,Receitas!$J:$J,"&lt;="&amp;$A749,Receitas!$L:$L,"&gt;="&amp;$A749,Receitas!$C:$C,O$1,Receitas!$M:$M,"Mensal")+SUMIFS(Receitas!$F:$F,Receitas!$J:$J,"&lt;="&amp;$A749,Receitas!$L:$L,"&gt;="&amp;$A749,Receitas!$C:$C,O$1,Receitas!$M:$M,$B749)</f>
        <v>0</v>
      </c>
      <c r="P749" s="18">
        <f>SUMIFS(Receitas!$F:$F,Receitas!$J:$J,"&lt;="&amp;$A749,Receitas!$L:$L,"&gt;="&amp;$A749,Receitas!$C:$C,P$1,Receitas!$M:$M,"Mensal")+SUMIFS(Receitas!$F:$F,Receitas!$J:$J,"&lt;="&amp;$A749,Receitas!$L:$L,"&gt;="&amp;$A749,Receitas!$C:$C,P$1,Receitas!$M:$M,$B749)</f>
        <v>0</v>
      </c>
      <c r="Q749" s="18">
        <f>SUMIFS(Receitas!$F:$F,Receitas!$J:$J,"&lt;="&amp;$A749,Receitas!$L:$L,"&gt;="&amp;$A749,Receitas!$C:$C,Q$1,Receitas!$M:$M,"Mensal")+SUMIFS(Receitas!$F:$F,Receitas!$J:$J,"&lt;="&amp;$A749,Receitas!$L:$L,"&gt;="&amp;$A749,Receitas!$C:$C,Q$1,Receitas!$M:$M,$B749)</f>
        <v>0</v>
      </c>
      <c r="R749" s="18" cm="1">
        <f t="array" ref="R749">(IF(AND(Membros!$F$2="Sim",A749&lt;=MAX(Membros!$E$2:$E$5)),Membros!K$2,IF(AND(A749&gt;=Membros!J$2,A749&lt;=MAX(Membros!$E$2:$E$5)),Membros!K$2,0))+IF(AND(Membros!$F$3="Sim",A749&lt;=MAX(Membros!$E$2:$E$5)),Membros!K$3,IF(AND(A749&gt;=Membros!J$3,A749&lt;=MAX(Membros!$E$2:$E$5)),Membros!K$3,0)))*IF(AND(COUNTIFS(Tabela3[Tipo],"Provedor",Tabela3[Simulação Seguro],"Sim")=2,A749&gt;=MAX(IF(Tabela3[Tipo]="Dependente",Tabela3[Expectativa de Vida (Data)]))),0,1)</f>
        <v>10000</v>
      </c>
      <c r="S749" s="18">
        <f t="shared" si="94"/>
        <v>10000</v>
      </c>
      <c r="U749" s="18">
        <f t="shared" ca="1" si="97"/>
        <v>57574015.591889076</v>
      </c>
      <c r="V749" s="18">
        <f>SUMIF(Imóveis!E:E,Dados!A:A,Imóveis!Z:Z)-SUMIF(Imóveis!E:E,Dados!A:A,Imóveis!Y:Y)</f>
        <v>0</v>
      </c>
      <c r="W749" s="18">
        <f>-SUMIF(Projetos!N:N,A749,Projetos!F:F)</f>
        <v>0</v>
      </c>
      <c r="X749" s="18">
        <f t="shared" si="91"/>
        <v>-27000</v>
      </c>
      <c r="Y749" s="26">
        <f ca="1">(U749*((Indicadores_Economicos!D$2+1)^(1/12)-1))</f>
        <v>188482.34526410786</v>
      </c>
      <c r="Z749" s="18">
        <f t="shared" ca="1" si="95"/>
        <v>57735497.937153183</v>
      </c>
      <c r="AA749" s="18">
        <f ca="1">Auxiliar_Projetos!E749</f>
        <v>4.4928404159372157E-9</v>
      </c>
      <c r="AB749" s="18">
        <f ca="1">Auxiliar_Projetos!K749</f>
        <v>3.4560310891824666E-9</v>
      </c>
      <c r="AC749" s="18">
        <f ca="1">IF(Z749-AA749-AB749&gt;Investimentos!$C$14,Investimentos!$C$14,IF(Z749-AA749-AB749&lt;Investimentos!$C$14,Z749-AA749-AB749,0))</f>
        <v>300000</v>
      </c>
      <c r="AD749" s="18">
        <f t="shared" ca="1" si="96"/>
        <v>57435497.937153175</v>
      </c>
      <c r="AE749" s="18"/>
    </row>
    <row r="750" spans="1:31" x14ac:dyDescent="0.2">
      <c r="A750" s="4">
        <v>68423</v>
      </c>
      <c r="B750" s="5" t="str">
        <f t="shared" si="92"/>
        <v>maio</v>
      </c>
      <c r="C750" s="5" t="str">
        <f t="shared" si="98"/>
        <v>2087</v>
      </c>
      <c r="D750" s="5">
        <f>SUMIFS(Despesas!$F:$F,Despesas!$J:$J,"&lt;="&amp;$A750,Despesas!$L:$L,"&gt;="&amp;$A750,Despesas!$C:$C,D$1,Despesas!$M:$M,"Mensal")+SUMIFS(Despesas!$F:$F,Despesas!$J:$J,"&lt;="&amp;$A750,Despesas!$L:$L,"&gt;="&amp;$A750,Despesas!$C:$C,D$1,Despesas!$M:$M,$B750)</f>
        <v>23000</v>
      </c>
      <c r="E750" s="18">
        <f>SUMIFS(Despesas!$F:$F,Despesas!$J:$J,"&lt;="&amp;$A750,Despesas!$L:$L,"&gt;="&amp;$A750,Despesas!$C:$C,E$1,Despesas!$M:$M,"Mensal")+SUMIFS(Despesas!$F:$F,Despesas!$J:$J,"&lt;="&amp;$A750,Despesas!$L:$L,"&gt;="&amp;$A750,Despesas!$C:$C,E$1,Despesas!$M:$M,$B750)</f>
        <v>0</v>
      </c>
      <c r="F750" s="5">
        <f>SUMIFS(Despesas!$F:$F,Despesas!$J:$J,"&lt;="&amp;$A750,Despesas!$L:$L,"&gt;="&amp;$A750,Despesas!$C:$C,F$1,Despesas!$M:$M,"Mensal")+SUMIFS(Despesas!$F:$F,Despesas!$J:$J,"&lt;="&amp;$A750,Despesas!$L:$L,"&gt;="&amp;$A750,Despesas!$C:$C,F$1,Despesas!$M:$M,$B750)</f>
        <v>13000</v>
      </c>
      <c r="G750" s="5">
        <f>SUMIFS(Despesas!$F:$F,Despesas!$J:$J,"&lt;="&amp;$A750,Despesas!$L:$L,"&gt;="&amp;$A750,Despesas!$C:$C,G$1,Despesas!$M:$M,"Mensal")+SUMIFS(Despesas!$F:$F,Despesas!$J:$J,"&lt;="&amp;$A750,Despesas!$L:$L,"&gt;="&amp;$A750,Despesas!$C:$C,G$1,Despesas!$M:$M,$B750)</f>
        <v>0</v>
      </c>
      <c r="H750" s="18">
        <f>SUMIFS(Despesas!$F:$F,Despesas!$J:$J,"&lt;="&amp;$A750,Despesas!$L:$L,"&gt;="&amp;$A750,Despesas!$C:$C,H$1,Despesas!$M:$M,"Mensal")+SUMIFS(Despesas!$F:$F,Despesas!$J:$J,"&lt;="&amp;$A750,Despesas!$L:$L,"&gt;="&amp;$A750,Despesas!$C:$C,H$1,Despesas!$M:$M,$B750)</f>
        <v>1000</v>
      </c>
      <c r="I750" s="18">
        <f>IF(Imóveis!$F$2="PRICE",IF(AND(Dados!$A750&gt;=Imóveis!$Q$2,Dados!$A750&lt;=Imóveis!$T$2),Imóveis!$U$2,0),IF((IF(AND(Dados!$A750&gt;=Imóveis!$Q$2,Dados!$A750&lt;=Imóveis!$T$2),Imóveis!$S$2-(DATEDIF(Imóveis!$Q$2,Dados!$A750,"m")),0))=0,0,((Imóveis!$N$2/Imóveis!$S$2)+((Imóveis!$N$2-((Imóveis!$S$2-(IF(AND(Dados!$A750&gt;=Imóveis!$Q$2,Dados!$A750&lt;=Imóveis!$T$2),Imóveis!$S$2-(DATEDIF(Imóveis!$Q$2,Dados!$A750,"m")),)))*(Imóveis!$N$2/Imóveis!$S$2)))*Imóveis!$P$2))))*IF(AND(Imóveis!$E$2&gt;0,Dados!$A750&gt;Imóveis!$E$2),0,1)</f>
        <v>0</v>
      </c>
      <c r="J750" s="18">
        <f>IF(Imóveis!$F$3="PRICE",IF(AND(Dados!$A750&gt;=Imóveis!$Q$3,Dados!$A750&lt;=Imóveis!$T$3),Imóveis!$U$3,0),IF((IF(AND(Dados!$A750&gt;=Imóveis!$Q$3,Dados!$A750&lt;=Imóveis!$T$3),Imóveis!$S$3-(DATEDIF(Imóveis!$Q$3,Dados!$A750,"m")),0))=0,0,((Imóveis!$N$3/Imóveis!$S$3)+((Imóveis!$N$3-((Imóveis!$S$3-(IF(AND(Dados!$A750&gt;=Imóveis!$Q$3,Dados!$A750&lt;=Imóveis!$T$3),Imóveis!$S$3-(DATEDIF(Imóveis!$Q$3,Dados!$A750,"m")),)))*(Imóveis!$N$3/Imóveis!$S$3)))*Imóveis!$P$3))))*IF(AND(Imóveis!$E$3&gt;0,Dados!$A750&gt;Imóveis!$E$3),0,1)</f>
        <v>0</v>
      </c>
      <c r="K750" s="18">
        <f>IF(Imóveis!$F$4="PRICE",IF(AND(Dados!$A750&gt;=Imóveis!$Q$4,Dados!$A750&lt;=Imóveis!$T$4),Imóveis!$U$4,0),IF((IF(AND(Dados!$A750&gt;=Imóveis!$Q$4,Dados!$A750&lt;=Imóveis!$T$4),Imóveis!$S$4-(DATEDIF(Imóveis!$Q$4,Dados!$A750,"m")),0))=0,0,((Imóveis!$N$4/Imóveis!$S$4)+((Imóveis!$N$4-((Imóveis!$S$4-(IF(AND(Dados!$A750&gt;=Imóveis!$Q$4,Dados!$A750&lt;=Imóveis!$T$4),Imóveis!$S$4-(DATEDIF(Imóveis!$Q$4,Dados!$A750,"m")),)))*(Imóveis!$N$4/Imóveis!$S$4)))*Imóveis!$P$4))))*IF(AND(Imóveis!$E$4&gt;0,Dados!$A750&gt;Imóveis!$E$4),0,1)</f>
        <v>0</v>
      </c>
      <c r="L750" s="18">
        <f>IF(Imóveis!$F$5="PRICE",IF(AND(Dados!$A750&gt;=Imóveis!$Q$5,Dados!$A750&lt;=Imóveis!$T$5),Imóveis!$U$5,0),IF((IF(AND(Dados!$A750&gt;=Imóveis!$Q$5,Dados!$A750&lt;=Imóveis!$T$5),Imóveis!$S$5-(DATEDIF(Imóveis!$Q$5,Dados!$A750,"m")),0))=0,0,((Imóveis!$N$5/Imóveis!$S$5)+((Imóveis!$N$5-((Imóveis!$S$5-(IF(AND(Dados!$A750 &gt;=Imóveis!$Q$5,Dados!$A750&lt;=Imóveis!$T$5),Imóveis!$S$5-(DATEDIF(Imóveis!$Q$5,Dados!$A750,"m")),)))*(Imóveis!$N$5/Imóveis!$S$5)))*Imóveis!$P$5))))*IF(AND(Imóveis!$E$5&gt;0,Dados!$A750&gt;Imóveis!$E$5),0,1)*Imóveis!$I$5</f>
        <v>0</v>
      </c>
      <c r="M750" s="18">
        <f>IF(Imóveis!$F$6="PRICE",IF(AND(Dados!$A750&gt;=Imóveis!$Q$6,Dados!$A750&lt;=Imóveis!$T$6),Imóveis!$U$6,0),IF((IF(AND(Dados!$A750&gt;=Imóveis!$Q$6,Dados!$A750&lt;=Imóveis!$T$6),Imóveis!$S$6-(DATEDIF(Imóveis!$Q$6,Dados!$A750,"m")),0))=0,0,((Imóveis!$N$6/Imóveis!$S$6)+((Imóveis!$N$6-((Imóveis!$S$6-(IF(AND(Dados!$A750&gt;=Imóveis!$Q$6,Dados!$A750&lt;=Imóveis!$T$6),Imóveis!$S$6-(DATEDIF(Imóveis!$Q$6,Dados!$A750,"m")),)))*(Imóveis!$N$6/Imóveis!$S$6)))*Imóveis!$P$6))))*IF(AND(Imóveis!$E$6&gt;0,Dados!$A750&gt;Imóveis!$E$6),0,1)*Imóveis!$I$6</f>
        <v>0</v>
      </c>
      <c r="N750" s="18">
        <f t="shared" si="93"/>
        <v>37000</v>
      </c>
      <c r="O750" s="18">
        <f>SUMIFS(Receitas!$F:$F,Receitas!$J:$J,"&lt;="&amp;$A750,Receitas!$L:$L,"&gt;="&amp;$A750,Receitas!$C:$C,O$1,Receitas!$M:$M,"Mensal")+SUMIFS(Receitas!$F:$F,Receitas!$J:$J,"&lt;="&amp;$A750,Receitas!$L:$L,"&gt;="&amp;$A750,Receitas!$C:$C,O$1,Receitas!$M:$M,$B750)</f>
        <v>0</v>
      </c>
      <c r="P750" s="18">
        <f>SUMIFS(Receitas!$F:$F,Receitas!$J:$J,"&lt;="&amp;$A750,Receitas!$L:$L,"&gt;="&amp;$A750,Receitas!$C:$C,P$1,Receitas!$M:$M,"Mensal")+SUMIFS(Receitas!$F:$F,Receitas!$J:$J,"&lt;="&amp;$A750,Receitas!$L:$L,"&gt;="&amp;$A750,Receitas!$C:$C,P$1,Receitas!$M:$M,$B750)</f>
        <v>0</v>
      </c>
      <c r="Q750" s="18">
        <f>SUMIFS(Receitas!$F:$F,Receitas!$J:$J,"&lt;="&amp;$A750,Receitas!$L:$L,"&gt;="&amp;$A750,Receitas!$C:$C,Q$1,Receitas!$M:$M,"Mensal")+SUMIFS(Receitas!$F:$F,Receitas!$J:$J,"&lt;="&amp;$A750,Receitas!$L:$L,"&gt;="&amp;$A750,Receitas!$C:$C,Q$1,Receitas!$M:$M,$B750)</f>
        <v>0</v>
      </c>
      <c r="R750" s="18" cm="1">
        <f t="array" ref="R750">(IF(AND(Membros!$F$2="Sim",A750&lt;=MAX(Membros!$E$2:$E$5)),Membros!K$2,IF(AND(A750&gt;=Membros!J$2,A750&lt;=MAX(Membros!$E$2:$E$5)),Membros!K$2,0))+IF(AND(Membros!$F$3="Sim",A750&lt;=MAX(Membros!$E$2:$E$5)),Membros!K$3,IF(AND(A750&gt;=Membros!J$3,A750&lt;=MAX(Membros!$E$2:$E$5)),Membros!K$3,0)))*IF(AND(COUNTIFS(Tabela3[Tipo],"Provedor",Tabela3[Simulação Seguro],"Sim")=2,A750&gt;=MAX(IF(Tabela3[Tipo]="Dependente",Tabela3[Expectativa de Vida (Data)]))),0,1)</f>
        <v>10000</v>
      </c>
      <c r="S750" s="18">
        <f t="shared" si="94"/>
        <v>10000</v>
      </c>
      <c r="U750" s="18">
        <f t="shared" ca="1" si="97"/>
        <v>57735497.937153183</v>
      </c>
      <c r="V750" s="18">
        <f>SUMIF(Imóveis!E:E,Dados!A:A,Imóveis!Z:Z)-SUMIF(Imóveis!E:E,Dados!A:A,Imóveis!Y:Y)</f>
        <v>0</v>
      </c>
      <c r="W750" s="18">
        <f>-SUMIF(Projetos!N:N,A750,Projetos!F:F)</f>
        <v>0</v>
      </c>
      <c r="X750" s="18">
        <f t="shared" si="91"/>
        <v>-27000</v>
      </c>
      <c r="Y750" s="26">
        <f ca="1">(U750*((Indicadores_Economicos!D$2+1)^(1/12)-1))</f>
        <v>189010.99644192174</v>
      </c>
      <c r="Z750" s="18">
        <f t="shared" ca="1" si="95"/>
        <v>57897508.933595106</v>
      </c>
      <c r="AA750" s="18">
        <f ca="1">Auxiliar_Projetos!E750</f>
        <v>4.5075488063419407E-9</v>
      </c>
      <c r="AB750" s="18">
        <f ca="1">Auxiliar_Projetos!K750</f>
        <v>3.4673452356476394E-9</v>
      </c>
      <c r="AC750" s="18">
        <f ca="1">IF(Z750-AA750-AB750&gt;Investimentos!$C$14,Investimentos!$C$14,IF(Z750-AA750-AB750&lt;Investimentos!$C$14,Z750-AA750-AB750,0))</f>
        <v>300000</v>
      </c>
      <c r="AD750" s="18">
        <f t="shared" ca="1" si="96"/>
        <v>57597508.933595099</v>
      </c>
      <c r="AE750" s="18"/>
    </row>
    <row r="751" spans="1:31" x14ac:dyDescent="0.2">
      <c r="A751" s="4">
        <v>68454</v>
      </c>
      <c r="B751" s="5" t="str">
        <f t="shared" si="92"/>
        <v>junho</v>
      </c>
      <c r="C751" s="5" t="str">
        <f t="shared" si="98"/>
        <v>2087</v>
      </c>
      <c r="D751" s="5">
        <f>SUMIFS(Despesas!$F:$F,Despesas!$J:$J,"&lt;="&amp;$A751,Despesas!$L:$L,"&gt;="&amp;$A751,Despesas!$C:$C,D$1,Despesas!$M:$M,"Mensal")+SUMIFS(Despesas!$F:$F,Despesas!$J:$J,"&lt;="&amp;$A751,Despesas!$L:$L,"&gt;="&amp;$A751,Despesas!$C:$C,D$1,Despesas!$M:$M,$B751)</f>
        <v>23000</v>
      </c>
      <c r="E751" s="18">
        <f>SUMIFS(Despesas!$F:$F,Despesas!$J:$J,"&lt;="&amp;$A751,Despesas!$L:$L,"&gt;="&amp;$A751,Despesas!$C:$C,E$1,Despesas!$M:$M,"Mensal")+SUMIFS(Despesas!$F:$F,Despesas!$J:$J,"&lt;="&amp;$A751,Despesas!$L:$L,"&gt;="&amp;$A751,Despesas!$C:$C,E$1,Despesas!$M:$M,$B751)</f>
        <v>0</v>
      </c>
      <c r="F751" s="5">
        <f>SUMIFS(Despesas!$F:$F,Despesas!$J:$J,"&lt;="&amp;$A751,Despesas!$L:$L,"&gt;="&amp;$A751,Despesas!$C:$C,F$1,Despesas!$M:$M,"Mensal")+SUMIFS(Despesas!$F:$F,Despesas!$J:$J,"&lt;="&amp;$A751,Despesas!$L:$L,"&gt;="&amp;$A751,Despesas!$C:$C,F$1,Despesas!$M:$M,$B751)</f>
        <v>13000</v>
      </c>
      <c r="G751" s="5">
        <f>SUMIFS(Despesas!$F:$F,Despesas!$J:$J,"&lt;="&amp;$A751,Despesas!$L:$L,"&gt;="&amp;$A751,Despesas!$C:$C,G$1,Despesas!$M:$M,"Mensal")+SUMIFS(Despesas!$F:$F,Despesas!$J:$J,"&lt;="&amp;$A751,Despesas!$L:$L,"&gt;="&amp;$A751,Despesas!$C:$C,G$1,Despesas!$M:$M,$B751)</f>
        <v>0</v>
      </c>
      <c r="H751" s="18">
        <f>SUMIFS(Despesas!$F:$F,Despesas!$J:$J,"&lt;="&amp;$A751,Despesas!$L:$L,"&gt;="&amp;$A751,Despesas!$C:$C,H$1,Despesas!$M:$M,"Mensal")+SUMIFS(Despesas!$F:$F,Despesas!$J:$J,"&lt;="&amp;$A751,Despesas!$L:$L,"&gt;="&amp;$A751,Despesas!$C:$C,H$1,Despesas!$M:$M,$B751)</f>
        <v>1000</v>
      </c>
      <c r="I751" s="18">
        <f>IF(Imóveis!$F$2="PRICE",IF(AND(Dados!$A751&gt;=Imóveis!$Q$2,Dados!$A751&lt;=Imóveis!$T$2),Imóveis!$U$2,0),IF((IF(AND(Dados!$A751&gt;=Imóveis!$Q$2,Dados!$A751&lt;=Imóveis!$T$2),Imóveis!$S$2-(DATEDIF(Imóveis!$Q$2,Dados!$A751,"m")),0))=0,0,((Imóveis!$N$2/Imóveis!$S$2)+((Imóveis!$N$2-((Imóveis!$S$2-(IF(AND(Dados!$A751&gt;=Imóveis!$Q$2,Dados!$A751&lt;=Imóveis!$T$2),Imóveis!$S$2-(DATEDIF(Imóveis!$Q$2,Dados!$A751,"m")),)))*(Imóveis!$N$2/Imóveis!$S$2)))*Imóveis!$P$2))))*IF(AND(Imóveis!$E$2&gt;0,Dados!$A751&gt;Imóveis!$E$2),0,1)</f>
        <v>0</v>
      </c>
      <c r="J751" s="18">
        <f>IF(Imóveis!$F$3="PRICE",IF(AND(Dados!$A751&gt;=Imóveis!$Q$3,Dados!$A751&lt;=Imóveis!$T$3),Imóveis!$U$3,0),IF((IF(AND(Dados!$A751&gt;=Imóveis!$Q$3,Dados!$A751&lt;=Imóveis!$T$3),Imóveis!$S$3-(DATEDIF(Imóveis!$Q$3,Dados!$A751,"m")),0))=0,0,((Imóveis!$N$3/Imóveis!$S$3)+((Imóveis!$N$3-((Imóveis!$S$3-(IF(AND(Dados!$A751&gt;=Imóveis!$Q$3,Dados!$A751&lt;=Imóveis!$T$3),Imóveis!$S$3-(DATEDIF(Imóveis!$Q$3,Dados!$A751,"m")),)))*(Imóveis!$N$3/Imóveis!$S$3)))*Imóveis!$P$3))))*IF(AND(Imóveis!$E$3&gt;0,Dados!$A751&gt;Imóveis!$E$3),0,1)</f>
        <v>0</v>
      </c>
      <c r="K751" s="18">
        <f>IF(Imóveis!$F$4="PRICE",IF(AND(Dados!$A751&gt;=Imóveis!$Q$4,Dados!$A751&lt;=Imóveis!$T$4),Imóveis!$U$4,0),IF((IF(AND(Dados!$A751&gt;=Imóveis!$Q$4,Dados!$A751&lt;=Imóveis!$T$4),Imóveis!$S$4-(DATEDIF(Imóveis!$Q$4,Dados!$A751,"m")),0))=0,0,((Imóveis!$N$4/Imóveis!$S$4)+((Imóveis!$N$4-((Imóveis!$S$4-(IF(AND(Dados!$A751&gt;=Imóveis!$Q$4,Dados!$A751&lt;=Imóveis!$T$4),Imóveis!$S$4-(DATEDIF(Imóveis!$Q$4,Dados!$A751,"m")),)))*(Imóveis!$N$4/Imóveis!$S$4)))*Imóveis!$P$4))))*IF(AND(Imóveis!$E$4&gt;0,Dados!$A751&gt;Imóveis!$E$4),0,1)</f>
        <v>0</v>
      </c>
      <c r="L751" s="18">
        <f>IF(Imóveis!$F$5="PRICE",IF(AND(Dados!$A751&gt;=Imóveis!$Q$5,Dados!$A751&lt;=Imóveis!$T$5),Imóveis!$U$5,0),IF((IF(AND(Dados!$A751&gt;=Imóveis!$Q$5,Dados!$A751&lt;=Imóveis!$T$5),Imóveis!$S$5-(DATEDIF(Imóveis!$Q$5,Dados!$A751,"m")),0))=0,0,((Imóveis!$N$5/Imóveis!$S$5)+((Imóveis!$N$5-((Imóveis!$S$5-(IF(AND(Dados!$A751 &gt;=Imóveis!$Q$5,Dados!$A751&lt;=Imóveis!$T$5),Imóveis!$S$5-(DATEDIF(Imóveis!$Q$5,Dados!$A751,"m")),)))*(Imóveis!$N$5/Imóveis!$S$5)))*Imóveis!$P$5))))*IF(AND(Imóveis!$E$5&gt;0,Dados!$A751&gt;Imóveis!$E$5),0,1)*Imóveis!$I$5</f>
        <v>0</v>
      </c>
      <c r="M751" s="18">
        <f>IF(Imóveis!$F$6="PRICE",IF(AND(Dados!$A751&gt;=Imóveis!$Q$6,Dados!$A751&lt;=Imóveis!$T$6),Imóveis!$U$6,0),IF((IF(AND(Dados!$A751&gt;=Imóveis!$Q$6,Dados!$A751&lt;=Imóveis!$T$6),Imóveis!$S$6-(DATEDIF(Imóveis!$Q$6,Dados!$A751,"m")),0))=0,0,((Imóveis!$N$6/Imóveis!$S$6)+((Imóveis!$N$6-((Imóveis!$S$6-(IF(AND(Dados!$A751&gt;=Imóveis!$Q$6,Dados!$A751&lt;=Imóveis!$T$6),Imóveis!$S$6-(DATEDIF(Imóveis!$Q$6,Dados!$A751,"m")),)))*(Imóveis!$N$6/Imóveis!$S$6)))*Imóveis!$P$6))))*IF(AND(Imóveis!$E$6&gt;0,Dados!$A751&gt;Imóveis!$E$6),0,1)*Imóveis!$I$6</f>
        <v>0</v>
      </c>
      <c r="N751" s="18">
        <f t="shared" si="93"/>
        <v>37000</v>
      </c>
      <c r="O751" s="18">
        <f>SUMIFS(Receitas!$F:$F,Receitas!$J:$J,"&lt;="&amp;$A751,Receitas!$L:$L,"&gt;="&amp;$A751,Receitas!$C:$C,O$1,Receitas!$M:$M,"Mensal")+SUMIFS(Receitas!$F:$F,Receitas!$J:$J,"&lt;="&amp;$A751,Receitas!$L:$L,"&gt;="&amp;$A751,Receitas!$C:$C,O$1,Receitas!$M:$M,$B751)</f>
        <v>0</v>
      </c>
      <c r="P751" s="18">
        <f>SUMIFS(Receitas!$F:$F,Receitas!$J:$J,"&lt;="&amp;$A751,Receitas!$L:$L,"&gt;="&amp;$A751,Receitas!$C:$C,P$1,Receitas!$M:$M,"Mensal")+SUMIFS(Receitas!$F:$F,Receitas!$J:$J,"&lt;="&amp;$A751,Receitas!$L:$L,"&gt;="&amp;$A751,Receitas!$C:$C,P$1,Receitas!$M:$M,$B751)</f>
        <v>0</v>
      </c>
      <c r="Q751" s="18">
        <f>SUMIFS(Receitas!$F:$F,Receitas!$J:$J,"&lt;="&amp;$A751,Receitas!$L:$L,"&gt;="&amp;$A751,Receitas!$C:$C,Q$1,Receitas!$M:$M,"Mensal")+SUMIFS(Receitas!$F:$F,Receitas!$J:$J,"&lt;="&amp;$A751,Receitas!$L:$L,"&gt;="&amp;$A751,Receitas!$C:$C,Q$1,Receitas!$M:$M,$B751)</f>
        <v>0</v>
      </c>
      <c r="R751" s="18" cm="1">
        <f t="array" ref="R751">(IF(AND(Membros!$F$2="Sim",A751&lt;=MAX(Membros!$E$2:$E$5)),Membros!K$2,IF(AND(A751&gt;=Membros!J$2,A751&lt;=MAX(Membros!$E$2:$E$5)),Membros!K$2,0))+IF(AND(Membros!$F$3="Sim",A751&lt;=MAX(Membros!$E$2:$E$5)),Membros!K$3,IF(AND(A751&gt;=Membros!J$3,A751&lt;=MAX(Membros!$E$2:$E$5)),Membros!K$3,0)))*IF(AND(COUNTIFS(Tabela3[Tipo],"Provedor",Tabela3[Simulação Seguro],"Sim")=2,A751&gt;=MAX(IF(Tabela3[Tipo]="Dependente",Tabela3[Expectativa de Vida (Data)]))),0,1)</f>
        <v>10000</v>
      </c>
      <c r="S751" s="18">
        <f t="shared" si="94"/>
        <v>10000</v>
      </c>
      <c r="U751" s="18">
        <f t="shared" ca="1" si="97"/>
        <v>57897508.933595106</v>
      </c>
      <c r="V751" s="18">
        <f>SUMIF(Imóveis!E:E,Dados!A:A,Imóveis!Z:Z)-SUMIF(Imóveis!E:E,Dados!A:A,Imóveis!Y:Y)</f>
        <v>0</v>
      </c>
      <c r="W751" s="18">
        <f>-SUMIF(Projetos!N:N,A751,Projetos!F:F)</f>
        <v>0</v>
      </c>
      <c r="X751" s="18">
        <f t="shared" si="91"/>
        <v>-27000</v>
      </c>
      <c r="Y751" s="26">
        <f ca="1">(U751*((Indicadores_Economicos!D$2+1)^(1/12)-1))</f>
        <v>189541.37828612735</v>
      </c>
      <c r="Z751" s="18">
        <f t="shared" ca="1" si="95"/>
        <v>58060050.311881237</v>
      </c>
      <c r="AA751" s="18">
        <f ca="1">Auxiliar_Projetos!E751</f>
        <v>4.5223053481894659E-9</v>
      </c>
      <c r="AB751" s="18">
        <f ca="1">Auxiliar_Projetos!K751</f>
        <v>3.478696421684197E-9</v>
      </c>
      <c r="AC751" s="18">
        <f ca="1">IF(Z751-AA751-AB751&gt;Investimentos!$C$14,Investimentos!$C$14,IF(Z751-AA751-AB751&lt;Investimentos!$C$14,Z751-AA751-AB751,0))</f>
        <v>300000</v>
      </c>
      <c r="AD751" s="18">
        <f t="shared" ca="1" si="96"/>
        <v>57760050.311881229</v>
      </c>
      <c r="AE751" s="18"/>
    </row>
    <row r="752" spans="1:31" x14ac:dyDescent="0.2">
      <c r="A752" s="4">
        <v>68484</v>
      </c>
      <c r="B752" s="5" t="str">
        <f t="shared" si="92"/>
        <v>julho</v>
      </c>
      <c r="C752" s="5" t="str">
        <f t="shared" si="98"/>
        <v>2087</v>
      </c>
      <c r="D752" s="5">
        <f>SUMIFS(Despesas!$F:$F,Despesas!$J:$J,"&lt;="&amp;$A752,Despesas!$L:$L,"&gt;="&amp;$A752,Despesas!$C:$C,D$1,Despesas!$M:$M,"Mensal")+SUMIFS(Despesas!$F:$F,Despesas!$J:$J,"&lt;="&amp;$A752,Despesas!$L:$L,"&gt;="&amp;$A752,Despesas!$C:$C,D$1,Despesas!$M:$M,$B752)</f>
        <v>23000</v>
      </c>
      <c r="E752" s="18">
        <f>SUMIFS(Despesas!$F:$F,Despesas!$J:$J,"&lt;="&amp;$A752,Despesas!$L:$L,"&gt;="&amp;$A752,Despesas!$C:$C,E$1,Despesas!$M:$M,"Mensal")+SUMIFS(Despesas!$F:$F,Despesas!$J:$J,"&lt;="&amp;$A752,Despesas!$L:$L,"&gt;="&amp;$A752,Despesas!$C:$C,E$1,Despesas!$M:$M,$B752)</f>
        <v>0</v>
      </c>
      <c r="F752" s="5">
        <f>SUMIFS(Despesas!$F:$F,Despesas!$J:$J,"&lt;="&amp;$A752,Despesas!$L:$L,"&gt;="&amp;$A752,Despesas!$C:$C,F$1,Despesas!$M:$M,"Mensal")+SUMIFS(Despesas!$F:$F,Despesas!$J:$J,"&lt;="&amp;$A752,Despesas!$L:$L,"&gt;="&amp;$A752,Despesas!$C:$C,F$1,Despesas!$M:$M,$B752)</f>
        <v>13000</v>
      </c>
      <c r="G752" s="5">
        <f ca="1">SUMIFS(Despesas!$F:$F,Despesas!$J:$J,"&lt;="&amp;$A752,Despesas!$L:$L,"&gt;="&amp;$A752,Despesas!$C:$C,G$1,Despesas!$M:$M,"Mensal")+SUMIFS(Despesas!$F:$F,Despesas!$J:$J,"&lt;="&amp;$A752,Despesas!$L:$L,"&gt;="&amp;$A752,Despesas!$C:$C,G$1,Despesas!$M:$M,$B752)</f>
        <v>55757</v>
      </c>
      <c r="H752" s="18">
        <f>SUMIFS(Despesas!$F:$F,Despesas!$J:$J,"&lt;="&amp;$A752,Despesas!$L:$L,"&gt;="&amp;$A752,Despesas!$C:$C,H$1,Despesas!$M:$M,"Mensal")+SUMIFS(Despesas!$F:$F,Despesas!$J:$J,"&lt;="&amp;$A752,Despesas!$L:$L,"&gt;="&amp;$A752,Despesas!$C:$C,H$1,Despesas!$M:$M,$B752)</f>
        <v>1000</v>
      </c>
      <c r="I752" s="18">
        <f>IF(Imóveis!$F$2="PRICE",IF(AND(Dados!$A752&gt;=Imóveis!$Q$2,Dados!$A752&lt;=Imóveis!$T$2),Imóveis!$U$2,0),IF((IF(AND(Dados!$A752&gt;=Imóveis!$Q$2,Dados!$A752&lt;=Imóveis!$T$2),Imóveis!$S$2-(DATEDIF(Imóveis!$Q$2,Dados!$A752,"m")),0))=0,0,((Imóveis!$N$2/Imóveis!$S$2)+((Imóveis!$N$2-((Imóveis!$S$2-(IF(AND(Dados!$A752&gt;=Imóveis!$Q$2,Dados!$A752&lt;=Imóveis!$T$2),Imóveis!$S$2-(DATEDIF(Imóveis!$Q$2,Dados!$A752,"m")),)))*(Imóveis!$N$2/Imóveis!$S$2)))*Imóveis!$P$2))))*IF(AND(Imóveis!$E$2&gt;0,Dados!$A752&gt;Imóveis!$E$2),0,1)</f>
        <v>0</v>
      </c>
      <c r="J752" s="18">
        <f>IF(Imóveis!$F$3="PRICE",IF(AND(Dados!$A752&gt;=Imóveis!$Q$3,Dados!$A752&lt;=Imóveis!$T$3),Imóveis!$U$3,0),IF((IF(AND(Dados!$A752&gt;=Imóveis!$Q$3,Dados!$A752&lt;=Imóveis!$T$3),Imóveis!$S$3-(DATEDIF(Imóveis!$Q$3,Dados!$A752,"m")),0))=0,0,((Imóveis!$N$3/Imóveis!$S$3)+((Imóveis!$N$3-((Imóveis!$S$3-(IF(AND(Dados!$A752&gt;=Imóveis!$Q$3,Dados!$A752&lt;=Imóveis!$T$3),Imóveis!$S$3-(DATEDIF(Imóveis!$Q$3,Dados!$A752,"m")),)))*(Imóveis!$N$3/Imóveis!$S$3)))*Imóveis!$P$3))))*IF(AND(Imóveis!$E$3&gt;0,Dados!$A752&gt;Imóveis!$E$3),0,1)</f>
        <v>0</v>
      </c>
      <c r="K752" s="18">
        <f>IF(Imóveis!$F$4="PRICE",IF(AND(Dados!$A752&gt;=Imóveis!$Q$4,Dados!$A752&lt;=Imóveis!$T$4),Imóveis!$U$4,0),IF((IF(AND(Dados!$A752&gt;=Imóveis!$Q$4,Dados!$A752&lt;=Imóveis!$T$4),Imóveis!$S$4-(DATEDIF(Imóveis!$Q$4,Dados!$A752,"m")),0))=0,0,((Imóveis!$N$4/Imóveis!$S$4)+((Imóveis!$N$4-((Imóveis!$S$4-(IF(AND(Dados!$A752&gt;=Imóveis!$Q$4,Dados!$A752&lt;=Imóveis!$T$4),Imóveis!$S$4-(DATEDIF(Imóveis!$Q$4,Dados!$A752,"m")),)))*(Imóveis!$N$4/Imóveis!$S$4)))*Imóveis!$P$4))))*IF(AND(Imóveis!$E$4&gt;0,Dados!$A752&gt;Imóveis!$E$4),0,1)</f>
        <v>0</v>
      </c>
      <c r="L752" s="18">
        <f>IF(Imóveis!$F$5="PRICE",IF(AND(Dados!$A752&gt;=Imóveis!$Q$5,Dados!$A752&lt;=Imóveis!$T$5),Imóveis!$U$5,0),IF((IF(AND(Dados!$A752&gt;=Imóveis!$Q$5,Dados!$A752&lt;=Imóveis!$T$5),Imóveis!$S$5-(DATEDIF(Imóveis!$Q$5,Dados!$A752,"m")),0))=0,0,((Imóveis!$N$5/Imóveis!$S$5)+((Imóveis!$N$5-((Imóveis!$S$5-(IF(AND(Dados!$A752 &gt;=Imóveis!$Q$5,Dados!$A752&lt;=Imóveis!$T$5),Imóveis!$S$5-(DATEDIF(Imóveis!$Q$5,Dados!$A752,"m")),)))*(Imóveis!$N$5/Imóveis!$S$5)))*Imóveis!$P$5))))*IF(AND(Imóveis!$E$5&gt;0,Dados!$A752&gt;Imóveis!$E$5),0,1)*Imóveis!$I$5</f>
        <v>0</v>
      </c>
      <c r="M752" s="18">
        <f>IF(Imóveis!$F$6="PRICE",IF(AND(Dados!$A752&gt;=Imóveis!$Q$6,Dados!$A752&lt;=Imóveis!$T$6),Imóveis!$U$6,0),IF((IF(AND(Dados!$A752&gt;=Imóveis!$Q$6,Dados!$A752&lt;=Imóveis!$T$6),Imóveis!$S$6-(DATEDIF(Imóveis!$Q$6,Dados!$A752,"m")),0))=0,0,((Imóveis!$N$6/Imóveis!$S$6)+((Imóveis!$N$6-((Imóveis!$S$6-(IF(AND(Dados!$A752&gt;=Imóveis!$Q$6,Dados!$A752&lt;=Imóveis!$T$6),Imóveis!$S$6-(DATEDIF(Imóveis!$Q$6,Dados!$A752,"m")),)))*(Imóveis!$N$6/Imóveis!$S$6)))*Imóveis!$P$6))))*IF(AND(Imóveis!$E$6&gt;0,Dados!$A752&gt;Imóveis!$E$6),0,1)*Imóveis!$I$6</f>
        <v>0</v>
      </c>
      <c r="N752" s="18">
        <f t="shared" ca="1" si="93"/>
        <v>92757</v>
      </c>
      <c r="O752" s="18">
        <f>SUMIFS(Receitas!$F:$F,Receitas!$J:$J,"&lt;="&amp;$A752,Receitas!$L:$L,"&gt;="&amp;$A752,Receitas!$C:$C,O$1,Receitas!$M:$M,"Mensal")+SUMIFS(Receitas!$F:$F,Receitas!$J:$J,"&lt;="&amp;$A752,Receitas!$L:$L,"&gt;="&amp;$A752,Receitas!$C:$C,O$1,Receitas!$M:$M,$B752)</f>
        <v>0</v>
      </c>
      <c r="P752" s="18">
        <f>SUMIFS(Receitas!$F:$F,Receitas!$J:$J,"&lt;="&amp;$A752,Receitas!$L:$L,"&gt;="&amp;$A752,Receitas!$C:$C,P$1,Receitas!$M:$M,"Mensal")+SUMIFS(Receitas!$F:$F,Receitas!$J:$J,"&lt;="&amp;$A752,Receitas!$L:$L,"&gt;="&amp;$A752,Receitas!$C:$C,P$1,Receitas!$M:$M,$B752)</f>
        <v>0</v>
      </c>
      <c r="Q752" s="18">
        <f>SUMIFS(Receitas!$F:$F,Receitas!$J:$J,"&lt;="&amp;$A752,Receitas!$L:$L,"&gt;="&amp;$A752,Receitas!$C:$C,Q$1,Receitas!$M:$M,"Mensal")+SUMIFS(Receitas!$F:$F,Receitas!$J:$J,"&lt;="&amp;$A752,Receitas!$L:$L,"&gt;="&amp;$A752,Receitas!$C:$C,Q$1,Receitas!$M:$M,$B752)</f>
        <v>0</v>
      </c>
      <c r="R752" s="18" cm="1">
        <f t="array" ref="R752">(IF(AND(Membros!$F$2="Sim",A752&lt;=MAX(Membros!$E$2:$E$5)),Membros!K$2,IF(AND(A752&gt;=Membros!J$2,A752&lt;=MAX(Membros!$E$2:$E$5)),Membros!K$2,0))+IF(AND(Membros!$F$3="Sim",A752&lt;=MAX(Membros!$E$2:$E$5)),Membros!K$3,IF(AND(A752&gt;=Membros!J$3,A752&lt;=MAX(Membros!$E$2:$E$5)),Membros!K$3,0)))*IF(AND(COUNTIFS(Tabela3[Tipo],"Provedor",Tabela3[Simulação Seguro],"Sim")=2,A752&gt;=MAX(IF(Tabela3[Tipo]="Dependente",Tabela3[Expectativa de Vida (Data)]))),0,1)</f>
        <v>10000</v>
      </c>
      <c r="S752" s="18">
        <f t="shared" si="94"/>
        <v>10000</v>
      </c>
      <c r="U752" s="18">
        <f t="shared" ca="1" si="97"/>
        <v>58060050.311881237</v>
      </c>
      <c r="V752" s="18">
        <f>SUMIF(Imóveis!E:E,Dados!A:A,Imóveis!Z:Z)-SUMIF(Imóveis!E:E,Dados!A:A,Imóveis!Y:Y)</f>
        <v>0</v>
      </c>
      <c r="W752" s="18">
        <f>-SUMIF(Projetos!N:N,A752,Projetos!F:F)</f>
        <v>0</v>
      </c>
      <c r="X752" s="18">
        <f t="shared" ca="1" si="91"/>
        <v>-82757</v>
      </c>
      <c r="Y752" s="26">
        <f ca="1">(U752*((Indicadores_Economicos!D$2+1)^(1/12)-1))</f>
        <v>190073.49646247609</v>
      </c>
      <c r="Z752" s="18">
        <f t="shared" ca="1" si="95"/>
        <v>58167366.808343716</v>
      </c>
      <c r="AA752" s="18">
        <f ca="1">Auxiliar_Projetos!E752</f>
        <v>4.5371101991150846E-9</v>
      </c>
      <c r="AB752" s="18">
        <f ca="1">Auxiliar_Projetos!K752</f>
        <v>3.4900847685500574E-9</v>
      </c>
      <c r="AC752" s="18">
        <f ca="1">IF(Z752-AA752-AB752&gt;Investimentos!$C$14,Investimentos!$C$14,IF(Z752-AA752-AB752&lt;Investimentos!$C$14,Z752-AA752-AB752,0))</f>
        <v>300000</v>
      </c>
      <c r="AD752" s="18">
        <f t="shared" ca="1" si="96"/>
        <v>57867366.808343709</v>
      </c>
      <c r="AE752" s="18"/>
    </row>
    <row r="753" spans="1:31" x14ac:dyDescent="0.2">
      <c r="A753" s="4">
        <v>68515</v>
      </c>
      <c r="B753" s="5" t="str">
        <f t="shared" si="92"/>
        <v>agosto</v>
      </c>
      <c r="C753" s="5" t="str">
        <f t="shared" si="98"/>
        <v>2087</v>
      </c>
      <c r="D753" s="5">
        <f>SUMIFS(Despesas!$F:$F,Despesas!$J:$J,"&lt;="&amp;$A753,Despesas!$L:$L,"&gt;="&amp;$A753,Despesas!$C:$C,D$1,Despesas!$M:$M,"Mensal")+SUMIFS(Despesas!$F:$F,Despesas!$J:$J,"&lt;="&amp;$A753,Despesas!$L:$L,"&gt;="&amp;$A753,Despesas!$C:$C,D$1,Despesas!$M:$M,$B753)</f>
        <v>23000</v>
      </c>
      <c r="E753" s="18">
        <f>SUMIFS(Despesas!$F:$F,Despesas!$J:$J,"&lt;="&amp;$A753,Despesas!$L:$L,"&gt;="&amp;$A753,Despesas!$C:$C,E$1,Despesas!$M:$M,"Mensal")+SUMIFS(Despesas!$F:$F,Despesas!$J:$J,"&lt;="&amp;$A753,Despesas!$L:$L,"&gt;="&amp;$A753,Despesas!$C:$C,E$1,Despesas!$M:$M,$B753)</f>
        <v>0</v>
      </c>
      <c r="F753" s="5">
        <f>SUMIFS(Despesas!$F:$F,Despesas!$J:$J,"&lt;="&amp;$A753,Despesas!$L:$L,"&gt;="&amp;$A753,Despesas!$C:$C,F$1,Despesas!$M:$M,"Mensal")+SUMIFS(Despesas!$F:$F,Despesas!$J:$J,"&lt;="&amp;$A753,Despesas!$L:$L,"&gt;="&amp;$A753,Despesas!$C:$C,F$1,Despesas!$M:$M,$B753)</f>
        <v>13000</v>
      </c>
      <c r="G753" s="5">
        <f>SUMIFS(Despesas!$F:$F,Despesas!$J:$J,"&lt;="&amp;$A753,Despesas!$L:$L,"&gt;="&amp;$A753,Despesas!$C:$C,G$1,Despesas!$M:$M,"Mensal")+SUMIFS(Despesas!$F:$F,Despesas!$J:$J,"&lt;="&amp;$A753,Despesas!$L:$L,"&gt;="&amp;$A753,Despesas!$C:$C,G$1,Despesas!$M:$M,$B753)</f>
        <v>0</v>
      </c>
      <c r="H753" s="18">
        <f>SUMIFS(Despesas!$F:$F,Despesas!$J:$J,"&lt;="&amp;$A753,Despesas!$L:$L,"&gt;="&amp;$A753,Despesas!$C:$C,H$1,Despesas!$M:$M,"Mensal")+SUMIFS(Despesas!$F:$F,Despesas!$J:$J,"&lt;="&amp;$A753,Despesas!$L:$L,"&gt;="&amp;$A753,Despesas!$C:$C,H$1,Despesas!$M:$M,$B753)</f>
        <v>1000</v>
      </c>
      <c r="I753" s="18">
        <f>IF(Imóveis!$F$2="PRICE",IF(AND(Dados!$A753&gt;=Imóveis!$Q$2,Dados!$A753&lt;=Imóveis!$T$2),Imóveis!$U$2,0),IF((IF(AND(Dados!$A753&gt;=Imóveis!$Q$2,Dados!$A753&lt;=Imóveis!$T$2),Imóveis!$S$2-(DATEDIF(Imóveis!$Q$2,Dados!$A753,"m")),0))=0,0,((Imóveis!$N$2/Imóveis!$S$2)+((Imóveis!$N$2-((Imóveis!$S$2-(IF(AND(Dados!$A753&gt;=Imóveis!$Q$2,Dados!$A753&lt;=Imóveis!$T$2),Imóveis!$S$2-(DATEDIF(Imóveis!$Q$2,Dados!$A753,"m")),)))*(Imóveis!$N$2/Imóveis!$S$2)))*Imóveis!$P$2))))*IF(AND(Imóveis!$E$2&gt;0,Dados!$A753&gt;Imóveis!$E$2),0,1)</f>
        <v>0</v>
      </c>
      <c r="J753" s="18">
        <f>IF(Imóveis!$F$3="PRICE",IF(AND(Dados!$A753&gt;=Imóveis!$Q$3,Dados!$A753&lt;=Imóveis!$T$3),Imóveis!$U$3,0),IF((IF(AND(Dados!$A753&gt;=Imóveis!$Q$3,Dados!$A753&lt;=Imóveis!$T$3),Imóveis!$S$3-(DATEDIF(Imóveis!$Q$3,Dados!$A753,"m")),0))=0,0,((Imóveis!$N$3/Imóveis!$S$3)+((Imóveis!$N$3-((Imóveis!$S$3-(IF(AND(Dados!$A753&gt;=Imóveis!$Q$3,Dados!$A753&lt;=Imóveis!$T$3),Imóveis!$S$3-(DATEDIF(Imóveis!$Q$3,Dados!$A753,"m")),)))*(Imóveis!$N$3/Imóveis!$S$3)))*Imóveis!$P$3))))*IF(AND(Imóveis!$E$3&gt;0,Dados!$A753&gt;Imóveis!$E$3),0,1)</f>
        <v>0</v>
      </c>
      <c r="K753" s="18">
        <f>IF(Imóveis!$F$4="PRICE",IF(AND(Dados!$A753&gt;=Imóveis!$Q$4,Dados!$A753&lt;=Imóveis!$T$4),Imóveis!$U$4,0),IF((IF(AND(Dados!$A753&gt;=Imóveis!$Q$4,Dados!$A753&lt;=Imóveis!$T$4),Imóveis!$S$4-(DATEDIF(Imóveis!$Q$4,Dados!$A753,"m")),0))=0,0,((Imóveis!$N$4/Imóveis!$S$4)+((Imóveis!$N$4-((Imóveis!$S$4-(IF(AND(Dados!$A753&gt;=Imóveis!$Q$4,Dados!$A753&lt;=Imóveis!$T$4),Imóveis!$S$4-(DATEDIF(Imóveis!$Q$4,Dados!$A753,"m")),)))*(Imóveis!$N$4/Imóveis!$S$4)))*Imóveis!$P$4))))*IF(AND(Imóveis!$E$4&gt;0,Dados!$A753&gt;Imóveis!$E$4),0,1)</f>
        <v>0</v>
      </c>
      <c r="L753" s="18">
        <f>IF(Imóveis!$F$5="PRICE",IF(AND(Dados!$A753&gt;=Imóveis!$Q$5,Dados!$A753&lt;=Imóveis!$T$5),Imóveis!$U$5,0),IF((IF(AND(Dados!$A753&gt;=Imóveis!$Q$5,Dados!$A753&lt;=Imóveis!$T$5),Imóveis!$S$5-(DATEDIF(Imóveis!$Q$5,Dados!$A753,"m")),0))=0,0,((Imóveis!$N$5/Imóveis!$S$5)+((Imóveis!$N$5-((Imóveis!$S$5-(IF(AND(Dados!$A753 &gt;=Imóveis!$Q$5,Dados!$A753&lt;=Imóveis!$T$5),Imóveis!$S$5-(DATEDIF(Imóveis!$Q$5,Dados!$A753,"m")),)))*(Imóveis!$N$5/Imóveis!$S$5)))*Imóveis!$P$5))))*IF(AND(Imóveis!$E$5&gt;0,Dados!$A753&gt;Imóveis!$E$5),0,1)*Imóveis!$I$5</f>
        <v>0</v>
      </c>
      <c r="M753" s="18">
        <f>IF(Imóveis!$F$6="PRICE",IF(AND(Dados!$A753&gt;=Imóveis!$Q$6,Dados!$A753&lt;=Imóveis!$T$6),Imóveis!$U$6,0),IF((IF(AND(Dados!$A753&gt;=Imóveis!$Q$6,Dados!$A753&lt;=Imóveis!$T$6),Imóveis!$S$6-(DATEDIF(Imóveis!$Q$6,Dados!$A753,"m")),0))=0,0,((Imóveis!$N$6/Imóveis!$S$6)+((Imóveis!$N$6-((Imóveis!$S$6-(IF(AND(Dados!$A753&gt;=Imóveis!$Q$6,Dados!$A753&lt;=Imóveis!$T$6),Imóveis!$S$6-(DATEDIF(Imóveis!$Q$6,Dados!$A753,"m")),)))*(Imóveis!$N$6/Imóveis!$S$6)))*Imóveis!$P$6))))*IF(AND(Imóveis!$E$6&gt;0,Dados!$A753&gt;Imóveis!$E$6),0,1)*Imóveis!$I$6</f>
        <v>0</v>
      </c>
      <c r="N753" s="18">
        <f t="shared" si="93"/>
        <v>37000</v>
      </c>
      <c r="O753" s="18">
        <f>SUMIFS(Receitas!$F:$F,Receitas!$J:$J,"&lt;="&amp;$A753,Receitas!$L:$L,"&gt;="&amp;$A753,Receitas!$C:$C,O$1,Receitas!$M:$M,"Mensal")+SUMIFS(Receitas!$F:$F,Receitas!$J:$J,"&lt;="&amp;$A753,Receitas!$L:$L,"&gt;="&amp;$A753,Receitas!$C:$C,O$1,Receitas!$M:$M,$B753)</f>
        <v>0</v>
      </c>
      <c r="P753" s="18">
        <f>SUMIFS(Receitas!$F:$F,Receitas!$J:$J,"&lt;="&amp;$A753,Receitas!$L:$L,"&gt;="&amp;$A753,Receitas!$C:$C,P$1,Receitas!$M:$M,"Mensal")+SUMIFS(Receitas!$F:$F,Receitas!$J:$J,"&lt;="&amp;$A753,Receitas!$L:$L,"&gt;="&amp;$A753,Receitas!$C:$C,P$1,Receitas!$M:$M,$B753)</f>
        <v>0</v>
      </c>
      <c r="Q753" s="18">
        <f>SUMIFS(Receitas!$F:$F,Receitas!$J:$J,"&lt;="&amp;$A753,Receitas!$L:$L,"&gt;="&amp;$A753,Receitas!$C:$C,Q$1,Receitas!$M:$M,"Mensal")+SUMIFS(Receitas!$F:$F,Receitas!$J:$J,"&lt;="&amp;$A753,Receitas!$L:$L,"&gt;="&amp;$A753,Receitas!$C:$C,Q$1,Receitas!$M:$M,$B753)</f>
        <v>0</v>
      </c>
      <c r="R753" s="18" cm="1">
        <f t="array" ref="R753">(IF(AND(Membros!$F$2="Sim",A753&lt;=MAX(Membros!$E$2:$E$5)),Membros!K$2,IF(AND(A753&gt;=Membros!J$2,A753&lt;=MAX(Membros!$E$2:$E$5)),Membros!K$2,0))+IF(AND(Membros!$F$3="Sim",A753&lt;=MAX(Membros!$E$2:$E$5)),Membros!K$3,IF(AND(A753&gt;=Membros!J$3,A753&lt;=MAX(Membros!$E$2:$E$5)),Membros!K$3,0)))*IF(AND(COUNTIFS(Tabela3[Tipo],"Provedor",Tabela3[Simulação Seguro],"Sim")=2,A753&gt;=MAX(IF(Tabela3[Tipo]="Dependente",Tabela3[Expectativa de Vida (Data)]))),0,1)</f>
        <v>10000</v>
      </c>
      <c r="S753" s="18">
        <f t="shared" si="94"/>
        <v>10000</v>
      </c>
      <c r="U753" s="18">
        <f t="shared" ca="1" si="97"/>
        <v>58167366.808343716</v>
      </c>
      <c r="V753" s="18">
        <f>SUMIF(Imóveis!E:E,Dados!A:A,Imóveis!Z:Z)-SUMIF(Imóveis!E:E,Dados!A:A,Imóveis!Y:Y)</f>
        <v>0</v>
      </c>
      <c r="W753" s="18">
        <f>-SUMIF(Projetos!N:N,A753,Projetos!F:F)</f>
        <v>0</v>
      </c>
      <c r="X753" s="18">
        <f t="shared" si="91"/>
        <v>-27000</v>
      </c>
      <c r="Y753" s="26">
        <f ca="1">(U753*((Indicadores_Economicos!D$2+1)^(1/12)-1))</f>
        <v>190424.82274623151</v>
      </c>
      <c r="Z753" s="18">
        <f t="shared" ca="1" si="95"/>
        <v>58330791.631089948</v>
      </c>
      <c r="AA753" s="18">
        <f ca="1">Auxiliar_Projetos!E753</f>
        <v>4.5519635172701481E-9</v>
      </c>
      <c r="AB753" s="18">
        <f ca="1">Auxiliar_Projetos!K753</f>
        <v>3.501510397900106E-9</v>
      </c>
      <c r="AC753" s="18">
        <f ca="1">IF(Z753-AA753-AB753&gt;Investimentos!$C$14,Investimentos!$C$14,IF(Z753-AA753-AB753&lt;Investimentos!$C$14,Z753-AA753-AB753,0))</f>
        <v>300000</v>
      </c>
      <c r="AD753" s="18">
        <f t="shared" ca="1" si="96"/>
        <v>58030791.631089941</v>
      </c>
      <c r="AE753" s="18"/>
    </row>
    <row r="754" spans="1:31" x14ac:dyDescent="0.2">
      <c r="A754" s="4">
        <v>68546</v>
      </c>
      <c r="B754" s="5" t="str">
        <f t="shared" si="92"/>
        <v>setembro</v>
      </c>
      <c r="C754" s="5" t="str">
        <f t="shared" si="98"/>
        <v>2087</v>
      </c>
      <c r="D754" s="5">
        <f>SUMIFS(Despesas!$F:$F,Despesas!$J:$J,"&lt;="&amp;$A754,Despesas!$L:$L,"&gt;="&amp;$A754,Despesas!$C:$C,D$1,Despesas!$M:$M,"Mensal")+SUMIFS(Despesas!$F:$F,Despesas!$J:$J,"&lt;="&amp;$A754,Despesas!$L:$L,"&gt;="&amp;$A754,Despesas!$C:$C,D$1,Despesas!$M:$M,$B754)</f>
        <v>23000</v>
      </c>
      <c r="E754" s="18">
        <f>SUMIFS(Despesas!$F:$F,Despesas!$J:$J,"&lt;="&amp;$A754,Despesas!$L:$L,"&gt;="&amp;$A754,Despesas!$C:$C,E$1,Despesas!$M:$M,"Mensal")+SUMIFS(Despesas!$F:$F,Despesas!$J:$J,"&lt;="&amp;$A754,Despesas!$L:$L,"&gt;="&amp;$A754,Despesas!$C:$C,E$1,Despesas!$M:$M,$B754)</f>
        <v>0</v>
      </c>
      <c r="F754" s="5">
        <f>SUMIFS(Despesas!$F:$F,Despesas!$J:$J,"&lt;="&amp;$A754,Despesas!$L:$L,"&gt;="&amp;$A754,Despesas!$C:$C,F$1,Despesas!$M:$M,"Mensal")+SUMIFS(Despesas!$F:$F,Despesas!$J:$J,"&lt;="&amp;$A754,Despesas!$L:$L,"&gt;="&amp;$A754,Despesas!$C:$C,F$1,Despesas!$M:$M,$B754)</f>
        <v>13000</v>
      </c>
      <c r="G754" s="5">
        <f>SUMIFS(Despesas!$F:$F,Despesas!$J:$J,"&lt;="&amp;$A754,Despesas!$L:$L,"&gt;="&amp;$A754,Despesas!$C:$C,G$1,Despesas!$M:$M,"Mensal")+SUMIFS(Despesas!$F:$F,Despesas!$J:$J,"&lt;="&amp;$A754,Despesas!$L:$L,"&gt;="&amp;$A754,Despesas!$C:$C,G$1,Despesas!$M:$M,$B754)</f>
        <v>0</v>
      </c>
      <c r="H754" s="18">
        <f>SUMIFS(Despesas!$F:$F,Despesas!$J:$J,"&lt;="&amp;$A754,Despesas!$L:$L,"&gt;="&amp;$A754,Despesas!$C:$C,H$1,Despesas!$M:$M,"Mensal")+SUMIFS(Despesas!$F:$F,Despesas!$J:$J,"&lt;="&amp;$A754,Despesas!$L:$L,"&gt;="&amp;$A754,Despesas!$C:$C,H$1,Despesas!$M:$M,$B754)</f>
        <v>1000</v>
      </c>
      <c r="I754" s="18">
        <f>IF(Imóveis!$F$2="PRICE",IF(AND(Dados!$A754&gt;=Imóveis!$Q$2,Dados!$A754&lt;=Imóveis!$T$2),Imóveis!$U$2,0),IF((IF(AND(Dados!$A754&gt;=Imóveis!$Q$2,Dados!$A754&lt;=Imóveis!$T$2),Imóveis!$S$2-(DATEDIF(Imóveis!$Q$2,Dados!$A754,"m")),0))=0,0,((Imóveis!$N$2/Imóveis!$S$2)+((Imóveis!$N$2-((Imóveis!$S$2-(IF(AND(Dados!$A754&gt;=Imóveis!$Q$2,Dados!$A754&lt;=Imóveis!$T$2),Imóveis!$S$2-(DATEDIF(Imóveis!$Q$2,Dados!$A754,"m")),)))*(Imóveis!$N$2/Imóveis!$S$2)))*Imóveis!$P$2))))*IF(AND(Imóveis!$E$2&gt;0,Dados!$A754&gt;Imóveis!$E$2),0,1)</f>
        <v>0</v>
      </c>
      <c r="J754" s="18">
        <f>IF(Imóveis!$F$3="PRICE",IF(AND(Dados!$A754&gt;=Imóveis!$Q$3,Dados!$A754&lt;=Imóveis!$T$3),Imóveis!$U$3,0),IF((IF(AND(Dados!$A754&gt;=Imóveis!$Q$3,Dados!$A754&lt;=Imóveis!$T$3),Imóveis!$S$3-(DATEDIF(Imóveis!$Q$3,Dados!$A754,"m")),0))=0,0,((Imóveis!$N$3/Imóveis!$S$3)+((Imóveis!$N$3-((Imóveis!$S$3-(IF(AND(Dados!$A754&gt;=Imóveis!$Q$3,Dados!$A754&lt;=Imóveis!$T$3),Imóveis!$S$3-(DATEDIF(Imóveis!$Q$3,Dados!$A754,"m")),)))*(Imóveis!$N$3/Imóveis!$S$3)))*Imóveis!$P$3))))*IF(AND(Imóveis!$E$3&gt;0,Dados!$A754&gt;Imóveis!$E$3),0,1)</f>
        <v>0</v>
      </c>
      <c r="K754" s="18">
        <f>IF(Imóveis!$F$4="PRICE",IF(AND(Dados!$A754&gt;=Imóveis!$Q$4,Dados!$A754&lt;=Imóveis!$T$4),Imóveis!$U$4,0),IF((IF(AND(Dados!$A754&gt;=Imóveis!$Q$4,Dados!$A754&lt;=Imóveis!$T$4),Imóveis!$S$4-(DATEDIF(Imóveis!$Q$4,Dados!$A754,"m")),0))=0,0,((Imóveis!$N$4/Imóveis!$S$4)+((Imóveis!$N$4-((Imóveis!$S$4-(IF(AND(Dados!$A754&gt;=Imóveis!$Q$4,Dados!$A754&lt;=Imóveis!$T$4),Imóveis!$S$4-(DATEDIF(Imóveis!$Q$4,Dados!$A754,"m")),)))*(Imóveis!$N$4/Imóveis!$S$4)))*Imóveis!$P$4))))*IF(AND(Imóveis!$E$4&gt;0,Dados!$A754&gt;Imóveis!$E$4),0,1)</f>
        <v>0</v>
      </c>
      <c r="L754" s="18">
        <f>IF(Imóveis!$F$5="PRICE",IF(AND(Dados!$A754&gt;=Imóveis!$Q$5,Dados!$A754&lt;=Imóveis!$T$5),Imóveis!$U$5,0),IF((IF(AND(Dados!$A754&gt;=Imóveis!$Q$5,Dados!$A754&lt;=Imóveis!$T$5),Imóveis!$S$5-(DATEDIF(Imóveis!$Q$5,Dados!$A754,"m")),0))=0,0,((Imóveis!$N$5/Imóveis!$S$5)+((Imóveis!$N$5-((Imóveis!$S$5-(IF(AND(Dados!$A754 &gt;=Imóveis!$Q$5,Dados!$A754&lt;=Imóveis!$T$5),Imóveis!$S$5-(DATEDIF(Imóveis!$Q$5,Dados!$A754,"m")),)))*(Imóveis!$N$5/Imóveis!$S$5)))*Imóveis!$P$5))))*IF(AND(Imóveis!$E$5&gt;0,Dados!$A754&gt;Imóveis!$E$5),0,1)*Imóveis!$I$5</f>
        <v>0</v>
      </c>
      <c r="M754" s="18">
        <f>IF(Imóveis!$F$6="PRICE",IF(AND(Dados!$A754&gt;=Imóveis!$Q$6,Dados!$A754&lt;=Imóveis!$T$6),Imóveis!$U$6,0),IF((IF(AND(Dados!$A754&gt;=Imóveis!$Q$6,Dados!$A754&lt;=Imóveis!$T$6),Imóveis!$S$6-(DATEDIF(Imóveis!$Q$6,Dados!$A754,"m")),0))=0,0,((Imóveis!$N$6/Imóveis!$S$6)+((Imóveis!$N$6-((Imóveis!$S$6-(IF(AND(Dados!$A754&gt;=Imóveis!$Q$6,Dados!$A754&lt;=Imóveis!$T$6),Imóveis!$S$6-(DATEDIF(Imóveis!$Q$6,Dados!$A754,"m")),)))*(Imóveis!$N$6/Imóveis!$S$6)))*Imóveis!$P$6))))*IF(AND(Imóveis!$E$6&gt;0,Dados!$A754&gt;Imóveis!$E$6),0,1)*Imóveis!$I$6</f>
        <v>0</v>
      </c>
      <c r="N754" s="18">
        <f t="shared" si="93"/>
        <v>37000</v>
      </c>
      <c r="O754" s="18">
        <f>SUMIFS(Receitas!$F:$F,Receitas!$J:$J,"&lt;="&amp;$A754,Receitas!$L:$L,"&gt;="&amp;$A754,Receitas!$C:$C,O$1,Receitas!$M:$M,"Mensal")+SUMIFS(Receitas!$F:$F,Receitas!$J:$J,"&lt;="&amp;$A754,Receitas!$L:$L,"&gt;="&amp;$A754,Receitas!$C:$C,O$1,Receitas!$M:$M,$B754)</f>
        <v>0</v>
      </c>
      <c r="P754" s="18">
        <f>SUMIFS(Receitas!$F:$F,Receitas!$J:$J,"&lt;="&amp;$A754,Receitas!$L:$L,"&gt;="&amp;$A754,Receitas!$C:$C,P$1,Receitas!$M:$M,"Mensal")+SUMIFS(Receitas!$F:$F,Receitas!$J:$J,"&lt;="&amp;$A754,Receitas!$L:$L,"&gt;="&amp;$A754,Receitas!$C:$C,P$1,Receitas!$M:$M,$B754)</f>
        <v>0</v>
      </c>
      <c r="Q754" s="18">
        <f>SUMIFS(Receitas!$F:$F,Receitas!$J:$J,"&lt;="&amp;$A754,Receitas!$L:$L,"&gt;="&amp;$A754,Receitas!$C:$C,Q$1,Receitas!$M:$M,"Mensal")+SUMIFS(Receitas!$F:$F,Receitas!$J:$J,"&lt;="&amp;$A754,Receitas!$L:$L,"&gt;="&amp;$A754,Receitas!$C:$C,Q$1,Receitas!$M:$M,$B754)</f>
        <v>0</v>
      </c>
      <c r="R754" s="18" cm="1">
        <f t="array" ref="R754">(IF(AND(Membros!$F$2="Sim",A754&lt;=MAX(Membros!$E$2:$E$5)),Membros!K$2,IF(AND(A754&gt;=Membros!J$2,A754&lt;=MAX(Membros!$E$2:$E$5)),Membros!K$2,0))+IF(AND(Membros!$F$3="Sim",A754&lt;=MAX(Membros!$E$2:$E$5)),Membros!K$3,IF(AND(A754&gt;=Membros!J$3,A754&lt;=MAX(Membros!$E$2:$E$5)),Membros!K$3,0)))*IF(AND(COUNTIFS(Tabela3[Tipo],"Provedor",Tabela3[Simulação Seguro],"Sim")=2,A754&gt;=MAX(IF(Tabela3[Tipo]="Dependente",Tabela3[Expectativa de Vida (Data)]))),0,1)</f>
        <v>10000</v>
      </c>
      <c r="S754" s="18">
        <f t="shared" si="94"/>
        <v>10000</v>
      </c>
      <c r="U754" s="18">
        <f t="shared" ca="1" si="97"/>
        <v>58330791.631089948</v>
      </c>
      <c r="V754" s="18">
        <f>SUMIF(Imóveis!E:E,Dados!A:A,Imóveis!Z:Z)-SUMIF(Imóveis!E:E,Dados!A:A,Imóveis!Y:Y)</f>
        <v>0</v>
      </c>
      <c r="W754" s="18">
        <f>-SUMIF(Projetos!N:N,A754,Projetos!F:F)</f>
        <v>0</v>
      </c>
      <c r="X754" s="18">
        <f t="shared" si="91"/>
        <v>-27000</v>
      </c>
      <c r="Y754" s="26">
        <f ca="1">(U754*((Indicadores_Economicos!D$2+1)^(1/12)-1))</f>
        <v>190959.83308985468</v>
      </c>
      <c r="Z754" s="18">
        <f t="shared" ca="1" si="95"/>
        <v>58494751.464179806</v>
      </c>
      <c r="AA754" s="18">
        <f ca="1">Auxiliar_Projetos!E754</f>
        <v>4.5668654613237533E-9</v>
      </c>
      <c r="AB754" s="18">
        <f ca="1">Auxiliar_Projetos!K754</f>
        <v>3.5129734317874946E-9</v>
      </c>
      <c r="AC754" s="18">
        <f ca="1">IF(Z754-AA754-AB754&gt;Investimentos!$C$14,Investimentos!$C$14,IF(Z754-AA754-AB754&lt;Investimentos!$C$14,Z754-AA754-AB754,0))</f>
        <v>300000</v>
      </c>
      <c r="AD754" s="18">
        <f t="shared" ca="1" si="96"/>
        <v>58194751.464179799</v>
      </c>
      <c r="AE754" s="18"/>
    </row>
    <row r="755" spans="1:31" x14ac:dyDescent="0.2">
      <c r="A755" s="4">
        <v>68576</v>
      </c>
      <c r="B755" s="5" t="str">
        <f t="shared" si="92"/>
        <v>outubro</v>
      </c>
      <c r="C755" s="5" t="str">
        <f t="shared" si="98"/>
        <v>2087</v>
      </c>
      <c r="D755" s="5">
        <f>SUMIFS(Despesas!$F:$F,Despesas!$J:$J,"&lt;="&amp;$A755,Despesas!$L:$L,"&gt;="&amp;$A755,Despesas!$C:$C,D$1,Despesas!$M:$M,"Mensal")+SUMIFS(Despesas!$F:$F,Despesas!$J:$J,"&lt;="&amp;$A755,Despesas!$L:$L,"&gt;="&amp;$A755,Despesas!$C:$C,D$1,Despesas!$M:$M,$B755)</f>
        <v>23000</v>
      </c>
      <c r="E755" s="18">
        <f>SUMIFS(Despesas!$F:$F,Despesas!$J:$J,"&lt;="&amp;$A755,Despesas!$L:$L,"&gt;="&amp;$A755,Despesas!$C:$C,E$1,Despesas!$M:$M,"Mensal")+SUMIFS(Despesas!$F:$F,Despesas!$J:$J,"&lt;="&amp;$A755,Despesas!$L:$L,"&gt;="&amp;$A755,Despesas!$C:$C,E$1,Despesas!$M:$M,$B755)</f>
        <v>0</v>
      </c>
      <c r="F755" s="5">
        <f>SUMIFS(Despesas!$F:$F,Despesas!$J:$J,"&lt;="&amp;$A755,Despesas!$L:$L,"&gt;="&amp;$A755,Despesas!$C:$C,F$1,Despesas!$M:$M,"Mensal")+SUMIFS(Despesas!$F:$F,Despesas!$J:$J,"&lt;="&amp;$A755,Despesas!$L:$L,"&gt;="&amp;$A755,Despesas!$C:$C,F$1,Despesas!$M:$M,$B755)</f>
        <v>13000</v>
      </c>
      <c r="G755" s="5">
        <f>SUMIFS(Despesas!$F:$F,Despesas!$J:$J,"&lt;="&amp;$A755,Despesas!$L:$L,"&gt;="&amp;$A755,Despesas!$C:$C,G$1,Despesas!$M:$M,"Mensal")+SUMIFS(Despesas!$F:$F,Despesas!$J:$J,"&lt;="&amp;$A755,Despesas!$L:$L,"&gt;="&amp;$A755,Despesas!$C:$C,G$1,Despesas!$M:$M,$B755)</f>
        <v>0</v>
      </c>
      <c r="H755" s="18">
        <f>SUMIFS(Despesas!$F:$F,Despesas!$J:$J,"&lt;="&amp;$A755,Despesas!$L:$L,"&gt;="&amp;$A755,Despesas!$C:$C,H$1,Despesas!$M:$M,"Mensal")+SUMIFS(Despesas!$F:$F,Despesas!$J:$J,"&lt;="&amp;$A755,Despesas!$L:$L,"&gt;="&amp;$A755,Despesas!$C:$C,H$1,Despesas!$M:$M,$B755)</f>
        <v>1000</v>
      </c>
      <c r="I755" s="18">
        <f>IF(Imóveis!$F$2="PRICE",IF(AND(Dados!$A755&gt;=Imóveis!$Q$2,Dados!$A755&lt;=Imóveis!$T$2),Imóveis!$U$2,0),IF((IF(AND(Dados!$A755&gt;=Imóveis!$Q$2,Dados!$A755&lt;=Imóveis!$T$2),Imóveis!$S$2-(DATEDIF(Imóveis!$Q$2,Dados!$A755,"m")),0))=0,0,((Imóveis!$N$2/Imóveis!$S$2)+((Imóveis!$N$2-((Imóveis!$S$2-(IF(AND(Dados!$A755&gt;=Imóveis!$Q$2,Dados!$A755&lt;=Imóveis!$T$2),Imóveis!$S$2-(DATEDIF(Imóveis!$Q$2,Dados!$A755,"m")),)))*(Imóveis!$N$2/Imóveis!$S$2)))*Imóveis!$P$2))))*IF(AND(Imóveis!$E$2&gt;0,Dados!$A755&gt;Imóveis!$E$2),0,1)</f>
        <v>0</v>
      </c>
      <c r="J755" s="18">
        <f>IF(Imóveis!$F$3="PRICE",IF(AND(Dados!$A755&gt;=Imóveis!$Q$3,Dados!$A755&lt;=Imóveis!$T$3),Imóveis!$U$3,0),IF((IF(AND(Dados!$A755&gt;=Imóveis!$Q$3,Dados!$A755&lt;=Imóveis!$T$3),Imóveis!$S$3-(DATEDIF(Imóveis!$Q$3,Dados!$A755,"m")),0))=0,0,((Imóveis!$N$3/Imóveis!$S$3)+((Imóveis!$N$3-((Imóveis!$S$3-(IF(AND(Dados!$A755&gt;=Imóveis!$Q$3,Dados!$A755&lt;=Imóveis!$T$3),Imóveis!$S$3-(DATEDIF(Imóveis!$Q$3,Dados!$A755,"m")),)))*(Imóveis!$N$3/Imóveis!$S$3)))*Imóveis!$P$3))))*IF(AND(Imóveis!$E$3&gt;0,Dados!$A755&gt;Imóveis!$E$3),0,1)</f>
        <v>0</v>
      </c>
      <c r="K755" s="18">
        <f>IF(Imóveis!$F$4="PRICE",IF(AND(Dados!$A755&gt;=Imóveis!$Q$4,Dados!$A755&lt;=Imóveis!$T$4),Imóveis!$U$4,0),IF((IF(AND(Dados!$A755&gt;=Imóveis!$Q$4,Dados!$A755&lt;=Imóveis!$T$4),Imóveis!$S$4-(DATEDIF(Imóveis!$Q$4,Dados!$A755,"m")),0))=0,0,((Imóveis!$N$4/Imóveis!$S$4)+((Imóveis!$N$4-((Imóveis!$S$4-(IF(AND(Dados!$A755&gt;=Imóveis!$Q$4,Dados!$A755&lt;=Imóveis!$T$4),Imóveis!$S$4-(DATEDIF(Imóveis!$Q$4,Dados!$A755,"m")),)))*(Imóveis!$N$4/Imóveis!$S$4)))*Imóveis!$P$4))))*IF(AND(Imóveis!$E$4&gt;0,Dados!$A755&gt;Imóveis!$E$4),0,1)</f>
        <v>0</v>
      </c>
      <c r="L755" s="18">
        <f>IF(Imóveis!$F$5="PRICE",IF(AND(Dados!$A755&gt;=Imóveis!$Q$5,Dados!$A755&lt;=Imóveis!$T$5),Imóveis!$U$5,0),IF((IF(AND(Dados!$A755&gt;=Imóveis!$Q$5,Dados!$A755&lt;=Imóveis!$T$5),Imóveis!$S$5-(DATEDIF(Imóveis!$Q$5,Dados!$A755,"m")),0))=0,0,((Imóveis!$N$5/Imóveis!$S$5)+((Imóveis!$N$5-((Imóveis!$S$5-(IF(AND(Dados!$A755 &gt;=Imóveis!$Q$5,Dados!$A755&lt;=Imóveis!$T$5),Imóveis!$S$5-(DATEDIF(Imóveis!$Q$5,Dados!$A755,"m")),)))*(Imóveis!$N$5/Imóveis!$S$5)))*Imóveis!$P$5))))*IF(AND(Imóveis!$E$5&gt;0,Dados!$A755&gt;Imóveis!$E$5),0,1)*Imóveis!$I$5</f>
        <v>0</v>
      </c>
      <c r="M755" s="18">
        <f>IF(Imóveis!$F$6="PRICE",IF(AND(Dados!$A755&gt;=Imóveis!$Q$6,Dados!$A755&lt;=Imóveis!$T$6),Imóveis!$U$6,0),IF((IF(AND(Dados!$A755&gt;=Imóveis!$Q$6,Dados!$A755&lt;=Imóveis!$T$6),Imóveis!$S$6-(DATEDIF(Imóveis!$Q$6,Dados!$A755,"m")),0))=0,0,((Imóveis!$N$6/Imóveis!$S$6)+((Imóveis!$N$6-((Imóveis!$S$6-(IF(AND(Dados!$A755&gt;=Imóveis!$Q$6,Dados!$A755&lt;=Imóveis!$T$6),Imóveis!$S$6-(DATEDIF(Imóveis!$Q$6,Dados!$A755,"m")),)))*(Imóveis!$N$6/Imóveis!$S$6)))*Imóveis!$P$6))))*IF(AND(Imóveis!$E$6&gt;0,Dados!$A755&gt;Imóveis!$E$6),0,1)*Imóveis!$I$6</f>
        <v>0</v>
      </c>
      <c r="N755" s="18">
        <f t="shared" si="93"/>
        <v>37000</v>
      </c>
      <c r="O755" s="18">
        <f>SUMIFS(Receitas!$F:$F,Receitas!$J:$J,"&lt;="&amp;$A755,Receitas!$L:$L,"&gt;="&amp;$A755,Receitas!$C:$C,O$1,Receitas!$M:$M,"Mensal")+SUMIFS(Receitas!$F:$F,Receitas!$J:$J,"&lt;="&amp;$A755,Receitas!$L:$L,"&gt;="&amp;$A755,Receitas!$C:$C,O$1,Receitas!$M:$M,$B755)</f>
        <v>0</v>
      </c>
      <c r="P755" s="18">
        <f>SUMIFS(Receitas!$F:$F,Receitas!$J:$J,"&lt;="&amp;$A755,Receitas!$L:$L,"&gt;="&amp;$A755,Receitas!$C:$C,P$1,Receitas!$M:$M,"Mensal")+SUMIFS(Receitas!$F:$F,Receitas!$J:$J,"&lt;="&amp;$A755,Receitas!$L:$L,"&gt;="&amp;$A755,Receitas!$C:$C,P$1,Receitas!$M:$M,$B755)</f>
        <v>0</v>
      </c>
      <c r="Q755" s="18">
        <f>SUMIFS(Receitas!$F:$F,Receitas!$J:$J,"&lt;="&amp;$A755,Receitas!$L:$L,"&gt;="&amp;$A755,Receitas!$C:$C,Q$1,Receitas!$M:$M,"Mensal")+SUMIFS(Receitas!$F:$F,Receitas!$J:$J,"&lt;="&amp;$A755,Receitas!$L:$L,"&gt;="&amp;$A755,Receitas!$C:$C,Q$1,Receitas!$M:$M,$B755)</f>
        <v>0</v>
      </c>
      <c r="R755" s="18" cm="1">
        <f t="array" ref="R755">(IF(AND(Membros!$F$2="Sim",A755&lt;=MAX(Membros!$E$2:$E$5)),Membros!K$2,IF(AND(A755&gt;=Membros!J$2,A755&lt;=MAX(Membros!$E$2:$E$5)),Membros!K$2,0))+IF(AND(Membros!$F$3="Sim",A755&lt;=MAX(Membros!$E$2:$E$5)),Membros!K$3,IF(AND(A755&gt;=Membros!J$3,A755&lt;=MAX(Membros!$E$2:$E$5)),Membros!K$3,0)))*IF(AND(COUNTIFS(Tabela3[Tipo],"Provedor",Tabela3[Simulação Seguro],"Sim")=2,A755&gt;=MAX(IF(Tabela3[Tipo]="Dependente",Tabela3[Expectativa de Vida (Data)]))),0,1)</f>
        <v>10000</v>
      </c>
      <c r="S755" s="18">
        <f t="shared" si="94"/>
        <v>10000</v>
      </c>
      <c r="U755" s="18">
        <f t="shared" ca="1" si="97"/>
        <v>58494751.464179806</v>
      </c>
      <c r="V755" s="18">
        <f>SUMIF(Imóveis!E:E,Dados!A:A,Imóveis!Z:Z)-SUMIF(Imóveis!E:E,Dados!A:A,Imóveis!Y:Y)</f>
        <v>0</v>
      </c>
      <c r="W755" s="18">
        <f>-SUMIF(Projetos!N:N,A755,Projetos!F:F)</f>
        <v>0</v>
      </c>
      <c r="X755" s="18">
        <f t="shared" si="91"/>
        <v>-27000</v>
      </c>
      <c r="Y755" s="26">
        <f ca="1">(U755*((Indicadores_Economicos!D$2+1)^(1/12)-1))</f>
        <v>191496.59491812362</v>
      </c>
      <c r="Z755" s="18">
        <f t="shared" ca="1" si="95"/>
        <v>58659248.059097931</v>
      </c>
      <c r="AA755" s="18">
        <f ca="1">Auxiliar_Projetos!E755</f>
        <v>4.5818161904644392E-9</v>
      </c>
      <c r="AB755" s="18">
        <f ca="1">Auxiliar_Projetos!K755</f>
        <v>3.5244739926649453E-9</v>
      </c>
      <c r="AC755" s="18">
        <f ca="1">IF(Z755-AA755-AB755&gt;Investimentos!$C$14,Investimentos!$C$14,IF(Z755-AA755-AB755&lt;Investimentos!$C$14,Z755-AA755-AB755,0))</f>
        <v>300000</v>
      </c>
      <c r="AD755" s="18">
        <f t="shared" ca="1" si="96"/>
        <v>58359248.059097923</v>
      </c>
      <c r="AE755" s="18"/>
    </row>
    <row r="756" spans="1:31" x14ac:dyDescent="0.2">
      <c r="A756" s="4">
        <v>68607</v>
      </c>
      <c r="B756" s="5" t="str">
        <f t="shared" si="92"/>
        <v>novembro</v>
      </c>
      <c r="C756" s="5" t="str">
        <f t="shared" si="98"/>
        <v>2087</v>
      </c>
      <c r="D756" s="5">
        <f>SUMIFS(Despesas!$F:$F,Despesas!$J:$J,"&lt;="&amp;$A756,Despesas!$L:$L,"&gt;="&amp;$A756,Despesas!$C:$C,D$1,Despesas!$M:$M,"Mensal")+SUMIFS(Despesas!$F:$F,Despesas!$J:$J,"&lt;="&amp;$A756,Despesas!$L:$L,"&gt;="&amp;$A756,Despesas!$C:$C,D$1,Despesas!$M:$M,$B756)</f>
        <v>23000</v>
      </c>
      <c r="E756" s="18">
        <f>SUMIFS(Despesas!$F:$F,Despesas!$J:$J,"&lt;="&amp;$A756,Despesas!$L:$L,"&gt;="&amp;$A756,Despesas!$C:$C,E$1,Despesas!$M:$M,"Mensal")+SUMIFS(Despesas!$F:$F,Despesas!$J:$J,"&lt;="&amp;$A756,Despesas!$L:$L,"&gt;="&amp;$A756,Despesas!$C:$C,E$1,Despesas!$M:$M,$B756)</f>
        <v>0</v>
      </c>
      <c r="F756" s="5">
        <f>SUMIFS(Despesas!$F:$F,Despesas!$J:$J,"&lt;="&amp;$A756,Despesas!$L:$L,"&gt;="&amp;$A756,Despesas!$C:$C,F$1,Despesas!$M:$M,"Mensal")+SUMIFS(Despesas!$F:$F,Despesas!$J:$J,"&lt;="&amp;$A756,Despesas!$L:$L,"&gt;="&amp;$A756,Despesas!$C:$C,F$1,Despesas!$M:$M,$B756)</f>
        <v>13000</v>
      </c>
      <c r="G756" s="5">
        <f>SUMIFS(Despesas!$F:$F,Despesas!$J:$J,"&lt;="&amp;$A756,Despesas!$L:$L,"&gt;="&amp;$A756,Despesas!$C:$C,G$1,Despesas!$M:$M,"Mensal")+SUMIFS(Despesas!$F:$F,Despesas!$J:$J,"&lt;="&amp;$A756,Despesas!$L:$L,"&gt;="&amp;$A756,Despesas!$C:$C,G$1,Despesas!$M:$M,$B756)</f>
        <v>0</v>
      </c>
      <c r="H756" s="18">
        <f>SUMIFS(Despesas!$F:$F,Despesas!$J:$J,"&lt;="&amp;$A756,Despesas!$L:$L,"&gt;="&amp;$A756,Despesas!$C:$C,H$1,Despesas!$M:$M,"Mensal")+SUMIFS(Despesas!$F:$F,Despesas!$J:$J,"&lt;="&amp;$A756,Despesas!$L:$L,"&gt;="&amp;$A756,Despesas!$C:$C,H$1,Despesas!$M:$M,$B756)</f>
        <v>1000</v>
      </c>
      <c r="I756" s="18">
        <f>IF(Imóveis!$F$2="PRICE",IF(AND(Dados!$A756&gt;=Imóveis!$Q$2,Dados!$A756&lt;=Imóveis!$T$2),Imóveis!$U$2,0),IF((IF(AND(Dados!$A756&gt;=Imóveis!$Q$2,Dados!$A756&lt;=Imóveis!$T$2),Imóveis!$S$2-(DATEDIF(Imóveis!$Q$2,Dados!$A756,"m")),0))=0,0,((Imóveis!$N$2/Imóveis!$S$2)+((Imóveis!$N$2-((Imóveis!$S$2-(IF(AND(Dados!$A756&gt;=Imóveis!$Q$2,Dados!$A756&lt;=Imóveis!$T$2),Imóveis!$S$2-(DATEDIF(Imóveis!$Q$2,Dados!$A756,"m")),)))*(Imóveis!$N$2/Imóveis!$S$2)))*Imóveis!$P$2))))*IF(AND(Imóveis!$E$2&gt;0,Dados!$A756&gt;Imóveis!$E$2),0,1)</f>
        <v>0</v>
      </c>
      <c r="J756" s="18">
        <f>IF(Imóveis!$F$3="PRICE",IF(AND(Dados!$A756&gt;=Imóveis!$Q$3,Dados!$A756&lt;=Imóveis!$T$3),Imóveis!$U$3,0),IF((IF(AND(Dados!$A756&gt;=Imóveis!$Q$3,Dados!$A756&lt;=Imóveis!$T$3),Imóveis!$S$3-(DATEDIF(Imóveis!$Q$3,Dados!$A756,"m")),0))=0,0,((Imóveis!$N$3/Imóveis!$S$3)+((Imóveis!$N$3-((Imóveis!$S$3-(IF(AND(Dados!$A756&gt;=Imóveis!$Q$3,Dados!$A756&lt;=Imóveis!$T$3),Imóveis!$S$3-(DATEDIF(Imóveis!$Q$3,Dados!$A756,"m")),)))*(Imóveis!$N$3/Imóveis!$S$3)))*Imóveis!$P$3))))*IF(AND(Imóveis!$E$3&gt;0,Dados!$A756&gt;Imóveis!$E$3),0,1)</f>
        <v>0</v>
      </c>
      <c r="K756" s="18">
        <f>IF(Imóveis!$F$4="PRICE",IF(AND(Dados!$A756&gt;=Imóveis!$Q$4,Dados!$A756&lt;=Imóveis!$T$4),Imóveis!$U$4,0),IF((IF(AND(Dados!$A756&gt;=Imóveis!$Q$4,Dados!$A756&lt;=Imóveis!$T$4),Imóveis!$S$4-(DATEDIF(Imóveis!$Q$4,Dados!$A756,"m")),0))=0,0,((Imóveis!$N$4/Imóveis!$S$4)+((Imóveis!$N$4-((Imóveis!$S$4-(IF(AND(Dados!$A756&gt;=Imóveis!$Q$4,Dados!$A756&lt;=Imóveis!$T$4),Imóveis!$S$4-(DATEDIF(Imóveis!$Q$4,Dados!$A756,"m")),)))*(Imóveis!$N$4/Imóveis!$S$4)))*Imóveis!$P$4))))*IF(AND(Imóveis!$E$4&gt;0,Dados!$A756&gt;Imóveis!$E$4),0,1)</f>
        <v>0</v>
      </c>
      <c r="L756" s="18">
        <f>IF(Imóveis!$F$5="PRICE",IF(AND(Dados!$A756&gt;=Imóveis!$Q$5,Dados!$A756&lt;=Imóveis!$T$5),Imóveis!$U$5,0),IF((IF(AND(Dados!$A756&gt;=Imóveis!$Q$5,Dados!$A756&lt;=Imóveis!$T$5),Imóveis!$S$5-(DATEDIF(Imóveis!$Q$5,Dados!$A756,"m")),0))=0,0,((Imóveis!$N$5/Imóveis!$S$5)+((Imóveis!$N$5-((Imóveis!$S$5-(IF(AND(Dados!$A756 &gt;=Imóveis!$Q$5,Dados!$A756&lt;=Imóveis!$T$5),Imóveis!$S$5-(DATEDIF(Imóveis!$Q$5,Dados!$A756,"m")),)))*(Imóveis!$N$5/Imóveis!$S$5)))*Imóveis!$P$5))))*IF(AND(Imóveis!$E$5&gt;0,Dados!$A756&gt;Imóveis!$E$5),0,1)*Imóveis!$I$5</f>
        <v>0</v>
      </c>
      <c r="M756" s="18">
        <f>IF(Imóveis!$F$6="PRICE",IF(AND(Dados!$A756&gt;=Imóveis!$Q$6,Dados!$A756&lt;=Imóveis!$T$6),Imóveis!$U$6,0),IF((IF(AND(Dados!$A756&gt;=Imóveis!$Q$6,Dados!$A756&lt;=Imóveis!$T$6),Imóveis!$S$6-(DATEDIF(Imóveis!$Q$6,Dados!$A756,"m")),0))=0,0,((Imóveis!$N$6/Imóveis!$S$6)+((Imóveis!$N$6-((Imóveis!$S$6-(IF(AND(Dados!$A756&gt;=Imóveis!$Q$6,Dados!$A756&lt;=Imóveis!$T$6),Imóveis!$S$6-(DATEDIF(Imóveis!$Q$6,Dados!$A756,"m")),)))*(Imóveis!$N$6/Imóveis!$S$6)))*Imóveis!$P$6))))*IF(AND(Imóveis!$E$6&gt;0,Dados!$A756&gt;Imóveis!$E$6),0,1)*Imóveis!$I$6</f>
        <v>0</v>
      </c>
      <c r="N756" s="18">
        <f t="shared" si="93"/>
        <v>37000</v>
      </c>
      <c r="O756" s="18">
        <f>SUMIFS(Receitas!$F:$F,Receitas!$J:$J,"&lt;="&amp;$A756,Receitas!$L:$L,"&gt;="&amp;$A756,Receitas!$C:$C,O$1,Receitas!$M:$M,"Mensal")+SUMIFS(Receitas!$F:$F,Receitas!$J:$J,"&lt;="&amp;$A756,Receitas!$L:$L,"&gt;="&amp;$A756,Receitas!$C:$C,O$1,Receitas!$M:$M,$B756)</f>
        <v>0</v>
      </c>
      <c r="P756" s="18">
        <f>SUMIFS(Receitas!$F:$F,Receitas!$J:$J,"&lt;="&amp;$A756,Receitas!$L:$L,"&gt;="&amp;$A756,Receitas!$C:$C,P$1,Receitas!$M:$M,"Mensal")+SUMIFS(Receitas!$F:$F,Receitas!$J:$J,"&lt;="&amp;$A756,Receitas!$L:$L,"&gt;="&amp;$A756,Receitas!$C:$C,P$1,Receitas!$M:$M,$B756)</f>
        <v>0</v>
      </c>
      <c r="Q756" s="18">
        <f>SUMIFS(Receitas!$F:$F,Receitas!$J:$J,"&lt;="&amp;$A756,Receitas!$L:$L,"&gt;="&amp;$A756,Receitas!$C:$C,Q$1,Receitas!$M:$M,"Mensal")+SUMIFS(Receitas!$F:$F,Receitas!$J:$J,"&lt;="&amp;$A756,Receitas!$L:$L,"&gt;="&amp;$A756,Receitas!$C:$C,Q$1,Receitas!$M:$M,$B756)</f>
        <v>0</v>
      </c>
      <c r="R756" s="18" cm="1">
        <f t="array" ref="R756">(IF(AND(Membros!$F$2="Sim",A756&lt;=MAX(Membros!$E$2:$E$5)),Membros!K$2,IF(AND(A756&gt;=Membros!J$2,A756&lt;=MAX(Membros!$E$2:$E$5)),Membros!K$2,0))+IF(AND(Membros!$F$3="Sim",A756&lt;=MAX(Membros!$E$2:$E$5)),Membros!K$3,IF(AND(A756&gt;=Membros!J$3,A756&lt;=MAX(Membros!$E$2:$E$5)),Membros!K$3,0)))*IF(AND(COUNTIFS(Tabela3[Tipo],"Provedor",Tabela3[Simulação Seguro],"Sim")=2,A756&gt;=MAX(IF(Tabela3[Tipo]="Dependente",Tabela3[Expectativa de Vida (Data)]))),0,1)</f>
        <v>10000</v>
      </c>
      <c r="S756" s="18">
        <f t="shared" si="94"/>
        <v>10000</v>
      </c>
      <c r="U756" s="18">
        <f t="shared" ca="1" si="97"/>
        <v>58659248.059097931</v>
      </c>
      <c r="V756" s="18">
        <f>SUMIF(Imóveis!E:E,Dados!A:A,Imóveis!Z:Z)-SUMIF(Imóveis!E:E,Dados!A:A,Imóveis!Y:Y)</f>
        <v>0</v>
      </c>
      <c r="W756" s="18">
        <f>-SUMIF(Projetos!N:N,A756,Projetos!F:F)</f>
        <v>0</v>
      </c>
      <c r="X756" s="18">
        <f t="shared" si="91"/>
        <v>-27000</v>
      </c>
      <c r="Y756" s="26">
        <f ca="1">(U756*((Indicadores_Economicos!D$2+1)^(1/12)-1))</f>
        <v>192035.11396494336</v>
      </c>
      <c r="Z756" s="18">
        <f t="shared" ca="1" si="95"/>
        <v>58824283.173062876</v>
      </c>
      <c r="AA756" s="18">
        <f ca="1">Auxiliar_Projetos!E756</f>
        <v>4.5968158644018859E-9</v>
      </c>
      <c r="AB756" s="18">
        <f ca="1">Auxiliar_Projetos!K756</f>
        <v>3.536012203386058E-9</v>
      </c>
      <c r="AC756" s="18">
        <f ca="1">IF(Z756-AA756-AB756&gt;Investimentos!$C$14,Investimentos!$C$14,IF(Z756-AA756-AB756&lt;Investimentos!$C$14,Z756-AA756-AB756,0))</f>
        <v>300000</v>
      </c>
      <c r="AD756" s="18">
        <f t="shared" ca="1" si="96"/>
        <v>58524283.173062868</v>
      </c>
      <c r="AE756" s="18"/>
    </row>
    <row r="757" spans="1:31" x14ac:dyDescent="0.2">
      <c r="A757" s="4">
        <v>68637</v>
      </c>
      <c r="B757" s="5" t="str">
        <f t="shared" si="92"/>
        <v>dezembro</v>
      </c>
      <c r="C757" s="5" t="str">
        <f t="shared" si="98"/>
        <v>2087</v>
      </c>
      <c r="D757" s="5">
        <f>SUMIFS(Despesas!$F:$F,Despesas!$J:$J,"&lt;="&amp;$A757,Despesas!$L:$L,"&gt;="&amp;$A757,Despesas!$C:$C,D$1,Despesas!$M:$M,"Mensal")+SUMIFS(Despesas!$F:$F,Despesas!$J:$J,"&lt;="&amp;$A757,Despesas!$L:$L,"&gt;="&amp;$A757,Despesas!$C:$C,D$1,Despesas!$M:$M,$B757)</f>
        <v>23000</v>
      </c>
      <c r="E757" s="18">
        <f>SUMIFS(Despesas!$F:$F,Despesas!$J:$J,"&lt;="&amp;$A757,Despesas!$L:$L,"&gt;="&amp;$A757,Despesas!$C:$C,E$1,Despesas!$M:$M,"Mensal")+SUMIFS(Despesas!$F:$F,Despesas!$J:$J,"&lt;="&amp;$A757,Despesas!$L:$L,"&gt;="&amp;$A757,Despesas!$C:$C,E$1,Despesas!$M:$M,$B757)</f>
        <v>0</v>
      </c>
      <c r="F757" s="5">
        <f>SUMIFS(Despesas!$F:$F,Despesas!$J:$J,"&lt;="&amp;$A757,Despesas!$L:$L,"&gt;="&amp;$A757,Despesas!$C:$C,F$1,Despesas!$M:$M,"Mensal")+SUMIFS(Despesas!$F:$F,Despesas!$J:$J,"&lt;="&amp;$A757,Despesas!$L:$L,"&gt;="&amp;$A757,Despesas!$C:$C,F$1,Despesas!$M:$M,$B757)</f>
        <v>13000</v>
      </c>
      <c r="G757" s="5">
        <f ca="1">SUMIFS(Despesas!$F:$F,Despesas!$J:$J,"&lt;="&amp;$A757,Despesas!$L:$L,"&gt;="&amp;$A757,Despesas!$C:$C,G$1,Despesas!$M:$M,"Mensal")+SUMIFS(Despesas!$F:$F,Despesas!$J:$J,"&lt;="&amp;$A757,Despesas!$L:$L,"&gt;="&amp;$A757,Despesas!$C:$C,G$1,Despesas!$M:$M,$B757)</f>
        <v>55757</v>
      </c>
      <c r="H757" s="18">
        <f>SUMIFS(Despesas!$F:$F,Despesas!$J:$J,"&lt;="&amp;$A757,Despesas!$L:$L,"&gt;="&amp;$A757,Despesas!$C:$C,H$1,Despesas!$M:$M,"Mensal")+SUMIFS(Despesas!$F:$F,Despesas!$J:$J,"&lt;="&amp;$A757,Despesas!$L:$L,"&gt;="&amp;$A757,Despesas!$C:$C,H$1,Despesas!$M:$M,$B757)</f>
        <v>1000</v>
      </c>
      <c r="I757" s="18">
        <f>IF(Imóveis!$F$2="PRICE",IF(AND(Dados!$A757&gt;=Imóveis!$Q$2,Dados!$A757&lt;=Imóveis!$T$2),Imóveis!$U$2,0),IF((IF(AND(Dados!$A757&gt;=Imóveis!$Q$2,Dados!$A757&lt;=Imóveis!$T$2),Imóveis!$S$2-(DATEDIF(Imóveis!$Q$2,Dados!$A757,"m")),0))=0,0,((Imóveis!$N$2/Imóveis!$S$2)+((Imóveis!$N$2-((Imóveis!$S$2-(IF(AND(Dados!$A757&gt;=Imóveis!$Q$2,Dados!$A757&lt;=Imóveis!$T$2),Imóveis!$S$2-(DATEDIF(Imóveis!$Q$2,Dados!$A757,"m")),)))*(Imóveis!$N$2/Imóveis!$S$2)))*Imóveis!$P$2))))*IF(AND(Imóveis!$E$2&gt;0,Dados!$A757&gt;Imóveis!$E$2),0,1)</f>
        <v>0</v>
      </c>
      <c r="J757" s="18">
        <f>IF(Imóveis!$F$3="PRICE",IF(AND(Dados!$A757&gt;=Imóveis!$Q$3,Dados!$A757&lt;=Imóveis!$T$3),Imóveis!$U$3,0),IF((IF(AND(Dados!$A757&gt;=Imóveis!$Q$3,Dados!$A757&lt;=Imóveis!$T$3),Imóveis!$S$3-(DATEDIF(Imóveis!$Q$3,Dados!$A757,"m")),0))=0,0,((Imóveis!$N$3/Imóveis!$S$3)+((Imóveis!$N$3-((Imóveis!$S$3-(IF(AND(Dados!$A757&gt;=Imóveis!$Q$3,Dados!$A757&lt;=Imóveis!$T$3),Imóveis!$S$3-(DATEDIF(Imóveis!$Q$3,Dados!$A757,"m")),)))*(Imóveis!$N$3/Imóveis!$S$3)))*Imóveis!$P$3))))*IF(AND(Imóveis!$E$3&gt;0,Dados!$A757&gt;Imóveis!$E$3),0,1)</f>
        <v>0</v>
      </c>
      <c r="K757" s="18">
        <f>IF(Imóveis!$F$4="PRICE",IF(AND(Dados!$A757&gt;=Imóveis!$Q$4,Dados!$A757&lt;=Imóveis!$T$4),Imóveis!$U$4,0),IF((IF(AND(Dados!$A757&gt;=Imóveis!$Q$4,Dados!$A757&lt;=Imóveis!$T$4),Imóveis!$S$4-(DATEDIF(Imóveis!$Q$4,Dados!$A757,"m")),0))=0,0,((Imóveis!$N$4/Imóveis!$S$4)+((Imóveis!$N$4-((Imóveis!$S$4-(IF(AND(Dados!$A757&gt;=Imóveis!$Q$4,Dados!$A757&lt;=Imóveis!$T$4),Imóveis!$S$4-(DATEDIF(Imóveis!$Q$4,Dados!$A757,"m")),)))*(Imóveis!$N$4/Imóveis!$S$4)))*Imóveis!$P$4))))*IF(AND(Imóveis!$E$4&gt;0,Dados!$A757&gt;Imóveis!$E$4),0,1)</f>
        <v>0</v>
      </c>
      <c r="L757" s="18">
        <f>IF(Imóveis!$F$5="PRICE",IF(AND(Dados!$A757&gt;=Imóveis!$Q$5,Dados!$A757&lt;=Imóveis!$T$5),Imóveis!$U$5,0),IF((IF(AND(Dados!$A757&gt;=Imóveis!$Q$5,Dados!$A757&lt;=Imóveis!$T$5),Imóveis!$S$5-(DATEDIF(Imóveis!$Q$5,Dados!$A757,"m")),0))=0,0,((Imóveis!$N$5/Imóveis!$S$5)+((Imóveis!$N$5-((Imóveis!$S$5-(IF(AND(Dados!$A757 &gt;=Imóveis!$Q$5,Dados!$A757&lt;=Imóveis!$T$5),Imóveis!$S$5-(DATEDIF(Imóveis!$Q$5,Dados!$A757,"m")),)))*(Imóveis!$N$5/Imóveis!$S$5)))*Imóveis!$P$5))))*IF(AND(Imóveis!$E$5&gt;0,Dados!$A757&gt;Imóveis!$E$5),0,1)*Imóveis!$I$5</f>
        <v>0</v>
      </c>
      <c r="M757" s="18">
        <f>IF(Imóveis!$F$6="PRICE",IF(AND(Dados!$A757&gt;=Imóveis!$Q$6,Dados!$A757&lt;=Imóveis!$T$6),Imóveis!$U$6,0),IF((IF(AND(Dados!$A757&gt;=Imóveis!$Q$6,Dados!$A757&lt;=Imóveis!$T$6),Imóveis!$S$6-(DATEDIF(Imóveis!$Q$6,Dados!$A757,"m")),0))=0,0,((Imóveis!$N$6/Imóveis!$S$6)+((Imóveis!$N$6-((Imóveis!$S$6-(IF(AND(Dados!$A757&gt;=Imóveis!$Q$6,Dados!$A757&lt;=Imóveis!$T$6),Imóveis!$S$6-(DATEDIF(Imóveis!$Q$6,Dados!$A757,"m")),)))*(Imóveis!$N$6/Imóveis!$S$6)))*Imóveis!$P$6))))*IF(AND(Imóveis!$E$6&gt;0,Dados!$A757&gt;Imóveis!$E$6),0,1)*Imóveis!$I$6</f>
        <v>0</v>
      </c>
      <c r="N757" s="18">
        <f t="shared" ca="1" si="93"/>
        <v>92757</v>
      </c>
      <c r="O757" s="18">
        <f>SUMIFS(Receitas!$F:$F,Receitas!$J:$J,"&lt;="&amp;$A757,Receitas!$L:$L,"&gt;="&amp;$A757,Receitas!$C:$C,O$1,Receitas!$M:$M,"Mensal")+SUMIFS(Receitas!$F:$F,Receitas!$J:$J,"&lt;="&amp;$A757,Receitas!$L:$L,"&gt;="&amp;$A757,Receitas!$C:$C,O$1,Receitas!$M:$M,$B757)</f>
        <v>0</v>
      </c>
      <c r="P757" s="18">
        <f>SUMIFS(Receitas!$F:$F,Receitas!$J:$J,"&lt;="&amp;$A757,Receitas!$L:$L,"&gt;="&amp;$A757,Receitas!$C:$C,P$1,Receitas!$M:$M,"Mensal")+SUMIFS(Receitas!$F:$F,Receitas!$J:$J,"&lt;="&amp;$A757,Receitas!$L:$L,"&gt;="&amp;$A757,Receitas!$C:$C,P$1,Receitas!$M:$M,$B757)</f>
        <v>0</v>
      </c>
      <c r="Q757" s="18">
        <f>SUMIFS(Receitas!$F:$F,Receitas!$J:$J,"&lt;="&amp;$A757,Receitas!$L:$L,"&gt;="&amp;$A757,Receitas!$C:$C,Q$1,Receitas!$M:$M,"Mensal")+SUMIFS(Receitas!$F:$F,Receitas!$J:$J,"&lt;="&amp;$A757,Receitas!$L:$L,"&gt;="&amp;$A757,Receitas!$C:$C,Q$1,Receitas!$M:$M,$B757)</f>
        <v>0</v>
      </c>
      <c r="R757" s="18" cm="1">
        <f t="array" ref="R757">(IF(AND(Membros!$F$2="Sim",A757&lt;=MAX(Membros!$E$2:$E$5)),Membros!K$2,IF(AND(A757&gt;=Membros!J$2,A757&lt;=MAX(Membros!$E$2:$E$5)),Membros!K$2,0))+IF(AND(Membros!$F$3="Sim",A757&lt;=MAX(Membros!$E$2:$E$5)),Membros!K$3,IF(AND(A757&gt;=Membros!J$3,A757&lt;=MAX(Membros!$E$2:$E$5)),Membros!K$3,0)))*IF(AND(COUNTIFS(Tabela3[Tipo],"Provedor",Tabela3[Simulação Seguro],"Sim")=2,A757&gt;=MAX(IF(Tabela3[Tipo]="Dependente",Tabela3[Expectativa de Vida (Data)]))),0,1)</f>
        <v>10000</v>
      </c>
      <c r="S757" s="18">
        <f t="shared" si="94"/>
        <v>10000</v>
      </c>
      <c r="U757" s="18">
        <f t="shared" ca="1" si="97"/>
        <v>58824283.173062876</v>
      </c>
      <c r="V757" s="18">
        <f>SUMIF(Imóveis!E:E,Dados!A:A,Imóveis!Z:Z)-SUMIF(Imóveis!E:E,Dados!A:A,Imóveis!Y:Y)</f>
        <v>0</v>
      </c>
      <c r="W757" s="18">
        <f>-SUMIF(Projetos!N:N,A757,Projetos!F:F)</f>
        <v>0</v>
      </c>
      <c r="X757" s="18">
        <f t="shared" ca="1" si="91"/>
        <v>-82757</v>
      </c>
      <c r="Y757" s="26">
        <f ca="1">(U757*((Indicadores_Economicos!D$2+1)^(1/12)-1))</f>
        <v>192575.39598299013</v>
      </c>
      <c r="Z757" s="18">
        <f t="shared" ca="1" si="95"/>
        <v>58934101.569045864</v>
      </c>
      <c r="AA757" s="18">
        <f ca="1">Auxiliar_Projetos!E757</f>
        <v>4.6118646433686213E-9</v>
      </c>
      <c r="AB757" s="18">
        <f ca="1">Auxiliar_Projetos!K757</f>
        <v>3.5475881872066236E-9</v>
      </c>
      <c r="AC757" s="18">
        <f ca="1">IF(Z757-AA757-AB757&gt;Investimentos!$C$14,Investimentos!$C$14,IF(Z757-AA757-AB757&lt;Investimentos!$C$14,Z757-AA757-AB757,0))</f>
        <v>300000</v>
      </c>
      <c r="AD757" s="18">
        <f t="shared" ca="1" si="96"/>
        <v>58634101.569045857</v>
      </c>
      <c r="AE757" s="18"/>
    </row>
    <row r="758" spans="1:31" x14ac:dyDescent="0.2">
      <c r="A758" s="4">
        <v>68668</v>
      </c>
      <c r="B758" s="5" t="str">
        <f t="shared" si="92"/>
        <v>janeiro</v>
      </c>
      <c r="C758" s="5" t="str">
        <f t="shared" si="98"/>
        <v>2088</v>
      </c>
      <c r="D758" s="5">
        <f>SUMIFS(Despesas!$F:$F,Despesas!$J:$J,"&lt;="&amp;$A758,Despesas!$L:$L,"&gt;="&amp;$A758,Despesas!$C:$C,D$1,Despesas!$M:$M,"Mensal")+SUMIFS(Despesas!$F:$F,Despesas!$J:$J,"&lt;="&amp;$A758,Despesas!$L:$L,"&gt;="&amp;$A758,Despesas!$C:$C,D$1,Despesas!$M:$M,$B758)</f>
        <v>23000</v>
      </c>
      <c r="E758" s="18">
        <f>SUMIFS(Despesas!$F:$F,Despesas!$J:$J,"&lt;="&amp;$A758,Despesas!$L:$L,"&gt;="&amp;$A758,Despesas!$C:$C,E$1,Despesas!$M:$M,"Mensal")+SUMIFS(Despesas!$F:$F,Despesas!$J:$J,"&lt;="&amp;$A758,Despesas!$L:$L,"&gt;="&amp;$A758,Despesas!$C:$C,E$1,Despesas!$M:$M,$B758)</f>
        <v>0</v>
      </c>
      <c r="F758" s="5">
        <f>SUMIFS(Despesas!$F:$F,Despesas!$J:$J,"&lt;="&amp;$A758,Despesas!$L:$L,"&gt;="&amp;$A758,Despesas!$C:$C,F$1,Despesas!$M:$M,"Mensal")+SUMIFS(Despesas!$F:$F,Despesas!$J:$J,"&lt;="&amp;$A758,Despesas!$L:$L,"&gt;="&amp;$A758,Despesas!$C:$C,F$1,Despesas!$M:$M,$B758)</f>
        <v>13000</v>
      </c>
      <c r="G758" s="5">
        <f>SUMIFS(Despesas!$F:$F,Despesas!$J:$J,"&lt;="&amp;$A758,Despesas!$L:$L,"&gt;="&amp;$A758,Despesas!$C:$C,G$1,Despesas!$M:$M,"Mensal")+SUMIFS(Despesas!$F:$F,Despesas!$J:$J,"&lt;="&amp;$A758,Despesas!$L:$L,"&gt;="&amp;$A758,Despesas!$C:$C,G$1,Despesas!$M:$M,$B758)</f>
        <v>0</v>
      </c>
      <c r="H758" s="18">
        <f>SUMIFS(Despesas!$F:$F,Despesas!$J:$J,"&lt;="&amp;$A758,Despesas!$L:$L,"&gt;="&amp;$A758,Despesas!$C:$C,H$1,Despesas!$M:$M,"Mensal")+SUMIFS(Despesas!$F:$F,Despesas!$J:$J,"&lt;="&amp;$A758,Despesas!$L:$L,"&gt;="&amp;$A758,Despesas!$C:$C,H$1,Despesas!$M:$M,$B758)</f>
        <v>1000</v>
      </c>
      <c r="I758" s="18">
        <f>IF(Imóveis!$F$2="PRICE",IF(AND(Dados!$A758&gt;=Imóveis!$Q$2,Dados!$A758&lt;=Imóveis!$T$2),Imóveis!$U$2,0),IF((IF(AND(Dados!$A758&gt;=Imóveis!$Q$2,Dados!$A758&lt;=Imóveis!$T$2),Imóveis!$S$2-(DATEDIF(Imóveis!$Q$2,Dados!$A758,"m")),0))=0,0,((Imóveis!$N$2/Imóveis!$S$2)+((Imóveis!$N$2-((Imóveis!$S$2-(IF(AND(Dados!$A758&gt;=Imóveis!$Q$2,Dados!$A758&lt;=Imóveis!$T$2),Imóveis!$S$2-(DATEDIF(Imóveis!$Q$2,Dados!$A758,"m")),)))*(Imóveis!$N$2/Imóveis!$S$2)))*Imóveis!$P$2))))*IF(AND(Imóveis!$E$2&gt;0,Dados!$A758&gt;Imóveis!$E$2),0,1)</f>
        <v>0</v>
      </c>
      <c r="J758" s="18">
        <f>IF(Imóveis!$F$3="PRICE",IF(AND(Dados!$A758&gt;=Imóveis!$Q$3,Dados!$A758&lt;=Imóveis!$T$3),Imóveis!$U$3,0),IF((IF(AND(Dados!$A758&gt;=Imóveis!$Q$3,Dados!$A758&lt;=Imóveis!$T$3),Imóveis!$S$3-(DATEDIF(Imóveis!$Q$3,Dados!$A758,"m")),0))=0,0,((Imóveis!$N$3/Imóveis!$S$3)+((Imóveis!$N$3-((Imóveis!$S$3-(IF(AND(Dados!$A758&gt;=Imóveis!$Q$3,Dados!$A758&lt;=Imóveis!$T$3),Imóveis!$S$3-(DATEDIF(Imóveis!$Q$3,Dados!$A758,"m")),)))*(Imóveis!$N$3/Imóveis!$S$3)))*Imóveis!$P$3))))*IF(AND(Imóveis!$E$3&gt;0,Dados!$A758&gt;Imóveis!$E$3),0,1)</f>
        <v>0</v>
      </c>
      <c r="K758" s="18">
        <f>IF(Imóveis!$F$4="PRICE",IF(AND(Dados!$A758&gt;=Imóveis!$Q$4,Dados!$A758&lt;=Imóveis!$T$4),Imóveis!$U$4,0),IF((IF(AND(Dados!$A758&gt;=Imóveis!$Q$4,Dados!$A758&lt;=Imóveis!$T$4),Imóveis!$S$4-(DATEDIF(Imóveis!$Q$4,Dados!$A758,"m")),0))=0,0,((Imóveis!$N$4/Imóveis!$S$4)+((Imóveis!$N$4-((Imóveis!$S$4-(IF(AND(Dados!$A758&gt;=Imóveis!$Q$4,Dados!$A758&lt;=Imóveis!$T$4),Imóveis!$S$4-(DATEDIF(Imóveis!$Q$4,Dados!$A758,"m")),)))*(Imóveis!$N$4/Imóveis!$S$4)))*Imóveis!$P$4))))*IF(AND(Imóveis!$E$4&gt;0,Dados!$A758&gt;Imóveis!$E$4),0,1)</f>
        <v>0</v>
      </c>
      <c r="L758" s="18">
        <f>IF(Imóveis!$F$5="PRICE",IF(AND(Dados!$A758&gt;=Imóveis!$Q$5,Dados!$A758&lt;=Imóveis!$T$5),Imóveis!$U$5,0),IF((IF(AND(Dados!$A758&gt;=Imóveis!$Q$5,Dados!$A758&lt;=Imóveis!$T$5),Imóveis!$S$5-(DATEDIF(Imóveis!$Q$5,Dados!$A758,"m")),0))=0,0,((Imóveis!$N$5/Imóveis!$S$5)+((Imóveis!$N$5-((Imóveis!$S$5-(IF(AND(Dados!$A758 &gt;=Imóveis!$Q$5,Dados!$A758&lt;=Imóveis!$T$5),Imóveis!$S$5-(DATEDIF(Imóveis!$Q$5,Dados!$A758,"m")),)))*(Imóveis!$N$5/Imóveis!$S$5)))*Imóveis!$P$5))))*IF(AND(Imóveis!$E$5&gt;0,Dados!$A758&gt;Imóveis!$E$5),0,1)*Imóveis!$I$5</f>
        <v>0</v>
      </c>
      <c r="M758" s="18">
        <f>IF(Imóveis!$F$6="PRICE",IF(AND(Dados!$A758&gt;=Imóveis!$Q$6,Dados!$A758&lt;=Imóveis!$T$6),Imóveis!$U$6,0),IF((IF(AND(Dados!$A758&gt;=Imóveis!$Q$6,Dados!$A758&lt;=Imóveis!$T$6),Imóveis!$S$6-(DATEDIF(Imóveis!$Q$6,Dados!$A758,"m")),0))=0,0,((Imóveis!$N$6/Imóveis!$S$6)+((Imóveis!$N$6-((Imóveis!$S$6-(IF(AND(Dados!$A758&gt;=Imóveis!$Q$6,Dados!$A758&lt;=Imóveis!$T$6),Imóveis!$S$6-(DATEDIF(Imóveis!$Q$6,Dados!$A758,"m")),)))*(Imóveis!$N$6/Imóveis!$S$6)))*Imóveis!$P$6))))*IF(AND(Imóveis!$E$6&gt;0,Dados!$A758&gt;Imóveis!$E$6),0,1)*Imóveis!$I$6</f>
        <v>0</v>
      </c>
      <c r="N758" s="18">
        <f t="shared" si="93"/>
        <v>37000</v>
      </c>
      <c r="O758" s="18">
        <f>SUMIFS(Receitas!$F:$F,Receitas!$J:$J,"&lt;="&amp;$A758,Receitas!$L:$L,"&gt;="&amp;$A758,Receitas!$C:$C,O$1,Receitas!$M:$M,"Mensal")+SUMIFS(Receitas!$F:$F,Receitas!$J:$J,"&lt;="&amp;$A758,Receitas!$L:$L,"&gt;="&amp;$A758,Receitas!$C:$C,O$1,Receitas!$M:$M,$B758)</f>
        <v>0</v>
      </c>
      <c r="P758" s="18">
        <f>SUMIFS(Receitas!$F:$F,Receitas!$J:$J,"&lt;="&amp;$A758,Receitas!$L:$L,"&gt;="&amp;$A758,Receitas!$C:$C,P$1,Receitas!$M:$M,"Mensal")+SUMIFS(Receitas!$F:$F,Receitas!$J:$J,"&lt;="&amp;$A758,Receitas!$L:$L,"&gt;="&amp;$A758,Receitas!$C:$C,P$1,Receitas!$M:$M,$B758)</f>
        <v>0</v>
      </c>
      <c r="Q758" s="18">
        <f>SUMIFS(Receitas!$F:$F,Receitas!$J:$J,"&lt;="&amp;$A758,Receitas!$L:$L,"&gt;="&amp;$A758,Receitas!$C:$C,Q$1,Receitas!$M:$M,"Mensal")+SUMIFS(Receitas!$F:$F,Receitas!$J:$J,"&lt;="&amp;$A758,Receitas!$L:$L,"&gt;="&amp;$A758,Receitas!$C:$C,Q$1,Receitas!$M:$M,$B758)</f>
        <v>0</v>
      </c>
      <c r="R758" s="18" cm="1">
        <f t="array" ref="R758">(IF(AND(Membros!$F$2="Sim",A758&lt;=MAX(Membros!$E$2:$E$5)),Membros!K$2,IF(AND(A758&gt;=Membros!J$2,A758&lt;=MAX(Membros!$E$2:$E$5)),Membros!K$2,0))+IF(AND(Membros!$F$3="Sim",A758&lt;=MAX(Membros!$E$2:$E$5)),Membros!K$3,IF(AND(A758&gt;=Membros!J$3,A758&lt;=MAX(Membros!$E$2:$E$5)),Membros!K$3,0)))*IF(AND(COUNTIFS(Tabela3[Tipo],"Provedor",Tabela3[Simulação Seguro],"Sim")=2,A758&gt;=MAX(IF(Tabela3[Tipo]="Dependente",Tabela3[Expectativa de Vida (Data)]))),0,1)</f>
        <v>10000</v>
      </c>
      <c r="S758" s="18">
        <f t="shared" si="94"/>
        <v>10000</v>
      </c>
      <c r="U758" s="18">
        <f t="shared" ca="1" si="97"/>
        <v>58934101.569045864</v>
      </c>
      <c r="V758" s="18">
        <f>SUMIF(Imóveis!E:E,Dados!A:A,Imóveis!Z:Z)-SUMIF(Imóveis!E:E,Dados!A:A,Imóveis!Y:Y)</f>
        <v>0</v>
      </c>
      <c r="W758" s="18">
        <f>-SUMIF(Projetos!N:N,A758,Projetos!F:F)</f>
        <v>0</v>
      </c>
      <c r="X758" s="18">
        <f t="shared" si="91"/>
        <v>-27000</v>
      </c>
      <c r="Y758" s="26">
        <f ca="1">(U758*((Indicadores_Economicos!D$2+1)^(1/12)-1))</f>
        <v>192934.9128347369</v>
      </c>
      <c r="Z758" s="18">
        <f t="shared" ca="1" si="95"/>
        <v>59100036.481880598</v>
      </c>
      <c r="AA758" s="18">
        <f ca="1">Auxiliar_Projetos!E758</f>
        <v>4.6269626881217339E-9</v>
      </c>
      <c r="AB758" s="18">
        <f ca="1">Auxiliar_Projetos!K758</f>
        <v>3.5592020677859409E-9</v>
      </c>
      <c r="AC758" s="18">
        <f ca="1">IF(Z758-AA758-AB758&gt;Investimentos!$C$14,Investimentos!$C$14,IF(Z758-AA758-AB758&lt;Investimentos!$C$14,Z758-AA758-AB758,0))</f>
        <v>300000</v>
      </c>
      <c r="AD758" s="18">
        <f t="shared" ca="1" si="96"/>
        <v>58800036.48188059</v>
      </c>
      <c r="AE758" s="18"/>
    </row>
    <row r="759" spans="1:31" x14ac:dyDescent="0.2">
      <c r="A759" s="4">
        <v>68699</v>
      </c>
      <c r="B759" s="5" t="str">
        <f t="shared" si="92"/>
        <v>fevereiro</v>
      </c>
      <c r="C759" s="5" t="str">
        <f t="shared" si="98"/>
        <v>2088</v>
      </c>
      <c r="D759" s="5">
        <f>SUMIFS(Despesas!$F:$F,Despesas!$J:$J,"&lt;="&amp;$A759,Despesas!$L:$L,"&gt;="&amp;$A759,Despesas!$C:$C,D$1,Despesas!$M:$M,"Mensal")+SUMIFS(Despesas!$F:$F,Despesas!$J:$J,"&lt;="&amp;$A759,Despesas!$L:$L,"&gt;="&amp;$A759,Despesas!$C:$C,D$1,Despesas!$M:$M,$B759)</f>
        <v>23000</v>
      </c>
      <c r="E759" s="18">
        <f>SUMIFS(Despesas!$F:$F,Despesas!$J:$J,"&lt;="&amp;$A759,Despesas!$L:$L,"&gt;="&amp;$A759,Despesas!$C:$C,E$1,Despesas!$M:$M,"Mensal")+SUMIFS(Despesas!$F:$F,Despesas!$J:$J,"&lt;="&amp;$A759,Despesas!$L:$L,"&gt;="&amp;$A759,Despesas!$C:$C,E$1,Despesas!$M:$M,$B759)</f>
        <v>0</v>
      </c>
      <c r="F759" s="5">
        <f>SUMIFS(Despesas!$F:$F,Despesas!$J:$J,"&lt;="&amp;$A759,Despesas!$L:$L,"&gt;="&amp;$A759,Despesas!$C:$C,F$1,Despesas!$M:$M,"Mensal")+SUMIFS(Despesas!$F:$F,Despesas!$J:$J,"&lt;="&amp;$A759,Despesas!$L:$L,"&gt;="&amp;$A759,Despesas!$C:$C,F$1,Despesas!$M:$M,$B759)</f>
        <v>13000</v>
      </c>
      <c r="G759" s="5">
        <f>SUMIFS(Despesas!$F:$F,Despesas!$J:$J,"&lt;="&amp;$A759,Despesas!$L:$L,"&gt;="&amp;$A759,Despesas!$C:$C,G$1,Despesas!$M:$M,"Mensal")+SUMIFS(Despesas!$F:$F,Despesas!$J:$J,"&lt;="&amp;$A759,Despesas!$L:$L,"&gt;="&amp;$A759,Despesas!$C:$C,G$1,Despesas!$M:$M,$B759)</f>
        <v>0</v>
      </c>
      <c r="H759" s="18">
        <f>SUMIFS(Despesas!$F:$F,Despesas!$J:$J,"&lt;="&amp;$A759,Despesas!$L:$L,"&gt;="&amp;$A759,Despesas!$C:$C,H$1,Despesas!$M:$M,"Mensal")+SUMIFS(Despesas!$F:$F,Despesas!$J:$J,"&lt;="&amp;$A759,Despesas!$L:$L,"&gt;="&amp;$A759,Despesas!$C:$C,H$1,Despesas!$M:$M,$B759)</f>
        <v>2200</v>
      </c>
      <c r="I759" s="18">
        <f>IF(Imóveis!$F$2="PRICE",IF(AND(Dados!$A759&gt;=Imóveis!$Q$2,Dados!$A759&lt;=Imóveis!$T$2),Imóveis!$U$2,0),IF((IF(AND(Dados!$A759&gt;=Imóveis!$Q$2,Dados!$A759&lt;=Imóveis!$T$2),Imóveis!$S$2-(DATEDIF(Imóveis!$Q$2,Dados!$A759,"m")),0))=0,0,((Imóveis!$N$2/Imóveis!$S$2)+((Imóveis!$N$2-((Imóveis!$S$2-(IF(AND(Dados!$A759&gt;=Imóveis!$Q$2,Dados!$A759&lt;=Imóveis!$T$2),Imóveis!$S$2-(DATEDIF(Imóveis!$Q$2,Dados!$A759,"m")),)))*(Imóveis!$N$2/Imóveis!$S$2)))*Imóveis!$P$2))))*IF(AND(Imóveis!$E$2&gt;0,Dados!$A759&gt;Imóveis!$E$2),0,1)</f>
        <v>0</v>
      </c>
      <c r="J759" s="18">
        <f>IF(Imóveis!$F$3="PRICE",IF(AND(Dados!$A759&gt;=Imóveis!$Q$3,Dados!$A759&lt;=Imóveis!$T$3),Imóveis!$U$3,0),IF((IF(AND(Dados!$A759&gt;=Imóveis!$Q$3,Dados!$A759&lt;=Imóveis!$T$3),Imóveis!$S$3-(DATEDIF(Imóveis!$Q$3,Dados!$A759,"m")),0))=0,0,((Imóveis!$N$3/Imóveis!$S$3)+((Imóveis!$N$3-((Imóveis!$S$3-(IF(AND(Dados!$A759&gt;=Imóveis!$Q$3,Dados!$A759&lt;=Imóveis!$T$3),Imóveis!$S$3-(DATEDIF(Imóveis!$Q$3,Dados!$A759,"m")),)))*(Imóveis!$N$3/Imóveis!$S$3)))*Imóveis!$P$3))))*IF(AND(Imóveis!$E$3&gt;0,Dados!$A759&gt;Imóveis!$E$3),0,1)</f>
        <v>0</v>
      </c>
      <c r="K759" s="18">
        <f>IF(Imóveis!$F$4="PRICE",IF(AND(Dados!$A759&gt;=Imóveis!$Q$4,Dados!$A759&lt;=Imóveis!$T$4),Imóveis!$U$4,0),IF((IF(AND(Dados!$A759&gt;=Imóveis!$Q$4,Dados!$A759&lt;=Imóveis!$T$4),Imóveis!$S$4-(DATEDIF(Imóveis!$Q$4,Dados!$A759,"m")),0))=0,0,((Imóveis!$N$4/Imóveis!$S$4)+((Imóveis!$N$4-((Imóveis!$S$4-(IF(AND(Dados!$A759&gt;=Imóveis!$Q$4,Dados!$A759&lt;=Imóveis!$T$4),Imóveis!$S$4-(DATEDIF(Imóveis!$Q$4,Dados!$A759,"m")),)))*(Imóveis!$N$4/Imóveis!$S$4)))*Imóveis!$P$4))))*IF(AND(Imóveis!$E$4&gt;0,Dados!$A759&gt;Imóveis!$E$4),0,1)</f>
        <v>0</v>
      </c>
      <c r="L759" s="18">
        <f>IF(Imóveis!$F$5="PRICE",IF(AND(Dados!$A759&gt;=Imóveis!$Q$5,Dados!$A759&lt;=Imóveis!$T$5),Imóveis!$U$5,0),IF((IF(AND(Dados!$A759&gt;=Imóveis!$Q$5,Dados!$A759&lt;=Imóveis!$T$5),Imóveis!$S$5-(DATEDIF(Imóveis!$Q$5,Dados!$A759,"m")),0))=0,0,((Imóveis!$N$5/Imóveis!$S$5)+((Imóveis!$N$5-((Imóveis!$S$5-(IF(AND(Dados!$A759 &gt;=Imóveis!$Q$5,Dados!$A759&lt;=Imóveis!$T$5),Imóveis!$S$5-(DATEDIF(Imóveis!$Q$5,Dados!$A759,"m")),)))*(Imóveis!$N$5/Imóveis!$S$5)))*Imóveis!$P$5))))*IF(AND(Imóveis!$E$5&gt;0,Dados!$A759&gt;Imóveis!$E$5),0,1)*Imóveis!$I$5</f>
        <v>0</v>
      </c>
      <c r="M759" s="18">
        <f>IF(Imóveis!$F$6="PRICE",IF(AND(Dados!$A759&gt;=Imóveis!$Q$6,Dados!$A759&lt;=Imóveis!$T$6),Imóveis!$U$6,0),IF((IF(AND(Dados!$A759&gt;=Imóveis!$Q$6,Dados!$A759&lt;=Imóveis!$T$6),Imóveis!$S$6-(DATEDIF(Imóveis!$Q$6,Dados!$A759,"m")),0))=0,0,((Imóveis!$N$6/Imóveis!$S$6)+((Imóveis!$N$6-((Imóveis!$S$6-(IF(AND(Dados!$A759&gt;=Imóveis!$Q$6,Dados!$A759&lt;=Imóveis!$T$6),Imóveis!$S$6-(DATEDIF(Imóveis!$Q$6,Dados!$A759,"m")),)))*(Imóveis!$N$6/Imóveis!$S$6)))*Imóveis!$P$6))))*IF(AND(Imóveis!$E$6&gt;0,Dados!$A759&gt;Imóveis!$E$6),0,1)*Imóveis!$I$6</f>
        <v>0</v>
      </c>
      <c r="N759" s="18">
        <f t="shared" si="93"/>
        <v>38200</v>
      </c>
      <c r="O759" s="18">
        <f>SUMIFS(Receitas!$F:$F,Receitas!$J:$J,"&lt;="&amp;$A759,Receitas!$L:$L,"&gt;="&amp;$A759,Receitas!$C:$C,O$1,Receitas!$M:$M,"Mensal")+SUMIFS(Receitas!$F:$F,Receitas!$J:$J,"&lt;="&amp;$A759,Receitas!$L:$L,"&gt;="&amp;$A759,Receitas!$C:$C,O$1,Receitas!$M:$M,$B759)</f>
        <v>0</v>
      </c>
      <c r="P759" s="18">
        <f>SUMIFS(Receitas!$F:$F,Receitas!$J:$J,"&lt;="&amp;$A759,Receitas!$L:$L,"&gt;="&amp;$A759,Receitas!$C:$C,P$1,Receitas!$M:$M,"Mensal")+SUMIFS(Receitas!$F:$F,Receitas!$J:$J,"&lt;="&amp;$A759,Receitas!$L:$L,"&gt;="&amp;$A759,Receitas!$C:$C,P$1,Receitas!$M:$M,$B759)</f>
        <v>0</v>
      </c>
      <c r="Q759" s="18">
        <f>SUMIFS(Receitas!$F:$F,Receitas!$J:$J,"&lt;="&amp;$A759,Receitas!$L:$L,"&gt;="&amp;$A759,Receitas!$C:$C,Q$1,Receitas!$M:$M,"Mensal")+SUMIFS(Receitas!$F:$F,Receitas!$J:$J,"&lt;="&amp;$A759,Receitas!$L:$L,"&gt;="&amp;$A759,Receitas!$C:$C,Q$1,Receitas!$M:$M,$B759)</f>
        <v>0</v>
      </c>
      <c r="R759" s="18" cm="1">
        <f t="array" ref="R759">(IF(AND(Membros!$F$2="Sim",A759&lt;=MAX(Membros!$E$2:$E$5)),Membros!K$2,IF(AND(A759&gt;=Membros!J$2,A759&lt;=MAX(Membros!$E$2:$E$5)),Membros!K$2,0))+IF(AND(Membros!$F$3="Sim",A759&lt;=MAX(Membros!$E$2:$E$5)),Membros!K$3,IF(AND(A759&gt;=Membros!J$3,A759&lt;=MAX(Membros!$E$2:$E$5)),Membros!K$3,0)))*IF(AND(COUNTIFS(Tabela3[Tipo],"Provedor",Tabela3[Simulação Seguro],"Sim")=2,A759&gt;=MAX(IF(Tabela3[Tipo]="Dependente",Tabela3[Expectativa de Vida (Data)]))),0,1)</f>
        <v>10000</v>
      </c>
      <c r="S759" s="18">
        <f t="shared" si="94"/>
        <v>10000</v>
      </c>
      <c r="U759" s="18">
        <f t="shared" ca="1" si="97"/>
        <v>59100036.481880598</v>
      </c>
      <c r="V759" s="18">
        <f>SUMIF(Imóveis!E:E,Dados!A:A,Imóveis!Z:Z)-SUMIF(Imóveis!E:E,Dados!A:A,Imóveis!Y:Y)</f>
        <v>0</v>
      </c>
      <c r="W759" s="18">
        <f>-SUMIF(Projetos!N:N,A759,Projetos!F:F)</f>
        <v>0</v>
      </c>
      <c r="X759" s="18">
        <f t="shared" si="91"/>
        <v>-28200</v>
      </c>
      <c r="Y759" s="26">
        <f ca="1">(U759*((Indicadores_Economicos!D$2+1)^(1/12)-1))</f>
        <v>193478.1405601397</v>
      </c>
      <c r="Z759" s="18">
        <f t="shared" ca="1" si="95"/>
        <v>59265314.62244074</v>
      </c>
      <c r="AA759" s="18">
        <f ca="1">Auxiliar_Projetos!E759</f>
        <v>4.6421101599445877E-9</v>
      </c>
      <c r="AB759" s="18">
        <f ca="1">Auxiliar_Projetos!K759</f>
        <v>3.5708539691881363E-9</v>
      </c>
      <c r="AC759" s="18">
        <f ca="1">IF(Z759-AA759-AB759&gt;Investimentos!$C$14,Investimentos!$C$14,IF(Z759-AA759-AB759&lt;Investimentos!$C$14,Z759-AA759-AB759,0))</f>
        <v>300000</v>
      </c>
      <c r="AD759" s="18">
        <f t="shared" ca="1" si="96"/>
        <v>58965314.622440733</v>
      </c>
      <c r="AE759" s="18"/>
    </row>
    <row r="760" spans="1:31" x14ac:dyDescent="0.2">
      <c r="A760" s="4">
        <v>68728</v>
      </c>
      <c r="B760" s="5" t="str">
        <f t="shared" si="92"/>
        <v>março</v>
      </c>
      <c r="C760" s="5" t="str">
        <f t="shared" si="98"/>
        <v>2088</v>
      </c>
      <c r="D760" s="5">
        <f>SUMIFS(Despesas!$F:$F,Despesas!$J:$J,"&lt;="&amp;$A760,Despesas!$L:$L,"&gt;="&amp;$A760,Despesas!$C:$C,D$1,Despesas!$M:$M,"Mensal")+SUMIFS(Despesas!$F:$F,Despesas!$J:$J,"&lt;="&amp;$A760,Despesas!$L:$L,"&gt;="&amp;$A760,Despesas!$C:$C,D$1,Despesas!$M:$M,$B760)</f>
        <v>23000</v>
      </c>
      <c r="E760" s="18">
        <f>SUMIFS(Despesas!$F:$F,Despesas!$J:$J,"&lt;="&amp;$A760,Despesas!$L:$L,"&gt;="&amp;$A760,Despesas!$C:$C,E$1,Despesas!$M:$M,"Mensal")+SUMIFS(Despesas!$F:$F,Despesas!$J:$J,"&lt;="&amp;$A760,Despesas!$L:$L,"&gt;="&amp;$A760,Despesas!$C:$C,E$1,Despesas!$M:$M,$B760)</f>
        <v>0</v>
      </c>
      <c r="F760" s="5">
        <f>SUMIFS(Despesas!$F:$F,Despesas!$J:$J,"&lt;="&amp;$A760,Despesas!$L:$L,"&gt;="&amp;$A760,Despesas!$C:$C,F$1,Despesas!$M:$M,"Mensal")+SUMIFS(Despesas!$F:$F,Despesas!$J:$J,"&lt;="&amp;$A760,Despesas!$L:$L,"&gt;="&amp;$A760,Despesas!$C:$C,F$1,Despesas!$M:$M,$B760)</f>
        <v>13000</v>
      </c>
      <c r="G760" s="5">
        <f>SUMIFS(Despesas!$F:$F,Despesas!$J:$J,"&lt;="&amp;$A760,Despesas!$L:$L,"&gt;="&amp;$A760,Despesas!$C:$C,G$1,Despesas!$M:$M,"Mensal")+SUMIFS(Despesas!$F:$F,Despesas!$J:$J,"&lt;="&amp;$A760,Despesas!$L:$L,"&gt;="&amp;$A760,Despesas!$C:$C,G$1,Despesas!$M:$M,$B760)</f>
        <v>0</v>
      </c>
      <c r="H760" s="18">
        <f>SUMIFS(Despesas!$F:$F,Despesas!$J:$J,"&lt;="&amp;$A760,Despesas!$L:$L,"&gt;="&amp;$A760,Despesas!$C:$C,H$1,Despesas!$M:$M,"Mensal")+SUMIFS(Despesas!$F:$F,Despesas!$J:$J,"&lt;="&amp;$A760,Despesas!$L:$L,"&gt;="&amp;$A760,Despesas!$C:$C,H$1,Despesas!$M:$M,$B760)</f>
        <v>1000</v>
      </c>
      <c r="I760" s="18">
        <f>IF(Imóveis!$F$2="PRICE",IF(AND(Dados!$A760&gt;=Imóveis!$Q$2,Dados!$A760&lt;=Imóveis!$T$2),Imóveis!$U$2,0),IF((IF(AND(Dados!$A760&gt;=Imóveis!$Q$2,Dados!$A760&lt;=Imóveis!$T$2),Imóveis!$S$2-(DATEDIF(Imóveis!$Q$2,Dados!$A760,"m")),0))=0,0,((Imóveis!$N$2/Imóveis!$S$2)+((Imóveis!$N$2-((Imóveis!$S$2-(IF(AND(Dados!$A760&gt;=Imóveis!$Q$2,Dados!$A760&lt;=Imóveis!$T$2),Imóveis!$S$2-(DATEDIF(Imóveis!$Q$2,Dados!$A760,"m")),)))*(Imóveis!$N$2/Imóveis!$S$2)))*Imóveis!$P$2))))*IF(AND(Imóveis!$E$2&gt;0,Dados!$A760&gt;Imóveis!$E$2),0,1)</f>
        <v>0</v>
      </c>
      <c r="J760" s="18">
        <f>IF(Imóveis!$F$3="PRICE",IF(AND(Dados!$A760&gt;=Imóveis!$Q$3,Dados!$A760&lt;=Imóveis!$T$3),Imóveis!$U$3,0),IF((IF(AND(Dados!$A760&gt;=Imóveis!$Q$3,Dados!$A760&lt;=Imóveis!$T$3),Imóveis!$S$3-(DATEDIF(Imóveis!$Q$3,Dados!$A760,"m")),0))=0,0,((Imóveis!$N$3/Imóveis!$S$3)+((Imóveis!$N$3-((Imóveis!$S$3-(IF(AND(Dados!$A760&gt;=Imóveis!$Q$3,Dados!$A760&lt;=Imóveis!$T$3),Imóveis!$S$3-(DATEDIF(Imóveis!$Q$3,Dados!$A760,"m")),)))*(Imóveis!$N$3/Imóveis!$S$3)))*Imóveis!$P$3))))*IF(AND(Imóveis!$E$3&gt;0,Dados!$A760&gt;Imóveis!$E$3),0,1)</f>
        <v>0</v>
      </c>
      <c r="K760" s="18">
        <f>IF(Imóveis!$F$4="PRICE",IF(AND(Dados!$A760&gt;=Imóveis!$Q$4,Dados!$A760&lt;=Imóveis!$T$4),Imóveis!$U$4,0),IF((IF(AND(Dados!$A760&gt;=Imóveis!$Q$4,Dados!$A760&lt;=Imóveis!$T$4),Imóveis!$S$4-(DATEDIF(Imóveis!$Q$4,Dados!$A760,"m")),0))=0,0,((Imóveis!$N$4/Imóveis!$S$4)+((Imóveis!$N$4-((Imóveis!$S$4-(IF(AND(Dados!$A760&gt;=Imóveis!$Q$4,Dados!$A760&lt;=Imóveis!$T$4),Imóveis!$S$4-(DATEDIF(Imóveis!$Q$4,Dados!$A760,"m")),)))*(Imóveis!$N$4/Imóveis!$S$4)))*Imóveis!$P$4))))*IF(AND(Imóveis!$E$4&gt;0,Dados!$A760&gt;Imóveis!$E$4),0,1)</f>
        <v>0</v>
      </c>
      <c r="L760" s="18">
        <f>IF(Imóveis!$F$5="PRICE",IF(AND(Dados!$A760&gt;=Imóveis!$Q$5,Dados!$A760&lt;=Imóveis!$T$5),Imóveis!$U$5,0),IF((IF(AND(Dados!$A760&gt;=Imóveis!$Q$5,Dados!$A760&lt;=Imóveis!$T$5),Imóveis!$S$5-(DATEDIF(Imóveis!$Q$5,Dados!$A760,"m")),0))=0,0,((Imóveis!$N$5/Imóveis!$S$5)+((Imóveis!$N$5-((Imóveis!$S$5-(IF(AND(Dados!$A760 &gt;=Imóveis!$Q$5,Dados!$A760&lt;=Imóveis!$T$5),Imóveis!$S$5-(DATEDIF(Imóveis!$Q$5,Dados!$A760,"m")),)))*(Imóveis!$N$5/Imóveis!$S$5)))*Imóveis!$P$5))))*IF(AND(Imóveis!$E$5&gt;0,Dados!$A760&gt;Imóveis!$E$5),0,1)*Imóveis!$I$5</f>
        <v>0</v>
      </c>
      <c r="M760" s="18">
        <f>IF(Imóveis!$F$6="PRICE",IF(AND(Dados!$A760&gt;=Imóveis!$Q$6,Dados!$A760&lt;=Imóveis!$T$6),Imóveis!$U$6,0),IF((IF(AND(Dados!$A760&gt;=Imóveis!$Q$6,Dados!$A760&lt;=Imóveis!$T$6),Imóveis!$S$6-(DATEDIF(Imóveis!$Q$6,Dados!$A760,"m")),0))=0,0,((Imóveis!$N$6/Imóveis!$S$6)+((Imóveis!$N$6-((Imóveis!$S$6-(IF(AND(Dados!$A760&gt;=Imóveis!$Q$6,Dados!$A760&lt;=Imóveis!$T$6),Imóveis!$S$6-(DATEDIF(Imóveis!$Q$6,Dados!$A760,"m")),)))*(Imóveis!$N$6/Imóveis!$S$6)))*Imóveis!$P$6))))*IF(AND(Imóveis!$E$6&gt;0,Dados!$A760&gt;Imóveis!$E$6),0,1)*Imóveis!$I$6</f>
        <v>0</v>
      </c>
      <c r="N760" s="18">
        <f t="shared" si="93"/>
        <v>37000</v>
      </c>
      <c r="O760" s="18">
        <f>SUMIFS(Receitas!$F:$F,Receitas!$J:$J,"&lt;="&amp;$A760,Receitas!$L:$L,"&gt;="&amp;$A760,Receitas!$C:$C,O$1,Receitas!$M:$M,"Mensal")+SUMIFS(Receitas!$F:$F,Receitas!$J:$J,"&lt;="&amp;$A760,Receitas!$L:$L,"&gt;="&amp;$A760,Receitas!$C:$C,O$1,Receitas!$M:$M,$B760)</f>
        <v>0</v>
      </c>
      <c r="P760" s="18">
        <f>SUMIFS(Receitas!$F:$F,Receitas!$J:$J,"&lt;="&amp;$A760,Receitas!$L:$L,"&gt;="&amp;$A760,Receitas!$C:$C,P$1,Receitas!$M:$M,"Mensal")+SUMIFS(Receitas!$F:$F,Receitas!$J:$J,"&lt;="&amp;$A760,Receitas!$L:$L,"&gt;="&amp;$A760,Receitas!$C:$C,P$1,Receitas!$M:$M,$B760)</f>
        <v>0</v>
      </c>
      <c r="Q760" s="18">
        <f>SUMIFS(Receitas!$F:$F,Receitas!$J:$J,"&lt;="&amp;$A760,Receitas!$L:$L,"&gt;="&amp;$A760,Receitas!$C:$C,Q$1,Receitas!$M:$M,"Mensal")+SUMIFS(Receitas!$F:$F,Receitas!$J:$J,"&lt;="&amp;$A760,Receitas!$L:$L,"&gt;="&amp;$A760,Receitas!$C:$C,Q$1,Receitas!$M:$M,$B760)</f>
        <v>0</v>
      </c>
      <c r="R760" s="18" cm="1">
        <f t="array" ref="R760">(IF(AND(Membros!$F$2="Sim",A760&lt;=MAX(Membros!$E$2:$E$5)),Membros!K$2,IF(AND(A760&gt;=Membros!J$2,A760&lt;=MAX(Membros!$E$2:$E$5)),Membros!K$2,0))+IF(AND(Membros!$F$3="Sim",A760&lt;=MAX(Membros!$E$2:$E$5)),Membros!K$3,IF(AND(A760&gt;=Membros!J$3,A760&lt;=MAX(Membros!$E$2:$E$5)),Membros!K$3,0)))*IF(AND(COUNTIFS(Tabela3[Tipo],"Provedor",Tabela3[Simulação Seguro],"Sim")=2,A760&gt;=MAX(IF(Tabela3[Tipo]="Dependente",Tabela3[Expectativa de Vida (Data)]))),0,1)</f>
        <v>10000</v>
      </c>
      <c r="S760" s="18">
        <f t="shared" si="94"/>
        <v>10000</v>
      </c>
      <c r="U760" s="18">
        <f t="shared" ca="1" si="97"/>
        <v>59265314.62244074</v>
      </c>
      <c r="V760" s="18">
        <f>SUMIF(Imóveis!E:E,Dados!A:A,Imóveis!Z:Z)-SUMIF(Imóveis!E:E,Dados!A:A,Imóveis!Y:Y)</f>
        <v>0</v>
      </c>
      <c r="W760" s="18">
        <f>-SUMIF(Projetos!N:N,A760,Projetos!F:F)</f>
        <v>0</v>
      </c>
      <c r="X760" s="18">
        <f t="shared" si="91"/>
        <v>-27000</v>
      </c>
      <c r="Y760" s="26">
        <f ca="1">(U760*((Indicadores_Economicos!D$2+1)^(1/12)-1))</f>
        <v>194019.21818401929</v>
      </c>
      <c r="Z760" s="18">
        <f t="shared" ca="1" si="95"/>
        <v>59432333.840624757</v>
      </c>
      <c r="AA760" s="18">
        <f ca="1">Auxiliar_Projetos!E760</f>
        <v>4.6573072206485484E-9</v>
      </c>
      <c r="AB760" s="18">
        <f ca="1">Auxiliar_Projetos!K760</f>
        <v>3.5825440158834902E-9</v>
      </c>
      <c r="AC760" s="18">
        <f ca="1">IF(Z760-AA760-AB760&gt;Investimentos!$C$14,Investimentos!$C$14,IF(Z760-AA760-AB760&lt;Investimentos!$C$14,Z760-AA760-AB760,0))</f>
        <v>300000</v>
      </c>
      <c r="AD760" s="18">
        <f t="shared" ca="1" si="96"/>
        <v>59132333.84062475</v>
      </c>
      <c r="AE760" s="18"/>
    </row>
    <row r="761" spans="1:31" x14ac:dyDescent="0.2">
      <c r="A761" s="4">
        <v>68759</v>
      </c>
      <c r="B761" s="5" t="str">
        <f t="shared" si="92"/>
        <v>abril</v>
      </c>
      <c r="C761" s="5" t="str">
        <f t="shared" si="98"/>
        <v>2088</v>
      </c>
      <c r="D761" s="5">
        <f>SUMIFS(Despesas!$F:$F,Despesas!$J:$J,"&lt;="&amp;$A761,Despesas!$L:$L,"&gt;="&amp;$A761,Despesas!$C:$C,D$1,Despesas!$M:$M,"Mensal")+SUMIFS(Despesas!$F:$F,Despesas!$J:$J,"&lt;="&amp;$A761,Despesas!$L:$L,"&gt;="&amp;$A761,Despesas!$C:$C,D$1,Despesas!$M:$M,$B761)</f>
        <v>23000</v>
      </c>
      <c r="E761" s="18">
        <f>SUMIFS(Despesas!$F:$F,Despesas!$J:$J,"&lt;="&amp;$A761,Despesas!$L:$L,"&gt;="&amp;$A761,Despesas!$C:$C,E$1,Despesas!$M:$M,"Mensal")+SUMIFS(Despesas!$F:$F,Despesas!$J:$J,"&lt;="&amp;$A761,Despesas!$L:$L,"&gt;="&amp;$A761,Despesas!$C:$C,E$1,Despesas!$M:$M,$B761)</f>
        <v>0</v>
      </c>
      <c r="F761" s="5">
        <f>SUMIFS(Despesas!$F:$F,Despesas!$J:$J,"&lt;="&amp;$A761,Despesas!$L:$L,"&gt;="&amp;$A761,Despesas!$C:$C,F$1,Despesas!$M:$M,"Mensal")+SUMIFS(Despesas!$F:$F,Despesas!$J:$J,"&lt;="&amp;$A761,Despesas!$L:$L,"&gt;="&amp;$A761,Despesas!$C:$C,F$1,Despesas!$M:$M,$B761)</f>
        <v>13000</v>
      </c>
      <c r="G761" s="5">
        <f>SUMIFS(Despesas!$F:$F,Despesas!$J:$J,"&lt;="&amp;$A761,Despesas!$L:$L,"&gt;="&amp;$A761,Despesas!$C:$C,G$1,Despesas!$M:$M,"Mensal")+SUMIFS(Despesas!$F:$F,Despesas!$J:$J,"&lt;="&amp;$A761,Despesas!$L:$L,"&gt;="&amp;$A761,Despesas!$C:$C,G$1,Despesas!$M:$M,$B761)</f>
        <v>0</v>
      </c>
      <c r="H761" s="18">
        <f>SUMIFS(Despesas!$F:$F,Despesas!$J:$J,"&lt;="&amp;$A761,Despesas!$L:$L,"&gt;="&amp;$A761,Despesas!$C:$C,H$1,Despesas!$M:$M,"Mensal")+SUMIFS(Despesas!$F:$F,Despesas!$J:$J,"&lt;="&amp;$A761,Despesas!$L:$L,"&gt;="&amp;$A761,Despesas!$C:$C,H$1,Despesas!$M:$M,$B761)</f>
        <v>1000</v>
      </c>
      <c r="I761" s="18">
        <f>IF(Imóveis!$F$2="PRICE",IF(AND(Dados!$A761&gt;=Imóveis!$Q$2,Dados!$A761&lt;=Imóveis!$T$2),Imóveis!$U$2,0),IF((IF(AND(Dados!$A761&gt;=Imóveis!$Q$2,Dados!$A761&lt;=Imóveis!$T$2),Imóveis!$S$2-(DATEDIF(Imóveis!$Q$2,Dados!$A761,"m")),0))=0,0,((Imóveis!$N$2/Imóveis!$S$2)+((Imóveis!$N$2-((Imóveis!$S$2-(IF(AND(Dados!$A761&gt;=Imóveis!$Q$2,Dados!$A761&lt;=Imóveis!$T$2),Imóveis!$S$2-(DATEDIF(Imóveis!$Q$2,Dados!$A761,"m")),)))*(Imóveis!$N$2/Imóveis!$S$2)))*Imóveis!$P$2))))*IF(AND(Imóveis!$E$2&gt;0,Dados!$A761&gt;Imóveis!$E$2),0,1)</f>
        <v>0</v>
      </c>
      <c r="J761" s="18">
        <f>IF(Imóveis!$F$3="PRICE",IF(AND(Dados!$A761&gt;=Imóveis!$Q$3,Dados!$A761&lt;=Imóveis!$T$3),Imóveis!$U$3,0),IF((IF(AND(Dados!$A761&gt;=Imóveis!$Q$3,Dados!$A761&lt;=Imóveis!$T$3),Imóveis!$S$3-(DATEDIF(Imóveis!$Q$3,Dados!$A761,"m")),0))=0,0,((Imóveis!$N$3/Imóveis!$S$3)+((Imóveis!$N$3-((Imóveis!$S$3-(IF(AND(Dados!$A761&gt;=Imóveis!$Q$3,Dados!$A761&lt;=Imóveis!$T$3),Imóveis!$S$3-(DATEDIF(Imóveis!$Q$3,Dados!$A761,"m")),)))*(Imóveis!$N$3/Imóveis!$S$3)))*Imóveis!$P$3))))*IF(AND(Imóveis!$E$3&gt;0,Dados!$A761&gt;Imóveis!$E$3),0,1)</f>
        <v>0</v>
      </c>
      <c r="K761" s="18">
        <f>IF(Imóveis!$F$4="PRICE",IF(AND(Dados!$A761&gt;=Imóveis!$Q$4,Dados!$A761&lt;=Imóveis!$T$4),Imóveis!$U$4,0),IF((IF(AND(Dados!$A761&gt;=Imóveis!$Q$4,Dados!$A761&lt;=Imóveis!$T$4),Imóveis!$S$4-(DATEDIF(Imóveis!$Q$4,Dados!$A761,"m")),0))=0,0,((Imóveis!$N$4/Imóveis!$S$4)+((Imóveis!$N$4-((Imóveis!$S$4-(IF(AND(Dados!$A761&gt;=Imóveis!$Q$4,Dados!$A761&lt;=Imóveis!$T$4),Imóveis!$S$4-(DATEDIF(Imóveis!$Q$4,Dados!$A761,"m")),)))*(Imóveis!$N$4/Imóveis!$S$4)))*Imóveis!$P$4))))*IF(AND(Imóveis!$E$4&gt;0,Dados!$A761&gt;Imóveis!$E$4),0,1)</f>
        <v>0</v>
      </c>
      <c r="L761" s="18">
        <f>IF(Imóveis!$F$5="PRICE",IF(AND(Dados!$A761&gt;=Imóveis!$Q$5,Dados!$A761&lt;=Imóveis!$T$5),Imóveis!$U$5,0),IF((IF(AND(Dados!$A761&gt;=Imóveis!$Q$5,Dados!$A761&lt;=Imóveis!$T$5),Imóveis!$S$5-(DATEDIF(Imóveis!$Q$5,Dados!$A761,"m")),0))=0,0,((Imóveis!$N$5/Imóveis!$S$5)+((Imóveis!$N$5-((Imóveis!$S$5-(IF(AND(Dados!$A761 &gt;=Imóveis!$Q$5,Dados!$A761&lt;=Imóveis!$T$5),Imóveis!$S$5-(DATEDIF(Imóveis!$Q$5,Dados!$A761,"m")),)))*(Imóveis!$N$5/Imóveis!$S$5)))*Imóveis!$P$5))))*IF(AND(Imóveis!$E$5&gt;0,Dados!$A761&gt;Imóveis!$E$5),0,1)*Imóveis!$I$5</f>
        <v>0</v>
      </c>
      <c r="M761" s="18">
        <f>IF(Imóveis!$F$6="PRICE",IF(AND(Dados!$A761&gt;=Imóveis!$Q$6,Dados!$A761&lt;=Imóveis!$T$6),Imóveis!$U$6,0),IF((IF(AND(Dados!$A761&gt;=Imóveis!$Q$6,Dados!$A761&lt;=Imóveis!$T$6),Imóveis!$S$6-(DATEDIF(Imóveis!$Q$6,Dados!$A761,"m")),0))=0,0,((Imóveis!$N$6/Imóveis!$S$6)+((Imóveis!$N$6-((Imóveis!$S$6-(IF(AND(Dados!$A761&gt;=Imóveis!$Q$6,Dados!$A761&lt;=Imóveis!$T$6),Imóveis!$S$6-(DATEDIF(Imóveis!$Q$6,Dados!$A761,"m")),)))*(Imóveis!$N$6/Imóveis!$S$6)))*Imóveis!$P$6))))*IF(AND(Imóveis!$E$6&gt;0,Dados!$A761&gt;Imóveis!$E$6),0,1)*Imóveis!$I$6</f>
        <v>0</v>
      </c>
      <c r="N761" s="18">
        <f t="shared" si="93"/>
        <v>37000</v>
      </c>
      <c r="O761" s="18">
        <f>SUMIFS(Receitas!$F:$F,Receitas!$J:$J,"&lt;="&amp;$A761,Receitas!$L:$L,"&gt;="&amp;$A761,Receitas!$C:$C,O$1,Receitas!$M:$M,"Mensal")+SUMIFS(Receitas!$F:$F,Receitas!$J:$J,"&lt;="&amp;$A761,Receitas!$L:$L,"&gt;="&amp;$A761,Receitas!$C:$C,O$1,Receitas!$M:$M,$B761)</f>
        <v>0</v>
      </c>
      <c r="P761" s="18">
        <f>SUMIFS(Receitas!$F:$F,Receitas!$J:$J,"&lt;="&amp;$A761,Receitas!$L:$L,"&gt;="&amp;$A761,Receitas!$C:$C,P$1,Receitas!$M:$M,"Mensal")+SUMIFS(Receitas!$F:$F,Receitas!$J:$J,"&lt;="&amp;$A761,Receitas!$L:$L,"&gt;="&amp;$A761,Receitas!$C:$C,P$1,Receitas!$M:$M,$B761)</f>
        <v>0</v>
      </c>
      <c r="Q761" s="18">
        <f>SUMIFS(Receitas!$F:$F,Receitas!$J:$J,"&lt;="&amp;$A761,Receitas!$L:$L,"&gt;="&amp;$A761,Receitas!$C:$C,Q$1,Receitas!$M:$M,"Mensal")+SUMIFS(Receitas!$F:$F,Receitas!$J:$J,"&lt;="&amp;$A761,Receitas!$L:$L,"&gt;="&amp;$A761,Receitas!$C:$C,Q$1,Receitas!$M:$M,$B761)</f>
        <v>0</v>
      </c>
      <c r="R761" s="18" cm="1">
        <f t="array" ref="R761">(IF(AND(Membros!$F$2="Sim",A761&lt;=MAX(Membros!$E$2:$E$5)),Membros!K$2,IF(AND(A761&gt;=Membros!J$2,A761&lt;=MAX(Membros!$E$2:$E$5)),Membros!K$2,0))+IF(AND(Membros!$F$3="Sim",A761&lt;=MAX(Membros!$E$2:$E$5)),Membros!K$3,IF(AND(A761&gt;=Membros!J$3,A761&lt;=MAX(Membros!$E$2:$E$5)),Membros!K$3,0)))*IF(AND(COUNTIFS(Tabela3[Tipo],"Provedor",Tabela3[Simulação Seguro],"Sim")=2,A761&gt;=MAX(IF(Tabela3[Tipo]="Dependente",Tabela3[Expectativa de Vida (Data)]))),0,1)</f>
        <v>10000</v>
      </c>
      <c r="S761" s="18">
        <f t="shared" si="94"/>
        <v>10000</v>
      </c>
      <c r="U761" s="18">
        <f t="shared" ca="1" si="97"/>
        <v>59432333.840624757</v>
      </c>
      <c r="V761" s="18">
        <f>SUMIF(Imóveis!E:E,Dados!A:A,Imóveis!Z:Z)-SUMIF(Imóveis!E:E,Dados!A:A,Imóveis!Y:Y)</f>
        <v>0</v>
      </c>
      <c r="W761" s="18">
        <f>-SUMIF(Projetos!N:N,A761,Projetos!F:F)</f>
        <v>0</v>
      </c>
      <c r="X761" s="18">
        <f t="shared" si="91"/>
        <v>-27000</v>
      </c>
      <c r="Y761" s="26">
        <f ca="1">(U761*((Indicadores_Economicos!D$2+1)^(1/12)-1))</f>
        <v>194565.99564298007</v>
      </c>
      <c r="Z761" s="18">
        <f t="shared" ca="1" si="95"/>
        <v>59599899.83626774</v>
      </c>
      <c r="AA761" s="18">
        <f ca="1">Auxiliar_Projetos!E761</f>
        <v>4.6725540325747075E-9</v>
      </c>
      <c r="AB761" s="18">
        <f ca="1">Auxiliar_Projetos!K761</f>
        <v>3.5942723327497668E-9</v>
      </c>
      <c r="AC761" s="18">
        <f ca="1">IF(Z761-AA761-AB761&gt;Investimentos!$C$14,Investimentos!$C$14,IF(Z761-AA761-AB761&lt;Investimentos!$C$14,Z761-AA761-AB761,0))</f>
        <v>300000</v>
      </c>
      <c r="AD761" s="18">
        <f t="shared" ca="1" si="96"/>
        <v>59299899.836267732</v>
      </c>
      <c r="AE761" s="18"/>
    </row>
    <row r="762" spans="1:31" x14ac:dyDescent="0.2">
      <c r="A762" s="4">
        <v>68789</v>
      </c>
      <c r="B762" s="5" t="str">
        <f t="shared" si="92"/>
        <v>maio</v>
      </c>
      <c r="C762" s="5" t="str">
        <f t="shared" si="98"/>
        <v>2088</v>
      </c>
      <c r="D762" s="5">
        <f>SUMIFS(Despesas!$F:$F,Despesas!$J:$J,"&lt;="&amp;$A762,Despesas!$L:$L,"&gt;="&amp;$A762,Despesas!$C:$C,D$1,Despesas!$M:$M,"Mensal")+SUMIFS(Despesas!$F:$F,Despesas!$J:$J,"&lt;="&amp;$A762,Despesas!$L:$L,"&gt;="&amp;$A762,Despesas!$C:$C,D$1,Despesas!$M:$M,$B762)</f>
        <v>23000</v>
      </c>
      <c r="E762" s="18">
        <f>SUMIFS(Despesas!$F:$F,Despesas!$J:$J,"&lt;="&amp;$A762,Despesas!$L:$L,"&gt;="&amp;$A762,Despesas!$C:$C,E$1,Despesas!$M:$M,"Mensal")+SUMIFS(Despesas!$F:$F,Despesas!$J:$J,"&lt;="&amp;$A762,Despesas!$L:$L,"&gt;="&amp;$A762,Despesas!$C:$C,E$1,Despesas!$M:$M,$B762)</f>
        <v>0</v>
      </c>
      <c r="F762" s="5">
        <f>SUMIFS(Despesas!$F:$F,Despesas!$J:$J,"&lt;="&amp;$A762,Despesas!$L:$L,"&gt;="&amp;$A762,Despesas!$C:$C,F$1,Despesas!$M:$M,"Mensal")+SUMIFS(Despesas!$F:$F,Despesas!$J:$J,"&lt;="&amp;$A762,Despesas!$L:$L,"&gt;="&amp;$A762,Despesas!$C:$C,F$1,Despesas!$M:$M,$B762)</f>
        <v>13000</v>
      </c>
      <c r="G762" s="5">
        <f>SUMIFS(Despesas!$F:$F,Despesas!$J:$J,"&lt;="&amp;$A762,Despesas!$L:$L,"&gt;="&amp;$A762,Despesas!$C:$C,G$1,Despesas!$M:$M,"Mensal")+SUMIFS(Despesas!$F:$F,Despesas!$J:$J,"&lt;="&amp;$A762,Despesas!$L:$L,"&gt;="&amp;$A762,Despesas!$C:$C,G$1,Despesas!$M:$M,$B762)</f>
        <v>0</v>
      </c>
      <c r="H762" s="18">
        <f>SUMIFS(Despesas!$F:$F,Despesas!$J:$J,"&lt;="&amp;$A762,Despesas!$L:$L,"&gt;="&amp;$A762,Despesas!$C:$C,H$1,Despesas!$M:$M,"Mensal")+SUMIFS(Despesas!$F:$F,Despesas!$J:$J,"&lt;="&amp;$A762,Despesas!$L:$L,"&gt;="&amp;$A762,Despesas!$C:$C,H$1,Despesas!$M:$M,$B762)</f>
        <v>1000</v>
      </c>
      <c r="I762" s="18">
        <f>IF(Imóveis!$F$2="PRICE",IF(AND(Dados!$A762&gt;=Imóveis!$Q$2,Dados!$A762&lt;=Imóveis!$T$2),Imóveis!$U$2,0),IF((IF(AND(Dados!$A762&gt;=Imóveis!$Q$2,Dados!$A762&lt;=Imóveis!$T$2),Imóveis!$S$2-(DATEDIF(Imóveis!$Q$2,Dados!$A762,"m")),0))=0,0,((Imóveis!$N$2/Imóveis!$S$2)+((Imóveis!$N$2-((Imóveis!$S$2-(IF(AND(Dados!$A762&gt;=Imóveis!$Q$2,Dados!$A762&lt;=Imóveis!$T$2),Imóveis!$S$2-(DATEDIF(Imóveis!$Q$2,Dados!$A762,"m")),)))*(Imóveis!$N$2/Imóveis!$S$2)))*Imóveis!$P$2))))*IF(AND(Imóveis!$E$2&gt;0,Dados!$A762&gt;Imóveis!$E$2),0,1)</f>
        <v>0</v>
      </c>
      <c r="J762" s="18">
        <f>IF(Imóveis!$F$3="PRICE",IF(AND(Dados!$A762&gt;=Imóveis!$Q$3,Dados!$A762&lt;=Imóveis!$T$3),Imóveis!$U$3,0),IF((IF(AND(Dados!$A762&gt;=Imóveis!$Q$3,Dados!$A762&lt;=Imóveis!$T$3),Imóveis!$S$3-(DATEDIF(Imóveis!$Q$3,Dados!$A762,"m")),0))=0,0,((Imóveis!$N$3/Imóveis!$S$3)+((Imóveis!$N$3-((Imóveis!$S$3-(IF(AND(Dados!$A762&gt;=Imóveis!$Q$3,Dados!$A762&lt;=Imóveis!$T$3),Imóveis!$S$3-(DATEDIF(Imóveis!$Q$3,Dados!$A762,"m")),)))*(Imóveis!$N$3/Imóveis!$S$3)))*Imóveis!$P$3))))*IF(AND(Imóveis!$E$3&gt;0,Dados!$A762&gt;Imóveis!$E$3),0,1)</f>
        <v>0</v>
      </c>
      <c r="K762" s="18">
        <f>IF(Imóveis!$F$4="PRICE",IF(AND(Dados!$A762&gt;=Imóveis!$Q$4,Dados!$A762&lt;=Imóveis!$T$4),Imóveis!$U$4,0),IF((IF(AND(Dados!$A762&gt;=Imóveis!$Q$4,Dados!$A762&lt;=Imóveis!$T$4),Imóveis!$S$4-(DATEDIF(Imóveis!$Q$4,Dados!$A762,"m")),0))=0,0,((Imóveis!$N$4/Imóveis!$S$4)+((Imóveis!$N$4-((Imóveis!$S$4-(IF(AND(Dados!$A762&gt;=Imóveis!$Q$4,Dados!$A762&lt;=Imóveis!$T$4),Imóveis!$S$4-(DATEDIF(Imóveis!$Q$4,Dados!$A762,"m")),)))*(Imóveis!$N$4/Imóveis!$S$4)))*Imóveis!$P$4))))*IF(AND(Imóveis!$E$4&gt;0,Dados!$A762&gt;Imóveis!$E$4),0,1)</f>
        <v>0</v>
      </c>
      <c r="L762" s="18">
        <f>IF(Imóveis!$F$5="PRICE",IF(AND(Dados!$A762&gt;=Imóveis!$Q$5,Dados!$A762&lt;=Imóveis!$T$5),Imóveis!$U$5,0),IF((IF(AND(Dados!$A762&gt;=Imóveis!$Q$5,Dados!$A762&lt;=Imóveis!$T$5),Imóveis!$S$5-(DATEDIF(Imóveis!$Q$5,Dados!$A762,"m")),0))=0,0,((Imóveis!$N$5/Imóveis!$S$5)+((Imóveis!$N$5-((Imóveis!$S$5-(IF(AND(Dados!$A762 &gt;=Imóveis!$Q$5,Dados!$A762&lt;=Imóveis!$T$5),Imóveis!$S$5-(DATEDIF(Imóveis!$Q$5,Dados!$A762,"m")),)))*(Imóveis!$N$5/Imóveis!$S$5)))*Imóveis!$P$5))))*IF(AND(Imóveis!$E$5&gt;0,Dados!$A762&gt;Imóveis!$E$5),0,1)*Imóveis!$I$5</f>
        <v>0</v>
      </c>
      <c r="M762" s="18">
        <f>IF(Imóveis!$F$6="PRICE",IF(AND(Dados!$A762&gt;=Imóveis!$Q$6,Dados!$A762&lt;=Imóveis!$T$6),Imóveis!$U$6,0),IF((IF(AND(Dados!$A762&gt;=Imóveis!$Q$6,Dados!$A762&lt;=Imóveis!$T$6),Imóveis!$S$6-(DATEDIF(Imóveis!$Q$6,Dados!$A762,"m")),0))=0,0,((Imóveis!$N$6/Imóveis!$S$6)+((Imóveis!$N$6-((Imóveis!$S$6-(IF(AND(Dados!$A762&gt;=Imóveis!$Q$6,Dados!$A762&lt;=Imóveis!$T$6),Imóveis!$S$6-(DATEDIF(Imóveis!$Q$6,Dados!$A762,"m")),)))*(Imóveis!$N$6/Imóveis!$S$6)))*Imóveis!$P$6))))*IF(AND(Imóveis!$E$6&gt;0,Dados!$A762&gt;Imóveis!$E$6),0,1)*Imóveis!$I$6</f>
        <v>0</v>
      </c>
      <c r="N762" s="18">
        <f t="shared" si="93"/>
        <v>37000</v>
      </c>
      <c r="O762" s="18">
        <f>SUMIFS(Receitas!$F:$F,Receitas!$J:$J,"&lt;="&amp;$A762,Receitas!$L:$L,"&gt;="&amp;$A762,Receitas!$C:$C,O$1,Receitas!$M:$M,"Mensal")+SUMIFS(Receitas!$F:$F,Receitas!$J:$J,"&lt;="&amp;$A762,Receitas!$L:$L,"&gt;="&amp;$A762,Receitas!$C:$C,O$1,Receitas!$M:$M,$B762)</f>
        <v>0</v>
      </c>
      <c r="P762" s="18">
        <f>SUMIFS(Receitas!$F:$F,Receitas!$J:$J,"&lt;="&amp;$A762,Receitas!$L:$L,"&gt;="&amp;$A762,Receitas!$C:$C,P$1,Receitas!$M:$M,"Mensal")+SUMIFS(Receitas!$F:$F,Receitas!$J:$J,"&lt;="&amp;$A762,Receitas!$L:$L,"&gt;="&amp;$A762,Receitas!$C:$C,P$1,Receitas!$M:$M,$B762)</f>
        <v>0</v>
      </c>
      <c r="Q762" s="18">
        <f>SUMIFS(Receitas!$F:$F,Receitas!$J:$J,"&lt;="&amp;$A762,Receitas!$L:$L,"&gt;="&amp;$A762,Receitas!$C:$C,Q$1,Receitas!$M:$M,"Mensal")+SUMIFS(Receitas!$F:$F,Receitas!$J:$J,"&lt;="&amp;$A762,Receitas!$L:$L,"&gt;="&amp;$A762,Receitas!$C:$C,Q$1,Receitas!$M:$M,$B762)</f>
        <v>0</v>
      </c>
      <c r="R762" s="18" cm="1">
        <f t="array" ref="R762">(IF(AND(Membros!$F$2="Sim",A762&lt;=MAX(Membros!$E$2:$E$5)),Membros!K$2,IF(AND(A762&gt;=Membros!J$2,A762&lt;=MAX(Membros!$E$2:$E$5)),Membros!K$2,0))+IF(AND(Membros!$F$3="Sim",A762&lt;=MAX(Membros!$E$2:$E$5)),Membros!K$3,IF(AND(A762&gt;=Membros!J$3,A762&lt;=MAX(Membros!$E$2:$E$5)),Membros!K$3,0)))*IF(AND(COUNTIFS(Tabela3[Tipo],"Provedor",Tabela3[Simulação Seguro],"Sim")=2,A762&gt;=MAX(IF(Tabela3[Tipo]="Dependente",Tabela3[Expectativa de Vida (Data)]))),0,1)</f>
        <v>10000</v>
      </c>
      <c r="S762" s="18">
        <f t="shared" si="94"/>
        <v>10000</v>
      </c>
      <c r="U762" s="18">
        <f t="shared" ca="1" si="97"/>
        <v>59599899.83626774</v>
      </c>
      <c r="V762" s="18">
        <f>SUMIF(Imóveis!E:E,Dados!A:A,Imóveis!Z:Z)-SUMIF(Imóveis!E:E,Dados!A:A,Imóveis!Y:Y)</f>
        <v>0</v>
      </c>
      <c r="W762" s="18">
        <f>-SUMIF(Projetos!N:N,A762,Projetos!F:F)</f>
        <v>0</v>
      </c>
      <c r="X762" s="18">
        <f t="shared" si="91"/>
        <v>-27000</v>
      </c>
      <c r="Y762" s="26">
        <f ca="1">(U762*((Indicadores_Economicos!D$2+1)^(1/12)-1))</f>
        <v>195114.56310906025</v>
      </c>
      <c r="Z762" s="18">
        <f t="shared" ca="1" si="95"/>
        <v>59768014.399376802</v>
      </c>
      <c r="AA762" s="18">
        <f ca="1">Auxiliar_Projetos!E762</f>
        <v>4.6878507585956216E-9</v>
      </c>
      <c r="AB762" s="18">
        <f ca="1">Auxiliar_Projetos!K762</f>
        <v>3.6060390450735466E-9</v>
      </c>
      <c r="AC762" s="18">
        <f ca="1">IF(Z762-AA762-AB762&gt;Investimentos!$C$14,Investimentos!$C$14,IF(Z762-AA762-AB762&lt;Investimentos!$C$14,Z762-AA762-AB762,0))</f>
        <v>300000</v>
      </c>
      <c r="AD762" s="18">
        <f t="shared" ca="1" si="96"/>
        <v>59468014.399376795</v>
      </c>
      <c r="AE762" s="18"/>
    </row>
    <row r="763" spans="1:31" x14ac:dyDescent="0.2">
      <c r="A763" s="4">
        <v>68820</v>
      </c>
      <c r="B763" s="5" t="str">
        <f t="shared" si="92"/>
        <v>junho</v>
      </c>
      <c r="C763" s="5" t="str">
        <f t="shared" si="98"/>
        <v>2088</v>
      </c>
      <c r="D763" s="5">
        <f>SUMIFS(Despesas!$F:$F,Despesas!$J:$J,"&lt;="&amp;$A763,Despesas!$L:$L,"&gt;="&amp;$A763,Despesas!$C:$C,D$1,Despesas!$M:$M,"Mensal")+SUMIFS(Despesas!$F:$F,Despesas!$J:$J,"&lt;="&amp;$A763,Despesas!$L:$L,"&gt;="&amp;$A763,Despesas!$C:$C,D$1,Despesas!$M:$M,$B763)</f>
        <v>23000</v>
      </c>
      <c r="E763" s="18">
        <f>SUMIFS(Despesas!$F:$F,Despesas!$J:$J,"&lt;="&amp;$A763,Despesas!$L:$L,"&gt;="&amp;$A763,Despesas!$C:$C,E$1,Despesas!$M:$M,"Mensal")+SUMIFS(Despesas!$F:$F,Despesas!$J:$J,"&lt;="&amp;$A763,Despesas!$L:$L,"&gt;="&amp;$A763,Despesas!$C:$C,E$1,Despesas!$M:$M,$B763)</f>
        <v>0</v>
      </c>
      <c r="F763" s="5">
        <f>SUMIFS(Despesas!$F:$F,Despesas!$J:$J,"&lt;="&amp;$A763,Despesas!$L:$L,"&gt;="&amp;$A763,Despesas!$C:$C,F$1,Despesas!$M:$M,"Mensal")+SUMIFS(Despesas!$F:$F,Despesas!$J:$J,"&lt;="&amp;$A763,Despesas!$L:$L,"&gt;="&amp;$A763,Despesas!$C:$C,F$1,Despesas!$M:$M,$B763)</f>
        <v>13000</v>
      </c>
      <c r="G763" s="5">
        <f>SUMIFS(Despesas!$F:$F,Despesas!$J:$J,"&lt;="&amp;$A763,Despesas!$L:$L,"&gt;="&amp;$A763,Despesas!$C:$C,G$1,Despesas!$M:$M,"Mensal")+SUMIFS(Despesas!$F:$F,Despesas!$J:$J,"&lt;="&amp;$A763,Despesas!$L:$L,"&gt;="&amp;$A763,Despesas!$C:$C,G$1,Despesas!$M:$M,$B763)</f>
        <v>0</v>
      </c>
      <c r="H763" s="18">
        <f>SUMIFS(Despesas!$F:$F,Despesas!$J:$J,"&lt;="&amp;$A763,Despesas!$L:$L,"&gt;="&amp;$A763,Despesas!$C:$C,H$1,Despesas!$M:$M,"Mensal")+SUMIFS(Despesas!$F:$F,Despesas!$J:$J,"&lt;="&amp;$A763,Despesas!$L:$L,"&gt;="&amp;$A763,Despesas!$C:$C,H$1,Despesas!$M:$M,$B763)</f>
        <v>1000</v>
      </c>
      <c r="I763" s="18">
        <f>IF(Imóveis!$F$2="PRICE",IF(AND(Dados!$A763&gt;=Imóveis!$Q$2,Dados!$A763&lt;=Imóveis!$T$2),Imóveis!$U$2,0),IF((IF(AND(Dados!$A763&gt;=Imóveis!$Q$2,Dados!$A763&lt;=Imóveis!$T$2),Imóveis!$S$2-(DATEDIF(Imóveis!$Q$2,Dados!$A763,"m")),0))=0,0,((Imóveis!$N$2/Imóveis!$S$2)+((Imóveis!$N$2-((Imóveis!$S$2-(IF(AND(Dados!$A763&gt;=Imóveis!$Q$2,Dados!$A763&lt;=Imóveis!$T$2),Imóveis!$S$2-(DATEDIF(Imóveis!$Q$2,Dados!$A763,"m")),)))*(Imóveis!$N$2/Imóveis!$S$2)))*Imóveis!$P$2))))*IF(AND(Imóveis!$E$2&gt;0,Dados!$A763&gt;Imóveis!$E$2),0,1)</f>
        <v>0</v>
      </c>
      <c r="J763" s="18">
        <f>IF(Imóveis!$F$3="PRICE",IF(AND(Dados!$A763&gt;=Imóveis!$Q$3,Dados!$A763&lt;=Imóveis!$T$3),Imóveis!$U$3,0),IF((IF(AND(Dados!$A763&gt;=Imóveis!$Q$3,Dados!$A763&lt;=Imóveis!$T$3),Imóveis!$S$3-(DATEDIF(Imóveis!$Q$3,Dados!$A763,"m")),0))=0,0,((Imóveis!$N$3/Imóveis!$S$3)+((Imóveis!$N$3-((Imóveis!$S$3-(IF(AND(Dados!$A763&gt;=Imóveis!$Q$3,Dados!$A763&lt;=Imóveis!$T$3),Imóveis!$S$3-(DATEDIF(Imóveis!$Q$3,Dados!$A763,"m")),)))*(Imóveis!$N$3/Imóveis!$S$3)))*Imóveis!$P$3))))*IF(AND(Imóveis!$E$3&gt;0,Dados!$A763&gt;Imóveis!$E$3),0,1)</f>
        <v>0</v>
      </c>
      <c r="K763" s="18">
        <f>IF(Imóveis!$F$4="PRICE",IF(AND(Dados!$A763&gt;=Imóveis!$Q$4,Dados!$A763&lt;=Imóveis!$T$4),Imóveis!$U$4,0),IF((IF(AND(Dados!$A763&gt;=Imóveis!$Q$4,Dados!$A763&lt;=Imóveis!$T$4),Imóveis!$S$4-(DATEDIF(Imóveis!$Q$4,Dados!$A763,"m")),0))=0,0,((Imóveis!$N$4/Imóveis!$S$4)+((Imóveis!$N$4-((Imóveis!$S$4-(IF(AND(Dados!$A763&gt;=Imóveis!$Q$4,Dados!$A763&lt;=Imóveis!$T$4),Imóveis!$S$4-(DATEDIF(Imóveis!$Q$4,Dados!$A763,"m")),)))*(Imóveis!$N$4/Imóveis!$S$4)))*Imóveis!$P$4))))*IF(AND(Imóveis!$E$4&gt;0,Dados!$A763&gt;Imóveis!$E$4),0,1)</f>
        <v>0</v>
      </c>
      <c r="L763" s="18">
        <f>IF(Imóveis!$F$5="PRICE",IF(AND(Dados!$A763&gt;=Imóveis!$Q$5,Dados!$A763&lt;=Imóveis!$T$5),Imóveis!$U$5,0),IF((IF(AND(Dados!$A763&gt;=Imóveis!$Q$5,Dados!$A763&lt;=Imóveis!$T$5),Imóveis!$S$5-(DATEDIF(Imóveis!$Q$5,Dados!$A763,"m")),0))=0,0,((Imóveis!$N$5/Imóveis!$S$5)+((Imóveis!$N$5-((Imóveis!$S$5-(IF(AND(Dados!$A763 &gt;=Imóveis!$Q$5,Dados!$A763&lt;=Imóveis!$T$5),Imóveis!$S$5-(DATEDIF(Imóveis!$Q$5,Dados!$A763,"m")),)))*(Imóveis!$N$5/Imóveis!$S$5)))*Imóveis!$P$5))))*IF(AND(Imóveis!$E$5&gt;0,Dados!$A763&gt;Imóveis!$E$5),0,1)*Imóveis!$I$5</f>
        <v>0</v>
      </c>
      <c r="M763" s="18">
        <f>IF(Imóveis!$F$6="PRICE",IF(AND(Dados!$A763&gt;=Imóveis!$Q$6,Dados!$A763&lt;=Imóveis!$T$6),Imóveis!$U$6,0),IF((IF(AND(Dados!$A763&gt;=Imóveis!$Q$6,Dados!$A763&lt;=Imóveis!$T$6),Imóveis!$S$6-(DATEDIF(Imóveis!$Q$6,Dados!$A763,"m")),0))=0,0,((Imóveis!$N$6/Imóveis!$S$6)+((Imóveis!$N$6-((Imóveis!$S$6-(IF(AND(Dados!$A763&gt;=Imóveis!$Q$6,Dados!$A763&lt;=Imóveis!$T$6),Imóveis!$S$6-(DATEDIF(Imóveis!$Q$6,Dados!$A763,"m")),)))*(Imóveis!$N$6/Imóveis!$S$6)))*Imóveis!$P$6))))*IF(AND(Imóveis!$E$6&gt;0,Dados!$A763&gt;Imóveis!$E$6),0,1)*Imóveis!$I$6</f>
        <v>0</v>
      </c>
      <c r="N763" s="18">
        <f t="shared" si="93"/>
        <v>37000</v>
      </c>
      <c r="O763" s="18">
        <f>SUMIFS(Receitas!$F:$F,Receitas!$J:$J,"&lt;="&amp;$A763,Receitas!$L:$L,"&gt;="&amp;$A763,Receitas!$C:$C,O$1,Receitas!$M:$M,"Mensal")+SUMIFS(Receitas!$F:$F,Receitas!$J:$J,"&lt;="&amp;$A763,Receitas!$L:$L,"&gt;="&amp;$A763,Receitas!$C:$C,O$1,Receitas!$M:$M,$B763)</f>
        <v>0</v>
      </c>
      <c r="P763" s="18">
        <f>SUMIFS(Receitas!$F:$F,Receitas!$J:$J,"&lt;="&amp;$A763,Receitas!$L:$L,"&gt;="&amp;$A763,Receitas!$C:$C,P$1,Receitas!$M:$M,"Mensal")+SUMIFS(Receitas!$F:$F,Receitas!$J:$J,"&lt;="&amp;$A763,Receitas!$L:$L,"&gt;="&amp;$A763,Receitas!$C:$C,P$1,Receitas!$M:$M,$B763)</f>
        <v>0</v>
      </c>
      <c r="Q763" s="18">
        <f>SUMIFS(Receitas!$F:$F,Receitas!$J:$J,"&lt;="&amp;$A763,Receitas!$L:$L,"&gt;="&amp;$A763,Receitas!$C:$C,Q$1,Receitas!$M:$M,"Mensal")+SUMIFS(Receitas!$F:$F,Receitas!$J:$J,"&lt;="&amp;$A763,Receitas!$L:$L,"&gt;="&amp;$A763,Receitas!$C:$C,Q$1,Receitas!$M:$M,$B763)</f>
        <v>0</v>
      </c>
      <c r="R763" s="18" cm="1">
        <f t="array" ref="R763">(IF(AND(Membros!$F$2="Sim",A763&lt;=MAX(Membros!$E$2:$E$5)),Membros!K$2,IF(AND(A763&gt;=Membros!J$2,A763&lt;=MAX(Membros!$E$2:$E$5)),Membros!K$2,0))+IF(AND(Membros!$F$3="Sim",A763&lt;=MAX(Membros!$E$2:$E$5)),Membros!K$3,IF(AND(A763&gt;=Membros!J$3,A763&lt;=MAX(Membros!$E$2:$E$5)),Membros!K$3,0)))*IF(AND(COUNTIFS(Tabela3[Tipo],"Provedor",Tabela3[Simulação Seguro],"Sim")=2,A763&gt;=MAX(IF(Tabela3[Tipo]="Dependente",Tabela3[Expectativa de Vida (Data)]))),0,1)</f>
        <v>10000</v>
      </c>
      <c r="S763" s="18">
        <f t="shared" si="94"/>
        <v>10000</v>
      </c>
      <c r="U763" s="18">
        <f t="shared" ca="1" si="97"/>
        <v>59768014.399376802</v>
      </c>
      <c r="V763" s="18">
        <f>SUMIF(Imóveis!E:E,Dados!A:A,Imóveis!Z:Z)-SUMIF(Imóveis!E:E,Dados!A:A,Imóveis!Y:Y)</f>
        <v>0</v>
      </c>
      <c r="W763" s="18">
        <f>-SUMIF(Projetos!N:N,A763,Projetos!F:F)</f>
        <v>0</v>
      </c>
      <c r="X763" s="18">
        <f t="shared" si="91"/>
        <v>-27000</v>
      </c>
      <c r="Y763" s="26">
        <f ca="1">(U763*((Indicadores_Economicos!D$2+1)^(1/12)-1))</f>
        <v>195664.92644227738</v>
      </c>
      <c r="Z763" s="18">
        <f t="shared" ca="1" si="95"/>
        <v>59936679.325819083</v>
      </c>
      <c r="AA763" s="18">
        <f ca="1">Auxiliar_Projetos!E763</f>
        <v>4.7031975621170471E-9</v>
      </c>
      <c r="AB763" s="18">
        <f ca="1">Auxiliar_Projetos!K763</f>
        <v>3.6178442785515662E-9</v>
      </c>
      <c r="AC763" s="18">
        <f ca="1">IF(Z763-AA763-AB763&gt;Investimentos!$C$14,Investimentos!$C$14,IF(Z763-AA763-AB763&lt;Investimentos!$C$14,Z763-AA763-AB763,0))</f>
        <v>300000</v>
      </c>
      <c r="AD763" s="18">
        <f t="shared" ca="1" si="96"/>
        <v>59636679.325819075</v>
      </c>
      <c r="AE763" s="18"/>
    </row>
    <row r="764" spans="1:31" x14ac:dyDescent="0.2">
      <c r="A764" s="4">
        <v>68850</v>
      </c>
      <c r="B764" s="5" t="str">
        <f t="shared" si="92"/>
        <v>julho</v>
      </c>
      <c r="C764" s="5" t="str">
        <f t="shared" si="98"/>
        <v>2088</v>
      </c>
      <c r="D764" s="5">
        <f>SUMIFS(Despesas!$F:$F,Despesas!$J:$J,"&lt;="&amp;$A764,Despesas!$L:$L,"&gt;="&amp;$A764,Despesas!$C:$C,D$1,Despesas!$M:$M,"Mensal")+SUMIFS(Despesas!$F:$F,Despesas!$J:$J,"&lt;="&amp;$A764,Despesas!$L:$L,"&gt;="&amp;$A764,Despesas!$C:$C,D$1,Despesas!$M:$M,$B764)</f>
        <v>23000</v>
      </c>
      <c r="E764" s="18">
        <f>SUMIFS(Despesas!$F:$F,Despesas!$J:$J,"&lt;="&amp;$A764,Despesas!$L:$L,"&gt;="&amp;$A764,Despesas!$C:$C,E$1,Despesas!$M:$M,"Mensal")+SUMIFS(Despesas!$F:$F,Despesas!$J:$J,"&lt;="&amp;$A764,Despesas!$L:$L,"&gt;="&amp;$A764,Despesas!$C:$C,E$1,Despesas!$M:$M,$B764)</f>
        <v>0</v>
      </c>
      <c r="F764" s="5">
        <f>SUMIFS(Despesas!$F:$F,Despesas!$J:$J,"&lt;="&amp;$A764,Despesas!$L:$L,"&gt;="&amp;$A764,Despesas!$C:$C,F$1,Despesas!$M:$M,"Mensal")+SUMIFS(Despesas!$F:$F,Despesas!$J:$J,"&lt;="&amp;$A764,Despesas!$L:$L,"&gt;="&amp;$A764,Despesas!$C:$C,F$1,Despesas!$M:$M,$B764)</f>
        <v>13000</v>
      </c>
      <c r="G764" s="5">
        <f ca="1">SUMIFS(Despesas!$F:$F,Despesas!$J:$J,"&lt;="&amp;$A764,Despesas!$L:$L,"&gt;="&amp;$A764,Despesas!$C:$C,G$1,Despesas!$M:$M,"Mensal")+SUMIFS(Despesas!$F:$F,Despesas!$J:$J,"&lt;="&amp;$A764,Despesas!$L:$L,"&gt;="&amp;$A764,Despesas!$C:$C,G$1,Despesas!$M:$M,$B764)</f>
        <v>55757</v>
      </c>
      <c r="H764" s="18">
        <f>SUMIFS(Despesas!$F:$F,Despesas!$J:$J,"&lt;="&amp;$A764,Despesas!$L:$L,"&gt;="&amp;$A764,Despesas!$C:$C,H$1,Despesas!$M:$M,"Mensal")+SUMIFS(Despesas!$F:$F,Despesas!$J:$J,"&lt;="&amp;$A764,Despesas!$L:$L,"&gt;="&amp;$A764,Despesas!$C:$C,H$1,Despesas!$M:$M,$B764)</f>
        <v>1000</v>
      </c>
      <c r="I764" s="18">
        <f>IF(Imóveis!$F$2="PRICE",IF(AND(Dados!$A764&gt;=Imóveis!$Q$2,Dados!$A764&lt;=Imóveis!$T$2),Imóveis!$U$2,0),IF((IF(AND(Dados!$A764&gt;=Imóveis!$Q$2,Dados!$A764&lt;=Imóveis!$T$2),Imóveis!$S$2-(DATEDIF(Imóveis!$Q$2,Dados!$A764,"m")),0))=0,0,((Imóveis!$N$2/Imóveis!$S$2)+((Imóveis!$N$2-((Imóveis!$S$2-(IF(AND(Dados!$A764&gt;=Imóveis!$Q$2,Dados!$A764&lt;=Imóveis!$T$2),Imóveis!$S$2-(DATEDIF(Imóveis!$Q$2,Dados!$A764,"m")),)))*(Imóveis!$N$2/Imóveis!$S$2)))*Imóveis!$P$2))))*IF(AND(Imóveis!$E$2&gt;0,Dados!$A764&gt;Imóveis!$E$2),0,1)</f>
        <v>0</v>
      </c>
      <c r="J764" s="18">
        <f>IF(Imóveis!$F$3="PRICE",IF(AND(Dados!$A764&gt;=Imóveis!$Q$3,Dados!$A764&lt;=Imóveis!$T$3),Imóveis!$U$3,0),IF((IF(AND(Dados!$A764&gt;=Imóveis!$Q$3,Dados!$A764&lt;=Imóveis!$T$3),Imóveis!$S$3-(DATEDIF(Imóveis!$Q$3,Dados!$A764,"m")),0))=0,0,((Imóveis!$N$3/Imóveis!$S$3)+((Imóveis!$N$3-((Imóveis!$S$3-(IF(AND(Dados!$A764&gt;=Imóveis!$Q$3,Dados!$A764&lt;=Imóveis!$T$3),Imóveis!$S$3-(DATEDIF(Imóveis!$Q$3,Dados!$A764,"m")),)))*(Imóveis!$N$3/Imóveis!$S$3)))*Imóveis!$P$3))))*IF(AND(Imóveis!$E$3&gt;0,Dados!$A764&gt;Imóveis!$E$3),0,1)</f>
        <v>0</v>
      </c>
      <c r="K764" s="18">
        <f>IF(Imóveis!$F$4="PRICE",IF(AND(Dados!$A764&gt;=Imóveis!$Q$4,Dados!$A764&lt;=Imóveis!$T$4),Imóveis!$U$4,0),IF((IF(AND(Dados!$A764&gt;=Imóveis!$Q$4,Dados!$A764&lt;=Imóveis!$T$4),Imóveis!$S$4-(DATEDIF(Imóveis!$Q$4,Dados!$A764,"m")),0))=0,0,((Imóveis!$N$4/Imóveis!$S$4)+((Imóveis!$N$4-((Imóveis!$S$4-(IF(AND(Dados!$A764&gt;=Imóveis!$Q$4,Dados!$A764&lt;=Imóveis!$T$4),Imóveis!$S$4-(DATEDIF(Imóveis!$Q$4,Dados!$A764,"m")),)))*(Imóveis!$N$4/Imóveis!$S$4)))*Imóveis!$P$4))))*IF(AND(Imóveis!$E$4&gt;0,Dados!$A764&gt;Imóveis!$E$4),0,1)</f>
        <v>0</v>
      </c>
      <c r="L764" s="18">
        <f>IF(Imóveis!$F$5="PRICE",IF(AND(Dados!$A764&gt;=Imóveis!$Q$5,Dados!$A764&lt;=Imóveis!$T$5),Imóveis!$U$5,0),IF((IF(AND(Dados!$A764&gt;=Imóveis!$Q$5,Dados!$A764&lt;=Imóveis!$T$5),Imóveis!$S$5-(DATEDIF(Imóveis!$Q$5,Dados!$A764,"m")),0))=0,0,((Imóveis!$N$5/Imóveis!$S$5)+((Imóveis!$N$5-((Imóveis!$S$5-(IF(AND(Dados!$A764 &gt;=Imóveis!$Q$5,Dados!$A764&lt;=Imóveis!$T$5),Imóveis!$S$5-(DATEDIF(Imóveis!$Q$5,Dados!$A764,"m")),)))*(Imóveis!$N$5/Imóveis!$S$5)))*Imóveis!$P$5))))*IF(AND(Imóveis!$E$5&gt;0,Dados!$A764&gt;Imóveis!$E$5),0,1)*Imóveis!$I$5</f>
        <v>0</v>
      </c>
      <c r="M764" s="18">
        <f>IF(Imóveis!$F$6="PRICE",IF(AND(Dados!$A764&gt;=Imóveis!$Q$6,Dados!$A764&lt;=Imóveis!$T$6),Imóveis!$U$6,0),IF((IF(AND(Dados!$A764&gt;=Imóveis!$Q$6,Dados!$A764&lt;=Imóveis!$T$6),Imóveis!$S$6-(DATEDIF(Imóveis!$Q$6,Dados!$A764,"m")),0))=0,0,((Imóveis!$N$6/Imóveis!$S$6)+((Imóveis!$N$6-((Imóveis!$S$6-(IF(AND(Dados!$A764&gt;=Imóveis!$Q$6,Dados!$A764&lt;=Imóveis!$T$6),Imóveis!$S$6-(DATEDIF(Imóveis!$Q$6,Dados!$A764,"m")),)))*(Imóveis!$N$6/Imóveis!$S$6)))*Imóveis!$P$6))))*IF(AND(Imóveis!$E$6&gt;0,Dados!$A764&gt;Imóveis!$E$6),0,1)*Imóveis!$I$6</f>
        <v>0</v>
      </c>
      <c r="N764" s="18">
        <f t="shared" ca="1" si="93"/>
        <v>92757</v>
      </c>
      <c r="O764" s="18">
        <f>SUMIFS(Receitas!$F:$F,Receitas!$J:$J,"&lt;="&amp;$A764,Receitas!$L:$L,"&gt;="&amp;$A764,Receitas!$C:$C,O$1,Receitas!$M:$M,"Mensal")+SUMIFS(Receitas!$F:$F,Receitas!$J:$J,"&lt;="&amp;$A764,Receitas!$L:$L,"&gt;="&amp;$A764,Receitas!$C:$C,O$1,Receitas!$M:$M,$B764)</f>
        <v>0</v>
      </c>
      <c r="P764" s="18">
        <f>SUMIFS(Receitas!$F:$F,Receitas!$J:$J,"&lt;="&amp;$A764,Receitas!$L:$L,"&gt;="&amp;$A764,Receitas!$C:$C,P$1,Receitas!$M:$M,"Mensal")+SUMIFS(Receitas!$F:$F,Receitas!$J:$J,"&lt;="&amp;$A764,Receitas!$L:$L,"&gt;="&amp;$A764,Receitas!$C:$C,P$1,Receitas!$M:$M,$B764)</f>
        <v>0</v>
      </c>
      <c r="Q764" s="18">
        <f>SUMIFS(Receitas!$F:$F,Receitas!$J:$J,"&lt;="&amp;$A764,Receitas!$L:$L,"&gt;="&amp;$A764,Receitas!$C:$C,Q$1,Receitas!$M:$M,"Mensal")+SUMIFS(Receitas!$F:$F,Receitas!$J:$J,"&lt;="&amp;$A764,Receitas!$L:$L,"&gt;="&amp;$A764,Receitas!$C:$C,Q$1,Receitas!$M:$M,$B764)</f>
        <v>0</v>
      </c>
      <c r="R764" s="18" cm="1">
        <f t="array" ref="R764">(IF(AND(Membros!$F$2="Sim",A764&lt;=MAX(Membros!$E$2:$E$5)),Membros!K$2,IF(AND(A764&gt;=Membros!J$2,A764&lt;=MAX(Membros!$E$2:$E$5)),Membros!K$2,0))+IF(AND(Membros!$F$3="Sim",A764&lt;=MAX(Membros!$E$2:$E$5)),Membros!K$3,IF(AND(A764&gt;=Membros!J$3,A764&lt;=MAX(Membros!$E$2:$E$5)),Membros!K$3,0)))*IF(AND(COUNTIFS(Tabela3[Tipo],"Provedor",Tabela3[Simulação Seguro],"Sim")=2,A764&gt;=MAX(IF(Tabela3[Tipo]="Dependente",Tabela3[Expectativa de Vida (Data)]))),0,1)</f>
        <v>10000</v>
      </c>
      <c r="S764" s="18">
        <f t="shared" si="94"/>
        <v>10000</v>
      </c>
      <c r="U764" s="18">
        <f t="shared" ca="1" si="97"/>
        <v>59936679.325819083</v>
      </c>
      <c r="V764" s="18">
        <f>SUMIF(Imóveis!E:E,Dados!A:A,Imóveis!Z:Z)-SUMIF(Imóveis!E:E,Dados!A:A,Imóveis!Y:Y)</f>
        <v>0</v>
      </c>
      <c r="W764" s="18">
        <f>-SUMIF(Projetos!N:N,A764,Projetos!F:F)</f>
        <v>0</v>
      </c>
      <c r="X764" s="18">
        <f t="shared" ca="1" si="91"/>
        <v>-82757</v>
      </c>
      <c r="Y764" s="26">
        <f ca="1">(U764*((Indicadores_Economicos!D$2+1)^(1/12)-1))</f>
        <v>196217.09152183315</v>
      </c>
      <c r="Z764" s="18">
        <f t="shared" ca="1" si="95"/>
        <v>60050139.417340919</v>
      </c>
      <c r="AA764" s="18">
        <f ca="1">Auxiliar_Projetos!E764</f>
        <v>4.7185946070796905E-9</v>
      </c>
      <c r="AB764" s="18">
        <f ca="1">Auxiliar_Projetos!K764</f>
        <v>3.6296881592920614E-9</v>
      </c>
      <c r="AC764" s="18">
        <f ca="1">IF(Z764-AA764-AB764&gt;Investimentos!$C$14,Investimentos!$C$14,IF(Z764-AA764-AB764&lt;Investimentos!$C$14,Z764-AA764-AB764,0))</f>
        <v>300000</v>
      </c>
      <c r="AD764" s="18">
        <f t="shared" ca="1" si="96"/>
        <v>59750139.417340912</v>
      </c>
      <c r="AE764" s="18"/>
    </row>
    <row r="765" spans="1:31" x14ac:dyDescent="0.2">
      <c r="A765" s="4">
        <v>68881</v>
      </c>
      <c r="B765" s="5" t="str">
        <f t="shared" si="92"/>
        <v>agosto</v>
      </c>
      <c r="C765" s="5" t="str">
        <f t="shared" si="98"/>
        <v>2088</v>
      </c>
      <c r="D765" s="5">
        <f>SUMIFS(Despesas!$F:$F,Despesas!$J:$J,"&lt;="&amp;$A765,Despesas!$L:$L,"&gt;="&amp;$A765,Despesas!$C:$C,D$1,Despesas!$M:$M,"Mensal")+SUMIFS(Despesas!$F:$F,Despesas!$J:$J,"&lt;="&amp;$A765,Despesas!$L:$L,"&gt;="&amp;$A765,Despesas!$C:$C,D$1,Despesas!$M:$M,$B765)</f>
        <v>23000</v>
      </c>
      <c r="E765" s="18">
        <f>SUMIFS(Despesas!$F:$F,Despesas!$J:$J,"&lt;="&amp;$A765,Despesas!$L:$L,"&gt;="&amp;$A765,Despesas!$C:$C,E$1,Despesas!$M:$M,"Mensal")+SUMIFS(Despesas!$F:$F,Despesas!$J:$J,"&lt;="&amp;$A765,Despesas!$L:$L,"&gt;="&amp;$A765,Despesas!$C:$C,E$1,Despesas!$M:$M,$B765)</f>
        <v>0</v>
      </c>
      <c r="F765" s="5">
        <f>SUMIFS(Despesas!$F:$F,Despesas!$J:$J,"&lt;="&amp;$A765,Despesas!$L:$L,"&gt;="&amp;$A765,Despesas!$C:$C,F$1,Despesas!$M:$M,"Mensal")+SUMIFS(Despesas!$F:$F,Despesas!$J:$J,"&lt;="&amp;$A765,Despesas!$L:$L,"&gt;="&amp;$A765,Despesas!$C:$C,F$1,Despesas!$M:$M,$B765)</f>
        <v>13000</v>
      </c>
      <c r="G765" s="5">
        <f>SUMIFS(Despesas!$F:$F,Despesas!$J:$J,"&lt;="&amp;$A765,Despesas!$L:$L,"&gt;="&amp;$A765,Despesas!$C:$C,G$1,Despesas!$M:$M,"Mensal")+SUMIFS(Despesas!$F:$F,Despesas!$J:$J,"&lt;="&amp;$A765,Despesas!$L:$L,"&gt;="&amp;$A765,Despesas!$C:$C,G$1,Despesas!$M:$M,$B765)</f>
        <v>0</v>
      </c>
      <c r="H765" s="18">
        <f>SUMIFS(Despesas!$F:$F,Despesas!$J:$J,"&lt;="&amp;$A765,Despesas!$L:$L,"&gt;="&amp;$A765,Despesas!$C:$C,H$1,Despesas!$M:$M,"Mensal")+SUMIFS(Despesas!$F:$F,Despesas!$J:$J,"&lt;="&amp;$A765,Despesas!$L:$L,"&gt;="&amp;$A765,Despesas!$C:$C,H$1,Despesas!$M:$M,$B765)</f>
        <v>1000</v>
      </c>
      <c r="I765" s="18">
        <f>IF(Imóveis!$F$2="PRICE",IF(AND(Dados!$A765&gt;=Imóveis!$Q$2,Dados!$A765&lt;=Imóveis!$T$2),Imóveis!$U$2,0),IF((IF(AND(Dados!$A765&gt;=Imóveis!$Q$2,Dados!$A765&lt;=Imóveis!$T$2),Imóveis!$S$2-(DATEDIF(Imóveis!$Q$2,Dados!$A765,"m")),0))=0,0,((Imóveis!$N$2/Imóveis!$S$2)+((Imóveis!$N$2-((Imóveis!$S$2-(IF(AND(Dados!$A765&gt;=Imóveis!$Q$2,Dados!$A765&lt;=Imóveis!$T$2),Imóveis!$S$2-(DATEDIF(Imóveis!$Q$2,Dados!$A765,"m")),)))*(Imóveis!$N$2/Imóveis!$S$2)))*Imóveis!$P$2))))*IF(AND(Imóveis!$E$2&gt;0,Dados!$A765&gt;Imóveis!$E$2),0,1)</f>
        <v>0</v>
      </c>
      <c r="J765" s="18">
        <f>IF(Imóveis!$F$3="PRICE",IF(AND(Dados!$A765&gt;=Imóveis!$Q$3,Dados!$A765&lt;=Imóveis!$T$3),Imóveis!$U$3,0),IF((IF(AND(Dados!$A765&gt;=Imóveis!$Q$3,Dados!$A765&lt;=Imóveis!$T$3),Imóveis!$S$3-(DATEDIF(Imóveis!$Q$3,Dados!$A765,"m")),0))=0,0,((Imóveis!$N$3/Imóveis!$S$3)+((Imóveis!$N$3-((Imóveis!$S$3-(IF(AND(Dados!$A765&gt;=Imóveis!$Q$3,Dados!$A765&lt;=Imóveis!$T$3),Imóveis!$S$3-(DATEDIF(Imóveis!$Q$3,Dados!$A765,"m")),)))*(Imóveis!$N$3/Imóveis!$S$3)))*Imóveis!$P$3))))*IF(AND(Imóveis!$E$3&gt;0,Dados!$A765&gt;Imóveis!$E$3),0,1)</f>
        <v>0</v>
      </c>
      <c r="K765" s="18">
        <f>IF(Imóveis!$F$4="PRICE",IF(AND(Dados!$A765&gt;=Imóveis!$Q$4,Dados!$A765&lt;=Imóveis!$T$4),Imóveis!$U$4,0),IF((IF(AND(Dados!$A765&gt;=Imóveis!$Q$4,Dados!$A765&lt;=Imóveis!$T$4),Imóveis!$S$4-(DATEDIF(Imóveis!$Q$4,Dados!$A765,"m")),0))=0,0,((Imóveis!$N$4/Imóveis!$S$4)+((Imóveis!$N$4-((Imóveis!$S$4-(IF(AND(Dados!$A765&gt;=Imóveis!$Q$4,Dados!$A765&lt;=Imóveis!$T$4),Imóveis!$S$4-(DATEDIF(Imóveis!$Q$4,Dados!$A765,"m")),)))*(Imóveis!$N$4/Imóveis!$S$4)))*Imóveis!$P$4))))*IF(AND(Imóveis!$E$4&gt;0,Dados!$A765&gt;Imóveis!$E$4),0,1)</f>
        <v>0</v>
      </c>
      <c r="L765" s="18">
        <f>IF(Imóveis!$F$5="PRICE",IF(AND(Dados!$A765&gt;=Imóveis!$Q$5,Dados!$A765&lt;=Imóveis!$T$5),Imóveis!$U$5,0),IF((IF(AND(Dados!$A765&gt;=Imóveis!$Q$5,Dados!$A765&lt;=Imóveis!$T$5),Imóveis!$S$5-(DATEDIF(Imóveis!$Q$5,Dados!$A765,"m")),0))=0,0,((Imóveis!$N$5/Imóveis!$S$5)+((Imóveis!$N$5-((Imóveis!$S$5-(IF(AND(Dados!$A765 &gt;=Imóveis!$Q$5,Dados!$A765&lt;=Imóveis!$T$5),Imóveis!$S$5-(DATEDIF(Imóveis!$Q$5,Dados!$A765,"m")),)))*(Imóveis!$N$5/Imóveis!$S$5)))*Imóveis!$P$5))))*IF(AND(Imóveis!$E$5&gt;0,Dados!$A765&gt;Imóveis!$E$5),0,1)*Imóveis!$I$5</f>
        <v>0</v>
      </c>
      <c r="M765" s="18">
        <f>IF(Imóveis!$F$6="PRICE",IF(AND(Dados!$A765&gt;=Imóveis!$Q$6,Dados!$A765&lt;=Imóveis!$T$6),Imóveis!$U$6,0),IF((IF(AND(Dados!$A765&gt;=Imóveis!$Q$6,Dados!$A765&lt;=Imóveis!$T$6),Imóveis!$S$6-(DATEDIF(Imóveis!$Q$6,Dados!$A765,"m")),0))=0,0,((Imóveis!$N$6/Imóveis!$S$6)+((Imóveis!$N$6-((Imóveis!$S$6-(IF(AND(Dados!$A765&gt;=Imóveis!$Q$6,Dados!$A765&lt;=Imóveis!$T$6),Imóveis!$S$6-(DATEDIF(Imóveis!$Q$6,Dados!$A765,"m")),)))*(Imóveis!$N$6/Imóveis!$S$6)))*Imóveis!$P$6))))*IF(AND(Imóveis!$E$6&gt;0,Dados!$A765&gt;Imóveis!$E$6),0,1)*Imóveis!$I$6</f>
        <v>0</v>
      </c>
      <c r="N765" s="18">
        <f t="shared" si="93"/>
        <v>37000</v>
      </c>
      <c r="O765" s="18">
        <f>SUMIFS(Receitas!$F:$F,Receitas!$J:$J,"&lt;="&amp;$A765,Receitas!$L:$L,"&gt;="&amp;$A765,Receitas!$C:$C,O$1,Receitas!$M:$M,"Mensal")+SUMIFS(Receitas!$F:$F,Receitas!$J:$J,"&lt;="&amp;$A765,Receitas!$L:$L,"&gt;="&amp;$A765,Receitas!$C:$C,O$1,Receitas!$M:$M,$B765)</f>
        <v>0</v>
      </c>
      <c r="P765" s="18">
        <f>SUMIFS(Receitas!$F:$F,Receitas!$J:$J,"&lt;="&amp;$A765,Receitas!$L:$L,"&gt;="&amp;$A765,Receitas!$C:$C,P$1,Receitas!$M:$M,"Mensal")+SUMIFS(Receitas!$F:$F,Receitas!$J:$J,"&lt;="&amp;$A765,Receitas!$L:$L,"&gt;="&amp;$A765,Receitas!$C:$C,P$1,Receitas!$M:$M,$B765)</f>
        <v>0</v>
      </c>
      <c r="Q765" s="18">
        <f>SUMIFS(Receitas!$F:$F,Receitas!$J:$J,"&lt;="&amp;$A765,Receitas!$L:$L,"&gt;="&amp;$A765,Receitas!$C:$C,Q$1,Receitas!$M:$M,"Mensal")+SUMIFS(Receitas!$F:$F,Receitas!$J:$J,"&lt;="&amp;$A765,Receitas!$L:$L,"&gt;="&amp;$A765,Receitas!$C:$C,Q$1,Receitas!$M:$M,$B765)</f>
        <v>0</v>
      </c>
      <c r="R765" s="18" cm="1">
        <f t="array" ref="R765">(IF(AND(Membros!$F$2="Sim",A765&lt;=MAX(Membros!$E$2:$E$5)),Membros!K$2,IF(AND(A765&gt;=Membros!J$2,A765&lt;=MAX(Membros!$E$2:$E$5)),Membros!K$2,0))+IF(AND(Membros!$F$3="Sim",A765&lt;=MAX(Membros!$E$2:$E$5)),Membros!K$3,IF(AND(A765&gt;=Membros!J$3,A765&lt;=MAX(Membros!$E$2:$E$5)),Membros!K$3,0)))*IF(AND(COUNTIFS(Tabela3[Tipo],"Provedor",Tabela3[Simulação Seguro],"Sim")=2,A765&gt;=MAX(IF(Tabela3[Tipo]="Dependente",Tabela3[Expectativa de Vida (Data)]))),0,1)</f>
        <v>10000</v>
      </c>
      <c r="S765" s="18">
        <f t="shared" si="94"/>
        <v>10000</v>
      </c>
      <c r="U765" s="18">
        <f t="shared" ca="1" si="97"/>
        <v>60050139.417340919</v>
      </c>
      <c r="V765" s="18">
        <f>SUMIF(Imóveis!E:E,Dados!A:A,Imóveis!Z:Z)-SUMIF(Imóveis!E:E,Dados!A:A,Imóveis!Y:Y)</f>
        <v>0</v>
      </c>
      <c r="W765" s="18">
        <f>-SUMIF(Projetos!N:N,A765,Projetos!F:F)</f>
        <v>0</v>
      </c>
      <c r="X765" s="18">
        <f t="shared" si="91"/>
        <v>-27000</v>
      </c>
      <c r="Y765" s="26">
        <f ca="1">(U765*((Indicadores_Economicos!D$2+1)^(1/12)-1))</f>
        <v>196588.53033714011</v>
      </c>
      <c r="Z765" s="18">
        <f t="shared" ca="1" si="95"/>
        <v>60219727.947678059</v>
      </c>
      <c r="AA765" s="18">
        <f ca="1">Auxiliar_Projetos!E765</f>
        <v>4.7340420579609564E-9</v>
      </c>
      <c r="AB765" s="18">
        <f ca="1">Auxiliar_Projetos!K765</f>
        <v>3.6415708138161121E-9</v>
      </c>
      <c r="AC765" s="18">
        <f ca="1">IF(Z765-AA765-AB765&gt;Investimentos!$C$14,Investimentos!$C$14,IF(Z765-AA765-AB765&lt;Investimentos!$C$14,Z765-AA765-AB765,0))</f>
        <v>300000</v>
      </c>
      <c r="AD765" s="18">
        <f t="shared" ca="1" si="96"/>
        <v>59919727.947678052</v>
      </c>
      <c r="AE765" s="18"/>
    </row>
    <row r="766" spans="1:31" x14ac:dyDescent="0.2">
      <c r="A766" s="4">
        <v>68912</v>
      </c>
      <c r="B766" s="5" t="str">
        <f t="shared" si="92"/>
        <v>setembro</v>
      </c>
      <c r="C766" s="5" t="str">
        <f t="shared" si="98"/>
        <v>2088</v>
      </c>
      <c r="D766" s="5">
        <f>SUMIFS(Despesas!$F:$F,Despesas!$J:$J,"&lt;="&amp;$A766,Despesas!$L:$L,"&gt;="&amp;$A766,Despesas!$C:$C,D$1,Despesas!$M:$M,"Mensal")+SUMIFS(Despesas!$F:$F,Despesas!$J:$J,"&lt;="&amp;$A766,Despesas!$L:$L,"&gt;="&amp;$A766,Despesas!$C:$C,D$1,Despesas!$M:$M,$B766)</f>
        <v>23000</v>
      </c>
      <c r="E766" s="18">
        <f>SUMIFS(Despesas!$F:$F,Despesas!$J:$J,"&lt;="&amp;$A766,Despesas!$L:$L,"&gt;="&amp;$A766,Despesas!$C:$C,E$1,Despesas!$M:$M,"Mensal")+SUMIFS(Despesas!$F:$F,Despesas!$J:$J,"&lt;="&amp;$A766,Despesas!$L:$L,"&gt;="&amp;$A766,Despesas!$C:$C,E$1,Despesas!$M:$M,$B766)</f>
        <v>0</v>
      </c>
      <c r="F766" s="5">
        <f>SUMIFS(Despesas!$F:$F,Despesas!$J:$J,"&lt;="&amp;$A766,Despesas!$L:$L,"&gt;="&amp;$A766,Despesas!$C:$C,F$1,Despesas!$M:$M,"Mensal")+SUMIFS(Despesas!$F:$F,Despesas!$J:$J,"&lt;="&amp;$A766,Despesas!$L:$L,"&gt;="&amp;$A766,Despesas!$C:$C,F$1,Despesas!$M:$M,$B766)</f>
        <v>13000</v>
      </c>
      <c r="G766" s="5">
        <f>SUMIFS(Despesas!$F:$F,Despesas!$J:$J,"&lt;="&amp;$A766,Despesas!$L:$L,"&gt;="&amp;$A766,Despesas!$C:$C,G$1,Despesas!$M:$M,"Mensal")+SUMIFS(Despesas!$F:$F,Despesas!$J:$J,"&lt;="&amp;$A766,Despesas!$L:$L,"&gt;="&amp;$A766,Despesas!$C:$C,G$1,Despesas!$M:$M,$B766)</f>
        <v>0</v>
      </c>
      <c r="H766" s="18">
        <f>SUMIFS(Despesas!$F:$F,Despesas!$J:$J,"&lt;="&amp;$A766,Despesas!$L:$L,"&gt;="&amp;$A766,Despesas!$C:$C,H$1,Despesas!$M:$M,"Mensal")+SUMIFS(Despesas!$F:$F,Despesas!$J:$J,"&lt;="&amp;$A766,Despesas!$L:$L,"&gt;="&amp;$A766,Despesas!$C:$C,H$1,Despesas!$M:$M,$B766)</f>
        <v>1000</v>
      </c>
      <c r="I766" s="18">
        <f>IF(Imóveis!$F$2="PRICE",IF(AND(Dados!$A766&gt;=Imóveis!$Q$2,Dados!$A766&lt;=Imóveis!$T$2),Imóveis!$U$2,0),IF((IF(AND(Dados!$A766&gt;=Imóveis!$Q$2,Dados!$A766&lt;=Imóveis!$T$2),Imóveis!$S$2-(DATEDIF(Imóveis!$Q$2,Dados!$A766,"m")),0))=0,0,((Imóveis!$N$2/Imóveis!$S$2)+((Imóveis!$N$2-((Imóveis!$S$2-(IF(AND(Dados!$A766&gt;=Imóveis!$Q$2,Dados!$A766&lt;=Imóveis!$T$2),Imóveis!$S$2-(DATEDIF(Imóveis!$Q$2,Dados!$A766,"m")),)))*(Imóveis!$N$2/Imóveis!$S$2)))*Imóveis!$P$2))))*IF(AND(Imóveis!$E$2&gt;0,Dados!$A766&gt;Imóveis!$E$2),0,1)</f>
        <v>0</v>
      </c>
      <c r="J766" s="18">
        <f>IF(Imóveis!$F$3="PRICE",IF(AND(Dados!$A766&gt;=Imóveis!$Q$3,Dados!$A766&lt;=Imóveis!$T$3),Imóveis!$U$3,0),IF((IF(AND(Dados!$A766&gt;=Imóveis!$Q$3,Dados!$A766&lt;=Imóveis!$T$3),Imóveis!$S$3-(DATEDIF(Imóveis!$Q$3,Dados!$A766,"m")),0))=0,0,((Imóveis!$N$3/Imóveis!$S$3)+((Imóveis!$N$3-((Imóveis!$S$3-(IF(AND(Dados!$A766&gt;=Imóveis!$Q$3,Dados!$A766&lt;=Imóveis!$T$3),Imóveis!$S$3-(DATEDIF(Imóveis!$Q$3,Dados!$A766,"m")),)))*(Imóveis!$N$3/Imóveis!$S$3)))*Imóveis!$P$3))))*IF(AND(Imóveis!$E$3&gt;0,Dados!$A766&gt;Imóveis!$E$3),0,1)</f>
        <v>0</v>
      </c>
      <c r="K766" s="18">
        <f>IF(Imóveis!$F$4="PRICE",IF(AND(Dados!$A766&gt;=Imóveis!$Q$4,Dados!$A766&lt;=Imóveis!$T$4),Imóveis!$U$4,0),IF((IF(AND(Dados!$A766&gt;=Imóveis!$Q$4,Dados!$A766&lt;=Imóveis!$T$4),Imóveis!$S$4-(DATEDIF(Imóveis!$Q$4,Dados!$A766,"m")),0))=0,0,((Imóveis!$N$4/Imóveis!$S$4)+((Imóveis!$N$4-((Imóveis!$S$4-(IF(AND(Dados!$A766&gt;=Imóveis!$Q$4,Dados!$A766&lt;=Imóveis!$T$4),Imóveis!$S$4-(DATEDIF(Imóveis!$Q$4,Dados!$A766,"m")),)))*(Imóveis!$N$4/Imóveis!$S$4)))*Imóveis!$P$4))))*IF(AND(Imóveis!$E$4&gt;0,Dados!$A766&gt;Imóveis!$E$4),0,1)</f>
        <v>0</v>
      </c>
      <c r="L766" s="18">
        <f>IF(Imóveis!$F$5="PRICE",IF(AND(Dados!$A766&gt;=Imóveis!$Q$5,Dados!$A766&lt;=Imóveis!$T$5),Imóveis!$U$5,0),IF((IF(AND(Dados!$A766&gt;=Imóveis!$Q$5,Dados!$A766&lt;=Imóveis!$T$5),Imóveis!$S$5-(DATEDIF(Imóveis!$Q$5,Dados!$A766,"m")),0))=0,0,((Imóveis!$N$5/Imóveis!$S$5)+((Imóveis!$N$5-((Imóveis!$S$5-(IF(AND(Dados!$A766 &gt;=Imóveis!$Q$5,Dados!$A766&lt;=Imóveis!$T$5),Imóveis!$S$5-(DATEDIF(Imóveis!$Q$5,Dados!$A766,"m")),)))*(Imóveis!$N$5/Imóveis!$S$5)))*Imóveis!$P$5))))*IF(AND(Imóveis!$E$5&gt;0,Dados!$A766&gt;Imóveis!$E$5),0,1)*Imóveis!$I$5</f>
        <v>0</v>
      </c>
      <c r="M766" s="18">
        <f>IF(Imóveis!$F$6="PRICE",IF(AND(Dados!$A766&gt;=Imóveis!$Q$6,Dados!$A766&lt;=Imóveis!$T$6),Imóveis!$U$6,0),IF((IF(AND(Dados!$A766&gt;=Imóveis!$Q$6,Dados!$A766&lt;=Imóveis!$T$6),Imóveis!$S$6-(DATEDIF(Imóveis!$Q$6,Dados!$A766,"m")),0))=0,0,((Imóveis!$N$6/Imóveis!$S$6)+((Imóveis!$N$6-((Imóveis!$S$6-(IF(AND(Dados!$A766&gt;=Imóveis!$Q$6,Dados!$A766&lt;=Imóveis!$T$6),Imóveis!$S$6-(DATEDIF(Imóveis!$Q$6,Dados!$A766,"m")),)))*(Imóveis!$N$6/Imóveis!$S$6)))*Imóveis!$P$6))))*IF(AND(Imóveis!$E$6&gt;0,Dados!$A766&gt;Imóveis!$E$6),0,1)*Imóveis!$I$6</f>
        <v>0</v>
      </c>
      <c r="N766" s="18">
        <f t="shared" si="93"/>
        <v>37000</v>
      </c>
      <c r="O766" s="18">
        <f>SUMIFS(Receitas!$F:$F,Receitas!$J:$J,"&lt;="&amp;$A766,Receitas!$L:$L,"&gt;="&amp;$A766,Receitas!$C:$C,O$1,Receitas!$M:$M,"Mensal")+SUMIFS(Receitas!$F:$F,Receitas!$J:$J,"&lt;="&amp;$A766,Receitas!$L:$L,"&gt;="&amp;$A766,Receitas!$C:$C,O$1,Receitas!$M:$M,$B766)</f>
        <v>0</v>
      </c>
      <c r="P766" s="18">
        <f>SUMIFS(Receitas!$F:$F,Receitas!$J:$J,"&lt;="&amp;$A766,Receitas!$L:$L,"&gt;="&amp;$A766,Receitas!$C:$C,P$1,Receitas!$M:$M,"Mensal")+SUMIFS(Receitas!$F:$F,Receitas!$J:$J,"&lt;="&amp;$A766,Receitas!$L:$L,"&gt;="&amp;$A766,Receitas!$C:$C,P$1,Receitas!$M:$M,$B766)</f>
        <v>0</v>
      </c>
      <c r="Q766" s="18">
        <f>SUMIFS(Receitas!$F:$F,Receitas!$J:$J,"&lt;="&amp;$A766,Receitas!$L:$L,"&gt;="&amp;$A766,Receitas!$C:$C,Q$1,Receitas!$M:$M,"Mensal")+SUMIFS(Receitas!$F:$F,Receitas!$J:$J,"&lt;="&amp;$A766,Receitas!$L:$L,"&gt;="&amp;$A766,Receitas!$C:$C,Q$1,Receitas!$M:$M,$B766)</f>
        <v>0</v>
      </c>
      <c r="R766" s="18" cm="1">
        <f t="array" ref="R766">(IF(AND(Membros!$F$2="Sim",A766&lt;=MAX(Membros!$E$2:$E$5)),Membros!K$2,IF(AND(A766&gt;=Membros!J$2,A766&lt;=MAX(Membros!$E$2:$E$5)),Membros!K$2,0))+IF(AND(Membros!$F$3="Sim",A766&lt;=MAX(Membros!$E$2:$E$5)),Membros!K$3,IF(AND(A766&gt;=Membros!J$3,A766&lt;=MAX(Membros!$E$2:$E$5)),Membros!K$3,0)))*IF(AND(COUNTIFS(Tabela3[Tipo],"Provedor",Tabela3[Simulação Seguro],"Sim")=2,A766&gt;=MAX(IF(Tabela3[Tipo]="Dependente",Tabela3[Expectativa de Vida (Data)]))),0,1)</f>
        <v>10000</v>
      </c>
      <c r="S766" s="18">
        <f t="shared" si="94"/>
        <v>10000</v>
      </c>
      <c r="U766" s="18">
        <f t="shared" ca="1" si="97"/>
        <v>60219727.947678059</v>
      </c>
      <c r="V766" s="18">
        <f>SUMIF(Imóveis!E:E,Dados!A:A,Imóveis!Z:Z)-SUMIF(Imóveis!E:E,Dados!A:A,Imóveis!Y:Y)</f>
        <v>0</v>
      </c>
      <c r="W766" s="18">
        <f>-SUMIF(Projetos!N:N,A766,Projetos!F:F)</f>
        <v>0</v>
      </c>
      <c r="X766" s="18">
        <f t="shared" si="91"/>
        <v>-27000</v>
      </c>
      <c r="Y766" s="26">
        <f ca="1">(U766*((Indicadores_Economicos!D$2+1)^(1/12)-1))</f>
        <v>197143.71905550946</v>
      </c>
      <c r="Z766" s="18">
        <f t="shared" ca="1" si="95"/>
        <v>60389871.66673357</v>
      </c>
      <c r="AA766" s="18">
        <f ca="1">Auxiliar_Projetos!E766</f>
        <v>4.7495400797767056E-9</v>
      </c>
      <c r="AB766" s="18">
        <f ca="1">Auxiliar_Projetos!K766</f>
        <v>3.6534923690589964E-9</v>
      </c>
      <c r="AC766" s="18">
        <f ca="1">IF(Z766-AA766-AB766&gt;Investimentos!$C$14,Investimentos!$C$14,IF(Z766-AA766-AB766&lt;Investimentos!$C$14,Z766-AA766-AB766,0))</f>
        <v>300000</v>
      </c>
      <c r="AD766" s="18">
        <f t="shared" ca="1" si="96"/>
        <v>60089871.666733563</v>
      </c>
      <c r="AE766" s="18"/>
    </row>
    <row r="767" spans="1:31" x14ac:dyDescent="0.2">
      <c r="A767" s="4">
        <v>68942</v>
      </c>
      <c r="B767" s="5" t="str">
        <f t="shared" si="92"/>
        <v>outubro</v>
      </c>
      <c r="C767" s="5" t="str">
        <f t="shared" si="98"/>
        <v>2088</v>
      </c>
      <c r="D767" s="5">
        <f>SUMIFS(Despesas!$F:$F,Despesas!$J:$J,"&lt;="&amp;$A767,Despesas!$L:$L,"&gt;="&amp;$A767,Despesas!$C:$C,D$1,Despesas!$M:$M,"Mensal")+SUMIFS(Despesas!$F:$F,Despesas!$J:$J,"&lt;="&amp;$A767,Despesas!$L:$L,"&gt;="&amp;$A767,Despesas!$C:$C,D$1,Despesas!$M:$M,$B767)</f>
        <v>23000</v>
      </c>
      <c r="E767" s="18">
        <f>SUMIFS(Despesas!$F:$F,Despesas!$J:$J,"&lt;="&amp;$A767,Despesas!$L:$L,"&gt;="&amp;$A767,Despesas!$C:$C,E$1,Despesas!$M:$M,"Mensal")+SUMIFS(Despesas!$F:$F,Despesas!$J:$J,"&lt;="&amp;$A767,Despesas!$L:$L,"&gt;="&amp;$A767,Despesas!$C:$C,E$1,Despesas!$M:$M,$B767)</f>
        <v>0</v>
      </c>
      <c r="F767" s="5">
        <f>SUMIFS(Despesas!$F:$F,Despesas!$J:$J,"&lt;="&amp;$A767,Despesas!$L:$L,"&gt;="&amp;$A767,Despesas!$C:$C,F$1,Despesas!$M:$M,"Mensal")+SUMIFS(Despesas!$F:$F,Despesas!$J:$J,"&lt;="&amp;$A767,Despesas!$L:$L,"&gt;="&amp;$A767,Despesas!$C:$C,F$1,Despesas!$M:$M,$B767)</f>
        <v>13000</v>
      </c>
      <c r="G767" s="5">
        <f>SUMIFS(Despesas!$F:$F,Despesas!$J:$J,"&lt;="&amp;$A767,Despesas!$L:$L,"&gt;="&amp;$A767,Despesas!$C:$C,G$1,Despesas!$M:$M,"Mensal")+SUMIFS(Despesas!$F:$F,Despesas!$J:$J,"&lt;="&amp;$A767,Despesas!$L:$L,"&gt;="&amp;$A767,Despesas!$C:$C,G$1,Despesas!$M:$M,$B767)</f>
        <v>0</v>
      </c>
      <c r="H767" s="18">
        <f>SUMIFS(Despesas!$F:$F,Despesas!$J:$J,"&lt;="&amp;$A767,Despesas!$L:$L,"&gt;="&amp;$A767,Despesas!$C:$C,H$1,Despesas!$M:$M,"Mensal")+SUMIFS(Despesas!$F:$F,Despesas!$J:$J,"&lt;="&amp;$A767,Despesas!$L:$L,"&gt;="&amp;$A767,Despesas!$C:$C,H$1,Despesas!$M:$M,$B767)</f>
        <v>1000</v>
      </c>
      <c r="I767" s="18">
        <f>IF(Imóveis!$F$2="PRICE",IF(AND(Dados!$A767&gt;=Imóveis!$Q$2,Dados!$A767&lt;=Imóveis!$T$2),Imóveis!$U$2,0),IF((IF(AND(Dados!$A767&gt;=Imóveis!$Q$2,Dados!$A767&lt;=Imóveis!$T$2),Imóveis!$S$2-(DATEDIF(Imóveis!$Q$2,Dados!$A767,"m")),0))=0,0,((Imóveis!$N$2/Imóveis!$S$2)+((Imóveis!$N$2-((Imóveis!$S$2-(IF(AND(Dados!$A767&gt;=Imóveis!$Q$2,Dados!$A767&lt;=Imóveis!$T$2),Imóveis!$S$2-(DATEDIF(Imóveis!$Q$2,Dados!$A767,"m")),)))*(Imóveis!$N$2/Imóveis!$S$2)))*Imóveis!$P$2))))*IF(AND(Imóveis!$E$2&gt;0,Dados!$A767&gt;Imóveis!$E$2),0,1)</f>
        <v>0</v>
      </c>
      <c r="J767" s="18">
        <f>IF(Imóveis!$F$3="PRICE",IF(AND(Dados!$A767&gt;=Imóveis!$Q$3,Dados!$A767&lt;=Imóveis!$T$3),Imóveis!$U$3,0),IF((IF(AND(Dados!$A767&gt;=Imóveis!$Q$3,Dados!$A767&lt;=Imóveis!$T$3),Imóveis!$S$3-(DATEDIF(Imóveis!$Q$3,Dados!$A767,"m")),0))=0,0,((Imóveis!$N$3/Imóveis!$S$3)+((Imóveis!$N$3-((Imóveis!$S$3-(IF(AND(Dados!$A767&gt;=Imóveis!$Q$3,Dados!$A767&lt;=Imóveis!$T$3),Imóveis!$S$3-(DATEDIF(Imóveis!$Q$3,Dados!$A767,"m")),)))*(Imóveis!$N$3/Imóveis!$S$3)))*Imóveis!$P$3))))*IF(AND(Imóveis!$E$3&gt;0,Dados!$A767&gt;Imóveis!$E$3),0,1)</f>
        <v>0</v>
      </c>
      <c r="K767" s="18">
        <f>IF(Imóveis!$F$4="PRICE",IF(AND(Dados!$A767&gt;=Imóveis!$Q$4,Dados!$A767&lt;=Imóveis!$T$4),Imóveis!$U$4,0),IF((IF(AND(Dados!$A767&gt;=Imóveis!$Q$4,Dados!$A767&lt;=Imóveis!$T$4),Imóveis!$S$4-(DATEDIF(Imóveis!$Q$4,Dados!$A767,"m")),0))=0,0,((Imóveis!$N$4/Imóveis!$S$4)+((Imóveis!$N$4-((Imóveis!$S$4-(IF(AND(Dados!$A767&gt;=Imóveis!$Q$4,Dados!$A767&lt;=Imóveis!$T$4),Imóveis!$S$4-(DATEDIF(Imóveis!$Q$4,Dados!$A767,"m")),)))*(Imóveis!$N$4/Imóveis!$S$4)))*Imóveis!$P$4))))*IF(AND(Imóveis!$E$4&gt;0,Dados!$A767&gt;Imóveis!$E$4),0,1)</f>
        <v>0</v>
      </c>
      <c r="L767" s="18">
        <f>IF(Imóveis!$F$5="PRICE",IF(AND(Dados!$A767&gt;=Imóveis!$Q$5,Dados!$A767&lt;=Imóveis!$T$5),Imóveis!$U$5,0),IF((IF(AND(Dados!$A767&gt;=Imóveis!$Q$5,Dados!$A767&lt;=Imóveis!$T$5),Imóveis!$S$5-(DATEDIF(Imóveis!$Q$5,Dados!$A767,"m")),0))=0,0,((Imóveis!$N$5/Imóveis!$S$5)+((Imóveis!$N$5-((Imóveis!$S$5-(IF(AND(Dados!$A767 &gt;=Imóveis!$Q$5,Dados!$A767&lt;=Imóveis!$T$5),Imóveis!$S$5-(DATEDIF(Imóveis!$Q$5,Dados!$A767,"m")),)))*(Imóveis!$N$5/Imóveis!$S$5)))*Imóveis!$P$5))))*IF(AND(Imóveis!$E$5&gt;0,Dados!$A767&gt;Imóveis!$E$5),0,1)*Imóveis!$I$5</f>
        <v>0</v>
      </c>
      <c r="M767" s="18">
        <f>IF(Imóveis!$F$6="PRICE",IF(AND(Dados!$A767&gt;=Imóveis!$Q$6,Dados!$A767&lt;=Imóveis!$T$6),Imóveis!$U$6,0),IF((IF(AND(Dados!$A767&gt;=Imóveis!$Q$6,Dados!$A767&lt;=Imóveis!$T$6),Imóveis!$S$6-(DATEDIF(Imóveis!$Q$6,Dados!$A767,"m")),0))=0,0,((Imóveis!$N$6/Imóveis!$S$6)+((Imóveis!$N$6-((Imóveis!$S$6-(IF(AND(Dados!$A767&gt;=Imóveis!$Q$6,Dados!$A767&lt;=Imóveis!$T$6),Imóveis!$S$6-(DATEDIF(Imóveis!$Q$6,Dados!$A767,"m")),)))*(Imóveis!$N$6/Imóveis!$S$6)))*Imóveis!$P$6))))*IF(AND(Imóveis!$E$6&gt;0,Dados!$A767&gt;Imóveis!$E$6),0,1)*Imóveis!$I$6</f>
        <v>0</v>
      </c>
      <c r="N767" s="18">
        <f t="shared" si="93"/>
        <v>37000</v>
      </c>
      <c r="O767" s="18">
        <f>SUMIFS(Receitas!$F:$F,Receitas!$J:$J,"&lt;="&amp;$A767,Receitas!$L:$L,"&gt;="&amp;$A767,Receitas!$C:$C,O$1,Receitas!$M:$M,"Mensal")+SUMIFS(Receitas!$F:$F,Receitas!$J:$J,"&lt;="&amp;$A767,Receitas!$L:$L,"&gt;="&amp;$A767,Receitas!$C:$C,O$1,Receitas!$M:$M,$B767)</f>
        <v>0</v>
      </c>
      <c r="P767" s="18">
        <f>SUMIFS(Receitas!$F:$F,Receitas!$J:$J,"&lt;="&amp;$A767,Receitas!$L:$L,"&gt;="&amp;$A767,Receitas!$C:$C,P$1,Receitas!$M:$M,"Mensal")+SUMIFS(Receitas!$F:$F,Receitas!$J:$J,"&lt;="&amp;$A767,Receitas!$L:$L,"&gt;="&amp;$A767,Receitas!$C:$C,P$1,Receitas!$M:$M,$B767)</f>
        <v>0</v>
      </c>
      <c r="Q767" s="18">
        <f>SUMIFS(Receitas!$F:$F,Receitas!$J:$J,"&lt;="&amp;$A767,Receitas!$L:$L,"&gt;="&amp;$A767,Receitas!$C:$C,Q$1,Receitas!$M:$M,"Mensal")+SUMIFS(Receitas!$F:$F,Receitas!$J:$J,"&lt;="&amp;$A767,Receitas!$L:$L,"&gt;="&amp;$A767,Receitas!$C:$C,Q$1,Receitas!$M:$M,$B767)</f>
        <v>0</v>
      </c>
      <c r="R767" s="18" cm="1">
        <f t="array" ref="R767">(IF(AND(Membros!$F$2="Sim",A767&lt;=MAX(Membros!$E$2:$E$5)),Membros!K$2,IF(AND(A767&gt;=Membros!J$2,A767&lt;=MAX(Membros!$E$2:$E$5)),Membros!K$2,0))+IF(AND(Membros!$F$3="Sim",A767&lt;=MAX(Membros!$E$2:$E$5)),Membros!K$3,IF(AND(A767&gt;=Membros!J$3,A767&lt;=MAX(Membros!$E$2:$E$5)),Membros!K$3,0)))*IF(AND(COUNTIFS(Tabela3[Tipo],"Provedor",Tabela3[Simulação Seguro],"Sim")=2,A767&gt;=MAX(IF(Tabela3[Tipo]="Dependente",Tabela3[Expectativa de Vida (Data)]))),0,1)</f>
        <v>10000</v>
      </c>
      <c r="S767" s="18">
        <f t="shared" si="94"/>
        <v>10000</v>
      </c>
      <c r="U767" s="18">
        <f t="shared" ca="1" si="97"/>
        <v>60389871.66673357</v>
      </c>
      <c r="V767" s="18">
        <f>SUMIF(Imóveis!E:E,Dados!A:A,Imóveis!Z:Z)-SUMIF(Imóveis!E:E,Dados!A:A,Imóveis!Y:Y)</f>
        <v>0</v>
      </c>
      <c r="W767" s="18">
        <f>-SUMIF(Projetos!N:N,A767,Projetos!F:F)</f>
        <v>0</v>
      </c>
      <c r="X767" s="18">
        <f t="shared" si="91"/>
        <v>-27000</v>
      </c>
      <c r="Y767" s="26">
        <f ca="1">(U767*((Indicadores_Economicos!D$2+1)^(1/12)-1))</f>
        <v>197700.72531727277</v>
      </c>
      <c r="Z767" s="18">
        <f t="shared" ca="1" si="95"/>
        <v>60560572.39205084</v>
      </c>
      <c r="AA767" s="18">
        <f ca="1">Auxiliar_Projetos!E767</f>
        <v>4.7650888380830184E-9</v>
      </c>
      <c r="AB767" s="18">
        <f ca="1">Auxiliar_Projetos!K767</f>
        <v>3.6654529523715451E-9</v>
      </c>
      <c r="AC767" s="18">
        <f ca="1">IF(Z767-AA767-AB767&gt;Investimentos!$C$14,Investimentos!$C$14,IF(Z767-AA767-AB767&lt;Investimentos!$C$14,Z767-AA767-AB767,0))</f>
        <v>300000</v>
      </c>
      <c r="AD767" s="18">
        <f t="shared" ca="1" si="96"/>
        <v>60260572.392050833</v>
      </c>
      <c r="AE767" s="18"/>
    </row>
    <row r="768" spans="1:31" x14ac:dyDescent="0.2">
      <c r="A768" s="4">
        <v>68973</v>
      </c>
      <c r="B768" s="5" t="str">
        <f t="shared" si="92"/>
        <v>novembro</v>
      </c>
      <c r="C768" s="5" t="str">
        <f t="shared" si="98"/>
        <v>2088</v>
      </c>
      <c r="D768" s="5">
        <f>SUMIFS(Despesas!$F:$F,Despesas!$J:$J,"&lt;="&amp;$A768,Despesas!$L:$L,"&gt;="&amp;$A768,Despesas!$C:$C,D$1,Despesas!$M:$M,"Mensal")+SUMIFS(Despesas!$F:$F,Despesas!$J:$J,"&lt;="&amp;$A768,Despesas!$L:$L,"&gt;="&amp;$A768,Despesas!$C:$C,D$1,Despesas!$M:$M,$B768)</f>
        <v>23000</v>
      </c>
      <c r="E768" s="18">
        <f>SUMIFS(Despesas!$F:$F,Despesas!$J:$J,"&lt;="&amp;$A768,Despesas!$L:$L,"&gt;="&amp;$A768,Despesas!$C:$C,E$1,Despesas!$M:$M,"Mensal")+SUMIFS(Despesas!$F:$F,Despesas!$J:$J,"&lt;="&amp;$A768,Despesas!$L:$L,"&gt;="&amp;$A768,Despesas!$C:$C,E$1,Despesas!$M:$M,$B768)</f>
        <v>0</v>
      </c>
      <c r="F768" s="5">
        <f>SUMIFS(Despesas!$F:$F,Despesas!$J:$J,"&lt;="&amp;$A768,Despesas!$L:$L,"&gt;="&amp;$A768,Despesas!$C:$C,F$1,Despesas!$M:$M,"Mensal")+SUMIFS(Despesas!$F:$F,Despesas!$J:$J,"&lt;="&amp;$A768,Despesas!$L:$L,"&gt;="&amp;$A768,Despesas!$C:$C,F$1,Despesas!$M:$M,$B768)</f>
        <v>13000</v>
      </c>
      <c r="G768" s="5">
        <f>SUMIFS(Despesas!$F:$F,Despesas!$J:$J,"&lt;="&amp;$A768,Despesas!$L:$L,"&gt;="&amp;$A768,Despesas!$C:$C,G$1,Despesas!$M:$M,"Mensal")+SUMIFS(Despesas!$F:$F,Despesas!$J:$J,"&lt;="&amp;$A768,Despesas!$L:$L,"&gt;="&amp;$A768,Despesas!$C:$C,G$1,Despesas!$M:$M,$B768)</f>
        <v>0</v>
      </c>
      <c r="H768" s="18">
        <f>SUMIFS(Despesas!$F:$F,Despesas!$J:$J,"&lt;="&amp;$A768,Despesas!$L:$L,"&gt;="&amp;$A768,Despesas!$C:$C,H$1,Despesas!$M:$M,"Mensal")+SUMIFS(Despesas!$F:$F,Despesas!$J:$J,"&lt;="&amp;$A768,Despesas!$L:$L,"&gt;="&amp;$A768,Despesas!$C:$C,H$1,Despesas!$M:$M,$B768)</f>
        <v>1000</v>
      </c>
      <c r="I768" s="18">
        <f>IF(Imóveis!$F$2="PRICE",IF(AND(Dados!$A768&gt;=Imóveis!$Q$2,Dados!$A768&lt;=Imóveis!$T$2),Imóveis!$U$2,0),IF((IF(AND(Dados!$A768&gt;=Imóveis!$Q$2,Dados!$A768&lt;=Imóveis!$T$2),Imóveis!$S$2-(DATEDIF(Imóveis!$Q$2,Dados!$A768,"m")),0))=0,0,((Imóveis!$N$2/Imóveis!$S$2)+((Imóveis!$N$2-((Imóveis!$S$2-(IF(AND(Dados!$A768&gt;=Imóveis!$Q$2,Dados!$A768&lt;=Imóveis!$T$2),Imóveis!$S$2-(DATEDIF(Imóveis!$Q$2,Dados!$A768,"m")),)))*(Imóveis!$N$2/Imóveis!$S$2)))*Imóveis!$P$2))))*IF(AND(Imóveis!$E$2&gt;0,Dados!$A768&gt;Imóveis!$E$2),0,1)</f>
        <v>0</v>
      </c>
      <c r="J768" s="18">
        <f>IF(Imóveis!$F$3="PRICE",IF(AND(Dados!$A768&gt;=Imóveis!$Q$3,Dados!$A768&lt;=Imóveis!$T$3),Imóveis!$U$3,0),IF((IF(AND(Dados!$A768&gt;=Imóveis!$Q$3,Dados!$A768&lt;=Imóveis!$T$3),Imóveis!$S$3-(DATEDIF(Imóveis!$Q$3,Dados!$A768,"m")),0))=0,0,((Imóveis!$N$3/Imóveis!$S$3)+((Imóveis!$N$3-((Imóveis!$S$3-(IF(AND(Dados!$A768&gt;=Imóveis!$Q$3,Dados!$A768&lt;=Imóveis!$T$3),Imóveis!$S$3-(DATEDIF(Imóveis!$Q$3,Dados!$A768,"m")),)))*(Imóveis!$N$3/Imóveis!$S$3)))*Imóveis!$P$3))))*IF(AND(Imóveis!$E$3&gt;0,Dados!$A768&gt;Imóveis!$E$3),0,1)</f>
        <v>0</v>
      </c>
      <c r="K768" s="18">
        <f>IF(Imóveis!$F$4="PRICE",IF(AND(Dados!$A768&gt;=Imóveis!$Q$4,Dados!$A768&lt;=Imóveis!$T$4),Imóveis!$U$4,0),IF((IF(AND(Dados!$A768&gt;=Imóveis!$Q$4,Dados!$A768&lt;=Imóveis!$T$4),Imóveis!$S$4-(DATEDIF(Imóveis!$Q$4,Dados!$A768,"m")),0))=0,0,((Imóveis!$N$4/Imóveis!$S$4)+((Imóveis!$N$4-((Imóveis!$S$4-(IF(AND(Dados!$A768&gt;=Imóveis!$Q$4,Dados!$A768&lt;=Imóveis!$T$4),Imóveis!$S$4-(DATEDIF(Imóveis!$Q$4,Dados!$A768,"m")),)))*(Imóveis!$N$4/Imóveis!$S$4)))*Imóveis!$P$4))))*IF(AND(Imóveis!$E$4&gt;0,Dados!$A768&gt;Imóveis!$E$4),0,1)</f>
        <v>0</v>
      </c>
      <c r="L768" s="18">
        <f>IF(Imóveis!$F$5="PRICE",IF(AND(Dados!$A768&gt;=Imóveis!$Q$5,Dados!$A768&lt;=Imóveis!$T$5),Imóveis!$U$5,0),IF((IF(AND(Dados!$A768&gt;=Imóveis!$Q$5,Dados!$A768&lt;=Imóveis!$T$5),Imóveis!$S$5-(DATEDIF(Imóveis!$Q$5,Dados!$A768,"m")),0))=0,0,((Imóveis!$N$5/Imóveis!$S$5)+((Imóveis!$N$5-((Imóveis!$S$5-(IF(AND(Dados!$A768 &gt;=Imóveis!$Q$5,Dados!$A768&lt;=Imóveis!$T$5),Imóveis!$S$5-(DATEDIF(Imóveis!$Q$5,Dados!$A768,"m")),)))*(Imóveis!$N$5/Imóveis!$S$5)))*Imóveis!$P$5))))*IF(AND(Imóveis!$E$5&gt;0,Dados!$A768&gt;Imóveis!$E$5),0,1)*Imóveis!$I$5</f>
        <v>0</v>
      </c>
      <c r="M768" s="18">
        <f>IF(Imóveis!$F$6="PRICE",IF(AND(Dados!$A768&gt;=Imóveis!$Q$6,Dados!$A768&lt;=Imóveis!$T$6),Imóveis!$U$6,0),IF((IF(AND(Dados!$A768&gt;=Imóveis!$Q$6,Dados!$A768&lt;=Imóveis!$T$6),Imóveis!$S$6-(DATEDIF(Imóveis!$Q$6,Dados!$A768,"m")),0))=0,0,((Imóveis!$N$6/Imóveis!$S$6)+((Imóveis!$N$6-((Imóveis!$S$6-(IF(AND(Dados!$A768&gt;=Imóveis!$Q$6,Dados!$A768&lt;=Imóveis!$T$6),Imóveis!$S$6-(DATEDIF(Imóveis!$Q$6,Dados!$A768,"m")),)))*(Imóveis!$N$6/Imóveis!$S$6)))*Imóveis!$P$6))))*IF(AND(Imóveis!$E$6&gt;0,Dados!$A768&gt;Imóveis!$E$6),0,1)*Imóveis!$I$6</f>
        <v>0</v>
      </c>
      <c r="N768" s="18">
        <f t="shared" si="93"/>
        <v>37000</v>
      </c>
      <c r="O768" s="18">
        <f>SUMIFS(Receitas!$F:$F,Receitas!$J:$J,"&lt;="&amp;$A768,Receitas!$L:$L,"&gt;="&amp;$A768,Receitas!$C:$C,O$1,Receitas!$M:$M,"Mensal")+SUMIFS(Receitas!$F:$F,Receitas!$J:$J,"&lt;="&amp;$A768,Receitas!$L:$L,"&gt;="&amp;$A768,Receitas!$C:$C,O$1,Receitas!$M:$M,$B768)</f>
        <v>0</v>
      </c>
      <c r="P768" s="18">
        <f>SUMIFS(Receitas!$F:$F,Receitas!$J:$J,"&lt;="&amp;$A768,Receitas!$L:$L,"&gt;="&amp;$A768,Receitas!$C:$C,P$1,Receitas!$M:$M,"Mensal")+SUMIFS(Receitas!$F:$F,Receitas!$J:$J,"&lt;="&amp;$A768,Receitas!$L:$L,"&gt;="&amp;$A768,Receitas!$C:$C,P$1,Receitas!$M:$M,$B768)</f>
        <v>0</v>
      </c>
      <c r="Q768" s="18">
        <f>SUMIFS(Receitas!$F:$F,Receitas!$J:$J,"&lt;="&amp;$A768,Receitas!$L:$L,"&gt;="&amp;$A768,Receitas!$C:$C,Q$1,Receitas!$M:$M,"Mensal")+SUMIFS(Receitas!$F:$F,Receitas!$J:$J,"&lt;="&amp;$A768,Receitas!$L:$L,"&gt;="&amp;$A768,Receitas!$C:$C,Q$1,Receitas!$M:$M,$B768)</f>
        <v>0</v>
      </c>
      <c r="R768" s="18" cm="1">
        <f t="array" ref="R768">(IF(AND(Membros!$F$2="Sim",A768&lt;=MAX(Membros!$E$2:$E$5)),Membros!K$2,IF(AND(A768&gt;=Membros!J$2,A768&lt;=MAX(Membros!$E$2:$E$5)),Membros!K$2,0))+IF(AND(Membros!$F$3="Sim",A768&lt;=MAX(Membros!$E$2:$E$5)),Membros!K$3,IF(AND(A768&gt;=Membros!J$3,A768&lt;=MAX(Membros!$E$2:$E$5)),Membros!K$3,0)))*IF(AND(COUNTIFS(Tabela3[Tipo],"Provedor",Tabela3[Simulação Seguro],"Sim")=2,A768&gt;=MAX(IF(Tabela3[Tipo]="Dependente",Tabela3[Expectativa de Vida (Data)]))),0,1)</f>
        <v>10000</v>
      </c>
      <c r="S768" s="18">
        <f t="shared" si="94"/>
        <v>10000</v>
      </c>
      <c r="U768" s="18">
        <f t="shared" ca="1" si="97"/>
        <v>60560572.39205084</v>
      </c>
      <c r="V768" s="18">
        <f>SUMIF(Imóveis!E:E,Dados!A:A,Imóveis!Z:Z)-SUMIF(Imóveis!E:E,Dados!A:A,Imóveis!Y:Y)</f>
        <v>0</v>
      </c>
      <c r="W768" s="18">
        <f>-SUMIF(Projetos!N:N,A768,Projetos!F:F)</f>
        <v>0</v>
      </c>
      <c r="X768" s="18">
        <f t="shared" si="91"/>
        <v>-27000</v>
      </c>
      <c r="Y768" s="26">
        <f ca="1">(U768*((Indicadores_Economicos!D$2+1)^(1/12)-1))</f>
        <v>198259.55507259411</v>
      </c>
      <c r="Z768" s="18">
        <f t="shared" ca="1" si="95"/>
        <v>60731831.947123431</v>
      </c>
      <c r="AA768" s="18">
        <f ca="1">Auxiliar_Projetos!E768</f>
        <v>4.7806884989779628E-9</v>
      </c>
      <c r="AB768" s="18">
        <f ca="1">Auxiliar_Projetos!K768</f>
        <v>3.6774526915215021E-9</v>
      </c>
      <c r="AC768" s="18">
        <f ca="1">IF(Z768-AA768-AB768&gt;Investimentos!$C$14,Investimentos!$C$14,IF(Z768-AA768-AB768&lt;Investimentos!$C$14,Z768-AA768-AB768,0))</f>
        <v>300000</v>
      </c>
      <c r="AD768" s="18">
        <f t="shared" ca="1" si="96"/>
        <v>60431831.947123423</v>
      </c>
      <c r="AE768" s="18"/>
    </row>
    <row r="769" spans="1:31" x14ac:dyDescent="0.2">
      <c r="A769" s="4">
        <v>69003</v>
      </c>
      <c r="B769" s="5" t="str">
        <f t="shared" si="92"/>
        <v>dezembro</v>
      </c>
      <c r="C769" s="5" t="str">
        <f t="shared" si="98"/>
        <v>2088</v>
      </c>
      <c r="D769" s="5">
        <f>SUMIFS(Despesas!$F:$F,Despesas!$J:$J,"&lt;="&amp;$A769,Despesas!$L:$L,"&gt;="&amp;$A769,Despesas!$C:$C,D$1,Despesas!$M:$M,"Mensal")+SUMIFS(Despesas!$F:$F,Despesas!$J:$J,"&lt;="&amp;$A769,Despesas!$L:$L,"&gt;="&amp;$A769,Despesas!$C:$C,D$1,Despesas!$M:$M,$B769)</f>
        <v>23000</v>
      </c>
      <c r="E769" s="18">
        <f>SUMIFS(Despesas!$F:$F,Despesas!$J:$J,"&lt;="&amp;$A769,Despesas!$L:$L,"&gt;="&amp;$A769,Despesas!$C:$C,E$1,Despesas!$M:$M,"Mensal")+SUMIFS(Despesas!$F:$F,Despesas!$J:$J,"&lt;="&amp;$A769,Despesas!$L:$L,"&gt;="&amp;$A769,Despesas!$C:$C,E$1,Despesas!$M:$M,$B769)</f>
        <v>0</v>
      </c>
      <c r="F769" s="5">
        <f>SUMIFS(Despesas!$F:$F,Despesas!$J:$J,"&lt;="&amp;$A769,Despesas!$L:$L,"&gt;="&amp;$A769,Despesas!$C:$C,F$1,Despesas!$M:$M,"Mensal")+SUMIFS(Despesas!$F:$F,Despesas!$J:$J,"&lt;="&amp;$A769,Despesas!$L:$L,"&gt;="&amp;$A769,Despesas!$C:$C,F$1,Despesas!$M:$M,$B769)</f>
        <v>13000</v>
      </c>
      <c r="G769" s="5">
        <f ca="1">SUMIFS(Despesas!$F:$F,Despesas!$J:$J,"&lt;="&amp;$A769,Despesas!$L:$L,"&gt;="&amp;$A769,Despesas!$C:$C,G$1,Despesas!$M:$M,"Mensal")+SUMIFS(Despesas!$F:$F,Despesas!$J:$J,"&lt;="&amp;$A769,Despesas!$L:$L,"&gt;="&amp;$A769,Despesas!$C:$C,G$1,Despesas!$M:$M,$B769)</f>
        <v>55757</v>
      </c>
      <c r="H769" s="18">
        <f>SUMIFS(Despesas!$F:$F,Despesas!$J:$J,"&lt;="&amp;$A769,Despesas!$L:$L,"&gt;="&amp;$A769,Despesas!$C:$C,H$1,Despesas!$M:$M,"Mensal")+SUMIFS(Despesas!$F:$F,Despesas!$J:$J,"&lt;="&amp;$A769,Despesas!$L:$L,"&gt;="&amp;$A769,Despesas!$C:$C,H$1,Despesas!$M:$M,$B769)</f>
        <v>1000</v>
      </c>
      <c r="I769" s="18">
        <f>IF(Imóveis!$F$2="PRICE",IF(AND(Dados!$A769&gt;=Imóveis!$Q$2,Dados!$A769&lt;=Imóveis!$T$2),Imóveis!$U$2,0),IF((IF(AND(Dados!$A769&gt;=Imóveis!$Q$2,Dados!$A769&lt;=Imóveis!$T$2),Imóveis!$S$2-(DATEDIF(Imóveis!$Q$2,Dados!$A769,"m")),0))=0,0,((Imóveis!$N$2/Imóveis!$S$2)+((Imóveis!$N$2-((Imóveis!$S$2-(IF(AND(Dados!$A769&gt;=Imóveis!$Q$2,Dados!$A769&lt;=Imóveis!$T$2),Imóveis!$S$2-(DATEDIF(Imóveis!$Q$2,Dados!$A769,"m")),)))*(Imóveis!$N$2/Imóveis!$S$2)))*Imóveis!$P$2))))*IF(AND(Imóveis!$E$2&gt;0,Dados!$A769&gt;Imóveis!$E$2),0,1)</f>
        <v>0</v>
      </c>
      <c r="J769" s="18">
        <f>IF(Imóveis!$F$3="PRICE",IF(AND(Dados!$A769&gt;=Imóveis!$Q$3,Dados!$A769&lt;=Imóveis!$T$3),Imóveis!$U$3,0),IF((IF(AND(Dados!$A769&gt;=Imóveis!$Q$3,Dados!$A769&lt;=Imóveis!$T$3),Imóveis!$S$3-(DATEDIF(Imóveis!$Q$3,Dados!$A769,"m")),0))=0,0,((Imóveis!$N$3/Imóveis!$S$3)+((Imóveis!$N$3-((Imóveis!$S$3-(IF(AND(Dados!$A769&gt;=Imóveis!$Q$3,Dados!$A769&lt;=Imóveis!$T$3),Imóveis!$S$3-(DATEDIF(Imóveis!$Q$3,Dados!$A769,"m")),)))*(Imóveis!$N$3/Imóveis!$S$3)))*Imóveis!$P$3))))*IF(AND(Imóveis!$E$3&gt;0,Dados!$A769&gt;Imóveis!$E$3),0,1)</f>
        <v>0</v>
      </c>
      <c r="K769" s="18">
        <f>IF(Imóveis!$F$4="PRICE",IF(AND(Dados!$A769&gt;=Imóveis!$Q$4,Dados!$A769&lt;=Imóveis!$T$4),Imóveis!$U$4,0),IF((IF(AND(Dados!$A769&gt;=Imóveis!$Q$4,Dados!$A769&lt;=Imóveis!$T$4),Imóveis!$S$4-(DATEDIF(Imóveis!$Q$4,Dados!$A769,"m")),0))=0,0,((Imóveis!$N$4/Imóveis!$S$4)+((Imóveis!$N$4-((Imóveis!$S$4-(IF(AND(Dados!$A769&gt;=Imóveis!$Q$4,Dados!$A769&lt;=Imóveis!$T$4),Imóveis!$S$4-(DATEDIF(Imóveis!$Q$4,Dados!$A769,"m")),)))*(Imóveis!$N$4/Imóveis!$S$4)))*Imóveis!$P$4))))*IF(AND(Imóveis!$E$4&gt;0,Dados!$A769&gt;Imóveis!$E$4),0,1)</f>
        <v>0</v>
      </c>
      <c r="L769" s="18">
        <f>IF(Imóveis!$F$5="PRICE",IF(AND(Dados!$A769&gt;=Imóveis!$Q$5,Dados!$A769&lt;=Imóveis!$T$5),Imóveis!$U$5,0),IF((IF(AND(Dados!$A769&gt;=Imóveis!$Q$5,Dados!$A769&lt;=Imóveis!$T$5),Imóveis!$S$5-(DATEDIF(Imóveis!$Q$5,Dados!$A769,"m")),0))=0,0,((Imóveis!$N$5/Imóveis!$S$5)+((Imóveis!$N$5-((Imóveis!$S$5-(IF(AND(Dados!$A769 &gt;=Imóveis!$Q$5,Dados!$A769&lt;=Imóveis!$T$5),Imóveis!$S$5-(DATEDIF(Imóveis!$Q$5,Dados!$A769,"m")),)))*(Imóveis!$N$5/Imóveis!$S$5)))*Imóveis!$P$5))))*IF(AND(Imóveis!$E$5&gt;0,Dados!$A769&gt;Imóveis!$E$5),0,1)*Imóveis!$I$5</f>
        <v>0</v>
      </c>
      <c r="M769" s="18">
        <f>IF(Imóveis!$F$6="PRICE",IF(AND(Dados!$A769&gt;=Imóveis!$Q$6,Dados!$A769&lt;=Imóveis!$T$6),Imóveis!$U$6,0),IF((IF(AND(Dados!$A769&gt;=Imóveis!$Q$6,Dados!$A769&lt;=Imóveis!$T$6),Imóveis!$S$6-(DATEDIF(Imóveis!$Q$6,Dados!$A769,"m")),0))=0,0,((Imóveis!$N$6/Imóveis!$S$6)+((Imóveis!$N$6-((Imóveis!$S$6-(IF(AND(Dados!$A769&gt;=Imóveis!$Q$6,Dados!$A769&lt;=Imóveis!$T$6),Imóveis!$S$6-(DATEDIF(Imóveis!$Q$6,Dados!$A769,"m")),)))*(Imóveis!$N$6/Imóveis!$S$6)))*Imóveis!$P$6))))*IF(AND(Imóveis!$E$6&gt;0,Dados!$A769&gt;Imóveis!$E$6),0,1)*Imóveis!$I$6</f>
        <v>0</v>
      </c>
      <c r="N769" s="18">
        <f t="shared" ca="1" si="93"/>
        <v>92757</v>
      </c>
      <c r="O769" s="18">
        <f>SUMIFS(Receitas!$F:$F,Receitas!$J:$J,"&lt;="&amp;$A769,Receitas!$L:$L,"&gt;="&amp;$A769,Receitas!$C:$C,O$1,Receitas!$M:$M,"Mensal")+SUMIFS(Receitas!$F:$F,Receitas!$J:$J,"&lt;="&amp;$A769,Receitas!$L:$L,"&gt;="&amp;$A769,Receitas!$C:$C,O$1,Receitas!$M:$M,$B769)</f>
        <v>0</v>
      </c>
      <c r="P769" s="18">
        <f>SUMIFS(Receitas!$F:$F,Receitas!$J:$J,"&lt;="&amp;$A769,Receitas!$L:$L,"&gt;="&amp;$A769,Receitas!$C:$C,P$1,Receitas!$M:$M,"Mensal")+SUMIFS(Receitas!$F:$F,Receitas!$J:$J,"&lt;="&amp;$A769,Receitas!$L:$L,"&gt;="&amp;$A769,Receitas!$C:$C,P$1,Receitas!$M:$M,$B769)</f>
        <v>0</v>
      </c>
      <c r="Q769" s="18">
        <f>SUMIFS(Receitas!$F:$F,Receitas!$J:$J,"&lt;="&amp;$A769,Receitas!$L:$L,"&gt;="&amp;$A769,Receitas!$C:$C,Q$1,Receitas!$M:$M,"Mensal")+SUMIFS(Receitas!$F:$F,Receitas!$J:$J,"&lt;="&amp;$A769,Receitas!$L:$L,"&gt;="&amp;$A769,Receitas!$C:$C,Q$1,Receitas!$M:$M,$B769)</f>
        <v>0</v>
      </c>
      <c r="R769" s="18" cm="1">
        <f t="array" ref="R769">(IF(AND(Membros!$F$2="Sim",A769&lt;=MAX(Membros!$E$2:$E$5)),Membros!K$2,IF(AND(A769&gt;=Membros!J$2,A769&lt;=MAX(Membros!$E$2:$E$5)),Membros!K$2,0))+IF(AND(Membros!$F$3="Sim",A769&lt;=MAX(Membros!$E$2:$E$5)),Membros!K$3,IF(AND(A769&gt;=Membros!J$3,A769&lt;=MAX(Membros!$E$2:$E$5)),Membros!K$3,0)))*IF(AND(COUNTIFS(Tabela3[Tipo],"Provedor",Tabela3[Simulação Seguro],"Sim")=2,A769&gt;=MAX(IF(Tabela3[Tipo]="Dependente",Tabela3[Expectativa de Vida (Data)]))),0,1)</f>
        <v>10000</v>
      </c>
      <c r="S769" s="18">
        <f t="shared" si="94"/>
        <v>10000</v>
      </c>
      <c r="U769" s="18">
        <f t="shared" ca="1" si="97"/>
        <v>60731831.947123431</v>
      </c>
      <c r="V769" s="18">
        <f>SUMIF(Imóveis!E:E,Dados!A:A,Imóveis!Z:Z)-SUMIF(Imóveis!E:E,Dados!A:A,Imóveis!Y:Y)</f>
        <v>0</v>
      </c>
      <c r="W769" s="18">
        <f>-SUMIF(Projetos!N:N,A769,Projetos!F:F)</f>
        <v>0</v>
      </c>
      <c r="X769" s="18">
        <f t="shared" ca="1" si="91"/>
        <v>-82757</v>
      </c>
      <c r="Y769" s="26">
        <f ca="1">(U769*((Indicadores_Economicos!D$2+1)^(1/12)-1))</f>
        <v>198820.21429111695</v>
      </c>
      <c r="Z769" s="18">
        <f t="shared" ca="1" si="95"/>
        <v>60847895.161414549</v>
      </c>
      <c r="AA769" s="18">
        <f ca="1">Auxiliar_Projetos!E769</f>
        <v>4.7963392291033682E-9</v>
      </c>
      <c r="AB769" s="18">
        <f ca="1">Auxiliar_Projetos!K769</f>
        <v>3.6894917146948904E-9</v>
      </c>
      <c r="AC769" s="18">
        <f ca="1">IF(Z769-AA769-AB769&gt;Investimentos!$C$14,Investimentos!$C$14,IF(Z769-AA769-AB769&lt;Investimentos!$C$14,Z769-AA769-AB769,0))</f>
        <v>300000</v>
      </c>
      <c r="AD769" s="18">
        <f t="shared" ca="1" si="96"/>
        <v>60547895.161414541</v>
      </c>
      <c r="AE769" s="18"/>
    </row>
    <row r="770" spans="1:31" x14ac:dyDescent="0.2">
      <c r="A770" s="4">
        <v>69034</v>
      </c>
      <c r="B770" s="5" t="str">
        <f t="shared" si="92"/>
        <v>janeiro</v>
      </c>
      <c r="C770" s="5" t="str">
        <f t="shared" si="98"/>
        <v>2089</v>
      </c>
      <c r="D770" s="5">
        <f>SUMIFS(Despesas!$F:$F,Despesas!$J:$J,"&lt;="&amp;$A770,Despesas!$L:$L,"&gt;="&amp;$A770,Despesas!$C:$C,D$1,Despesas!$M:$M,"Mensal")+SUMIFS(Despesas!$F:$F,Despesas!$J:$J,"&lt;="&amp;$A770,Despesas!$L:$L,"&gt;="&amp;$A770,Despesas!$C:$C,D$1,Despesas!$M:$M,$B770)</f>
        <v>23000</v>
      </c>
      <c r="E770" s="18">
        <f>SUMIFS(Despesas!$F:$F,Despesas!$J:$J,"&lt;="&amp;$A770,Despesas!$L:$L,"&gt;="&amp;$A770,Despesas!$C:$C,E$1,Despesas!$M:$M,"Mensal")+SUMIFS(Despesas!$F:$F,Despesas!$J:$J,"&lt;="&amp;$A770,Despesas!$L:$L,"&gt;="&amp;$A770,Despesas!$C:$C,E$1,Despesas!$M:$M,$B770)</f>
        <v>0</v>
      </c>
      <c r="F770" s="5">
        <f>SUMIFS(Despesas!$F:$F,Despesas!$J:$J,"&lt;="&amp;$A770,Despesas!$L:$L,"&gt;="&amp;$A770,Despesas!$C:$C,F$1,Despesas!$M:$M,"Mensal")+SUMIFS(Despesas!$F:$F,Despesas!$J:$J,"&lt;="&amp;$A770,Despesas!$L:$L,"&gt;="&amp;$A770,Despesas!$C:$C,F$1,Despesas!$M:$M,$B770)</f>
        <v>13000</v>
      </c>
      <c r="G770" s="5">
        <f>SUMIFS(Despesas!$F:$F,Despesas!$J:$J,"&lt;="&amp;$A770,Despesas!$L:$L,"&gt;="&amp;$A770,Despesas!$C:$C,G$1,Despesas!$M:$M,"Mensal")+SUMIFS(Despesas!$F:$F,Despesas!$J:$J,"&lt;="&amp;$A770,Despesas!$L:$L,"&gt;="&amp;$A770,Despesas!$C:$C,G$1,Despesas!$M:$M,$B770)</f>
        <v>0</v>
      </c>
      <c r="H770" s="18">
        <f>SUMIFS(Despesas!$F:$F,Despesas!$J:$J,"&lt;="&amp;$A770,Despesas!$L:$L,"&gt;="&amp;$A770,Despesas!$C:$C,H$1,Despesas!$M:$M,"Mensal")+SUMIFS(Despesas!$F:$F,Despesas!$J:$J,"&lt;="&amp;$A770,Despesas!$L:$L,"&gt;="&amp;$A770,Despesas!$C:$C,H$1,Despesas!$M:$M,$B770)</f>
        <v>1000</v>
      </c>
      <c r="I770" s="18">
        <f>IF(Imóveis!$F$2="PRICE",IF(AND(Dados!$A770&gt;=Imóveis!$Q$2,Dados!$A770&lt;=Imóveis!$T$2),Imóveis!$U$2,0),IF((IF(AND(Dados!$A770&gt;=Imóveis!$Q$2,Dados!$A770&lt;=Imóveis!$T$2),Imóveis!$S$2-(DATEDIF(Imóveis!$Q$2,Dados!$A770,"m")),0))=0,0,((Imóveis!$N$2/Imóveis!$S$2)+((Imóveis!$N$2-((Imóveis!$S$2-(IF(AND(Dados!$A770&gt;=Imóveis!$Q$2,Dados!$A770&lt;=Imóveis!$T$2),Imóveis!$S$2-(DATEDIF(Imóveis!$Q$2,Dados!$A770,"m")),)))*(Imóveis!$N$2/Imóveis!$S$2)))*Imóveis!$P$2))))*IF(AND(Imóveis!$E$2&gt;0,Dados!$A770&gt;Imóveis!$E$2),0,1)</f>
        <v>0</v>
      </c>
      <c r="J770" s="18">
        <f>IF(Imóveis!$F$3="PRICE",IF(AND(Dados!$A770&gt;=Imóveis!$Q$3,Dados!$A770&lt;=Imóveis!$T$3),Imóveis!$U$3,0),IF((IF(AND(Dados!$A770&gt;=Imóveis!$Q$3,Dados!$A770&lt;=Imóveis!$T$3),Imóveis!$S$3-(DATEDIF(Imóveis!$Q$3,Dados!$A770,"m")),0))=0,0,((Imóveis!$N$3/Imóveis!$S$3)+((Imóveis!$N$3-((Imóveis!$S$3-(IF(AND(Dados!$A770&gt;=Imóveis!$Q$3,Dados!$A770&lt;=Imóveis!$T$3),Imóveis!$S$3-(DATEDIF(Imóveis!$Q$3,Dados!$A770,"m")),)))*(Imóveis!$N$3/Imóveis!$S$3)))*Imóveis!$P$3))))*IF(AND(Imóveis!$E$3&gt;0,Dados!$A770&gt;Imóveis!$E$3),0,1)</f>
        <v>0</v>
      </c>
      <c r="K770" s="18">
        <f>IF(Imóveis!$F$4="PRICE",IF(AND(Dados!$A770&gt;=Imóveis!$Q$4,Dados!$A770&lt;=Imóveis!$T$4),Imóveis!$U$4,0),IF((IF(AND(Dados!$A770&gt;=Imóveis!$Q$4,Dados!$A770&lt;=Imóveis!$T$4),Imóveis!$S$4-(DATEDIF(Imóveis!$Q$4,Dados!$A770,"m")),0))=0,0,((Imóveis!$N$4/Imóveis!$S$4)+((Imóveis!$N$4-((Imóveis!$S$4-(IF(AND(Dados!$A770&gt;=Imóveis!$Q$4,Dados!$A770&lt;=Imóveis!$T$4),Imóveis!$S$4-(DATEDIF(Imóveis!$Q$4,Dados!$A770,"m")),)))*(Imóveis!$N$4/Imóveis!$S$4)))*Imóveis!$P$4))))*IF(AND(Imóveis!$E$4&gt;0,Dados!$A770&gt;Imóveis!$E$4),0,1)</f>
        <v>0</v>
      </c>
      <c r="L770" s="18">
        <f>IF(Imóveis!$F$5="PRICE",IF(AND(Dados!$A770&gt;=Imóveis!$Q$5,Dados!$A770&lt;=Imóveis!$T$5),Imóveis!$U$5,0),IF((IF(AND(Dados!$A770&gt;=Imóveis!$Q$5,Dados!$A770&lt;=Imóveis!$T$5),Imóveis!$S$5-(DATEDIF(Imóveis!$Q$5,Dados!$A770,"m")),0))=0,0,((Imóveis!$N$5/Imóveis!$S$5)+((Imóveis!$N$5-((Imóveis!$S$5-(IF(AND(Dados!$A770 &gt;=Imóveis!$Q$5,Dados!$A770&lt;=Imóveis!$T$5),Imóveis!$S$5-(DATEDIF(Imóveis!$Q$5,Dados!$A770,"m")),)))*(Imóveis!$N$5/Imóveis!$S$5)))*Imóveis!$P$5))))*IF(AND(Imóveis!$E$5&gt;0,Dados!$A770&gt;Imóveis!$E$5),0,1)*Imóveis!$I$5</f>
        <v>0</v>
      </c>
      <c r="M770" s="18">
        <f>IF(Imóveis!$F$6="PRICE",IF(AND(Dados!$A770&gt;=Imóveis!$Q$6,Dados!$A770&lt;=Imóveis!$T$6),Imóveis!$U$6,0),IF((IF(AND(Dados!$A770&gt;=Imóveis!$Q$6,Dados!$A770&lt;=Imóveis!$T$6),Imóveis!$S$6-(DATEDIF(Imóveis!$Q$6,Dados!$A770,"m")),0))=0,0,((Imóveis!$N$6/Imóveis!$S$6)+((Imóveis!$N$6-((Imóveis!$S$6-(IF(AND(Dados!$A770&gt;=Imóveis!$Q$6,Dados!$A770&lt;=Imóveis!$T$6),Imóveis!$S$6-(DATEDIF(Imóveis!$Q$6,Dados!$A770,"m")),)))*(Imóveis!$N$6/Imóveis!$S$6)))*Imóveis!$P$6))))*IF(AND(Imóveis!$E$6&gt;0,Dados!$A770&gt;Imóveis!$E$6),0,1)*Imóveis!$I$6</f>
        <v>0</v>
      </c>
      <c r="N770" s="18">
        <f t="shared" si="93"/>
        <v>37000</v>
      </c>
      <c r="O770" s="18">
        <f>SUMIFS(Receitas!$F:$F,Receitas!$J:$J,"&lt;="&amp;$A770,Receitas!$L:$L,"&gt;="&amp;$A770,Receitas!$C:$C,O$1,Receitas!$M:$M,"Mensal")+SUMIFS(Receitas!$F:$F,Receitas!$J:$J,"&lt;="&amp;$A770,Receitas!$L:$L,"&gt;="&amp;$A770,Receitas!$C:$C,O$1,Receitas!$M:$M,$B770)</f>
        <v>0</v>
      </c>
      <c r="P770" s="18">
        <f>SUMIFS(Receitas!$F:$F,Receitas!$J:$J,"&lt;="&amp;$A770,Receitas!$L:$L,"&gt;="&amp;$A770,Receitas!$C:$C,P$1,Receitas!$M:$M,"Mensal")+SUMIFS(Receitas!$F:$F,Receitas!$J:$J,"&lt;="&amp;$A770,Receitas!$L:$L,"&gt;="&amp;$A770,Receitas!$C:$C,P$1,Receitas!$M:$M,$B770)</f>
        <v>0</v>
      </c>
      <c r="Q770" s="18">
        <f>SUMIFS(Receitas!$F:$F,Receitas!$J:$J,"&lt;="&amp;$A770,Receitas!$L:$L,"&gt;="&amp;$A770,Receitas!$C:$C,Q$1,Receitas!$M:$M,"Mensal")+SUMIFS(Receitas!$F:$F,Receitas!$J:$J,"&lt;="&amp;$A770,Receitas!$L:$L,"&gt;="&amp;$A770,Receitas!$C:$C,Q$1,Receitas!$M:$M,$B770)</f>
        <v>0</v>
      </c>
      <c r="R770" s="18" cm="1">
        <f t="array" ref="R770">(IF(AND(Membros!$F$2="Sim",A770&lt;=MAX(Membros!$E$2:$E$5)),Membros!K$2,IF(AND(A770&gt;=Membros!J$2,A770&lt;=MAX(Membros!$E$2:$E$5)),Membros!K$2,0))+IF(AND(Membros!$F$3="Sim",A770&lt;=MAX(Membros!$E$2:$E$5)),Membros!K$3,IF(AND(A770&gt;=Membros!J$3,A770&lt;=MAX(Membros!$E$2:$E$5)),Membros!K$3,0)))*IF(AND(COUNTIFS(Tabela3[Tipo],"Provedor",Tabela3[Simulação Seguro],"Sim")=2,A770&gt;=MAX(IF(Tabela3[Tipo]="Dependente",Tabela3[Expectativa de Vida (Data)]))),0,1)</f>
        <v>10000</v>
      </c>
      <c r="S770" s="18">
        <f t="shared" si="94"/>
        <v>10000</v>
      </c>
      <c r="U770" s="18">
        <f t="shared" ca="1" si="97"/>
        <v>60847895.161414549</v>
      </c>
      <c r="V770" s="18">
        <f>SUMIF(Imóveis!E:E,Dados!A:A,Imóveis!Z:Z)-SUMIF(Imóveis!E:E,Dados!A:A,Imóveis!Y:Y)</f>
        <v>0</v>
      </c>
      <c r="W770" s="18">
        <f>-SUMIF(Projetos!N:N,A770,Projetos!F:F)</f>
        <v>0</v>
      </c>
      <c r="X770" s="18">
        <f t="shared" ref="X770:X833" si="99">(S770-N770)</f>
        <v>-27000</v>
      </c>
      <c r="Y770" s="26">
        <f ca="1">(U770*((Indicadores_Economicos!D$2+1)^(1/12)-1))</f>
        <v>199200.17505299166</v>
      </c>
      <c r="Z770" s="18">
        <f t="shared" ca="1" si="95"/>
        <v>61020095.336467542</v>
      </c>
      <c r="AA770" s="18">
        <f ca="1">Auxiliar_Projetos!E770</f>
        <v>4.8120411956466049E-9</v>
      </c>
      <c r="AB770" s="18">
        <f ca="1">Auxiliar_Projetos!K770</f>
        <v>3.7015701504973805E-9</v>
      </c>
      <c r="AC770" s="18">
        <f ca="1">IF(Z770-AA770-AB770&gt;Investimentos!$C$14,Investimentos!$C$14,IF(Z770-AA770-AB770&lt;Investimentos!$C$14,Z770-AA770-AB770,0))</f>
        <v>300000</v>
      </c>
      <c r="AD770" s="18">
        <f t="shared" ca="1" si="96"/>
        <v>60720095.336467534</v>
      </c>
      <c r="AE770" s="18"/>
    </row>
    <row r="771" spans="1:31" x14ac:dyDescent="0.2">
      <c r="A771" s="4">
        <v>69065</v>
      </c>
      <c r="B771" s="5" t="str">
        <f t="shared" ref="B771:B834" si="100">TEXT(A771,"MMMM")</f>
        <v>fevereiro</v>
      </c>
      <c r="C771" s="5" t="str">
        <f t="shared" si="98"/>
        <v>2089</v>
      </c>
      <c r="D771" s="5">
        <f>SUMIFS(Despesas!$F:$F,Despesas!$J:$J,"&lt;="&amp;$A771,Despesas!$L:$L,"&gt;="&amp;$A771,Despesas!$C:$C,D$1,Despesas!$M:$M,"Mensal")+SUMIFS(Despesas!$F:$F,Despesas!$J:$J,"&lt;="&amp;$A771,Despesas!$L:$L,"&gt;="&amp;$A771,Despesas!$C:$C,D$1,Despesas!$M:$M,$B771)</f>
        <v>23000</v>
      </c>
      <c r="E771" s="18">
        <f>SUMIFS(Despesas!$F:$F,Despesas!$J:$J,"&lt;="&amp;$A771,Despesas!$L:$L,"&gt;="&amp;$A771,Despesas!$C:$C,E$1,Despesas!$M:$M,"Mensal")+SUMIFS(Despesas!$F:$F,Despesas!$J:$J,"&lt;="&amp;$A771,Despesas!$L:$L,"&gt;="&amp;$A771,Despesas!$C:$C,E$1,Despesas!$M:$M,$B771)</f>
        <v>0</v>
      </c>
      <c r="F771" s="5">
        <f>SUMIFS(Despesas!$F:$F,Despesas!$J:$J,"&lt;="&amp;$A771,Despesas!$L:$L,"&gt;="&amp;$A771,Despesas!$C:$C,F$1,Despesas!$M:$M,"Mensal")+SUMIFS(Despesas!$F:$F,Despesas!$J:$J,"&lt;="&amp;$A771,Despesas!$L:$L,"&gt;="&amp;$A771,Despesas!$C:$C,F$1,Despesas!$M:$M,$B771)</f>
        <v>13000</v>
      </c>
      <c r="G771" s="5">
        <f>SUMIFS(Despesas!$F:$F,Despesas!$J:$J,"&lt;="&amp;$A771,Despesas!$L:$L,"&gt;="&amp;$A771,Despesas!$C:$C,G$1,Despesas!$M:$M,"Mensal")+SUMIFS(Despesas!$F:$F,Despesas!$J:$J,"&lt;="&amp;$A771,Despesas!$L:$L,"&gt;="&amp;$A771,Despesas!$C:$C,G$1,Despesas!$M:$M,$B771)</f>
        <v>0</v>
      </c>
      <c r="H771" s="18">
        <f>SUMIFS(Despesas!$F:$F,Despesas!$J:$J,"&lt;="&amp;$A771,Despesas!$L:$L,"&gt;="&amp;$A771,Despesas!$C:$C,H$1,Despesas!$M:$M,"Mensal")+SUMIFS(Despesas!$F:$F,Despesas!$J:$J,"&lt;="&amp;$A771,Despesas!$L:$L,"&gt;="&amp;$A771,Despesas!$C:$C,H$1,Despesas!$M:$M,$B771)</f>
        <v>2200</v>
      </c>
      <c r="I771" s="18">
        <f>IF(Imóveis!$F$2="PRICE",IF(AND(Dados!$A771&gt;=Imóveis!$Q$2,Dados!$A771&lt;=Imóveis!$T$2),Imóveis!$U$2,0),IF((IF(AND(Dados!$A771&gt;=Imóveis!$Q$2,Dados!$A771&lt;=Imóveis!$T$2),Imóveis!$S$2-(DATEDIF(Imóveis!$Q$2,Dados!$A771,"m")),0))=0,0,((Imóveis!$N$2/Imóveis!$S$2)+((Imóveis!$N$2-((Imóveis!$S$2-(IF(AND(Dados!$A771&gt;=Imóveis!$Q$2,Dados!$A771&lt;=Imóveis!$T$2),Imóveis!$S$2-(DATEDIF(Imóveis!$Q$2,Dados!$A771,"m")),)))*(Imóveis!$N$2/Imóveis!$S$2)))*Imóveis!$P$2))))*IF(AND(Imóveis!$E$2&gt;0,Dados!$A771&gt;Imóveis!$E$2),0,1)</f>
        <v>0</v>
      </c>
      <c r="J771" s="18">
        <f>IF(Imóveis!$F$3="PRICE",IF(AND(Dados!$A771&gt;=Imóveis!$Q$3,Dados!$A771&lt;=Imóveis!$T$3),Imóveis!$U$3,0),IF((IF(AND(Dados!$A771&gt;=Imóveis!$Q$3,Dados!$A771&lt;=Imóveis!$T$3),Imóveis!$S$3-(DATEDIF(Imóveis!$Q$3,Dados!$A771,"m")),0))=0,0,((Imóveis!$N$3/Imóveis!$S$3)+((Imóveis!$N$3-((Imóveis!$S$3-(IF(AND(Dados!$A771&gt;=Imóveis!$Q$3,Dados!$A771&lt;=Imóveis!$T$3),Imóveis!$S$3-(DATEDIF(Imóveis!$Q$3,Dados!$A771,"m")),)))*(Imóveis!$N$3/Imóveis!$S$3)))*Imóveis!$P$3))))*IF(AND(Imóveis!$E$3&gt;0,Dados!$A771&gt;Imóveis!$E$3),0,1)</f>
        <v>0</v>
      </c>
      <c r="K771" s="18">
        <f>IF(Imóveis!$F$4="PRICE",IF(AND(Dados!$A771&gt;=Imóveis!$Q$4,Dados!$A771&lt;=Imóveis!$T$4),Imóveis!$U$4,0),IF((IF(AND(Dados!$A771&gt;=Imóveis!$Q$4,Dados!$A771&lt;=Imóveis!$T$4),Imóveis!$S$4-(DATEDIF(Imóveis!$Q$4,Dados!$A771,"m")),0))=0,0,((Imóveis!$N$4/Imóveis!$S$4)+((Imóveis!$N$4-((Imóveis!$S$4-(IF(AND(Dados!$A771&gt;=Imóveis!$Q$4,Dados!$A771&lt;=Imóveis!$T$4),Imóveis!$S$4-(DATEDIF(Imóveis!$Q$4,Dados!$A771,"m")),)))*(Imóveis!$N$4/Imóveis!$S$4)))*Imóveis!$P$4))))*IF(AND(Imóveis!$E$4&gt;0,Dados!$A771&gt;Imóveis!$E$4),0,1)</f>
        <v>0</v>
      </c>
      <c r="L771" s="18">
        <f>IF(Imóveis!$F$5="PRICE",IF(AND(Dados!$A771&gt;=Imóveis!$Q$5,Dados!$A771&lt;=Imóveis!$T$5),Imóveis!$U$5,0),IF((IF(AND(Dados!$A771&gt;=Imóveis!$Q$5,Dados!$A771&lt;=Imóveis!$T$5),Imóveis!$S$5-(DATEDIF(Imóveis!$Q$5,Dados!$A771,"m")),0))=0,0,((Imóveis!$N$5/Imóveis!$S$5)+((Imóveis!$N$5-((Imóveis!$S$5-(IF(AND(Dados!$A771 &gt;=Imóveis!$Q$5,Dados!$A771&lt;=Imóveis!$T$5),Imóveis!$S$5-(DATEDIF(Imóveis!$Q$5,Dados!$A771,"m")),)))*(Imóveis!$N$5/Imóveis!$S$5)))*Imóveis!$P$5))))*IF(AND(Imóveis!$E$5&gt;0,Dados!$A771&gt;Imóveis!$E$5),0,1)*Imóveis!$I$5</f>
        <v>0</v>
      </c>
      <c r="M771" s="18">
        <f>IF(Imóveis!$F$6="PRICE",IF(AND(Dados!$A771&gt;=Imóveis!$Q$6,Dados!$A771&lt;=Imóveis!$T$6),Imóveis!$U$6,0),IF((IF(AND(Dados!$A771&gt;=Imóveis!$Q$6,Dados!$A771&lt;=Imóveis!$T$6),Imóveis!$S$6-(DATEDIF(Imóveis!$Q$6,Dados!$A771,"m")),0))=0,0,((Imóveis!$N$6/Imóveis!$S$6)+((Imóveis!$N$6-((Imóveis!$S$6-(IF(AND(Dados!$A771&gt;=Imóveis!$Q$6,Dados!$A771&lt;=Imóveis!$T$6),Imóveis!$S$6-(DATEDIF(Imóveis!$Q$6,Dados!$A771,"m")),)))*(Imóveis!$N$6/Imóveis!$S$6)))*Imóveis!$P$6))))*IF(AND(Imóveis!$E$6&gt;0,Dados!$A771&gt;Imóveis!$E$6),0,1)*Imóveis!$I$6</f>
        <v>0</v>
      </c>
      <c r="N771" s="18">
        <f t="shared" ref="N771:N834" si="101">SUM(D771:M771)</f>
        <v>38200</v>
      </c>
      <c r="O771" s="18">
        <f>SUMIFS(Receitas!$F:$F,Receitas!$J:$J,"&lt;="&amp;$A771,Receitas!$L:$L,"&gt;="&amp;$A771,Receitas!$C:$C,O$1,Receitas!$M:$M,"Mensal")+SUMIFS(Receitas!$F:$F,Receitas!$J:$J,"&lt;="&amp;$A771,Receitas!$L:$L,"&gt;="&amp;$A771,Receitas!$C:$C,O$1,Receitas!$M:$M,$B771)</f>
        <v>0</v>
      </c>
      <c r="P771" s="18">
        <f>SUMIFS(Receitas!$F:$F,Receitas!$J:$J,"&lt;="&amp;$A771,Receitas!$L:$L,"&gt;="&amp;$A771,Receitas!$C:$C,P$1,Receitas!$M:$M,"Mensal")+SUMIFS(Receitas!$F:$F,Receitas!$J:$J,"&lt;="&amp;$A771,Receitas!$L:$L,"&gt;="&amp;$A771,Receitas!$C:$C,P$1,Receitas!$M:$M,$B771)</f>
        <v>0</v>
      </c>
      <c r="Q771" s="18">
        <f>SUMIFS(Receitas!$F:$F,Receitas!$J:$J,"&lt;="&amp;$A771,Receitas!$L:$L,"&gt;="&amp;$A771,Receitas!$C:$C,Q$1,Receitas!$M:$M,"Mensal")+SUMIFS(Receitas!$F:$F,Receitas!$J:$J,"&lt;="&amp;$A771,Receitas!$L:$L,"&gt;="&amp;$A771,Receitas!$C:$C,Q$1,Receitas!$M:$M,$B771)</f>
        <v>0</v>
      </c>
      <c r="R771" s="18" cm="1">
        <f t="array" ref="R771">(IF(AND(Membros!$F$2="Sim",A771&lt;=MAX(Membros!$E$2:$E$5)),Membros!K$2,IF(AND(A771&gt;=Membros!J$2,A771&lt;=MAX(Membros!$E$2:$E$5)),Membros!K$2,0))+IF(AND(Membros!$F$3="Sim",A771&lt;=MAX(Membros!$E$2:$E$5)),Membros!K$3,IF(AND(A771&gt;=Membros!J$3,A771&lt;=MAX(Membros!$E$2:$E$5)),Membros!K$3,0)))*IF(AND(COUNTIFS(Tabela3[Tipo],"Provedor",Tabela3[Simulação Seguro],"Sim")=2,A771&gt;=MAX(IF(Tabela3[Tipo]="Dependente",Tabela3[Expectativa de Vida (Data)]))),0,1)</f>
        <v>10000</v>
      </c>
      <c r="S771" s="18">
        <f t="shared" ref="S771:S834" si="102">O771+P771+Q771+R771</f>
        <v>10000</v>
      </c>
      <c r="U771" s="18">
        <f t="shared" ca="1" si="97"/>
        <v>61020095.336467542</v>
      </c>
      <c r="V771" s="18">
        <f>SUMIF(Imóveis!E:E,Dados!A:A,Imóveis!Z:Z)-SUMIF(Imóveis!E:E,Dados!A:A,Imóveis!Y:Y)</f>
        <v>0</v>
      </c>
      <c r="W771" s="18">
        <f>-SUMIF(Projetos!N:N,A771,Projetos!F:F)</f>
        <v>0</v>
      </c>
      <c r="X771" s="18">
        <f t="shared" si="99"/>
        <v>-28200</v>
      </c>
      <c r="Y771" s="26">
        <f ca="1">(U771*((Indicadores_Economicos!D$2+1)^(1/12)-1))</f>
        <v>199763.91361656424</v>
      </c>
      <c r="Z771" s="18">
        <f t="shared" ref="Z771:Z834" ca="1" si="103">U771+V771+W771+X771+Y771</f>
        <v>61191659.25008411</v>
      </c>
      <c r="AA771" s="18">
        <f ca="1">Auxiliar_Projetos!E771</f>
        <v>4.8277945663423734E-9</v>
      </c>
      <c r="AB771" s="18">
        <f ca="1">Auxiliar_Projetos!K771</f>
        <v>3.7136881279556636E-9</v>
      </c>
      <c r="AC771" s="18">
        <f ca="1">IF(Z771-AA771-AB771&gt;Investimentos!$C$14,Investimentos!$C$14,IF(Z771-AA771-AB771&lt;Investimentos!$C$14,Z771-AA771-AB771,0))</f>
        <v>300000</v>
      </c>
      <c r="AD771" s="18">
        <f t="shared" ref="AD771:AD834" ca="1" si="104">Z771-AA771-AB771-AC771</f>
        <v>60891659.250084102</v>
      </c>
      <c r="AE771" s="18"/>
    </row>
    <row r="772" spans="1:31" x14ac:dyDescent="0.2">
      <c r="A772" s="4">
        <v>69093</v>
      </c>
      <c r="B772" s="5" t="str">
        <f t="shared" si="100"/>
        <v>março</v>
      </c>
      <c r="C772" s="5" t="str">
        <f t="shared" si="98"/>
        <v>2089</v>
      </c>
      <c r="D772" s="5">
        <f>SUMIFS(Despesas!$F:$F,Despesas!$J:$J,"&lt;="&amp;$A772,Despesas!$L:$L,"&gt;="&amp;$A772,Despesas!$C:$C,D$1,Despesas!$M:$M,"Mensal")+SUMIFS(Despesas!$F:$F,Despesas!$J:$J,"&lt;="&amp;$A772,Despesas!$L:$L,"&gt;="&amp;$A772,Despesas!$C:$C,D$1,Despesas!$M:$M,$B772)</f>
        <v>23000</v>
      </c>
      <c r="E772" s="18">
        <f>SUMIFS(Despesas!$F:$F,Despesas!$J:$J,"&lt;="&amp;$A772,Despesas!$L:$L,"&gt;="&amp;$A772,Despesas!$C:$C,E$1,Despesas!$M:$M,"Mensal")+SUMIFS(Despesas!$F:$F,Despesas!$J:$J,"&lt;="&amp;$A772,Despesas!$L:$L,"&gt;="&amp;$A772,Despesas!$C:$C,E$1,Despesas!$M:$M,$B772)</f>
        <v>0</v>
      </c>
      <c r="F772" s="5">
        <f>SUMIFS(Despesas!$F:$F,Despesas!$J:$J,"&lt;="&amp;$A772,Despesas!$L:$L,"&gt;="&amp;$A772,Despesas!$C:$C,F$1,Despesas!$M:$M,"Mensal")+SUMIFS(Despesas!$F:$F,Despesas!$J:$J,"&lt;="&amp;$A772,Despesas!$L:$L,"&gt;="&amp;$A772,Despesas!$C:$C,F$1,Despesas!$M:$M,$B772)</f>
        <v>13000</v>
      </c>
      <c r="G772" s="5">
        <f>SUMIFS(Despesas!$F:$F,Despesas!$J:$J,"&lt;="&amp;$A772,Despesas!$L:$L,"&gt;="&amp;$A772,Despesas!$C:$C,G$1,Despesas!$M:$M,"Mensal")+SUMIFS(Despesas!$F:$F,Despesas!$J:$J,"&lt;="&amp;$A772,Despesas!$L:$L,"&gt;="&amp;$A772,Despesas!$C:$C,G$1,Despesas!$M:$M,$B772)</f>
        <v>0</v>
      </c>
      <c r="H772" s="18">
        <f>SUMIFS(Despesas!$F:$F,Despesas!$J:$J,"&lt;="&amp;$A772,Despesas!$L:$L,"&gt;="&amp;$A772,Despesas!$C:$C,H$1,Despesas!$M:$M,"Mensal")+SUMIFS(Despesas!$F:$F,Despesas!$J:$J,"&lt;="&amp;$A772,Despesas!$L:$L,"&gt;="&amp;$A772,Despesas!$C:$C,H$1,Despesas!$M:$M,$B772)</f>
        <v>1000</v>
      </c>
      <c r="I772" s="18">
        <f>IF(Imóveis!$F$2="PRICE",IF(AND(Dados!$A772&gt;=Imóveis!$Q$2,Dados!$A772&lt;=Imóveis!$T$2),Imóveis!$U$2,0),IF((IF(AND(Dados!$A772&gt;=Imóveis!$Q$2,Dados!$A772&lt;=Imóveis!$T$2),Imóveis!$S$2-(DATEDIF(Imóveis!$Q$2,Dados!$A772,"m")),0))=0,0,((Imóveis!$N$2/Imóveis!$S$2)+((Imóveis!$N$2-((Imóveis!$S$2-(IF(AND(Dados!$A772&gt;=Imóveis!$Q$2,Dados!$A772&lt;=Imóveis!$T$2),Imóveis!$S$2-(DATEDIF(Imóveis!$Q$2,Dados!$A772,"m")),)))*(Imóveis!$N$2/Imóveis!$S$2)))*Imóveis!$P$2))))*IF(AND(Imóveis!$E$2&gt;0,Dados!$A772&gt;Imóveis!$E$2),0,1)</f>
        <v>0</v>
      </c>
      <c r="J772" s="18">
        <f>IF(Imóveis!$F$3="PRICE",IF(AND(Dados!$A772&gt;=Imóveis!$Q$3,Dados!$A772&lt;=Imóveis!$T$3),Imóveis!$U$3,0),IF((IF(AND(Dados!$A772&gt;=Imóveis!$Q$3,Dados!$A772&lt;=Imóveis!$T$3),Imóveis!$S$3-(DATEDIF(Imóveis!$Q$3,Dados!$A772,"m")),0))=0,0,((Imóveis!$N$3/Imóveis!$S$3)+((Imóveis!$N$3-((Imóveis!$S$3-(IF(AND(Dados!$A772&gt;=Imóveis!$Q$3,Dados!$A772&lt;=Imóveis!$T$3),Imóveis!$S$3-(DATEDIF(Imóveis!$Q$3,Dados!$A772,"m")),)))*(Imóveis!$N$3/Imóveis!$S$3)))*Imóveis!$P$3))))*IF(AND(Imóveis!$E$3&gt;0,Dados!$A772&gt;Imóveis!$E$3),0,1)</f>
        <v>0</v>
      </c>
      <c r="K772" s="18">
        <f>IF(Imóveis!$F$4="PRICE",IF(AND(Dados!$A772&gt;=Imóveis!$Q$4,Dados!$A772&lt;=Imóveis!$T$4),Imóveis!$U$4,0),IF((IF(AND(Dados!$A772&gt;=Imóveis!$Q$4,Dados!$A772&lt;=Imóveis!$T$4),Imóveis!$S$4-(DATEDIF(Imóveis!$Q$4,Dados!$A772,"m")),0))=0,0,((Imóveis!$N$4/Imóveis!$S$4)+((Imóveis!$N$4-((Imóveis!$S$4-(IF(AND(Dados!$A772&gt;=Imóveis!$Q$4,Dados!$A772&lt;=Imóveis!$T$4),Imóveis!$S$4-(DATEDIF(Imóveis!$Q$4,Dados!$A772,"m")),)))*(Imóveis!$N$4/Imóveis!$S$4)))*Imóveis!$P$4))))*IF(AND(Imóveis!$E$4&gt;0,Dados!$A772&gt;Imóveis!$E$4),0,1)</f>
        <v>0</v>
      </c>
      <c r="L772" s="18">
        <f>IF(Imóveis!$F$5="PRICE",IF(AND(Dados!$A772&gt;=Imóveis!$Q$5,Dados!$A772&lt;=Imóveis!$T$5),Imóveis!$U$5,0),IF((IF(AND(Dados!$A772&gt;=Imóveis!$Q$5,Dados!$A772&lt;=Imóveis!$T$5),Imóveis!$S$5-(DATEDIF(Imóveis!$Q$5,Dados!$A772,"m")),0))=0,0,((Imóveis!$N$5/Imóveis!$S$5)+((Imóveis!$N$5-((Imóveis!$S$5-(IF(AND(Dados!$A772 &gt;=Imóveis!$Q$5,Dados!$A772&lt;=Imóveis!$T$5),Imóveis!$S$5-(DATEDIF(Imóveis!$Q$5,Dados!$A772,"m")),)))*(Imóveis!$N$5/Imóveis!$S$5)))*Imóveis!$P$5))))*IF(AND(Imóveis!$E$5&gt;0,Dados!$A772&gt;Imóveis!$E$5),0,1)*Imóveis!$I$5</f>
        <v>0</v>
      </c>
      <c r="M772" s="18">
        <f>IF(Imóveis!$F$6="PRICE",IF(AND(Dados!$A772&gt;=Imóveis!$Q$6,Dados!$A772&lt;=Imóveis!$T$6),Imóveis!$U$6,0),IF((IF(AND(Dados!$A772&gt;=Imóveis!$Q$6,Dados!$A772&lt;=Imóveis!$T$6),Imóveis!$S$6-(DATEDIF(Imóveis!$Q$6,Dados!$A772,"m")),0))=0,0,((Imóveis!$N$6/Imóveis!$S$6)+((Imóveis!$N$6-((Imóveis!$S$6-(IF(AND(Dados!$A772&gt;=Imóveis!$Q$6,Dados!$A772&lt;=Imóveis!$T$6),Imóveis!$S$6-(DATEDIF(Imóveis!$Q$6,Dados!$A772,"m")),)))*(Imóveis!$N$6/Imóveis!$S$6)))*Imóveis!$P$6))))*IF(AND(Imóveis!$E$6&gt;0,Dados!$A772&gt;Imóveis!$E$6),0,1)*Imóveis!$I$6</f>
        <v>0</v>
      </c>
      <c r="N772" s="18">
        <f t="shared" si="101"/>
        <v>37000</v>
      </c>
      <c r="O772" s="18">
        <f>SUMIFS(Receitas!$F:$F,Receitas!$J:$J,"&lt;="&amp;$A772,Receitas!$L:$L,"&gt;="&amp;$A772,Receitas!$C:$C,O$1,Receitas!$M:$M,"Mensal")+SUMIFS(Receitas!$F:$F,Receitas!$J:$J,"&lt;="&amp;$A772,Receitas!$L:$L,"&gt;="&amp;$A772,Receitas!$C:$C,O$1,Receitas!$M:$M,$B772)</f>
        <v>0</v>
      </c>
      <c r="P772" s="18">
        <f>SUMIFS(Receitas!$F:$F,Receitas!$J:$J,"&lt;="&amp;$A772,Receitas!$L:$L,"&gt;="&amp;$A772,Receitas!$C:$C,P$1,Receitas!$M:$M,"Mensal")+SUMIFS(Receitas!$F:$F,Receitas!$J:$J,"&lt;="&amp;$A772,Receitas!$L:$L,"&gt;="&amp;$A772,Receitas!$C:$C,P$1,Receitas!$M:$M,$B772)</f>
        <v>0</v>
      </c>
      <c r="Q772" s="18">
        <f>SUMIFS(Receitas!$F:$F,Receitas!$J:$J,"&lt;="&amp;$A772,Receitas!$L:$L,"&gt;="&amp;$A772,Receitas!$C:$C,Q$1,Receitas!$M:$M,"Mensal")+SUMIFS(Receitas!$F:$F,Receitas!$J:$J,"&lt;="&amp;$A772,Receitas!$L:$L,"&gt;="&amp;$A772,Receitas!$C:$C,Q$1,Receitas!$M:$M,$B772)</f>
        <v>0</v>
      </c>
      <c r="R772" s="18" cm="1">
        <f t="array" ref="R772">(IF(AND(Membros!$F$2="Sim",A772&lt;=MAX(Membros!$E$2:$E$5)),Membros!K$2,IF(AND(A772&gt;=Membros!J$2,A772&lt;=MAX(Membros!$E$2:$E$5)),Membros!K$2,0))+IF(AND(Membros!$F$3="Sim",A772&lt;=MAX(Membros!$E$2:$E$5)),Membros!K$3,IF(AND(A772&gt;=Membros!J$3,A772&lt;=MAX(Membros!$E$2:$E$5)),Membros!K$3,0)))*IF(AND(COUNTIFS(Tabela3[Tipo],"Provedor",Tabela3[Simulação Seguro],"Sim")=2,A772&gt;=MAX(IF(Tabela3[Tipo]="Dependente",Tabela3[Expectativa de Vida (Data)]))),0,1)</f>
        <v>10000</v>
      </c>
      <c r="S772" s="18">
        <f t="shared" si="102"/>
        <v>10000</v>
      </c>
      <c r="U772" s="18">
        <f t="shared" ref="U772:U835" ca="1" si="105">Z771</f>
        <v>61191659.25008411</v>
      </c>
      <c r="V772" s="18">
        <f>SUMIF(Imóveis!E:E,Dados!A:A,Imóveis!Z:Z)-SUMIF(Imóveis!E:E,Dados!A:A,Imóveis!Y:Y)</f>
        <v>0</v>
      </c>
      <c r="W772" s="18">
        <f>-SUMIF(Projetos!N:N,A772,Projetos!F:F)</f>
        <v>0</v>
      </c>
      <c r="X772" s="18">
        <f t="shared" si="99"/>
        <v>-27000</v>
      </c>
      <c r="Y772" s="26">
        <f ca="1">(U772*((Indicadores_Economicos!D$2+1)^(1/12)-1))</f>
        <v>200325.56922576056</v>
      </c>
      <c r="Z772" s="18">
        <f t="shared" ca="1" si="103"/>
        <v>61364984.819309868</v>
      </c>
      <c r="AA772" s="18">
        <f ca="1">Auxiliar_Projetos!E772</f>
        <v>4.8435995094744919E-9</v>
      </c>
      <c r="AB772" s="18">
        <f ca="1">Auxiliar_Projetos!K772</f>
        <v>3.7258457765188316E-9</v>
      </c>
      <c r="AC772" s="18">
        <f ca="1">IF(Z772-AA772-AB772&gt;Investimentos!$C$14,Investimentos!$C$14,IF(Z772-AA772-AB772&lt;Investimentos!$C$14,Z772-AA772-AB772,0))</f>
        <v>300000</v>
      </c>
      <c r="AD772" s="18">
        <f t="shared" ca="1" si="104"/>
        <v>61064984.819309853</v>
      </c>
      <c r="AE772" s="18"/>
    </row>
    <row r="773" spans="1:31" x14ac:dyDescent="0.2">
      <c r="A773" s="4">
        <v>69124</v>
      </c>
      <c r="B773" s="5" t="str">
        <f t="shared" si="100"/>
        <v>abril</v>
      </c>
      <c r="C773" s="5" t="str">
        <f t="shared" si="98"/>
        <v>2089</v>
      </c>
      <c r="D773" s="5">
        <f>SUMIFS(Despesas!$F:$F,Despesas!$J:$J,"&lt;="&amp;$A773,Despesas!$L:$L,"&gt;="&amp;$A773,Despesas!$C:$C,D$1,Despesas!$M:$M,"Mensal")+SUMIFS(Despesas!$F:$F,Despesas!$J:$J,"&lt;="&amp;$A773,Despesas!$L:$L,"&gt;="&amp;$A773,Despesas!$C:$C,D$1,Despesas!$M:$M,$B773)</f>
        <v>23000</v>
      </c>
      <c r="E773" s="18">
        <f>SUMIFS(Despesas!$F:$F,Despesas!$J:$J,"&lt;="&amp;$A773,Despesas!$L:$L,"&gt;="&amp;$A773,Despesas!$C:$C,E$1,Despesas!$M:$M,"Mensal")+SUMIFS(Despesas!$F:$F,Despesas!$J:$J,"&lt;="&amp;$A773,Despesas!$L:$L,"&gt;="&amp;$A773,Despesas!$C:$C,E$1,Despesas!$M:$M,$B773)</f>
        <v>0</v>
      </c>
      <c r="F773" s="5">
        <f>SUMIFS(Despesas!$F:$F,Despesas!$J:$J,"&lt;="&amp;$A773,Despesas!$L:$L,"&gt;="&amp;$A773,Despesas!$C:$C,F$1,Despesas!$M:$M,"Mensal")+SUMIFS(Despesas!$F:$F,Despesas!$J:$J,"&lt;="&amp;$A773,Despesas!$L:$L,"&gt;="&amp;$A773,Despesas!$C:$C,F$1,Despesas!$M:$M,$B773)</f>
        <v>13000</v>
      </c>
      <c r="G773" s="5">
        <f>SUMIFS(Despesas!$F:$F,Despesas!$J:$J,"&lt;="&amp;$A773,Despesas!$L:$L,"&gt;="&amp;$A773,Despesas!$C:$C,G$1,Despesas!$M:$M,"Mensal")+SUMIFS(Despesas!$F:$F,Despesas!$J:$J,"&lt;="&amp;$A773,Despesas!$L:$L,"&gt;="&amp;$A773,Despesas!$C:$C,G$1,Despesas!$M:$M,$B773)</f>
        <v>0</v>
      </c>
      <c r="H773" s="18">
        <f>SUMIFS(Despesas!$F:$F,Despesas!$J:$J,"&lt;="&amp;$A773,Despesas!$L:$L,"&gt;="&amp;$A773,Despesas!$C:$C,H$1,Despesas!$M:$M,"Mensal")+SUMIFS(Despesas!$F:$F,Despesas!$J:$J,"&lt;="&amp;$A773,Despesas!$L:$L,"&gt;="&amp;$A773,Despesas!$C:$C,H$1,Despesas!$M:$M,$B773)</f>
        <v>1000</v>
      </c>
      <c r="I773" s="18">
        <f>IF(Imóveis!$F$2="PRICE",IF(AND(Dados!$A773&gt;=Imóveis!$Q$2,Dados!$A773&lt;=Imóveis!$T$2),Imóveis!$U$2,0),IF((IF(AND(Dados!$A773&gt;=Imóveis!$Q$2,Dados!$A773&lt;=Imóveis!$T$2),Imóveis!$S$2-(DATEDIF(Imóveis!$Q$2,Dados!$A773,"m")),0))=0,0,((Imóveis!$N$2/Imóveis!$S$2)+((Imóveis!$N$2-((Imóveis!$S$2-(IF(AND(Dados!$A773&gt;=Imóveis!$Q$2,Dados!$A773&lt;=Imóveis!$T$2),Imóveis!$S$2-(DATEDIF(Imóveis!$Q$2,Dados!$A773,"m")),)))*(Imóveis!$N$2/Imóveis!$S$2)))*Imóveis!$P$2))))*IF(AND(Imóveis!$E$2&gt;0,Dados!$A773&gt;Imóveis!$E$2),0,1)</f>
        <v>0</v>
      </c>
      <c r="J773" s="18">
        <f>IF(Imóveis!$F$3="PRICE",IF(AND(Dados!$A773&gt;=Imóveis!$Q$3,Dados!$A773&lt;=Imóveis!$T$3),Imóveis!$U$3,0),IF((IF(AND(Dados!$A773&gt;=Imóveis!$Q$3,Dados!$A773&lt;=Imóveis!$T$3),Imóveis!$S$3-(DATEDIF(Imóveis!$Q$3,Dados!$A773,"m")),0))=0,0,((Imóveis!$N$3/Imóveis!$S$3)+((Imóveis!$N$3-((Imóveis!$S$3-(IF(AND(Dados!$A773&gt;=Imóveis!$Q$3,Dados!$A773&lt;=Imóveis!$T$3),Imóveis!$S$3-(DATEDIF(Imóveis!$Q$3,Dados!$A773,"m")),)))*(Imóveis!$N$3/Imóveis!$S$3)))*Imóveis!$P$3))))*IF(AND(Imóveis!$E$3&gt;0,Dados!$A773&gt;Imóveis!$E$3),0,1)</f>
        <v>0</v>
      </c>
      <c r="K773" s="18">
        <f>IF(Imóveis!$F$4="PRICE",IF(AND(Dados!$A773&gt;=Imóveis!$Q$4,Dados!$A773&lt;=Imóveis!$T$4),Imóveis!$U$4,0),IF((IF(AND(Dados!$A773&gt;=Imóveis!$Q$4,Dados!$A773&lt;=Imóveis!$T$4),Imóveis!$S$4-(DATEDIF(Imóveis!$Q$4,Dados!$A773,"m")),0))=0,0,((Imóveis!$N$4/Imóveis!$S$4)+((Imóveis!$N$4-((Imóveis!$S$4-(IF(AND(Dados!$A773&gt;=Imóveis!$Q$4,Dados!$A773&lt;=Imóveis!$T$4),Imóveis!$S$4-(DATEDIF(Imóveis!$Q$4,Dados!$A773,"m")),)))*(Imóveis!$N$4/Imóveis!$S$4)))*Imóveis!$P$4))))*IF(AND(Imóveis!$E$4&gt;0,Dados!$A773&gt;Imóveis!$E$4),0,1)</f>
        <v>0</v>
      </c>
      <c r="L773" s="18">
        <f>IF(Imóveis!$F$5="PRICE",IF(AND(Dados!$A773&gt;=Imóveis!$Q$5,Dados!$A773&lt;=Imóveis!$T$5),Imóveis!$U$5,0),IF((IF(AND(Dados!$A773&gt;=Imóveis!$Q$5,Dados!$A773&lt;=Imóveis!$T$5),Imóveis!$S$5-(DATEDIF(Imóveis!$Q$5,Dados!$A773,"m")),0))=0,0,((Imóveis!$N$5/Imóveis!$S$5)+((Imóveis!$N$5-((Imóveis!$S$5-(IF(AND(Dados!$A773 &gt;=Imóveis!$Q$5,Dados!$A773&lt;=Imóveis!$T$5),Imóveis!$S$5-(DATEDIF(Imóveis!$Q$5,Dados!$A773,"m")),)))*(Imóveis!$N$5/Imóveis!$S$5)))*Imóveis!$P$5))))*IF(AND(Imóveis!$E$5&gt;0,Dados!$A773&gt;Imóveis!$E$5),0,1)*Imóveis!$I$5</f>
        <v>0</v>
      </c>
      <c r="M773" s="18">
        <f>IF(Imóveis!$F$6="PRICE",IF(AND(Dados!$A773&gt;=Imóveis!$Q$6,Dados!$A773&lt;=Imóveis!$T$6),Imóveis!$U$6,0),IF((IF(AND(Dados!$A773&gt;=Imóveis!$Q$6,Dados!$A773&lt;=Imóveis!$T$6),Imóveis!$S$6-(DATEDIF(Imóveis!$Q$6,Dados!$A773,"m")),0))=0,0,((Imóveis!$N$6/Imóveis!$S$6)+((Imóveis!$N$6-((Imóveis!$S$6-(IF(AND(Dados!$A773&gt;=Imóveis!$Q$6,Dados!$A773&lt;=Imóveis!$T$6),Imóveis!$S$6-(DATEDIF(Imóveis!$Q$6,Dados!$A773,"m")),)))*(Imóveis!$N$6/Imóveis!$S$6)))*Imóveis!$P$6))))*IF(AND(Imóveis!$E$6&gt;0,Dados!$A773&gt;Imóveis!$E$6),0,1)*Imóveis!$I$6</f>
        <v>0</v>
      </c>
      <c r="N773" s="18">
        <f t="shared" si="101"/>
        <v>37000</v>
      </c>
      <c r="O773" s="18">
        <f>SUMIFS(Receitas!$F:$F,Receitas!$J:$J,"&lt;="&amp;$A773,Receitas!$L:$L,"&gt;="&amp;$A773,Receitas!$C:$C,O$1,Receitas!$M:$M,"Mensal")+SUMIFS(Receitas!$F:$F,Receitas!$J:$J,"&lt;="&amp;$A773,Receitas!$L:$L,"&gt;="&amp;$A773,Receitas!$C:$C,O$1,Receitas!$M:$M,$B773)</f>
        <v>0</v>
      </c>
      <c r="P773" s="18">
        <f>SUMIFS(Receitas!$F:$F,Receitas!$J:$J,"&lt;="&amp;$A773,Receitas!$L:$L,"&gt;="&amp;$A773,Receitas!$C:$C,P$1,Receitas!$M:$M,"Mensal")+SUMIFS(Receitas!$F:$F,Receitas!$J:$J,"&lt;="&amp;$A773,Receitas!$L:$L,"&gt;="&amp;$A773,Receitas!$C:$C,P$1,Receitas!$M:$M,$B773)</f>
        <v>0</v>
      </c>
      <c r="Q773" s="18">
        <f>SUMIFS(Receitas!$F:$F,Receitas!$J:$J,"&lt;="&amp;$A773,Receitas!$L:$L,"&gt;="&amp;$A773,Receitas!$C:$C,Q$1,Receitas!$M:$M,"Mensal")+SUMIFS(Receitas!$F:$F,Receitas!$J:$J,"&lt;="&amp;$A773,Receitas!$L:$L,"&gt;="&amp;$A773,Receitas!$C:$C,Q$1,Receitas!$M:$M,$B773)</f>
        <v>0</v>
      </c>
      <c r="R773" s="18" cm="1">
        <f t="array" ref="R773">(IF(AND(Membros!$F$2="Sim",A773&lt;=MAX(Membros!$E$2:$E$5)),Membros!K$2,IF(AND(A773&gt;=Membros!J$2,A773&lt;=MAX(Membros!$E$2:$E$5)),Membros!K$2,0))+IF(AND(Membros!$F$3="Sim",A773&lt;=MAX(Membros!$E$2:$E$5)),Membros!K$3,IF(AND(A773&gt;=Membros!J$3,A773&lt;=MAX(Membros!$E$2:$E$5)),Membros!K$3,0)))*IF(AND(COUNTIFS(Tabela3[Tipo],"Provedor",Tabela3[Simulação Seguro],"Sim")=2,A773&gt;=MAX(IF(Tabela3[Tipo]="Dependente",Tabela3[Expectativa de Vida (Data)]))),0,1)</f>
        <v>10000</v>
      </c>
      <c r="S773" s="18">
        <f t="shared" si="102"/>
        <v>10000</v>
      </c>
      <c r="U773" s="18">
        <f t="shared" ca="1" si="105"/>
        <v>61364984.819309868</v>
      </c>
      <c r="V773" s="18">
        <f>SUMIF(Imóveis!E:E,Dados!A:A,Imóveis!Z:Z)-SUMIF(Imóveis!E:E,Dados!A:A,Imóveis!Y:Y)</f>
        <v>0</v>
      </c>
      <c r="W773" s="18">
        <f>-SUMIF(Projetos!N:N,A773,Projetos!F:F)</f>
        <v>0</v>
      </c>
      <c r="X773" s="18">
        <f t="shared" si="99"/>
        <v>-27000</v>
      </c>
      <c r="Y773" s="26">
        <f ca="1">(U773*((Indicadores_Economicos!D$2+1)^(1/12)-1))</f>
        <v>200892.99203700718</v>
      </c>
      <c r="Z773" s="18">
        <f t="shared" ca="1" si="103"/>
        <v>61538877.811346874</v>
      </c>
      <c r="AA773" s="18">
        <f ca="1">Auxiliar_Projetos!E773</f>
        <v>4.8594561938776977E-9</v>
      </c>
      <c r="AB773" s="18">
        <f ca="1">Auxiliar_Projetos!K773</f>
        <v>3.7380432260597592E-9</v>
      </c>
      <c r="AC773" s="18">
        <f ca="1">IF(Z773-AA773-AB773&gt;Investimentos!$C$14,Investimentos!$C$14,IF(Z773-AA773-AB773&lt;Investimentos!$C$14,Z773-AA773-AB773,0))</f>
        <v>300000</v>
      </c>
      <c r="AD773" s="18">
        <f t="shared" ca="1" si="104"/>
        <v>61238877.811346859</v>
      </c>
      <c r="AE773" s="18"/>
    </row>
    <row r="774" spans="1:31" x14ac:dyDescent="0.2">
      <c r="A774" s="4">
        <v>69154</v>
      </c>
      <c r="B774" s="5" t="str">
        <f t="shared" si="100"/>
        <v>maio</v>
      </c>
      <c r="C774" s="5" t="str">
        <f t="shared" si="98"/>
        <v>2089</v>
      </c>
      <c r="D774" s="5">
        <f>SUMIFS(Despesas!$F:$F,Despesas!$J:$J,"&lt;="&amp;$A774,Despesas!$L:$L,"&gt;="&amp;$A774,Despesas!$C:$C,D$1,Despesas!$M:$M,"Mensal")+SUMIFS(Despesas!$F:$F,Despesas!$J:$J,"&lt;="&amp;$A774,Despesas!$L:$L,"&gt;="&amp;$A774,Despesas!$C:$C,D$1,Despesas!$M:$M,$B774)</f>
        <v>23000</v>
      </c>
      <c r="E774" s="18">
        <f>SUMIFS(Despesas!$F:$F,Despesas!$J:$J,"&lt;="&amp;$A774,Despesas!$L:$L,"&gt;="&amp;$A774,Despesas!$C:$C,E$1,Despesas!$M:$M,"Mensal")+SUMIFS(Despesas!$F:$F,Despesas!$J:$J,"&lt;="&amp;$A774,Despesas!$L:$L,"&gt;="&amp;$A774,Despesas!$C:$C,E$1,Despesas!$M:$M,$B774)</f>
        <v>0</v>
      </c>
      <c r="F774" s="5">
        <f>SUMIFS(Despesas!$F:$F,Despesas!$J:$J,"&lt;="&amp;$A774,Despesas!$L:$L,"&gt;="&amp;$A774,Despesas!$C:$C,F$1,Despesas!$M:$M,"Mensal")+SUMIFS(Despesas!$F:$F,Despesas!$J:$J,"&lt;="&amp;$A774,Despesas!$L:$L,"&gt;="&amp;$A774,Despesas!$C:$C,F$1,Despesas!$M:$M,$B774)</f>
        <v>13000</v>
      </c>
      <c r="G774" s="5">
        <f>SUMIFS(Despesas!$F:$F,Despesas!$J:$J,"&lt;="&amp;$A774,Despesas!$L:$L,"&gt;="&amp;$A774,Despesas!$C:$C,G$1,Despesas!$M:$M,"Mensal")+SUMIFS(Despesas!$F:$F,Despesas!$J:$J,"&lt;="&amp;$A774,Despesas!$L:$L,"&gt;="&amp;$A774,Despesas!$C:$C,G$1,Despesas!$M:$M,$B774)</f>
        <v>0</v>
      </c>
      <c r="H774" s="18">
        <f>SUMIFS(Despesas!$F:$F,Despesas!$J:$J,"&lt;="&amp;$A774,Despesas!$L:$L,"&gt;="&amp;$A774,Despesas!$C:$C,H$1,Despesas!$M:$M,"Mensal")+SUMIFS(Despesas!$F:$F,Despesas!$J:$J,"&lt;="&amp;$A774,Despesas!$L:$L,"&gt;="&amp;$A774,Despesas!$C:$C,H$1,Despesas!$M:$M,$B774)</f>
        <v>1000</v>
      </c>
      <c r="I774" s="18">
        <f>IF(Imóveis!$F$2="PRICE",IF(AND(Dados!$A774&gt;=Imóveis!$Q$2,Dados!$A774&lt;=Imóveis!$T$2),Imóveis!$U$2,0),IF((IF(AND(Dados!$A774&gt;=Imóveis!$Q$2,Dados!$A774&lt;=Imóveis!$T$2),Imóveis!$S$2-(DATEDIF(Imóveis!$Q$2,Dados!$A774,"m")),0))=0,0,((Imóveis!$N$2/Imóveis!$S$2)+((Imóveis!$N$2-((Imóveis!$S$2-(IF(AND(Dados!$A774&gt;=Imóveis!$Q$2,Dados!$A774&lt;=Imóveis!$T$2),Imóveis!$S$2-(DATEDIF(Imóveis!$Q$2,Dados!$A774,"m")),)))*(Imóveis!$N$2/Imóveis!$S$2)))*Imóveis!$P$2))))*IF(AND(Imóveis!$E$2&gt;0,Dados!$A774&gt;Imóveis!$E$2),0,1)</f>
        <v>0</v>
      </c>
      <c r="J774" s="18">
        <f>IF(Imóveis!$F$3="PRICE",IF(AND(Dados!$A774&gt;=Imóveis!$Q$3,Dados!$A774&lt;=Imóveis!$T$3),Imóveis!$U$3,0),IF((IF(AND(Dados!$A774&gt;=Imóveis!$Q$3,Dados!$A774&lt;=Imóveis!$T$3),Imóveis!$S$3-(DATEDIF(Imóveis!$Q$3,Dados!$A774,"m")),0))=0,0,((Imóveis!$N$3/Imóveis!$S$3)+((Imóveis!$N$3-((Imóveis!$S$3-(IF(AND(Dados!$A774&gt;=Imóveis!$Q$3,Dados!$A774&lt;=Imóveis!$T$3),Imóveis!$S$3-(DATEDIF(Imóveis!$Q$3,Dados!$A774,"m")),)))*(Imóveis!$N$3/Imóveis!$S$3)))*Imóveis!$P$3))))*IF(AND(Imóveis!$E$3&gt;0,Dados!$A774&gt;Imóveis!$E$3),0,1)</f>
        <v>0</v>
      </c>
      <c r="K774" s="18">
        <f>IF(Imóveis!$F$4="PRICE",IF(AND(Dados!$A774&gt;=Imóveis!$Q$4,Dados!$A774&lt;=Imóveis!$T$4),Imóveis!$U$4,0),IF((IF(AND(Dados!$A774&gt;=Imóveis!$Q$4,Dados!$A774&lt;=Imóveis!$T$4),Imóveis!$S$4-(DATEDIF(Imóveis!$Q$4,Dados!$A774,"m")),0))=0,0,((Imóveis!$N$4/Imóveis!$S$4)+((Imóveis!$N$4-((Imóveis!$S$4-(IF(AND(Dados!$A774&gt;=Imóveis!$Q$4,Dados!$A774&lt;=Imóveis!$T$4),Imóveis!$S$4-(DATEDIF(Imóveis!$Q$4,Dados!$A774,"m")),)))*(Imóveis!$N$4/Imóveis!$S$4)))*Imóveis!$P$4))))*IF(AND(Imóveis!$E$4&gt;0,Dados!$A774&gt;Imóveis!$E$4),0,1)</f>
        <v>0</v>
      </c>
      <c r="L774" s="18">
        <f>IF(Imóveis!$F$5="PRICE",IF(AND(Dados!$A774&gt;=Imóveis!$Q$5,Dados!$A774&lt;=Imóveis!$T$5),Imóveis!$U$5,0),IF((IF(AND(Dados!$A774&gt;=Imóveis!$Q$5,Dados!$A774&lt;=Imóveis!$T$5),Imóveis!$S$5-(DATEDIF(Imóveis!$Q$5,Dados!$A774,"m")),0))=0,0,((Imóveis!$N$5/Imóveis!$S$5)+((Imóveis!$N$5-((Imóveis!$S$5-(IF(AND(Dados!$A774 &gt;=Imóveis!$Q$5,Dados!$A774&lt;=Imóveis!$T$5),Imóveis!$S$5-(DATEDIF(Imóveis!$Q$5,Dados!$A774,"m")),)))*(Imóveis!$N$5/Imóveis!$S$5)))*Imóveis!$P$5))))*IF(AND(Imóveis!$E$5&gt;0,Dados!$A774&gt;Imóveis!$E$5),0,1)*Imóveis!$I$5</f>
        <v>0</v>
      </c>
      <c r="M774" s="18">
        <f>IF(Imóveis!$F$6="PRICE",IF(AND(Dados!$A774&gt;=Imóveis!$Q$6,Dados!$A774&lt;=Imóveis!$T$6),Imóveis!$U$6,0),IF((IF(AND(Dados!$A774&gt;=Imóveis!$Q$6,Dados!$A774&lt;=Imóveis!$T$6),Imóveis!$S$6-(DATEDIF(Imóveis!$Q$6,Dados!$A774,"m")),0))=0,0,((Imóveis!$N$6/Imóveis!$S$6)+((Imóveis!$N$6-((Imóveis!$S$6-(IF(AND(Dados!$A774&gt;=Imóveis!$Q$6,Dados!$A774&lt;=Imóveis!$T$6),Imóveis!$S$6-(DATEDIF(Imóveis!$Q$6,Dados!$A774,"m")),)))*(Imóveis!$N$6/Imóveis!$S$6)))*Imóveis!$P$6))))*IF(AND(Imóveis!$E$6&gt;0,Dados!$A774&gt;Imóveis!$E$6),0,1)*Imóveis!$I$6</f>
        <v>0</v>
      </c>
      <c r="N774" s="18">
        <f t="shared" si="101"/>
        <v>37000</v>
      </c>
      <c r="O774" s="18">
        <f>SUMIFS(Receitas!$F:$F,Receitas!$J:$J,"&lt;="&amp;$A774,Receitas!$L:$L,"&gt;="&amp;$A774,Receitas!$C:$C,O$1,Receitas!$M:$M,"Mensal")+SUMIFS(Receitas!$F:$F,Receitas!$J:$J,"&lt;="&amp;$A774,Receitas!$L:$L,"&gt;="&amp;$A774,Receitas!$C:$C,O$1,Receitas!$M:$M,$B774)</f>
        <v>0</v>
      </c>
      <c r="P774" s="18">
        <f>SUMIFS(Receitas!$F:$F,Receitas!$J:$J,"&lt;="&amp;$A774,Receitas!$L:$L,"&gt;="&amp;$A774,Receitas!$C:$C,P$1,Receitas!$M:$M,"Mensal")+SUMIFS(Receitas!$F:$F,Receitas!$J:$J,"&lt;="&amp;$A774,Receitas!$L:$L,"&gt;="&amp;$A774,Receitas!$C:$C,P$1,Receitas!$M:$M,$B774)</f>
        <v>0</v>
      </c>
      <c r="Q774" s="18">
        <f>SUMIFS(Receitas!$F:$F,Receitas!$J:$J,"&lt;="&amp;$A774,Receitas!$L:$L,"&gt;="&amp;$A774,Receitas!$C:$C,Q$1,Receitas!$M:$M,"Mensal")+SUMIFS(Receitas!$F:$F,Receitas!$J:$J,"&lt;="&amp;$A774,Receitas!$L:$L,"&gt;="&amp;$A774,Receitas!$C:$C,Q$1,Receitas!$M:$M,$B774)</f>
        <v>0</v>
      </c>
      <c r="R774" s="18" cm="1">
        <f t="array" ref="R774">(IF(AND(Membros!$F$2="Sim",A774&lt;=MAX(Membros!$E$2:$E$5)),Membros!K$2,IF(AND(A774&gt;=Membros!J$2,A774&lt;=MAX(Membros!$E$2:$E$5)),Membros!K$2,0))+IF(AND(Membros!$F$3="Sim",A774&lt;=MAX(Membros!$E$2:$E$5)),Membros!K$3,IF(AND(A774&gt;=Membros!J$3,A774&lt;=MAX(Membros!$E$2:$E$5)),Membros!K$3,0)))*IF(AND(COUNTIFS(Tabela3[Tipo],"Provedor",Tabela3[Simulação Seguro],"Sim")=2,A774&gt;=MAX(IF(Tabela3[Tipo]="Dependente",Tabela3[Expectativa de Vida (Data)]))),0,1)</f>
        <v>10000</v>
      </c>
      <c r="S774" s="18">
        <f t="shared" si="102"/>
        <v>10000</v>
      </c>
      <c r="U774" s="18">
        <f t="shared" ca="1" si="105"/>
        <v>61538877.811346874</v>
      </c>
      <c r="V774" s="18">
        <f>SUMIF(Imóveis!E:E,Dados!A:A,Imóveis!Z:Z)-SUMIF(Imóveis!E:E,Dados!A:A,Imóveis!Y:Y)</f>
        <v>0</v>
      </c>
      <c r="W774" s="18">
        <f>-SUMIF(Projetos!N:N,A774,Projetos!F:F)</f>
        <v>0</v>
      </c>
      <c r="X774" s="18">
        <f t="shared" si="99"/>
        <v>-27000</v>
      </c>
      <c r="Y774" s="26">
        <f ca="1">(U774*((Indicadores_Economicos!D$2+1)^(1/12)-1))</f>
        <v>201462.27244288434</v>
      </c>
      <c r="Z774" s="18">
        <f t="shared" ca="1" si="103"/>
        <v>61713340.083789758</v>
      </c>
      <c r="AA774" s="18">
        <f ca="1">Auxiliar_Projetos!E774</f>
        <v>4.8753647889394482E-9</v>
      </c>
      <c r="AB774" s="18">
        <f ca="1">Auxiliar_Projetos!K774</f>
        <v>3.7502806068764903E-9</v>
      </c>
      <c r="AC774" s="18">
        <f ca="1">IF(Z774-AA774-AB774&gt;Investimentos!$C$14,Investimentos!$C$14,IF(Z774-AA774-AB774&lt;Investimentos!$C$14,Z774-AA774-AB774,0))</f>
        <v>300000</v>
      </c>
      <c r="AD774" s="18">
        <f t="shared" ca="1" si="104"/>
        <v>61413340.083789743</v>
      </c>
      <c r="AE774" s="18"/>
    </row>
    <row r="775" spans="1:31" x14ac:dyDescent="0.2">
      <c r="A775" s="4">
        <v>69185</v>
      </c>
      <c r="B775" s="5" t="str">
        <f t="shared" si="100"/>
        <v>junho</v>
      </c>
      <c r="C775" s="5" t="str">
        <f t="shared" si="98"/>
        <v>2089</v>
      </c>
      <c r="D775" s="5">
        <f>SUMIFS(Despesas!$F:$F,Despesas!$J:$J,"&lt;="&amp;$A775,Despesas!$L:$L,"&gt;="&amp;$A775,Despesas!$C:$C,D$1,Despesas!$M:$M,"Mensal")+SUMIFS(Despesas!$F:$F,Despesas!$J:$J,"&lt;="&amp;$A775,Despesas!$L:$L,"&gt;="&amp;$A775,Despesas!$C:$C,D$1,Despesas!$M:$M,$B775)</f>
        <v>23000</v>
      </c>
      <c r="E775" s="18">
        <f>SUMIFS(Despesas!$F:$F,Despesas!$J:$J,"&lt;="&amp;$A775,Despesas!$L:$L,"&gt;="&amp;$A775,Despesas!$C:$C,E$1,Despesas!$M:$M,"Mensal")+SUMIFS(Despesas!$F:$F,Despesas!$J:$J,"&lt;="&amp;$A775,Despesas!$L:$L,"&gt;="&amp;$A775,Despesas!$C:$C,E$1,Despesas!$M:$M,$B775)</f>
        <v>0</v>
      </c>
      <c r="F775" s="5">
        <f>SUMIFS(Despesas!$F:$F,Despesas!$J:$J,"&lt;="&amp;$A775,Despesas!$L:$L,"&gt;="&amp;$A775,Despesas!$C:$C,F$1,Despesas!$M:$M,"Mensal")+SUMIFS(Despesas!$F:$F,Despesas!$J:$J,"&lt;="&amp;$A775,Despesas!$L:$L,"&gt;="&amp;$A775,Despesas!$C:$C,F$1,Despesas!$M:$M,$B775)</f>
        <v>13000</v>
      </c>
      <c r="G775" s="5">
        <f>SUMIFS(Despesas!$F:$F,Despesas!$J:$J,"&lt;="&amp;$A775,Despesas!$L:$L,"&gt;="&amp;$A775,Despesas!$C:$C,G$1,Despesas!$M:$M,"Mensal")+SUMIFS(Despesas!$F:$F,Despesas!$J:$J,"&lt;="&amp;$A775,Despesas!$L:$L,"&gt;="&amp;$A775,Despesas!$C:$C,G$1,Despesas!$M:$M,$B775)</f>
        <v>0</v>
      </c>
      <c r="H775" s="18">
        <f>SUMIFS(Despesas!$F:$F,Despesas!$J:$J,"&lt;="&amp;$A775,Despesas!$L:$L,"&gt;="&amp;$A775,Despesas!$C:$C,H$1,Despesas!$M:$M,"Mensal")+SUMIFS(Despesas!$F:$F,Despesas!$J:$J,"&lt;="&amp;$A775,Despesas!$L:$L,"&gt;="&amp;$A775,Despesas!$C:$C,H$1,Despesas!$M:$M,$B775)</f>
        <v>1000</v>
      </c>
      <c r="I775" s="18">
        <f>IF(Imóveis!$F$2="PRICE",IF(AND(Dados!$A775&gt;=Imóveis!$Q$2,Dados!$A775&lt;=Imóveis!$T$2),Imóveis!$U$2,0),IF((IF(AND(Dados!$A775&gt;=Imóveis!$Q$2,Dados!$A775&lt;=Imóveis!$T$2),Imóveis!$S$2-(DATEDIF(Imóveis!$Q$2,Dados!$A775,"m")),0))=0,0,((Imóveis!$N$2/Imóveis!$S$2)+((Imóveis!$N$2-((Imóveis!$S$2-(IF(AND(Dados!$A775&gt;=Imóveis!$Q$2,Dados!$A775&lt;=Imóveis!$T$2),Imóveis!$S$2-(DATEDIF(Imóveis!$Q$2,Dados!$A775,"m")),)))*(Imóveis!$N$2/Imóveis!$S$2)))*Imóveis!$P$2))))*IF(AND(Imóveis!$E$2&gt;0,Dados!$A775&gt;Imóveis!$E$2),0,1)</f>
        <v>0</v>
      </c>
      <c r="J775" s="18">
        <f>IF(Imóveis!$F$3="PRICE",IF(AND(Dados!$A775&gt;=Imóveis!$Q$3,Dados!$A775&lt;=Imóveis!$T$3),Imóveis!$U$3,0),IF((IF(AND(Dados!$A775&gt;=Imóveis!$Q$3,Dados!$A775&lt;=Imóveis!$T$3),Imóveis!$S$3-(DATEDIF(Imóveis!$Q$3,Dados!$A775,"m")),0))=0,0,((Imóveis!$N$3/Imóveis!$S$3)+((Imóveis!$N$3-((Imóveis!$S$3-(IF(AND(Dados!$A775&gt;=Imóveis!$Q$3,Dados!$A775&lt;=Imóveis!$T$3),Imóveis!$S$3-(DATEDIF(Imóveis!$Q$3,Dados!$A775,"m")),)))*(Imóveis!$N$3/Imóveis!$S$3)))*Imóveis!$P$3))))*IF(AND(Imóveis!$E$3&gt;0,Dados!$A775&gt;Imóveis!$E$3),0,1)</f>
        <v>0</v>
      </c>
      <c r="K775" s="18">
        <f>IF(Imóveis!$F$4="PRICE",IF(AND(Dados!$A775&gt;=Imóveis!$Q$4,Dados!$A775&lt;=Imóveis!$T$4),Imóveis!$U$4,0),IF((IF(AND(Dados!$A775&gt;=Imóveis!$Q$4,Dados!$A775&lt;=Imóveis!$T$4),Imóveis!$S$4-(DATEDIF(Imóveis!$Q$4,Dados!$A775,"m")),0))=0,0,((Imóveis!$N$4/Imóveis!$S$4)+((Imóveis!$N$4-((Imóveis!$S$4-(IF(AND(Dados!$A775&gt;=Imóveis!$Q$4,Dados!$A775&lt;=Imóveis!$T$4),Imóveis!$S$4-(DATEDIF(Imóveis!$Q$4,Dados!$A775,"m")),)))*(Imóveis!$N$4/Imóveis!$S$4)))*Imóveis!$P$4))))*IF(AND(Imóveis!$E$4&gt;0,Dados!$A775&gt;Imóveis!$E$4),0,1)</f>
        <v>0</v>
      </c>
      <c r="L775" s="18">
        <f>IF(Imóveis!$F$5="PRICE",IF(AND(Dados!$A775&gt;=Imóveis!$Q$5,Dados!$A775&lt;=Imóveis!$T$5),Imóveis!$U$5,0),IF((IF(AND(Dados!$A775&gt;=Imóveis!$Q$5,Dados!$A775&lt;=Imóveis!$T$5),Imóveis!$S$5-(DATEDIF(Imóveis!$Q$5,Dados!$A775,"m")),0))=0,0,((Imóveis!$N$5/Imóveis!$S$5)+((Imóveis!$N$5-((Imóveis!$S$5-(IF(AND(Dados!$A775 &gt;=Imóveis!$Q$5,Dados!$A775&lt;=Imóveis!$T$5),Imóveis!$S$5-(DATEDIF(Imóveis!$Q$5,Dados!$A775,"m")),)))*(Imóveis!$N$5/Imóveis!$S$5)))*Imóveis!$P$5))))*IF(AND(Imóveis!$E$5&gt;0,Dados!$A775&gt;Imóveis!$E$5),0,1)*Imóveis!$I$5</f>
        <v>0</v>
      </c>
      <c r="M775" s="18">
        <f>IF(Imóveis!$F$6="PRICE",IF(AND(Dados!$A775&gt;=Imóveis!$Q$6,Dados!$A775&lt;=Imóveis!$T$6),Imóveis!$U$6,0),IF((IF(AND(Dados!$A775&gt;=Imóveis!$Q$6,Dados!$A775&lt;=Imóveis!$T$6),Imóveis!$S$6-(DATEDIF(Imóveis!$Q$6,Dados!$A775,"m")),0))=0,0,((Imóveis!$N$6/Imóveis!$S$6)+((Imóveis!$N$6-((Imóveis!$S$6-(IF(AND(Dados!$A775&gt;=Imóveis!$Q$6,Dados!$A775&lt;=Imóveis!$T$6),Imóveis!$S$6-(DATEDIF(Imóveis!$Q$6,Dados!$A775,"m")),)))*(Imóveis!$N$6/Imóveis!$S$6)))*Imóveis!$P$6))))*IF(AND(Imóveis!$E$6&gt;0,Dados!$A775&gt;Imóveis!$E$6),0,1)*Imóveis!$I$6</f>
        <v>0</v>
      </c>
      <c r="N775" s="18">
        <f t="shared" si="101"/>
        <v>37000</v>
      </c>
      <c r="O775" s="18">
        <f>SUMIFS(Receitas!$F:$F,Receitas!$J:$J,"&lt;="&amp;$A775,Receitas!$L:$L,"&gt;="&amp;$A775,Receitas!$C:$C,O$1,Receitas!$M:$M,"Mensal")+SUMIFS(Receitas!$F:$F,Receitas!$J:$J,"&lt;="&amp;$A775,Receitas!$L:$L,"&gt;="&amp;$A775,Receitas!$C:$C,O$1,Receitas!$M:$M,$B775)</f>
        <v>0</v>
      </c>
      <c r="P775" s="18">
        <f>SUMIFS(Receitas!$F:$F,Receitas!$J:$J,"&lt;="&amp;$A775,Receitas!$L:$L,"&gt;="&amp;$A775,Receitas!$C:$C,P$1,Receitas!$M:$M,"Mensal")+SUMIFS(Receitas!$F:$F,Receitas!$J:$J,"&lt;="&amp;$A775,Receitas!$L:$L,"&gt;="&amp;$A775,Receitas!$C:$C,P$1,Receitas!$M:$M,$B775)</f>
        <v>0</v>
      </c>
      <c r="Q775" s="18">
        <f>SUMIFS(Receitas!$F:$F,Receitas!$J:$J,"&lt;="&amp;$A775,Receitas!$L:$L,"&gt;="&amp;$A775,Receitas!$C:$C,Q$1,Receitas!$M:$M,"Mensal")+SUMIFS(Receitas!$F:$F,Receitas!$J:$J,"&lt;="&amp;$A775,Receitas!$L:$L,"&gt;="&amp;$A775,Receitas!$C:$C,Q$1,Receitas!$M:$M,$B775)</f>
        <v>0</v>
      </c>
      <c r="R775" s="18" cm="1">
        <f t="array" ref="R775">(IF(AND(Membros!$F$2="Sim",A775&lt;=MAX(Membros!$E$2:$E$5)),Membros!K$2,IF(AND(A775&gt;=Membros!J$2,A775&lt;=MAX(Membros!$E$2:$E$5)),Membros!K$2,0))+IF(AND(Membros!$F$3="Sim",A775&lt;=MAX(Membros!$E$2:$E$5)),Membros!K$3,IF(AND(A775&gt;=Membros!J$3,A775&lt;=MAX(Membros!$E$2:$E$5)),Membros!K$3,0)))*IF(AND(COUNTIFS(Tabela3[Tipo],"Provedor",Tabela3[Simulação Seguro],"Sim")=2,A775&gt;=MAX(IF(Tabela3[Tipo]="Dependente",Tabela3[Expectativa de Vida (Data)]))),0,1)</f>
        <v>10000</v>
      </c>
      <c r="S775" s="18">
        <f t="shared" si="102"/>
        <v>10000</v>
      </c>
      <c r="U775" s="18">
        <f t="shared" ca="1" si="105"/>
        <v>61713340.083789758</v>
      </c>
      <c r="V775" s="18">
        <f>SUMIF(Imóveis!E:E,Dados!A:A,Imóveis!Z:Z)-SUMIF(Imóveis!E:E,Dados!A:A,Imóveis!Y:Y)</f>
        <v>0</v>
      </c>
      <c r="W775" s="18">
        <f>-SUMIF(Projetos!N:N,A775,Projetos!F:F)</f>
        <v>0</v>
      </c>
      <c r="X775" s="18">
        <f t="shared" si="99"/>
        <v>-27000</v>
      </c>
      <c r="Y775" s="26">
        <f ca="1">(U775*((Indicadores_Economicos!D$2+1)^(1/12)-1))</f>
        <v>202033.41652467343</v>
      </c>
      <c r="Z775" s="18">
        <f t="shared" ca="1" si="103"/>
        <v>61888373.500314429</v>
      </c>
      <c r="AA775" s="18">
        <f ca="1">Auxiliar_Projetos!E775</f>
        <v>4.8913254646017314E-9</v>
      </c>
      <c r="AB775" s="18">
        <f ca="1">Auxiliar_Projetos!K775</f>
        <v>3.7625580496936314E-9</v>
      </c>
      <c r="AC775" s="18">
        <f ca="1">IF(Z775-AA775-AB775&gt;Investimentos!$C$14,Investimentos!$C$14,IF(Z775-AA775-AB775&lt;Investimentos!$C$14,Z775-AA775-AB775,0))</f>
        <v>300000</v>
      </c>
      <c r="AD775" s="18">
        <f t="shared" ca="1" si="104"/>
        <v>61588373.500314415</v>
      </c>
      <c r="AE775" s="18"/>
    </row>
    <row r="776" spans="1:31" x14ac:dyDescent="0.2">
      <c r="A776" s="4">
        <v>69215</v>
      </c>
      <c r="B776" s="5" t="str">
        <f t="shared" si="100"/>
        <v>julho</v>
      </c>
      <c r="C776" s="5" t="str">
        <f t="shared" si="98"/>
        <v>2089</v>
      </c>
      <c r="D776" s="5">
        <f>SUMIFS(Despesas!$F:$F,Despesas!$J:$J,"&lt;="&amp;$A776,Despesas!$L:$L,"&gt;="&amp;$A776,Despesas!$C:$C,D$1,Despesas!$M:$M,"Mensal")+SUMIFS(Despesas!$F:$F,Despesas!$J:$J,"&lt;="&amp;$A776,Despesas!$L:$L,"&gt;="&amp;$A776,Despesas!$C:$C,D$1,Despesas!$M:$M,$B776)</f>
        <v>23000</v>
      </c>
      <c r="E776" s="18">
        <f>SUMIFS(Despesas!$F:$F,Despesas!$J:$J,"&lt;="&amp;$A776,Despesas!$L:$L,"&gt;="&amp;$A776,Despesas!$C:$C,E$1,Despesas!$M:$M,"Mensal")+SUMIFS(Despesas!$F:$F,Despesas!$J:$J,"&lt;="&amp;$A776,Despesas!$L:$L,"&gt;="&amp;$A776,Despesas!$C:$C,E$1,Despesas!$M:$M,$B776)</f>
        <v>0</v>
      </c>
      <c r="F776" s="5">
        <f>SUMIFS(Despesas!$F:$F,Despesas!$J:$J,"&lt;="&amp;$A776,Despesas!$L:$L,"&gt;="&amp;$A776,Despesas!$C:$C,F$1,Despesas!$M:$M,"Mensal")+SUMIFS(Despesas!$F:$F,Despesas!$J:$J,"&lt;="&amp;$A776,Despesas!$L:$L,"&gt;="&amp;$A776,Despesas!$C:$C,F$1,Despesas!$M:$M,$B776)</f>
        <v>13000</v>
      </c>
      <c r="G776" s="5">
        <f ca="1">SUMIFS(Despesas!$F:$F,Despesas!$J:$J,"&lt;="&amp;$A776,Despesas!$L:$L,"&gt;="&amp;$A776,Despesas!$C:$C,G$1,Despesas!$M:$M,"Mensal")+SUMIFS(Despesas!$F:$F,Despesas!$J:$J,"&lt;="&amp;$A776,Despesas!$L:$L,"&gt;="&amp;$A776,Despesas!$C:$C,G$1,Despesas!$M:$M,$B776)</f>
        <v>55757</v>
      </c>
      <c r="H776" s="18">
        <f>SUMIFS(Despesas!$F:$F,Despesas!$J:$J,"&lt;="&amp;$A776,Despesas!$L:$L,"&gt;="&amp;$A776,Despesas!$C:$C,H$1,Despesas!$M:$M,"Mensal")+SUMIFS(Despesas!$F:$F,Despesas!$J:$J,"&lt;="&amp;$A776,Despesas!$L:$L,"&gt;="&amp;$A776,Despesas!$C:$C,H$1,Despesas!$M:$M,$B776)</f>
        <v>1000</v>
      </c>
      <c r="I776" s="18">
        <f>IF(Imóveis!$F$2="PRICE",IF(AND(Dados!$A776&gt;=Imóveis!$Q$2,Dados!$A776&lt;=Imóveis!$T$2),Imóveis!$U$2,0),IF((IF(AND(Dados!$A776&gt;=Imóveis!$Q$2,Dados!$A776&lt;=Imóveis!$T$2),Imóveis!$S$2-(DATEDIF(Imóveis!$Q$2,Dados!$A776,"m")),0))=0,0,((Imóveis!$N$2/Imóveis!$S$2)+((Imóveis!$N$2-((Imóveis!$S$2-(IF(AND(Dados!$A776&gt;=Imóveis!$Q$2,Dados!$A776&lt;=Imóveis!$T$2),Imóveis!$S$2-(DATEDIF(Imóveis!$Q$2,Dados!$A776,"m")),)))*(Imóveis!$N$2/Imóveis!$S$2)))*Imóveis!$P$2))))*IF(AND(Imóveis!$E$2&gt;0,Dados!$A776&gt;Imóveis!$E$2),0,1)</f>
        <v>0</v>
      </c>
      <c r="J776" s="18">
        <f>IF(Imóveis!$F$3="PRICE",IF(AND(Dados!$A776&gt;=Imóveis!$Q$3,Dados!$A776&lt;=Imóveis!$T$3),Imóveis!$U$3,0),IF((IF(AND(Dados!$A776&gt;=Imóveis!$Q$3,Dados!$A776&lt;=Imóveis!$T$3),Imóveis!$S$3-(DATEDIF(Imóveis!$Q$3,Dados!$A776,"m")),0))=0,0,((Imóveis!$N$3/Imóveis!$S$3)+((Imóveis!$N$3-((Imóveis!$S$3-(IF(AND(Dados!$A776&gt;=Imóveis!$Q$3,Dados!$A776&lt;=Imóveis!$T$3),Imóveis!$S$3-(DATEDIF(Imóveis!$Q$3,Dados!$A776,"m")),)))*(Imóveis!$N$3/Imóveis!$S$3)))*Imóveis!$P$3))))*IF(AND(Imóveis!$E$3&gt;0,Dados!$A776&gt;Imóveis!$E$3),0,1)</f>
        <v>0</v>
      </c>
      <c r="K776" s="18">
        <f>IF(Imóveis!$F$4="PRICE",IF(AND(Dados!$A776&gt;=Imóveis!$Q$4,Dados!$A776&lt;=Imóveis!$T$4),Imóveis!$U$4,0),IF((IF(AND(Dados!$A776&gt;=Imóveis!$Q$4,Dados!$A776&lt;=Imóveis!$T$4),Imóveis!$S$4-(DATEDIF(Imóveis!$Q$4,Dados!$A776,"m")),0))=0,0,((Imóveis!$N$4/Imóveis!$S$4)+((Imóveis!$N$4-((Imóveis!$S$4-(IF(AND(Dados!$A776&gt;=Imóveis!$Q$4,Dados!$A776&lt;=Imóveis!$T$4),Imóveis!$S$4-(DATEDIF(Imóveis!$Q$4,Dados!$A776,"m")),)))*(Imóveis!$N$4/Imóveis!$S$4)))*Imóveis!$P$4))))*IF(AND(Imóveis!$E$4&gt;0,Dados!$A776&gt;Imóveis!$E$4),0,1)</f>
        <v>0</v>
      </c>
      <c r="L776" s="18">
        <f>IF(Imóveis!$F$5="PRICE",IF(AND(Dados!$A776&gt;=Imóveis!$Q$5,Dados!$A776&lt;=Imóveis!$T$5),Imóveis!$U$5,0),IF((IF(AND(Dados!$A776&gt;=Imóveis!$Q$5,Dados!$A776&lt;=Imóveis!$T$5),Imóveis!$S$5-(DATEDIF(Imóveis!$Q$5,Dados!$A776,"m")),0))=0,0,((Imóveis!$N$5/Imóveis!$S$5)+((Imóveis!$N$5-((Imóveis!$S$5-(IF(AND(Dados!$A776 &gt;=Imóveis!$Q$5,Dados!$A776&lt;=Imóveis!$T$5),Imóveis!$S$5-(DATEDIF(Imóveis!$Q$5,Dados!$A776,"m")),)))*(Imóveis!$N$5/Imóveis!$S$5)))*Imóveis!$P$5))))*IF(AND(Imóveis!$E$5&gt;0,Dados!$A776&gt;Imóveis!$E$5),0,1)*Imóveis!$I$5</f>
        <v>0</v>
      </c>
      <c r="M776" s="18">
        <f>IF(Imóveis!$F$6="PRICE",IF(AND(Dados!$A776&gt;=Imóveis!$Q$6,Dados!$A776&lt;=Imóveis!$T$6),Imóveis!$U$6,0),IF((IF(AND(Dados!$A776&gt;=Imóveis!$Q$6,Dados!$A776&lt;=Imóveis!$T$6),Imóveis!$S$6-(DATEDIF(Imóveis!$Q$6,Dados!$A776,"m")),0))=0,0,((Imóveis!$N$6/Imóveis!$S$6)+((Imóveis!$N$6-((Imóveis!$S$6-(IF(AND(Dados!$A776&gt;=Imóveis!$Q$6,Dados!$A776&lt;=Imóveis!$T$6),Imóveis!$S$6-(DATEDIF(Imóveis!$Q$6,Dados!$A776,"m")),)))*(Imóveis!$N$6/Imóveis!$S$6)))*Imóveis!$P$6))))*IF(AND(Imóveis!$E$6&gt;0,Dados!$A776&gt;Imóveis!$E$6),0,1)*Imóveis!$I$6</f>
        <v>0</v>
      </c>
      <c r="N776" s="18">
        <f t="shared" ca="1" si="101"/>
        <v>92757</v>
      </c>
      <c r="O776" s="18">
        <f>SUMIFS(Receitas!$F:$F,Receitas!$J:$J,"&lt;="&amp;$A776,Receitas!$L:$L,"&gt;="&amp;$A776,Receitas!$C:$C,O$1,Receitas!$M:$M,"Mensal")+SUMIFS(Receitas!$F:$F,Receitas!$J:$J,"&lt;="&amp;$A776,Receitas!$L:$L,"&gt;="&amp;$A776,Receitas!$C:$C,O$1,Receitas!$M:$M,$B776)</f>
        <v>0</v>
      </c>
      <c r="P776" s="18">
        <f>SUMIFS(Receitas!$F:$F,Receitas!$J:$J,"&lt;="&amp;$A776,Receitas!$L:$L,"&gt;="&amp;$A776,Receitas!$C:$C,P$1,Receitas!$M:$M,"Mensal")+SUMIFS(Receitas!$F:$F,Receitas!$J:$J,"&lt;="&amp;$A776,Receitas!$L:$L,"&gt;="&amp;$A776,Receitas!$C:$C,P$1,Receitas!$M:$M,$B776)</f>
        <v>0</v>
      </c>
      <c r="Q776" s="18">
        <f>SUMIFS(Receitas!$F:$F,Receitas!$J:$J,"&lt;="&amp;$A776,Receitas!$L:$L,"&gt;="&amp;$A776,Receitas!$C:$C,Q$1,Receitas!$M:$M,"Mensal")+SUMIFS(Receitas!$F:$F,Receitas!$J:$J,"&lt;="&amp;$A776,Receitas!$L:$L,"&gt;="&amp;$A776,Receitas!$C:$C,Q$1,Receitas!$M:$M,$B776)</f>
        <v>0</v>
      </c>
      <c r="R776" s="18" cm="1">
        <f t="array" ref="R776">(IF(AND(Membros!$F$2="Sim",A776&lt;=MAX(Membros!$E$2:$E$5)),Membros!K$2,IF(AND(A776&gt;=Membros!J$2,A776&lt;=MAX(Membros!$E$2:$E$5)),Membros!K$2,0))+IF(AND(Membros!$F$3="Sim",A776&lt;=MAX(Membros!$E$2:$E$5)),Membros!K$3,IF(AND(A776&gt;=Membros!J$3,A776&lt;=MAX(Membros!$E$2:$E$5)),Membros!K$3,0)))*IF(AND(COUNTIFS(Tabela3[Tipo],"Provedor",Tabela3[Simulação Seguro],"Sim")=2,A776&gt;=MAX(IF(Tabela3[Tipo]="Dependente",Tabela3[Expectativa de Vida (Data)]))),0,1)</f>
        <v>10000</v>
      </c>
      <c r="S776" s="18">
        <f t="shared" si="102"/>
        <v>10000</v>
      </c>
      <c r="U776" s="18">
        <f t="shared" ca="1" si="105"/>
        <v>61888373.500314429</v>
      </c>
      <c r="V776" s="18">
        <f>SUMIF(Imóveis!E:E,Dados!A:A,Imóveis!Z:Z)-SUMIF(Imóveis!E:E,Dados!A:A,Imóveis!Y:Y)</f>
        <v>0</v>
      </c>
      <c r="W776" s="18">
        <f>-SUMIF(Projetos!N:N,A776,Projetos!F:F)</f>
        <v>0</v>
      </c>
      <c r="X776" s="18">
        <f t="shared" ca="1" si="99"/>
        <v>-82757</v>
      </c>
      <c r="Y776" s="26">
        <f ca="1">(U776*((Indicadores_Economicos!D$2+1)^(1/12)-1))</f>
        <v>202606.43038356444</v>
      </c>
      <c r="Z776" s="18">
        <f t="shared" ca="1" si="103"/>
        <v>62008222.930697992</v>
      </c>
      <c r="AA776" s="18">
        <f ca="1">Auxiliar_Projetos!E776</f>
        <v>4.9073383913628804E-9</v>
      </c>
      <c r="AB776" s="18">
        <f ca="1">Auxiliar_Projetos!K776</f>
        <v>3.7748756856637465E-9</v>
      </c>
      <c r="AC776" s="18">
        <f ca="1">IF(Z776-AA776-AB776&gt;Investimentos!$C$14,Investimentos!$C$14,IF(Z776-AA776-AB776&lt;Investimentos!$C$14,Z776-AA776-AB776,0))</f>
        <v>300000</v>
      </c>
      <c r="AD776" s="18">
        <f t="shared" ca="1" si="104"/>
        <v>61708222.930697978</v>
      </c>
      <c r="AE776" s="18"/>
    </row>
    <row r="777" spans="1:31" x14ac:dyDescent="0.2">
      <c r="A777" s="4">
        <v>69246</v>
      </c>
      <c r="B777" s="5" t="str">
        <f t="shared" si="100"/>
        <v>agosto</v>
      </c>
      <c r="C777" s="5" t="str">
        <f t="shared" si="98"/>
        <v>2089</v>
      </c>
      <c r="D777" s="5">
        <f>SUMIFS(Despesas!$F:$F,Despesas!$J:$J,"&lt;="&amp;$A777,Despesas!$L:$L,"&gt;="&amp;$A777,Despesas!$C:$C,D$1,Despesas!$M:$M,"Mensal")+SUMIFS(Despesas!$F:$F,Despesas!$J:$J,"&lt;="&amp;$A777,Despesas!$L:$L,"&gt;="&amp;$A777,Despesas!$C:$C,D$1,Despesas!$M:$M,$B777)</f>
        <v>23000</v>
      </c>
      <c r="E777" s="18">
        <f>SUMIFS(Despesas!$F:$F,Despesas!$J:$J,"&lt;="&amp;$A777,Despesas!$L:$L,"&gt;="&amp;$A777,Despesas!$C:$C,E$1,Despesas!$M:$M,"Mensal")+SUMIFS(Despesas!$F:$F,Despesas!$J:$J,"&lt;="&amp;$A777,Despesas!$L:$L,"&gt;="&amp;$A777,Despesas!$C:$C,E$1,Despesas!$M:$M,$B777)</f>
        <v>0</v>
      </c>
      <c r="F777" s="5">
        <f>SUMIFS(Despesas!$F:$F,Despesas!$J:$J,"&lt;="&amp;$A777,Despesas!$L:$L,"&gt;="&amp;$A777,Despesas!$C:$C,F$1,Despesas!$M:$M,"Mensal")+SUMIFS(Despesas!$F:$F,Despesas!$J:$J,"&lt;="&amp;$A777,Despesas!$L:$L,"&gt;="&amp;$A777,Despesas!$C:$C,F$1,Despesas!$M:$M,$B777)</f>
        <v>13000</v>
      </c>
      <c r="G777" s="5">
        <f>SUMIFS(Despesas!$F:$F,Despesas!$J:$J,"&lt;="&amp;$A777,Despesas!$L:$L,"&gt;="&amp;$A777,Despesas!$C:$C,G$1,Despesas!$M:$M,"Mensal")+SUMIFS(Despesas!$F:$F,Despesas!$J:$J,"&lt;="&amp;$A777,Despesas!$L:$L,"&gt;="&amp;$A777,Despesas!$C:$C,G$1,Despesas!$M:$M,$B777)</f>
        <v>0</v>
      </c>
      <c r="H777" s="18">
        <f>SUMIFS(Despesas!$F:$F,Despesas!$J:$J,"&lt;="&amp;$A777,Despesas!$L:$L,"&gt;="&amp;$A777,Despesas!$C:$C,H$1,Despesas!$M:$M,"Mensal")+SUMIFS(Despesas!$F:$F,Despesas!$J:$J,"&lt;="&amp;$A777,Despesas!$L:$L,"&gt;="&amp;$A777,Despesas!$C:$C,H$1,Despesas!$M:$M,$B777)</f>
        <v>1000</v>
      </c>
      <c r="I777" s="18">
        <f>IF(Imóveis!$F$2="PRICE",IF(AND(Dados!$A777&gt;=Imóveis!$Q$2,Dados!$A777&lt;=Imóveis!$T$2),Imóveis!$U$2,0),IF((IF(AND(Dados!$A777&gt;=Imóveis!$Q$2,Dados!$A777&lt;=Imóveis!$T$2),Imóveis!$S$2-(DATEDIF(Imóveis!$Q$2,Dados!$A777,"m")),0))=0,0,((Imóveis!$N$2/Imóveis!$S$2)+((Imóveis!$N$2-((Imóveis!$S$2-(IF(AND(Dados!$A777&gt;=Imóveis!$Q$2,Dados!$A777&lt;=Imóveis!$T$2),Imóveis!$S$2-(DATEDIF(Imóveis!$Q$2,Dados!$A777,"m")),)))*(Imóveis!$N$2/Imóveis!$S$2)))*Imóveis!$P$2))))*IF(AND(Imóveis!$E$2&gt;0,Dados!$A777&gt;Imóveis!$E$2),0,1)</f>
        <v>0</v>
      </c>
      <c r="J777" s="18">
        <f>IF(Imóveis!$F$3="PRICE",IF(AND(Dados!$A777&gt;=Imóveis!$Q$3,Dados!$A777&lt;=Imóveis!$T$3),Imóveis!$U$3,0),IF((IF(AND(Dados!$A777&gt;=Imóveis!$Q$3,Dados!$A777&lt;=Imóveis!$T$3),Imóveis!$S$3-(DATEDIF(Imóveis!$Q$3,Dados!$A777,"m")),0))=0,0,((Imóveis!$N$3/Imóveis!$S$3)+((Imóveis!$N$3-((Imóveis!$S$3-(IF(AND(Dados!$A777&gt;=Imóveis!$Q$3,Dados!$A777&lt;=Imóveis!$T$3),Imóveis!$S$3-(DATEDIF(Imóveis!$Q$3,Dados!$A777,"m")),)))*(Imóveis!$N$3/Imóveis!$S$3)))*Imóveis!$P$3))))*IF(AND(Imóveis!$E$3&gt;0,Dados!$A777&gt;Imóveis!$E$3),0,1)</f>
        <v>0</v>
      </c>
      <c r="K777" s="18">
        <f>IF(Imóveis!$F$4="PRICE",IF(AND(Dados!$A777&gt;=Imóveis!$Q$4,Dados!$A777&lt;=Imóveis!$T$4),Imóveis!$U$4,0),IF((IF(AND(Dados!$A777&gt;=Imóveis!$Q$4,Dados!$A777&lt;=Imóveis!$T$4),Imóveis!$S$4-(DATEDIF(Imóveis!$Q$4,Dados!$A777,"m")),0))=0,0,((Imóveis!$N$4/Imóveis!$S$4)+((Imóveis!$N$4-((Imóveis!$S$4-(IF(AND(Dados!$A777&gt;=Imóveis!$Q$4,Dados!$A777&lt;=Imóveis!$T$4),Imóveis!$S$4-(DATEDIF(Imóveis!$Q$4,Dados!$A777,"m")),)))*(Imóveis!$N$4/Imóveis!$S$4)))*Imóveis!$P$4))))*IF(AND(Imóveis!$E$4&gt;0,Dados!$A777&gt;Imóveis!$E$4),0,1)</f>
        <v>0</v>
      </c>
      <c r="L777" s="18">
        <f>IF(Imóveis!$F$5="PRICE",IF(AND(Dados!$A777&gt;=Imóveis!$Q$5,Dados!$A777&lt;=Imóveis!$T$5),Imóveis!$U$5,0),IF((IF(AND(Dados!$A777&gt;=Imóveis!$Q$5,Dados!$A777&lt;=Imóveis!$T$5),Imóveis!$S$5-(DATEDIF(Imóveis!$Q$5,Dados!$A777,"m")),0))=0,0,((Imóveis!$N$5/Imóveis!$S$5)+((Imóveis!$N$5-((Imóveis!$S$5-(IF(AND(Dados!$A777 &gt;=Imóveis!$Q$5,Dados!$A777&lt;=Imóveis!$T$5),Imóveis!$S$5-(DATEDIF(Imóveis!$Q$5,Dados!$A777,"m")),)))*(Imóveis!$N$5/Imóveis!$S$5)))*Imóveis!$P$5))))*IF(AND(Imóveis!$E$5&gt;0,Dados!$A777&gt;Imóveis!$E$5),0,1)*Imóveis!$I$5</f>
        <v>0</v>
      </c>
      <c r="M777" s="18">
        <f>IF(Imóveis!$F$6="PRICE",IF(AND(Dados!$A777&gt;=Imóveis!$Q$6,Dados!$A777&lt;=Imóveis!$T$6),Imóveis!$U$6,0),IF((IF(AND(Dados!$A777&gt;=Imóveis!$Q$6,Dados!$A777&lt;=Imóveis!$T$6),Imóveis!$S$6-(DATEDIF(Imóveis!$Q$6,Dados!$A777,"m")),0))=0,0,((Imóveis!$N$6/Imóveis!$S$6)+((Imóveis!$N$6-((Imóveis!$S$6-(IF(AND(Dados!$A777&gt;=Imóveis!$Q$6,Dados!$A777&lt;=Imóveis!$T$6),Imóveis!$S$6-(DATEDIF(Imóveis!$Q$6,Dados!$A777,"m")),)))*(Imóveis!$N$6/Imóveis!$S$6)))*Imóveis!$P$6))))*IF(AND(Imóveis!$E$6&gt;0,Dados!$A777&gt;Imóveis!$E$6),0,1)*Imóveis!$I$6</f>
        <v>0</v>
      </c>
      <c r="N777" s="18">
        <f t="shared" si="101"/>
        <v>37000</v>
      </c>
      <c r="O777" s="18">
        <f>SUMIFS(Receitas!$F:$F,Receitas!$J:$J,"&lt;="&amp;$A777,Receitas!$L:$L,"&gt;="&amp;$A777,Receitas!$C:$C,O$1,Receitas!$M:$M,"Mensal")+SUMIFS(Receitas!$F:$F,Receitas!$J:$J,"&lt;="&amp;$A777,Receitas!$L:$L,"&gt;="&amp;$A777,Receitas!$C:$C,O$1,Receitas!$M:$M,$B777)</f>
        <v>0</v>
      </c>
      <c r="P777" s="18">
        <f>SUMIFS(Receitas!$F:$F,Receitas!$J:$J,"&lt;="&amp;$A777,Receitas!$L:$L,"&gt;="&amp;$A777,Receitas!$C:$C,P$1,Receitas!$M:$M,"Mensal")+SUMIFS(Receitas!$F:$F,Receitas!$J:$J,"&lt;="&amp;$A777,Receitas!$L:$L,"&gt;="&amp;$A777,Receitas!$C:$C,P$1,Receitas!$M:$M,$B777)</f>
        <v>0</v>
      </c>
      <c r="Q777" s="18">
        <f>SUMIFS(Receitas!$F:$F,Receitas!$J:$J,"&lt;="&amp;$A777,Receitas!$L:$L,"&gt;="&amp;$A777,Receitas!$C:$C,Q$1,Receitas!$M:$M,"Mensal")+SUMIFS(Receitas!$F:$F,Receitas!$J:$J,"&lt;="&amp;$A777,Receitas!$L:$L,"&gt;="&amp;$A777,Receitas!$C:$C,Q$1,Receitas!$M:$M,$B777)</f>
        <v>0</v>
      </c>
      <c r="R777" s="18" cm="1">
        <f t="array" ref="R777">(IF(AND(Membros!$F$2="Sim",A777&lt;=MAX(Membros!$E$2:$E$5)),Membros!K$2,IF(AND(A777&gt;=Membros!J$2,A777&lt;=MAX(Membros!$E$2:$E$5)),Membros!K$2,0))+IF(AND(Membros!$F$3="Sim",A777&lt;=MAX(Membros!$E$2:$E$5)),Membros!K$3,IF(AND(A777&gt;=Membros!J$3,A777&lt;=MAX(Membros!$E$2:$E$5)),Membros!K$3,0)))*IF(AND(COUNTIFS(Tabela3[Tipo],"Provedor",Tabela3[Simulação Seguro],"Sim")=2,A777&gt;=MAX(IF(Tabela3[Tipo]="Dependente",Tabela3[Expectativa de Vida (Data)]))),0,1)</f>
        <v>10000</v>
      </c>
      <c r="S777" s="18">
        <f t="shared" si="102"/>
        <v>10000</v>
      </c>
      <c r="U777" s="18">
        <f t="shared" ca="1" si="105"/>
        <v>62008222.930697992</v>
      </c>
      <c r="V777" s="18">
        <f>SUMIF(Imóveis!E:E,Dados!A:A,Imóveis!Z:Z)-SUMIF(Imóveis!E:E,Dados!A:A,Imóveis!Y:Y)</f>
        <v>0</v>
      </c>
      <c r="W777" s="18">
        <f>-SUMIF(Projetos!N:N,A777,Projetos!F:F)</f>
        <v>0</v>
      </c>
      <c r="X777" s="18">
        <f t="shared" si="99"/>
        <v>-27000</v>
      </c>
      <c r="Y777" s="26">
        <f ca="1">(U777*((Indicadores_Economicos!D$2+1)^(1/12)-1))</f>
        <v>202998.78623168499</v>
      </c>
      <c r="Z777" s="18">
        <f t="shared" ca="1" si="103"/>
        <v>62184221.716929674</v>
      </c>
      <c r="AA777" s="18">
        <f ca="1">Auxiliar_Projetos!E777</f>
        <v>4.9234037402793971E-9</v>
      </c>
      <c r="AB777" s="18">
        <f ca="1">Auxiliar_Projetos!K777</f>
        <v>3.7872336463687593E-9</v>
      </c>
      <c r="AC777" s="18">
        <f ca="1">IF(Z777-AA777-AB777&gt;Investimentos!$C$14,Investimentos!$C$14,IF(Z777-AA777-AB777&lt;Investimentos!$C$14,Z777-AA777-AB777,0))</f>
        <v>300000</v>
      </c>
      <c r="AD777" s="18">
        <f t="shared" ca="1" si="104"/>
        <v>61884221.716929659</v>
      </c>
      <c r="AE777" s="18"/>
    </row>
    <row r="778" spans="1:31" x14ac:dyDescent="0.2">
      <c r="A778" s="4">
        <v>69277</v>
      </c>
      <c r="B778" s="5" t="str">
        <f t="shared" si="100"/>
        <v>setembro</v>
      </c>
      <c r="C778" s="5" t="str">
        <f t="shared" si="98"/>
        <v>2089</v>
      </c>
      <c r="D778" s="5">
        <f>SUMIFS(Despesas!$F:$F,Despesas!$J:$J,"&lt;="&amp;$A778,Despesas!$L:$L,"&gt;="&amp;$A778,Despesas!$C:$C,D$1,Despesas!$M:$M,"Mensal")+SUMIFS(Despesas!$F:$F,Despesas!$J:$J,"&lt;="&amp;$A778,Despesas!$L:$L,"&gt;="&amp;$A778,Despesas!$C:$C,D$1,Despesas!$M:$M,$B778)</f>
        <v>23000</v>
      </c>
      <c r="E778" s="18">
        <f>SUMIFS(Despesas!$F:$F,Despesas!$J:$J,"&lt;="&amp;$A778,Despesas!$L:$L,"&gt;="&amp;$A778,Despesas!$C:$C,E$1,Despesas!$M:$M,"Mensal")+SUMIFS(Despesas!$F:$F,Despesas!$J:$J,"&lt;="&amp;$A778,Despesas!$L:$L,"&gt;="&amp;$A778,Despesas!$C:$C,E$1,Despesas!$M:$M,$B778)</f>
        <v>0</v>
      </c>
      <c r="F778" s="5">
        <f>SUMIFS(Despesas!$F:$F,Despesas!$J:$J,"&lt;="&amp;$A778,Despesas!$L:$L,"&gt;="&amp;$A778,Despesas!$C:$C,F$1,Despesas!$M:$M,"Mensal")+SUMIFS(Despesas!$F:$F,Despesas!$J:$J,"&lt;="&amp;$A778,Despesas!$L:$L,"&gt;="&amp;$A778,Despesas!$C:$C,F$1,Despesas!$M:$M,$B778)</f>
        <v>13000</v>
      </c>
      <c r="G778" s="5">
        <f>SUMIFS(Despesas!$F:$F,Despesas!$J:$J,"&lt;="&amp;$A778,Despesas!$L:$L,"&gt;="&amp;$A778,Despesas!$C:$C,G$1,Despesas!$M:$M,"Mensal")+SUMIFS(Despesas!$F:$F,Despesas!$J:$J,"&lt;="&amp;$A778,Despesas!$L:$L,"&gt;="&amp;$A778,Despesas!$C:$C,G$1,Despesas!$M:$M,$B778)</f>
        <v>0</v>
      </c>
      <c r="H778" s="18">
        <f>SUMIFS(Despesas!$F:$F,Despesas!$J:$J,"&lt;="&amp;$A778,Despesas!$L:$L,"&gt;="&amp;$A778,Despesas!$C:$C,H$1,Despesas!$M:$M,"Mensal")+SUMIFS(Despesas!$F:$F,Despesas!$J:$J,"&lt;="&amp;$A778,Despesas!$L:$L,"&gt;="&amp;$A778,Despesas!$C:$C,H$1,Despesas!$M:$M,$B778)</f>
        <v>1000</v>
      </c>
      <c r="I778" s="18">
        <f>IF(Imóveis!$F$2="PRICE",IF(AND(Dados!$A778&gt;=Imóveis!$Q$2,Dados!$A778&lt;=Imóveis!$T$2),Imóveis!$U$2,0),IF((IF(AND(Dados!$A778&gt;=Imóveis!$Q$2,Dados!$A778&lt;=Imóveis!$T$2),Imóveis!$S$2-(DATEDIF(Imóveis!$Q$2,Dados!$A778,"m")),0))=0,0,((Imóveis!$N$2/Imóveis!$S$2)+((Imóveis!$N$2-((Imóveis!$S$2-(IF(AND(Dados!$A778&gt;=Imóveis!$Q$2,Dados!$A778&lt;=Imóveis!$T$2),Imóveis!$S$2-(DATEDIF(Imóveis!$Q$2,Dados!$A778,"m")),)))*(Imóveis!$N$2/Imóveis!$S$2)))*Imóveis!$P$2))))*IF(AND(Imóveis!$E$2&gt;0,Dados!$A778&gt;Imóveis!$E$2),0,1)</f>
        <v>0</v>
      </c>
      <c r="J778" s="18">
        <f>IF(Imóveis!$F$3="PRICE",IF(AND(Dados!$A778&gt;=Imóveis!$Q$3,Dados!$A778&lt;=Imóveis!$T$3),Imóveis!$U$3,0),IF((IF(AND(Dados!$A778&gt;=Imóveis!$Q$3,Dados!$A778&lt;=Imóveis!$T$3),Imóveis!$S$3-(DATEDIF(Imóveis!$Q$3,Dados!$A778,"m")),0))=0,0,((Imóveis!$N$3/Imóveis!$S$3)+((Imóveis!$N$3-((Imóveis!$S$3-(IF(AND(Dados!$A778&gt;=Imóveis!$Q$3,Dados!$A778&lt;=Imóveis!$T$3),Imóveis!$S$3-(DATEDIF(Imóveis!$Q$3,Dados!$A778,"m")),)))*(Imóveis!$N$3/Imóveis!$S$3)))*Imóveis!$P$3))))*IF(AND(Imóveis!$E$3&gt;0,Dados!$A778&gt;Imóveis!$E$3),0,1)</f>
        <v>0</v>
      </c>
      <c r="K778" s="18">
        <f>IF(Imóveis!$F$4="PRICE",IF(AND(Dados!$A778&gt;=Imóveis!$Q$4,Dados!$A778&lt;=Imóveis!$T$4),Imóveis!$U$4,0),IF((IF(AND(Dados!$A778&gt;=Imóveis!$Q$4,Dados!$A778&lt;=Imóveis!$T$4),Imóveis!$S$4-(DATEDIF(Imóveis!$Q$4,Dados!$A778,"m")),0))=0,0,((Imóveis!$N$4/Imóveis!$S$4)+((Imóveis!$N$4-((Imóveis!$S$4-(IF(AND(Dados!$A778&gt;=Imóveis!$Q$4,Dados!$A778&lt;=Imóveis!$T$4),Imóveis!$S$4-(DATEDIF(Imóveis!$Q$4,Dados!$A778,"m")),)))*(Imóveis!$N$4/Imóveis!$S$4)))*Imóveis!$P$4))))*IF(AND(Imóveis!$E$4&gt;0,Dados!$A778&gt;Imóveis!$E$4),0,1)</f>
        <v>0</v>
      </c>
      <c r="L778" s="18">
        <f>IF(Imóveis!$F$5="PRICE",IF(AND(Dados!$A778&gt;=Imóveis!$Q$5,Dados!$A778&lt;=Imóveis!$T$5),Imóveis!$U$5,0),IF((IF(AND(Dados!$A778&gt;=Imóveis!$Q$5,Dados!$A778&lt;=Imóveis!$T$5),Imóveis!$S$5-(DATEDIF(Imóveis!$Q$5,Dados!$A778,"m")),0))=0,0,((Imóveis!$N$5/Imóveis!$S$5)+((Imóveis!$N$5-((Imóveis!$S$5-(IF(AND(Dados!$A778 &gt;=Imóveis!$Q$5,Dados!$A778&lt;=Imóveis!$T$5),Imóveis!$S$5-(DATEDIF(Imóveis!$Q$5,Dados!$A778,"m")),)))*(Imóveis!$N$5/Imóveis!$S$5)))*Imóveis!$P$5))))*IF(AND(Imóveis!$E$5&gt;0,Dados!$A778&gt;Imóveis!$E$5),0,1)*Imóveis!$I$5</f>
        <v>0</v>
      </c>
      <c r="M778" s="18">
        <f>IF(Imóveis!$F$6="PRICE",IF(AND(Dados!$A778&gt;=Imóveis!$Q$6,Dados!$A778&lt;=Imóveis!$T$6),Imóveis!$U$6,0),IF((IF(AND(Dados!$A778&gt;=Imóveis!$Q$6,Dados!$A778&lt;=Imóveis!$T$6),Imóveis!$S$6-(DATEDIF(Imóveis!$Q$6,Dados!$A778,"m")),0))=0,0,((Imóveis!$N$6/Imóveis!$S$6)+((Imóveis!$N$6-((Imóveis!$S$6-(IF(AND(Dados!$A778&gt;=Imóveis!$Q$6,Dados!$A778&lt;=Imóveis!$T$6),Imóveis!$S$6-(DATEDIF(Imóveis!$Q$6,Dados!$A778,"m")),)))*(Imóveis!$N$6/Imóveis!$S$6)))*Imóveis!$P$6))))*IF(AND(Imóveis!$E$6&gt;0,Dados!$A778&gt;Imóveis!$E$6),0,1)*Imóveis!$I$6</f>
        <v>0</v>
      </c>
      <c r="N778" s="18">
        <f t="shared" si="101"/>
        <v>37000</v>
      </c>
      <c r="O778" s="18">
        <f>SUMIFS(Receitas!$F:$F,Receitas!$J:$J,"&lt;="&amp;$A778,Receitas!$L:$L,"&gt;="&amp;$A778,Receitas!$C:$C,O$1,Receitas!$M:$M,"Mensal")+SUMIFS(Receitas!$F:$F,Receitas!$J:$J,"&lt;="&amp;$A778,Receitas!$L:$L,"&gt;="&amp;$A778,Receitas!$C:$C,O$1,Receitas!$M:$M,$B778)</f>
        <v>0</v>
      </c>
      <c r="P778" s="18">
        <f>SUMIFS(Receitas!$F:$F,Receitas!$J:$J,"&lt;="&amp;$A778,Receitas!$L:$L,"&gt;="&amp;$A778,Receitas!$C:$C,P$1,Receitas!$M:$M,"Mensal")+SUMIFS(Receitas!$F:$F,Receitas!$J:$J,"&lt;="&amp;$A778,Receitas!$L:$L,"&gt;="&amp;$A778,Receitas!$C:$C,P$1,Receitas!$M:$M,$B778)</f>
        <v>0</v>
      </c>
      <c r="Q778" s="18">
        <f>SUMIFS(Receitas!$F:$F,Receitas!$J:$J,"&lt;="&amp;$A778,Receitas!$L:$L,"&gt;="&amp;$A778,Receitas!$C:$C,Q$1,Receitas!$M:$M,"Mensal")+SUMIFS(Receitas!$F:$F,Receitas!$J:$J,"&lt;="&amp;$A778,Receitas!$L:$L,"&gt;="&amp;$A778,Receitas!$C:$C,Q$1,Receitas!$M:$M,$B778)</f>
        <v>0</v>
      </c>
      <c r="R778" s="18" cm="1">
        <f t="array" ref="R778">(IF(AND(Membros!$F$2="Sim",A778&lt;=MAX(Membros!$E$2:$E$5)),Membros!K$2,IF(AND(A778&gt;=Membros!J$2,A778&lt;=MAX(Membros!$E$2:$E$5)),Membros!K$2,0))+IF(AND(Membros!$F$3="Sim",A778&lt;=MAX(Membros!$E$2:$E$5)),Membros!K$3,IF(AND(A778&gt;=Membros!J$3,A778&lt;=MAX(Membros!$E$2:$E$5)),Membros!K$3,0)))*IF(AND(COUNTIFS(Tabela3[Tipo],"Provedor",Tabela3[Simulação Seguro],"Sim")=2,A778&gt;=MAX(IF(Tabela3[Tipo]="Dependente",Tabela3[Expectativa de Vida (Data)]))),0,1)</f>
        <v>10000</v>
      </c>
      <c r="S778" s="18">
        <f t="shared" si="102"/>
        <v>10000</v>
      </c>
      <c r="U778" s="18">
        <f t="shared" ca="1" si="105"/>
        <v>62184221.716929674</v>
      </c>
      <c r="V778" s="18">
        <f>SUMIF(Imóveis!E:E,Dados!A:A,Imóveis!Z:Z)-SUMIF(Imóveis!E:E,Dados!A:A,Imóveis!Y:Y)</f>
        <v>0</v>
      </c>
      <c r="W778" s="18">
        <f>-SUMIF(Projetos!N:N,A778,Projetos!F:F)</f>
        <v>0</v>
      </c>
      <c r="X778" s="18">
        <f t="shared" si="99"/>
        <v>-27000</v>
      </c>
      <c r="Y778" s="26">
        <f ca="1">(U778*((Indicadores_Economicos!D$2+1)^(1/12)-1))</f>
        <v>203574.96045979037</v>
      </c>
      <c r="Z778" s="18">
        <f t="shared" ca="1" si="103"/>
        <v>62360796.677389465</v>
      </c>
      <c r="AA778" s="18">
        <f ca="1">Auxiliar_Projetos!E778</f>
        <v>4.9395216829677768E-9</v>
      </c>
      <c r="AB778" s="18">
        <f ca="1">Auxiliar_Projetos!K778</f>
        <v>3.7996320638213587E-9</v>
      </c>
      <c r="AC778" s="18">
        <f ca="1">IF(Z778-AA778-AB778&gt;Investimentos!$C$14,Investimentos!$C$14,IF(Z778-AA778-AB778&lt;Investimentos!$C$14,Z778-AA778-AB778,0))</f>
        <v>300000</v>
      </c>
      <c r="AD778" s="18">
        <f t="shared" ca="1" si="104"/>
        <v>62060796.67738945</v>
      </c>
      <c r="AE778" s="18"/>
    </row>
    <row r="779" spans="1:31" x14ac:dyDescent="0.2">
      <c r="A779" s="4">
        <v>69307</v>
      </c>
      <c r="B779" s="5" t="str">
        <f t="shared" si="100"/>
        <v>outubro</v>
      </c>
      <c r="C779" s="5" t="str">
        <f t="shared" si="98"/>
        <v>2089</v>
      </c>
      <c r="D779" s="5">
        <f>SUMIFS(Despesas!$F:$F,Despesas!$J:$J,"&lt;="&amp;$A779,Despesas!$L:$L,"&gt;="&amp;$A779,Despesas!$C:$C,D$1,Despesas!$M:$M,"Mensal")+SUMIFS(Despesas!$F:$F,Despesas!$J:$J,"&lt;="&amp;$A779,Despesas!$L:$L,"&gt;="&amp;$A779,Despesas!$C:$C,D$1,Despesas!$M:$M,$B779)</f>
        <v>23000</v>
      </c>
      <c r="E779" s="18">
        <f>SUMIFS(Despesas!$F:$F,Despesas!$J:$J,"&lt;="&amp;$A779,Despesas!$L:$L,"&gt;="&amp;$A779,Despesas!$C:$C,E$1,Despesas!$M:$M,"Mensal")+SUMIFS(Despesas!$F:$F,Despesas!$J:$J,"&lt;="&amp;$A779,Despesas!$L:$L,"&gt;="&amp;$A779,Despesas!$C:$C,E$1,Despesas!$M:$M,$B779)</f>
        <v>0</v>
      </c>
      <c r="F779" s="5">
        <f>SUMIFS(Despesas!$F:$F,Despesas!$J:$J,"&lt;="&amp;$A779,Despesas!$L:$L,"&gt;="&amp;$A779,Despesas!$C:$C,F$1,Despesas!$M:$M,"Mensal")+SUMIFS(Despesas!$F:$F,Despesas!$J:$J,"&lt;="&amp;$A779,Despesas!$L:$L,"&gt;="&amp;$A779,Despesas!$C:$C,F$1,Despesas!$M:$M,$B779)</f>
        <v>13000</v>
      </c>
      <c r="G779" s="5">
        <f>SUMIFS(Despesas!$F:$F,Despesas!$J:$J,"&lt;="&amp;$A779,Despesas!$L:$L,"&gt;="&amp;$A779,Despesas!$C:$C,G$1,Despesas!$M:$M,"Mensal")+SUMIFS(Despesas!$F:$F,Despesas!$J:$J,"&lt;="&amp;$A779,Despesas!$L:$L,"&gt;="&amp;$A779,Despesas!$C:$C,G$1,Despesas!$M:$M,$B779)</f>
        <v>0</v>
      </c>
      <c r="H779" s="18">
        <f>SUMIFS(Despesas!$F:$F,Despesas!$J:$J,"&lt;="&amp;$A779,Despesas!$L:$L,"&gt;="&amp;$A779,Despesas!$C:$C,H$1,Despesas!$M:$M,"Mensal")+SUMIFS(Despesas!$F:$F,Despesas!$J:$J,"&lt;="&amp;$A779,Despesas!$L:$L,"&gt;="&amp;$A779,Despesas!$C:$C,H$1,Despesas!$M:$M,$B779)</f>
        <v>1000</v>
      </c>
      <c r="I779" s="18">
        <f>IF(Imóveis!$F$2="PRICE",IF(AND(Dados!$A779&gt;=Imóveis!$Q$2,Dados!$A779&lt;=Imóveis!$T$2),Imóveis!$U$2,0),IF((IF(AND(Dados!$A779&gt;=Imóveis!$Q$2,Dados!$A779&lt;=Imóveis!$T$2),Imóveis!$S$2-(DATEDIF(Imóveis!$Q$2,Dados!$A779,"m")),0))=0,0,((Imóveis!$N$2/Imóveis!$S$2)+((Imóveis!$N$2-((Imóveis!$S$2-(IF(AND(Dados!$A779&gt;=Imóveis!$Q$2,Dados!$A779&lt;=Imóveis!$T$2),Imóveis!$S$2-(DATEDIF(Imóveis!$Q$2,Dados!$A779,"m")),)))*(Imóveis!$N$2/Imóveis!$S$2)))*Imóveis!$P$2))))*IF(AND(Imóveis!$E$2&gt;0,Dados!$A779&gt;Imóveis!$E$2),0,1)</f>
        <v>0</v>
      </c>
      <c r="J779" s="18">
        <f>IF(Imóveis!$F$3="PRICE",IF(AND(Dados!$A779&gt;=Imóveis!$Q$3,Dados!$A779&lt;=Imóveis!$T$3),Imóveis!$U$3,0),IF((IF(AND(Dados!$A779&gt;=Imóveis!$Q$3,Dados!$A779&lt;=Imóveis!$T$3),Imóveis!$S$3-(DATEDIF(Imóveis!$Q$3,Dados!$A779,"m")),0))=0,0,((Imóveis!$N$3/Imóveis!$S$3)+((Imóveis!$N$3-((Imóveis!$S$3-(IF(AND(Dados!$A779&gt;=Imóveis!$Q$3,Dados!$A779&lt;=Imóveis!$T$3),Imóveis!$S$3-(DATEDIF(Imóveis!$Q$3,Dados!$A779,"m")),)))*(Imóveis!$N$3/Imóveis!$S$3)))*Imóveis!$P$3))))*IF(AND(Imóveis!$E$3&gt;0,Dados!$A779&gt;Imóveis!$E$3),0,1)</f>
        <v>0</v>
      </c>
      <c r="K779" s="18">
        <f>IF(Imóveis!$F$4="PRICE",IF(AND(Dados!$A779&gt;=Imóveis!$Q$4,Dados!$A779&lt;=Imóveis!$T$4),Imóveis!$U$4,0),IF((IF(AND(Dados!$A779&gt;=Imóveis!$Q$4,Dados!$A779&lt;=Imóveis!$T$4),Imóveis!$S$4-(DATEDIF(Imóveis!$Q$4,Dados!$A779,"m")),0))=0,0,((Imóveis!$N$4/Imóveis!$S$4)+((Imóveis!$N$4-((Imóveis!$S$4-(IF(AND(Dados!$A779&gt;=Imóveis!$Q$4,Dados!$A779&lt;=Imóveis!$T$4),Imóveis!$S$4-(DATEDIF(Imóveis!$Q$4,Dados!$A779,"m")),)))*(Imóveis!$N$4/Imóveis!$S$4)))*Imóveis!$P$4))))*IF(AND(Imóveis!$E$4&gt;0,Dados!$A779&gt;Imóveis!$E$4),0,1)</f>
        <v>0</v>
      </c>
      <c r="L779" s="18">
        <f>IF(Imóveis!$F$5="PRICE",IF(AND(Dados!$A779&gt;=Imóveis!$Q$5,Dados!$A779&lt;=Imóveis!$T$5),Imóveis!$U$5,0),IF((IF(AND(Dados!$A779&gt;=Imóveis!$Q$5,Dados!$A779&lt;=Imóveis!$T$5),Imóveis!$S$5-(DATEDIF(Imóveis!$Q$5,Dados!$A779,"m")),0))=0,0,((Imóveis!$N$5/Imóveis!$S$5)+((Imóveis!$N$5-((Imóveis!$S$5-(IF(AND(Dados!$A779 &gt;=Imóveis!$Q$5,Dados!$A779&lt;=Imóveis!$T$5),Imóveis!$S$5-(DATEDIF(Imóveis!$Q$5,Dados!$A779,"m")),)))*(Imóveis!$N$5/Imóveis!$S$5)))*Imóveis!$P$5))))*IF(AND(Imóveis!$E$5&gt;0,Dados!$A779&gt;Imóveis!$E$5),0,1)*Imóveis!$I$5</f>
        <v>0</v>
      </c>
      <c r="M779" s="18">
        <f>IF(Imóveis!$F$6="PRICE",IF(AND(Dados!$A779&gt;=Imóveis!$Q$6,Dados!$A779&lt;=Imóveis!$T$6),Imóveis!$U$6,0),IF((IF(AND(Dados!$A779&gt;=Imóveis!$Q$6,Dados!$A779&lt;=Imóveis!$T$6),Imóveis!$S$6-(DATEDIF(Imóveis!$Q$6,Dados!$A779,"m")),0))=0,0,((Imóveis!$N$6/Imóveis!$S$6)+((Imóveis!$N$6-((Imóveis!$S$6-(IF(AND(Dados!$A779&gt;=Imóveis!$Q$6,Dados!$A779&lt;=Imóveis!$T$6),Imóveis!$S$6-(DATEDIF(Imóveis!$Q$6,Dados!$A779,"m")),)))*(Imóveis!$N$6/Imóveis!$S$6)))*Imóveis!$P$6))))*IF(AND(Imóveis!$E$6&gt;0,Dados!$A779&gt;Imóveis!$E$6),0,1)*Imóveis!$I$6</f>
        <v>0</v>
      </c>
      <c r="N779" s="18">
        <f t="shared" si="101"/>
        <v>37000</v>
      </c>
      <c r="O779" s="18">
        <f>SUMIFS(Receitas!$F:$F,Receitas!$J:$J,"&lt;="&amp;$A779,Receitas!$L:$L,"&gt;="&amp;$A779,Receitas!$C:$C,O$1,Receitas!$M:$M,"Mensal")+SUMIFS(Receitas!$F:$F,Receitas!$J:$J,"&lt;="&amp;$A779,Receitas!$L:$L,"&gt;="&amp;$A779,Receitas!$C:$C,O$1,Receitas!$M:$M,$B779)</f>
        <v>0</v>
      </c>
      <c r="P779" s="18">
        <f>SUMIFS(Receitas!$F:$F,Receitas!$J:$J,"&lt;="&amp;$A779,Receitas!$L:$L,"&gt;="&amp;$A779,Receitas!$C:$C,P$1,Receitas!$M:$M,"Mensal")+SUMIFS(Receitas!$F:$F,Receitas!$J:$J,"&lt;="&amp;$A779,Receitas!$L:$L,"&gt;="&amp;$A779,Receitas!$C:$C,P$1,Receitas!$M:$M,$B779)</f>
        <v>0</v>
      </c>
      <c r="Q779" s="18">
        <f>SUMIFS(Receitas!$F:$F,Receitas!$J:$J,"&lt;="&amp;$A779,Receitas!$L:$L,"&gt;="&amp;$A779,Receitas!$C:$C,Q$1,Receitas!$M:$M,"Mensal")+SUMIFS(Receitas!$F:$F,Receitas!$J:$J,"&lt;="&amp;$A779,Receitas!$L:$L,"&gt;="&amp;$A779,Receitas!$C:$C,Q$1,Receitas!$M:$M,$B779)</f>
        <v>0</v>
      </c>
      <c r="R779" s="18" cm="1">
        <f t="array" ref="R779">(IF(AND(Membros!$F$2="Sim",A779&lt;=MAX(Membros!$E$2:$E$5)),Membros!K$2,IF(AND(A779&gt;=Membros!J$2,A779&lt;=MAX(Membros!$E$2:$E$5)),Membros!K$2,0))+IF(AND(Membros!$F$3="Sim",A779&lt;=MAX(Membros!$E$2:$E$5)),Membros!K$3,IF(AND(A779&gt;=Membros!J$3,A779&lt;=MAX(Membros!$E$2:$E$5)),Membros!K$3,0)))*IF(AND(COUNTIFS(Tabela3[Tipo],"Provedor",Tabela3[Simulação Seguro],"Sim")=2,A779&gt;=MAX(IF(Tabela3[Tipo]="Dependente",Tabela3[Expectativa de Vida (Data)]))),0,1)</f>
        <v>10000</v>
      </c>
      <c r="S779" s="18">
        <f t="shared" si="102"/>
        <v>10000</v>
      </c>
      <c r="U779" s="18">
        <f t="shared" ca="1" si="105"/>
        <v>62360796.677389465</v>
      </c>
      <c r="V779" s="18">
        <f>SUMIF(Imóveis!E:E,Dados!A:A,Imóveis!Z:Z)-SUMIF(Imóveis!E:E,Dados!A:A,Imóveis!Y:Y)</f>
        <v>0</v>
      </c>
      <c r="W779" s="18">
        <f>-SUMIF(Projetos!N:N,A779,Projetos!F:F)</f>
        <v>0</v>
      </c>
      <c r="X779" s="18">
        <f t="shared" si="99"/>
        <v>-27000</v>
      </c>
      <c r="Y779" s="26">
        <f ca="1">(U779*((Indicadores_Economicos!D$2+1)^(1/12)-1))</f>
        <v>204153.02093238776</v>
      </c>
      <c r="Z779" s="18">
        <f t="shared" ca="1" si="103"/>
        <v>62537949.698321857</v>
      </c>
      <c r="AA779" s="18">
        <f ca="1">Auxiliar_Projetos!E779</f>
        <v>4.9556923916063421E-9</v>
      </c>
      <c r="AB779" s="18">
        <f ca="1">Auxiliar_Projetos!K779</f>
        <v>3.8120710704664096E-9</v>
      </c>
      <c r="AC779" s="18">
        <f ca="1">IF(Z779-AA779-AB779&gt;Investimentos!$C$14,Investimentos!$C$14,IF(Z779-AA779-AB779&lt;Investimentos!$C$14,Z779-AA779-AB779,0))</f>
        <v>300000</v>
      </c>
      <c r="AD779" s="18">
        <f t="shared" ca="1" si="104"/>
        <v>62237949.698321842</v>
      </c>
      <c r="AE779" s="18"/>
    </row>
    <row r="780" spans="1:31" x14ac:dyDescent="0.2">
      <c r="A780" s="4">
        <v>69338</v>
      </c>
      <c r="B780" s="5" t="str">
        <f t="shared" si="100"/>
        <v>novembro</v>
      </c>
      <c r="C780" s="5" t="str">
        <f t="shared" si="98"/>
        <v>2089</v>
      </c>
      <c r="D780" s="5">
        <f>SUMIFS(Despesas!$F:$F,Despesas!$J:$J,"&lt;="&amp;$A780,Despesas!$L:$L,"&gt;="&amp;$A780,Despesas!$C:$C,D$1,Despesas!$M:$M,"Mensal")+SUMIFS(Despesas!$F:$F,Despesas!$J:$J,"&lt;="&amp;$A780,Despesas!$L:$L,"&gt;="&amp;$A780,Despesas!$C:$C,D$1,Despesas!$M:$M,$B780)</f>
        <v>23000</v>
      </c>
      <c r="E780" s="18">
        <f>SUMIFS(Despesas!$F:$F,Despesas!$J:$J,"&lt;="&amp;$A780,Despesas!$L:$L,"&gt;="&amp;$A780,Despesas!$C:$C,E$1,Despesas!$M:$M,"Mensal")+SUMIFS(Despesas!$F:$F,Despesas!$J:$J,"&lt;="&amp;$A780,Despesas!$L:$L,"&gt;="&amp;$A780,Despesas!$C:$C,E$1,Despesas!$M:$M,$B780)</f>
        <v>0</v>
      </c>
      <c r="F780" s="5">
        <f>SUMIFS(Despesas!$F:$F,Despesas!$J:$J,"&lt;="&amp;$A780,Despesas!$L:$L,"&gt;="&amp;$A780,Despesas!$C:$C,F$1,Despesas!$M:$M,"Mensal")+SUMIFS(Despesas!$F:$F,Despesas!$J:$J,"&lt;="&amp;$A780,Despesas!$L:$L,"&gt;="&amp;$A780,Despesas!$C:$C,F$1,Despesas!$M:$M,$B780)</f>
        <v>13000</v>
      </c>
      <c r="G780" s="5">
        <f>SUMIFS(Despesas!$F:$F,Despesas!$J:$J,"&lt;="&amp;$A780,Despesas!$L:$L,"&gt;="&amp;$A780,Despesas!$C:$C,G$1,Despesas!$M:$M,"Mensal")+SUMIFS(Despesas!$F:$F,Despesas!$J:$J,"&lt;="&amp;$A780,Despesas!$L:$L,"&gt;="&amp;$A780,Despesas!$C:$C,G$1,Despesas!$M:$M,$B780)</f>
        <v>0</v>
      </c>
      <c r="H780" s="18">
        <f>SUMIFS(Despesas!$F:$F,Despesas!$J:$J,"&lt;="&amp;$A780,Despesas!$L:$L,"&gt;="&amp;$A780,Despesas!$C:$C,H$1,Despesas!$M:$M,"Mensal")+SUMIFS(Despesas!$F:$F,Despesas!$J:$J,"&lt;="&amp;$A780,Despesas!$L:$L,"&gt;="&amp;$A780,Despesas!$C:$C,H$1,Despesas!$M:$M,$B780)</f>
        <v>1000</v>
      </c>
      <c r="I780" s="18">
        <f>IF(Imóveis!$F$2="PRICE",IF(AND(Dados!$A780&gt;=Imóveis!$Q$2,Dados!$A780&lt;=Imóveis!$T$2),Imóveis!$U$2,0),IF((IF(AND(Dados!$A780&gt;=Imóveis!$Q$2,Dados!$A780&lt;=Imóveis!$T$2),Imóveis!$S$2-(DATEDIF(Imóveis!$Q$2,Dados!$A780,"m")),0))=0,0,((Imóveis!$N$2/Imóveis!$S$2)+((Imóveis!$N$2-((Imóveis!$S$2-(IF(AND(Dados!$A780&gt;=Imóveis!$Q$2,Dados!$A780&lt;=Imóveis!$T$2),Imóveis!$S$2-(DATEDIF(Imóveis!$Q$2,Dados!$A780,"m")),)))*(Imóveis!$N$2/Imóveis!$S$2)))*Imóveis!$P$2))))*IF(AND(Imóveis!$E$2&gt;0,Dados!$A780&gt;Imóveis!$E$2),0,1)</f>
        <v>0</v>
      </c>
      <c r="J780" s="18">
        <f>IF(Imóveis!$F$3="PRICE",IF(AND(Dados!$A780&gt;=Imóveis!$Q$3,Dados!$A780&lt;=Imóveis!$T$3),Imóveis!$U$3,0),IF((IF(AND(Dados!$A780&gt;=Imóveis!$Q$3,Dados!$A780&lt;=Imóveis!$T$3),Imóveis!$S$3-(DATEDIF(Imóveis!$Q$3,Dados!$A780,"m")),0))=0,0,((Imóveis!$N$3/Imóveis!$S$3)+((Imóveis!$N$3-((Imóveis!$S$3-(IF(AND(Dados!$A780&gt;=Imóveis!$Q$3,Dados!$A780&lt;=Imóveis!$T$3),Imóveis!$S$3-(DATEDIF(Imóveis!$Q$3,Dados!$A780,"m")),)))*(Imóveis!$N$3/Imóveis!$S$3)))*Imóveis!$P$3))))*IF(AND(Imóveis!$E$3&gt;0,Dados!$A780&gt;Imóveis!$E$3),0,1)</f>
        <v>0</v>
      </c>
      <c r="K780" s="18">
        <f>IF(Imóveis!$F$4="PRICE",IF(AND(Dados!$A780&gt;=Imóveis!$Q$4,Dados!$A780&lt;=Imóveis!$T$4),Imóveis!$U$4,0),IF((IF(AND(Dados!$A780&gt;=Imóveis!$Q$4,Dados!$A780&lt;=Imóveis!$T$4),Imóveis!$S$4-(DATEDIF(Imóveis!$Q$4,Dados!$A780,"m")),0))=0,0,((Imóveis!$N$4/Imóveis!$S$4)+((Imóveis!$N$4-((Imóveis!$S$4-(IF(AND(Dados!$A780&gt;=Imóveis!$Q$4,Dados!$A780&lt;=Imóveis!$T$4),Imóveis!$S$4-(DATEDIF(Imóveis!$Q$4,Dados!$A780,"m")),)))*(Imóveis!$N$4/Imóveis!$S$4)))*Imóveis!$P$4))))*IF(AND(Imóveis!$E$4&gt;0,Dados!$A780&gt;Imóveis!$E$4),0,1)</f>
        <v>0</v>
      </c>
      <c r="L780" s="18">
        <f>IF(Imóveis!$F$5="PRICE",IF(AND(Dados!$A780&gt;=Imóveis!$Q$5,Dados!$A780&lt;=Imóveis!$T$5),Imóveis!$U$5,0),IF((IF(AND(Dados!$A780&gt;=Imóveis!$Q$5,Dados!$A780&lt;=Imóveis!$T$5),Imóveis!$S$5-(DATEDIF(Imóveis!$Q$5,Dados!$A780,"m")),0))=0,0,((Imóveis!$N$5/Imóveis!$S$5)+((Imóveis!$N$5-((Imóveis!$S$5-(IF(AND(Dados!$A780 &gt;=Imóveis!$Q$5,Dados!$A780&lt;=Imóveis!$T$5),Imóveis!$S$5-(DATEDIF(Imóveis!$Q$5,Dados!$A780,"m")),)))*(Imóveis!$N$5/Imóveis!$S$5)))*Imóveis!$P$5))))*IF(AND(Imóveis!$E$5&gt;0,Dados!$A780&gt;Imóveis!$E$5),0,1)*Imóveis!$I$5</f>
        <v>0</v>
      </c>
      <c r="M780" s="18">
        <f>IF(Imóveis!$F$6="PRICE",IF(AND(Dados!$A780&gt;=Imóveis!$Q$6,Dados!$A780&lt;=Imóveis!$T$6),Imóveis!$U$6,0),IF((IF(AND(Dados!$A780&gt;=Imóveis!$Q$6,Dados!$A780&lt;=Imóveis!$T$6),Imóveis!$S$6-(DATEDIF(Imóveis!$Q$6,Dados!$A780,"m")),0))=0,0,((Imóveis!$N$6/Imóveis!$S$6)+((Imóveis!$N$6-((Imóveis!$S$6-(IF(AND(Dados!$A780&gt;=Imóveis!$Q$6,Dados!$A780&lt;=Imóveis!$T$6),Imóveis!$S$6-(DATEDIF(Imóveis!$Q$6,Dados!$A780,"m")),)))*(Imóveis!$N$6/Imóveis!$S$6)))*Imóveis!$P$6))))*IF(AND(Imóveis!$E$6&gt;0,Dados!$A780&gt;Imóveis!$E$6),0,1)*Imóveis!$I$6</f>
        <v>0</v>
      </c>
      <c r="N780" s="18">
        <f t="shared" si="101"/>
        <v>37000</v>
      </c>
      <c r="O780" s="18">
        <f>SUMIFS(Receitas!$F:$F,Receitas!$J:$J,"&lt;="&amp;$A780,Receitas!$L:$L,"&gt;="&amp;$A780,Receitas!$C:$C,O$1,Receitas!$M:$M,"Mensal")+SUMIFS(Receitas!$F:$F,Receitas!$J:$J,"&lt;="&amp;$A780,Receitas!$L:$L,"&gt;="&amp;$A780,Receitas!$C:$C,O$1,Receitas!$M:$M,$B780)</f>
        <v>0</v>
      </c>
      <c r="P780" s="18">
        <f>SUMIFS(Receitas!$F:$F,Receitas!$J:$J,"&lt;="&amp;$A780,Receitas!$L:$L,"&gt;="&amp;$A780,Receitas!$C:$C,P$1,Receitas!$M:$M,"Mensal")+SUMIFS(Receitas!$F:$F,Receitas!$J:$J,"&lt;="&amp;$A780,Receitas!$L:$L,"&gt;="&amp;$A780,Receitas!$C:$C,P$1,Receitas!$M:$M,$B780)</f>
        <v>0</v>
      </c>
      <c r="Q780" s="18">
        <f>SUMIFS(Receitas!$F:$F,Receitas!$J:$J,"&lt;="&amp;$A780,Receitas!$L:$L,"&gt;="&amp;$A780,Receitas!$C:$C,Q$1,Receitas!$M:$M,"Mensal")+SUMIFS(Receitas!$F:$F,Receitas!$J:$J,"&lt;="&amp;$A780,Receitas!$L:$L,"&gt;="&amp;$A780,Receitas!$C:$C,Q$1,Receitas!$M:$M,$B780)</f>
        <v>0</v>
      </c>
      <c r="R780" s="18" cm="1">
        <f t="array" ref="R780">(IF(AND(Membros!$F$2="Sim",A780&lt;=MAX(Membros!$E$2:$E$5)),Membros!K$2,IF(AND(A780&gt;=Membros!J$2,A780&lt;=MAX(Membros!$E$2:$E$5)),Membros!K$2,0))+IF(AND(Membros!$F$3="Sim",A780&lt;=MAX(Membros!$E$2:$E$5)),Membros!K$3,IF(AND(A780&gt;=Membros!J$3,A780&lt;=MAX(Membros!$E$2:$E$5)),Membros!K$3,0)))*IF(AND(COUNTIFS(Tabela3[Tipo],"Provedor",Tabela3[Simulação Seguro],"Sim")=2,A780&gt;=MAX(IF(Tabela3[Tipo]="Dependente",Tabela3[Expectativa de Vida (Data)]))),0,1)</f>
        <v>10000</v>
      </c>
      <c r="S780" s="18">
        <f t="shared" si="102"/>
        <v>10000</v>
      </c>
      <c r="U780" s="18">
        <f t="shared" ca="1" si="105"/>
        <v>62537949.698321857</v>
      </c>
      <c r="V780" s="18">
        <f>SUMIF(Imóveis!E:E,Dados!A:A,Imóveis!Z:Z)-SUMIF(Imóveis!E:E,Dados!A:A,Imóveis!Y:Y)</f>
        <v>0</v>
      </c>
      <c r="W780" s="18">
        <f>-SUMIF(Projetos!N:N,A780,Projetos!F:F)</f>
        <v>0</v>
      </c>
      <c r="X780" s="18">
        <f t="shared" si="99"/>
        <v>-27000</v>
      </c>
      <c r="Y780" s="26">
        <f ca="1">(U780*((Indicadores_Economicos!D$2+1)^(1/12)-1))</f>
        <v>204732.97382455086</v>
      </c>
      <c r="Z780" s="18">
        <f t="shared" ca="1" si="103"/>
        <v>62715682.67214641</v>
      </c>
      <c r="AA780" s="18">
        <f ca="1">Auxiliar_Projetos!E780</f>
        <v>4.9719160389370842E-9</v>
      </c>
      <c r="AB780" s="18">
        <f ca="1">Auxiliar_Projetos!K780</f>
        <v>3.8245507991823653E-9</v>
      </c>
      <c r="AC780" s="18">
        <f ca="1">IF(Z780-AA780-AB780&gt;Investimentos!$C$14,Investimentos!$C$14,IF(Z780-AA780-AB780&lt;Investimentos!$C$14,Z780-AA780-AB780,0))</f>
        <v>300000</v>
      </c>
      <c r="AD780" s="18">
        <f t="shared" ca="1" si="104"/>
        <v>62415682.672146395</v>
      </c>
      <c r="AE780" s="18"/>
    </row>
    <row r="781" spans="1:31" x14ac:dyDescent="0.2">
      <c r="A781" s="4">
        <v>69368</v>
      </c>
      <c r="B781" s="5" t="str">
        <f t="shared" si="100"/>
        <v>dezembro</v>
      </c>
      <c r="C781" s="5" t="str">
        <f t="shared" si="98"/>
        <v>2089</v>
      </c>
      <c r="D781" s="5">
        <f>SUMIFS(Despesas!$F:$F,Despesas!$J:$J,"&lt;="&amp;$A781,Despesas!$L:$L,"&gt;="&amp;$A781,Despesas!$C:$C,D$1,Despesas!$M:$M,"Mensal")+SUMIFS(Despesas!$F:$F,Despesas!$J:$J,"&lt;="&amp;$A781,Despesas!$L:$L,"&gt;="&amp;$A781,Despesas!$C:$C,D$1,Despesas!$M:$M,$B781)</f>
        <v>23000</v>
      </c>
      <c r="E781" s="18">
        <f>SUMIFS(Despesas!$F:$F,Despesas!$J:$J,"&lt;="&amp;$A781,Despesas!$L:$L,"&gt;="&amp;$A781,Despesas!$C:$C,E$1,Despesas!$M:$M,"Mensal")+SUMIFS(Despesas!$F:$F,Despesas!$J:$J,"&lt;="&amp;$A781,Despesas!$L:$L,"&gt;="&amp;$A781,Despesas!$C:$C,E$1,Despesas!$M:$M,$B781)</f>
        <v>0</v>
      </c>
      <c r="F781" s="5">
        <f>SUMIFS(Despesas!$F:$F,Despesas!$J:$J,"&lt;="&amp;$A781,Despesas!$L:$L,"&gt;="&amp;$A781,Despesas!$C:$C,F$1,Despesas!$M:$M,"Mensal")+SUMIFS(Despesas!$F:$F,Despesas!$J:$J,"&lt;="&amp;$A781,Despesas!$L:$L,"&gt;="&amp;$A781,Despesas!$C:$C,F$1,Despesas!$M:$M,$B781)</f>
        <v>13000</v>
      </c>
      <c r="G781" s="5">
        <f ca="1">SUMIFS(Despesas!$F:$F,Despesas!$J:$J,"&lt;="&amp;$A781,Despesas!$L:$L,"&gt;="&amp;$A781,Despesas!$C:$C,G$1,Despesas!$M:$M,"Mensal")+SUMIFS(Despesas!$F:$F,Despesas!$J:$J,"&lt;="&amp;$A781,Despesas!$L:$L,"&gt;="&amp;$A781,Despesas!$C:$C,G$1,Despesas!$M:$M,$B781)</f>
        <v>55757</v>
      </c>
      <c r="H781" s="18">
        <f>SUMIFS(Despesas!$F:$F,Despesas!$J:$J,"&lt;="&amp;$A781,Despesas!$L:$L,"&gt;="&amp;$A781,Despesas!$C:$C,H$1,Despesas!$M:$M,"Mensal")+SUMIFS(Despesas!$F:$F,Despesas!$J:$J,"&lt;="&amp;$A781,Despesas!$L:$L,"&gt;="&amp;$A781,Despesas!$C:$C,H$1,Despesas!$M:$M,$B781)</f>
        <v>1000</v>
      </c>
      <c r="I781" s="18">
        <f>IF(Imóveis!$F$2="PRICE",IF(AND(Dados!$A781&gt;=Imóveis!$Q$2,Dados!$A781&lt;=Imóveis!$T$2),Imóveis!$U$2,0),IF((IF(AND(Dados!$A781&gt;=Imóveis!$Q$2,Dados!$A781&lt;=Imóveis!$T$2),Imóveis!$S$2-(DATEDIF(Imóveis!$Q$2,Dados!$A781,"m")),0))=0,0,((Imóveis!$N$2/Imóveis!$S$2)+((Imóveis!$N$2-((Imóveis!$S$2-(IF(AND(Dados!$A781&gt;=Imóveis!$Q$2,Dados!$A781&lt;=Imóveis!$T$2),Imóveis!$S$2-(DATEDIF(Imóveis!$Q$2,Dados!$A781,"m")),)))*(Imóveis!$N$2/Imóveis!$S$2)))*Imóveis!$P$2))))*IF(AND(Imóveis!$E$2&gt;0,Dados!$A781&gt;Imóveis!$E$2),0,1)</f>
        <v>0</v>
      </c>
      <c r="J781" s="18">
        <f>IF(Imóveis!$F$3="PRICE",IF(AND(Dados!$A781&gt;=Imóveis!$Q$3,Dados!$A781&lt;=Imóveis!$T$3),Imóveis!$U$3,0),IF((IF(AND(Dados!$A781&gt;=Imóveis!$Q$3,Dados!$A781&lt;=Imóveis!$T$3),Imóveis!$S$3-(DATEDIF(Imóveis!$Q$3,Dados!$A781,"m")),0))=0,0,((Imóveis!$N$3/Imóveis!$S$3)+((Imóveis!$N$3-((Imóveis!$S$3-(IF(AND(Dados!$A781&gt;=Imóveis!$Q$3,Dados!$A781&lt;=Imóveis!$T$3),Imóveis!$S$3-(DATEDIF(Imóveis!$Q$3,Dados!$A781,"m")),)))*(Imóveis!$N$3/Imóveis!$S$3)))*Imóveis!$P$3))))*IF(AND(Imóveis!$E$3&gt;0,Dados!$A781&gt;Imóveis!$E$3),0,1)</f>
        <v>0</v>
      </c>
      <c r="K781" s="18">
        <f>IF(Imóveis!$F$4="PRICE",IF(AND(Dados!$A781&gt;=Imóveis!$Q$4,Dados!$A781&lt;=Imóveis!$T$4),Imóveis!$U$4,0),IF((IF(AND(Dados!$A781&gt;=Imóveis!$Q$4,Dados!$A781&lt;=Imóveis!$T$4),Imóveis!$S$4-(DATEDIF(Imóveis!$Q$4,Dados!$A781,"m")),0))=0,0,((Imóveis!$N$4/Imóveis!$S$4)+((Imóveis!$N$4-((Imóveis!$S$4-(IF(AND(Dados!$A781&gt;=Imóveis!$Q$4,Dados!$A781&lt;=Imóveis!$T$4),Imóveis!$S$4-(DATEDIF(Imóveis!$Q$4,Dados!$A781,"m")),)))*(Imóveis!$N$4/Imóveis!$S$4)))*Imóveis!$P$4))))*IF(AND(Imóveis!$E$4&gt;0,Dados!$A781&gt;Imóveis!$E$4),0,1)</f>
        <v>0</v>
      </c>
      <c r="L781" s="18">
        <f>IF(Imóveis!$F$5="PRICE",IF(AND(Dados!$A781&gt;=Imóveis!$Q$5,Dados!$A781&lt;=Imóveis!$T$5),Imóveis!$U$5,0),IF((IF(AND(Dados!$A781&gt;=Imóveis!$Q$5,Dados!$A781&lt;=Imóveis!$T$5),Imóveis!$S$5-(DATEDIF(Imóveis!$Q$5,Dados!$A781,"m")),0))=0,0,((Imóveis!$N$5/Imóveis!$S$5)+((Imóveis!$N$5-((Imóveis!$S$5-(IF(AND(Dados!$A781 &gt;=Imóveis!$Q$5,Dados!$A781&lt;=Imóveis!$T$5),Imóveis!$S$5-(DATEDIF(Imóveis!$Q$5,Dados!$A781,"m")),)))*(Imóveis!$N$5/Imóveis!$S$5)))*Imóveis!$P$5))))*IF(AND(Imóveis!$E$5&gt;0,Dados!$A781&gt;Imóveis!$E$5),0,1)*Imóveis!$I$5</f>
        <v>0</v>
      </c>
      <c r="M781" s="18">
        <f>IF(Imóveis!$F$6="PRICE",IF(AND(Dados!$A781&gt;=Imóveis!$Q$6,Dados!$A781&lt;=Imóveis!$T$6),Imóveis!$U$6,0),IF((IF(AND(Dados!$A781&gt;=Imóveis!$Q$6,Dados!$A781&lt;=Imóveis!$T$6),Imóveis!$S$6-(DATEDIF(Imóveis!$Q$6,Dados!$A781,"m")),0))=0,0,((Imóveis!$N$6/Imóveis!$S$6)+((Imóveis!$N$6-((Imóveis!$S$6-(IF(AND(Dados!$A781&gt;=Imóveis!$Q$6,Dados!$A781&lt;=Imóveis!$T$6),Imóveis!$S$6-(DATEDIF(Imóveis!$Q$6,Dados!$A781,"m")),)))*(Imóveis!$N$6/Imóveis!$S$6)))*Imóveis!$P$6))))*IF(AND(Imóveis!$E$6&gt;0,Dados!$A781&gt;Imóveis!$E$6),0,1)*Imóveis!$I$6</f>
        <v>0</v>
      </c>
      <c r="N781" s="18">
        <f t="shared" ca="1" si="101"/>
        <v>92757</v>
      </c>
      <c r="O781" s="18">
        <f>SUMIFS(Receitas!$F:$F,Receitas!$J:$J,"&lt;="&amp;$A781,Receitas!$L:$L,"&gt;="&amp;$A781,Receitas!$C:$C,O$1,Receitas!$M:$M,"Mensal")+SUMIFS(Receitas!$F:$F,Receitas!$J:$J,"&lt;="&amp;$A781,Receitas!$L:$L,"&gt;="&amp;$A781,Receitas!$C:$C,O$1,Receitas!$M:$M,$B781)</f>
        <v>0</v>
      </c>
      <c r="P781" s="18">
        <f>SUMIFS(Receitas!$F:$F,Receitas!$J:$J,"&lt;="&amp;$A781,Receitas!$L:$L,"&gt;="&amp;$A781,Receitas!$C:$C,P$1,Receitas!$M:$M,"Mensal")+SUMIFS(Receitas!$F:$F,Receitas!$J:$J,"&lt;="&amp;$A781,Receitas!$L:$L,"&gt;="&amp;$A781,Receitas!$C:$C,P$1,Receitas!$M:$M,$B781)</f>
        <v>0</v>
      </c>
      <c r="Q781" s="18">
        <f>SUMIFS(Receitas!$F:$F,Receitas!$J:$J,"&lt;="&amp;$A781,Receitas!$L:$L,"&gt;="&amp;$A781,Receitas!$C:$C,Q$1,Receitas!$M:$M,"Mensal")+SUMIFS(Receitas!$F:$F,Receitas!$J:$J,"&lt;="&amp;$A781,Receitas!$L:$L,"&gt;="&amp;$A781,Receitas!$C:$C,Q$1,Receitas!$M:$M,$B781)</f>
        <v>0</v>
      </c>
      <c r="R781" s="18" cm="1">
        <f t="array" ref="R781">(IF(AND(Membros!$F$2="Sim",A781&lt;=MAX(Membros!$E$2:$E$5)),Membros!K$2,IF(AND(A781&gt;=Membros!J$2,A781&lt;=MAX(Membros!$E$2:$E$5)),Membros!K$2,0))+IF(AND(Membros!$F$3="Sim",A781&lt;=MAX(Membros!$E$2:$E$5)),Membros!K$3,IF(AND(A781&gt;=Membros!J$3,A781&lt;=MAX(Membros!$E$2:$E$5)),Membros!K$3,0)))*IF(AND(COUNTIFS(Tabela3[Tipo],"Provedor",Tabela3[Simulação Seguro],"Sim")=2,A781&gt;=MAX(IF(Tabela3[Tipo]="Dependente",Tabela3[Expectativa de Vida (Data)]))),0,1)</f>
        <v>10000</v>
      </c>
      <c r="S781" s="18">
        <f t="shared" si="102"/>
        <v>10000</v>
      </c>
      <c r="U781" s="18">
        <f t="shared" ca="1" si="105"/>
        <v>62715682.67214641</v>
      </c>
      <c r="V781" s="18">
        <f>SUMIF(Imóveis!E:E,Dados!A:A,Imóveis!Z:Z)-SUMIF(Imóveis!E:E,Dados!A:A,Imóveis!Y:Y)</f>
        <v>0</v>
      </c>
      <c r="W781" s="18">
        <f>-SUMIF(Projetos!N:N,A781,Projetos!F:F)</f>
        <v>0</v>
      </c>
      <c r="X781" s="18">
        <f t="shared" ca="1" si="99"/>
        <v>-82757</v>
      </c>
      <c r="Y781" s="26">
        <f ca="1">(U781*((Indicadores_Economicos!D$2+1)^(1/12)-1))</f>
        <v>205314.82533156883</v>
      </c>
      <c r="Z781" s="18">
        <f t="shared" ca="1" si="103"/>
        <v>62838240.497477978</v>
      </c>
      <c r="AA781" s="18">
        <f ca="1">Auxiliar_Projetos!E781</f>
        <v>4.9881927982675049E-9</v>
      </c>
      <c r="AB781" s="18">
        <f ca="1">Auxiliar_Projetos!K781</f>
        <v>3.8370713832826892E-9</v>
      </c>
      <c r="AC781" s="18">
        <f ca="1">IF(Z781-AA781-AB781&gt;Investimentos!$C$14,Investimentos!$C$14,IF(Z781-AA781-AB781&lt;Investimentos!$C$14,Z781-AA781-AB781,0))</f>
        <v>300000</v>
      </c>
      <c r="AD781" s="18">
        <f t="shared" ca="1" si="104"/>
        <v>62538240.497477964</v>
      </c>
      <c r="AE781" s="18"/>
    </row>
    <row r="782" spans="1:31" x14ac:dyDescent="0.2">
      <c r="A782" s="4">
        <v>69399</v>
      </c>
      <c r="B782" s="5" t="str">
        <f t="shared" si="100"/>
        <v>janeiro</v>
      </c>
      <c r="C782" s="5" t="str">
        <f t="shared" si="98"/>
        <v>2090</v>
      </c>
      <c r="D782" s="5">
        <f>SUMIFS(Despesas!$F:$F,Despesas!$J:$J,"&lt;="&amp;$A782,Despesas!$L:$L,"&gt;="&amp;$A782,Despesas!$C:$C,D$1,Despesas!$M:$M,"Mensal")+SUMIFS(Despesas!$F:$F,Despesas!$J:$J,"&lt;="&amp;$A782,Despesas!$L:$L,"&gt;="&amp;$A782,Despesas!$C:$C,D$1,Despesas!$M:$M,$B782)</f>
        <v>23000</v>
      </c>
      <c r="E782" s="18">
        <f>SUMIFS(Despesas!$F:$F,Despesas!$J:$J,"&lt;="&amp;$A782,Despesas!$L:$L,"&gt;="&amp;$A782,Despesas!$C:$C,E$1,Despesas!$M:$M,"Mensal")+SUMIFS(Despesas!$F:$F,Despesas!$J:$J,"&lt;="&amp;$A782,Despesas!$L:$L,"&gt;="&amp;$A782,Despesas!$C:$C,E$1,Despesas!$M:$M,$B782)</f>
        <v>0</v>
      </c>
      <c r="F782" s="5">
        <f>SUMIFS(Despesas!$F:$F,Despesas!$J:$J,"&lt;="&amp;$A782,Despesas!$L:$L,"&gt;="&amp;$A782,Despesas!$C:$C,F$1,Despesas!$M:$M,"Mensal")+SUMIFS(Despesas!$F:$F,Despesas!$J:$J,"&lt;="&amp;$A782,Despesas!$L:$L,"&gt;="&amp;$A782,Despesas!$C:$C,F$1,Despesas!$M:$M,$B782)</f>
        <v>13000</v>
      </c>
      <c r="G782" s="5">
        <f>SUMIFS(Despesas!$F:$F,Despesas!$J:$J,"&lt;="&amp;$A782,Despesas!$L:$L,"&gt;="&amp;$A782,Despesas!$C:$C,G$1,Despesas!$M:$M,"Mensal")+SUMIFS(Despesas!$F:$F,Despesas!$J:$J,"&lt;="&amp;$A782,Despesas!$L:$L,"&gt;="&amp;$A782,Despesas!$C:$C,G$1,Despesas!$M:$M,$B782)</f>
        <v>0</v>
      </c>
      <c r="H782" s="18">
        <f>SUMIFS(Despesas!$F:$F,Despesas!$J:$J,"&lt;="&amp;$A782,Despesas!$L:$L,"&gt;="&amp;$A782,Despesas!$C:$C,H$1,Despesas!$M:$M,"Mensal")+SUMIFS(Despesas!$F:$F,Despesas!$J:$J,"&lt;="&amp;$A782,Despesas!$L:$L,"&gt;="&amp;$A782,Despesas!$C:$C,H$1,Despesas!$M:$M,$B782)</f>
        <v>1000</v>
      </c>
      <c r="I782" s="18">
        <f>IF(Imóveis!$F$2="PRICE",IF(AND(Dados!$A782&gt;=Imóveis!$Q$2,Dados!$A782&lt;=Imóveis!$T$2),Imóveis!$U$2,0),IF((IF(AND(Dados!$A782&gt;=Imóveis!$Q$2,Dados!$A782&lt;=Imóveis!$T$2),Imóveis!$S$2-(DATEDIF(Imóveis!$Q$2,Dados!$A782,"m")),0))=0,0,((Imóveis!$N$2/Imóveis!$S$2)+((Imóveis!$N$2-((Imóveis!$S$2-(IF(AND(Dados!$A782&gt;=Imóveis!$Q$2,Dados!$A782&lt;=Imóveis!$T$2),Imóveis!$S$2-(DATEDIF(Imóveis!$Q$2,Dados!$A782,"m")),)))*(Imóveis!$N$2/Imóveis!$S$2)))*Imóveis!$P$2))))*IF(AND(Imóveis!$E$2&gt;0,Dados!$A782&gt;Imóveis!$E$2),0,1)</f>
        <v>0</v>
      </c>
      <c r="J782" s="18">
        <f>IF(Imóveis!$F$3="PRICE",IF(AND(Dados!$A782&gt;=Imóveis!$Q$3,Dados!$A782&lt;=Imóveis!$T$3),Imóveis!$U$3,0),IF((IF(AND(Dados!$A782&gt;=Imóveis!$Q$3,Dados!$A782&lt;=Imóveis!$T$3),Imóveis!$S$3-(DATEDIF(Imóveis!$Q$3,Dados!$A782,"m")),0))=0,0,((Imóveis!$N$3/Imóveis!$S$3)+((Imóveis!$N$3-((Imóveis!$S$3-(IF(AND(Dados!$A782&gt;=Imóveis!$Q$3,Dados!$A782&lt;=Imóveis!$T$3),Imóveis!$S$3-(DATEDIF(Imóveis!$Q$3,Dados!$A782,"m")),)))*(Imóveis!$N$3/Imóveis!$S$3)))*Imóveis!$P$3))))*IF(AND(Imóveis!$E$3&gt;0,Dados!$A782&gt;Imóveis!$E$3),0,1)</f>
        <v>0</v>
      </c>
      <c r="K782" s="18">
        <f>IF(Imóveis!$F$4="PRICE",IF(AND(Dados!$A782&gt;=Imóveis!$Q$4,Dados!$A782&lt;=Imóveis!$T$4),Imóveis!$U$4,0),IF((IF(AND(Dados!$A782&gt;=Imóveis!$Q$4,Dados!$A782&lt;=Imóveis!$T$4),Imóveis!$S$4-(DATEDIF(Imóveis!$Q$4,Dados!$A782,"m")),0))=0,0,((Imóveis!$N$4/Imóveis!$S$4)+((Imóveis!$N$4-((Imóveis!$S$4-(IF(AND(Dados!$A782&gt;=Imóveis!$Q$4,Dados!$A782&lt;=Imóveis!$T$4),Imóveis!$S$4-(DATEDIF(Imóveis!$Q$4,Dados!$A782,"m")),)))*(Imóveis!$N$4/Imóveis!$S$4)))*Imóveis!$P$4))))*IF(AND(Imóveis!$E$4&gt;0,Dados!$A782&gt;Imóveis!$E$4),0,1)</f>
        <v>0</v>
      </c>
      <c r="L782" s="18">
        <f>IF(Imóveis!$F$5="PRICE",IF(AND(Dados!$A782&gt;=Imóveis!$Q$5,Dados!$A782&lt;=Imóveis!$T$5),Imóveis!$U$5,0),IF((IF(AND(Dados!$A782&gt;=Imóveis!$Q$5,Dados!$A782&lt;=Imóveis!$T$5),Imóveis!$S$5-(DATEDIF(Imóveis!$Q$5,Dados!$A782,"m")),0))=0,0,((Imóveis!$N$5/Imóveis!$S$5)+((Imóveis!$N$5-((Imóveis!$S$5-(IF(AND(Dados!$A782 &gt;=Imóveis!$Q$5,Dados!$A782&lt;=Imóveis!$T$5),Imóveis!$S$5-(DATEDIF(Imóveis!$Q$5,Dados!$A782,"m")),)))*(Imóveis!$N$5/Imóveis!$S$5)))*Imóveis!$P$5))))*IF(AND(Imóveis!$E$5&gt;0,Dados!$A782&gt;Imóveis!$E$5),0,1)*Imóveis!$I$5</f>
        <v>0</v>
      </c>
      <c r="M782" s="18">
        <f>IF(Imóveis!$F$6="PRICE",IF(AND(Dados!$A782&gt;=Imóveis!$Q$6,Dados!$A782&lt;=Imóveis!$T$6),Imóveis!$U$6,0),IF((IF(AND(Dados!$A782&gt;=Imóveis!$Q$6,Dados!$A782&lt;=Imóveis!$T$6),Imóveis!$S$6-(DATEDIF(Imóveis!$Q$6,Dados!$A782,"m")),0))=0,0,((Imóveis!$N$6/Imóveis!$S$6)+((Imóveis!$N$6-((Imóveis!$S$6-(IF(AND(Dados!$A782&gt;=Imóveis!$Q$6,Dados!$A782&lt;=Imóveis!$T$6),Imóveis!$S$6-(DATEDIF(Imóveis!$Q$6,Dados!$A782,"m")),)))*(Imóveis!$N$6/Imóveis!$S$6)))*Imóveis!$P$6))))*IF(AND(Imóveis!$E$6&gt;0,Dados!$A782&gt;Imóveis!$E$6),0,1)*Imóveis!$I$6</f>
        <v>0</v>
      </c>
      <c r="N782" s="18">
        <f t="shared" si="101"/>
        <v>37000</v>
      </c>
      <c r="O782" s="18">
        <f>SUMIFS(Receitas!$F:$F,Receitas!$J:$J,"&lt;="&amp;$A782,Receitas!$L:$L,"&gt;="&amp;$A782,Receitas!$C:$C,O$1,Receitas!$M:$M,"Mensal")+SUMIFS(Receitas!$F:$F,Receitas!$J:$J,"&lt;="&amp;$A782,Receitas!$L:$L,"&gt;="&amp;$A782,Receitas!$C:$C,O$1,Receitas!$M:$M,$B782)</f>
        <v>0</v>
      </c>
      <c r="P782" s="18">
        <f>SUMIFS(Receitas!$F:$F,Receitas!$J:$J,"&lt;="&amp;$A782,Receitas!$L:$L,"&gt;="&amp;$A782,Receitas!$C:$C,P$1,Receitas!$M:$M,"Mensal")+SUMIFS(Receitas!$F:$F,Receitas!$J:$J,"&lt;="&amp;$A782,Receitas!$L:$L,"&gt;="&amp;$A782,Receitas!$C:$C,P$1,Receitas!$M:$M,$B782)</f>
        <v>0</v>
      </c>
      <c r="Q782" s="18">
        <f>SUMIFS(Receitas!$F:$F,Receitas!$J:$J,"&lt;="&amp;$A782,Receitas!$L:$L,"&gt;="&amp;$A782,Receitas!$C:$C,Q$1,Receitas!$M:$M,"Mensal")+SUMIFS(Receitas!$F:$F,Receitas!$J:$J,"&lt;="&amp;$A782,Receitas!$L:$L,"&gt;="&amp;$A782,Receitas!$C:$C,Q$1,Receitas!$M:$M,$B782)</f>
        <v>0</v>
      </c>
      <c r="R782" s="18" cm="1">
        <f t="array" ref="R782">(IF(AND(Membros!$F$2="Sim",A782&lt;=MAX(Membros!$E$2:$E$5)),Membros!K$2,IF(AND(A782&gt;=Membros!J$2,A782&lt;=MAX(Membros!$E$2:$E$5)),Membros!K$2,0))+IF(AND(Membros!$F$3="Sim",A782&lt;=MAX(Membros!$E$2:$E$5)),Membros!K$3,IF(AND(A782&gt;=Membros!J$3,A782&lt;=MAX(Membros!$E$2:$E$5)),Membros!K$3,0)))*IF(AND(COUNTIFS(Tabela3[Tipo],"Provedor",Tabela3[Simulação Seguro],"Sim")=2,A782&gt;=MAX(IF(Tabela3[Tipo]="Dependente",Tabela3[Expectativa de Vida (Data)]))),0,1)</f>
        <v>10000</v>
      </c>
      <c r="S782" s="18">
        <f t="shared" si="102"/>
        <v>10000</v>
      </c>
      <c r="U782" s="18">
        <f t="shared" ca="1" si="105"/>
        <v>62838240.497477978</v>
      </c>
      <c r="V782" s="18">
        <f>SUMIF(Imóveis!E:E,Dados!A:A,Imóveis!Z:Z)-SUMIF(Imóveis!E:E,Dados!A:A,Imóveis!Y:Y)</f>
        <v>0</v>
      </c>
      <c r="W782" s="18">
        <f>-SUMIF(Projetos!N:N,A782,Projetos!F:F)</f>
        <v>0</v>
      </c>
      <c r="X782" s="18">
        <f t="shared" si="99"/>
        <v>-27000</v>
      </c>
      <c r="Y782" s="26">
        <f ca="1">(U782*((Indicadores_Economicos!D$2+1)^(1/12)-1))</f>
        <v>205716.04775997656</v>
      </c>
      <c r="Z782" s="18">
        <f t="shared" ca="1" si="103"/>
        <v>63016956.545237958</v>
      </c>
      <c r="AA782" s="18">
        <f ca="1">Auxiliar_Projetos!E782</f>
        <v>5.0045228434724714E-9</v>
      </c>
      <c r="AB782" s="18">
        <f ca="1">Auxiliar_Projetos!K782</f>
        <v>3.8496329565172785E-9</v>
      </c>
      <c r="AC782" s="18">
        <f ca="1">IF(Z782-AA782-AB782&gt;Investimentos!$C$14,Investimentos!$C$14,IF(Z782-AA782-AB782&lt;Investimentos!$C$14,Z782-AA782-AB782,0))</f>
        <v>300000</v>
      </c>
      <c r="AD782" s="18">
        <f t="shared" ca="1" si="104"/>
        <v>62716956.545237944</v>
      </c>
      <c r="AE782" s="18"/>
    </row>
    <row r="783" spans="1:31" x14ac:dyDescent="0.2">
      <c r="A783" s="4">
        <v>69430</v>
      </c>
      <c r="B783" s="5" t="str">
        <f t="shared" si="100"/>
        <v>fevereiro</v>
      </c>
      <c r="C783" s="5" t="str">
        <f t="shared" si="98"/>
        <v>2090</v>
      </c>
      <c r="D783" s="5">
        <f>SUMIFS(Despesas!$F:$F,Despesas!$J:$J,"&lt;="&amp;$A783,Despesas!$L:$L,"&gt;="&amp;$A783,Despesas!$C:$C,D$1,Despesas!$M:$M,"Mensal")+SUMIFS(Despesas!$F:$F,Despesas!$J:$J,"&lt;="&amp;$A783,Despesas!$L:$L,"&gt;="&amp;$A783,Despesas!$C:$C,D$1,Despesas!$M:$M,$B783)</f>
        <v>23000</v>
      </c>
      <c r="E783" s="18">
        <f>SUMIFS(Despesas!$F:$F,Despesas!$J:$J,"&lt;="&amp;$A783,Despesas!$L:$L,"&gt;="&amp;$A783,Despesas!$C:$C,E$1,Despesas!$M:$M,"Mensal")+SUMIFS(Despesas!$F:$F,Despesas!$J:$J,"&lt;="&amp;$A783,Despesas!$L:$L,"&gt;="&amp;$A783,Despesas!$C:$C,E$1,Despesas!$M:$M,$B783)</f>
        <v>0</v>
      </c>
      <c r="F783" s="5">
        <f>SUMIFS(Despesas!$F:$F,Despesas!$J:$J,"&lt;="&amp;$A783,Despesas!$L:$L,"&gt;="&amp;$A783,Despesas!$C:$C,F$1,Despesas!$M:$M,"Mensal")+SUMIFS(Despesas!$F:$F,Despesas!$J:$J,"&lt;="&amp;$A783,Despesas!$L:$L,"&gt;="&amp;$A783,Despesas!$C:$C,F$1,Despesas!$M:$M,$B783)</f>
        <v>13000</v>
      </c>
      <c r="G783" s="5">
        <f>SUMIFS(Despesas!$F:$F,Despesas!$J:$J,"&lt;="&amp;$A783,Despesas!$L:$L,"&gt;="&amp;$A783,Despesas!$C:$C,G$1,Despesas!$M:$M,"Mensal")+SUMIFS(Despesas!$F:$F,Despesas!$J:$J,"&lt;="&amp;$A783,Despesas!$L:$L,"&gt;="&amp;$A783,Despesas!$C:$C,G$1,Despesas!$M:$M,$B783)</f>
        <v>0</v>
      </c>
      <c r="H783" s="18">
        <f>SUMIFS(Despesas!$F:$F,Despesas!$J:$J,"&lt;="&amp;$A783,Despesas!$L:$L,"&gt;="&amp;$A783,Despesas!$C:$C,H$1,Despesas!$M:$M,"Mensal")+SUMIFS(Despesas!$F:$F,Despesas!$J:$J,"&lt;="&amp;$A783,Despesas!$L:$L,"&gt;="&amp;$A783,Despesas!$C:$C,H$1,Despesas!$M:$M,$B783)</f>
        <v>2200</v>
      </c>
      <c r="I783" s="18">
        <f>IF(Imóveis!$F$2="PRICE",IF(AND(Dados!$A783&gt;=Imóveis!$Q$2,Dados!$A783&lt;=Imóveis!$T$2),Imóveis!$U$2,0),IF((IF(AND(Dados!$A783&gt;=Imóveis!$Q$2,Dados!$A783&lt;=Imóveis!$T$2),Imóveis!$S$2-(DATEDIF(Imóveis!$Q$2,Dados!$A783,"m")),0))=0,0,((Imóveis!$N$2/Imóveis!$S$2)+((Imóveis!$N$2-((Imóveis!$S$2-(IF(AND(Dados!$A783&gt;=Imóveis!$Q$2,Dados!$A783&lt;=Imóveis!$T$2),Imóveis!$S$2-(DATEDIF(Imóveis!$Q$2,Dados!$A783,"m")),)))*(Imóveis!$N$2/Imóveis!$S$2)))*Imóveis!$P$2))))*IF(AND(Imóveis!$E$2&gt;0,Dados!$A783&gt;Imóveis!$E$2),0,1)</f>
        <v>0</v>
      </c>
      <c r="J783" s="18">
        <f>IF(Imóveis!$F$3="PRICE",IF(AND(Dados!$A783&gt;=Imóveis!$Q$3,Dados!$A783&lt;=Imóveis!$T$3),Imóveis!$U$3,0),IF((IF(AND(Dados!$A783&gt;=Imóveis!$Q$3,Dados!$A783&lt;=Imóveis!$T$3),Imóveis!$S$3-(DATEDIF(Imóveis!$Q$3,Dados!$A783,"m")),0))=0,0,((Imóveis!$N$3/Imóveis!$S$3)+((Imóveis!$N$3-((Imóveis!$S$3-(IF(AND(Dados!$A783&gt;=Imóveis!$Q$3,Dados!$A783&lt;=Imóveis!$T$3),Imóveis!$S$3-(DATEDIF(Imóveis!$Q$3,Dados!$A783,"m")),)))*(Imóveis!$N$3/Imóveis!$S$3)))*Imóveis!$P$3))))*IF(AND(Imóveis!$E$3&gt;0,Dados!$A783&gt;Imóveis!$E$3),0,1)</f>
        <v>0</v>
      </c>
      <c r="K783" s="18">
        <f>IF(Imóveis!$F$4="PRICE",IF(AND(Dados!$A783&gt;=Imóveis!$Q$4,Dados!$A783&lt;=Imóveis!$T$4),Imóveis!$U$4,0),IF((IF(AND(Dados!$A783&gt;=Imóveis!$Q$4,Dados!$A783&lt;=Imóveis!$T$4),Imóveis!$S$4-(DATEDIF(Imóveis!$Q$4,Dados!$A783,"m")),0))=0,0,((Imóveis!$N$4/Imóveis!$S$4)+((Imóveis!$N$4-((Imóveis!$S$4-(IF(AND(Dados!$A783&gt;=Imóveis!$Q$4,Dados!$A783&lt;=Imóveis!$T$4),Imóveis!$S$4-(DATEDIF(Imóveis!$Q$4,Dados!$A783,"m")),)))*(Imóveis!$N$4/Imóveis!$S$4)))*Imóveis!$P$4))))*IF(AND(Imóveis!$E$4&gt;0,Dados!$A783&gt;Imóveis!$E$4),0,1)</f>
        <v>0</v>
      </c>
      <c r="L783" s="18">
        <f>IF(Imóveis!$F$5="PRICE",IF(AND(Dados!$A783&gt;=Imóveis!$Q$5,Dados!$A783&lt;=Imóveis!$T$5),Imóveis!$U$5,0),IF((IF(AND(Dados!$A783&gt;=Imóveis!$Q$5,Dados!$A783&lt;=Imóveis!$T$5),Imóveis!$S$5-(DATEDIF(Imóveis!$Q$5,Dados!$A783,"m")),0))=0,0,((Imóveis!$N$5/Imóveis!$S$5)+((Imóveis!$N$5-((Imóveis!$S$5-(IF(AND(Dados!$A783 &gt;=Imóveis!$Q$5,Dados!$A783&lt;=Imóveis!$T$5),Imóveis!$S$5-(DATEDIF(Imóveis!$Q$5,Dados!$A783,"m")),)))*(Imóveis!$N$5/Imóveis!$S$5)))*Imóveis!$P$5))))*IF(AND(Imóveis!$E$5&gt;0,Dados!$A783&gt;Imóveis!$E$5),0,1)*Imóveis!$I$5</f>
        <v>0</v>
      </c>
      <c r="M783" s="18">
        <f>IF(Imóveis!$F$6="PRICE",IF(AND(Dados!$A783&gt;=Imóveis!$Q$6,Dados!$A783&lt;=Imóveis!$T$6),Imóveis!$U$6,0),IF((IF(AND(Dados!$A783&gt;=Imóveis!$Q$6,Dados!$A783&lt;=Imóveis!$T$6),Imóveis!$S$6-(DATEDIF(Imóveis!$Q$6,Dados!$A783,"m")),0))=0,0,((Imóveis!$N$6/Imóveis!$S$6)+((Imóveis!$N$6-((Imóveis!$S$6-(IF(AND(Dados!$A783&gt;=Imóveis!$Q$6,Dados!$A783&lt;=Imóveis!$T$6),Imóveis!$S$6-(DATEDIF(Imóveis!$Q$6,Dados!$A783,"m")),)))*(Imóveis!$N$6/Imóveis!$S$6)))*Imóveis!$P$6))))*IF(AND(Imóveis!$E$6&gt;0,Dados!$A783&gt;Imóveis!$E$6),0,1)*Imóveis!$I$6</f>
        <v>0</v>
      </c>
      <c r="N783" s="18">
        <f t="shared" si="101"/>
        <v>38200</v>
      </c>
      <c r="O783" s="18">
        <f>SUMIFS(Receitas!$F:$F,Receitas!$J:$J,"&lt;="&amp;$A783,Receitas!$L:$L,"&gt;="&amp;$A783,Receitas!$C:$C,O$1,Receitas!$M:$M,"Mensal")+SUMIFS(Receitas!$F:$F,Receitas!$J:$J,"&lt;="&amp;$A783,Receitas!$L:$L,"&gt;="&amp;$A783,Receitas!$C:$C,O$1,Receitas!$M:$M,$B783)</f>
        <v>0</v>
      </c>
      <c r="P783" s="18">
        <f>SUMIFS(Receitas!$F:$F,Receitas!$J:$J,"&lt;="&amp;$A783,Receitas!$L:$L,"&gt;="&amp;$A783,Receitas!$C:$C,P$1,Receitas!$M:$M,"Mensal")+SUMIFS(Receitas!$F:$F,Receitas!$J:$J,"&lt;="&amp;$A783,Receitas!$L:$L,"&gt;="&amp;$A783,Receitas!$C:$C,P$1,Receitas!$M:$M,$B783)</f>
        <v>0</v>
      </c>
      <c r="Q783" s="18">
        <f>SUMIFS(Receitas!$F:$F,Receitas!$J:$J,"&lt;="&amp;$A783,Receitas!$L:$L,"&gt;="&amp;$A783,Receitas!$C:$C,Q$1,Receitas!$M:$M,"Mensal")+SUMIFS(Receitas!$F:$F,Receitas!$J:$J,"&lt;="&amp;$A783,Receitas!$L:$L,"&gt;="&amp;$A783,Receitas!$C:$C,Q$1,Receitas!$M:$M,$B783)</f>
        <v>0</v>
      </c>
      <c r="R783" s="18" cm="1">
        <f t="array" ref="R783">(IF(AND(Membros!$F$2="Sim",A783&lt;=MAX(Membros!$E$2:$E$5)),Membros!K$2,IF(AND(A783&gt;=Membros!J$2,A783&lt;=MAX(Membros!$E$2:$E$5)),Membros!K$2,0))+IF(AND(Membros!$F$3="Sim",A783&lt;=MAX(Membros!$E$2:$E$5)),Membros!K$3,IF(AND(A783&gt;=Membros!J$3,A783&lt;=MAX(Membros!$E$2:$E$5)),Membros!K$3,0)))*IF(AND(COUNTIFS(Tabela3[Tipo],"Provedor",Tabela3[Simulação Seguro],"Sim")=2,A783&gt;=MAX(IF(Tabela3[Tipo]="Dependente",Tabela3[Expectativa de Vida (Data)]))),0,1)</f>
        <v>10000</v>
      </c>
      <c r="S783" s="18">
        <f t="shared" si="102"/>
        <v>10000</v>
      </c>
      <c r="U783" s="18">
        <f t="shared" ca="1" si="105"/>
        <v>63016956.545237958</v>
      </c>
      <c r="V783" s="18">
        <f>SUMIF(Imóveis!E:E,Dados!A:A,Imóveis!Z:Z)-SUMIF(Imóveis!E:E,Dados!A:A,Imóveis!Y:Y)</f>
        <v>0</v>
      </c>
      <c r="W783" s="18">
        <f>-SUMIF(Projetos!N:N,A783,Projetos!F:F)</f>
        <v>0</v>
      </c>
      <c r="X783" s="18">
        <f t="shared" si="99"/>
        <v>-28200</v>
      </c>
      <c r="Y783" s="26">
        <f ca="1">(U783*((Indicadores_Economicos!D$2+1)^(1/12)-1))</f>
        <v>206301.11759524577</v>
      </c>
      <c r="Z783" s="18">
        <f t="shared" ca="1" si="103"/>
        <v>63195057.662833206</v>
      </c>
      <c r="AA783" s="18">
        <f ca="1">Auxiliar_Projetos!E783</f>
        <v>5.0209063489960706E-9</v>
      </c>
      <c r="AB783" s="18">
        <f ca="1">Auxiliar_Projetos!K783</f>
        <v>3.8622356530738933E-9</v>
      </c>
      <c r="AC783" s="18">
        <f ca="1">IF(Z783-AA783-AB783&gt;Investimentos!$C$14,Investimentos!$C$14,IF(Z783-AA783-AB783&lt;Investimentos!$C$14,Z783-AA783-AB783,0))</f>
        <v>300000</v>
      </c>
      <c r="AD783" s="18">
        <f t="shared" ca="1" si="104"/>
        <v>62895057.662833191</v>
      </c>
      <c r="AE783" s="18"/>
    </row>
    <row r="784" spans="1:31" x14ac:dyDescent="0.2">
      <c r="A784" s="4">
        <v>69458</v>
      </c>
      <c r="B784" s="5" t="str">
        <f t="shared" si="100"/>
        <v>março</v>
      </c>
      <c r="C784" s="5" t="str">
        <f t="shared" si="98"/>
        <v>2090</v>
      </c>
      <c r="D784" s="5">
        <f>SUMIFS(Despesas!$F:$F,Despesas!$J:$J,"&lt;="&amp;$A784,Despesas!$L:$L,"&gt;="&amp;$A784,Despesas!$C:$C,D$1,Despesas!$M:$M,"Mensal")+SUMIFS(Despesas!$F:$F,Despesas!$J:$J,"&lt;="&amp;$A784,Despesas!$L:$L,"&gt;="&amp;$A784,Despesas!$C:$C,D$1,Despesas!$M:$M,$B784)</f>
        <v>23000</v>
      </c>
      <c r="E784" s="18">
        <f>SUMIFS(Despesas!$F:$F,Despesas!$J:$J,"&lt;="&amp;$A784,Despesas!$L:$L,"&gt;="&amp;$A784,Despesas!$C:$C,E$1,Despesas!$M:$M,"Mensal")+SUMIFS(Despesas!$F:$F,Despesas!$J:$J,"&lt;="&amp;$A784,Despesas!$L:$L,"&gt;="&amp;$A784,Despesas!$C:$C,E$1,Despesas!$M:$M,$B784)</f>
        <v>0</v>
      </c>
      <c r="F784" s="5">
        <f>SUMIFS(Despesas!$F:$F,Despesas!$J:$J,"&lt;="&amp;$A784,Despesas!$L:$L,"&gt;="&amp;$A784,Despesas!$C:$C,F$1,Despesas!$M:$M,"Mensal")+SUMIFS(Despesas!$F:$F,Despesas!$J:$J,"&lt;="&amp;$A784,Despesas!$L:$L,"&gt;="&amp;$A784,Despesas!$C:$C,F$1,Despesas!$M:$M,$B784)</f>
        <v>13000</v>
      </c>
      <c r="G784" s="5">
        <f>SUMIFS(Despesas!$F:$F,Despesas!$J:$J,"&lt;="&amp;$A784,Despesas!$L:$L,"&gt;="&amp;$A784,Despesas!$C:$C,G$1,Despesas!$M:$M,"Mensal")+SUMIFS(Despesas!$F:$F,Despesas!$J:$J,"&lt;="&amp;$A784,Despesas!$L:$L,"&gt;="&amp;$A784,Despesas!$C:$C,G$1,Despesas!$M:$M,$B784)</f>
        <v>0</v>
      </c>
      <c r="H784" s="18">
        <f>SUMIFS(Despesas!$F:$F,Despesas!$J:$J,"&lt;="&amp;$A784,Despesas!$L:$L,"&gt;="&amp;$A784,Despesas!$C:$C,H$1,Despesas!$M:$M,"Mensal")+SUMIFS(Despesas!$F:$F,Despesas!$J:$J,"&lt;="&amp;$A784,Despesas!$L:$L,"&gt;="&amp;$A784,Despesas!$C:$C,H$1,Despesas!$M:$M,$B784)</f>
        <v>1000</v>
      </c>
      <c r="I784" s="18">
        <f>IF(Imóveis!$F$2="PRICE",IF(AND(Dados!$A784&gt;=Imóveis!$Q$2,Dados!$A784&lt;=Imóveis!$T$2),Imóveis!$U$2,0),IF((IF(AND(Dados!$A784&gt;=Imóveis!$Q$2,Dados!$A784&lt;=Imóveis!$T$2),Imóveis!$S$2-(DATEDIF(Imóveis!$Q$2,Dados!$A784,"m")),0))=0,0,((Imóveis!$N$2/Imóveis!$S$2)+((Imóveis!$N$2-((Imóveis!$S$2-(IF(AND(Dados!$A784&gt;=Imóveis!$Q$2,Dados!$A784&lt;=Imóveis!$T$2),Imóveis!$S$2-(DATEDIF(Imóveis!$Q$2,Dados!$A784,"m")),)))*(Imóveis!$N$2/Imóveis!$S$2)))*Imóveis!$P$2))))*IF(AND(Imóveis!$E$2&gt;0,Dados!$A784&gt;Imóveis!$E$2),0,1)</f>
        <v>0</v>
      </c>
      <c r="J784" s="18">
        <f>IF(Imóveis!$F$3="PRICE",IF(AND(Dados!$A784&gt;=Imóveis!$Q$3,Dados!$A784&lt;=Imóveis!$T$3),Imóveis!$U$3,0),IF((IF(AND(Dados!$A784&gt;=Imóveis!$Q$3,Dados!$A784&lt;=Imóveis!$T$3),Imóveis!$S$3-(DATEDIF(Imóveis!$Q$3,Dados!$A784,"m")),0))=0,0,((Imóveis!$N$3/Imóveis!$S$3)+((Imóveis!$N$3-((Imóveis!$S$3-(IF(AND(Dados!$A784&gt;=Imóveis!$Q$3,Dados!$A784&lt;=Imóveis!$T$3),Imóveis!$S$3-(DATEDIF(Imóveis!$Q$3,Dados!$A784,"m")),)))*(Imóveis!$N$3/Imóveis!$S$3)))*Imóveis!$P$3))))*IF(AND(Imóveis!$E$3&gt;0,Dados!$A784&gt;Imóveis!$E$3),0,1)</f>
        <v>0</v>
      </c>
      <c r="K784" s="18">
        <f>IF(Imóveis!$F$4="PRICE",IF(AND(Dados!$A784&gt;=Imóveis!$Q$4,Dados!$A784&lt;=Imóveis!$T$4),Imóveis!$U$4,0),IF((IF(AND(Dados!$A784&gt;=Imóveis!$Q$4,Dados!$A784&lt;=Imóveis!$T$4),Imóveis!$S$4-(DATEDIF(Imóveis!$Q$4,Dados!$A784,"m")),0))=0,0,((Imóveis!$N$4/Imóveis!$S$4)+((Imóveis!$N$4-((Imóveis!$S$4-(IF(AND(Dados!$A784&gt;=Imóveis!$Q$4,Dados!$A784&lt;=Imóveis!$T$4),Imóveis!$S$4-(DATEDIF(Imóveis!$Q$4,Dados!$A784,"m")),)))*(Imóveis!$N$4/Imóveis!$S$4)))*Imóveis!$P$4))))*IF(AND(Imóveis!$E$4&gt;0,Dados!$A784&gt;Imóveis!$E$4),0,1)</f>
        <v>0</v>
      </c>
      <c r="L784" s="18">
        <f>IF(Imóveis!$F$5="PRICE",IF(AND(Dados!$A784&gt;=Imóveis!$Q$5,Dados!$A784&lt;=Imóveis!$T$5),Imóveis!$U$5,0),IF((IF(AND(Dados!$A784&gt;=Imóveis!$Q$5,Dados!$A784&lt;=Imóveis!$T$5),Imóveis!$S$5-(DATEDIF(Imóveis!$Q$5,Dados!$A784,"m")),0))=0,0,((Imóveis!$N$5/Imóveis!$S$5)+((Imóveis!$N$5-((Imóveis!$S$5-(IF(AND(Dados!$A784 &gt;=Imóveis!$Q$5,Dados!$A784&lt;=Imóveis!$T$5),Imóveis!$S$5-(DATEDIF(Imóveis!$Q$5,Dados!$A784,"m")),)))*(Imóveis!$N$5/Imóveis!$S$5)))*Imóveis!$P$5))))*IF(AND(Imóveis!$E$5&gt;0,Dados!$A784&gt;Imóveis!$E$5),0,1)*Imóveis!$I$5</f>
        <v>0</v>
      </c>
      <c r="M784" s="18">
        <f>IF(Imóveis!$F$6="PRICE",IF(AND(Dados!$A784&gt;=Imóveis!$Q$6,Dados!$A784&lt;=Imóveis!$T$6),Imóveis!$U$6,0),IF((IF(AND(Dados!$A784&gt;=Imóveis!$Q$6,Dados!$A784&lt;=Imóveis!$T$6),Imóveis!$S$6-(DATEDIF(Imóveis!$Q$6,Dados!$A784,"m")),0))=0,0,((Imóveis!$N$6/Imóveis!$S$6)+((Imóveis!$N$6-((Imóveis!$S$6-(IF(AND(Dados!$A784&gt;=Imóveis!$Q$6,Dados!$A784&lt;=Imóveis!$T$6),Imóveis!$S$6-(DATEDIF(Imóveis!$Q$6,Dados!$A784,"m")),)))*(Imóveis!$N$6/Imóveis!$S$6)))*Imóveis!$P$6))))*IF(AND(Imóveis!$E$6&gt;0,Dados!$A784&gt;Imóveis!$E$6),0,1)*Imóveis!$I$6</f>
        <v>0</v>
      </c>
      <c r="N784" s="18">
        <f t="shared" si="101"/>
        <v>37000</v>
      </c>
      <c r="O784" s="18">
        <f>SUMIFS(Receitas!$F:$F,Receitas!$J:$J,"&lt;="&amp;$A784,Receitas!$L:$L,"&gt;="&amp;$A784,Receitas!$C:$C,O$1,Receitas!$M:$M,"Mensal")+SUMIFS(Receitas!$F:$F,Receitas!$J:$J,"&lt;="&amp;$A784,Receitas!$L:$L,"&gt;="&amp;$A784,Receitas!$C:$C,O$1,Receitas!$M:$M,$B784)</f>
        <v>0</v>
      </c>
      <c r="P784" s="18">
        <f>SUMIFS(Receitas!$F:$F,Receitas!$J:$J,"&lt;="&amp;$A784,Receitas!$L:$L,"&gt;="&amp;$A784,Receitas!$C:$C,P$1,Receitas!$M:$M,"Mensal")+SUMIFS(Receitas!$F:$F,Receitas!$J:$J,"&lt;="&amp;$A784,Receitas!$L:$L,"&gt;="&amp;$A784,Receitas!$C:$C,P$1,Receitas!$M:$M,$B784)</f>
        <v>0</v>
      </c>
      <c r="Q784" s="18">
        <f>SUMIFS(Receitas!$F:$F,Receitas!$J:$J,"&lt;="&amp;$A784,Receitas!$L:$L,"&gt;="&amp;$A784,Receitas!$C:$C,Q$1,Receitas!$M:$M,"Mensal")+SUMIFS(Receitas!$F:$F,Receitas!$J:$J,"&lt;="&amp;$A784,Receitas!$L:$L,"&gt;="&amp;$A784,Receitas!$C:$C,Q$1,Receitas!$M:$M,$B784)</f>
        <v>0</v>
      </c>
      <c r="R784" s="18" cm="1">
        <f t="array" ref="R784">(IF(AND(Membros!$F$2="Sim",A784&lt;=MAX(Membros!$E$2:$E$5)),Membros!K$2,IF(AND(A784&gt;=Membros!J$2,A784&lt;=MAX(Membros!$E$2:$E$5)),Membros!K$2,0))+IF(AND(Membros!$F$3="Sim",A784&lt;=MAX(Membros!$E$2:$E$5)),Membros!K$3,IF(AND(A784&gt;=Membros!J$3,A784&lt;=MAX(Membros!$E$2:$E$5)),Membros!K$3,0)))*IF(AND(COUNTIFS(Tabela3[Tipo],"Provedor",Tabela3[Simulação Seguro],"Sim")=2,A784&gt;=MAX(IF(Tabela3[Tipo]="Dependente",Tabela3[Expectativa de Vida (Data)]))),0,1)</f>
        <v>10000</v>
      </c>
      <c r="S784" s="18">
        <f t="shared" si="102"/>
        <v>10000</v>
      </c>
      <c r="U784" s="18">
        <f t="shared" ca="1" si="105"/>
        <v>63195057.662833206</v>
      </c>
      <c r="V784" s="18">
        <f>SUMIF(Imóveis!E:E,Dados!A:A,Imóveis!Z:Z)-SUMIF(Imóveis!E:E,Dados!A:A,Imóveis!Y:Y)</f>
        <v>0</v>
      </c>
      <c r="W784" s="18">
        <f>-SUMIF(Projetos!N:N,A784,Projetos!F:F)</f>
        <v>0</v>
      </c>
      <c r="X784" s="18">
        <f t="shared" si="99"/>
        <v>-27000</v>
      </c>
      <c r="Y784" s="26">
        <f ca="1">(U784*((Indicadores_Economicos!D$2+1)^(1/12)-1))</f>
        <v>206884.17430917142</v>
      </c>
      <c r="Z784" s="18">
        <f t="shared" ca="1" si="103"/>
        <v>63374941.837142378</v>
      </c>
      <c r="AA784" s="18">
        <f ca="1">Auxiliar_Projetos!E784</f>
        <v>5.0373434898534744E-9</v>
      </c>
      <c r="AB784" s="18">
        <f ca="1">Auxiliar_Projetos!K784</f>
        <v>3.8748796075795879E-9</v>
      </c>
      <c r="AC784" s="18">
        <f ca="1">IF(Z784-AA784-AB784&gt;Investimentos!$C$14,Investimentos!$C$14,IF(Z784-AA784-AB784&lt;Investimentos!$C$14,Z784-AA784-AB784,0))</f>
        <v>300000</v>
      </c>
      <c r="AD784" s="18">
        <f t="shared" ca="1" si="104"/>
        <v>63074941.837142363</v>
      </c>
      <c r="AE784" s="18"/>
    </row>
    <row r="785" spans="1:31" x14ac:dyDescent="0.2">
      <c r="A785" s="4">
        <v>69489</v>
      </c>
      <c r="B785" s="5" t="str">
        <f t="shared" si="100"/>
        <v>abril</v>
      </c>
      <c r="C785" s="5" t="str">
        <f t="shared" si="98"/>
        <v>2090</v>
      </c>
      <c r="D785" s="5">
        <f>SUMIFS(Despesas!$F:$F,Despesas!$J:$J,"&lt;="&amp;$A785,Despesas!$L:$L,"&gt;="&amp;$A785,Despesas!$C:$C,D$1,Despesas!$M:$M,"Mensal")+SUMIFS(Despesas!$F:$F,Despesas!$J:$J,"&lt;="&amp;$A785,Despesas!$L:$L,"&gt;="&amp;$A785,Despesas!$C:$C,D$1,Despesas!$M:$M,$B785)</f>
        <v>23000</v>
      </c>
      <c r="E785" s="18">
        <f>SUMIFS(Despesas!$F:$F,Despesas!$J:$J,"&lt;="&amp;$A785,Despesas!$L:$L,"&gt;="&amp;$A785,Despesas!$C:$C,E$1,Despesas!$M:$M,"Mensal")+SUMIFS(Despesas!$F:$F,Despesas!$J:$J,"&lt;="&amp;$A785,Despesas!$L:$L,"&gt;="&amp;$A785,Despesas!$C:$C,E$1,Despesas!$M:$M,$B785)</f>
        <v>0</v>
      </c>
      <c r="F785" s="5">
        <f>SUMIFS(Despesas!$F:$F,Despesas!$J:$J,"&lt;="&amp;$A785,Despesas!$L:$L,"&gt;="&amp;$A785,Despesas!$C:$C,F$1,Despesas!$M:$M,"Mensal")+SUMIFS(Despesas!$F:$F,Despesas!$J:$J,"&lt;="&amp;$A785,Despesas!$L:$L,"&gt;="&amp;$A785,Despesas!$C:$C,F$1,Despesas!$M:$M,$B785)</f>
        <v>13000</v>
      </c>
      <c r="G785" s="5">
        <f>SUMIFS(Despesas!$F:$F,Despesas!$J:$J,"&lt;="&amp;$A785,Despesas!$L:$L,"&gt;="&amp;$A785,Despesas!$C:$C,G$1,Despesas!$M:$M,"Mensal")+SUMIFS(Despesas!$F:$F,Despesas!$J:$J,"&lt;="&amp;$A785,Despesas!$L:$L,"&gt;="&amp;$A785,Despesas!$C:$C,G$1,Despesas!$M:$M,$B785)</f>
        <v>0</v>
      </c>
      <c r="H785" s="18">
        <f>SUMIFS(Despesas!$F:$F,Despesas!$J:$J,"&lt;="&amp;$A785,Despesas!$L:$L,"&gt;="&amp;$A785,Despesas!$C:$C,H$1,Despesas!$M:$M,"Mensal")+SUMIFS(Despesas!$F:$F,Despesas!$J:$J,"&lt;="&amp;$A785,Despesas!$L:$L,"&gt;="&amp;$A785,Despesas!$C:$C,H$1,Despesas!$M:$M,$B785)</f>
        <v>1000</v>
      </c>
      <c r="I785" s="18">
        <f>IF(Imóveis!$F$2="PRICE",IF(AND(Dados!$A785&gt;=Imóveis!$Q$2,Dados!$A785&lt;=Imóveis!$T$2),Imóveis!$U$2,0),IF((IF(AND(Dados!$A785&gt;=Imóveis!$Q$2,Dados!$A785&lt;=Imóveis!$T$2),Imóveis!$S$2-(DATEDIF(Imóveis!$Q$2,Dados!$A785,"m")),0))=0,0,((Imóveis!$N$2/Imóveis!$S$2)+((Imóveis!$N$2-((Imóveis!$S$2-(IF(AND(Dados!$A785&gt;=Imóveis!$Q$2,Dados!$A785&lt;=Imóveis!$T$2),Imóveis!$S$2-(DATEDIF(Imóveis!$Q$2,Dados!$A785,"m")),)))*(Imóveis!$N$2/Imóveis!$S$2)))*Imóveis!$P$2))))*IF(AND(Imóveis!$E$2&gt;0,Dados!$A785&gt;Imóveis!$E$2),0,1)</f>
        <v>0</v>
      </c>
      <c r="J785" s="18">
        <f>IF(Imóveis!$F$3="PRICE",IF(AND(Dados!$A785&gt;=Imóveis!$Q$3,Dados!$A785&lt;=Imóveis!$T$3),Imóveis!$U$3,0),IF((IF(AND(Dados!$A785&gt;=Imóveis!$Q$3,Dados!$A785&lt;=Imóveis!$T$3),Imóveis!$S$3-(DATEDIF(Imóveis!$Q$3,Dados!$A785,"m")),0))=0,0,((Imóveis!$N$3/Imóveis!$S$3)+((Imóveis!$N$3-((Imóveis!$S$3-(IF(AND(Dados!$A785&gt;=Imóveis!$Q$3,Dados!$A785&lt;=Imóveis!$T$3),Imóveis!$S$3-(DATEDIF(Imóveis!$Q$3,Dados!$A785,"m")),)))*(Imóveis!$N$3/Imóveis!$S$3)))*Imóveis!$P$3))))*IF(AND(Imóveis!$E$3&gt;0,Dados!$A785&gt;Imóveis!$E$3),0,1)</f>
        <v>0</v>
      </c>
      <c r="K785" s="18">
        <f>IF(Imóveis!$F$4="PRICE",IF(AND(Dados!$A785&gt;=Imóveis!$Q$4,Dados!$A785&lt;=Imóveis!$T$4),Imóveis!$U$4,0),IF((IF(AND(Dados!$A785&gt;=Imóveis!$Q$4,Dados!$A785&lt;=Imóveis!$T$4),Imóveis!$S$4-(DATEDIF(Imóveis!$Q$4,Dados!$A785,"m")),0))=0,0,((Imóveis!$N$4/Imóveis!$S$4)+((Imóveis!$N$4-((Imóveis!$S$4-(IF(AND(Dados!$A785&gt;=Imóveis!$Q$4,Dados!$A785&lt;=Imóveis!$T$4),Imóveis!$S$4-(DATEDIF(Imóveis!$Q$4,Dados!$A785,"m")),)))*(Imóveis!$N$4/Imóveis!$S$4)))*Imóveis!$P$4))))*IF(AND(Imóveis!$E$4&gt;0,Dados!$A785&gt;Imóveis!$E$4),0,1)</f>
        <v>0</v>
      </c>
      <c r="L785" s="18">
        <f>IF(Imóveis!$F$5="PRICE",IF(AND(Dados!$A785&gt;=Imóveis!$Q$5,Dados!$A785&lt;=Imóveis!$T$5),Imóveis!$U$5,0),IF((IF(AND(Dados!$A785&gt;=Imóveis!$Q$5,Dados!$A785&lt;=Imóveis!$T$5),Imóveis!$S$5-(DATEDIF(Imóveis!$Q$5,Dados!$A785,"m")),0))=0,0,((Imóveis!$N$5/Imóveis!$S$5)+((Imóveis!$N$5-((Imóveis!$S$5-(IF(AND(Dados!$A785 &gt;=Imóveis!$Q$5,Dados!$A785&lt;=Imóveis!$T$5),Imóveis!$S$5-(DATEDIF(Imóveis!$Q$5,Dados!$A785,"m")),)))*(Imóveis!$N$5/Imóveis!$S$5)))*Imóveis!$P$5))))*IF(AND(Imóveis!$E$5&gt;0,Dados!$A785&gt;Imóveis!$E$5),0,1)*Imóveis!$I$5</f>
        <v>0</v>
      </c>
      <c r="M785" s="18">
        <f>IF(Imóveis!$F$6="PRICE",IF(AND(Dados!$A785&gt;=Imóveis!$Q$6,Dados!$A785&lt;=Imóveis!$T$6),Imóveis!$U$6,0),IF((IF(AND(Dados!$A785&gt;=Imóveis!$Q$6,Dados!$A785&lt;=Imóveis!$T$6),Imóveis!$S$6-(DATEDIF(Imóveis!$Q$6,Dados!$A785,"m")),0))=0,0,((Imóveis!$N$6/Imóveis!$S$6)+((Imóveis!$N$6-((Imóveis!$S$6-(IF(AND(Dados!$A785&gt;=Imóveis!$Q$6,Dados!$A785&lt;=Imóveis!$T$6),Imóveis!$S$6-(DATEDIF(Imóveis!$Q$6,Dados!$A785,"m")),)))*(Imóveis!$N$6/Imóveis!$S$6)))*Imóveis!$P$6))))*IF(AND(Imóveis!$E$6&gt;0,Dados!$A785&gt;Imóveis!$E$6),0,1)*Imóveis!$I$6</f>
        <v>0</v>
      </c>
      <c r="N785" s="18">
        <f t="shared" si="101"/>
        <v>37000</v>
      </c>
      <c r="O785" s="18">
        <f>SUMIFS(Receitas!$F:$F,Receitas!$J:$J,"&lt;="&amp;$A785,Receitas!$L:$L,"&gt;="&amp;$A785,Receitas!$C:$C,O$1,Receitas!$M:$M,"Mensal")+SUMIFS(Receitas!$F:$F,Receitas!$J:$J,"&lt;="&amp;$A785,Receitas!$L:$L,"&gt;="&amp;$A785,Receitas!$C:$C,O$1,Receitas!$M:$M,$B785)</f>
        <v>0</v>
      </c>
      <c r="P785" s="18">
        <f>SUMIFS(Receitas!$F:$F,Receitas!$J:$J,"&lt;="&amp;$A785,Receitas!$L:$L,"&gt;="&amp;$A785,Receitas!$C:$C,P$1,Receitas!$M:$M,"Mensal")+SUMIFS(Receitas!$F:$F,Receitas!$J:$J,"&lt;="&amp;$A785,Receitas!$L:$L,"&gt;="&amp;$A785,Receitas!$C:$C,P$1,Receitas!$M:$M,$B785)</f>
        <v>0</v>
      </c>
      <c r="Q785" s="18">
        <f>SUMIFS(Receitas!$F:$F,Receitas!$J:$J,"&lt;="&amp;$A785,Receitas!$L:$L,"&gt;="&amp;$A785,Receitas!$C:$C,Q$1,Receitas!$M:$M,"Mensal")+SUMIFS(Receitas!$F:$F,Receitas!$J:$J,"&lt;="&amp;$A785,Receitas!$L:$L,"&gt;="&amp;$A785,Receitas!$C:$C,Q$1,Receitas!$M:$M,$B785)</f>
        <v>0</v>
      </c>
      <c r="R785" s="18" cm="1">
        <f t="array" ref="R785">(IF(AND(Membros!$F$2="Sim",A785&lt;=MAX(Membros!$E$2:$E$5)),Membros!K$2,IF(AND(A785&gt;=Membros!J$2,A785&lt;=MAX(Membros!$E$2:$E$5)),Membros!K$2,0))+IF(AND(Membros!$F$3="Sim",A785&lt;=MAX(Membros!$E$2:$E$5)),Membros!K$3,IF(AND(A785&gt;=Membros!J$3,A785&lt;=MAX(Membros!$E$2:$E$5)),Membros!K$3,0)))*IF(AND(COUNTIFS(Tabela3[Tipo],"Provedor",Tabela3[Simulação Seguro],"Sim")=2,A785&gt;=MAX(IF(Tabela3[Tipo]="Dependente",Tabela3[Expectativa de Vida (Data)]))),0,1)</f>
        <v>10000</v>
      </c>
      <c r="S785" s="18">
        <f t="shared" si="102"/>
        <v>10000</v>
      </c>
      <c r="U785" s="18">
        <f t="shared" ca="1" si="105"/>
        <v>63374941.837142378</v>
      </c>
      <c r="V785" s="18">
        <f>SUMIF(Imóveis!E:E,Dados!A:A,Imóveis!Z:Z)-SUMIF(Imóveis!E:E,Dados!A:A,Imóveis!Y:Y)</f>
        <v>0</v>
      </c>
      <c r="W785" s="18">
        <f>-SUMIF(Projetos!N:N,A785,Projetos!F:F)</f>
        <v>0</v>
      </c>
      <c r="X785" s="18">
        <f t="shared" si="99"/>
        <v>-27000</v>
      </c>
      <c r="Y785" s="26">
        <f ca="1">(U785*((Indicadores_Economicos!D$2+1)^(1/12)-1))</f>
        <v>207473.06828679537</v>
      </c>
      <c r="Z785" s="18">
        <f t="shared" ca="1" si="103"/>
        <v>63555414.905429177</v>
      </c>
      <c r="AA785" s="18">
        <f ca="1">Auxiliar_Projetos!E785</f>
        <v>5.0538344416328087E-9</v>
      </c>
      <c r="AB785" s="18">
        <f ca="1">Auxiliar_Projetos!K785</f>
        <v>3.8875649551021527E-9</v>
      </c>
      <c r="AC785" s="18">
        <f ca="1">IF(Z785-AA785-AB785&gt;Investimentos!$C$14,Investimentos!$C$14,IF(Z785-AA785-AB785&lt;Investimentos!$C$14,Z785-AA785-AB785,0))</f>
        <v>300000</v>
      </c>
      <c r="AD785" s="18">
        <f t="shared" ca="1" si="104"/>
        <v>63255414.905429162</v>
      </c>
      <c r="AE785" s="18"/>
    </row>
    <row r="786" spans="1:31" x14ac:dyDescent="0.2">
      <c r="A786" s="4">
        <v>69519</v>
      </c>
      <c r="B786" s="5" t="str">
        <f t="shared" si="100"/>
        <v>maio</v>
      </c>
      <c r="C786" s="5" t="str">
        <f t="shared" si="98"/>
        <v>2090</v>
      </c>
      <c r="D786" s="5">
        <f>SUMIFS(Despesas!$F:$F,Despesas!$J:$J,"&lt;="&amp;$A786,Despesas!$L:$L,"&gt;="&amp;$A786,Despesas!$C:$C,D$1,Despesas!$M:$M,"Mensal")+SUMIFS(Despesas!$F:$F,Despesas!$J:$J,"&lt;="&amp;$A786,Despesas!$L:$L,"&gt;="&amp;$A786,Despesas!$C:$C,D$1,Despesas!$M:$M,$B786)</f>
        <v>23000</v>
      </c>
      <c r="E786" s="18">
        <f>SUMIFS(Despesas!$F:$F,Despesas!$J:$J,"&lt;="&amp;$A786,Despesas!$L:$L,"&gt;="&amp;$A786,Despesas!$C:$C,E$1,Despesas!$M:$M,"Mensal")+SUMIFS(Despesas!$F:$F,Despesas!$J:$J,"&lt;="&amp;$A786,Despesas!$L:$L,"&gt;="&amp;$A786,Despesas!$C:$C,E$1,Despesas!$M:$M,$B786)</f>
        <v>0</v>
      </c>
      <c r="F786" s="5">
        <f>SUMIFS(Despesas!$F:$F,Despesas!$J:$J,"&lt;="&amp;$A786,Despesas!$L:$L,"&gt;="&amp;$A786,Despesas!$C:$C,F$1,Despesas!$M:$M,"Mensal")+SUMIFS(Despesas!$F:$F,Despesas!$J:$J,"&lt;="&amp;$A786,Despesas!$L:$L,"&gt;="&amp;$A786,Despesas!$C:$C,F$1,Despesas!$M:$M,$B786)</f>
        <v>13000</v>
      </c>
      <c r="G786" s="5">
        <f>SUMIFS(Despesas!$F:$F,Despesas!$J:$J,"&lt;="&amp;$A786,Despesas!$L:$L,"&gt;="&amp;$A786,Despesas!$C:$C,G$1,Despesas!$M:$M,"Mensal")+SUMIFS(Despesas!$F:$F,Despesas!$J:$J,"&lt;="&amp;$A786,Despesas!$L:$L,"&gt;="&amp;$A786,Despesas!$C:$C,G$1,Despesas!$M:$M,$B786)</f>
        <v>0</v>
      </c>
      <c r="H786" s="18">
        <f>SUMIFS(Despesas!$F:$F,Despesas!$J:$J,"&lt;="&amp;$A786,Despesas!$L:$L,"&gt;="&amp;$A786,Despesas!$C:$C,H$1,Despesas!$M:$M,"Mensal")+SUMIFS(Despesas!$F:$F,Despesas!$J:$J,"&lt;="&amp;$A786,Despesas!$L:$L,"&gt;="&amp;$A786,Despesas!$C:$C,H$1,Despesas!$M:$M,$B786)</f>
        <v>1000</v>
      </c>
      <c r="I786" s="18">
        <f>IF(Imóveis!$F$2="PRICE",IF(AND(Dados!$A786&gt;=Imóveis!$Q$2,Dados!$A786&lt;=Imóveis!$T$2),Imóveis!$U$2,0),IF((IF(AND(Dados!$A786&gt;=Imóveis!$Q$2,Dados!$A786&lt;=Imóveis!$T$2),Imóveis!$S$2-(DATEDIF(Imóveis!$Q$2,Dados!$A786,"m")),0))=0,0,((Imóveis!$N$2/Imóveis!$S$2)+((Imóveis!$N$2-((Imóveis!$S$2-(IF(AND(Dados!$A786&gt;=Imóveis!$Q$2,Dados!$A786&lt;=Imóveis!$T$2),Imóveis!$S$2-(DATEDIF(Imóveis!$Q$2,Dados!$A786,"m")),)))*(Imóveis!$N$2/Imóveis!$S$2)))*Imóveis!$P$2))))*IF(AND(Imóveis!$E$2&gt;0,Dados!$A786&gt;Imóveis!$E$2),0,1)</f>
        <v>0</v>
      </c>
      <c r="J786" s="18">
        <f>IF(Imóveis!$F$3="PRICE",IF(AND(Dados!$A786&gt;=Imóveis!$Q$3,Dados!$A786&lt;=Imóveis!$T$3),Imóveis!$U$3,0),IF((IF(AND(Dados!$A786&gt;=Imóveis!$Q$3,Dados!$A786&lt;=Imóveis!$T$3),Imóveis!$S$3-(DATEDIF(Imóveis!$Q$3,Dados!$A786,"m")),0))=0,0,((Imóveis!$N$3/Imóveis!$S$3)+((Imóveis!$N$3-((Imóveis!$S$3-(IF(AND(Dados!$A786&gt;=Imóveis!$Q$3,Dados!$A786&lt;=Imóveis!$T$3),Imóveis!$S$3-(DATEDIF(Imóveis!$Q$3,Dados!$A786,"m")),)))*(Imóveis!$N$3/Imóveis!$S$3)))*Imóveis!$P$3))))*IF(AND(Imóveis!$E$3&gt;0,Dados!$A786&gt;Imóveis!$E$3),0,1)</f>
        <v>0</v>
      </c>
      <c r="K786" s="18">
        <f>IF(Imóveis!$F$4="PRICE",IF(AND(Dados!$A786&gt;=Imóveis!$Q$4,Dados!$A786&lt;=Imóveis!$T$4),Imóveis!$U$4,0),IF((IF(AND(Dados!$A786&gt;=Imóveis!$Q$4,Dados!$A786&lt;=Imóveis!$T$4),Imóveis!$S$4-(DATEDIF(Imóveis!$Q$4,Dados!$A786,"m")),0))=0,0,((Imóveis!$N$4/Imóveis!$S$4)+((Imóveis!$N$4-((Imóveis!$S$4-(IF(AND(Dados!$A786&gt;=Imóveis!$Q$4,Dados!$A786&lt;=Imóveis!$T$4),Imóveis!$S$4-(DATEDIF(Imóveis!$Q$4,Dados!$A786,"m")),)))*(Imóveis!$N$4/Imóveis!$S$4)))*Imóveis!$P$4))))*IF(AND(Imóveis!$E$4&gt;0,Dados!$A786&gt;Imóveis!$E$4),0,1)</f>
        <v>0</v>
      </c>
      <c r="L786" s="18">
        <f>IF(Imóveis!$F$5="PRICE",IF(AND(Dados!$A786&gt;=Imóveis!$Q$5,Dados!$A786&lt;=Imóveis!$T$5),Imóveis!$U$5,0),IF((IF(AND(Dados!$A786&gt;=Imóveis!$Q$5,Dados!$A786&lt;=Imóveis!$T$5),Imóveis!$S$5-(DATEDIF(Imóveis!$Q$5,Dados!$A786,"m")),0))=0,0,((Imóveis!$N$5/Imóveis!$S$5)+((Imóveis!$N$5-((Imóveis!$S$5-(IF(AND(Dados!$A786 &gt;=Imóveis!$Q$5,Dados!$A786&lt;=Imóveis!$T$5),Imóveis!$S$5-(DATEDIF(Imóveis!$Q$5,Dados!$A786,"m")),)))*(Imóveis!$N$5/Imóveis!$S$5)))*Imóveis!$P$5))))*IF(AND(Imóveis!$E$5&gt;0,Dados!$A786&gt;Imóveis!$E$5),0,1)*Imóveis!$I$5</f>
        <v>0</v>
      </c>
      <c r="M786" s="18">
        <f>IF(Imóveis!$F$6="PRICE",IF(AND(Dados!$A786&gt;=Imóveis!$Q$6,Dados!$A786&lt;=Imóveis!$T$6),Imóveis!$U$6,0),IF((IF(AND(Dados!$A786&gt;=Imóveis!$Q$6,Dados!$A786&lt;=Imóveis!$T$6),Imóveis!$S$6-(DATEDIF(Imóveis!$Q$6,Dados!$A786,"m")),0))=0,0,((Imóveis!$N$6/Imóveis!$S$6)+((Imóveis!$N$6-((Imóveis!$S$6-(IF(AND(Dados!$A786&gt;=Imóveis!$Q$6,Dados!$A786&lt;=Imóveis!$T$6),Imóveis!$S$6-(DATEDIF(Imóveis!$Q$6,Dados!$A786,"m")),)))*(Imóveis!$N$6/Imóveis!$S$6)))*Imóveis!$P$6))))*IF(AND(Imóveis!$E$6&gt;0,Dados!$A786&gt;Imóveis!$E$6),0,1)*Imóveis!$I$6</f>
        <v>0</v>
      </c>
      <c r="N786" s="18">
        <f t="shared" si="101"/>
        <v>37000</v>
      </c>
      <c r="O786" s="18">
        <f>SUMIFS(Receitas!$F:$F,Receitas!$J:$J,"&lt;="&amp;$A786,Receitas!$L:$L,"&gt;="&amp;$A786,Receitas!$C:$C,O$1,Receitas!$M:$M,"Mensal")+SUMIFS(Receitas!$F:$F,Receitas!$J:$J,"&lt;="&amp;$A786,Receitas!$L:$L,"&gt;="&amp;$A786,Receitas!$C:$C,O$1,Receitas!$M:$M,$B786)</f>
        <v>0</v>
      </c>
      <c r="P786" s="18">
        <f>SUMIFS(Receitas!$F:$F,Receitas!$J:$J,"&lt;="&amp;$A786,Receitas!$L:$L,"&gt;="&amp;$A786,Receitas!$C:$C,P$1,Receitas!$M:$M,"Mensal")+SUMIFS(Receitas!$F:$F,Receitas!$J:$J,"&lt;="&amp;$A786,Receitas!$L:$L,"&gt;="&amp;$A786,Receitas!$C:$C,P$1,Receitas!$M:$M,$B786)</f>
        <v>0</v>
      </c>
      <c r="Q786" s="18">
        <f>SUMIFS(Receitas!$F:$F,Receitas!$J:$J,"&lt;="&amp;$A786,Receitas!$L:$L,"&gt;="&amp;$A786,Receitas!$C:$C,Q$1,Receitas!$M:$M,"Mensal")+SUMIFS(Receitas!$F:$F,Receitas!$J:$J,"&lt;="&amp;$A786,Receitas!$L:$L,"&gt;="&amp;$A786,Receitas!$C:$C,Q$1,Receitas!$M:$M,$B786)</f>
        <v>0</v>
      </c>
      <c r="R786" s="18" cm="1">
        <f t="array" ref="R786">(IF(AND(Membros!$F$2="Sim",A786&lt;=MAX(Membros!$E$2:$E$5)),Membros!K$2,IF(AND(A786&gt;=Membros!J$2,A786&lt;=MAX(Membros!$E$2:$E$5)),Membros!K$2,0))+IF(AND(Membros!$F$3="Sim",A786&lt;=MAX(Membros!$E$2:$E$5)),Membros!K$3,IF(AND(A786&gt;=Membros!J$3,A786&lt;=MAX(Membros!$E$2:$E$5)),Membros!K$3,0)))*IF(AND(COUNTIFS(Tabela3[Tipo],"Provedor",Tabela3[Simulação Seguro],"Sim")=2,A786&gt;=MAX(IF(Tabela3[Tipo]="Dependente",Tabela3[Expectativa de Vida (Data)]))),0,1)</f>
        <v>10000</v>
      </c>
      <c r="S786" s="18">
        <f t="shared" si="102"/>
        <v>10000</v>
      </c>
      <c r="U786" s="18">
        <f t="shared" ca="1" si="105"/>
        <v>63555414.905429177</v>
      </c>
      <c r="V786" s="18">
        <f>SUMIF(Imóveis!E:E,Dados!A:A,Imóveis!Z:Z)-SUMIF(Imóveis!E:E,Dados!A:A,Imóveis!Y:Y)</f>
        <v>0</v>
      </c>
      <c r="W786" s="18">
        <f>-SUMIF(Projetos!N:N,A786,Projetos!F:F)</f>
        <v>0</v>
      </c>
      <c r="X786" s="18">
        <f t="shared" si="99"/>
        <v>-27000</v>
      </c>
      <c r="Y786" s="26">
        <f ca="1">(U786*((Indicadores_Economicos!D$2+1)^(1/12)-1))</f>
        <v>208063.89015006134</v>
      </c>
      <c r="Z786" s="18">
        <f t="shared" ca="1" si="103"/>
        <v>63736478.79557924</v>
      </c>
      <c r="AA786" s="18">
        <f ca="1">Auxiliar_Projetos!E786</f>
        <v>5.0703793804970294E-9</v>
      </c>
      <c r="AB786" s="18">
        <f ca="1">Auxiliar_Projetos!K786</f>
        <v>3.9002918311515529E-9</v>
      </c>
      <c r="AC786" s="18">
        <f ca="1">IF(Z786-AA786-AB786&gt;Investimentos!$C$14,Investimentos!$C$14,IF(Z786-AA786-AB786&lt;Investimentos!$C$14,Z786-AA786-AB786,0))</f>
        <v>300000</v>
      </c>
      <c r="AD786" s="18">
        <f t="shared" ca="1" si="104"/>
        <v>63436478.795579225</v>
      </c>
      <c r="AE786" s="18"/>
    </row>
    <row r="787" spans="1:31" x14ac:dyDescent="0.2">
      <c r="A787" s="4">
        <v>69550</v>
      </c>
      <c r="B787" s="5" t="str">
        <f t="shared" si="100"/>
        <v>junho</v>
      </c>
      <c r="C787" s="5" t="str">
        <f t="shared" si="98"/>
        <v>2090</v>
      </c>
      <c r="D787" s="5">
        <f>SUMIFS(Despesas!$F:$F,Despesas!$J:$J,"&lt;="&amp;$A787,Despesas!$L:$L,"&gt;="&amp;$A787,Despesas!$C:$C,D$1,Despesas!$M:$M,"Mensal")+SUMIFS(Despesas!$F:$F,Despesas!$J:$J,"&lt;="&amp;$A787,Despesas!$L:$L,"&gt;="&amp;$A787,Despesas!$C:$C,D$1,Despesas!$M:$M,$B787)</f>
        <v>23000</v>
      </c>
      <c r="E787" s="18">
        <f>SUMIFS(Despesas!$F:$F,Despesas!$J:$J,"&lt;="&amp;$A787,Despesas!$L:$L,"&gt;="&amp;$A787,Despesas!$C:$C,E$1,Despesas!$M:$M,"Mensal")+SUMIFS(Despesas!$F:$F,Despesas!$J:$J,"&lt;="&amp;$A787,Despesas!$L:$L,"&gt;="&amp;$A787,Despesas!$C:$C,E$1,Despesas!$M:$M,$B787)</f>
        <v>0</v>
      </c>
      <c r="F787" s="5">
        <f>SUMIFS(Despesas!$F:$F,Despesas!$J:$J,"&lt;="&amp;$A787,Despesas!$L:$L,"&gt;="&amp;$A787,Despesas!$C:$C,F$1,Despesas!$M:$M,"Mensal")+SUMIFS(Despesas!$F:$F,Despesas!$J:$J,"&lt;="&amp;$A787,Despesas!$L:$L,"&gt;="&amp;$A787,Despesas!$C:$C,F$1,Despesas!$M:$M,$B787)</f>
        <v>13000</v>
      </c>
      <c r="G787" s="5">
        <f>SUMIFS(Despesas!$F:$F,Despesas!$J:$J,"&lt;="&amp;$A787,Despesas!$L:$L,"&gt;="&amp;$A787,Despesas!$C:$C,G$1,Despesas!$M:$M,"Mensal")+SUMIFS(Despesas!$F:$F,Despesas!$J:$J,"&lt;="&amp;$A787,Despesas!$L:$L,"&gt;="&amp;$A787,Despesas!$C:$C,G$1,Despesas!$M:$M,$B787)</f>
        <v>0</v>
      </c>
      <c r="H787" s="18">
        <f>SUMIFS(Despesas!$F:$F,Despesas!$J:$J,"&lt;="&amp;$A787,Despesas!$L:$L,"&gt;="&amp;$A787,Despesas!$C:$C,H$1,Despesas!$M:$M,"Mensal")+SUMIFS(Despesas!$F:$F,Despesas!$J:$J,"&lt;="&amp;$A787,Despesas!$L:$L,"&gt;="&amp;$A787,Despesas!$C:$C,H$1,Despesas!$M:$M,$B787)</f>
        <v>1000</v>
      </c>
      <c r="I787" s="18">
        <f>IF(Imóveis!$F$2="PRICE",IF(AND(Dados!$A787&gt;=Imóveis!$Q$2,Dados!$A787&lt;=Imóveis!$T$2),Imóveis!$U$2,0),IF((IF(AND(Dados!$A787&gt;=Imóveis!$Q$2,Dados!$A787&lt;=Imóveis!$T$2),Imóveis!$S$2-(DATEDIF(Imóveis!$Q$2,Dados!$A787,"m")),0))=0,0,((Imóveis!$N$2/Imóveis!$S$2)+((Imóveis!$N$2-((Imóveis!$S$2-(IF(AND(Dados!$A787&gt;=Imóveis!$Q$2,Dados!$A787&lt;=Imóveis!$T$2),Imóveis!$S$2-(DATEDIF(Imóveis!$Q$2,Dados!$A787,"m")),)))*(Imóveis!$N$2/Imóveis!$S$2)))*Imóveis!$P$2))))*IF(AND(Imóveis!$E$2&gt;0,Dados!$A787&gt;Imóveis!$E$2),0,1)</f>
        <v>0</v>
      </c>
      <c r="J787" s="18">
        <f>IF(Imóveis!$F$3="PRICE",IF(AND(Dados!$A787&gt;=Imóveis!$Q$3,Dados!$A787&lt;=Imóveis!$T$3),Imóveis!$U$3,0),IF((IF(AND(Dados!$A787&gt;=Imóveis!$Q$3,Dados!$A787&lt;=Imóveis!$T$3),Imóveis!$S$3-(DATEDIF(Imóveis!$Q$3,Dados!$A787,"m")),0))=0,0,((Imóveis!$N$3/Imóveis!$S$3)+((Imóveis!$N$3-((Imóveis!$S$3-(IF(AND(Dados!$A787&gt;=Imóveis!$Q$3,Dados!$A787&lt;=Imóveis!$T$3),Imóveis!$S$3-(DATEDIF(Imóveis!$Q$3,Dados!$A787,"m")),)))*(Imóveis!$N$3/Imóveis!$S$3)))*Imóveis!$P$3))))*IF(AND(Imóveis!$E$3&gt;0,Dados!$A787&gt;Imóveis!$E$3),0,1)</f>
        <v>0</v>
      </c>
      <c r="K787" s="18">
        <f>IF(Imóveis!$F$4="PRICE",IF(AND(Dados!$A787&gt;=Imóveis!$Q$4,Dados!$A787&lt;=Imóveis!$T$4),Imóveis!$U$4,0),IF((IF(AND(Dados!$A787&gt;=Imóveis!$Q$4,Dados!$A787&lt;=Imóveis!$T$4),Imóveis!$S$4-(DATEDIF(Imóveis!$Q$4,Dados!$A787,"m")),0))=0,0,((Imóveis!$N$4/Imóveis!$S$4)+((Imóveis!$N$4-((Imóveis!$S$4-(IF(AND(Dados!$A787&gt;=Imóveis!$Q$4,Dados!$A787&lt;=Imóveis!$T$4),Imóveis!$S$4-(DATEDIF(Imóveis!$Q$4,Dados!$A787,"m")),)))*(Imóveis!$N$4/Imóveis!$S$4)))*Imóveis!$P$4))))*IF(AND(Imóveis!$E$4&gt;0,Dados!$A787&gt;Imóveis!$E$4),0,1)</f>
        <v>0</v>
      </c>
      <c r="L787" s="18">
        <f>IF(Imóveis!$F$5="PRICE",IF(AND(Dados!$A787&gt;=Imóveis!$Q$5,Dados!$A787&lt;=Imóveis!$T$5),Imóveis!$U$5,0),IF((IF(AND(Dados!$A787&gt;=Imóveis!$Q$5,Dados!$A787&lt;=Imóveis!$T$5),Imóveis!$S$5-(DATEDIF(Imóveis!$Q$5,Dados!$A787,"m")),0))=0,0,((Imóveis!$N$5/Imóveis!$S$5)+((Imóveis!$N$5-((Imóveis!$S$5-(IF(AND(Dados!$A787 &gt;=Imóveis!$Q$5,Dados!$A787&lt;=Imóveis!$T$5),Imóveis!$S$5-(DATEDIF(Imóveis!$Q$5,Dados!$A787,"m")),)))*(Imóveis!$N$5/Imóveis!$S$5)))*Imóveis!$P$5))))*IF(AND(Imóveis!$E$5&gt;0,Dados!$A787&gt;Imóveis!$E$5),0,1)*Imóveis!$I$5</f>
        <v>0</v>
      </c>
      <c r="M787" s="18">
        <f>IF(Imóveis!$F$6="PRICE",IF(AND(Dados!$A787&gt;=Imóveis!$Q$6,Dados!$A787&lt;=Imóveis!$T$6),Imóveis!$U$6,0),IF((IF(AND(Dados!$A787&gt;=Imóveis!$Q$6,Dados!$A787&lt;=Imóveis!$T$6),Imóveis!$S$6-(DATEDIF(Imóveis!$Q$6,Dados!$A787,"m")),0))=0,0,((Imóveis!$N$6/Imóveis!$S$6)+((Imóveis!$N$6-((Imóveis!$S$6-(IF(AND(Dados!$A787&gt;=Imóveis!$Q$6,Dados!$A787&lt;=Imóveis!$T$6),Imóveis!$S$6-(DATEDIF(Imóveis!$Q$6,Dados!$A787,"m")),)))*(Imóveis!$N$6/Imóveis!$S$6)))*Imóveis!$P$6))))*IF(AND(Imóveis!$E$6&gt;0,Dados!$A787&gt;Imóveis!$E$6),0,1)*Imóveis!$I$6</f>
        <v>0</v>
      </c>
      <c r="N787" s="18">
        <f t="shared" si="101"/>
        <v>37000</v>
      </c>
      <c r="O787" s="18">
        <f>SUMIFS(Receitas!$F:$F,Receitas!$J:$J,"&lt;="&amp;$A787,Receitas!$L:$L,"&gt;="&amp;$A787,Receitas!$C:$C,O$1,Receitas!$M:$M,"Mensal")+SUMIFS(Receitas!$F:$F,Receitas!$J:$J,"&lt;="&amp;$A787,Receitas!$L:$L,"&gt;="&amp;$A787,Receitas!$C:$C,O$1,Receitas!$M:$M,$B787)</f>
        <v>0</v>
      </c>
      <c r="P787" s="18">
        <f>SUMIFS(Receitas!$F:$F,Receitas!$J:$J,"&lt;="&amp;$A787,Receitas!$L:$L,"&gt;="&amp;$A787,Receitas!$C:$C,P$1,Receitas!$M:$M,"Mensal")+SUMIFS(Receitas!$F:$F,Receitas!$J:$J,"&lt;="&amp;$A787,Receitas!$L:$L,"&gt;="&amp;$A787,Receitas!$C:$C,P$1,Receitas!$M:$M,$B787)</f>
        <v>0</v>
      </c>
      <c r="Q787" s="18">
        <f>SUMIFS(Receitas!$F:$F,Receitas!$J:$J,"&lt;="&amp;$A787,Receitas!$L:$L,"&gt;="&amp;$A787,Receitas!$C:$C,Q$1,Receitas!$M:$M,"Mensal")+SUMIFS(Receitas!$F:$F,Receitas!$J:$J,"&lt;="&amp;$A787,Receitas!$L:$L,"&gt;="&amp;$A787,Receitas!$C:$C,Q$1,Receitas!$M:$M,$B787)</f>
        <v>0</v>
      </c>
      <c r="R787" s="18" cm="1">
        <f t="array" ref="R787">(IF(AND(Membros!$F$2="Sim",A787&lt;=MAX(Membros!$E$2:$E$5)),Membros!K$2,IF(AND(A787&gt;=Membros!J$2,A787&lt;=MAX(Membros!$E$2:$E$5)),Membros!K$2,0))+IF(AND(Membros!$F$3="Sim",A787&lt;=MAX(Membros!$E$2:$E$5)),Membros!K$3,IF(AND(A787&gt;=Membros!J$3,A787&lt;=MAX(Membros!$E$2:$E$5)),Membros!K$3,0)))*IF(AND(COUNTIFS(Tabela3[Tipo],"Provedor",Tabela3[Simulação Seguro],"Sim")=2,A787&gt;=MAX(IF(Tabela3[Tipo]="Dependente",Tabela3[Expectativa de Vida (Data)]))),0,1)</f>
        <v>10000</v>
      </c>
      <c r="S787" s="18">
        <f t="shared" si="102"/>
        <v>10000</v>
      </c>
      <c r="U787" s="18">
        <f t="shared" ca="1" si="105"/>
        <v>63736478.79557924</v>
      </c>
      <c r="V787" s="18">
        <f>SUMIF(Imóveis!E:E,Dados!A:A,Imóveis!Z:Z)-SUMIF(Imóveis!E:E,Dados!A:A,Imóveis!Y:Y)</f>
        <v>0</v>
      </c>
      <c r="W787" s="18">
        <f>-SUMIF(Projetos!N:N,A787,Projetos!F:F)</f>
        <v>0</v>
      </c>
      <c r="X787" s="18">
        <f t="shared" si="99"/>
        <v>-27000</v>
      </c>
      <c r="Y787" s="26">
        <f ca="1">(U787*((Indicadores_Economicos!D$2+1)^(1/12)-1))</f>
        <v>208656.64621036532</v>
      </c>
      <c r="Z787" s="18">
        <f t="shared" ca="1" si="103"/>
        <v>63918135.441789605</v>
      </c>
      <c r="AA787" s="18">
        <f ca="1">Auxiliar_Projetos!E787</f>
        <v>5.0869784831858038E-9</v>
      </c>
      <c r="AB787" s="18">
        <f ca="1">Auxiliar_Projetos!K787</f>
        <v>3.9130603716813793E-9</v>
      </c>
      <c r="AC787" s="18">
        <f ca="1">IF(Z787-AA787-AB787&gt;Investimentos!$C$14,Investimentos!$C$14,IF(Z787-AA787-AB787&lt;Investimentos!$C$14,Z787-AA787-AB787,0))</f>
        <v>300000</v>
      </c>
      <c r="AD787" s="18">
        <f t="shared" ca="1" si="104"/>
        <v>63618135.44178959</v>
      </c>
      <c r="AE787" s="18"/>
    </row>
    <row r="788" spans="1:31" x14ac:dyDescent="0.2">
      <c r="A788" s="4">
        <v>69580</v>
      </c>
      <c r="B788" s="5" t="str">
        <f t="shared" si="100"/>
        <v>julho</v>
      </c>
      <c r="C788" s="5" t="str">
        <f t="shared" si="98"/>
        <v>2090</v>
      </c>
      <c r="D788" s="5">
        <f>SUMIFS(Despesas!$F:$F,Despesas!$J:$J,"&lt;="&amp;$A788,Despesas!$L:$L,"&gt;="&amp;$A788,Despesas!$C:$C,D$1,Despesas!$M:$M,"Mensal")+SUMIFS(Despesas!$F:$F,Despesas!$J:$J,"&lt;="&amp;$A788,Despesas!$L:$L,"&gt;="&amp;$A788,Despesas!$C:$C,D$1,Despesas!$M:$M,$B788)</f>
        <v>23000</v>
      </c>
      <c r="E788" s="18">
        <f>SUMIFS(Despesas!$F:$F,Despesas!$J:$J,"&lt;="&amp;$A788,Despesas!$L:$L,"&gt;="&amp;$A788,Despesas!$C:$C,E$1,Despesas!$M:$M,"Mensal")+SUMIFS(Despesas!$F:$F,Despesas!$J:$J,"&lt;="&amp;$A788,Despesas!$L:$L,"&gt;="&amp;$A788,Despesas!$C:$C,E$1,Despesas!$M:$M,$B788)</f>
        <v>0</v>
      </c>
      <c r="F788" s="5">
        <f>SUMIFS(Despesas!$F:$F,Despesas!$J:$J,"&lt;="&amp;$A788,Despesas!$L:$L,"&gt;="&amp;$A788,Despesas!$C:$C,F$1,Despesas!$M:$M,"Mensal")+SUMIFS(Despesas!$F:$F,Despesas!$J:$J,"&lt;="&amp;$A788,Despesas!$L:$L,"&gt;="&amp;$A788,Despesas!$C:$C,F$1,Despesas!$M:$M,$B788)</f>
        <v>13000</v>
      </c>
      <c r="G788" s="5">
        <f ca="1">SUMIFS(Despesas!$F:$F,Despesas!$J:$J,"&lt;="&amp;$A788,Despesas!$L:$L,"&gt;="&amp;$A788,Despesas!$C:$C,G$1,Despesas!$M:$M,"Mensal")+SUMIFS(Despesas!$F:$F,Despesas!$J:$J,"&lt;="&amp;$A788,Despesas!$L:$L,"&gt;="&amp;$A788,Despesas!$C:$C,G$1,Despesas!$M:$M,$B788)</f>
        <v>55757</v>
      </c>
      <c r="H788" s="18">
        <f>SUMIFS(Despesas!$F:$F,Despesas!$J:$J,"&lt;="&amp;$A788,Despesas!$L:$L,"&gt;="&amp;$A788,Despesas!$C:$C,H$1,Despesas!$M:$M,"Mensal")+SUMIFS(Despesas!$F:$F,Despesas!$J:$J,"&lt;="&amp;$A788,Despesas!$L:$L,"&gt;="&amp;$A788,Despesas!$C:$C,H$1,Despesas!$M:$M,$B788)</f>
        <v>1000</v>
      </c>
      <c r="I788" s="18">
        <f>IF(Imóveis!$F$2="PRICE",IF(AND(Dados!$A788&gt;=Imóveis!$Q$2,Dados!$A788&lt;=Imóveis!$T$2),Imóveis!$U$2,0),IF((IF(AND(Dados!$A788&gt;=Imóveis!$Q$2,Dados!$A788&lt;=Imóveis!$T$2),Imóveis!$S$2-(DATEDIF(Imóveis!$Q$2,Dados!$A788,"m")),0))=0,0,((Imóveis!$N$2/Imóveis!$S$2)+((Imóveis!$N$2-((Imóveis!$S$2-(IF(AND(Dados!$A788&gt;=Imóveis!$Q$2,Dados!$A788&lt;=Imóveis!$T$2),Imóveis!$S$2-(DATEDIF(Imóveis!$Q$2,Dados!$A788,"m")),)))*(Imóveis!$N$2/Imóveis!$S$2)))*Imóveis!$P$2))))*IF(AND(Imóveis!$E$2&gt;0,Dados!$A788&gt;Imóveis!$E$2),0,1)</f>
        <v>0</v>
      </c>
      <c r="J788" s="18">
        <f>IF(Imóveis!$F$3="PRICE",IF(AND(Dados!$A788&gt;=Imóveis!$Q$3,Dados!$A788&lt;=Imóveis!$T$3),Imóveis!$U$3,0),IF((IF(AND(Dados!$A788&gt;=Imóveis!$Q$3,Dados!$A788&lt;=Imóveis!$T$3),Imóveis!$S$3-(DATEDIF(Imóveis!$Q$3,Dados!$A788,"m")),0))=0,0,((Imóveis!$N$3/Imóveis!$S$3)+((Imóveis!$N$3-((Imóveis!$S$3-(IF(AND(Dados!$A788&gt;=Imóveis!$Q$3,Dados!$A788&lt;=Imóveis!$T$3),Imóveis!$S$3-(DATEDIF(Imóveis!$Q$3,Dados!$A788,"m")),)))*(Imóveis!$N$3/Imóveis!$S$3)))*Imóveis!$P$3))))*IF(AND(Imóveis!$E$3&gt;0,Dados!$A788&gt;Imóveis!$E$3),0,1)</f>
        <v>0</v>
      </c>
      <c r="K788" s="18">
        <f>IF(Imóveis!$F$4="PRICE",IF(AND(Dados!$A788&gt;=Imóveis!$Q$4,Dados!$A788&lt;=Imóveis!$T$4),Imóveis!$U$4,0),IF((IF(AND(Dados!$A788&gt;=Imóveis!$Q$4,Dados!$A788&lt;=Imóveis!$T$4),Imóveis!$S$4-(DATEDIF(Imóveis!$Q$4,Dados!$A788,"m")),0))=0,0,((Imóveis!$N$4/Imóveis!$S$4)+((Imóveis!$N$4-((Imóveis!$S$4-(IF(AND(Dados!$A788&gt;=Imóveis!$Q$4,Dados!$A788&lt;=Imóveis!$T$4),Imóveis!$S$4-(DATEDIF(Imóveis!$Q$4,Dados!$A788,"m")),)))*(Imóveis!$N$4/Imóveis!$S$4)))*Imóveis!$P$4))))*IF(AND(Imóveis!$E$4&gt;0,Dados!$A788&gt;Imóveis!$E$4),0,1)</f>
        <v>0</v>
      </c>
      <c r="L788" s="18">
        <f>IF(Imóveis!$F$5="PRICE",IF(AND(Dados!$A788&gt;=Imóveis!$Q$5,Dados!$A788&lt;=Imóveis!$T$5),Imóveis!$U$5,0),IF((IF(AND(Dados!$A788&gt;=Imóveis!$Q$5,Dados!$A788&lt;=Imóveis!$T$5),Imóveis!$S$5-(DATEDIF(Imóveis!$Q$5,Dados!$A788,"m")),0))=0,0,((Imóveis!$N$5/Imóveis!$S$5)+((Imóveis!$N$5-((Imóveis!$S$5-(IF(AND(Dados!$A788 &gt;=Imóveis!$Q$5,Dados!$A788&lt;=Imóveis!$T$5),Imóveis!$S$5-(DATEDIF(Imóveis!$Q$5,Dados!$A788,"m")),)))*(Imóveis!$N$5/Imóveis!$S$5)))*Imóveis!$P$5))))*IF(AND(Imóveis!$E$5&gt;0,Dados!$A788&gt;Imóveis!$E$5),0,1)*Imóveis!$I$5</f>
        <v>0</v>
      </c>
      <c r="M788" s="18">
        <f>IF(Imóveis!$F$6="PRICE",IF(AND(Dados!$A788&gt;=Imóveis!$Q$6,Dados!$A788&lt;=Imóveis!$T$6),Imóveis!$U$6,0),IF((IF(AND(Dados!$A788&gt;=Imóveis!$Q$6,Dados!$A788&lt;=Imóveis!$T$6),Imóveis!$S$6-(DATEDIF(Imóveis!$Q$6,Dados!$A788,"m")),0))=0,0,((Imóveis!$N$6/Imóveis!$S$6)+((Imóveis!$N$6-((Imóveis!$S$6-(IF(AND(Dados!$A788&gt;=Imóveis!$Q$6,Dados!$A788&lt;=Imóveis!$T$6),Imóveis!$S$6-(DATEDIF(Imóveis!$Q$6,Dados!$A788,"m")),)))*(Imóveis!$N$6/Imóveis!$S$6)))*Imóveis!$P$6))))*IF(AND(Imóveis!$E$6&gt;0,Dados!$A788&gt;Imóveis!$E$6),0,1)*Imóveis!$I$6</f>
        <v>0</v>
      </c>
      <c r="N788" s="18">
        <f t="shared" ca="1" si="101"/>
        <v>92757</v>
      </c>
      <c r="O788" s="18">
        <f>SUMIFS(Receitas!$F:$F,Receitas!$J:$J,"&lt;="&amp;$A788,Receitas!$L:$L,"&gt;="&amp;$A788,Receitas!$C:$C,O$1,Receitas!$M:$M,"Mensal")+SUMIFS(Receitas!$F:$F,Receitas!$J:$J,"&lt;="&amp;$A788,Receitas!$L:$L,"&gt;="&amp;$A788,Receitas!$C:$C,O$1,Receitas!$M:$M,$B788)</f>
        <v>0</v>
      </c>
      <c r="P788" s="18">
        <f>SUMIFS(Receitas!$F:$F,Receitas!$J:$J,"&lt;="&amp;$A788,Receitas!$L:$L,"&gt;="&amp;$A788,Receitas!$C:$C,P$1,Receitas!$M:$M,"Mensal")+SUMIFS(Receitas!$F:$F,Receitas!$J:$J,"&lt;="&amp;$A788,Receitas!$L:$L,"&gt;="&amp;$A788,Receitas!$C:$C,P$1,Receitas!$M:$M,$B788)</f>
        <v>0</v>
      </c>
      <c r="Q788" s="18">
        <f>SUMIFS(Receitas!$F:$F,Receitas!$J:$J,"&lt;="&amp;$A788,Receitas!$L:$L,"&gt;="&amp;$A788,Receitas!$C:$C,Q$1,Receitas!$M:$M,"Mensal")+SUMIFS(Receitas!$F:$F,Receitas!$J:$J,"&lt;="&amp;$A788,Receitas!$L:$L,"&gt;="&amp;$A788,Receitas!$C:$C,Q$1,Receitas!$M:$M,$B788)</f>
        <v>0</v>
      </c>
      <c r="R788" s="18" cm="1">
        <f t="array" ref="R788">(IF(AND(Membros!$F$2="Sim",A788&lt;=MAX(Membros!$E$2:$E$5)),Membros!K$2,IF(AND(A788&gt;=Membros!J$2,A788&lt;=MAX(Membros!$E$2:$E$5)),Membros!K$2,0))+IF(AND(Membros!$F$3="Sim",A788&lt;=MAX(Membros!$E$2:$E$5)),Membros!K$3,IF(AND(A788&gt;=Membros!J$3,A788&lt;=MAX(Membros!$E$2:$E$5)),Membros!K$3,0)))*IF(AND(COUNTIFS(Tabela3[Tipo],"Provedor",Tabela3[Simulação Seguro],"Sim")=2,A788&gt;=MAX(IF(Tabela3[Tipo]="Dependente",Tabela3[Expectativa de Vida (Data)]))),0,1)</f>
        <v>10000</v>
      </c>
      <c r="S788" s="18">
        <f t="shared" si="102"/>
        <v>10000</v>
      </c>
      <c r="U788" s="18">
        <f t="shared" ca="1" si="105"/>
        <v>63918135.441789605</v>
      </c>
      <c r="V788" s="18">
        <f>SUMIF(Imóveis!E:E,Dados!A:A,Imóveis!Z:Z)-SUMIF(Imóveis!E:E,Dados!A:A,Imóveis!Y:Y)</f>
        <v>0</v>
      </c>
      <c r="W788" s="18">
        <f>-SUMIF(Projetos!N:N,A788,Projetos!F:F)</f>
        <v>0</v>
      </c>
      <c r="X788" s="18">
        <f t="shared" ca="1" si="99"/>
        <v>-82757</v>
      </c>
      <c r="Y788" s="26">
        <f ca="1">(U788*((Indicadores_Economicos!D$2+1)^(1/12)-1))</f>
        <v>209251.34279976503</v>
      </c>
      <c r="Z788" s="18">
        <f t="shared" ca="1" si="103"/>
        <v>64044629.784589373</v>
      </c>
      <c r="AA788" s="18">
        <f ca="1">Auxiliar_Projetos!E788</f>
        <v>5.1036319270173987E-9</v>
      </c>
      <c r="AB788" s="18">
        <f ca="1">Auxiliar_Projetos!K788</f>
        <v>3.9258707130902987E-9</v>
      </c>
      <c r="AC788" s="18">
        <f ca="1">IF(Z788-AA788-AB788&gt;Investimentos!$C$14,Investimentos!$C$14,IF(Z788-AA788-AB788&lt;Investimentos!$C$14,Z788-AA788-AB788,0))</f>
        <v>300000</v>
      </c>
      <c r="AD788" s="18">
        <f t="shared" ca="1" si="104"/>
        <v>63744629.784589358</v>
      </c>
      <c r="AE788" s="18"/>
    </row>
    <row r="789" spans="1:31" x14ac:dyDescent="0.2">
      <c r="A789" s="4">
        <v>69611</v>
      </c>
      <c r="B789" s="5" t="str">
        <f t="shared" si="100"/>
        <v>agosto</v>
      </c>
      <c r="C789" s="5" t="str">
        <f t="shared" si="98"/>
        <v>2090</v>
      </c>
      <c r="D789" s="5">
        <f>SUMIFS(Despesas!$F:$F,Despesas!$J:$J,"&lt;="&amp;$A789,Despesas!$L:$L,"&gt;="&amp;$A789,Despesas!$C:$C,D$1,Despesas!$M:$M,"Mensal")+SUMIFS(Despesas!$F:$F,Despesas!$J:$J,"&lt;="&amp;$A789,Despesas!$L:$L,"&gt;="&amp;$A789,Despesas!$C:$C,D$1,Despesas!$M:$M,$B789)</f>
        <v>23000</v>
      </c>
      <c r="E789" s="18">
        <f>SUMIFS(Despesas!$F:$F,Despesas!$J:$J,"&lt;="&amp;$A789,Despesas!$L:$L,"&gt;="&amp;$A789,Despesas!$C:$C,E$1,Despesas!$M:$M,"Mensal")+SUMIFS(Despesas!$F:$F,Despesas!$J:$J,"&lt;="&amp;$A789,Despesas!$L:$L,"&gt;="&amp;$A789,Despesas!$C:$C,E$1,Despesas!$M:$M,$B789)</f>
        <v>0</v>
      </c>
      <c r="F789" s="5">
        <f>SUMIFS(Despesas!$F:$F,Despesas!$J:$J,"&lt;="&amp;$A789,Despesas!$L:$L,"&gt;="&amp;$A789,Despesas!$C:$C,F$1,Despesas!$M:$M,"Mensal")+SUMIFS(Despesas!$F:$F,Despesas!$J:$J,"&lt;="&amp;$A789,Despesas!$L:$L,"&gt;="&amp;$A789,Despesas!$C:$C,F$1,Despesas!$M:$M,$B789)</f>
        <v>13000</v>
      </c>
      <c r="G789" s="5">
        <f>SUMIFS(Despesas!$F:$F,Despesas!$J:$J,"&lt;="&amp;$A789,Despesas!$L:$L,"&gt;="&amp;$A789,Despesas!$C:$C,G$1,Despesas!$M:$M,"Mensal")+SUMIFS(Despesas!$F:$F,Despesas!$J:$J,"&lt;="&amp;$A789,Despesas!$L:$L,"&gt;="&amp;$A789,Despesas!$C:$C,G$1,Despesas!$M:$M,$B789)</f>
        <v>0</v>
      </c>
      <c r="H789" s="18">
        <f>SUMIFS(Despesas!$F:$F,Despesas!$J:$J,"&lt;="&amp;$A789,Despesas!$L:$L,"&gt;="&amp;$A789,Despesas!$C:$C,H$1,Despesas!$M:$M,"Mensal")+SUMIFS(Despesas!$F:$F,Despesas!$J:$J,"&lt;="&amp;$A789,Despesas!$L:$L,"&gt;="&amp;$A789,Despesas!$C:$C,H$1,Despesas!$M:$M,$B789)</f>
        <v>1000</v>
      </c>
      <c r="I789" s="18">
        <f>IF(Imóveis!$F$2="PRICE",IF(AND(Dados!$A789&gt;=Imóveis!$Q$2,Dados!$A789&lt;=Imóveis!$T$2),Imóveis!$U$2,0),IF((IF(AND(Dados!$A789&gt;=Imóveis!$Q$2,Dados!$A789&lt;=Imóveis!$T$2),Imóveis!$S$2-(DATEDIF(Imóveis!$Q$2,Dados!$A789,"m")),0))=0,0,((Imóveis!$N$2/Imóveis!$S$2)+((Imóveis!$N$2-((Imóveis!$S$2-(IF(AND(Dados!$A789&gt;=Imóveis!$Q$2,Dados!$A789&lt;=Imóveis!$T$2),Imóveis!$S$2-(DATEDIF(Imóveis!$Q$2,Dados!$A789,"m")),)))*(Imóveis!$N$2/Imóveis!$S$2)))*Imóveis!$P$2))))*IF(AND(Imóveis!$E$2&gt;0,Dados!$A789&gt;Imóveis!$E$2),0,1)</f>
        <v>0</v>
      </c>
      <c r="J789" s="18">
        <f>IF(Imóveis!$F$3="PRICE",IF(AND(Dados!$A789&gt;=Imóveis!$Q$3,Dados!$A789&lt;=Imóveis!$T$3),Imóveis!$U$3,0),IF((IF(AND(Dados!$A789&gt;=Imóveis!$Q$3,Dados!$A789&lt;=Imóveis!$T$3),Imóveis!$S$3-(DATEDIF(Imóveis!$Q$3,Dados!$A789,"m")),0))=0,0,((Imóveis!$N$3/Imóveis!$S$3)+((Imóveis!$N$3-((Imóveis!$S$3-(IF(AND(Dados!$A789&gt;=Imóveis!$Q$3,Dados!$A789&lt;=Imóveis!$T$3),Imóveis!$S$3-(DATEDIF(Imóveis!$Q$3,Dados!$A789,"m")),)))*(Imóveis!$N$3/Imóveis!$S$3)))*Imóveis!$P$3))))*IF(AND(Imóveis!$E$3&gt;0,Dados!$A789&gt;Imóveis!$E$3),0,1)</f>
        <v>0</v>
      </c>
      <c r="K789" s="18">
        <f>IF(Imóveis!$F$4="PRICE",IF(AND(Dados!$A789&gt;=Imóveis!$Q$4,Dados!$A789&lt;=Imóveis!$T$4),Imóveis!$U$4,0),IF((IF(AND(Dados!$A789&gt;=Imóveis!$Q$4,Dados!$A789&lt;=Imóveis!$T$4),Imóveis!$S$4-(DATEDIF(Imóveis!$Q$4,Dados!$A789,"m")),0))=0,0,((Imóveis!$N$4/Imóveis!$S$4)+((Imóveis!$N$4-((Imóveis!$S$4-(IF(AND(Dados!$A789&gt;=Imóveis!$Q$4,Dados!$A789&lt;=Imóveis!$T$4),Imóveis!$S$4-(DATEDIF(Imóveis!$Q$4,Dados!$A789,"m")),)))*(Imóveis!$N$4/Imóveis!$S$4)))*Imóveis!$P$4))))*IF(AND(Imóveis!$E$4&gt;0,Dados!$A789&gt;Imóveis!$E$4),0,1)</f>
        <v>0</v>
      </c>
      <c r="L789" s="18">
        <f>IF(Imóveis!$F$5="PRICE",IF(AND(Dados!$A789&gt;=Imóveis!$Q$5,Dados!$A789&lt;=Imóveis!$T$5),Imóveis!$U$5,0),IF((IF(AND(Dados!$A789&gt;=Imóveis!$Q$5,Dados!$A789&lt;=Imóveis!$T$5),Imóveis!$S$5-(DATEDIF(Imóveis!$Q$5,Dados!$A789,"m")),0))=0,0,((Imóveis!$N$5/Imóveis!$S$5)+((Imóveis!$N$5-((Imóveis!$S$5-(IF(AND(Dados!$A789 &gt;=Imóveis!$Q$5,Dados!$A789&lt;=Imóveis!$T$5),Imóveis!$S$5-(DATEDIF(Imóveis!$Q$5,Dados!$A789,"m")),)))*(Imóveis!$N$5/Imóveis!$S$5)))*Imóveis!$P$5))))*IF(AND(Imóveis!$E$5&gt;0,Dados!$A789&gt;Imóveis!$E$5),0,1)*Imóveis!$I$5</f>
        <v>0</v>
      </c>
      <c r="M789" s="18">
        <f>IF(Imóveis!$F$6="PRICE",IF(AND(Dados!$A789&gt;=Imóveis!$Q$6,Dados!$A789&lt;=Imóveis!$T$6),Imóveis!$U$6,0),IF((IF(AND(Dados!$A789&gt;=Imóveis!$Q$6,Dados!$A789&lt;=Imóveis!$T$6),Imóveis!$S$6-(DATEDIF(Imóveis!$Q$6,Dados!$A789,"m")),0))=0,0,((Imóveis!$N$6/Imóveis!$S$6)+((Imóveis!$N$6-((Imóveis!$S$6-(IF(AND(Dados!$A789&gt;=Imóveis!$Q$6,Dados!$A789&lt;=Imóveis!$T$6),Imóveis!$S$6-(DATEDIF(Imóveis!$Q$6,Dados!$A789,"m")),)))*(Imóveis!$N$6/Imóveis!$S$6)))*Imóveis!$P$6))))*IF(AND(Imóveis!$E$6&gt;0,Dados!$A789&gt;Imóveis!$E$6),0,1)*Imóveis!$I$6</f>
        <v>0</v>
      </c>
      <c r="N789" s="18">
        <f t="shared" si="101"/>
        <v>37000</v>
      </c>
      <c r="O789" s="18">
        <f>SUMIFS(Receitas!$F:$F,Receitas!$J:$J,"&lt;="&amp;$A789,Receitas!$L:$L,"&gt;="&amp;$A789,Receitas!$C:$C,O$1,Receitas!$M:$M,"Mensal")+SUMIFS(Receitas!$F:$F,Receitas!$J:$J,"&lt;="&amp;$A789,Receitas!$L:$L,"&gt;="&amp;$A789,Receitas!$C:$C,O$1,Receitas!$M:$M,$B789)</f>
        <v>0</v>
      </c>
      <c r="P789" s="18">
        <f>SUMIFS(Receitas!$F:$F,Receitas!$J:$J,"&lt;="&amp;$A789,Receitas!$L:$L,"&gt;="&amp;$A789,Receitas!$C:$C,P$1,Receitas!$M:$M,"Mensal")+SUMIFS(Receitas!$F:$F,Receitas!$J:$J,"&lt;="&amp;$A789,Receitas!$L:$L,"&gt;="&amp;$A789,Receitas!$C:$C,P$1,Receitas!$M:$M,$B789)</f>
        <v>0</v>
      </c>
      <c r="Q789" s="18">
        <f>SUMIFS(Receitas!$F:$F,Receitas!$J:$J,"&lt;="&amp;$A789,Receitas!$L:$L,"&gt;="&amp;$A789,Receitas!$C:$C,Q$1,Receitas!$M:$M,"Mensal")+SUMIFS(Receitas!$F:$F,Receitas!$J:$J,"&lt;="&amp;$A789,Receitas!$L:$L,"&gt;="&amp;$A789,Receitas!$C:$C,Q$1,Receitas!$M:$M,$B789)</f>
        <v>0</v>
      </c>
      <c r="R789" s="18" cm="1">
        <f t="array" ref="R789">(IF(AND(Membros!$F$2="Sim",A789&lt;=MAX(Membros!$E$2:$E$5)),Membros!K$2,IF(AND(A789&gt;=Membros!J$2,A789&lt;=MAX(Membros!$E$2:$E$5)),Membros!K$2,0))+IF(AND(Membros!$F$3="Sim",A789&lt;=MAX(Membros!$E$2:$E$5)),Membros!K$3,IF(AND(A789&gt;=Membros!J$3,A789&lt;=MAX(Membros!$E$2:$E$5)),Membros!K$3,0)))*IF(AND(COUNTIFS(Tabela3[Tipo],"Provedor",Tabela3[Simulação Seguro],"Sim")=2,A789&gt;=MAX(IF(Tabela3[Tipo]="Dependente",Tabela3[Expectativa de Vida (Data)]))),0,1)</f>
        <v>10000</v>
      </c>
      <c r="S789" s="18">
        <f t="shared" si="102"/>
        <v>10000</v>
      </c>
      <c r="U789" s="18">
        <f t="shared" ca="1" si="105"/>
        <v>64044629.784589373</v>
      </c>
      <c r="V789" s="18">
        <f>SUMIF(Imóveis!E:E,Dados!A:A,Imóveis!Z:Z)-SUMIF(Imóveis!E:E,Dados!A:A,Imóveis!Y:Y)</f>
        <v>0</v>
      </c>
      <c r="W789" s="18">
        <f>-SUMIF(Projetos!N:N,A789,Projetos!F:F)</f>
        <v>0</v>
      </c>
      <c r="X789" s="18">
        <f t="shared" si="99"/>
        <v>-27000</v>
      </c>
      <c r="Y789" s="26">
        <f ca="1">(U789*((Indicadores_Economicos!D$2+1)^(1/12)-1))</f>
        <v>209665.45236201171</v>
      </c>
      <c r="Z789" s="18">
        <f t="shared" ca="1" si="103"/>
        <v>64227295.236951381</v>
      </c>
      <c r="AA789" s="18">
        <f ca="1">Auxiliar_Projetos!E789</f>
        <v>5.1203398898905763E-9</v>
      </c>
      <c r="AB789" s="18">
        <f ca="1">Auxiliar_Projetos!K789</f>
        <v>3.9387229922235121E-9</v>
      </c>
      <c r="AC789" s="18">
        <f ca="1">IF(Z789-AA789-AB789&gt;Investimentos!$C$14,Investimentos!$C$14,IF(Z789-AA789-AB789&lt;Investimentos!$C$14,Z789-AA789-AB789,0))</f>
        <v>300000</v>
      </c>
      <c r="AD789" s="18">
        <f t="shared" ca="1" si="104"/>
        <v>63927295.236951366</v>
      </c>
      <c r="AE789" s="18"/>
    </row>
    <row r="790" spans="1:31" x14ac:dyDescent="0.2">
      <c r="A790" s="4">
        <v>69642</v>
      </c>
      <c r="B790" s="5" t="str">
        <f t="shared" si="100"/>
        <v>setembro</v>
      </c>
      <c r="C790" s="5" t="str">
        <f t="shared" si="98"/>
        <v>2090</v>
      </c>
      <c r="D790" s="5">
        <f>SUMIFS(Despesas!$F:$F,Despesas!$J:$J,"&lt;="&amp;$A790,Despesas!$L:$L,"&gt;="&amp;$A790,Despesas!$C:$C,D$1,Despesas!$M:$M,"Mensal")+SUMIFS(Despesas!$F:$F,Despesas!$J:$J,"&lt;="&amp;$A790,Despesas!$L:$L,"&gt;="&amp;$A790,Despesas!$C:$C,D$1,Despesas!$M:$M,$B790)</f>
        <v>23000</v>
      </c>
      <c r="E790" s="18">
        <f>SUMIFS(Despesas!$F:$F,Despesas!$J:$J,"&lt;="&amp;$A790,Despesas!$L:$L,"&gt;="&amp;$A790,Despesas!$C:$C,E$1,Despesas!$M:$M,"Mensal")+SUMIFS(Despesas!$F:$F,Despesas!$J:$J,"&lt;="&amp;$A790,Despesas!$L:$L,"&gt;="&amp;$A790,Despesas!$C:$C,E$1,Despesas!$M:$M,$B790)</f>
        <v>0</v>
      </c>
      <c r="F790" s="5">
        <f>SUMIFS(Despesas!$F:$F,Despesas!$J:$J,"&lt;="&amp;$A790,Despesas!$L:$L,"&gt;="&amp;$A790,Despesas!$C:$C,F$1,Despesas!$M:$M,"Mensal")+SUMIFS(Despesas!$F:$F,Despesas!$J:$J,"&lt;="&amp;$A790,Despesas!$L:$L,"&gt;="&amp;$A790,Despesas!$C:$C,F$1,Despesas!$M:$M,$B790)</f>
        <v>13000</v>
      </c>
      <c r="G790" s="5">
        <f>SUMIFS(Despesas!$F:$F,Despesas!$J:$J,"&lt;="&amp;$A790,Despesas!$L:$L,"&gt;="&amp;$A790,Despesas!$C:$C,G$1,Despesas!$M:$M,"Mensal")+SUMIFS(Despesas!$F:$F,Despesas!$J:$J,"&lt;="&amp;$A790,Despesas!$L:$L,"&gt;="&amp;$A790,Despesas!$C:$C,G$1,Despesas!$M:$M,$B790)</f>
        <v>0</v>
      </c>
      <c r="H790" s="18">
        <f>SUMIFS(Despesas!$F:$F,Despesas!$J:$J,"&lt;="&amp;$A790,Despesas!$L:$L,"&gt;="&amp;$A790,Despesas!$C:$C,H$1,Despesas!$M:$M,"Mensal")+SUMIFS(Despesas!$F:$F,Despesas!$J:$J,"&lt;="&amp;$A790,Despesas!$L:$L,"&gt;="&amp;$A790,Despesas!$C:$C,H$1,Despesas!$M:$M,$B790)</f>
        <v>1000</v>
      </c>
      <c r="I790" s="18">
        <f>IF(Imóveis!$F$2="PRICE",IF(AND(Dados!$A790&gt;=Imóveis!$Q$2,Dados!$A790&lt;=Imóveis!$T$2),Imóveis!$U$2,0),IF((IF(AND(Dados!$A790&gt;=Imóveis!$Q$2,Dados!$A790&lt;=Imóveis!$T$2),Imóveis!$S$2-(DATEDIF(Imóveis!$Q$2,Dados!$A790,"m")),0))=0,0,((Imóveis!$N$2/Imóveis!$S$2)+((Imóveis!$N$2-((Imóveis!$S$2-(IF(AND(Dados!$A790&gt;=Imóveis!$Q$2,Dados!$A790&lt;=Imóveis!$T$2),Imóveis!$S$2-(DATEDIF(Imóveis!$Q$2,Dados!$A790,"m")),)))*(Imóveis!$N$2/Imóveis!$S$2)))*Imóveis!$P$2))))*IF(AND(Imóveis!$E$2&gt;0,Dados!$A790&gt;Imóveis!$E$2),0,1)</f>
        <v>0</v>
      </c>
      <c r="J790" s="18">
        <f>IF(Imóveis!$F$3="PRICE",IF(AND(Dados!$A790&gt;=Imóveis!$Q$3,Dados!$A790&lt;=Imóveis!$T$3),Imóveis!$U$3,0),IF((IF(AND(Dados!$A790&gt;=Imóveis!$Q$3,Dados!$A790&lt;=Imóveis!$T$3),Imóveis!$S$3-(DATEDIF(Imóveis!$Q$3,Dados!$A790,"m")),0))=0,0,((Imóveis!$N$3/Imóveis!$S$3)+((Imóveis!$N$3-((Imóveis!$S$3-(IF(AND(Dados!$A790&gt;=Imóveis!$Q$3,Dados!$A790&lt;=Imóveis!$T$3),Imóveis!$S$3-(DATEDIF(Imóveis!$Q$3,Dados!$A790,"m")),)))*(Imóveis!$N$3/Imóveis!$S$3)))*Imóveis!$P$3))))*IF(AND(Imóveis!$E$3&gt;0,Dados!$A790&gt;Imóveis!$E$3),0,1)</f>
        <v>0</v>
      </c>
      <c r="K790" s="18">
        <f>IF(Imóveis!$F$4="PRICE",IF(AND(Dados!$A790&gt;=Imóveis!$Q$4,Dados!$A790&lt;=Imóveis!$T$4),Imóveis!$U$4,0),IF((IF(AND(Dados!$A790&gt;=Imóveis!$Q$4,Dados!$A790&lt;=Imóveis!$T$4),Imóveis!$S$4-(DATEDIF(Imóveis!$Q$4,Dados!$A790,"m")),0))=0,0,((Imóveis!$N$4/Imóveis!$S$4)+((Imóveis!$N$4-((Imóveis!$S$4-(IF(AND(Dados!$A790&gt;=Imóveis!$Q$4,Dados!$A790&lt;=Imóveis!$T$4),Imóveis!$S$4-(DATEDIF(Imóveis!$Q$4,Dados!$A790,"m")),)))*(Imóveis!$N$4/Imóveis!$S$4)))*Imóveis!$P$4))))*IF(AND(Imóveis!$E$4&gt;0,Dados!$A790&gt;Imóveis!$E$4),0,1)</f>
        <v>0</v>
      </c>
      <c r="L790" s="18">
        <f>IF(Imóveis!$F$5="PRICE",IF(AND(Dados!$A790&gt;=Imóveis!$Q$5,Dados!$A790&lt;=Imóveis!$T$5),Imóveis!$U$5,0),IF((IF(AND(Dados!$A790&gt;=Imóveis!$Q$5,Dados!$A790&lt;=Imóveis!$T$5),Imóveis!$S$5-(DATEDIF(Imóveis!$Q$5,Dados!$A790,"m")),0))=0,0,((Imóveis!$N$5/Imóveis!$S$5)+((Imóveis!$N$5-((Imóveis!$S$5-(IF(AND(Dados!$A790 &gt;=Imóveis!$Q$5,Dados!$A790&lt;=Imóveis!$T$5),Imóveis!$S$5-(DATEDIF(Imóveis!$Q$5,Dados!$A790,"m")),)))*(Imóveis!$N$5/Imóveis!$S$5)))*Imóveis!$P$5))))*IF(AND(Imóveis!$E$5&gt;0,Dados!$A790&gt;Imóveis!$E$5),0,1)*Imóveis!$I$5</f>
        <v>0</v>
      </c>
      <c r="M790" s="18">
        <f>IF(Imóveis!$F$6="PRICE",IF(AND(Dados!$A790&gt;=Imóveis!$Q$6,Dados!$A790&lt;=Imóveis!$T$6),Imóveis!$U$6,0),IF((IF(AND(Dados!$A790&gt;=Imóveis!$Q$6,Dados!$A790&lt;=Imóveis!$T$6),Imóveis!$S$6-(DATEDIF(Imóveis!$Q$6,Dados!$A790,"m")),0))=0,0,((Imóveis!$N$6/Imóveis!$S$6)+((Imóveis!$N$6-((Imóveis!$S$6-(IF(AND(Dados!$A790&gt;=Imóveis!$Q$6,Dados!$A790&lt;=Imóveis!$T$6),Imóveis!$S$6-(DATEDIF(Imóveis!$Q$6,Dados!$A790,"m")),)))*(Imóveis!$N$6/Imóveis!$S$6)))*Imóveis!$P$6))))*IF(AND(Imóveis!$E$6&gt;0,Dados!$A790&gt;Imóveis!$E$6),0,1)*Imóveis!$I$6</f>
        <v>0</v>
      </c>
      <c r="N790" s="18">
        <f t="shared" si="101"/>
        <v>37000</v>
      </c>
      <c r="O790" s="18">
        <f>SUMIFS(Receitas!$F:$F,Receitas!$J:$J,"&lt;="&amp;$A790,Receitas!$L:$L,"&gt;="&amp;$A790,Receitas!$C:$C,O$1,Receitas!$M:$M,"Mensal")+SUMIFS(Receitas!$F:$F,Receitas!$J:$J,"&lt;="&amp;$A790,Receitas!$L:$L,"&gt;="&amp;$A790,Receitas!$C:$C,O$1,Receitas!$M:$M,$B790)</f>
        <v>0</v>
      </c>
      <c r="P790" s="18">
        <f>SUMIFS(Receitas!$F:$F,Receitas!$J:$J,"&lt;="&amp;$A790,Receitas!$L:$L,"&gt;="&amp;$A790,Receitas!$C:$C,P$1,Receitas!$M:$M,"Mensal")+SUMIFS(Receitas!$F:$F,Receitas!$J:$J,"&lt;="&amp;$A790,Receitas!$L:$L,"&gt;="&amp;$A790,Receitas!$C:$C,P$1,Receitas!$M:$M,$B790)</f>
        <v>0</v>
      </c>
      <c r="Q790" s="18">
        <f>SUMIFS(Receitas!$F:$F,Receitas!$J:$J,"&lt;="&amp;$A790,Receitas!$L:$L,"&gt;="&amp;$A790,Receitas!$C:$C,Q$1,Receitas!$M:$M,"Mensal")+SUMIFS(Receitas!$F:$F,Receitas!$J:$J,"&lt;="&amp;$A790,Receitas!$L:$L,"&gt;="&amp;$A790,Receitas!$C:$C,Q$1,Receitas!$M:$M,$B790)</f>
        <v>0</v>
      </c>
      <c r="R790" s="18" cm="1">
        <f t="array" ref="R790">(IF(AND(Membros!$F$2="Sim",A790&lt;=MAX(Membros!$E$2:$E$5)),Membros!K$2,IF(AND(A790&gt;=Membros!J$2,A790&lt;=MAX(Membros!$E$2:$E$5)),Membros!K$2,0))+IF(AND(Membros!$F$3="Sim",A790&lt;=MAX(Membros!$E$2:$E$5)),Membros!K$3,IF(AND(A790&gt;=Membros!J$3,A790&lt;=MAX(Membros!$E$2:$E$5)),Membros!K$3,0)))*IF(AND(COUNTIFS(Tabela3[Tipo],"Provedor",Tabela3[Simulação Seguro],"Sim")=2,A790&gt;=MAX(IF(Tabela3[Tipo]="Dependente",Tabela3[Expectativa de Vida (Data)]))),0,1)</f>
        <v>10000</v>
      </c>
      <c r="S790" s="18">
        <f t="shared" si="102"/>
        <v>10000</v>
      </c>
      <c r="U790" s="18">
        <f t="shared" ca="1" si="105"/>
        <v>64227295.236951381</v>
      </c>
      <c r="V790" s="18">
        <f>SUMIF(Imóveis!E:E,Dados!A:A,Imóveis!Z:Z)-SUMIF(Imóveis!E:E,Dados!A:A,Imóveis!Y:Y)</f>
        <v>0</v>
      </c>
      <c r="W790" s="18">
        <f>-SUMIF(Projetos!N:N,A790,Projetos!F:F)</f>
        <v>0</v>
      </c>
      <c r="X790" s="18">
        <f t="shared" si="99"/>
        <v>-27000</v>
      </c>
      <c r="Y790" s="26">
        <f ca="1">(U790*((Indicadores_Economicos!D$2+1)^(1/12)-1))</f>
        <v>210263.45152024258</v>
      </c>
      <c r="Z790" s="18">
        <f t="shared" ca="1" si="103"/>
        <v>64410558.688471623</v>
      </c>
      <c r="AA790" s="18">
        <f ca="1">Auxiliar_Projetos!E790</f>
        <v>5.1371025502864911E-9</v>
      </c>
      <c r="AB790" s="18">
        <f ca="1">Auxiliar_Projetos!K790</f>
        <v>3.9516173463742159E-9</v>
      </c>
      <c r="AC790" s="18">
        <f ca="1">IF(Z790-AA790-AB790&gt;Investimentos!$C$14,Investimentos!$C$14,IF(Z790-AA790-AB790&lt;Investimentos!$C$14,Z790-AA790-AB790,0))</f>
        <v>300000</v>
      </c>
      <c r="AD790" s="18">
        <f t="shared" ca="1" si="104"/>
        <v>64110558.688471608</v>
      </c>
      <c r="AE790" s="18"/>
    </row>
    <row r="791" spans="1:31" x14ac:dyDescent="0.2">
      <c r="A791" s="4">
        <v>69672</v>
      </c>
      <c r="B791" s="5" t="str">
        <f t="shared" si="100"/>
        <v>outubro</v>
      </c>
      <c r="C791" s="5" t="str">
        <f t="shared" si="98"/>
        <v>2090</v>
      </c>
      <c r="D791" s="5">
        <f>SUMIFS(Despesas!$F:$F,Despesas!$J:$J,"&lt;="&amp;$A791,Despesas!$L:$L,"&gt;="&amp;$A791,Despesas!$C:$C,D$1,Despesas!$M:$M,"Mensal")+SUMIFS(Despesas!$F:$F,Despesas!$J:$J,"&lt;="&amp;$A791,Despesas!$L:$L,"&gt;="&amp;$A791,Despesas!$C:$C,D$1,Despesas!$M:$M,$B791)</f>
        <v>23000</v>
      </c>
      <c r="E791" s="18">
        <f>SUMIFS(Despesas!$F:$F,Despesas!$J:$J,"&lt;="&amp;$A791,Despesas!$L:$L,"&gt;="&amp;$A791,Despesas!$C:$C,E$1,Despesas!$M:$M,"Mensal")+SUMIFS(Despesas!$F:$F,Despesas!$J:$J,"&lt;="&amp;$A791,Despesas!$L:$L,"&gt;="&amp;$A791,Despesas!$C:$C,E$1,Despesas!$M:$M,$B791)</f>
        <v>0</v>
      </c>
      <c r="F791" s="5">
        <f>SUMIFS(Despesas!$F:$F,Despesas!$J:$J,"&lt;="&amp;$A791,Despesas!$L:$L,"&gt;="&amp;$A791,Despesas!$C:$C,F$1,Despesas!$M:$M,"Mensal")+SUMIFS(Despesas!$F:$F,Despesas!$J:$J,"&lt;="&amp;$A791,Despesas!$L:$L,"&gt;="&amp;$A791,Despesas!$C:$C,F$1,Despesas!$M:$M,$B791)</f>
        <v>13000</v>
      </c>
      <c r="G791" s="5">
        <f>SUMIFS(Despesas!$F:$F,Despesas!$J:$J,"&lt;="&amp;$A791,Despesas!$L:$L,"&gt;="&amp;$A791,Despesas!$C:$C,G$1,Despesas!$M:$M,"Mensal")+SUMIFS(Despesas!$F:$F,Despesas!$J:$J,"&lt;="&amp;$A791,Despesas!$L:$L,"&gt;="&amp;$A791,Despesas!$C:$C,G$1,Despesas!$M:$M,$B791)</f>
        <v>0</v>
      </c>
      <c r="H791" s="18">
        <f>SUMIFS(Despesas!$F:$F,Despesas!$J:$J,"&lt;="&amp;$A791,Despesas!$L:$L,"&gt;="&amp;$A791,Despesas!$C:$C,H$1,Despesas!$M:$M,"Mensal")+SUMIFS(Despesas!$F:$F,Despesas!$J:$J,"&lt;="&amp;$A791,Despesas!$L:$L,"&gt;="&amp;$A791,Despesas!$C:$C,H$1,Despesas!$M:$M,$B791)</f>
        <v>1000</v>
      </c>
      <c r="I791" s="18">
        <f>IF(Imóveis!$F$2="PRICE",IF(AND(Dados!$A791&gt;=Imóveis!$Q$2,Dados!$A791&lt;=Imóveis!$T$2),Imóveis!$U$2,0),IF((IF(AND(Dados!$A791&gt;=Imóveis!$Q$2,Dados!$A791&lt;=Imóveis!$T$2),Imóveis!$S$2-(DATEDIF(Imóveis!$Q$2,Dados!$A791,"m")),0))=0,0,((Imóveis!$N$2/Imóveis!$S$2)+((Imóveis!$N$2-((Imóveis!$S$2-(IF(AND(Dados!$A791&gt;=Imóveis!$Q$2,Dados!$A791&lt;=Imóveis!$T$2),Imóveis!$S$2-(DATEDIF(Imóveis!$Q$2,Dados!$A791,"m")),)))*(Imóveis!$N$2/Imóveis!$S$2)))*Imóveis!$P$2))))*IF(AND(Imóveis!$E$2&gt;0,Dados!$A791&gt;Imóveis!$E$2),0,1)</f>
        <v>0</v>
      </c>
      <c r="J791" s="18">
        <f>IF(Imóveis!$F$3="PRICE",IF(AND(Dados!$A791&gt;=Imóveis!$Q$3,Dados!$A791&lt;=Imóveis!$T$3),Imóveis!$U$3,0),IF((IF(AND(Dados!$A791&gt;=Imóveis!$Q$3,Dados!$A791&lt;=Imóveis!$T$3),Imóveis!$S$3-(DATEDIF(Imóveis!$Q$3,Dados!$A791,"m")),0))=0,0,((Imóveis!$N$3/Imóveis!$S$3)+((Imóveis!$N$3-((Imóveis!$S$3-(IF(AND(Dados!$A791&gt;=Imóveis!$Q$3,Dados!$A791&lt;=Imóveis!$T$3),Imóveis!$S$3-(DATEDIF(Imóveis!$Q$3,Dados!$A791,"m")),)))*(Imóveis!$N$3/Imóveis!$S$3)))*Imóveis!$P$3))))*IF(AND(Imóveis!$E$3&gt;0,Dados!$A791&gt;Imóveis!$E$3),0,1)</f>
        <v>0</v>
      </c>
      <c r="K791" s="18">
        <f>IF(Imóveis!$F$4="PRICE",IF(AND(Dados!$A791&gt;=Imóveis!$Q$4,Dados!$A791&lt;=Imóveis!$T$4),Imóveis!$U$4,0),IF((IF(AND(Dados!$A791&gt;=Imóveis!$Q$4,Dados!$A791&lt;=Imóveis!$T$4),Imóveis!$S$4-(DATEDIF(Imóveis!$Q$4,Dados!$A791,"m")),0))=0,0,((Imóveis!$N$4/Imóveis!$S$4)+((Imóveis!$N$4-((Imóveis!$S$4-(IF(AND(Dados!$A791&gt;=Imóveis!$Q$4,Dados!$A791&lt;=Imóveis!$T$4),Imóveis!$S$4-(DATEDIF(Imóveis!$Q$4,Dados!$A791,"m")),)))*(Imóveis!$N$4/Imóveis!$S$4)))*Imóveis!$P$4))))*IF(AND(Imóveis!$E$4&gt;0,Dados!$A791&gt;Imóveis!$E$4),0,1)</f>
        <v>0</v>
      </c>
      <c r="L791" s="18">
        <f>IF(Imóveis!$F$5="PRICE",IF(AND(Dados!$A791&gt;=Imóveis!$Q$5,Dados!$A791&lt;=Imóveis!$T$5),Imóveis!$U$5,0),IF((IF(AND(Dados!$A791&gt;=Imóveis!$Q$5,Dados!$A791&lt;=Imóveis!$T$5),Imóveis!$S$5-(DATEDIF(Imóveis!$Q$5,Dados!$A791,"m")),0))=0,0,((Imóveis!$N$5/Imóveis!$S$5)+((Imóveis!$N$5-((Imóveis!$S$5-(IF(AND(Dados!$A791 &gt;=Imóveis!$Q$5,Dados!$A791&lt;=Imóveis!$T$5),Imóveis!$S$5-(DATEDIF(Imóveis!$Q$5,Dados!$A791,"m")),)))*(Imóveis!$N$5/Imóveis!$S$5)))*Imóveis!$P$5))))*IF(AND(Imóveis!$E$5&gt;0,Dados!$A791&gt;Imóveis!$E$5),0,1)*Imóveis!$I$5</f>
        <v>0</v>
      </c>
      <c r="M791" s="18">
        <f>IF(Imóveis!$F$6="PRICE",IF(AND(Dados!$A791&gt;=Imóveis!$Q$6,Dados!$A791&lt;=Imóveis!$T$6),Imóveis!$U$6,0),IF((IF(AND(Dados!$A791&gt;=Imóveis!$Q$6,Dados!$A791&lt;=Imóveis!$T$6),Imóveis!$S$6-(DATEDIF(Imóveis!$Q$6,Dados!$A791,"m")),0))=0,0,((Imóveis!$N$6/Imóveis!$S$6)+((Imóveis!$N$6-((Imóveis!$S$6-(IF(AND(Dados!$A791&gt;=Imóveis!$Q$6,Dados!$A791&lt;=Imóveis!$T$6),Imóveis!$S$6-(DATEDIF(Imóveis!$Q$6,Dados!$A791,"m")),)))*(Imóveis!$N$6/Imóveis!$S$6)))*Imóveis!$P$6))))*IF(AND(Imóveis!$E$6&gt;0,Dados!$A791&gt;Imóveis!$E$6),0,1)*Imóveis!$I$6</f>
        <v>0</v>
      </c>
      <c r="N791" s="18">
        <f t="shared" si="101"/>
        <v>37000</v>
      </c>
      <c r="O791" s="18">
        <f>SUMIFS(Receitas!$F:$F,Receitas!$J:$J,"&lt;="&amp;$A791,Receitas!$L:$L,"&gt;="&amp;$A791,Receitas!$C:$C,O$1,Receitas!$M:$M,"Mensal")+SUMIFS(Receitas!$F:$F,Receitas!$J:$J,"&lt;="&amp;$A791,Receitas!$L:$L,"&gt;="&amp;$A791,Receitas!$C:$C,O$1,Receitas!$M:$M,$B791)</f>
        <v>0</v>
      </c>
      <c r="P791" s="18">
        <f>SUMIFS(Receitas!$F:$F,Receitas!$J:$J,"&lt;="&amp;$A791,Receitas!$L:$L,"&gt;="&amp;$A791,Receitas!$C:$C,P$1,Receitas!$M:$M,"Mensal")+SUMIFS(Receitas!$F:$F,Receitas!$J:$J,"&lt;="&amp;$A791,Receitas!$L:$L,"&gt;="&amp;$A791,Receitas!$C:$C,P$1,Receitas!$M:$M,$B791)</f>
        <v>0</v>
      </c>
      <c r="Q791" s="18">
        <f>SUMIFS(Receitas!$F:$F,Receitas!$J:$J,"&lt;="&amp;$A791,Receitas!$L:$L,"&gt;="&amp;$A791,Receitas!$C:$C,Q$1,Receitas!$M:$M,"Mensal")+SUMIFS(Receitas!$F:$F,Receitas!$J:$J,"&lt;="&amp;$A791,Receitas!$L:$L,"&gt;="&amp;$A791,Receitas!$C:$C,Q$1,Receitas!$M:$M,$B791)</f>
        <v>0</v>
      </c>
      <c r="R791" s="18" cm="1">
        <f t="array" ref="R791">(IF(AND(Membros!$F$2="Sim",A791&lt;=MAX(Membros!$E$2:$E$5)),Membros!K$2,IF(AND(A791&gt;=Membros!J$2,A791&lt;=MAX(Membros!$E$2:$E$5)),Membros!K$2,0))+IF(AND(Membros!$F$3="Sim",A791&lt;=MAX(Membros!$E$2:$E$5)),Membros!K$3,IF(AND(A791&gt;=Membros!J$3,A791&lt;=MAX(Membros!$E$2:$E$5)),Membros!K$3,0)))*IF(AND(COUNTIFS(Tabela3[Tipo],"Provedor",Tabela3[Simulação Seguro],"Sim")=2,A791&gt;=MAX(IF(Tabela3[Tipo]="Dependente",Tabela3[Expectativa de Vida (Data)]))),0,1)</f>
        <v>10000</v>
      </c>
      <c r="S791" s="18">
        <f t="shared" si="102"/>
        <v>10000</v>
      </c>
      <c r="U791" s="18">
        <f t="shared" ca="1" si="105"/>
        <v>64410558.688471623</v>
      </c>
      <c r="V791" s="18">
        <f>SUMIF(Imóveis!E:E,Dados!A:A,Imóveis!Z:Z)-SUMIF(Imóveis!E:E,Dados!A:A,Imóveis!Y:Y)</f>
        <v>0</v>
      </c>
      <c r="W791" s="18">
        <f>-SUMIF(Projetos!N:N,A791,Projetos!F:F)</f>
        <v>0</v>
      </c>
      <c r="X791" s="18">
        <f t="shared" si="99"/>
        <v>-27000</v>
      </c>
      <c r="Y791" s="26">
        <f ca="1">(U791*((Indicadores_Economicos!D$2+1)^(1/12)-1))</f>
        <v>210863.40837210749</v>
      </c>
      <c r="Z791" s="18">
        <f t="shared" ca="1" si="103"/>
        <v>64594422.096843727</v>
      </c>
      <c r="AA791" s="18">
        <f ca="1">Auxiliar_Projetos!E791</f>
        <v>5.1539200872705998E-9</v>
      </c>
      <c r="AB791" s="18">
        <f ca="1">Auxiliar_Projetos!K791</f>
        <v>3.9645539132850686E-9</v>
      </c>
      <c r="AC791" s="18">
        <f ca="1">IF(Z791-AA791-AB791&gt;Investimentos!$C$14,Investimentos!$C$14,IF(Z791-AA791-AB791&lt;Investimentos!$C$14,Z791-AA791-AB791,0))</f>
        <v>300000</v>
      </c>
      <c r="AD791" s="18">
        <f t="shared" ca="1" si="104"/>
        <v>64294422.096843712</v>
      </c>
      <c r="AE791" s="18"/>
    </row>
    <row r="792" spans="1:31" x14ac:dyDescent="0.2">
      <c r="A792" s="4">
        <v>69703</v>
      </c>
      <c r="B792" s="5" t="str">
        <f t="shared" si="100"/>
        <v>novembro</v>
      </c>
      <c r="C792" s="5" t="str">
        <f t="shared" ref="C792:C855" si="106">TEXT(A792,"AAAA")</f>
        <v>2090</v>
      </c>
      <c r="D792" s="5">
        <f>SUMIFS(Despesas!$F:$F,Despesas!$J:$J,"&lt;="&amp;$A792,Despesas!$L:$L,"&gt;="&amp;$A792,Despesas!$C:$C,D$1,Despesas!$M:$M,"Mensal")+SUMIFS(Despesas!$F:$F,Despesas!$J:$J,"&lt;="&amp;$A792,Despesas!$L:$L,"&gt;="&amp;$A792,Despesas!$C:$C,D$1,Despesas!$M:$M,$B792)</f>
        <v>23000</v>
      </c>
      <c r="E792" s="18">
        <f>SUMIFS(Despesas!$F:$F,Despesas!$J:$J,"&lt;="&amp;$A792,Despesas!$L:$L,"&gt;="&amp;$A792,Despesas!$C:$C,E$1,Despesas!$M:$M,"Mensal")+SUMIFS(Despesas!$F:$F,Despesas!$J:$J,"&lt;="&amp;$A792,Despesas!$L:$L,"&gt;="&amp;$A792,Despesas!$C:$C,E$1,Despesas!$M:$M,$B792)</f>
        <v>0</v>
      </c>
      <c r="F792" s="5">
        <f>SUMIFS(Despesas!$F:$F,Despesas!$J:$J,"&lt;="&amp;$A792,Despesas!$L:$L,"&gt;="&amp;$A792,Despesas!$C:$C,F$1,Despesas!$M:$M,"Mensal")+SUMIFS(Despesas!$F:$F,Despesas!$J:$J,"&lt;="&amp;$A792,Despesas!$L:$L,"&gt;="&amp;$A792,Despesas!$C:$C,F$1,Despesas!$M:$M,$B792)</f>
        <v>13000</v>
      </c>
      <c r="G792" s="5">
        <f>SUMIFS(Despesas!$F:$F,Despesas!$J:$J,"&lt;="&amp;$A792,Despesas!$L:$L,"&gt;="&amp;$A792,Despesas!$C:$C,G$1,Despesas!$M:$M,"Mensal")+SUMIFS(Despesas!$F:$F,Despesas!$J:$J,"&lt;="&amp;$A792,Despesas!$L:$L,"&gt;="&amp;$A792,Despesas!$C:$C,G$1,Despesas!$M:$M,$B792)</f>
        <v>0</v>
      </c>
      <c r="H792" s="18">
        <f>SUMIFS(Despesas!$F:$F,Despesas!$J:$J,"&lt;="&amp;$A792,Despesas!$L:$L,"&gt;="&amp;$A792,Despesas!$C:$C,H$1,Despesas!$M:$M,"Mensal")+SUMIFS(Despesas!$F:$F,Despesas!$J:$J,"&lt;="&amp;$A792,Despesas!$L:$L,"&gt;="&amp;$A792,Despesas!$C:$C,H$1,Despesas!$M:$M,$B792)</f>
        <v>1000</v>
      </c>
      <c r="I792" s="18">
        <f>IF(Imóveis!$F$2="PRICE",IF(AND(Dados!$A792&gt;=Imóveis!$Q$2,Dados!$A792&lt;=Imóveis!$T$2),Imóveis!$U$2,0),IF((IF(AND(Dados!$A792&gt;=Imóveis!$Q$2,Dados!$A792&lt;=Imóveis!$T$2),Imóveis!$S$2-(DATEDIF(Imóveis!$Q$2,Dados!$A792,"m")),0))=0,0,((Imóveis!$N$2/Imóveis!$S$2)+((Imóveis!$N$2-((Imóveis!$S$2-(IF(AND(Dados!$A792&gt;=Imóveis!$Q$2,Dados!$A792&lt;=Imóveis!$T$2),Imóveis!$S$2-(DATEDIF(Imóveis!$Q$2,Dados!$A792,"m")),)))*(Imóveis!$N$2/Imóveis!$S$2)))*Imóveis!$P$2))))*IF(AND(Imóveis!$E$2&gt;0,Dados!$A792&gt;Imóveis!$E$2),0,1)</f>
        <v>0</v>
      </c>
      <c r="J792" s="18">
        <f>IF(Imóveis!$F$3="PRICE",IF(AND(Dados!$A792&gt;=Imóveis!$Q$3,Dados!$A792&lt;=Imóveis!$T$3),Imóveis!$U$3,0),IF((IF(AND(Dados!$A792&gt;=Imóveis!$Q$3,Dados!$A792&lt;=Imóveis!$T$3),Imóveis!$S$3-(DATEDIF(Imóveis!$Q$3,Dados!$A792,"m")),0))=0,0,((Imóveis!$N$3/Imóveis!$S$3)+((Imóveis!$N$3-((Imóveis!$S$3-(IF(AND(Dados!$A792&gt;=Imóveis!$Q$3,Dados!$A792&lt;=Imóveis!$T$3),Imóveis!$S$3-(DATEDIF(Imóveis!$Q$3,Dados!$A792,"m")),)))*(Imóveis!$N$3/Imóveis!$S$3)))*Imóveis!$P$3))))*IF(AND(Imóveis!$E$3&gt;0,Dados!$A792&gt;Imóveis!$E$3),0,1)</f>
        <v>0</v>
      </c>
      <c r="K792" s="18">
        <f>IF(Imóveis!$F$4="PRICE",IF(AND(Dados!$A792&gt;=Imóveis!$Q$4,Dados!$A792&lt;=Imóveis!$T$4),Imóveis!$U$4,0),IF((IF(AND(Dados!$A792&gt;=Imóveis!$Q$4,Dados!$A792&lt;=Imóveis!$T$4),Imóveis!$S$4-(DATEDIF(Imóveis!$Q$4,Dados!$A792,"m")),0))=0,0,((Imóveis!$N$4/Imóveis!$S$4)+((Imóveis!$N$4-((Imóveis!$S$4-(IF(AND(Dados!$A792&gt;=Imóveis!$Q$4,Dados!$A792&lt;=Imóveis!$T$4),Imóveis!$S$4-(DATEDIF(Imóveis!$Q$4,Dados!$A792,"m")),)))*(Imóveis!$N$4/Imóveis!$S$4)))*Imóveis!$P$4))))*IF(AND(Imóveis!$E$4&gt;0,Dados!$A792&gt;Imóveis!$E$4),0,1)</f>
        <v>0</v>
      </c>
      <c r="L792" s="18">
        <f>IF(Imóveis!$F$5="PRICE",IF(AND(Dados!$A792&gt;=Imóveis!$Q$5,Dados!$A792&lt;=Imóveis!$T$5),Imóveis!$U$5,0),IF((IF(AND(Dados!$A792&gt;=Imóveis!$Q$5,Dados!$A792&lt;=Imóveis!$T$5),Imóveis!$S$5-(DATEDIF(Imóveis!$Q$5,Dados!$A792,"m")),0))=0,0,((Imóveis!$N$5/Imóveis!$S$5)+((Imóveis!$N$5-((Imóveis!$S$5-(IF(AND(Dados!$A792 &gt;=Imóveis!$Q$5,Dados!$A792&lt;=Imóveis!$T$5),Imóveis!$S$5-(DATEDIF(Imóveis!$Q$5,Dados!$A792,"m")),)))*(Imóveis!$N$5/Imóveis!$S$5)))*Imóveis!$P$5))))*IF(AND(Imóveis!$E$5&gt;0,Dados!$A792&gt;Imóveis!$E$5),0,1)*Imóveis!$I$5</f>
        <v>0</v>
      </c>
      <c r="M792" s="18">
        <f>IF(Imóveis!$F$6="PRICE",IF(AND(Dados!$A792&gt;=Imóveis!$Q$6,Dados!$A792&lt;=Imóveis!$T$6),Imóveis!$U$6,0),IF((IF(AND(Dados!$A792&gt;=Imóveis!$Q$6,Dados!$A792&lt;=Imóveis!$T$6),Imóveis!$S$6-(DATEDIF(Imóveis!$Q$6,Dados!$A792,"m")),0))=0,0,((Imóveis!$N$6/Imóveis!$S$6)+((Imóveis!$N$6-((Imóveis!$S$6-(IF(AND(Dados!$A792&gt;=Imóveis!$Q$6,Dados!$A792&lt;=Imóveis!$T$6),Imóveis!$S$6-(DATEDIF(Imóveis!$Q$6,Dados!$A792,"m")),)))*(Imóveis!$N$6/Imóveis!$S$6)))*Imóveis!$P$6))))*IF(AND(Imóveis!$E$6&gt;0,Dados!$A792&gt;Imóveis!$E$6),0,1)*Imóveis!$I$6</f>
        <v>0</v>
      </c>
      <c r="N792" s="18">
        <f t="shared" si="101"/>
        <v>37000</v>
      </c>
      <c r="O792" s="18">
        <f>SUMIFS(Receitas!$F:$F,Receitas!$J:$J,"&lt;="&amp;$A792,Receitas!$L:$L,"&gt;="&amp;$A792,Receitas!$C:$C,O$1,Receitas!$M:$M,"Mensal")+SUMIFS(Receitas!$F:$F,Receitas!$J:$J,"&lt;="&amp;$A792,Receitas!$L:$L,"&gt;="&amp;$A792,Receitas!$C:$C,O$1,Receitas!$M:$M,$B792)</f>
        <v>0</v>
      </c>
      <c r="P792" s="18">
        <f>SUMIFS(Receitas!$F:$F,Receitas!$J:$J,"&lt;="&amp;$A792,Receitas!$L:$L,"&gt;="&amp;$A792,Receitas!$C:$C,P$1,Receitas!$M:$M,"Mensal")+SUMIFS(Receitas!$F:$F,Receitas!$J:$J,"&lt;="&amp;$A792,Receitas!$L:$L,"&gt;="&amp;$A792,Receitas!$C:$C,P$1,Receitas!$M:$M,$B792)</f>
        <v>0</v>
      </c>
      <c r="Q792" s="18">
        <f>SUMIFS(Receitas!$F:$F,Receitas!$J:$J,"&lt;="&amp;$A792,Receitas!$L:$L,"&gt;="&amp;$A792,Receitas!$C:$C,Q$1,Receitas!$M:$M,"Mensal")+SUMIFS(Receitas!$F:$F,Receitas!$J:$J,"&lt;="&amp;$A792,Receitas!$L:$L,"&gt;="&amp;$A792,Receitas!$C:$C,Q$1,Receitas!$M:$M,$B792)</f>
        <v>0</v>
      </c>
      <c r="R792" s="18" cm="1">
        <f t="array" ref="R792">(IF(AND(Membros!$F$2="Sim",A792&lt;=MAX(Membros!$E$2:$E$5)),Membros!K$2,IF(AND(A792&gt;=Membros!J$2,A792&lt;=MAX(Membros!$E$2:$E$5)),Membros!K$2,0))+IF(AND(Membros!$F$3="Sim",A792&lt;=MAX(Membros!$E$2:$E$5)),Membros!K$3,IF(AND(A792&gt;=Membros!J$3,A792&lt;=MAX(Membros!$E$2:$E$5)),Membros!K$3,0)))*IF(AND(COUNTIFS(Tabela3[Tipo],"Provedor",Tabela3[Simulação Seguro],"Sim")=2,A792&gt;=MAX(IF(Tabela3[Tipo]="Dependente",Tabela3[Expectativa de Vida (Data)]))),0,1)</f>
        <v>10000</v>
      </c>
      <c r="S792" s="18">
        <f t="shared" si="102"/>
        <v>10000</v>
      </c>
      <c r="U792" s="18">
        <f t="shared" ca="1" si="105"/>
        <v>64594422.096843727</v>
      </c>
      <c r="V792" s="18">
        <f>SUMIF(Imóveis!E:E,Dados!A:A,Imóveis!Z:Z)-SUMIF(Imóveis!E:E,Dados!A:A,Imóveis!Y:Y)</f>
        <v>0</v>
      </c>
      <c r="W792" s="18">
        <f>-SUMIF(Projetos!N:N,A792,Projetos!F:F)</f>
        <v>0</v>
      </c>
      <c r="X792" s="18">
        <f t="shared" si="99"/>
        <v>-27000</v>
      </c>
      <c r="Y792" s="26">
        <f ca="1">(U792*((Indicadores_Economicos!D$2+1)^(1/12)-1))</f>
        <v>211465.32932658592</v>
      </c>
      <c r="Z792" s="18">
        <f t="shared" ca="1" si="103"/>
        <v>64778887.426170312</v>
      </c>
      <c r="AA792" s="18">
        <f ca="1">Auxiliar_Projetos!E792</f>
        <v>5.1707926804945713E-9</v>
      </c>
      <c r="AB792" s="18">
        <f ca="1">Auxiliar_Projetos!K792</f>
        <v>3.9775328311496624E-9</v>
      </c>
      <c r="AC792" s="18">
        <f ca="1">IF(Z792-AA792-AB792&gt;Investimentos!$C$14,Investimentos!$C$14,IF(Z792-AA792-AB792&lt;Investimentos!$C$14,Z792-AA792-AB792,0))</f>
        <v>300000</v>
      </c>
      <c r="AD792" s="18">
        <f t="shared" ca="1" si="104"/>
        <v>64478887.426170297</v>
      </c>
      <c r="AE792" s="18"/>
    </row>
    <row r="793" spans="1:31" x14ac:dyDescent="0.2">
      <c r="A793" s="4">
        <v>69733</v>
      </c>
      <c r="B793" s="5" t="str">
        <f t="shared" si="100"/>
        <v>dezembro</v>
      </c>
      <c r="C793" s="5" t="str">
        <f t="shared" si="106"/>
        <v>2090</v>
      </c>
      <c r="D793" s="5">
        <f>SUMIFS(Despesas!$F:$F,Despesas!$J:$J,"&lt;="&amp;$A793,Despesas!$L:$L,"&gt;="&amp;$A793,Despesas!$C:$C,D$1,Despesas!$M:$M,"Mensal")+SUMIFS(Despesas!$F:$F,Despesas!$J:$J,"&lt;="&amp;$A793,Despesas!$L:$L,"&gt;="&amp;$A793,Despesas!$C:$C,D$1,Despesas!$M:$M,$B793)</f>
        <v>23000</v>
      </c>
      <c r="E793" s="18">
        <f>SUMIFS(Despesas!$F:$F,Despesas!$J:$J,"&lt;="&amp;$A793,Despesas!$L:$L,"&gt;="&amp;$A793,Despesas!$C:$C,E$1,Despesas!$M:$M,"Mensal")+SUMIFS(Despesas!$F:$F,Despesas!$J:$J,"&lt;="&amp;$A793,Despesas!$L:$L,"&gt;="&amp;$A793,Despesas!$C:$C,E$1,Despesas!$M:$M,$B793)</f>
        <v>0</v>
      </c>
      <c r="F793" s="5">
        <f>SUMIFS(Despesas!$F:$F,Despesas!$J:$J,"&lt;="&amp;$A793,Despesas!$L:$L,"&gt;="&amp;$A793,Despesas!$C:$C,F$1,Despesas!$M:$M,"Mensal")+SUMIFS(Despesas!$F:$F,Despesas!$J:$J,"&lt;="&amp;$A793,Despesas!$L:$L,"&gt;="&amp;$A793,Despesas!$C:$C,F$1,Despesas!$M:$M,$B793)</f>
        <v>13000</v>
      </c>
      <c r="G793" s="5">
        <f ca="1">SUMIFS(Despesas!$F:$F,Despesas!$J:$J,"&lt;="&amp;$A793,Despesas!$L:$L,"&gt;="&amp;$A793,Despesas!$C:$C,G$1,Despesas!$M:$M,"Mensal")+SUMIFS(Despesas!$F:$F,Despesas!$J:$J,"&lt;="&amp;$A793,Despesas!$L:$L,"&gt;="&amp;$A793,Despesas!$C:$C,G$1,Despesas!$M:$M,$B793)</f>
        <v>55757</v>
      </c>
      <c r="H793" s="18">
        <f>SUMIFS(Despesas!$F:$F,Despesas!$J:$J,"&lt;="&amp;$A793,Despesas!$L:$L,"&gt;="&amp;$A793,Despesas!$C:$C,H$1,Despesas!$M:$M,"Mensal")+SUMIFS(Despesas!$F:$F,Despesas!$J:$J,"&lt;="&amp;$A793,Despesas!$L:$L,"&gt;="&amp;$A793,Despesas!$C:$C,H$1,Despesas!$M:$M,$B793)</f>
        <v>1000</v>
      </c>
      <c r="I793" s="18">
        <f>IF(Imóveis!$F$2="PRICE",IF(AND(Dados!$A793&gt;=Imóveis!$Q$2,Dados!$A793&lt;=Imóveis!$T$2),Imóveis!$U$2,0),IF((IF(AND(Dados!$A793&gt;=Imóveis!$Q$2,Dados!$A793&lt;=Imóveis!$T$2),Imóveis!$S$2-(DATEDIF(Imóveis!$Q$2,Dados!$A793,"m")),0))=0,0,((Imóveis!$N$2/Imóveis!$S$2)+((Imóveis!$N$2-((Imóveis!$S$2-(IF(AND(Dados!$A793&gt;=Imóveis!$Q$2,Dados!$A793&lt;=Imóveis!$T$2),Imóveis!$S$2-(DATEDIF(Imóveis!$Q$2,Dados!$A793,"m")),)))*(Imóveis!$N$2/Imóveis!$S$2)))*Imóveis!$P$2))))*IF(AND(Imóveis!$E$2&gt;0,Dados!$A793&gt;Imóveis!$E$2),0,1)</f>
        <v>0</v>
      </c>
      <c r="J793" s="18">
        <f>IF(Imóveis!$F$3="PRICE",IF(AND(Dados!$A793&gt;=Imóveis!$Q$3,Dados!$A793&lt;=Imóveis!$T$3),Imóveis!$U$3,0),IF((IF(AND(Dados!$A793&gt;=Imóveis!$Q$3,Dados!$A793&lt;=Imóveis!$T$3),Imóveis!$S$3-(DATEDIF(Imóveis!$Q$3,Dados!$A793,"m")),0))=0,0,((Imóveis!$N$3/Imóveis!$S$3)+((Imóveis!$N$3-((Imóveis!$S$3-(IF(AND(Dados!$A793&gt;=Imóveis!$Q$3,Dados!$A793&lt;=Imóveis!$T$3),Imóveis!$S$3-(DATEDIF(Imóveis!$Q$3,Dados!$A793,"m")),)))*(Imóveis!$N$3/Imóveis!$S$3)))*Imóveis!$P$3))))*IF(AND(Imóveis!$E$3&gt;0,Dados!$A793&gt;Imóveis!$E$3),0,1)</f>
        <v>0</v>
      </c>
      <c r="K793" s="18">
        <f>IF(Imóveis!$F$4="PRICE",IF(AND(Dados!$A793&gt;=Imóveis!$Q$4,Dados!$A793&lt;=Imóveis!$T$4),Imóveis!$U$4,0),IF((IF(AND(Dados!$A793&gt;=Imóveis!$Q$4,Dados!$A793&lt;=Imóveis!$T$4),Imóveis!$S$4-(DATEDIF(Imóveis!$Q$4,Dados!$A793,"m")),0))=0,0,((Imóveis!$N$4/Imóveis!$S$4)+((Imóveis!$N$4-((Imóveis!$S$4-(IF(AND(Dados!$A793&gt;=Imóveis!$Q$4,Dados!$A793&lt;=Imóveis!$T$4),Imóveis!$S$4-(DATEDIF(Imóveis!$Q$4,Dados!$A793,"m")),)))*(Imóveis!$N$4/Imóveis!$S$4)))*Imóveis!$P$4))))*IF(AND(Imóveis!$E$4&gt;0,Dados!$A793&gt;Imóveis!$E$4),0,1)</f>
        <v>0</v>
      </c>
      <c r="L793" s="18">
        <f>IF(Imóveis!$F$5="PRICE",IF(AND(Dados!$A793&gt;=Imóveis!$Q$5,Dados!$A793&lt;=Imóveis!$T$5),Imóveis!$U$5,0),IF((IF(AND(Dados!$A793&gt;=Imóveis!$Q$5,Dados!$A793&lt;=Imóveis!$T$5),Imóveis!$S$5-(DATEDIF(Imóveis!$Q$5,Dados!$A793,"m")),0))=0,0,((Imóveis!$N$5/Imóveis!$S$5)+((Imóveis!$N$5-((Imóveis!$S$5-(IF(AND(Dados!$A793 &gt;=Imóveis!$Q$5,Dados!$A793&lt;=Imóveis!$T$5),Imóveis!$S$5-(DATEDIF(Imóveis!$Q$5,Dados!$A793,"m")),)))*(Imóveis!$N$5/Imóveis!$S$5)))*Imóveis!$P$5))))*IF(AND(Imóveis!$E$5&gt;0,Dados!$A793&gt;Imóveis!$E$5),0,1)*Imóveis!$I$5</f>
        <v>0</v>
      </c>
      <c r="M793" s="18">
        <f>IF(Imóveis!$F$6="PRICE",IF(AND(Dados!$A793&gt;=Imóveis!$Q$6,Dados!$A793&lt;=Imóveis!$T$6),Imóveis!$U$6,0),IF((IF(AND(Dados!$A793&gt;=Imóveis!$Q$6,Dados!$A793&lt;=Imóveis!$T$6),Imóveis!$S$6-(DATEDIF(Imóveis!$Q$6,Dados!$A793,"m")),0))=0,0,((Imóveis!$N$6/Imóveis!$S$6)+((Imóveis!$N$6-((Imóveis!$S$6-(IF(AND(Dados!$A793&gt;=Imóveis!$Q$6,Dados!$A793&lt;=Imóveis!$T$6),Imóveis!$S$6-(DATEDIF(Imóveis!$Q$6,Dados!$A793,"m")),)))*(Imóveis!$N$6/Imóveis!$S$6)))*Imóveis!$P$6))))*IF(AND(Imóveis!$E$6&gt;0,Dados!$A793&gt;Imóveis!$E$6),0,1)*Imóveis!$I$6</f>
        <v>0</v>
      </c>
      <c r="N793" s="18">
        <f t="shared" ca="1" si="101"/>
        <v>92757</v>
      </c>
      <c r="O793" s="18">
        <f>SUMIFS(Receitas!$F:$F,Receitas!$J:$J,"&lt;="&amp;$A793,Receitas!$L:$L,"&gt;="&amp;$A793,Receitas!$C:$C,O$1,Receitas!$M:$M,"Mensal")+SUMIFS(Receitas!$F:$F,Receitas!$J:$J,"&lt;="&amp;$A793,Receitas!$L:$L,"&gt;="&amp;$A793,Receitas!$C:$C,O$1,Receitas!$M:$M,$B793)</f>
        <v>0</v>
      </c>
      <c r="P793" s="18">
        <f>SUMIFS(Receitas!$F:$F,Receitas!$J:$J,"&lt;="&amp;$A793,Receitas!$L:$L,"&gt;="&amp;$A793,Receitas!$C:$C,P$1,Receitas!$M:$M,"Mensal")+SUMIFS(Receitas!$F:$F,Receitas!$J:$J,"&lt;="&amp;$A793,Receitas!$L:$L,"&gt;="&amp;$A793,Receitas!$C:$C,P$1,Receitas!$M:$M,$B793)</f>
        <v>0</v>
      </c>
      <c r="Q793" s="18">
        <f>SUMIFS(Receitas!$F:$F,Receitas!$J:$J,"&lt;="&amp;$A793,Receitas!$L:$L,"&gt;="&amp;$A793,Receitas!$C:$C,Q$1,Receitas!$M:$M,"Mensal")+SUMIFS(Receitas!$F:$F,Receitas!$J:$J,"&lt;="&amp;$A793,Receitas!$L:$L,"&gt;="&amp;$A793,Receitas!$C:$C,Q$1,Receitas!$M:$M,$B793)</f>
        <v>0</v>
      </c>
      <c r="R793" s="18" cm="1">
        <f t="array" ref="R793">(IF(AND(Membros!$F$2="Sim",A793&lt;=MAX(Membros!$E$2:$E$5)),Membros!K$2,IF(AND(A793&gt;=Membros!J$2,A793&lt;=MAX(Membros!$E$2:$E$5)),Membros!K$2,0))+IF(AND(Membros!$F$3="Sim",A793&lt;=MAX(Membros!$E$2:$E$5)),Membros!K$3,IF(AND(A793&gt;=Membros!J$3,A793&lt;=MAX(Membros!$E$2:$E$5)),Membros!K$3,0)))*IF(AND(COUNTIFS(Tabela3[Tipo],"Provedor",Tabela3[Simulação Seguro],"Sim")=2,A793&gt;=MAX(IF(Tabela3[Tipo]="Dependente",Tabela3[Expectativa de Vida (Data)]))),0,1)</f>
        <v>10000</v>
      </c>
      <c r="S793" s="18">
        <f t="shared" si="102"/>
        <v>10000</v>
      </c>
      <c r="U793" s="18">
        <f t="shared" ca="1" si="105"/>
        <v>64778887.426170312</v>
      </c>
      <c r="V793" s="18">
        <f>SUMIF(Imóveis!E:E,Dados!A:A,Imóveis!Z:Z)-SUMIF(Imóveis!E:E,Dados!A:A,Imóveis!Y:Y)</f>
        <v>0</v>
      </c>
      <c r="W793" s="18">
        <f>-SUMIF(Projetos!N:N,A793,Projetos!F:F)</f>
        <v>0</v>
      </c>
      <c r="X793" s="18">
        <f t="shared" ca="1" si="99"/>
        <v>-82757</v>
      </c>
      <c r="Y793" s="26">
        <f ca="1">(U793*((Indicadores_Economicos!D$2+1)^(1/12)-1))</f>
        <v>212069.22081363879</v>
      </c>
      <c r="Z793" s="18">
        <f t="shared" ca="1" si="103"/>
        <v>64908199.646983951</v>
      </c>
      <c r="AA793" s="18">
        <f ca="1">Auxiliar_Projetos!E793</f>
        <v>5.187720510198209E-9</v>
      </c>
      <c r="AB793" s="18">
        <f ca="1">Auxiliar_Projetos!K793</f>
        <v>3.9905542386139996E-9</v>
      </c>
      <c r="AC793" s="18">
        <f ca="1">IF(Z793-AA793-AB793&gt;Investimentos!$C$14,Investimentos!$C$14,IF(Z793-AA793-AB793&lt;Investimentos!$C$14,Z793-AA793-AB793,0))</f>
        <v>300000</v>
      </c>
      <c r="AD793" s="18">
        <f t="shared" ca="1" si="104"/>
        <v>64608199.646983936</v>
      </c>
      <c r="AE793" s="18"/>
    </row>
    <row r="794" spans="1:31" x14ac:dyDescent="0.2">
      <c r="A794" s="4">
        <v>69764</v>
      </c>
      <c r="B794" s="5" t="str">
        <f t="shared" si="100"/>
        <v>janeiro</v>
      </c>
      <c r="C794" s="5" t="str">
        <f t="shared" si="106"/>
        <v>2091</v>
      </c>
      <c r="D794" s="5">
        <f>SUMIFS(Despesas!$F:$F,Despesas!$J:$J,"&lt;="&amp;$A794,Despesas!$L:$L,"&gt;="&amp;$A794,Despesas!$C:$C,D$1,Despesas!$M:$M,"Mensal")+SUMIFS(Despesas!$F:$F,Despesas!$J:$J,"&lt;="&amp;$A794,Despesas!$L:$L,"&gt;="&amp;$A794,Despesas!$C:$C,D$1,Despesas!$M:$M,$B794)</f>
        <v>23000</v>
      </c>
      <c r="E794" s="18">
        <f>SUMIFS(Despesas!$F:$F,Despesas!$J:$J,"&lt;="&amp;$A794,Despesas!$L:$L,"&gt;="&amp;$A794,Despesas!$C:$C,E$1,Despesas!$M:$M,"Mensal")+SUMIFS(Despesas!$F:$F,Despesas!$J:$J,"&lt;="&amp;$A794,Despesas!$L:$L,"&gt;="&amp;$A794,Despesas!$C:$C,E$1,Despesas!$M:$M,$B794)</f>
        <v>0</v>
      </c>
      <c r="F794" s="5">
        <f>SUMIFS(Despesas!$F:$F,Despesas!$J:$J,"&lt;="&amp;$A794,Despesas!$L:$L,"&gt;="&amp;$A794,Despesas!$C:$C,F$1,Despesas!$M:$M,"Mensal")+SUMIFS(Despesas!$F:$F,Despesas!$J:$J,"&lt;="&amp;$A794,Despesas!$L:$L,"&gt;="&amp;$A794,Despesas!$C:$C,F$1,Despesas!$M:$M,$B794)</f>
        <v>13000</v>
      </c>
      <c r="G794" s="5">
        <f>SUMIFS(Despesas!$F:$F,Despesas!$J:$J,"&lt;="&amp;$A794,Despesas!$L:$L,"&gt;="&amp;$A794,Despesas!$C:$C,G$1,Despesas!$M:$M,"Mensal")+SUMIFS(Despesas!$F:$F,Despesas!$J:$J,"&lt;="&amp;$A794,Despesas!$L:$L,"&gt;="&amp;$A794,Despesas!$C:$C,G$1,Despesas!$M:$M,$B794)</f>
        <v>0</v>
      </c>
      <c r="H794" s="18">
        <f>SUMIFS(Despesas!$F:$F,Despesas!$J:$J,"&lt;="&amp;$A794,Despesas!$L:$L,"&gt;="&amp;$A794,Despesas!$C:$C,H$1,Despesas!$M:$M,"Mensal")+SUMIFS(Despesas!$F:$F,Despesas!$J:$J,"&lt;="&amp;$A794,Despesas!$L:$L,"&gt;="&amp;$A794,Despesas!$C:$C,H$1,Despesas!$M:$M,$B794)</f>
        <v>1000</v>
      </c>
      <c r="I794" s="18">
        <f>IF(Imóveis!$F$2="PRICE",IF(AND(Dados!$A794&gt;=Imóveis!$Q$2,Dados!$A794&lt;=Imóveis!$T$2),Imóveis!$U$2,0),IF((IF(AND(Dados!$A794&gt;=Imóveis!$Q$2,Dados!$A794&lt;=Imóveis!$T$2),Imóveis!$S$2-(DATEDIF(Imóveis!$Q$2,Dados!$A794,"m")),0))=0,0,((Imóveis!$N$2/Imóveis!$S$2)+((Imóveis!$N$2-((Imóveis!$S$2-(IF(AND(Dados!$A794&gt;=Imóveis!$Q$2,Dados!$A794&lt;=Imóveis!$T$2),Imóveis!$S$2-(DATEDIF(Imóveis!$Q$2,Dados!$A794,"m")),)))*(Imóveis!$N$2/Imóveis!$S$2)))*Imóveis!$P$2))))*IF(AND(Imóveis!$E$2&gt;0,Dados!$A794&gt;Imóveis!$E$2),0,1)</f>
        <v>0</v>
      </c>
      <c r="J794" s="18">
        <f>IF(Imóveis!$F$3="PRICE",IF(AND(Dados!$A794&gt;=Imóveis!$Q$3,Dados!$A794&lt;=Imóveis!$T$3),Imóveis!$U$3,0),IF((IF(AND(Dados!$A794&gt;=Imóveis!$Q$3,Dados!$A794&lt;=Imóveis!$T$3),Imóveis!$S$3-(DATEDIF(Imóveis!$Q$3,Dados!$A794,"m")),0))=0,0,((Imóveis!$N$3/Imóveis!$S$3)+((Imóveis!$N$3-((Imóveis!$S$3-(IF(AND(Dados!$A794&gt;=Imóveis!$Q$3,Dados!$A794&lt;=Imóveis!$T$3),Imóveis!$S$3-(DATEDIF(Imóveis!$Q$3,Dados!$A794,"m")),)))*(Imóveis!$N$3/Imóveis!$S$3)))*Imóveis!$P$3))))*IF(AND(Imóveis!$E$3&gt;0,Dados!$A794&gt;Imóveis!$E$3),0,1)</f>
        <v>0</v>
      </c>
      <c r="K794" s="18">
        <f>IF(Imóveis!$F$4="PRICE",IF(AND(Dados!$A794&gt;=Imóveis!$Q$4,Dados!$A794&lt;=Imóveis!$T$4),Imóveis!$U$4,0),IF((IF(AND(Dados!$A794&gt;=Imóveis!$Q$4,Dados!$A794&lt;=Imóveis!$T$4),Imóveis!$S$4-(DATEDIF(Imóveis!$Q$4,Dados!$A794,"m")),0))=0,0,((Imóveis!$N$4/Imóveis!$S$4)+((Imóveis!$N$4-((Imóveis!$S$4-(IF(AND(Dados!$A794&gt;=Imóveis!$Q$4,Dados!$A794&lt;=Imóveis!$T$4),Imóveis!$S$4-(DATEDIF(Imóveis!$Q$4,Dados!$A794,"m")),)))*(Imóveis!$N$4/Imóveis!$S$4)))*Imóveis!$P$4))))*IF(AND(Imóveis!$E$4&gt;0,Dados!$A794&gt;Imóveis!$E$4),0,1)</f>
        <v>0</v>
      </c>
      <c r="L794" s="18">
        <f>IF(Imóveis!$F$5="PRICE",IF(AND(Dados!$A794&gt;=Imóveis!$Q$5,Dados!$A794&lt;=Imóveis!$T$5),Imóveis!$U$5,0),IF((IF(AND(Dados!$A794&gt;=Imóveis!$Q$5,Dados!$A794&lt;=Imóveis!$T$5),Imóveis!$S$5-(DATEDIF(Imóveis!$Q$5,Dados!$A794,"m")),0))=0,0,((Imóveis!$N$5/Imóveis!$S$5)+((Imóveis!$N$5-((Imóveis!$S$5-(IF(AND(Dados!$A794 &gt;=Imóveis!$Q$5,Dados!$A794&lt;=Imóveis!$T$5),Imóveis!$S$5-(DATEDIF(Imóveis!$Q$5,Dados!$A794,"m")),)))*(Imóveis!$N$5/Imóveis!$S$5)))*Imóveis!$P$5))))*IF(AND(Imóveis!$E$5&gt;0,Dados!$A794&gt;Imóveis!$E$5),0,1)*Imóveis!$I$5</f>
        <v>0</v>
      </c>
      <c r="M794" s="18">
        <f>IF(Imóveis!$F$6="PRICE",IF(AND(Dados!$A794&gt;=Imóveis!$Q$6,Dados!$A794&lt;=Imóveis!$T$6),Imóveis!$U$6,0),IF((IF(AND(Dados!$A794&gt;=Imóveis!$Q$6,Dados!$A794&lt;=Imóveis!$T$6),Imóveis!$S$6-(DATEDIF(Imóveis!$Q$6,Dados!$A794,"m")),0))=0,0,((Imóveis!$N$6/Imóveis!$S$6)+((Imóveis!$N$6-((Imóveis!$S$6-(IF(AND(Dados!$A794&gt;=Imóveis!$Q$6,Dados!$A794&lt;=Imóveis!$T$6),Imóveis!$S$6-(DATEDIF(Imóveis!$Q$6,Dados!$A794,"m")),)))*(Imóveis!$N$6/Imóveis!$S$6)))*Imóveis!$P$6))))*IF(AND(Imóveis!$E$6&gt;0,Dados!$A794&gt;Imóveis!$E$6),0,1)*Imóveis!$I$6</f>
        <v>0</v>
      </c>
      <c r="N794" s="18">
        <f t="shared" si="101"/>
        <v>37000</v>
      </c>
      <c r="O794" s="18">
        <f>SUMIFS(Receitas!$F:$F,Receitas!$J:$J,"&lt;="&amp;$A794,Receitas!$L:$L,"&gt;="&amp;$A794,Receitas!$C:$C,O$1,Receitas!$M:$M,"Mensal")+SUMIFS(Receitas!$F:$F,Receitas!$J:$J,"&lt;="&amp;$A794,Receitas!$L:$L,"&gt;="&amp;$A794,Receitas!$C:$C,O$1,Receitas!$M:$M,$B794)</f>
        <v>0</v>
      </c>
      <c r="P794" s="18">
        <f>SUMIFS(Receitas!$F:$F,Receitas!$J:$J,"&lt;="&amp;$A794,Receitas!$L:$L,"&gt;="&amp;$A794,Receitas!$C:$C,P$1,Receitas!$M:$M,"Mensal")+SUMIFS(Receitas!$F:$F,Receitas!$J:$J,"&lt;="&amp;$A794,Receitas!$L:$L,"&gt;="&amp;$A794,Receitas!$C:$C,P$1,Receitas!$M:$M,$B794)</f>
        <v>0</v>
      </c>
      <c r="Q794" s="18">
        <f>SUMIFS(Receitas!$F:$F,Receitas!$J:$J,"&lt;="&amp;$A794,Receitas!$L:$L,"&gt;="&amp;$A794,Receitas!$C:$C,Q$1,Receitas!$M:$M,"Mensal")+SUMIFS(Receitas!$F:$F,Receitas!$J:$J,"&lt;="&amp;$A794,Receitas!$L:$L,"&gt;="&amp;$A794,Receitas!$C:$C,Q$1,Receitas!$M:$M,$B794)</f>
        <v>0</v>
      </c>
      <c r="R794" s="18" cm="1">
        <f t="array" ref="R794">(IF(AND(Membros!$F$2="Sim",A794&lt;=MAX(Membros!$E$2:$E$5)),Membros!K$2,IF(AND(A794&gt;=Membros!J$2,A794&lt;=MAX(Membros!$E$2:$E$5)),Membros!K$2,0))+IF(AND(Membros!$F$3="Sim",A794&lt;=MAX(Membros!$E$2:$E$5)),Membros!K$3,IF(AND(A794&gt;=Membros!J$3,A794&lt;=MAX(Membros!$E$2:$E$5)),Membros!K$3,0)))*IF(AND(COUNTIFS(Tabela3[Tipo],"Provedor",Tabela3[Simulação Seguro],"Sim")=2,A794&gt;=MAX(IF(Tabela3[Tipo]="Dependente",Tabela3[Expectativa de Vida (Data)]))),0,1)</f>
        <v>10000</v>
      </c>
      <c r="S794" s="18">
        <f t="shared" si="102"/>
        <v>10000</v>
      </c>
      <c r="U794" s="18">
        <f t="shared" ca="1" si="105"/>
        <v>64908199.646983951</v>
      </c>
      <c r="V794" s="18">
        <f>SUMIF(Imóveis!E:E,Dados!A:A,Imóveis!Z:Z)-SUMIF(Imóveis!E:E,Dados!A:A,Imóveis!Y:Y)</f>
        <v>0</v>
      </c>
      <c r="W794" s="18">
        <f>-SUMIF(Projetos!N:N,A794,Projetos!F:F)</f>
        <v>0</v>
      </c>
      <c r="X794" s="18">
        <f t="shared" si="99"/>
        <v>-27000</v>
      </c>
      <c r="Y794" s="26">
        <f ca="1">(U794*((Indicadores_Economicos!D$2+1)^(1/12)-1))</f>
        <v>212492.55537524089</v>
      </c>
      <c r="Z794" s="18">
        <f t="shared" ca="1" si="103"/>
        <v>65093692.202359192</v>
      </c>
      <c r="AA794" s="18">
        <f ca="1">Auxiliar_Projetos!E794</f>
        <v>5.2047037572113738E-9</v>
      </c>
      <c r="AB794" s="18">
        <f ca="1">Auxiliar_Projetos!K794</f>
        <v>4.0036182747779725E-9</v>
      </c>
      <c r="AC794" s="18">
        <f ca="1">IF(Z794-AA794-AB794&gt;Investimentos!$C$14,Investimentos!$C$14,IF(Z794-AA794-AB794&lt;Investimentos!$C$14,Z794-AA794-AB794,0))</f>
        <v>300000</v>
      </c>
      <c r="AD794" s="18">
        <f t="shared" ca="1" si="104"/>
        <v>64793692.202359177</v>
      </c>
      <c r="AE794" s="18"/>
    </row>
    <row r="795" spans="1:31" x14ac:dyDescent="0.2">
      <c r="A795" s="4">
        <v>69795</v>
      </c>
      <c r="B795" s="5" t="str">
        <f t="shared" si="100"/>
        <v>fevereiro</v>
      </c>
      <c r="C795" s="5" t="str">
        <f t="shared" si="106"/>
        <v>2091</v>
      </c>
      <c r="D795" s="5">
        <f>SUMIFS(Despesas!$F:$F,Despesas!$J:$J,"&lt;="&amp;$A795,Despesas!$L:$L,"&gt;="&amp;$A795,Despesas!$C:$C,D$1,Despesas!$M:$M,"Mensal")+SUMIFS(Despesas!$F:$F,Despesas!$J:$J,"&lt;="&amp;$A795,Despesas!$L:$L,"&gt;="&amp;$A795,Despesas!$C:$C,D$1,Despesas!$M:$M,$B795)</f>
        <v>23000</v>
      </c>
      <c r="E795" s="18">
        <f>SUMIFS(Despesas!$F:$F,Despesas!$J:$J,"&lt;="&amp;$A795,Despesas!$L:$L,"&gt;="&amp;$A795,Despesas!$C:$C,E$1,Despesas!$M:$M,"Mensal")+SUMIFS(Despesas!$F:$F,Despesas!$J:$J,"&lt;="&amp;$A795,Despesas!$L:$L,"&gt;="&amp;$A795,Despesas!$C:$C,E$1,Despesas!$M:$M,$B795)</f>
        <v>0</v>
      </c>
      <c r="F795" s="5">
        <f>SUMIFS(Despesas!$F:$F,Despesas!$J:$J,"&lt;="&amp;$A795,Despesas!$L:$L,"&gt;="&amp;$A795,Despesas!$C:$C,F$1,Despesas!$M:$M,"Mensal")+SUMIFS(Despesas!$F:$F,Despesas!$J:$J,"&lt;="&amp;$A795,Despesas!$L:$L,"&gt;="&amp;$A795,Despesas!$C:$C,F$1,Despesas!$M:$M,$B795)</f>
        <v>13000</v>
      </c>
      <c r="G795" s="5">
        <f>SUMIFS(Despesas!$F:$F,Despesas!$J:$J,"&lt;="&amp;$A795,Despesas!$L:$L,"&gt;="&amp;$A795,Despesas!$C:$C,G$1,Despesas!$M:$M,"Mensal")+SUMIFS(Despesas!$F:$F,Despesas!$J:$J,"&lt;="&amp;$A795,Despesas!$L:$L,"&gt;="&amp;$A795,Despesas!$C:$C,G$1,Despesas!$M:$M,$B795)</f>
        <v>0</v>
      </c>
      <c r="H795" s="18">
        <f>SUMIFS(Despesas!$F:$F,Despesas!$J:$J,"&lt;="&amp;$A795,Despesas!$L:$L,"&gt;="&amp;$A795,Despesas!$C:$C,H$1,Despesas!$M:$M,"Mensal")+SUMIFS(Despesas!$F:$F,Despesas!$J:$J,"&lt;="&amp;$A795,Despesas!$L:$L,"&gt;="&amp;$A795,Despesas!$C:$C,H$1,Despesas!$M:$M,$B795)</f>
        <v>2200</v>
      </c>
      <c r="I795" s="18">
        <f>IF(Imóveis!$F$2="PRICE",IF(AND(Dados!$A795&gt;=Imóveis!$Q$2,Dados!$A795&lt;=Imóveis!$T$2),Imóveis!$U$2,0),IF((IF(AND(Dados!$A795&gt;=Imóveis!$Q$2,Dados!$A795&lt;=Imóveis!$T$2),Imóveis!$S$2-(DATEDIF(Imóveis!$Q$2,Dados!$A795,"m")),0))=0,0,((Imóveis!$N$2/Imóveis!$S$2)+((Imóveis!$N$2-((Imóveis!$S$2-(IF(AND(Dados!$A795&gt;=Imóveis!$Q$2,Dados!$A795&lt;=Imóveis!$T$2),Imóveis!$S$2-(DATEDIF(Imóveis!$Q$2,Dados!$A795,"m")),)))*(Imóveis!$N$2/Imóveis!$S$2)))*Imóveis!$P$2))))*IF(AND(Imóveis!$E$2&gt;0,Dados!$A795&gt;Imóveis!$E$2),0,1)</f>
        <v>0</v>
      </c>
      <c r="J795" s="18">
        <f>IF(Imóveis!$F$3="PRICE",IF(AND(Dados!$A795&gt;=Imóveis!$Q$3,Dados!$A795&lt;=Imóveis!$T$3),Imóveis!$U$3,0),IF((IF(AND(Dados!$A795&gt;=Imóveis!$Q$3,Dados!$A795&lt;=Imóveis!$T$3),Imóveis!$S$3-(DATEDIF(Imóveis!$Q$3,Dados!$A795,"m")),0))=0,0,((Imóveis!$N$3/Imóveis!$S$3)+((Imóveis!$N$3-((Imóveis!$S$3-(IF(AND(Dados!$A795&gt;=Imóveis!$Q$3,Dados!$A795&lt;=Imóveis!$T$3),Imóveis!$S$3-(DATEDIF(Imóveis!$Q$3,Dados!$A795,"m")),)))*(Imóveis!$N$3/Imóveis!$S$3)))*Imóveis!$P$3))))*IF(AND(Imóveis!$E$3&gt;0,Dados!$A795&gt;Imóveis!$E$3),0,1)</f>
        <v>0</v>
      </c>
      <c r="K795" s="18">
        <f>IF(Imóveis!$F$4="PRICE",IF(AND(Dados!$A795&gt;=Imóveis!$Q$4,Dados!$A795&lt;=Imóveis!$T$4),Imóveis!$U$4,0),IF((IF(AND(Dados!$A795&gt;=Imóveis!$Q$4,Dados!$A795&lt;=Imóveis!$T$4),Imóveis!$S$4-(DATEDIF(Imóveis!$Q$4,Dados!$A795,"m")),0))=0,0,((Imóveis!$N$4/Imóveis!$S$4)+((Imóveis!$N$4-((Imóveis!$S$4-(IF(AND(Dados!$A795&gt;=Imóveis!$Q$4,Dados!$A795&lt;=Imóveis!$T$4),Imóveis!$S$4-(DATEDIF(Imóveis!$Q$4,Dados!$A795,"m")),)))*(Imóveis!$N$4/Imóveis!$S$4)))*Imóveis!$P$4))))*IF(AND(Imóveis!$E$4&gt;0,Dados!$A795&gt;Imóveis!$E$4),0,1)</f>
        <v>0</v>
      </c>
      <c r="L795" s="18">
        <f>IF(Imóveis!$F$5="PRICE",IF(AND(Dados!$A795&gt;=Imóveis!$Q$5,Dados!$A795&lt;=Imóveis!$T$5),Imóveis!$U$5,0),IF((IF(AND(Dados!$A795&gt;=Imóveis!$Q$5,Dados!$A795&lt;=Imóveis!$T$5),Imóveis!$S$5-(DATEDIF(Imóveis!$Q$5,Dados!$A795,"m")),0))=0,0,((Imóveis!$N$5/Imóveis!$S$5)+((Imóveis!$N$5-((Imóveis!$S$5-(IF(AND(Dados!$A795 &gt;=Imóveis!$Q$5,Dados!$A795&lt;=Imóveis!$T$5),Imóveis!$S$5-(DATEDIF(Imóveis!$Q$5,Dados!$A795,"m")),)))*(Imóveis!$N$5/Imóveis!$S$5)))*Imóveis!$P$5))))*IF(AND(Imóveis!$E$5&gt;0,Dados!$A795&gt;Imóveis!$E$5),0,1)*Imóveis!$I$5</f>
        <v>0</v>
      </c>
      <c r="M795" s="18">
        <f>IF(Imóveis!$F$6="PRICE",IF(AND(Dados!$A795&gt;=Imóveis!$Q$6,Dados!$A795&lt;=Imóveis!$T$6),Imóveis!$U$6,0),IF((IF(AND(Dados!$A795&gt;=Imóveis!$Q$6,Dados!$A795&lt;=Imóveis!$T$6),Imóveis!$S$6-(DATEDIF(Imóveis!$Q$6,Dados!$A795,"m")),0))=0,0,((Imóveis!$N$6/Imóveis!$S$6)+((Imóveis!$N$6-((Imóveis!$S$6-(IF(AND(Dados!$A795&gt;=Imóveis!$Q$6,Dados!$A795&lt;=Imóveis!$T$6),Imóveis!$S$6-(DATEDIF(Imóveis!$Q$6,Dados!$A795,"m")),)))*(Imóveis!$N$6/Imóveis!$S$6)))*Imóveis!$P$6))))*IF(AND(Imóveis!$E$6&gt;0,Dados!$A795&gt;Imóveis!$E$6),0,1)*Imóveis!$I$6</f>
        <v>0</v>
      </c>
      <c r="N795" s="18">
        <f t="shared" si="101"/>
        <v>38200</v>
      </c>
      <c r="O795" s="18">
        <f>SUMIFS(Receitas!$F:$F,Receitas!$J:$J,"&lt;="&amp;$A795,Receitas!$L:$L,"&gt;="&amp;$A795,Receitas!$C:$C,O$1,Receitas!$M:$M,"Mensal")+SUMIFS(Receitas!$F:$F,Receitas!$J:$J,"&lt;="&amp;$A795,Receitas!$L:$L,"&gt;="&amp;$A795,Receitas!$C:$C,O$1,Receitas!$M:$M,$B795)</f>
        <v>0</v>
      </c>
      <c r="P795" s="18">
        <f>SUMIFS(Receitas!$F:$F,Receitas!$J:$J,"&lt;="&amp;$A795,Receitas!$L:$L,"&gt;="&amp;$A795,Receitas!$C:$C,P$1,Receitas!$M:$M,"Mensal")+SUMIFS(Receitas!$F:$F,Receitas!$J:$J,"&lt;="&amp;$A795,Receitas!$L:$L,"&gt;="&amp;$A795,Receitas!$C:$C,P$1,Receitas!$M:$M,$B795)</f>
        <v>0</v>
      </c>
      <c r="Q795" s="18">
        <f>SUMIFS(Receitas!$F:$F,Receitas!$J:$J,"&lt;="&amp;$A795,Receitas!$L:$L,"&gt;="&amp;$A795,Receitas!$C:$C,Q$1,Receitas!$M:$M,"Mensal")+SUMIFS(Receitas!$F:$F,Receitas!$J:$J,"&lt;="&amp;$A795,Receitas!$L:$L,"&gt;="&amp;$A795,Receitas!$C:$C,Q$1,Receitas!$M:$M,$B795)</f>
        <v>0</v>
      </c>
      <c r="R795" s="18" cm="1">
        <f t="array" ref="R795">(IF(AND(Membros!$F$2="Sim",A795&lt;=MAX(Membros!$E$2:$E$5)),Membros!K$2,IF(AND(A795&gt;=Membros!J$2,A795&lt;=MAX(Membros!$E$2:$E$5)),Membros!K$2,0))+IF(AND(Membros!$F$3="Sim",A795&lt;=MAX(Membros!$E$2:$E$5)),Membros!K$3,IF(AND(A795&gt;=Membros!J$3,A795&lt;=MAX(Membros!$E$2:$E$5)),Membros!K$3,0)))*IF(AND(COUNTIFS(Tabela3[Tipo],"Provedor",Tabela3[Simulação Seguro],"Sim")=2,A795&gt;=MAX(IF(Tabela3[Tipo]="Dependente",Tabela3[Expectativa de Vida (Data)]))),0,1)</f>
        <v>10000</v>
      </c>
      <c r="S795" s="18">
        <f t="shared" si="102"/>
        <v>10000</v>
      </c>
      <c r="U795" s="18">
        <f t="shared" ca="1" si="105"/>
        <v>65093692.202359192</v>
      </c>
      <c r="V795" s="18">
        <f>SUMIF(Imóveis!E:E,Dados!A:A,Imóveis!Z:Z)-SUMIF(Imóveis!E:E,Dados!A:A,Imóveis!Y:Y)</f>
        <v>0</v>
      </c>
      <c r="W795" s="18">
        <f>-SUMIF(Projetos!N:N,A795,Projetos!F:F)</f>
        <v>0</v>
      </c>
      <c r="X795" s="18">
        <f t="shared" si="99"/>
        <v>-28200</v>
      </c>
      <c r="Y795" s="26">
        <f ca="1">(U795*((Indicadores_Economicos!D$2+1)^(1/12)-1))</f>
        <v>213099.80973307457</v>
      </c>
      <c r="Z795" s="18">
        <f t="shared" ca="1" si="103"/>
        <v>65278592.01209227</v>
      </c>
      <c r="AA795" s="18">
        <f ca="1">Auxiliar_Projetos!E795</f>
        <v>5.2217426029559169E-9</v>
      </c>
      <c r="AB795" s="18">
        <f ca="1">Auxiliar_Projetos!K795</f>
        <v>4.0167250791968515E-9</v>
      </c>
      <c r="AC795" s="18">
        <f ca="1">IF(Z795-AA795-AB795&gt;Investimentos!$C$14,Investimentos!$C$14,IF(Z795-AA795-AB795&lt;Investimentos!$C$14,Z795-AA795-AB795,0))</f>
        <v>300000</v>
      </c>
      <c r="AD795" s="18">
        <f t="shared" ca="1" si="104"/>
        <v>64978592.012092255</v>
      </c>
      <c r="AE795" s="18"/>
    </row>
    <row r="796" spans="1:31" x14ac:dyDescent="0.2">
      <c r="A796" s="4">
        <v>69823</v>
      </c>
      <c r="B796" s="5" t="str">
        <f t="shared" si="100"/>
        <v>março</v>
      </c>
      <c r="C796" s="5" t="str">
        <f t="shared" si="106"/>
        <v>2091</v>
      </c>
      <c r="D796" s="5">
        <f>SUMIFS(Despesas!$F:$F,Despesas!$J:$J,"&lt;="&amp;$A796,Despesas!$L:$L,"&gt;="&amp;$A796,Despesas!$C:$C,D$1,Despesas!$M:$M,"Mensal")+SUMIFS(Despesas!$F:$F,Despesas!$J:$J,"&lt;="&amp;$A796,Despesas!$L:$L,"&gt;="&amp;$A796,Despesas!$C:$C,D$1,Despesas!$M:$M,$B796)</f>
        <v>23000</v>
      </c>
      <c r="E796" s="18">
        <f>SUMIFS(Despesas!$F:$F,Despesas!$J:$J,"&lt;="&amp;$A796,Despesas!$L:$L,"&gt;="&amp;$A796,Despesas!$C:$C,E$1,Despesas!$M:$M,"Mensal")+SUMIFS(Despesas!$F:$F,Despesas!$J:$J,"&lt;="&amp;$A796,Despesas!$L:$L,"&gt;="&amp;$A796,Despesas!$C:$C,E$1,Despesas!$M:$M,$B796)</f>
        <v>0</v>
      </c>
      <c r="F796" s="5">
        <f>SUMIFS(Despesas!$F:$F,Despesas!$J:$J,"&lt;="&amp;$A796,Despesas!$L:$L,"&gt;="&amp;$A796,Despesas!$C:$C,F$1,Despesas!$M:$M,"Mensal")+SUMIFS(Despesas!$F:$F,Despesas!$J:$J,"&lt;="&amp;$A796,Despesas!$L:$L,"&gt;="&amp;$A796,Despesas!$C:$C,F$1,Despesas!$M:$M,$B796)</f>
        <v>13000</v>
      </c>
      <c r="G796" s="5">
        <f>SUMIFS(Despesas!$F:$F,Despesas!$J:$J,"&lt;="&amp;$A796,Despesas!$L:$L,"&gt;="&amp;$A796,Despesas!$C:$C,G$1,Despesas!$M:$M,"Mensal")+SUMIFS(Despesas!$F:$F,Despesas!$J:$J,"&lt;="&amp;$A796,Despesas!$L:$L,"&gt;="&amp;$A796,Despesas!$C:$C,G$1,Despesas!$M:$M,$B796)</f>
        <v>0</v>
      </c>
      <c r="H796" s="18">
        <f>SUMIFS(Despesas!$F:$F,Despesas!$J:$J,"&lt;="&amp;$A796,Despesas!$L:$L,"&gt;="&amp;$A796,Despesas!$C:$C,H$1,Despesas!$M:$M,"Mensal")+SUMIFS(Despesas!$F:$F,Despesas!$J:$J,"&lt;="&amp;$A796,Despesas!$L:$L,"&gt;="&amp;$A796,Despesas!$C:$C,H$1,Despesas!$M:$M,$B796)</f>
        <v>1000</v>
      </c>
      <c r="I796" s="18">
        <f>IF(Imóveis!$F$2="PRICE",IF(AND(Dados!$A796&gt;=Imóveis!$Q$2,Dados!$A796&lt;=Imóveis!$T$2),Imóveis!$U$2,0),IF((IF(AND(Dados!$A796&gt;=Imóveis!$Q$2,Dados!$A796&lt;=Imóveis!$T$2),Imóveis!$S$2-(DATEDIF(Imóveis!$Q$2,Dados!$A796,"m")),0))=0,0,((Imóveis!$N$2/Imóveis!$S$2)+((Imóveis!$N$2-((Imóveis!$S$2-(IF(AND(Dados!$A796&gt;=Imóveis!$Q$2,Dados!$A796&lt;=Imóveis!$T$2),Imóveis!$S$2-(DATEDIF(Imóveis!$Q$2,Dados!$A796,"m")),)))*(Imóveis!$N$2/Imóveis!$S$2)))*Imóveis!$P$2))))*IF(AND(Imóveis!$E$2&gt;0,Dados!$A796&gt;Imóveis!$E$2),0,1)</f>
        <v>0</v>
      </c>
      <c r="J796" s="18">
        <f>IF(Imóveis!$F$3="PRICE",IF(AND(Dados!$A796&gt;=Imóveis!$Q$3,Dados!$A796&lt;=Imóveis!$T$3),Imóveis!$U$3,0),IF((IF(AND(Dados!$A796&gt;=Imóveis!$Q$3,Dados!$A796&lt;=Imóveis!$T$3),Imóveis!$S$3-(DATEDIF(Imóveis!$Q$3,Dados!$A796,"m")),0))=0,0,((Imóveis!$N$3/Imóveis!$S$3)+((Imóveis!$N$3-((Imóveis!$S$3-(IF(AND(Dados!$A796&gt;=Imóveis!$Q$3,Dados!$A796&lt;=Imóveis!$T$3),Imóveis!$S$3-(DATEDIF(Imóveis!$Q$3,Dados!$A796,"m")),)))*(Imóveis!$N$3/Imóveis!$S$3)))*Imóveis!$P$3))))*IF(AND(Imóveis!$E$3&gt;0,Dados!$A796&gt;Imóveis!$E$3),0,1)</f>
        <v>0</v>
      </c>
      <c r="K796" s="18">
        <f>IF(Imóveis!$F$4="PRICE",IF(AND(Dados!$A796&gt;=Imóveis!$Q$4,Dados!$A796&lt;=Imóveis!$T$4),Imóveis!$U$4,0),IF((IF(AND(Dados!$A796&gt;=Imóveis!$Q$4,Dados!$A796&lt;=Imóveis!$T$4),Imóveis!$S$4-(DATEDIF(Imóveis!$Q$4,Dados!$A796,"m")),0))=0,0,((Imóveis!$N$4/Imóveis!$S$4)+((Imóveis!$N$4-((Imóveis!$S$4-(IF(AND(Dados!$A796&gt;=Imóveis!$Q$4,Dados!$A796&lt;=Imóveis!$T$4),Imóveis!$S$4-(DATEDIF(Imóveis!$Q$4,Dados!$A796,"m")),)))*(Imóveis!$N$4/Imóveis!$S$4)))*Imóveis!$P$4))))*IF(AND(Imóveis!$E$4&gt;0,Dados!$A796&gt;Imóveis!$E$4),0,1)</f>
        <v>0</v>
      </c>
      <c r="L796" s="18">
        <f>IF(Imóveis!$F$5="PRICE",IF(AND(Dados!$A796&gt;=Imóveis!$Q$5,Dados!$A796&lt;=Imóveis!$T$5),Imóveis!$U$5,0),IF((IF(AND(Dados!$A796&gt;=Imóveis!$Q$5,Dados!$A796&lt;=Imóveis!$T$5),Imóveis!$S$5-(DATEDIF(Imóveis!$Q$5,Dados!$A796,"m")),0))=0,0,((Imóveis!$N$5/Imóveis!$S$5)+((Imóveis!$N$5-((Imóveis!$S$5-(IF(AND(Dados!$A796 &gt;=Imóveis!$Q$5,Dados!$A796&lt;=Imóveis!$T$5),Imóveis!$S$5-(DATEDIF(Imóveis!$Q$5,Dados!$A796,"m")),)))*(Imóveis!$N$5/Imóveis!$S$5)))*Imóveis!$P$5))))*IF(AND(Imóveis!$E$5&gt;0,Dados!$A796&gt;Imóveis!$E$5),0,1)*Imóveis!$I$5</f>
        <v>0</v>
      </c>
      <c r="M796" s="18">
        <f>IF(Imóveis!$F$6="PRICE",IF(AND(Dados!$A796&gt;=Imóveis!$Q$6,Dados!$A796&lt;=Imóveis!$T$6),Imóveis!$U$6,0),IF((IF(AND(Dados!$A796&gt;=Imóveis!$Q$6,Dados!$A796&lt;=Imóveis!$T$6),Imóveis!$S$6-(DATEDIF(Imóveis!$Q$6,Dados!$A796,"m")),0))=0,0,((Imóveis!$N$6/Imóveis!$S$6)+((Imóveis!$N$6-((Imóveis!$S$6-(IF(AND(Dados!$A796&gt;=Imóveis!$Q$6,Dados!$A796&lt;=Imóveis!$T$6),Imóveis!$S$6-(DATEDIF(Imóveis!$Q$6,Dados!$A796,"m")),)))*(Imóveis!$N$6/Imóveis!$S$6)))*Imóveis!$P$6))))*IF(AND(Imóveis!$E$6&gt;0,Dados!$A796&gt;Imóveis!$E$6),0,1)*Imóveis!$I$6</f>
        <v>0</v>
      </c>
      <c r="N796" s="18">
        <f t="shared" si="101"/>
        <v>37000</v>
      </c>
      <c r="O796" s="18">
        <f>SUMIFS(Receitas!$F:$F,Receitas!$J:$J,"&lt;="&amp;$A796,Receitas!$L:$L,"&gt;="&amp;$A796,Receitas!$C:$C,O$1,Receitas!$M:$M,"Mensal")+SUMIFS(Receitas!$F:$F,Receitas!$J:$J,"&lt;="&amp;$A796,Receitas!$L:$L,"&gt;="&amp;$A796,Receitas!$C:$C,O$1,Receitas!$M:$M,$B796)</f>
        <v>0</v>
      </c>
      <c r="P796" s="18">
        <f>SUMIFS(Receitas!$F:$F,Receitas!$J:$J,"&lt;="&amp;$A796,Receitas!$L:$L,"&gt;="&amp;$A796,Receitas!$C:$C,P$1,Receitas!$M:$M,"Mensal")+SUMIFS(Receitas!$F:$F,Receitas!$J:$J,"&lt;="&amp;$A796,Receitas!$L:$L,"&gt;="&amp;$A796,Receitas!$C:$C,P$1,Receitas!$M:$M,$B796)</f>
        <v>0</v>
      </c>
      <c r="Q796" s="18">
        <f>SUMIFS(Receitas!$F:$F,Receitas!$J:$J,"&lt;="&amp;$A796,Receitas!$L:$L,"&gt;="&amp;$A796,Receitas!$C:$C,Q$1,Receitas!$M:$M,"Mensal")+SUMIFS(Receitas!$F:$F,Receitas!$J:$J,"&lt;="&amp;$A796,Receitas!$L:$L,"&gt;="&amp;$A796,Receitas!$C:$C,Q$1,Receitas!$M:$M,$B796)</f>
        <v>0</v>
      </c>
      <c r="R796" s="18" cm="1">
        <f t="array" ref="R796">(IF(AND(Membros!$F$2="Sim",A796&lt;=MAX(Membros!$E$2:$E$5)),Membros!K$2,IF(AND(A796&gt;=Membros!J$2,A796&lt;=MAX(Membros!$E$2:$E$5)),Membros!K$2,0))+IF(AND(Membros!$F$3="Sim",A796&lt;=MAX(Membros!$E$2:$E$5)),Membros!K$3,IF(AND(A796&gt;=Membros!J$3,A796&lt;=MAX(Membros!$E$2:$E$5)),Membros!K$3,0)))*IF(AND(COUNTIFS(Tabela3[Tipo],"Provedor",Tabela3[Simulação Seguro],"Sim")=2,A796&gt;=MAX(IF(Tabela3[Tipo]="Dependente",Tabela3[Expectativa de Vida (Data)]))),0,1)</f>
        <v>10000</v>
      </c>
      <c r="S796" s="18">
        <f t="shared" si="102"/>
        <v>10000</v>
      </c>
      <c r="U796" s="18">
        <f t="shared" ca="1" si="105"/>
        <v>65278592.01209227</v>
      </c>
      <c r="V796" s="18">
        <f>SUMIF(Imóveis!E:E,Dados!A:A,Imóveis!Z:Z)-SUMIF(Imóveis!E:E,Dados!A:A,Imóveis!Y:Y)</f>
        <v>0</v>
      </c>
      <c r="W796" s="18">
        <f>-SUMIF(Projetos!N:N,A796,Projetos!F:F)</f>
        <v>0</v>
      </c>
      <c r="X796" s="18">
        <f t="shared" si="99"/>
        <v>-27000</v>
      </c>
      <c r="Y796" s="26">
        <f ca="1">(U796*((Indicadores_Economicos!D$2+1)^(1/12)-1))</f>
        <v>213705.12359591873</v>
      </c>
      <c r="Z796" s="18">
        <f t="shared" ca="1" si="103"/>
        <v>65465297.135688186</v>
      </c>
      <c r="AA796" s="18">
        <f ca="1">Auxiliar_Projetos!E796</f>
        <v>5.2388372294476166E-9</v>
      </c>
      <c r="AB796" s="18">
        <f ca="1">Auxiliar_Projetos!K796</f>
        <v>4.0298747918827742E-9</v>
      </c>
      <c r="AC796" s="18">
        <f ca="1">IF(Z796-AA796-AB796&gt;Investimentos!$C$14,Investimentos!$C$14,IF(Z796-AA796-AB796&lt;Investimentos!$C$14,Z796-AA796-AB796,0))</f>
        <v>300000</v>
      </c>
      <c r="AD796" s="18">
        <f t="shared" ca="1" si="104"/>
        <v>65165297.135688171</v>
      </c>
      <c r="AE796" s="18"/>
    </row>
    <row r="797" spans="1:31" x14ac:dyDescent="0.2">
      <c r="A797" s="4">
        <v>69854</v>
      </c>
      <c r="B797" s="5" t="str">
        <f t="shared" si="100"/>
        <v>abril</v>
      </c>
      <c r="C797" s="5" t="str">
        <f t="shared" si="106"/>
        <v>2091</v>
      </c>
      <c r="D797" s="5">
        <f>SUMIFS(Despesas!$F:$F,Despesas!$J:$J,"&lt;="&amp;$A797,Despesas!$L:$L,"&gt;="&amp;$A797,Despesas!$C:$C,D$1,Despesas!$M:$M,"Mensal")+SUMIFS(Despesas!$F:$F,Despesas!$J:$J,"&lt;="&amp;$A797,Despesas!$L:$L,"&gt;="&amp;$A797,Despesas!$C:$C,D$1,Despesas!$M:$M,$B797)</f>
        <v>23000</v>
      </c>
      <c r="E797" s="18">
        <f>SUMIFS(Despesas!$F:$F,Despesas!$J:$J,"&lt;="&amp;$A797,Despesas!$L:$L,"&gt;="&amp;$A797,Despesas!$C:$C,E$1,Despesas!$M:$M,"Mensal")+SUMIFS(Despesas!$F:$F,Despesas!$J:$J,"&lt;="&amp;$A797,Despesas!$L:$L,"&gt;="&amp;$A797,Despesas!$C:$C,E$1,Despesas!$M:$M,$B797)</f>
        <v>0</v>
      </c>
      <c r="F797" s="5">
        <f>SUMIFS(Despesas!$F:$F,Despesas!$J:$J,"&lt;="&amp;$A797,Despesas!$L:$L,"&gt;="&amp;$A797,Despesas!$C:$C,F$1,Despesas!$M:$M,"Mensal")+SUMIFS(Despesas!$F:$F,Despesas!$J:$J,"&lt;="&amp;$A797,Despesas!$L:$L,"&gt;="&amp;$A797,Despesas!$C:$C,F$1,Despesas!$M:$M,$B797)</f>
        <v>13000</v>
      </c>
      <c r="G797" s="5">
        <f>SUMIFS(Despesas!$F:$F,Despesas!$J:$J,"&lt;="&amp;$A797,Despesas!$L:$L,"&gt;="&amp;$A797,Despesas!$C:$C,G$1,Despesas!$M:$M,"Mensal")+SUMIFS(Despesas!$F:$F,Despesas!$J:$J,"&lt;="&amp;$A797,Despesas!$L:$L,"&gt;="&amp;$A797,Despesas!$C:$C,G$1,Despesas!$M:$M,$B797)</f>
        <v>0</v>
      </c>
      <c r="H797" s="18">
        <f>SUMIFS(Despesas!$F:$F,Despesas!$J:$J,"&lt;="&amp;$A797,Despesas!$L:$L,"&gt;="&amp;$A797,Despesas!$C:$C,H$1,Despesas!$M:$M,"Mensal")+SUMIFS(Despesas!$F:$F,Despesas!$J:$J,"&lt;="&amp;$A797,Despesas!$L:$L,"&gt;="&amp;$A797,Despesas!$C:$C,H$1,Despesas!$M:$M,$B797)</f>
        <v>1000</v>
      </c>
      <c r="I797" s="18">
        <f>IF(Imóveis!$F$2="PRICE",IF(AND(Dados!$A797&gt;=Imóveis!$Q$2,Dados!$A797&lt;=Imóveis!$T$2),Imóveis!$U$2,0),IF((IF(AND(Dados!$A797&gt;=Imóveis!$Q$2,Dados!$A797&lt;=Imóveis!$T$2),Imóveis!$S$2-(DATEDIF(Imóveis!$Q$2,Dados!$A797,"m")),0))=0,0,((Imóveis!$N$2/Imóveis!$S$2)+((Imóveis!$N$2-((Imóveis!$S$2-(IF(AND(Dados!$A797&gt;=Imóveis!$Q$2,Dados!$A797&lt;=Imóveis!$T$2),Imóveis!$S$2-(DATEDIF(Imóveis!$Q$2,Dados!$A797,"m")),)))*(Imóveis!$N$2/Imóveis!$S$2)))*Imóveis!$P$2))))*IF(AND(Imóveis!$E$2&gt;0,Dados!$A797&gt;Imóveis!$E$2),0,1)</f>
        <v>0</v>
      </c>
      <c r="J797" s="18">
        <f>IF(Imóveis!$F$3="PRICE",IF(AND(Dados!$A797&gt;=Imóveis!$Q$3,Dados!$A797&lt;=Imóveis!$T$3),Imóveis!$U$3,0),IF((IF(AND(Dados!$A797&gt;=Imóveis!$Q$3,Dados!$A797&lt;=Imóveis!$T$3),Imóveis!$S$3-(DATEDIF(Imóveis!$Q$3,Dados!$A797,"m")),0))=0,0,((Imóveis!$N$3/Imóveis!$S$3)+((Imóveis!$N$3-((Imóveis!$S$3-(IF(AND(Dados!$A797&gt;=Imóveis!$Q$3,Dados!$A797&lt;=Imóveis!$T$3),Imóveis!$S$3-(DATEDIF(Imóveis!$Q$3,Dados!$A797,"m")),)))*(Imóveis!$N$3/Imóveis!$S$3)))*Imóveis!$P$3))))*IF(AND(Imóveis!$E$3&gt;0,Dados!$A797&gt;Imóveis!$E$3),0,1)</f>
        <v>0</v>
      </c>
      <c r="K797" s="18">
        <f>IF(Imóveis!$F$4="PRICE",IF(AND(Dados!$A797&gt;=Imóveis!$Q$4,Dados!$A797&lt;=Imóveis!$T$4),Imóveis!$U$4,0),IF((IF(AND(Dados!$A797&gt;=Imóveis!$Q$4,Dados!$A797&lt;=Imóveis!$T$4),Imóveis!$S$4-(DATEDIF(Imóveis!$Q$4,Dados!$A797,"m")),0))=0,0,((Imóveis!$N$4/Imóveis!$S$4)+((Imóveis!$N$4-((Imóveis!$S$4-(IF(AND(Dados!$A797&gt;=Imóveis!$Q$4,Dados!$A797&lt;=Imóveis!$T$4),Imóveis!$S$4-(DATEDIF(Imóveis!$Q$4,Dados!$A797,"m")),)))*(Imóveis!$N$4/Imóveis!$S$4)))*Imóveis!$P$4))))*IF(AND(Imóveis!$E$4&gt;0,Dados!$A797&gt;Imóveis!$E$4),0,1)</f>
        <v>0</v>
      </c>
      <c r="L797" s="18">
        <f>IF(Imóveis!$F$5="PRICE",IF(AND(Dados!$A797&gt;=Imóveis!$Q$5,Dados!$A797&lt;=Imóveis!$T$5),Imóveis!$U$5,0),IF((IF(AND(Dados!$A797&gt;=Imóveis!$Q$5,Dados!$A797&lt;=Imóveis!$T$5),Imóveis!$S$5-(DATEDIF(Imóveis!$Q$5,Dados!$A797,"m")),0))=0,0,((Imóveis!$N$5/Imóveis!$S$5)+((Imóveis!$N$5-((Imóveis!$S$5-(IF(AND(Dados!$A797 &gt;=Imóveis!$Q$5,Dados!$A797&lt;=Imóveis!$T$5),Imóveis!$S$5-(DATEDIF(Imóveis!$Q$5,Dados!$A797,"m")),)))*(Imóveis!$N$5/Imóveis!$S$5)))*Imóveis!$P$5))))*IF(AND(Imóveis!$E$5&gt;0,Dados!$A797&gt;Imóveis!$E$5),0,1)*Imóveis!$I$5</f>
        <v>0</v>
      </c>
      <c r="M797" s="18">
        <f>IF(Imóveis!$F$6="PRICE",IF(AND(Dados!$A797&gt;=Imóveis!$Q$6,Dados!$A797&lt;=Imóveis!$T$6),Imóveis!$U$6,0),IF((IF(AND(Dados!$A797&gt;=Imóveis!$Q$6,Dados!$A797&lt;=Imóveis!$T$6),Imóveis!$S$6-(DATEDIF(Imóveis!$Q$6,Dados!$A797,"m")),0))=0,0,((Imóveis!$N$6/Imóveis!$S$6)+((Imóveis!$N$6-((Imóveis!$S$6-(IF(AND(Dados!$A797&gt;=Imóveis!$Q$6,Dados!$A797&lt;=Imóveis!$T$6),Imóveis!$S$6-(DATEDIF(Imóveis!$Q$6,Dados!$A797,"m")),)))*(Imóveis!$N$6/Imóveis!$S$6)))*Imóveis!$P$6))))*IF(AND(Imóveis!$E$6&gt;0,Dados!$A797&gt;Imóveis!$E$6),0,1)*Imóveis!$I$6</f>
        <v>0</v>
      </c>
      <c r="N797" s="18">
        <f t="shared" si="101"/>
        <v>37000</v>
      </c>
      <c r="O797" s="18">
        <f>SUMIFS(Receitas!$F:$F,Receitas!$J:$J,"&lt;="&amp;$A797,Receitas!$L:$L,"&gt;="&amp;$A797,Receitas!$C:$C,O$1,Receitas!$M:$M,"Mensal")+SUMIFS(Receitas!$F:$F,Receitas!$J:$J,"&lt;="&amp;$A797,Receitas!$L:$L,"&gt;="&amp;$A797,Receitas!$C:$C,O$1,Receitas!$M:$M,$B797)</f>
        <v>0</v>
      </c>
      <c r="P797" s="18">
        <f>SUMIFS(Receitas!$F:$F,Receitas!$J:$J,"&lt;="&amp;$A797,Receitas!$L:$L,"&gt;="&amp;$A797,Receitas!$C:$C,P$1,Receitas!$M:$M,"Mensal")+SUMIFS(Receitas!$F:$F,Receitas!$J:$J,"&lt;="&amp;$A797,Receitas!$L:$L,"&gt;="&amp;$A797,Receitas!$C:$C,P$1,Receitas!$M:$M,$B797)</f>
        <v>0</v>
      </c>
      <c r="Q797" s="18">
        <f>SUMIFS(Receitas!$F:$F,Receitas!$J:$J,"&lt;="&amp;$A797,Receitas!$L:$L,"&gt;="&amp;$A797,Receitas!$C:$C,Q$1,Receitas!$M:$M,"Mensal")+SUMIFS(Receitas!$F:$F,Receitas!$J:$J,"&lt;="&amp;$A797,Receitas!$L:$L,"&gt;="&amp;$A797,Receitas!$C:$C,Q$1,Receitas!$M:$M,$B797)</f>
        <v>0</v>
      </c>
      <c r="R797" s="18" cm="1">
        <f t="array" ref="R797">(IF(AND(Membros!$F$2="Sim",A797&lt;=MAX(Membros!$E$2:$E$5)),Membros!K$2,IF(AND(A797&gt;=Membros!J$2,A797&lt;=MAX(Membros!$E$2:$E$5)),Membros!K$2,0))+IF(AND(Membros!$F$3="Sim",A797&lt;=MAX(Membros!$E$2:$E$5)),Membros!K$3,IF(AND(A797&gt;=Membros!J$3,A797&lt;=MAX(Membros!$E$2:$E$5)),Membros!K$3,0)))*IF(AND(COUNTIFS(Tabela3[Tipo],"Provedor",Tabela3[Simulação Seguro],"Sim")=2,A797&gt;=MAX(IF(Tabela3[Tipo]="Dependente",Tabela3[Expectativa de Vida (Data)]))),0,1)</f>
        <v>10000</v>
      </c>
      <c r="S797" s="18">
        <f t="shared" si="102"/>
        <v>10000</v>
      </c>
      <c r="U797" s="18">
        <f t="shared" ca="1" si="105"/>
        <v>65465297.135688186</v>
      </c>
      <c r="V797" s="18">
        <f>SUMIF(Imóveis!E:E,Dados!A:A,Imóveis!Z:Z)-SUMIF(Imóveis!E:E,Dados!A:A,Imóveis!Y:Y)</f>
        <v>0</v>
      </c>
      <c r="W797" s="18">
        <f>-SUMIF(Projetos!N:N,A797,Projetos!F:F)</f>
        <v>0</v>
      </c>
      <c r="X797" s="18">
        <f t="shared" si="99"/>
        <v>-27000</v>
      </c>
      <c r="Y797" s="26">
        <f ca="1">(U797*((Indicadores_Economicos!D$2+1)^(1/12)-1))</f>
        <v>214316.34758657505</v>
      </c>
      <c r="Z797" s="18">
        <f t="shared" ca="1" si="103"/>
        <v>65652613.483274758</v>
      </c>
      <c r="AA797" s="18">
        <f ca="1">Auxiliar_Projetos!E797</f>
        <v>5.255987819298124E-9</v>
      </c>
      <c r="AB797" s="18">
        <f ca="1">Auxiliar_Projetos!K797</f>
        <v>4.0430675533062411E-9</v>
      </c>
      <c r="AC797" s="18">
        <f ca="1">IF(Z797-AA797-AB797&gt;Investimentos!$C$14,Investimentos!$C$14,IF(Z797-AA797-AB797&lt;Investimentos!$C$14,Z797-AA797-AB797,0))</f>
        <v>300000</v>
      </c>
      <c r="AD797" s="18">
        <f t="shared" ca="1" si="104"/>
        <v>65352613.483274743</v>
      </c>
      <c r="AE797" s="18"/>
    </row>
    <row r="798" spans="1:31" x14ac:dyDescent="0.2">
      <c r="A798" s="4">
        <v>69884</v>
      </c>
      <c r="B798" s="5" t="str">
        <f t="shared" si="100"/>
        <v>maio</v>
      </c>
      <c r="C798" s="5" t="str">
        <f t="shared" si="106"/>
        <v>2091</v>
      </c>
      <c r="D798" s="5">
        <f>SUMIFS(Despesas!$F:$F,Despesas!$J:$J,"&lt;="&amp;$A798,Despesas!$L:$L,"&gt;="&amp;$A798,Despesas!$C:$C,D$1,Despesas!$M:$M,"Mensal")+SUMIFS(Despesas!$F:$F,Despesas!$J:$J,"&lt;="&amp;$A798,Despesas!$L:$L,"&gt;="&amp;$A798,Despesas!$C:$C,D$1,Despesas!$M:$M,$B798)</f>
        <v>23000</v>
      </c>
      <c r="E798" s="18">
        <f>SUMIFS(Despesas!$F:$F,Despesas!$J:$J,"&lt;="&amp;$A798,Despesas!$L:$L,"&gt;="&amp;$A798,Despesas!$C:$C,E$1,Despesas!$M:$M,"Mensal")+SUMIFS(Despesas!$F:$F,Despesas!$J:$J,"&lt;="&amp;$A798,Despesas!$L:$L,"&gt;="&amp;$A798,Despesas!$C:$C,E$1,Despesas!$M:$M,$B798)</f>
        <v>0</v>
      </c>
      <c r="F798" s="5">
        <f>SUMIFS(Despesas!$F:$F,Despesas!$J:$J,"&lt;="&amp;$A798,Despesas!$L:$L,"&gt;="&amp;$A798,Despesas!$C:$C,F$1,Despesas!$M:$M,"Mensal")+SUMIFS(Despesas!$F:$F,Despesas!$J:$J,"&lt;="&amp;$A798,Despesas!$L:$L,"&gt;="&amp;$A798,Despesas!$C:$C,F$1,Despesas!$M:$M,$B798)</f>
        <v>13000</v>
      </c>
      <c r="G798" s="5">
        <f>SUMIFS(Despesas!$F:$F,Despesas!$J:$J,"&lt;="&amp;$A798,Despesas!$L:$L,"&gt;="&amp;$A798,Despesas!$C:$C,G$1,Despesas!$M:$M,"Mensal")+SUMIFS(Despesas!$F:$F,Despesas!$J:$J,"&lt;="&amp;$A798,Despesas!$L:$L,"&gt;="&amp;$A798,Despesas!$C:$C,G$1,Despesas!$M:$M,$B798)</f>
        <v>0</v>
      </c>
      <c r="H798" s="18">
        <f>SUMIFS(Despesas!$F:$F,Despesas!$J:$J,"&lt;="&amp;$A798,Despesas!$L:$L,"&gt;="&amp;$A798,Despesas!$C:$C,H$1,Despesas!$M:$M,"Mensal")+SUMIFS(Despesas!$F:$F,Despesas!$J:$J,"&lt;="&amp;$A798,Despesas!$L:$L,"&gt;="&amp;$A798,Despesas!$C:$C,H$1,Despesas!$M:$M,$B798)</f>
        <v>1000</v>
      </c>
      <c r="I798" s="18">
        <f>IF(Imóveis!$F$2="PRICE",IF(AND(Dados!$A798&gt;=Imóveis!$Q$2,Dados!$A798&lt;=Imóveis!$T$2),Imóveis!$U$2,0),IF((IF(AND(Dados!$A798&gt;=Imóveis!$Q$2,Dados!$A798&lt;=Imóveis!$T$2),Imóveis!$S$2-(DATEDIF(Imóveis!$Q$2,Dados!$A798,"m")),0))=0,0,((Imóveis!$N$2/Imóveis!$S$2)+((Imóveis!$N$2-((Imóveis!$S$2-(IF(AND(Dados!$A798&gt;=Imóveis!$Q$2,Dados!$A798&lt;=Imóveis!$T$2),Imóveis!$S$2-(DATEDIF(Imóveis!$Q$2,Dados!$A798,"m")),)))*(Imóveis!$N$2/Imóveis!$S$2)))*Imóveis!$P$2))))*IF(AND(Imóveis!$E$2&gt;0,Dados!$A798&gt;Imóveis!$E$2),0,1)</f>
        <v>0</v>
      </c>
      <c r="J798" s="18">
        <f>IF(Imóveis!$F$3="PRICE",IF(AND(Dados!$A798&gt;=Imóveis!$Q$3,Dados!$A798&lt;=Imóveis!$T$3),Imóveis!$U$3,0),IF((IF(AND(Dados!$A798&gt;=Imóveis!$Q$3,Dados!$A798&lt;=Imóveis!$T$3),Imóveis!$S$3-(DATEDIF(Imóveis!$Q$3,Dados!$A798,"m")),0))=0,0,((Imóveis!$N$3/Imóveis!$S$3)+((Imóveis!$N$3-((Imóveis!$S$3-(IF(AND(Dados!$A798&gt;=Imóveis!$Q$3,Dados!$A798&lt;=Imóveis!$T$3),Imóveis!$S$3-(DATEDIF(Imóveis!$Q$3,Dados!$A798,"m")),)))*(Imóveis!$N$3/Imóveis!$S$3)))*Imóveis!$P$3))))*IF(AND(Imóveis!$E$3&gt;0,Dados!$A798&gt;Imóveis!$E$3),0,1)</f>
        <v>0</v>
      </c>
      <c r="K798" s="18">
        <f>IF(Imóveis!$F$4="PRICE",IF(AND(Dados!$A798&gt;=Imóveis!$Q$4,Dados!$A798&lt;=Imóveis!$T$4),Imóveis!$U$4,0),IF((IF(AND(Dados!$A798&gt;=Imóveis!$Q$4,Dados!$A798&lt;=Imóveis!$T$4),Imóveis!$S$4-(DATEDIF(Imóveis!$Q$4,Dados!$A798,"m")),0))=0,0,((Imóveis!$N$4/Imóveis!$S$4)+((Imóveis!$N$4-((Imóveis!$S$4-(IF(AND(Dados!$A798&gt;=Imóveis!$Q$4,Dados!$A798&lt;=Imóveis!$T$4),Imóveis!$S$4-(DATEDIF(Imóveis!$Q$4,Dados!$A798,"m")),)))*(Imóveis!$N$4/Imóveis!$S$4)))*Imóveis!$P$4))))*IF(AND(Imóveis!$E$4&gt;0,Dados!$A798&gt;Imóveis!$E$4),0,1)</f>
        <v>0</v>
      </c>
      <c r="L798" s="18">
        <f>IF(Imóveis!$F$5="PRICE",IF(AND(Dados!$A798&gt;=Imóveis!$Q$5,Dados!$A798&lt;=Imóveis!$T$5),Imóveis!$U$5,0),IF((IF(AND(Dados!$A798&gt;=Imóveis!$Q$5,Dados!$A798&lt;=Imóveis!$T$5),Imóveis!$S$5-(DATEDIF(Imóveis!$Q$5,Dados!$A798,"m")),0))=0,0,((Imóveis!$N$5/Imóveis!$S$5)+((Imóveis!$N$5-((Imóveis!$S$5-(IF(AND(Dados!$A798 &gt;=Imóveis!$Q$5,Dados!$A798&lt;=Imóveis!$T$5),Imóveis!$S$5-(DATEDIF(Imóveis!$Q$5,Dados!$A798,"m")),)))*(Imóveis!$N$5/Imóveis!$S$5)))*Imóveis!$P$5))))*IF(AND(Imóveis!$E$5&gt;0,Dados!$A798&gt;Imóveis!$E$5),0,1)*Imóveis!$I$5</f>
        <v>0</v>
      </c>
      <c r="M798" s="18">
        <f>IF(Imóveis!$F$6="PRICE",IF(AND(Dados!$A798&gt;=Imóveis!$Q$6,Dados!$A798&lt;=Imóveis!$T$6),Imóveis!$U$6,0),IF((IF(AND(Dados!$A798&gt;=Imóveis!$Q$6,Dados!$A798&lt;=Imóveis!$T$6),Imóveis!$S$6-(DATEDIF(Imóveis!$Q$6,Dados!$A798,"m")),0))=0,0,((Imóveis!$N$6/Imóveis!$S$6)+((Imóveis!$N$6-((Imóveis!$S$6-(IF(AND(Dados!$A798&gt;=Imóveis!$Q$6,Dados!$A798&lt;=Imóveis!$T$6),Imóveis!$S$6-(DATEDIF(Imóveis!$Q$6,Dados!$A798,"m")),)))*(Imóveis!$N$6/Imóveis!$S$6)))*Imóveis!$P$6))))*IF(AND(Imóveis!$E$6&gt;0,Dados!$A798&gt;Imóveis!$E$6),0,1)*Imóveis!$I$6</f>
        <v>0</v>
      </c>
      <c r="N798" s="18">
        <f t="shared" si="101"/>
        <v>37000</v>
      </c>
      <c r="O798" s="18">
        <f>SUMIFS(Receitas!$F:$F,Receitas!$J:$J,"&lt;="&amp;$A798,Receitas!$L:$L,"&gt;="&amp;$A798,Receitas!$C:$C,O$1,Receitas!$M:$M,"Mensal")+SUMIFS(Receitas!$F:$F,Receitas!$J:$J,"&lt;="&amp;$A798,Receitas!$L:$L,"&gt;="&amp;$A798,Receitas!$C:$C,O$1,Receitas!$M:$M,$B798)</f>
        <v>0</v>
      </c>
      <c r="P798" s="18">
        <f>SUMIFS(Receitas!$F:$F,Receitas!$J:$J,"&lt;="&amp;$A798,Receitas!$L:$L,"&gt;="&amp;$A798,Receitas!$C:$C,P$1,Receitas!$M:$M,"Mensal")+SUMIFS(Receitas!$F:$F,Receitas!$J:$J,"&lt;="&amp;$A798,Receitas!$L:$L,"&gt;="&amp;$A798,Receitas!$C:$C,P$1,Receitas!$M:$M,$B798)</f>
        <v>0</v>
      </c>
      <c r="Q798" s="18">
        <f>SUMIFS(Receitas!$F:$F,Receitas!$J:$J,"&lt;="&amp;$A798,Receitas!$L:$L,"&gt;="&amp;$A798,Receitas!$C:$C,Q$1,Receitas!$M:$M,"Mensal")+SUMIFS(Receitas!$F:$F,Receitas!$J:$J,"&lt;="&amp;$A798,Receitas!$L:$L,"&gt;="&amp;$A798,Receitas!$C:$C,Q$1,Receitas!$M:$M,$B798)</f>
        <v>0</v>
      </c>
      <c r="R798" s="18" cm="1">
        <f t="array" ref="R798">(IF(AND(Membros!$F$2="Sim",A798&lt;=MAX(Membros!$E$2:$E$5)),Membros!K$2,IF(AND(A798&gt;=Membros!J$2,A798&lt;=MAX(Membros!$E$2:$E$5)),Membros!K$2,0))+IF(AND(Membros!$F$3="Sim",A798&lt;=MAX(Membros!$E$2:$E$5)),Membros!K$3,IF(AND(A798&gt;=Membros!J$3,A798&lt;=MAX(Membros!$E$2:$E$5)),Membros!K$3,0)))*IF(AND(COUNTIFS(Tabela3[Tipo],"Provedor",Tabela3[Simulação Seguro],"Sim")=2,A798&gt;=MAX(IF(Tabela3[Tipo]="Dependente",Tabela3[Expectativa de Vida (Data)]))),0,1)</f>
        <v>10000</v>
      </c>
      <c r="S798" s="18">
        <f t="shared" si="102"/>
        <v>10000</v>
      </c>
      <c r="U798" s="18">
        <f t="shared" ca="1" si="105"/>
        <v>65652613.483274758</v>
      </c>
      <c r="V798" s="18">
        <f>SUMIF(Imóveis!E:E,Dados!A:A,Imóveis!Z:Z)-SUMIF(Imóveis!E:E,Dados!A:A,Imóveis!Y:Y)</f>
        <v>0</v>
      </c>
      <c r="W798" s="18">
        <f>-SUMIF(Projetos!N:N,A798,Projetos!F:F)</f>
        <v>0</v>
      </c>
      <c r="X798" s="18">
        <f t="shared" si="99"/>
        <v>-27000</v>
      </c>
      <c r="Y798" s="26">
        <f ca="1">(U798*((Indicadores_Economicos!D$2+1)^(1/12)-1))</f>
        <v>214929.57256552542</v>
      </c>
      <c r="Z798" s="18">
        <f t="shared" ca="1" si="103"/>
        <v>65840543.055840284</v>
      </c>
      <c r="AA798" s="18">
        <f ca="1">Auxiliar_Projetos!E798</f>
        <v>5.2731945557169135E-9</v>
      </c>
      <c r="AB798" s="18">
        <f ca="1">Auxiliar_Projetos!K798</f>
        <v>4.0563035043976172E-9</v>
      </c>
      <c r="AC798" s="18">
        <f ca="1">IF(Z798-AA798-AB798&gt;Investimentos!$C$14,Investimentos!$C$14,IF(Z798-AA798-AB798&lt;Investimentos!$C$14,Z798-AA798-AB798,0))</f>
        <v>300000</v>
      </c>
      <c r="AD798" s="18">
        <f t="shared" ca="1" si="104"/>
        <v>65540543.055840269</v>
      </c>
      <c r="AE798" s="18"/>
    </row>
    <row r="799" spans="1:31" x14ac:dyDescent="0.2">
      <c r="A799" s="4">
        <v>69915</v>
      </c>
      <c r="B799" s="5" t="str">
        <f t="shared" si="100"/>
        <v>junho</v>
      </c>
      <c r="C799" s="5" t="str">
        <f t="shared" si="106"/>
        <v>2091</v>
      </c>
      <c r="D799" s="5">
        <f>SUMIFS(Despesas!$F:$F,Despesas!$J:$J,"&lt;="&amp;$A799,Despesas!$L:$L,"&gt;="&amp;$A799,Despesas!$C:$C,D$1,Despesas!$M:$M,"Mensal")+SUMIFS(Despesas!$F:$F,Despesas!$J:$J,"&lt;="&amp;$A799,Despesas!$L:$L,"&gt;="&amp;$A799,Despesas!$C:$C,D$1,Despesas!$M:$M,$B799)</f>
        <v>23000</v>
      </c>
      <c r="E799" s="18">
        <f>SUMIFS(Despesas!$F:$F,Despesas!$J:$J,"&lt;="&amp;$A799,Despesas!$L:$L,"&gt;="&amp;$A799,Despesas!$C:$C,E$1,Despesas!$M:$M,"Mensal")+SUMIFS(Despesas!$F:$F,Despesas!$J:$J,"&lt;="&amp;$A799,Despesas!$L:$L,"&gt;="&amp;$A799,Despesas!$C:$C,E$1,Despesas!$M:$M,$B799)</f>
        <v>0</v>
      </c>
      <c r="F799" s="5">
        <f>SUMIFS(Despesas!$F:$F,Despesas!$J:$J,"&lt;="&amp;$A799,Despesas!$L:$L,"&gt;="&amp;$A799,Despesas!$C:$C,F$1,Despesas!$M:$M,"Mensal")+SUMIFS(Despesas!$F:$F,Despesas!$J:$J,"&lt;="&amp;$A799,Despesas!$L:$L,"&gt;="&amp;$A799,Despesas!$C:$C,F$1,Despesas!$M:$M,$B799)</f>
        <v>13000</v>
      </c>
      <c r="G799" s="5">
        <f>SUMIFS(Despesas!$F:$F,Despesas!$J:$J,"&lt;="&amp;$A799,Despesas!$L:$L,"&gt;="&amp;$A799,Despesas!$C:$C,G$1,Despesas!$M:$M,"Mensal")+SUMIFS(Despesas!$F:$F,Despesas!$J:$J,"&lt;="&amp;$A799,Despesas!$L:$L,"&gt;="&amp;$A799,Despesas!$C:$C,G$1,Despesas!$M:$M,$B799)</f>
        <v>0</v>
      </c>
      <c r="H799" s="18">
        <f>SUMIFS(Despesas!$F:$F,Despesas!$J:$J,"&lt;="&amp;$A799,Despesas!$L:$L,"&gt;="&amp;$A799,Despesas!$C:$C,H$1,Despesas!$M:$M,"Mensal")+SUMIFS(Despesas!$F:$F,Despesas!$J:$J,"&lt;="&amp;$A799,Despesas!$L:$L,"&gt;="&amp;$A799,Despesas!$C:$C,H$1,Despesas!$M:$M,$B799)</f>
        <v>1000</v>
      </c>
      <c r="I799" s="18">
        <f>IF(Imóveis!$F$2="PRICE",IF(AND(Dados!$A799&gt;=Imóveis!$Q$2,Dados!$A799&lt;=Imóveis!$T$2),Imóveis!$U$2,0),IF((IF(AND(Dados!$A799&gt;=Imóveis!$Q$2,Dados!$A799&lt;=Imóveis!$T$2),Imóveis!$S$2-(DATEDIF(Imóveis!$Q$2,Dados!$A799,"m")),0))=0,0,((Imóveis!$N$2/Imóveis!$S$2)+((Imóveis!$N$2-((Imóveis!$S$2-(IF(AND(Dados!$A799&gt;=Imóveis!$Q$2,Dados!$A799&lt;=Imóveis!$T$2),Imóveis!$S$2-(DATEDIF(Imóveis!$Q$2,Dados!$A799,"m")),)))*(Imóveis!$N$2/Imóveis!$S$2)))*Imóveis!$P$2))))*IF(AND(Imóveis!$E$2&gt;0,Dados!$A799&gt;Imóveis!$E$2),0,1)</f>
        <v>0</v>
      </c>
      <c r="J799" s="18">
        <f>IF(Imóveis!$F$3="PRICE",IF(AND(Dados!$A799&gt;=Imóveis!$Q$3,Dados!$A799&lt;=Imóveis!$T$3),Imóveis!$U$3,0),IF((IF(AND(Dados!$A799&gt;=Imóveis!$Q$3,Dados!$A799&lt;=Imóveis!$T$3),Imóveis!$S$3-(DATEDIF(Imóveis!$Q$3,Dados!$A799,"m")),0))=0,0,((Imóveis!$N$3/Imóveis!$S$3)+((Imóveis!$N$3-((Imóveis!$S$3-(IF(AND(Dados!$A799&gt;=Imóveis!$Q$3,Dados!$A799&lt;=Imóveis!$T$3),Imóveis!$S$3-(DATEDIF(Imóveis!$Q$3,Dados!$A799,"m")),)))*(Imóveis!$N$3/Imóveis!$S$3)))*Imóveis!$P$3))))*IF(AND(Imóveis!$E$3&gt;0,Dados!$A799&gt;Imóveis!$E$3),0,1)</f>
        <v>0</v>
      </c>
      <c r="K799" s="18">
        <f>IF(Imóveis!$F$4="PRICE",IF(AND(Dados!$A799&gt;=Imóveis!$Q$4,Dados!$A799&lt;=Imóveis!$T$4),Imóveis!$U$4,0),IF((IF(AND(Dados!$A799&gt;=Imóveis!$Q$4,Dados!$A799&lt;=Imóveis!$T$4),Imóveis!$S$4-(DATEDIF(Imóveis!$Q$4,Dados!$A799,"m")),0))=0,0,((Imóveis!$N$4/Imóveis!$S$4)+((Imóveis!$N$4-((Imóveis!$S$4-(IF(AND(Dados!$A799&gt;=Imóveis!$Q$4,Dados!$A799&lt;=Imóveis!$T$4),Imóveis!$S$4-(DATEDIF(Imóveis!$Q$4,Dados!$A799,"m")),)))*(Imóveis!$N$4/Imóveis!$S$4)))*Imóveis!$P$4))))*IF(AND(Imóveis!$E$4&gt;0,Dados!$A799&gt;Imóveis!$E$4),0,1)</f>
        <v>0</v>
      </c>
      <c r="L799" s="18">
        <f>IF(Imóveis!$F$5="PRICE",IF(AND(Dados!$A799&gt;=Imóveis!$Q$5,Dados!$A799&lt;=Imóveis!$T$5),Imóveis!$U$5,0),IF((IF(AND(Dados!$A799&gt;=Imóveis!$Q$5,Dados!$A799&lt;=Imóveis!$T$5),Imóveis!$S$5-(DATEDIF(Imóveis!$Q$5,Dados!$A799,"m")),0))=0,0,((Imóveis!$N$5/Imóveis!$S$5)+((Imóveis!$N$5-((Imóveis!$S$5-(IF(AND(Dados!$A799 &gt;=Imóveis!$Q$5,Dados!$A799&lt;=Imóveis!$T$5),Imóveis!$S$5-(DATEDIF(Imóveis!$Q$5,Dados!$A799,"m")),)))*(Imóveis!$N$5/Imóveis!$S$5)))*Imóveis!$P$5))))*IF(AND(Imóveis!$E$5&gt;0,Dados!$A799&gt;Imóveis!$E$5),0,1)*Imóveis!$I$5</f>
        <v>0</v>
      </c>
      <c r="M799" s="18">
        <f>IF(Imóveis!$F$6="PRICE",IF(AND(Dados!$A799&gt;=Imóveis!$Q$6,Dados!$A799&lt;=Imóveis!$T$6),Imóveis!$U$6,0),IF((IF(AND(Dados!$A799&gt;=Imóveis!$Q$6,Dados!$A799&lt;=Imóveis!$T$6),Imóveis!$S$6-(DATEDIF(Imóveis!$Q$6,Dados!$A799,"m")),0))=0,0,((Imóveis!$N$6/Imóveis!$S$6)+((Imóveis!$N$6-((Imóveis!$S$6-(IF(AND(Dados!$A799&gt;=Imóveis!$Q$6,Dados!$A799&lt;=Imóveis!$T$6),Imóveis!$S$6-(DATEDIF(Imóveis!$Q$6,Dados!$A799,"m")),)))*(Imóveis!$N$6/Imóveis!$S$6)))*Imóveis!$P$6))))*IF(AND(Imóveis!$E$6&gt;0,Dados!$A799&gt;Imóveis!$E$6),0,1)*Imóveis!$I$6</f>
        <v>0</v>
      </c>
      <c r="N799" s="18">
        <f t="shared" si="101"/>
        <v>37000</v>
      </c>
      <c r="O799" s="18">
        <f>SUMIFS(Receitas!$F:$F,Receitas!$J:$J,"&lt;="&amp;$A799,Receitas!$L:$L,"&gt;="&amp;$A799,Receitas!$C:$C,O$1,Receitas!$M:$M,"Mensal")+SUMIFS(Receitas!$F:$F,Receitas!$J:$J,"&lt;="&amp;$A799,Receitas!$L:$L,"&gt;="&amp;$A799,Receitas!$C:$C,O$1,Receitas!$M:$M,$B799)</f>
        <v>0</v>
      </c>
      <c r="P799" s="18">
        <f>SUMIFS(Receitas!$F:$F,Receitas!$J:$J,"&lt;="&amp;$A799,Receitas!$L:$L,"&gt;="&amp;$A799,Receitas!$C:$C,P$1,Receitas!$M:$M,"Mensal")+SUMIFS(Receitas!$F:$F,Receitas!$J:$J,"&lt;="&amp;$A799,Receitas!$L:$L,"&gt;="&amp;$A799,Receitas!$C:$C,P$1,Receitas!$M:$M,$B799)</f>
        <v>0</v>
      </c>
      <c r="Q799" s="18">
        <f>SUMIFS(Receitas!$F:$F,Receitas!$J:$J,"&lt;="&amp;$A799,Receitas!$L:$L,"&gt;="&amp;$A799,Receitas!$C:$C,Q$1,Receitas!$M:$M,"Mensal")+SUMIFS(Receitas!$F:$F,Receitas!$J:$J,"&lt;="&amp;$A799,Receitas!$L:$L,"&gt;="&amp;$A799,Receitas!$C:$C,Q$1,Receitas!$M:$M,$B799)</f>
        <v>0</v>
      </c>
      <c r="R799" s="18" cm="1">
        <f t="array" ref="R799">(IF(AND(Membros!$F$2="Sim",A799&lt;=MAX(Membros!$E$2:$E$5)),Membros!K$2,IF(AND(A799&gt;=Membros!J$2,A799&lt;=MAX(Membros!$E$2:$E$5)),Membros!K$2,0))+IF(AND(Membros!$F$3="Sim",A799&lt;=MAX(Membros!$E$2:$E$5)),Membros!K$3,IF(AND(A799&gt;=Membros!J$3,A799&lt;=MAX(Membros!$E$2:$E$5)),Membros!K$3,0)))*IF(AND(COUNTIFS(Tabela3[Tipo],"Provedor",Tabela3[Simulação Seguro],"Sim")=2,A799&gt;=MAX(IF(Tabela3[Tipo]="Dependente",Tabela3[Expectativa de Vida (Data)]))),0,1)</f>
        <v>10000</v>
      </c>
      <c r="S799" s="18">
        <f t="shared" si="102"/>
        <v>10000</v>
      </c>
      <c r="U799" s="18">
        <f t="shared" ca="1" si="105"/>
        <v>65840543.055840284</v>
      </c>
      <c r="V799" s="18">
        <f>SUMIF(Imóveis!E:E,Dados!A:A,Imóveis!Z:Z)-SUMIF(Imóveis!E:E,Dados!A:A,Imóveis!Y:Y)</f>
        <v>0</v>
      </c>
      <c r="W799" s="18">
        <f>-SUMIF(Projetos!N:N,A799,Projetos!F:F)</f>
        <v>0</v>
      </c>
      <c r="X799" s="18">
        <f t="shared" si="99"/>
        <v>-27000</v>
      </c>
      <c r="Y799" s="26">
        <f ca="1">(U799*((Indicadores_Economicos!D$2+1)^(1/12)-1))</f>
        <v>215544.80508348483</v>
      </c>
      <c r="Z799" s="18">
        <f t="shared" ca="1" si="103"/>
        <v>66029087.860923767</v>
      </c>
      <c r="AA799" s="18">
        <f ca="1">Auxiliar_Projetos!E799</f>
        <v>5.2904576225132391E-9</v>
      </c>
      <c r="AB799" s="18">
        <f ca="1">Auxiliar_Projetos!K799</f>
        <v>4.0695827865486366E-9</v>
      </c>
      <c r="AC799" s="18">
        <f ca="1">IF(Z799-AA799-AB799&gt;Investimentos!$C$14,Investimentos!$C$14,IF(Z799-AA799-AB799&lt;Investimentos!$C$14,Z799-AA799-AB799,0))</f>
        <v>300000</v>
      </c>
      <c r="AD799" s="18">
        <f t="shared" ca="1" si="104"/>
        <v>65729087.860923752</v>
      </c>
      <c r="AE799" s="18"/>
    </row>
    <row r="800" spans="1:31" x14ac:dyDescent="0.2">
      <c r="A800" s="4">
        <v>69945</v>
      </c>
      <c r="B800" s="5" t="str">
        <f t="shared" si="100"/>
        <v>julho</v>
      </c>
      <c r="C800" s="5" t="str">
        <f t="shared" si="106"/>
        <v>2091</v>
      </c>
      <c r="D800" s="5">
        <f>SUMIFS(Despesas!$F:$F,Despesas!$J:$J,"&lt;="&amp;$A800,Despesas!$L:$L,"&gt;="&amp;$A800,Despesas!$C:$C,D$1,Despesas!$M:$M,"Mensal")+SUMIFS(Despesas!$F:$F,Despesas!$J:$J,"&lt;="&amp;$A800,Despesas!$L:$L,"&gt;="&amp;$A800,Despesas!$C:$C,D$1,Despesas!$M:$M,$B800)</f>
        <v>23000</v>
      </c>
      <c r="E800" s="18">
        <f>SUMIFS(Despesas!$F:$F,Despesas!$J:$J,"&lt;="&amp;$A800,Despesas!$L:$L,"&gt;="&amp;$A800,Despesas!$C:$C,E$1,Despesas!$M:$M,"Mensal")+SUMIFS(Despesas!$F:$F,Despesas!$J:$J,"&lt;="&amp;$A800,Despesas!$L:$L,"&gt;="&amp;$A800,Despesas!$C:$C,E$1,Despesas!$M:$M,$B800)</f>
        <v>0</v>
      </c>
      <c r="F800" s="5">
        <f>SUMIFS(Despesas!$F:$F,Despesas!$J:$J,"&lt;="&amp;$A800,Despesas!$L:$L,"&gt;="&amp;$A800,Despesas!$C:$C,F$1,Despesas!$M:$M,"Mensal")+SUMIFS(Despesas!$F:$F,Despesas!$J:$J,"&lt;="&amp;$A800,Despesas!$L:$L,"&gt;="&amp;$A800,Despesas!$C:$C,F$1,Despesas!$M:$M,$B800)</f>
        <v>13000</v>
      </c>
      <c r="G800" s="5">
        <f ca="1">SUMIFS(Despesas!$F:$F,Despesas!$J:$J,"&lt;="&amp;$A800,Despesas!$L:$L,"&gt;="&amp;$A800,Despesas!$C:$C,G$1,Despesas!$M:$M,"Mensal")+SUMIFS(Despesas!$F:$F,Despesas!$J:$J,"&lt;="&amp;$A800,Despesas!$L:$L,"&gt;="&amp;$A800,Despesas!$C:$C,G$1,Despesas!$M:$M,$B800)</f>
        <v>55757</v>
      </c>
      <c r="H800" s="18">
        <f>SUMIFS(Despesas!$F:$F,Despesas!$J:$J,"&lt;="&amp;$A800,Despesas!$L:$L,"&gt;="&amp;$A800,Despesas!$C:$C,H$1,Despesas!$M:$M,"Mensal")+SUMIFS(Despesas!$F:$F,Despesas!$J:$J,"&lt;="&amp;$A800,Despesas!$L:$L,"&gt;="&amp;$A800,Despesas!$C:$C,H$1,Despesas!$M:$M,$B800)</f>
        <v>1000</v>
      </c>
      <c r="I800" s="18">
        <f>IF(Imóveis!$F$2="PRICE",IF(AND(Dados!$A800&gt;=Imóveis!$Q$2,Dados!$A800&lt;=Imóveis!$T$2),Imóveis!$U$2,0),IF((IF(AND(Dados!$A800&gt;=Imóveis!$Q$2,Dados!$A800&lt;=Imóveis!$T$2),Imóveis!$S$2-(DATEDIF(Imóveis!$Q$2,Dados!$A800,"m")),0))=0,0,((Imóveis!$N$2/Imóveis!$S$2)+((Imóveis!$N$2-((Imóveis!$S$2-(IF(AND(Dados!$A800&gt;=Imóveis!$Q$2,Dados!$A800&lt;=Imóveis!$T$2),Imóveis!$S$2-(DATEDIF(Imóveis!$Q$2,Dados!$A800,"m")),)))*(Imóveis!$N$2/Imóveis!$S$2)))*Imóveis!$P$2))))*IF(AND(Imóveis!$E$2&gt;0,Dados!$A800&gt;Imóveis!$E$2),0,1)</f>
        <v>0</v>
      </c>
      <c r="J800" s="18">
        <f>IF(Imóveis!$F$3="PRICE",IF(AND(Dados!$A800&gt;=Imóveis!$Q$3,Dados!$A800&lt;=Imóveis!$T$3),Imóveis!$U$3,0),IF((IF(AND(Dados!$A800&gt;=Imóveis!$Q$3,Dados!$A800&lt;=Imóveis!$T$3),Imóveis!$S$3-(DATEDIF(Imóveis!$Q$3,Dados!$A800,"m")),0))=0,0,((Imóveis!$N$3/Imóveis!$S$3)+((Imóveis!$N$3-((Imóveis!$S$3-(IF(AND(Dados!$A800&gt;=Imóveis!$Q$3,Dados!$A800&lt;=Imóveis!$T$3),Imóveis!$S$3-(DATEDIF(Imóveis!$Q$3,Dados!$A800,"m")),)))*(Imóveis!$N$3/Imóveis!$S$3)))*Imóveis!$P$3))))*IF(AND(Imóveis!$E$3&gt;0,Dados!$A800&gt;Imóveis!$E$3),0,1)</f>
        <v>0</v>
      </c>
      <c r="K800" s="18">
        <f>IF(Imóveis!$F$4="PRICE",IF(AND(Dados!$A800&gt;=Imóveis!$Q$4,Dados!$A800&lt;=Imóveis!$T$4),Imóveis!$U$4,0),IF((IF(AND(Dados!$A800&gt;=Imóveis!$Q$4,Dados!$A800&lt;=Imóveis!$T$4),Imóveis!$S$4-(DATEDIF(Imóveis!$Q$4,Dados!$A800,"m")),0))=0,0,((Imóveis!$N$4/Imóveis!$S$4)+((Imóveis!$N$4-((Imóveis!$S$4-(IF(AND(Dados!$A800&gt;=Imóveis!$Q$4,Dados!$A800&lt;=Imóveis!$T$4),Imóveis!$S$4-(DATEDIF(Imóveis!$Q$4,Dados!$A800,"m")),)))*(Imóveis!$N$4/Imóveis!$S$4)))*Imóveis!$P$4))))*IF(AND(Imóveis!$E$4&gt;0,Dados!$A800&gt;Imóveis!$E$4),0,1)</f>
        <v>0</v>
      </c>
      <c r="L800" s="18">
        <f>IF(Imóveis!$F$5="PRICE",IF(AND(Dados!$A800&gt;=Imóveis!$Q$5,Dados!$A800&lt;=Imóveis!$T$5),Imóveis!$U$5,0),IF((IF(AND(Dados!$A800&gt;=Imóveis!$Q$5,Dados!$A800&lt;=Imóveis!$T$5),Imóveis!$S$5-(DATEDIF(Imóveis!$Q$5,Dados!$A800,"m")),0))=0,0,((Imóveis!$N$5/Imóveis!$S$5)+((Imóveis!$N$5-((Imóveis!$S$5-(IF(AND(Dados!$A800 &gt;=Imóveis!$Q$5,Dados!$A800&lt;=Imóveis!$T$5),Imóveis!$S$5-(DATEDIF(Imóveis!$Q$5,Dados!$A800,"m")),)))*(Imóveis!$N$5/Imóveis!$S$5)))*Imóveis!$P$5))))*IF(AND(Imóveis!$E$5&gt;0,Dados!$A800&gt;Imóveis!$E$5),0,1)*Imóveis!$I$5</f>
        <v>0</v>
      </c>
      <c r="M800" s="18">
        <f>IF(Imóveis!$F$6="PRICE",IF(AND(Dados!$A800&gt;=Imóveis!$Q$6,Dados!$A800&lt;=Imóveis!$T$6),Imóveis!$U$6,0),IF((IF(AND(Dados!$A800&gt;=Imóveis!$Q$6,Dados!$A800&lt;=Imóveis!$T$6),Imóveis!$S$6-(DATEDIF(Imóveis!$Q$6,Dados!$A800,"m")),0))=0,0,((Imóveis!$N$6/Imóveis!$S$6)+((Imóveis!$N$6-((Imóveis!$S$6-(IF(AND(Dados!$A800&gt;=Imóveis!$Q$6,Dados!$A800&lt;=Imóveis!$T$6),Imóveis!$S$6-(DATEDIF(Imóveis!$Q$6,Dados!$A800,"m")),)))*(Imóveis!$N$6/Imóveis!$S$6)))*Imóveis!$P$6))))*IF(AND(Imóveis!$E$6&gt;0,Dados!$A800&gt;Imóveis!$E$6),0,1)*Imóveis!$I$6</f>
        <v>0</v>
      </c>
      <c r="N800" s="18">
        <f t="shared" ca="1" si="101"/>
        <v>92757</v>
      </c>
      <c r="O800" s="18">
        <f>SUMIFS(Receitas!$F:$F,Receitas!$J:$J,"&lt;="&amp;$A800,Receitas!$L:$L,"&gt;="&amp;$A800,Receitas!$C:$C,O$1,Receitas!$M:$M,"Mensal")+SUMIFS(Receitas!$F:$F,Receitas!$J:$J,"&lt;="&amp;$A800,Receitas!$L:$L,"&gt;="&amp;$A800,Receitas!$C:$C,O$1,Receitas!$M:$M,$B800)</f>
        <v>0</v>
      </c>
      <c r="P800" s="18">
        <f>SUMIFS(Receitas!$F:$F,Receitas!$J:$J,"&lt;="&amp;$A800,Receitas!$L:$L,"&gt;="&amp;$A800,Receitas!$C:$C,P$1,Receitas!$M:$M,"Mensal")+SUMIFS(Receitas!$F:$F,Receitas!$J:$J,"&lt;="&amp;$A800,Receitas!$L:$L,"&gt;="&amp;$A800,Receitas!$C:$C,P$1,Receitas!$M:$M,$B800)</f>
        <v>0</v>
      </c>
      <c r="Q800" s="18">
        <f>SUMIFS(Receitas!$F:$F,Receitas!$J:$J,"&lt;="&amp;$A800,Receitas!$L:$L,"&gt;="&amp;$A800,Receitas!$C:$C,Q$1,Receitas!$M:$M,"Mensal")+SUMIFS(Receitas!$F:$F,Receitas!$J:$J,"&lt;="&amp;$A800,Receitas!$L:$L,"&gt;="&amp;$A800,Receitas!$C:$C,Q$1,Receitas!$M:$M,$B800)</f>
        <v>0</v>
      </c>
      <c r="R800" s="18" cm="1">
        <f t="array" ref="R800">(IF(AND(Membros!$F$2="Sim",A800&lt;=MAX(Membros!$E$2:$E$5)),Membros!K$2,IF(AND(A800&gt;=Membros!J$2,A800&lt;=MAX(Membros!$E$2:$E$5)),Membros!K$2,0))+IF(AND(Membros!$F$3="Sim",A800&lt;=MAX(Membros!$E$2:$E$5)),Membros!K$3,IF(AND(A800&gt;=Membros!J$3,A800&lt;=MAX(Membros!$E$2:$E$5)),Membros!K$3,0)))*IF(AND(COUNTIFS(Tabela3[Tipo],"Provedor",Tabela3[Simulação Seguro],"Sim")=2,A800&gt;=MAX(IF(Tabela3[Tipo]="Dependente",Tabela3[Expectativa de Vida (Data)]))),0,1)</f>
        <v>10000</v>
      </c>
      <c r="S800" s="18">
        <f t="shared" si="102"/>
        <v>10000</v>
      </c>
      <c r="U800" s="18">
        <f t="shared" ca="1" si="105"/>
        <v>66029087.860923767</v>
      </c>
      <c r="V800" s="18">
        <f>SUMIF(Imóveis!E:E,Dados!A:A,Imóveis!Z:Z)-SUMIF(Imóveis!E:E,Dados!A:A,Imóveis!Y:Y)</f>
        <v>0</v>
      </c>
      <c r="W800" s="18">
        <f>-SUMIF(Projetos!N:N,A800,Projetos!F:F)</f>
        <v>0</v>
      </c>
      <c r="X800" s="18">
        <f t="shared" ca="1" si="99"/>
        <v>-82757</v>
      </c>
      <c r="Y800" s="26">
        <f ca="1">(U800*((Indicadores_Economicos!D$2+1)^(1/12)-1))</f>
        <v>216162.05171261355</v>
      </c>
      <c r="Z800" s="18">
        <f t="shared" ca="1" si="103"/>
        <v>66162492.912636384</v>
      </c>
      <c r="AA800" s="18">
        <f ca="1">Auxiliar_Projetos!E800</f>
        <v>5.307777204098098E-9</v>
      </c>
      <c r="AB800" s="18">
        <f ca="1">Auxiliar_Projetos!K800</f>
        <v>4.0829055416139128E-9</v>
      </c>
      <c r="AC800" s="18">
        <f ca="1">IF(Z800-AA800-AB800&gt;Investimentos!$C$14,Investimentos!$C$14,IF(Z800-AA800-AB800&lt;Investimentos!$C$14,Z800-AA800-AB800,0))</f>
        <v>300000</v>
      </c>
      <c r="AD800" s="18">
        <f t="shared" ca="1" si="104"/>
        <v>65862492.912636369</v>
      </c>
      <c r="AE800" s="18"/>
    </row>
    <row r="801" spans="1:31" x14ac:dyDescent="0.2">
      <c r="A801" s="4">
        <v>69976</v>
      </c>
      <c r="B801" s="5" t="str">
        <f t="shared" si="100"/>
        <v>agosto</v>
      </c>
      <c r="C801" s="5" t="str">
        <f t="shared" si="106"/>
        <v>2091</v>
      </c>
      <c r="D801" s="5">
        <f>SUMIFS(Despesas!$F:$F,Despesas!$J:$J,"&lt;="&amp;$A801,Despesas!$L:$L,"&gt;="&amp;$A801,Despesas!$C:$C,D$1,Despesas!$M:$M,"Mensal")+SUMIFS(Despesas!$F:$F,Despesas!$J:$J,"&lt;="&amp;$A801,Despesas!$L:$L,"&gt;="&amp;$A801,Despesas!$C:$C,D$1,Despesas!$M:$M,$B801)</f>
        <v>23000</v>
      </c>
      <c r="E801" s="18">
        <f>SUMIFS(Despesas!$F:$F,Despesas!$J:$J,"&lt;="&amp;$A801,Despesas!$L:$L,"&gt;="&amp;$A801,Despesas!$C:$C,E$1,Despesas!$M:$M,"Mensal")+SUMIFS(Despesas!$F:$F,Despesas!$J:$J,"&lt;="&amp;$A801,Despesas!$L:$L,"&gt;="&amp;$A801,Despesas!$C:$C,E$1,Despesas!$M:$M,$B801)</f>
        <v>0</v>
      </c>
      <c r="F801" s="5">
        <f>SUMIFS(Despesas!$F:$F,Despesas!$J:$J,"&lt;="&amp;$A801,Despesas!$L:$L,"&gt;="&amp;$A801,Despesas!$C:$C,F$1,Despesas!$M:$M,"Mensal")+SUMIFS(Despesas!$F:$F,Despesas!$J:$J,"&lt;="&amp;$A801,Despesas!$L:$L,"&gt;="&amp;$A801,Despesas!$C:$C,F$1,Despesas!$M:$M,$B801)</f>
        <v>13000</v>
      </c>
      <c r="G801" s="5">
        <f>SUMIFS(Despesas!$F:$F,Despesas!$J:$J,"&lt;="&amp;$A801,Despesas!$L:$L,"&gt;="&amp;$A801,Despesas!$C:$C,G$1,Despesas!$M:$M,"Mensal")+SUMIFS(Despesas!$F:$F,Despesas!$J:$J,"&lt;="&amp;$A801,Despesas!$L:$L,"&gt;="&amp;$A801,Despesas!$C:$C,G$1,Despesas!$M:$M,$B801)</f>
        <v>0</v>
      </c>
      <c r="H801" s="18">
        <f>SUMIFS(Despesas!$F:$F,Despesas!$J:$J,"&lt;="&amp;$A801,Despesas!$L:$L,"&gt;="&amp;$A801,Despesas!$C:$C,H$1,Despesas!$M:$M,"Mensal")+SUMIFS(Despesas!$F:$F,Despesas!$J:$J,"&lt;="&amp;$A801,Despesas!$L:$L,"&gt;="&amp;$A801,Despesas!$C:$C,H$1,Despesas!$M:$M,$B801)</f>
        <v>1000</v>
      </c>
      <c r="I801" s="18">
        <f>IF(Imóveis!$F$2="PRICE",IF(AND(Dados!$A801&gt;=Imóveis!$Q$2,Dados!$A801&lt;=Imóveis!$T$2),Imóveis!$U$2,0),IF((IF(AND(Dados!$A801&gt;=Imóveis!$Q$2,Dados!$A801&lt;=Imóveis!$T$2),Imóveis!$S$2-(DATEDIF(Imóveis!$Q$2,Dados!$A801,"m")),0))=0,0,((Imóveis!$N$2/Imóveis!$S$2)+((Imóveis!$N$2-((Imóveis!$S$2-(IF(AND(Dados!$A801&gt;=Imóveis!$Q$2,Dados!$A801&lt;=Imóveis!$T$2),Imóveis!$S$2-(DATEDIF(Imóveis!$Q$2,Dados!$A801,"m")),)))*(Imóveis!$N$2/Imóveis!$S$2)))*Imóveis!$P$2))))*IF(AND(Imóveis!$E$2&gt;0,Dados!$A801&gt;Imóveis!$E$2),0,1)</f>
        <v>0</v>
      </c>
      <c r="J801" s="18">
        <f>IF(Imóveis!$F$3="PRICE",IF(AND(Dados!$A801&gt;=Imóveis!$Q$3,Dados!$A801&lt;=Imóveis!$T$3),Imóveis!$U$3,0),IF((IF(AND(Dados!$A801&gt;=Imóveis!$Q$3,Dados!$A801&lt;=Imóveis!$T$3),Imóveis!$S$3-(DATEDIF(Imóveis!$Q$3,Dados!$A801,"m")),0))=0,0,((Imóveis!$N$3/Imóveis!$S$3)+((Imóveis!$N$3-((Imóveis!$S$3-(IF(AND(Dados!$A801&gt;=Imóveis!$Q$3,Dados!$A801&lt;=Imóveis!$T$3),Imóveis!$S$3-(DATEDIF(Imóveis!$Q$3,Dados!$A801,"m")),)))*(Imóveis!$N$3/Imóveis!$S$3)))*Imóveis!$P$3))))*IF(AND(Imóveis!$E$3&gt;0,Dados!$A801&gt;Imóveis!$E$3),0,1)</f>
        <v>0</v>
      </c>
      <c r="K801" s="18">
        <f>IF(Imóveis!$F$4="PRICE",IF(AND(Dados!$A801&gt;=Imóveis!$Q$4,Dados!$A801&lt;=Imóveis!$T$4),Imóveis!$U$4,0),IF((IF(AND(Dados!$A801&gt;=Imóveis!$Q$4,Dados!$A801&lt;=Imóveis!$T$4),Imóveis!$S$4-(DATEDIF(Imóveis!$Q$4,Dados!$A801,"m")),0))=0,0,((Imóveis!$N$4/Imóveis!$S$4)+((Imóveis!$N$4-((Imóveis!$S$4-(IF(AND(Dados!$A801&gt;=Imóveis!$Q$4,Dados!$A801&lt;=Imóveis!$T$4),Imóveis!$S$4-(DATEDIF(Imóveis!$Q$4,Dados!$A801,"m")),)))*(Imóveis!$N$4/Imóveis!$S$4)))*Imóveis!$P$4))))*IF(AND(Imóveis!$E$4&gt;0,Dados!$A801&gt;Imóveis!$E$4),0,1)</f>
        <v>0</v>
      </c>
      <c r="L801" s="18">
        <f>IF(Imóveis!$F$5="PRICE",IF(AND(Dados!$A801&gt;=Imóveis!$Q$5,Dados!$A801&lt;=Imóveis!$T$5),Imóveis!$U$5,0),IF((IF(AND(Dados!$A801&gt;=Imóveis!$Q$5,Dados!$A801&lt;=Imóveis!$T$5),Imóveis!$S$5-(DATEDIF(Imóveis!$Q$5,Dados!$A801,"m")),0))=0,0,((Imóveis!$N$5/Imóveis!$S$5)+((Imóveis!$N$5-((Imóveis!$S$5-(IF(AND(Dados!$A801 &gt;=Imóveis!$Q$5,Dados!$A801&lt;=Imóveis!$T$5),Imóveis!$S$5-(DATEDIF(Imóveis!$Q$5,Dados!$A801,"m")),)))*(Imóveis!$N$5/Imóveis!$S$5)))*Imóveis!$P$5))))*IF(AND(Imóveis!$E$5&gt;0,Dados!$A801&gt;Imóveis!$E$5),0,1)*Imóveis!$I$5</f>
        <v>0</v>
      </c>
      <c r="M801" s="18">
        <f>IF(Imóveis!$F$6="PRICE",IF(AND(Dados!$A801&gt;=Imóveis!$Q$6,Dados!$A801&lt;=Imóveis!$T$6),Imóveis!$U$6,0),IF((IF(AND(Dados!$A801&gt;=Imóveis!$Q$6,Dados!$A801&lt;=Imóveis!$T$6),Imóveis!$S$6-(DATEDIF(Imóveis!$Q$6,Dados!$A801,"m")),0))=0,0,((Imóveis!$N$6/Imóveis!$S$6)+((Imóveis!$N$6-((Imóveis!$S$6-(IF(AND(Dados!$A801&gt;=Imóveis!$Q$6,Dados!$A801&lt;=Imóveis!$T$6),Imóveis!$S$6-(DATEDIF(Imóveis!$Q$6,Dados!$A801,"m")),)))*(Imóveis!$N$6/Imóveis!$S$6)))*Imóveis!$P$6))))*IF(AND(Imóveis!$E$6&gt;0,Dados!$A801&gt;Imóveis!$E$6),0,1)*Imóveis!$I$6</f>
        <v>0</v>
      </c>
      <c r="N801" s="18">
        <f t="shared" si="101"/>
        <v>37000</v>
      </c>
      <c r="O801" s="18">
        <f>SUMIFS(Receitas!$F:$F,Receitas!$J:$J,"&lt;="&amp;$A801,Receitas!$L:$L,"&gt;="&amp;$A801,Receitas!$C:$C,O$1,Receitas!$M:$M,"Mensal")+SUMIFS(Receitas!$F:$F,Receitas!$J:$J,"&lt;="&amp;$A801,Receitas!$L:$L,"&gt;="&amp;$A801,Receitas!$C:$C,O$1,Receitas!$M:$M,$B801)</f>
        <v>0</v>
      </c>
      <c r="P801" s="18">
        <f>SUMIFS(Receitas!$F:$F,Receitas!$J:$J,"&lt;="&amp;$A801,Receitas!$L:$L,"&gt;="&amp;$A801,Receitas!$C:$C,P$1,Receitas!$M:$M,"Mensal")+SUMIFS(Receitas!$F:$F,Receitas!$J:$J,"&lt;="&amp;$A801,Receitas!$L:$L,"&gt;="&amp;$A801,Receitas!$C:$C,P$1,Receitas!$M:$M,$B801)</f>
        <v>0</v>
      </c>
      <c r="Q801" s="18">
        <f>SUMIFS(Receitas!$F:$F,Receitas!$J:$J,"&lt;="&amp;$A801,Receitas!$L:$L,"&gt;="&amp;$A801,Receitas!$C:$C,Q$1,Receitas!$M:$M,"Mensal")+SUMIFS(Receitas!$F:$F,Receitas!$J:$J,"&lt;="&amp;$A801,Receitas!$L:$L,"&gt;="&amp;$A801,Receitas!$C:$C,Q$1,Receitas!$M:$M,$B801)</f>
        <v>0</v>
      </c>
      <c r="R801" s="18" cm="1">
        <f t="array" ref="R801">(IF(AND(Membros!$F$2="Sim",A801&lt;=MAX(Membros!$E$2:$E$5)),Membros!K$2,IF(AND(A801&gt;=Membros!J$2,A801&lt;=MAX(Membros!$E$2:$E$5)),Membros!K$2,0))+IF(AND(Membros!$F$3="Sim",A801&lt;=MAX(Membros!$E$2:$E$5)),Membros!K$3,IF(AND(A801&gt;=Membros!J$3,A801&lt;=MAX(Membros!$E$2:$E$5)),Membros!K$3,0)))*IF(AND(COUNTIFS(Tabela3[Tipo],"Provedor",Tabela3[Simulação Seguro],"Sim")=2,A801&gt;=MAX(IF(Tabela3[Tipo]="Dependente",Tabela3[Expectativa de Vida (Data)]))),0,1)</f>
        <v>10000</v>
      </c>
      <c r="S801" s="18">
        <f t="shared" si="102"/>
        <v>10000</v>
      </c>
      <c r="U801" s="18">
        <f t="shared" ca="1" si="105"/>
        <v>66162492.912636384</v>
      </c>
      <c r="V801" s="18">
        <f>SUMIF(Imóveis!E:E,Dados!A:A,Imóveis!Z:Z)-SUMIF(Imóveis!E:E,Dados!A:A,Imóveis!Y:Y)</f>
        <v>0</v>
      </c>
      <c r="W801" s="18">
        <f>-SUMIF(Projetos!N:N,A801,Projetos!F:F)</f>
        <v>0</v>
      </c>
      <c r="X801" s="18">
        <f t="shared" si="99"/>
        <v>-27000</v>
      </c>
      <c r="Y801" s="26">
        <f ca="1">(U801*((Indicadores_Economicos!D$2+1)^(1/12)-1))</f>
        <v>216598.78513755146</v>
      </c>
      <c r="Z801" s="18">
        <f t="shared" ca="1" si="103"/>
        <v>66352091.697773933</v>
      </c>
      <c r="AA801" s="18">
        <f ca="1">Auxiliar_Projetos!E801</f>
        <v>5.3251534854862028E-9</v>
      </c>
      <c r="AB801" s="18">
        <f ca="1">Auxiliar_Projetos!K801</f>
        <v>4.0962719119124544E-9</v>
      </c>
      <c r="AC801" s="18">
        <f ca="1">IF(Z801-AA801-AB801&gt;Investimentos!$C$14,Investimentos!$C$14,IF(Z801-AA801-AB801&lt;Investimentos!$C$14,Z801-AA801-AB801,0))</f>
        <v>300000</v>
      </c>
      <c r="AD801" s="18">
        <f t="shared" ca="1" si="104"/>
        <v>66052091.697773919</v>
      </c>
      <c r="AE801" s="18"/>
    </row>
    <row r="802" spans="1:31" x14ac:dyDescent="0.2">
      <c r="A802" s="4">
        <v>70007</v>
      </c>
      <c r="B802" s="5" t="str">
        <f t="shared" si="100"/>
        <v>setembro</v>
      </c>
      <c r="C802" s="5" t="str">
        <f t="shared" si="106"/>
        <v>2091</v>
      </c>
      <c r="D802" s="5">
        <f>SUMIFS(Despesas!$F:$F,Despesas!$J:$J,"&lt;="&amp;$A802,Despesas!$L:$L,"&gt;="&amp;$A802,Despesas!$C:$C,D$1,Despesas!$M:$M,"Mensal")+SUMIFS(Despesas!$F:$F,Despesas!$J:$J,"&lt;="&amp;$A802,Despesas!$L:$L,"&gt;="&amp;$A802,Despesas!$C:$C,D$1,Despesas!$M:$M,$B802)</f>
        <v>23000</v>
      </c>
      <c r="E802" s="18">
        <f>SUMIFS(Despesas!$F:$F,Despesas!$J:$J,"&lt;="&amp;$A802,Despesas!$L:$L,"&gt;="&amp;$A802,Despesas!$C:$C,E$1,Despesas!$M:$M,"Mensal")+SUMIFS(Despesas!$F:$F,Despesas!$J:$J,"&lt;="&amp;$A802,Despesas!$L:$L,"&gt;="&amp;$A802,Despesas!$C:$C,E$1,Despesas!$M:$M,$B802)</f>
        <v>0</v>
      </c>
      <c r="F802" s="5">
        <f>SUMIFS(Despesas!$F:$F,Despesas!$J:$J,"&lt;="&amp;$A802,Despesas!$L:$L,"&gt;="&amp;$A802,Despesas!$C:$C,F$1,Despesas!$M:$M,"Mensal")+SUMIFS(Despesas!$F:$F,Despesas!$J:$J,"&lt;="&amp;$A802,Despesas!$L:$L,"&gt;="&amp;$A802,Despesas!$C:$C,F$1,Despesas!$M:$M,$B802)</f>
        <v>13000</v>
      </c>
      <c r="G802" s="5">
        <f>SUMIFS(Despesas!$F:$F,Despesas!$J:$J,"&lt;="&amp;$A802,Despesas!$L:$L,"&gt;="&amp;$A802,Despesas!$C:$C,G$1,Despesas!$M:$M,"Mensal")+SUMIFS(Despesas!$F:$F,Despesas!$J:$J,"&lt;="&amp;$A802,Despesas!$L:$L,"&gt;="&amp;$A802,Despesas!$C:$C,G$1,Despesas!$M:$M,$B802)</f>
        <v>0</v>
      </c>
      <c r="H802" s="18">
        <f>SUMIFS(Despesas!$F:$F,Despesas!$J:$J,"&lt;="&amp;$A802,Despesas!$L:$L,"&gt;="&amp;$A802,Despesas!$C:$C,H$1,Despesas!$M:$M,"Mensal")+SUMIFS(Despesas!$F:$F,Despesas!$J:$J,"&lt;="&amp;$A802,Despesas!$L:$L,"&gt;="&amp;$A802,Despesas!$C:$C,H$1,Despesas!$M:$M,$B802)</f>
        <v>1000</v>
      </c>
      <c r="I802" s="18">
        <f>IF(Imóveis!$F$2="PRICE",IF(AND(Dados!$A802&gt;=Imóveis!$Q$2,Dados!$A802&lt;=Imóveis!$T$2),Imóveis!$U$2,0),IF((IF(AND(Dados!$A802&gt;=Imóveis!$Q$2,Dados!$A802&lt;=Imóveis!$T$2),Imóveis!$S$2-(DATEDIF(Imóveis!$Q$2,Dados!$A802,"m")),0))=0,0,((Imóveis!$N$2/Imóveis!$S$2)+((Imóveis!$N$2-((Imóveis!$S$2-(IF(AND(Dados!$A802&gt;=Imóveis!$Q$2,Dados!$A802&lt;=Imóveis!$T$2),Imóveis!$S$2-(DATEDIF(Imóveis!$Q$2,Dados!$A802,"m")),)))*(Imóveis!$N$2/Imóveis!$S$2)))*Imóveis!$P$2))))*IF(AND(Imóveis!$E$2&gt;0,Dados!$A802&gt;Imóveis!$E$2),0,1)</f>
        <v>0</v>
      </c>
      <c r="J802" s="18">
        <f>IF(Imóveis!$F$3="PRICE",IF(AND(Dados!$A802&gt;=Imóveis!$Q$3,Dados!$A802&lt;=Imóveis!$T$3),Imóveis!$U$3,0),IF((IF(AND(Dados!$A802&gt;=Imóveis!$Q$3,Dados!$A802&lt;=Imóveis!$T$3),Imóveis!$S$3-(DATEDIF(Imóveis!$Q$3,Dados!$A802,"m")),0))=0,0,((Imóveis!$N$3/Imóveis!$S$3)+((Imóveis!$N$3-((Imóveis!$S$3-(IF(AND(Dados!$A802&gt;=Imóveis!$Q$3,Dados!$A802&lt;=Imóveis!$T$3),Imóveis!$S$3-(DATEDIF(Imóveis!$Q$3,Dados!$A802,"m")),)))*(Imóveis!$N$3/Imóveis!$S$3)))*Imóveis!$P$3))))*IF(AND(Imóveis!$E$3&gt;0,Dados!$A802&gt;Imóveis!$E$3),0,1)</f>
        <v>0</v>
      </c>
      <c r="K802" s="18">
        <f>IF(Imóveis!$F$4="PRICE",IF(AND(Dados!$A802&gt;=Imóveis!$Q$4,Dados!$A802&lt;=Imóveis!$T$4),Imóveis!$U$4,0),IF((IF(AND(Dados!$A802&gt;=Imóveis!$Q$4,Dados!$A802&lt;=Imóveis!$T$4),Imóveis!$S$4-(DATEDIF(Imóveis!$Q$4,Dados!$A802,"m")),0))=0,0,((Imóveis!$N$4/Imóveis!$S$4)+((Imóveis!$N$4-((Imóveis!$S$4-(IF(AND(Dados!$A802&gt;=Imóveis!$Q$4,Dados!$A802&lt;=Imóveis!$T$4),Imóveis!$S$4-(DATEDIF(Imóveis!$Q$4,Dados!$A802,"m")),)))*(Imóveis!$N$4/Imóveis!$S$4)))*Imóveis!$P$4))))*IF(AND(Imóveis!$E$4&gt;0,Dados!$A802&gt;Imóveis!$E$4),0,1)</f>
        <v>0</v>
      </c>
      <c r="L802" s="18">
        <f>IF(Imóveis!$F$5="PRICE",IF(AND(Dados!$A802&gt;=Imóveis!$Q$5,Dados!$A802&lt;=Imóveis!$T$5),Imóveis!$U$5,0),IF((IF(AND(Dados!$A802&gt;=Imóveis!$Q$5,Dados!$A802&lt;=Imóveis!$T$5),Imóveis!$S$5-(DATEDIF(Imóveis!$Q$5,Dados!$A802,"m")),0))=0,0,((Imóveis!$N$5/Imóveis!$S$5)+((Imóveis!$N$5-((Imóveis!$S$5-(IF(AND(Dados!$A802 &gt;=Imóveis!$Q$5,Dados!$A802&lt;=Imóveis!$T$5),Imóveis!$S$5-(DATEDIF(Imóveis!$Q$5,Dados!$A802,"m")),)))*(Imóveis!$N$5/Imóveis!$S$5)))*Imóveis!$P$5))))*IF(AND(Imóveis!$E$5&gt;0,Dados!$A802&gt;Imóveis!$E$5),0,1)*Imóveis!$I$5</f>
        <v>0</v>
      </c>
      <c r="M802" s="18">
        <f>IF(Imóveis!$F$6="PRICE",IF(AND(Dados!$A802&gt;=Imóveis!$Q$6,Dados!$A802&lt;=Imóveis!$T$6),Imóveis!$U$6,0),IF((IF(AND(Dados!$A802&gt;=Imóveis!$Q$6,Dados!$A802&lt;=Imóveis!$T$6),Imóveis!$S$6-(DATEDIF(Imóveis!$Q$6,Dados!$A802,"m")),0))=0,0,((Imóveis!$N$6/Imóveis!$S$6)+((Imóveis!$N$6-((Imóveis!$S$6-(IF(AND(Dados!$A802&gt;=Imóveis!$Q$6,Dados!$A802&lt;=Imóveis!$T$6),Imóveis!$S$6-(DATEDIF(Imóveis!$Q$6,Dados!$A802,"m")),)))*(Imóveis!$N$6/Imóveis!$S$6)))*Imóveis!$P$6))))*IF(AND(Imóveis!$E$6&gt;0,Dados!$A802&gt;Imóveis!$E$6),0,1)*Imóveis!$I$6</f>
        <v>0</v>
      </c>
      <c r="N802" s="18">
        <f t="shared" si="101"/>
        <v>37000</v>
      </c>
      <c r="O802" s="18">
        <f>SUMIFS(Receitas!$F:$F,Receitas!$J:$J,"&lt;="&amp;$A802,Receitas!$L:$L,"&gt;="&amp;$A802,Receitas!$C:$C,O$1,Receitas!$M:$M,"Mensal")+SUMIFS(Receitas!$F:$F,Receitas!$J:$J,"&lt;="&amp;$A802,Receitas!$L:$L,"&gt;="&amp;$A802,Receitas!$C:$C,O$1,Receitas!$M:$M,$B802)</f>
        <v>0</v>
      </c>
      <c r="P802" s="18">
        <f>SUMIFS(Receitas!$F:$F,Receitas!$J:$J,"&lt;="&amp;$A802,Receitas!$L:$L,"&gt;="&amp;$A802,Receitas!$C:$C,P$1,Receitas!$M:$M,"Mensal")+SUMIFS(Receitas!$F:$F,Receitas!$J:$J,"&lt;="&amp;$A802,Receitas!$L:$L,"&gt;="&amp;$A802,Receitas!$C:$C,P$1,Receitas!$M:$M,$B802)</f>
        <v>0</v>
      </c>
      <c r="Q802" s="18">
        <f>SUMIFS(Receitas!$F:$F,Receitas!$J:$J,"&lt;="&amp;$A802,Receitas!$L:$L,"&gt;="&amp;$A802,Receitas!$C:$C,Q$1,Receitas!$M:$M,"Mensal")+SUMIFS(Receitas!$F:$F,Receitas!$J:$J,"&lt;="&amp;$A802,Receitas!$L:$L,"&gt;="&amp;$A802,Receitas!$C:$C,Q$1,Receitas!$M:$M,$B802)</f>
        <v>0</v>
      </c>
      <c r="R802" s="18" cm="1">
        <f t="array" ref="R802">(IF(AND(Membros!$F$2="Sim",A802&lt;=MAX(Membros!$E$2:$E$5)),Membros!K$2,IF(AND(A802&gt;=Membros!J$2,A802&lt;=MAX(Membros!$E$2:$E$5)),Membros!K$2,0))+IF(AND(Membros!$F$3="Sim",A802&lt;=MAX(Membros!$E$2:$E$5)),Membros!K$3,IF(AND(A802&gt;=Membros!J$3,A802&lt;=MAX(Membros!$E$2:$E$5)),Membros!K$3,0)))*IF(AND(COUNTIFS(Tabela3[Tipo],"Provedor",Tabela3[Simulação Seguro],"Sim")=2,A802&gt;=MAX(IF(Tabela3[Tipo]="Dependente",Tabela3[Expectativa de Vida (Data)]))),0,1)</f>
        <v>10000</v>
      </c>
      <c r="S802" s="18">
        <f t="shared" si="102"/>
        <v>10000</v>
      </c>
      <c r="U802" s="18">
        <f t="shared" ca="1" si="105"/>
        <v>66352091.697773933</v>
      </c>
      <c r="V802" s="18">
        <f>SUMIF(Imóveis!E:E,Dados!A:A,Imóveis!Z:Z)-SUMIF(Imóveis!E:E,Dados!A:A,Imóveis!Y:Y)</f>
        <v>0</v>
      </c>
      <c r="W802" s="18">
        <f>-SUMIF(Projetos!N:N,A802,Projetos!F:F)</f>
        <v>0</v>
      </c>
      <c r="X802" s="18">
        <f t="shared" si="99"/>
        <v>-27000</v>
      </c>
      <c r="Y802" s="26">
        <f ca="1">(U802*((Indicadores_Economicos!D$2+1)^(1/12)-1))</f>
        <v>217219.48222311283</v>
      </c>
      <c r="Z802" s="18">
        <f t="shared" ca="1" si="103"/>
        <v>66542311.179997049</v>
      </c>
      <c r="AA802" s="18">
        <f ca="1">Auxiliar_Projetos!E802</f>
        <v>5.3425866522979541E-9</v>
      </c>
      <c r="AB802" s="18">
        <f ca="1">Auxiliar_Projetos!K802</f>
        <v>4.1096820402291859E-9</v>
      </c>
      <c r="AC802" s="18">
        <f ca="1">IF(Z802-AA802-AB802&gt;Investimentos!$C$14,Investimentos!$C$14,IF(Z802-AA802-AB802&lt;Investimentos!$C$14,Z802-AA802-AB802,0))</f>
        <v>300000</v>
      </c>
      <c r="AD802" s="18">
        <f t="shared" ca="1" si="104"/>
        <v>66242311.179997034</v>
      </c>
      <c r="AE802" s="18"/>
    </row>
    <row r="803" spans="1:31" x14ac:dyDescent="0.2">
      <c r="A803" s="4">
        <v>70037</v>
      </c>
      <c r="B803" s="5" t="str">
        <f t="shared" si="100"/>
        <v>outubro</v>
      </c>
      <c r="C803" s="5" t="str">
        <f t="shared" si="106"/>
        <v>2091</v>
      </c>
      <c r="D803" s="5">
        <f>SUMIFS(Despesas!$F:$F,Despesas!$J:$J,"&lt;="&amp;$A803,Despesas!$L:$L,"&gt;="&amp;$A803,Despesas!$C:$C,D$1,Despesas!$M:$M,"Mensal")+SUMIFS(Despesas!$F:$F,Despesas!$J:$J,"&lt;="&amp;$A803,Despesas!$L:$L,"&gt;="&amp;$A803,Despesas!$C:$C,D$1,Despesas!$M:$M,$B803)</f>
        <v>23000</v>
      </c>
      <c r="E803" s="18">
        <f>SUMIFS(Despesas!$F:$F,Despesas!$J:$J,"&lt;="&amp;$A803,Despesas!$L:$L,"&gt;="&amp;$A803,Despesas!$C:$C,E$1,Despesas!$M:$M,"Mensal")+SUMIFS(Despesas!$F:$F,Despesas!$J:$J,"&lt;="&amp;$A803,Despesas!$L:$L,"&gt;="&amp;$A803,Despesas!$C:$C,E$1,Despesas!$M:$M,$B803)</f>
        <v>0</v>
      </c>
      <c r="F803" s="5">
        <f>SUMIFS(Despesas!$F:$F,Despesas!$J:$J,"&lt;="&amp;$A803,Despesas!$L:$L,"&gt;="&amp;$A803,Despesas!$C:$C,F$1,Despesas!$M:$M,"Mensal")+SUMIFS(Despesas!$F:$F,Despesas!$J:$J,"&lt;="&amp;$A803,Despesas!$L:$L,"&gt;="&amp;$A803,Despesas!$C:$C,F$1,Despesas!$M:$M,$B803)</f>
        <v>13000</v>
      </c>
      <c r="G803" s="5">
        <f>SUMIFS(Despesas!$F:$F,Despesas!$J:$J,"&lt;="&amp;$A803,Despesas!$L:$L,"&gt;="&amp;$A803,Despesas!$C:$C,G$1,Despesas!$M:$M,"Mensal")+SUMIFS(Despesas!$F:$F,Despesas!$J:$J,"&lt;="&amp;$A803,Despesas!$L:$L,"&gt;="&amp;$A803,Despesas!$C:$C,G$1,Despesas!$M:$M,$B803)</f>
        <v>0</v>
      </c>
      <c r="H803" s="18">
        <f>SUMIFS(Despesas!$F:$F,Despesas!$J:$J,"&lt;="&amp;$A803,Despesas!$L:$L,"&gt;="&amp;$A803,Despesas!$C:$C,H$1,Despesas!$M:$M,"Mensal")+SUMIFS(Despesas!$F:$F,Despesas!$J:$J,"&lt;="&amp;$A803,Despesas!$L:$L,"&gt;="&amp;$A803,Despesas!$C:$C,H$1,Despesas!$M:$M,$B803)</f>
        <v>1000</v>
      </c>
      <c r="I803" s="18">
        <f>IF(Imóveis!$F$2="PRICE",IF(AND(Dados!$A803&gt;=Imóveis!$Q$2,Dados!$A803&lt;=Imóveis!$T$2),Imóveis!$U$2,0),IF((IF(AND(Dados!$A803&gt;=Imóveis!$Q$2,Dados!$A803&lt;=Imóveis!$T$2),Imóveis!$S$2-(DATEDIF(Imóveis!$Q$2,Dados!$A803,"m")),0))=0,0,((Imóveis!$N$2/Imóveis!$S$2)+((Imóveis!$N$2-((Imóveis!$S$2-(IF(AND(Dados!$A803&gt;=Imóveis!$Q$2,Dados!$A803&lt;=Imóveis!$T$2),Imóveis!$S$2-(DATEDIF(Imóveis!$Q$2,Dados!$A803,"m")),)))*(Imóveis!$N$2/Imóveis!$S$2)))*Imóveis!$P$2))))*IF(AND(Imóveis!$E$2&gt;0,Dados!$A803&gt;Imóveis!$E$2),0,1)</f>
        <v>0</v>
      </c>
      <c r="J803" s="18">
        <f>IF(Imóveis!$F$3="PRICE",IF(AND(Dados!$A803&gt;=Imóveis!$Q$3,Dados!$A803&lt;=Imóveis!$T$3),Imóveis!$U$3,0),IF((IF(AND(Dados!$A803&gt;=Imóveis!$Q$3,Dados!$A803&lt;=Imóveis!$T$3),Imóveis!$S$3-(DATEDIF(Imóveis!$Q$3,Dados!$A803,"m")),0))=0,0,((Imóveis!$N$3/Imóveis!$S$3)+((Imóveis!$N$3-((Imóveis!$S$3-(IF(AND(Dados!$A803&gt;=Imóveis!$Q$3,Dados!$A803&lt;=Imóveis!$T$3),Imóveis!$S$3-(DATEDIF(Imóveis!$Q$3,Dados!$A803,"m")),)))*(Imóveis!$N$3/Imóveis!$S$3)))*Imóveis!$P$3))))*IF(AND(Imóveis!$E$3&gt;0,Dados!$A803&gt;Imóveis!$E$3),0,1)</f>
        <v>0</v>
      </c>
      <c r="K803" s="18">
        <f>IF(Imóveis!$F$4="PRICE",IF(AND(Dados!$A803&gt;=Imóveis!$Q$4,Dados!$A803&lt;=Imóveis!$T$4),Imóveis!$U$4,0),IF((IF(AND(Dados!$A803&gt;=Imóveis!$Q$4,Dados!$A803&lt;=Imóveis!$T$4),Imóveis!$S$4-(DATEDIF(Imóveis!$Q$4,Dados!$A803,"m")),0))=0,0,((Imóveis!$N$4/Imóveis!$S$4)+((Imóveis!$N$4-((Imóveis!$S$4-(IF(AND(Dados!$A803&gt;=Imóveis!$Q$4,Dados!$A803&lt;=Imóveis!$T$4),Imóveis!$S$4-(DATEDIF(Imóveis!$Q$4,Dados!$A803,"m")),)))*(Imóveis!$N$4/Imóveis!$S$4)))*Imóveis!$P$4))))*IF(AND(Imóveis!$E$4&gt;0,Dados!$A803&gt;Imóveis!$E$4),0,1)</f>
        <v>0</v>
      </c>
      <c r="L803" s="18">
        <f>IF(Imóveis!$F$5="PRICE",IF(AND(Dados!$A803&gt;=Imóveis!$Q$5,Dados!$A803&lt;=Imóveis!$T$5),Imóveis!$U$5,0),IF((IF(AND(Dados!$A803&gt;=Imóveis!$Q$5,Dados!$A803&lt;=Imóveis!$T$5),Imóveis!$S$5-(DATEDIF(Imóveis!$Q$5,Dados!$A803,"m")),0))=0,0,((Imóveis!$N$5/Imóveis!$S$5)+((Imóveis!$N$5-((Imóveis!$S$5-(IF(AND(Dados!$A803 &gt;=Imóveis!$Q$5,Dados!$A803&lt;=Imóveis!$T$5),Imóveis!$S$5-(DATEDIF(Imóveis!$Q$5,Dados!$A803,"m")),)))*(Imóveis!$N$5/Imóveis!$S$5)))*Imóveis!$P$5))))*IF(AND(Imóveis!$E$5&gt;0,Dados!$A803&gt;Imóveis!$E$5),0,1)*Imóveis!$I$5</f>
        <v>0</v>
      </c>
      <c r="M803" s="18">
        <f>IF(Imóveis!$F$6="PRICE",IF(AND(Dados!$A803&gt;=Imóveis!$Q$6,Dados!$A803&lt;=Imóveis!$T$6),Imóveis!$U$6,0),IF((IF(AND(Dados!$A803&gt;=Imóveis!$Q$6,Dados!$A803&lt;=Imóveis!$T$6),Imóveis!$S$6-(DATEDIF(Imóveis!$Q$6,Dados!$A803,"m")),0))=0,0,((Imóveis!$N$6/Imóveis!$S$6)+((Imóveis!$N$6-((Imóveis!$S$6-(IF(AND(Dados!$A803&gt;=Imóveis!$Q$6,Dados!$A803&lt;=Imóveis!$T$6),Imóveis!$S$6-(DATEDIF(Imóveis!$Q$6,Dados!$A803,"m")),)))*(Imóveis!$N$6/Imóveis!$S$6)))*Imóveis!$P$6))))*IF(AND(Imóveis!$E$6&gt;0,Dados!$A803&gt;Imóveis!$E$6),0,1)*Imóveis!$I$6</f>
        <v>0</v>
      </c>
      <c r="N803" s="18">
        <f t="shared" si="101"/>
        <v>37000</v>
      </c>
      <c r="O803" s="18">
        <f>SUMIFS(Receitas!$F:$F,Receitas!$J:$J,"&lt;="&amp;$A803,Receitas!$L:$L,"&gt;="&amp;$A803,Receitas!$C:$C,O$1,Receitas!$M:$M,"Mensal")+SUMIFS(Receitas!$F:$F,Receitas!$J:$J,"&lt;="&amp;$A803,Receitas!$L:$L,"&gt;="&amp;$A803,Receitas!$C:$C,O$1,Receitas!$M:$M,$B803)</f>
        <v>0</v>
      </c>
      <c r="P803" s="18">
        <f>SUMIFS(Receitas!$F:$F,Receitas!$J:$J,"&lt;="&amp;$A803,Receitas!$L:$L,"&gt;="&amp;$A803,Receitas!$C:$C,P$1,Receitas!$M:$M,"Mensal")+SUMIFS(Receitas!$F:$F,Receitas!$J:$J,"&lt;="&amp;$A803,Receitas!$L:$L,"&gt;="&amp;$A803,Receitas!$C:$C,P$1,Receitas!$M:$M,$B803)</f>
        <v>0</v>
      </c>
      <c r="Q803" s="18">
        <f>SUMIFS(Receitas!$F:$F,Receitas!$J:$J,"&lt;="&amp;$A803,Receitas!$L:$L,"&gt;="&amp;$A803,Receitas!$C:$C,Q$1,Receitas!$M:$M,"Mensal")+SUMIFS(Receitas!$F:$F,Receitas!$J:$J,"&lt;="&amp;$A803,Receitas!$L:$L,"&gt;="&amp;$A803,Receitas!$C:$C,Q$1,Receitas!$M:$M,$B803)</f>
        <v>0</v>
      </c>
      <c r="R803" s="18" cm="1">
        <f t="array" ref="R803">(IF(AND(Membros!$F$2="Sim",A803&lt;=MAX(Membros!$E$2:$E$5)),Membros!K$2,IF(AND(A803&gt;=Membros!J$2,A803&lt;=MAX(Membros!$E$2:$E$5)),Membros!K$2,0))+IF(AND(Membros!$F$3="Sim",A803&lt;=MAX(Membros!$E$2:$E$5)),Membros!K$3,IF(AND(A803&gt;=Membros!J$3,A803&lt;=MAX(Membros!$E$2:$E$5)),Membros!K$3,0)))*IF(AND(COUNTIFS(Tabela3[Tipo],"Provedor",Tabela3[Simulação Seguro],"Sim")=2,A803&gt;=MAX(IF(Tabela3[Tipo]="Dependente",Tabela3[Expectativa de Vida (Data)]))),0,1)</f>
        <v>10000</v>
      </c>
      <c r="S803" s="18">
        <f t="shared" si="102"/>
        <v>10000</v>
      </c>
      <c r="U803" s="18">
        <f t="shared" ca="1" si="105"/>
        <v>66542311.179997049</v>
      </c>
      <c r="V803" s="18">
        <f>SUMIF(Imóveis!E:E,Dados!A:A,Imóveis!Z:Z)-SUMIF(Imóveis!E:E,Dados!A:A,Imóveis!Y:Y)</f>
        <v>0</v>
      </c>
      <c r="W803" s="18">
        <f>-SUMIF(Projetos!N:N,A803,Projetos!F:F)</f>
        <v>0</v>
      </c>
      <c r="X803" s="18">
        <f t="shared" si="99"/>
        <v>-27000</v>
      </c>
      <c r="Y803" s="26">
        <f ca="1">(U803*((Indicadores_Economicos!D$2+1)^(1/12)-1))</f>
        <v>217842.21130941593</v>
      </c>
      <c r="Z803" s="18">
        <f t="shared" ca="1" si="103"/>
        <v>66733153.391306467</v>
      </c>
      <c r="AA803" s="18">
        <f ca="1">Auxiliar_Projetos!E803</f>
        <v>5.3600768907614267E-9</v>
      </c>
      <c r="AB803" s="18">
        <f ca="1">Auxiliar_Projetos!K803</f>
        <v>4.1231360698164726E-9</v>
      </c>
      <c r="AC803" s="18">
        <f ca="1">IF(Z803-AA803-AB803&gt;Investimentos!$C$14,Investimentos!$C$14,IF(Z803-AA803-AB803&lt;Investimentos!$C$14,Z803-AA803-AB803,0))</f>
        <v>300000</v>
      </c>
      <c r="AD803" s="18">
        <f t="shared" ca="1" si="104"/>
        <v>66433153.391306452</v>
      </c>
      <c r="AE803" s="18"/>
    </row>
    <row r="804" spans="1:31" x14ac:dyDescent="0.2">
      <c r="A804" s="4">
        <v>70068</v>
      </c>
      <c r="B804" s="5" t="str">
        <f t="shared" si="100"/>
        <v>novembro</v>
      </c>
      <c r="C804" s="5" t="str">
        <f t="shared" si="106"/>
        <v>2091</v>
      </c>
      <c r="D804" s="5">
        <f>SUMIFS(Despesas!$F:$F,Despesas!$J:$J,"&lt;="&amp;$A804,Despesas!$L:$L,"&gt;="&amp;$A804,Despesas!$C:$C,D$1,Despesas!$M:$M,"Mensal")+SUMIFS(Despesas!$F:$F,Despesas!$J:$J,"&lt;="&amp;$A804,Despesas!$L:$L,"&gt;="&amp;$A804,Despesas!$C:$C,D$1,Despesas!$M:$M,$B804)</f>
        <v>23000</v>
      </c>
      <c r="E804" s="18">
        <f>SUMIFS(Despesas!$F:$F,Despesas!$J:$J,"&lt;="&amp;$A804,Despesas!$L:$L,"&gt;="&amp;$A804,Despesas!$C:$C,E$1,Despesas!$M:$M,"Mensal")+SUMIFS(Despesas!$F:$F,Despesas!$J:$J,"&lt;="&amp;$A804,Despesas!$L:$L,"&gt;="&amp;$A804,Despesas!$C:$C,E$1,Despesas!$M:$M,$B804)</f>
        <v>0</v>
      </c>
      <c r="F804" s="5">
        <f>SUMIFS(Despesas!$F:$F,Despesas!$J:$J,"&lt;="&amp;$A804,Despesas!$L:$L,"&gt;="&amp;$A804,Despesas!$C:$C,F$1,Despesas!$M:$M,"Mensal")+SUMIFS(Despesas!$F:$F,Despesas!$J:$J,"&lt;="&amp;$A804,Despesas!$L:$L,"&gt;="&amp;$A804,Despesas!$C:$C,F$1,Despesas!$M:$M,$B804)</f>
        <v>13000</v>
      </c>
      <c r="G804" s="5">
        <f>SUMIFS(Despesas!$F:$F,Despesas!$J:$J,"&lt;="&amp;$A804,Despesas!$L:$L,"&gt;="&amp;$A804,Despesas!$C:$C,G$1,Despesas!$M:$M,"Mensal")+SUMIFS(Despesas!$F:$F,Despesas!$J:$J,"&lt;="&amp;$A804,Despesas!$L:$L,"&gt;="&amp;$A804,Despesas!$C:$C,G$1,Despesas!$M:$M,$B804)</f>
        <v>0</v>
      </c>
      <c r="H804" s="18">
        <f>SUMIFS(Despesas!$F:$F,Despesas!$J:$J,"&lt;="&amp;$A804,Despesas!$L:$L,"&gt;="&amp;$A804,Despesas!$C:$C,H$1,Despesas!$M:$M,"Mensal")+SUMIFS(Despesas!$F:$F,Despesas!$J:$J,"&lt;="&amp;$A804,Despesas!$L:$L,"&gt;="&amp;$A804,Despesas!$C:$C,H$1,Despesas!$M:$M,$B804)</f>
        <v>1000</v>
      </c>
      <c r="I804" s="18">
        <f>IF(Imóveis!$F$2="PRICE",IF(AND(Dados!$A804&gt;=Imóveis!$Q$2,Dados!$A804&lt;=Imóveis!$T$2),Imóveis!$U$2,0),IF((IF(AND(Dados!$A804&gt;=Imóveis!$Q$2,Dados!$A804&lt;=Imóveis!$T$2),Imóveis!$S$2-(DATEDIF(Imóveis!$Q$2,Dados!$A804,"m")),0))=0,0,((Imóveis!$N$2/Imóveis!$S$2)+((Imóveis!$N$2-((Imóveis!$S$2-(IF(AND(Dados!$A804&gt;=Imóveis!$Q$2,Dados!$A804&lt;=Imóveis!$T$2),Imóveis!$S$2-(DATEDIF(Imóveis!$Q$2,Dados!$A804,"m")),)))*(Imóveis!$N$2/Imóveis!$S$2)))*Imóveis!$P$2))))*IF(AND(Imóveis!$E$2&gt;0,Dados!$A804&gt;Imóveis!$E$2),0,1)</f>
        <v>0</v>
      </c>
      <c r="J804" s="18">
        <f>IF(Imóveis!$F$3="PRICE",IF(AND(Dados!$A804&gt;=Imóveis!$Q$3,Dados!$A804&lt;=Imóveis!$T$3),Imóveis!$U$3,0),IF((IF(AND(Dados!$A804&gt;=Imóveis!$Q$3,Dados!$A804&lt;=Imóveis!$T$3),Imóveis!$S$3-(DATEDIF(Imóveis!$Q$3,Dados!$A804,"m")),0))=0,0,((Imóveis!$N$3/Imóveis!$S$3)+((Imóveis!$N$3-((Imóveis!$S$3-(IF(AND(Dados!$A804&gt;=Imóveis!$Q$3,Dados!$A804&lt;=Imóveis!$T$3),Imóveis!$S$3-(DATEDIF(Imóveis!$Q$3,Dados!$A804,"m")),)))*(Imóveis!$N$3/Imóveis!$S$3)))*Imóveis!$P$3))))*IF(AND(Imóveis!$E$3&gt;0,Dados!$A804&gt;Imóveis!$E$3),0,1)</f>
        <v>0</v>
      </c>
      <c r="K804" s="18">
        <f>IF(Imóveis!$F$4="PRICE",IF(AND(Dados!$A804&gt;=Imóveis!$Q$4,Dados!$A804&lt;=Imóveis!$T$4),Imóveis!$U$4,0),IF((IF(AND(Dados!$A804&gt;=Imóveis!$Q$4,Dados!$A804&lt;=Imóveis!$T$4),Imóveis!$S$4-(DATEDIF(Imóveis!$Q$4,Dados!$A804,"m")),0))=0,0,((Imóveis!$N$4/Imóveis!$S$4)+((Imóveis!$N$4-((Imóveis!$S$4-(IF(AND(Dados!$A804&gt;=Imóveis!$Q$4,Dados!$A804&lt;=Imóveis!$T$4),Imóveis!$S$4-(DATEDIF(Imóveis!$Q$4,Dados!$A804,"m")),)))*(Imóveis!$N$4/Imóveis!$S$4)))*Imóveis!$P$4))))*IF(AND(Imóveis!$E$4&gt;0,Dados!$A804&gt;Imóveis!$E$4),0,1)</f>
        <v>0</v>
      </c>
      <c r="L804" s="18">
        <f>IF(Imóveis!$F$5="PRICE",IF(AND(Dados!$A804&gt;=Imóveis!$Q$5,Dados!$A804&lt;=Imóveis!$T$5),Imóveis!$U$5,0),IF((IF(AND(Dados!$A804&gt;=Imóveis!$Q$5,Dados!$A804&lt;=Imóveis!$T$5),Imóveis!$S$5-(DATEDIF(Imóveis!$Q$5,Dados!$A804,"m")),0))=0,0,((Imóveis!$N$5/Imóveis!$S$5)+((Imóveis!$N$5-((Imóveis!$S$5-(IF(AND(Dados!$A804 &gt;=Imóveis!$Q$5,Dados!$A804&lt;=Imóveis!$T$5),Imóveis!$S$5-(DATEDIF(Imóveis!$Q$5,Dados!$A804,"m")),)))*(Imóveis!$N$5/Imóveis!$S$5)))*Imóveis!$P$5))))*IF(AND(Imóveis!$E$5&gt;0,Dados!$A804&gt;Imóveis!$E$5),0,1)*Imóveis!$I$5</f>
        <v>0</v>
      </c>
      <c r="M804" s="18">
        <f>IF(Imóveis!$F$6="PRICE",IF(AND(Dados!$A804&gt;=Imóveis!$Q$6,Dados!$A804&lt;=Imóveis!$T$6),Imóveis!$U$6,0),IF((IF(AND(Dados!$A804&gt;=Imóveis!$Q$6,Dados!$A804&lt;=Imóveis!$T$6),Imóveis!$S$6-(DATEDIF(Imóveis!$Q$6,Dados!$A804,"m")),0))=0,0,((Imóveis!$N$6/Imóveis!$S$6)+((Imóveis!$N$6-((Imóveis!$S$6-(IF(AND(Dados!$A804&gt;=Imóveis!$Q$6,Dados!$A804&lt;=Imóveis!$T$6),Imóveis!$S$6-(DATEDIF(Imóveis!$Q$6,Dados!$A804,"m")),)))*(Imóveis!$N$6/Imóveis!$S$6)))*Imóveis!$P$6))))*IF(AND(Imóveis!$E$6&gt;0,Dados!$A804&gt;Imóveis!$E$6),0,1)*Imóveis!$I$6</f>
        <v>0</v>
      </c>
      <c r="N804" s="18">
        <f t="shared" si="101"/>
        <v>37000</v>
      </c>
      <c r="O804" s="18">
        <f>SUMIFS(Receitas!$F:$F,Receitas!$J:$J,"&lt;="&amp;$A804,Receitas!$L:$L,"&gt;="&amp;$A804,Receitas!$C:$C,O$1,Receitas!$M:$M,"Mensal")+SUMIFS(Receitas!$F:$F,Receitas!$J:$J,"&lt;="&amp;$A804,Receitas!$L:$L,"&gt;="&amp;$A804,Receitas!$C:$C,O$1,Receitas!$M:$M,$B804)</f>
        <v>0</v>
      </c>
      <c r="P804" s="18">
        <f>SUMIFS(Receitas!$F:$F,Receitas!$J:$J,"&lt;="&amp;$A804,Receitas!$L:$L,"&gt;="&amp;$A804,Receitas!$C:$C,P$1,Receitas!$M:$M,"Mensal")+SUMIFS(Receitas!$F:$F,Receitas!$J:$J,"&lt;="&amp;$A804,Receitas!$L:$L,"&gt;="&amp;$A804,Receitas!$C:$C,P$1,Receitas!$M:$M,$B804)</f>
        <v>0</v>
      </c>
      <c r="Q804" s="18">
        <f>SUMIFS(Receitas!$F:$F,Receitas!$J:$J,"&lt;="&amp;$A804,Receitas!$L:$L,"&gt;="&amp;$A804,Receitas!$C:$C,Q$1,Receitas!$M:$M,"Mensal")+SUMIFS(Receitas!$F:$F,Receitas!$J:$J,"&lt;="&amp;$A804,Receitas!$L:$L,"&gt;="&amp;$A804,Receitas!$C:$C,Q$1,Receitas!$M:$M,$B804)</f>
        <v>0</v>
      </c>
      <c r="R804" s="18" cm="1">
        <f t="array" ref="R804">(IF(AND(Membros!$F$2="Sim",A804&lt;=MAX(Membros!$E$2:$E$5)),Membros!K$2,IF(AND(A804&gt;=Membros!J$2,A804&lt;=MAX(Membros!$E$2:$E$5)),Membros!K$2,0))+IF(AND(Membros!$F$3="Sim",A804&lt;=MAX(Membros!$E$2:$E$5)),Membros!K$3,IF(AND(A804&gt;=Membros!J$3,A804&lt;=MAX(Membros!$E$2:$E$5)),Membros!K$3,0)))*IF(AND(COUNTIFS(Tabela3[Tipo],"Provedor",Tabela3[Simulação Seguro],"Sim")=2,A804&gt;=MAX(IF(Tabela3[Tipo]="Dependente",Tabela3[Expectativa de Vida (Data)]))),0,1)</f>
        <v>10000</v>
      </c>
      <c r="S804" s="18">
        <f t="shared" si="102"/>
        <v>10000</v>
      </c>
      <c r="U804" s="18">
        <f t="shared" ca="1" si="105"/>
        <v>66733153.391306467</v>
      </c>
      <c r="V804" s="18">
        <f>SUMIF(Imóveis!E:E,Dados!A:A,Imóveis!Z:Z)-SUMIF(Imóveis!E:E,Dados!A:A,Imóveis!Y:Y)</f>
        <v>0</v>
      </c>
      <c r="W804" s="18">
        <f>-SUMIF(Projetos!N:N,A804,Projetos!F:F)</f>
        <v>0</v>
      </c>
      <c r="X804" s="18">
        <f t="shared" si="99"/>
        <v>-27000</v>
      </c>
      <c r="Y804" s="26">
        <f ca="1">(U804*((Indicadores_Economicos!D$2+1)^(1/12)-1))</f>
        <v>218466.9790487024</v>
      </c>
      <c r="Z804" s="18">
        <f t="shared" ca="1" si="103"/>
        <v>66924620.370355166</v>
      </c>
      <c r="AA804" s="18">
        <f ca="1">Auxiliar_Projetos!E804</f>
        <v>5.3776243877143575E-9</v>
      </c>
      <c r="AB804" s="18">
        <f ca="1">Auxiliar_Projetos!K804</f>
        <v>4.1366341443956504E-9</v>
      </c>
      <c r="AC804" s="18">
        <f ca="1">IF(Z804-AA804-AB804&gt;Investimentos!$C$14,Investimentos!$C$14,IF(Z804-AA804-AB804&lt;Investimentos!$C$14,Z804-AA804-AB804,0))</f>
        <v>300000</v>
      </c>
      <c r="AD804" s="18">
        <f t="shared" ca="1" si="104"/>
        <v>66624620.370355152</v>
      </c>
      <c r="AE804" s="18"/>
    </row>
    <row r="805" spans="1:31" x14ac:dyDescent="0.2">
      <c r="A805" s="4">
        <v>70098</v>
      </c>
      <c r="B805" s="5" t="str">
        <f t="shared" si="100"/>
        <v>dezembro</v>
      </c>
      <c r="C805" s="5" t="str">
        <f t="shared" si="106"/>
        <v>2091</v>
      </c>
      <c r="D805" s="5">
        <f>SUMIFS(Despesas!$F:$F,Despesas!$J:$J,"&lt;="&amp;$A805,Despesas!$L:$L,"&gt;="&amp;$A805,Despesas!$C:$C,D$1,Despesas!$M:$M,"Mensal")+SUMIFS(Despesas!$F:$F,Despesas!$J:$J,"&lt;="&amp;$A805,Despesas!$L:$L,"&gt;="&amp;$A805,Despesas!$C:$C,D$1,Despesas!$M:$M,$B805)</f>
        <v>23000</v>
      </c>
      <c r="E805" s="18">
        <f>SUMIFS(Despesas!$F:$F,Despesas!$J:$J,"&lt;="&amp;$A805,Despesas!$L:$L,"&gt;="&amp;$A805,Despesas!$C:$C,E$1,Despesas!$M:$M,"Mensal")+SUMIFS(Despesas!$F:$F,Despesas!$J:$J,"&lt;="&amp;$A805,Despesas!$L:$L,"&gt;="&amp;$A805,Despesas!$C:$C,E$1,Despesas!$M:$M,$B805)</f>
        <v>0</v>
      </c>
      <c r="F805" s="5">
        <f>SUMIFS(Despesas!$F:$F,Despesas!$J:$J,"&lt;="&amp;$A805,Despesas!$L:$L,"&gt;="&amp;$A805,Despesas!$C:$C,F$1,Despesas!$M:$M,"Mensal")+SUMIFS(Despesas!$F:$F,Despesas!$J:$J,"&lt;="&amp;$A805,Despesas!$L:$L,"&gt;="&amp;$A805,Despesas!$C:$C,F$1,Despesas!$M:$M,$B805)</f>
        <v>13000</v>
      </c>
      <c r="G805" s="5">
        <f ca="1">SUMIFS(Despesas!$F:$F,Despesas!$J:$J,"&lt;="&amp;$A805,Despesas!$L:$L,"&gt;="&amp;$A805,Despesas!$C:$C,G$1,Despesas!$M:$M,"Mensal")+SUMIFS(Despesas!$F:$F,Despesas!$J:$J,"&lt;="&amp;$A805,Despesas!$L:$L,"&gt;="&amp;$A805,Despesas!$C:$C,G$1,Despesas!$M:$M,$B805)</f>
        <v>55757</v>
      </c>
      <c r="H805" s="18">
        <f>SUMIFS(Despesas!$F:$F,Despesas!$J:$J,"&lt;="&amp;$A805,Despesas!$L:$L,"&gt;="&amp;$A805,Despesas!$C:$C,H$1,Despesas!$M:$M,"Mensal")+SUMIFS(Despesas!$F:$F,Despesas!$J:$J,"&lt;="&amp;$A805,Despesas!$L:$L,"&gt;="&amp;$A805,Despesas!$C:$C,H$1,Despesas!$M:$M,$B805)</f>
        <v>1000</v>
      </c>
      <c r="I805" s="18">
        <f>IF(Imóveis!$F$2="PRICE",IF(AND(Dados!$A805&gt;=Imóveis!$Q$2,Dados!$A805&lt;=Imóveis!$T$2),Imóveis!$U$2,0),IF((IF(AND(Dados!$A805&gt;=Imóveis!$Q$2,Dados!$A805&lt;=Imóveis!$T$2),Imóveis!$S$2-(DATEDIF(Imóveis!$Q$2,Dados!$A805,"m")),0))=0,0,((Imóveis!$N$2/Imóveis!$S$2)+((Imóveis!$N$2-((Imóveis!$S$2-(IF(AND(Dados!$A805&gt;=Imóveis!$Q$2,Dados!$A805&lt;=Imóveis!$T$2),Imóveis!$S$2-(DATEDIF(Imóveis!$Q$2,Dados!$A805,"m")),)))*(Imóveis!$N$2/Imóveis!$S$2)))*Imóveis!$P$2))))*IF(AND(Imóveis!$E$2&gt;0,Dados!$A805&gt;Imóveis!$E$2),0,1)</f>
        <v>0</v>
      </c>
      <c r="J805" s="18">
        <f>IF(Imóveis!$F$3="PRICE",IF(AND(Dados!$A805&gt;=Imóveis!$Q$3,Dados!$A805&lt;=Imóveis!$T$3),Imóveis!$U$3,0),IF((IF(AND(Dados!$A805&gt;=Imóveis!$Q$3,Dados!$A805&lt;=Imóveis!$T$3),Imóveis!$S$3-(DATEDIF(Imóveis!$Q$3,Dados!$A805,"m")),0))=0,0,((Imóveis!$N$3/Imóveis!$S$3)+((Imóveis!$N$3-((Imóveis!$S$3-(IF(AND(Dados!$A805&gt;=Imóveis!$Q$3,Dados!$A805&lt;=Imóveis!$T$3),Imóveis!$S$3-(DATEDIF(Imóveis!$Q$3,Dados!$A805,"m")),)))*(Imóveis!$N$3/Imóveis!$S$3)))*Imóveis!$P$3))))*IF(AND(Imóveis!$E$3&gt;0,Dados!$A805&gt;Imóveis!$E$3),0,1)</f>
        <v>0</v>
      </c>
      <c r="K805" s="18">
        <f>IF(Imóveis!$F$4="PRICE",IF(AND(Dados!$A805&gt;=Imóveis!$Q$4,Dados!$A805&lt;=Imóveis!$T$4),Imóveis!$U$4,0),IF((IF(AND(Dados!$A805&gt;=Imóveis!$Q$4,Dados!$A805&lt;=Imóveis!$T$4),Imóveis!$S$4-(DATEDIF(Imóveis!$Q$4,Dados!$A805,"m")),0))=0,0,((Imóveis!$N$4/Imóveis!$S$4)+((Imóveis!$N$4-((Imóveis!$S$4-(IF(AND(Dados!$A805&gt;=Imóveis!$Q$4,Dados!$A805&lt;=Imóveis!$T$4),Imóveis!$S$4-(DATEDIF(Imóveis!$Q$4,Dados!$A805,"m")),)))*(Imóveis!$N$4/Imóveis!$S$4)))*Imóveis!$P$4))))*IF(AND(Imóveis!$E$4&gt;0,Dados!$A805&gt;Imóveis!$E$4),0,1)</f>
        <v>0</v>
      </c>
      <c r="L805" s="18">
        <f>IF(Imóveis!$F$5="PRICE",IF(AND(Dados!$A805&gt;=Imóveis!$Q$5,Dados!$A805&lt;=Imóveis!$T$5),Imóveis!$U$5,0),IF((IF(AND(Dados!$A805&gt;=Imóveis!$Q$5,Dados!$A805&lt;=Imóveis!$T$5),Imóveis!$S$5-(DATEDIF(Imóveis!$Q$5,Dados!$A805,"m")),0))=0,0,((Imóveis!$N$5/Imóveis!$S$5)+((Imóveis!$N$5-((Imóveis!$S$5-(IF(AND(Dados!$A805 &gt;=Imóveis!$Q$5,Dados!$A805&lt;=Imóveis!$T$5),Imóveis!$S$5-(DATEDIF(Imóveis!$Q$5,Dados!$A805,"m")),)))*(Imóveis!$N$5/Imóveis!$S$5)))*Imóveis!$P$5))))*IF(AND(Imóveis!$E$5&gt;0,Dados!$A805&gt;Imóveis!$E$5),0,1)*Imóveis!$I$5</f>
        <v>0</v>
      </c>
      <c r="M805" s="18">
        <f>IF(Imóveis!$F$6="PRICE",IF(AND(Dados!$A805&gt;=Imóveis!$Q$6,Dados!$A805&lt;=Imóveis!$T$6),Imóveis!$U$6,0),IF((IF(AND(Dados!$A805&gt;=Imóveis!$Q$6,Dados!$A805&lt;=Imóveis!$T$6),Imóveis!$S$6-(DATEDIF(Imóveis!$Q$6,Dados!$A805,"m")),0))=0,0,((Imóveis!$N$6/Imóveis!$S$6)+((Imóveis!$N$6-((Imóveis!$S$6-(IF(AND(Dados!$A805&gt;=Imóveis!$Q$6,Dados!$A805&lt;=Imóveis!$T$6),Imóveis!$S$6-(DATEDIF(Imóveis!$Q$6,Dados!$A805,"m")),)))*(Imóveis!$N$6/Imóveis!$S$6)))*Imóveis!$P$6))))*IF(AND(Imóveis!$E$6&gt;0,Dados!$A805&gt;Imóveis!$E$6),0,1)*Imóveis!$I$6</f>
        <v>0</v>
      </c>
      <c r="N805" s="18">
        <f t="shared" ca="1" si="101"/>
        <v>92757</v>
      </c>
      <c r="O805" s="18">
        <f>SUMIFS(Receitas!$F:$F,Receitas!$J:$J,"&lt;="&amp;$A805,Receitas!$L:$L,"&gt;="&amp;$A805,Receitas!$C:$C,O$1,Receitas!$M:$M,"Mensal")+SUMIFS(Receitas!$F:$F,Receitas!$J:$J,"&lt;="&amp;$A805,Receitas!$L:$L,"&gt;="&amp;$A805,Receitas!$C:$C,O$1,Receitas!$M:$M,$B805)</f>
        <v>0</v>
      </c>
      <c r="P805" s="18">
        <f>SUMIFS(Receitas!$F:$F,Receitas!$J:$J,"&lt;="&amp;$A805,Receitas!$L:$L,"&gt;="&amp;$A805,Receitas!$C:$C,P$1,Receitas!$M:$M,"Mensal")+SUMIFS(Receitas!$F:$F,Receitas!$J:$J,"&lt;="&amp;$A805,Receitas!$L:$L,"&gt;="&amp;$A805,Receitas!$C:$C,P$1,Receitas!$M:$M,$B805)</f>
        <v>0</v>
      </c>
      <c r="Q805" s="18">
        <f>SUMIFS(Receitas!$F:$F,Receitas!$J:$J,"&lt;="&amp;$A805,Receitas!$L:$L,"&gt;="&amp;$A805,Receitas!$C:$C,Q$1,Receitas!$M:$M,"Mensal")+SUMIFS(Receitas!$F:$F,Receitas!$J:$J,"&lt;="&amp;$A805,Receitas!$L:$L,"&gt;="&amp;$A805,Receitas!$C:$C,Q$1,Receitas!$M:$M,$B805)</f>
        <v>0</v>
      </c>
      <c r="R805" s="18" cm="1">
        <f t="array" ref="R805">(IF(AND(Membros!$F$2="Sim",A805&lt;=MAX(Membros!$E$2:$E$5)),Membros!K$2,IF(AND(A805&gt;=Membros!J$2,A805&lt;=MAX(Membros!$E$2:$E$5)),Membros!K$2,0))+IF(AND(Membros!$F$3="Sim",A805&lt;=MAX(Membros!$E$2:$E$5)),Membros!K$3,IF(AND(A805&gt;=Membros!J$3,A805&lt;=MAX(Membros!$E$2:$E$5)),Membros!K$3,0)))*IF(AND(COUNTIFS(Tabela3[Tipo],"Provedor",Tabela3[Simulação Seguro],"Sim")=2,A805&gt;=MAX(IF(Tabela3[Tipo]="Dependente",Tabela3[Expectativa de Vida (Data)]))),0,1)</f>
        <v>10000</v>
      </c>
      <c r="S805" s="18">
        <f t="shared" si="102"/>
        <v>10000</v>
      </c>
      <c r="U805" s="18">
        <f t="shared" ca="1" si="105"/>
        <v>66924620.370355166</v>
      </c>
      <c r="V805" s="18">
        <f>SUMIF(Imóveis!E:E,Dados!A:A,Imóveis!Z:Z)-SUMIF(Imóveis!E:E,Dados!A:A,Imóveis!Y:Y)</f>
        <v>0</v>
      </c>
      <c r="W805" s="18">
        <f>-SUMIF(Projetos!N:N,A805,Projetos!F:F)</f>
        <v>0</v>
      </c>
      <c r="X805" s="18">
        <f t="shared" ca="1" si="99"/>
        <v>-82757</v>
      </c>
      <c r="Y805" s="26">
        <f ca="1">(U805*((Indicadores_Economicos!D$2+1)^(1/12)-1))</f>
        <v>219093.79211499155</v>
      </c>
      <c r="Z805" s="18">
        <f t="shared" ca="1" si="103"/>
        <v>67060957.162470154</v>
      </c>
      <c r="AA805" s="18">
        <f ca="1">Auxiliar_Projetos!E805</f>
        <v>5.3952293306061409E-9</v>
      </c>
      <c r="AB805" s="18">
        <f ca="1">Auxiliar_Projetos!K805</f>
        <v>4.1501764081585609E-9</v>
      </c>
      <c r="AC805" s="18">
        <f ca="1">IF(Z805-AA805-AB805&gt;Investimentos!$C$14,Investimentos!$C$14,IF(Z805-AA805-AB805&lt;Investimentos!$C$14,Z805-AA805-AB805,0))</f>
        <v>300000</v>
      </c>
      <c r="AD805" s="18">
        <f t="shared" ca="1" si="104"/>
        <v>66760957.16247014</v>
      </c>
      <c r="AE805" s="18"/>
    </row>
    <row r="806" spans="1:31" x14ac:dyDescent="0.2">
      <c r="A806" s="4">
        <v>70129</v>
      </c>
      <c r="B806" s="5" t="str">
        <f t="shared" si="100"/>
        <v>janeiro</v>
      </c>
      <c r="C806" s="5" t="str">
        <f t="shared" si="106"/>
        <v>2092</v>
      </c>
      <c r="D806" s="5">
        <f>SUMIFS(Despesas!$F:$F,Despesas!$J:$J,"&lt;="&amp;$A806,Despesas!$L:$L,"&gt;="&amp;$A806,Despesas!$C:$C,D$1,Despesas!$M:$M,"Mensal")+SUMIFS(Despesas!$F:$F,Despesas!$J:$J,"&lt;="&amp;$A806,Despesas!$L:$L,"&gt;="&amp;$A806,Despesas!$C:$C,D$1,Despesas!$M:$M,$B806)</f>
        <v>23000</v>
      </c>
      <c r="E806" s="18">
        <f>SUMIFS(Despesas!$F:$F,Despesas!$J:$J,"&lt;="&amp;$A806,Despesas!$L:$L,"&gt;="&amp;$A806,Despesas!$C:$C,E$1,Despesas!$M:$M,"Mensal")+SUMIFS(Despesas!$F:$F,Despesas!$J:$J,"&lt;="&amp;$A806,Despesas!$L:$L,"&gt;="&amp;$A806,Despesas!$C:$C,E$1,Despesas!$M:$M,$B806)</f>
        <v>0</v>
      </c>
      <c r="F806" s="5">
        <f>SUMIFS(Despesas!$F:$F,Despesas!$J:$J,"&lt;="&amp;$A806,Despesas!$L:$L,"&gt;="&amp;$A806,Despesas!$C:$C,F$1,Despesas!$M:$M,"Mensal")+SUMIFS(Despesas!$F:$F,Despesas!$J:$J,"&lt;="&amp;$A806,Despesas!$L:$L,"&gt;="&amp;$A806,Despesas!$C:$C,F$1,Despesas!$M:$M,$B806)</f>
        <v>13000</v>
      </c>
      <c r="G806" s="5">
        <f>SUMIFS(Despesas!$F:$F,Despesas!$J:$J,"&lt;="&amp;$A806,Despesas!$L:$L,"&gt;="&amp;$A806,Despesas!$C:$C,G$1,Despesas!$M:$M,"Mensal")+SUMIFS(Despesas!$F:$F,Despesas!$J:$J,"&lt;="&amp;$A806,Despesas!$L:$L,"&gt;="&amp;$A806,Despesas!$C:$C,G$1,Despesas!$M:$M,$B806)</f>
        <v>0</v>
      </c>
      <c r="H806" s="18">
        <f>SUMIFS(Despesas!$F:$F,Despesas!$J:$J,"&lt;="&amp;$A806,Despesas!$L:$L,"&gt;="&amp;$A806,Despesas!$C:$C,H$1,Despesas!$M:$M,"Mensal")+SUMIFS(Despesas!$F:$F,Despesas!$J:$J,"&lt;="&amp;$A806,Despesas!$L:$L,"&gt;="&amp;$A806,Despesas!$C:$C,H$1,Despesas!$M:$M,$B806)</f>
        <v>1000</v>
      </c>
      <c r="I806" s="18">
        <f>IF(Imóveis!$F$2="PRICE",IF(AND(Dados!$A806&gt;=Imóveis!$Q$2,Dados!$A806&lt;=Imóveis!$T$2),Imóveis!$U$2,0),IF((IF(AND(Dados!$A806&gt;=Imóveis!$Q$2,Dados!$A806&lt;=Imóveis!$T$2),Imóveis!$S$2-(DATEDIF(Imóveis!$Q$2,Dados!$A806,"m")),0))=0,0,((Imóveis!$N$2/Imóveis!$S$2)+((Imóveis!$N$2-((Imóveis!$S$2-(IF(AND(Dados!$A806&gt;=Imóveis!$Q$2,Dados!$A806&lt;=Imóveis!$T$2),Imóveis!$S$2-(DATEDIF(Imóveis!$Q$2,Dados!$A806,"m")),)))*(Imóveis!$N$2/Imóveis!$S$2)))*Imóveis!$P$2))))*IF(AND(Imóveis!$E$2&gt;0,Dados!$A806&gt;Imóveis!$E$2),0,1)</f>
        <v>0</v>
      </c>
      <c r="J806" s="18">
        <f>IF(Imóveis!$F$3="PRICE",IF(AND(Dados!$A806&gt;=Imóveis!$Q$3,Dados!$A806&lt;=Imóveis!$T$3),Imóveis!$U$3,0),IF((IF(AND(Dados!$A806&gt;=Imóveis!$Q$3,Dados!$A806&lt;=Imóveis!$T$3),Imóveis!$S$3-(DATEDIF(Imóveis!$Q$3,Dados!$A806,"m")),0))=0,0,((Imóveis!$N$3/Imóveis!$S$3)+((Imóveis!$N$3-((Imóveis!$S$3-(IF(AND(Dados!$A806&gt;=Imóveis!$Q$3,Dados!$A806&lt;=Imóveis!$T$3),Imóveis!$S$3-(DATEDIF(Imóveis!$Q$3,Dados!$A806,"m")),)))*(Imóveis!$N$3/Imóveis!$S$3)))*Imóveis!$P$3))))*IF(AND(Imóveis!$E$3&gt;0,Dados!$A806&gt;Imóveis!$E$3),0,1)</f>
        <v>0</v>
      </c>
      <c r="K806" s="18">
        <f>IF(Imóveis!$F$4="PRICE",IF(AND(Dados!$A806&gt;=Imóveis!$Q$4,Dados!$A806&lt;=Imóveis!$T$4),Imóveis!$U$4,0),IF((IF(AND(Dados!$A806&gt;=Imóveis!$Q$4,Dados!$A806&lt;=Imóveis!$T$4),Imóveis!$S$4-(DATEDIF(Imóveis!$Q$4,Dados!$A806,"m")),0))=0,0,((Imóveis!$N$4/Imóveis!$S$4)+((Imóveis!$N$4-((Imóveis!$S$4-(IF(AND(Dados!$A806&gt;=Imóveis!$Q$4,Dados!$A806&lt;=Imóveis!$T$4),Imóveis!$S$4-(DATEDIF(Imóveis!$Q$4,Dados!$A806,"m")),)))*(Imóveis!$N$4/Imóveis!$S$4)))*Imóveis!$P$4))))*IF(AND(Imóveis!$E$4&gt;0,Dados!$A806&gt;Imóveis!$E$4),0,1)</f>
        <v>0</v>
      </c>
      <c r="L806" s="18">
        <f>IF(Imóveis!$F$5="PRICE",IF(AND(Dados!$A806&gt;=Imóveis!$Q$5,Dados!$A806&lt;=Imóveis!$T$5),Imóveis!$U$5,0),IF((IF(AND(Dados!$A806&gt;=Imóveis!$Q$5,Dados!$A806&lt;=Imóveis!$T$5),Imóveis!$S$5-(DATEDIF(Imóveis!$Q$5,Dados!$A806,"m")),0))=0,0,((Imóveis!$N$5/Imóveis!$S$5)+((Imóveis!$N$5-((Imóveis!$S$5-(IF(AND(Dados!$A806 &gt;=Imóveis!$Q$5,Dados!$A806&lt;=Imóveis!$T$5),Imóveis!$S$5-(DATEDIF(Imóveis!$Q$5,Dados!$A806,"m")),)))*(Imóveis!$N$5/Imóveis!$S$5)))*Imóveis!$P$5))))*IF(AND(Imóveis!$E$5&gt;0,Dados!$A806&gt;Imóveis!$E$5),0,1)*Imóveis!$I$5</f>
        <v>0</v>
      </c>
      <c r="M806" s="18">
        <f>IF(Imóveis!$F$6="PRICE",IF(AND(Dados!$A806&gt;=Imóveis!$Q$6,Dados!$A806&lt;=Imóveis!$T$6),Imóveis!$U$6,0),IF((IF(AND(Dados!$A806&gt;=Imóveis!$Q$6,Dados!$A806&lt;=Imóveis!$T$6),Imóveis!$S$6-(DATEDIF(Imóveis!$Q$6,Dados!$A806,"m")),0))=0,0,((Imóveis!$N$6/Imóveis!$S$6)+((Imóveis!$N$6-((Imóveis!$S$6-(IF(AND(Dados!$A806&gt;=Imóveis!$Q$6,Dados!$A806&lt;=Imóveis!$T$6),Imóveis!$S$6-(DATEDIF(Imóveis!$Q$6,Dados!$A806,"m")),)))*(Imóveis!$N$6/Imóveis!$S$6)))*Imóveis!$P$6))))*IF(AND(Imóveis!$E$6&gt;0,Dados!$A806&gt;Imóveis!$E$6),0,1)*Imóveis!$I$6</f>
        <v>0</v>
      </c>
      <c r="N806" s="18">
        <f t="shared" si="101"/>
        <v>37000</v>
      </c>
      <c r="O806" s="18">
        <f>SUMIFS(Receitas!$F:$F,Receitas!$J:$J,"&lt;="&amp;$A806,Receitas!$L:$L,"&gt;="&amp;$A806,Receitas!$C:$C,O$1,Receitas!$M:$M,"Mensal")+SUMIFS(Receitas!$F:$F,Receitas!$J:$J,"&lt;="&amp;$A806,Receitas!$L:$L,"&gt;="&amp;$A806,Receitas!$C:$C,O$1,Receitas!$M:$M,$B806)</f>
        <v>0</v>
      </c>
      <c r="P806" s="18">
        <f>SUMIFS(Receitas!$F:$F,Receitas!$J:$J,"&lt;="&amp;$A806,Receitas!$L:$L,"&gt;="&amp;$A806,Receitas!$C:$C,P$1,Receitas!$M:$M,"Mensal")+SUMIFS(Receitas!$F:$F,Receitas!$J:$J,"&lt;="&amp;$A806,Receitas!$L:$L,"&gt;="&amp;$A806,Receitas!$C:$C,P$1,Receitas!$M:$M,$B806)</f>
        <v>0</v>
      </c>
      <c r="Q806" s="18">
        <f>SUMIFS(Receitas!$F:$F,Receitas!$J:$J,"&lt;="&amp;$A806,Receitas!$L:$L,"&gt;="&amp;$A806,Receitas!$C:$C,Q$1,Receitas!$M:$M,"Mensal")+SUMIFS(Receitas!$F:$F,Receitas!$J:$J,"&lt;="&amp;$A806,Receitas!$L:$L,"&gt;="&amp;$A806,Receitas!$C:$C,Q$1,Receitas!$M:$M,$B806)</f>
        <v>0</v>
      </c>
      <c r="R806" s="18" cm="1">
        <f t="array" ref="R806">(IF(AND(Membros!$F$2="Sim",A806&lt;=MAX(Membros!$E$2:$E$5)),Membros!K$2,IF(AND(A806&gt;=Membros!J$2,A806&lt;=MAX(Membros!$E$2:$E$5)),Membros!K$2,0))+IF(AND(Membros!$F$3="Sim",A806&lt;=MAX(Membros!$E$2:$E$5)),Membros!K$3,IF(AND(A806&gt;=Membros!J$3,A806&lt;=MAX(Membros!$E$2:$E$5)),Membros!K$3,0)))*IF(AND(COUNTIFS(Tabela3[Tipo],"Provedor",Tabela3[Simulação Seguro],"Sim")=2,A806&gt;=MAX(IF(Tabela3[Tipo]="Dependente",Tabela3[Expectativa de Vida (Data)]))),0,1)</f>
        <v>10000</v>
      </c>
      <c r="S806" s="18">
        <f t="shared" si="102"/>
        <v>10000</v>
      </c>
      <c r="U806" s="18">
        <f t="shared" ca="1" si="105"/>
        <v>67060957.162470154</v>
      </c>
      <c r="V806" s="18">
        <f>SUMIF(Imóveis!E:E,Dados!A:A,Imóveis!Z:Z)-SUMIF(Imóveis!E:E,Dados!A:A,Imóveis!Y:Y)</f>
        <v>0</v>
      </c>
      <c r="W806" s="18">
        <f>-SUMIF(Projetos!N:N,A806,Projetos!F:F)</f>
        <v>0</v>
      </c>
      <c r="X806" s="18">
        <f t="shared" si="99"/>
        <v>-27000</v>
      </c>
      <c r="Y806" s="26">
        <f ca="1">(U806*((Indicadores_Economicos!D$2+1)^(1/12)-1))</f>
        <v>219540.12329511577</v>
      </c>
      <c r="Z806" s="18">
        <f t="shared" ca="1" si="103"/>
        <v>67253497.285765275</v>
      </c>
      <c r="AA806" s="18">
        <f ca="1">Auxiliar_Projetos!E806</f>
        <v>5.4128919074998329E-9</v>
      </c>
      <c r="AB806" s="18">
        <f ca="1">Auxiliar_Projetos!K806</f>
        <v>4.1637630057690932E-9</v>
      </c>
      <c r="AC806" s="18">
        <f ca="1">IF(Z806-AA806-AB806&gt;Investimentos!$C$14,Investimentos!$C$14,IF(Z806-AA806-AB806&lt;Investimentos!$C$14,Z806-AA806-AB806,0))</f>
        <v>300000</v>
      </c>
      <c r="AD806" s="18">
        <f t="shared" ca="1" si="104"/>
        <v>66953497.285765275</v>
      </c>
      <c r="AE806" s="18"/>
    </row>
    <row r="807" spans="1:31" x14ac:dyDescent="0.2">
      <c r="A807" s="4">
        <v>70160</v>
      </c>
      <c r="B807" s="5" t="str">
        <f t="shared" si="100"/>
        <v>fevereiro</v>
      </c>
      <c r="C807" s="5" t="str">
        <f t="shared" si="106"/>
        <v>2092</v>
      </c>
      <c r="D807" s="5">
        <f>SUMIFS(Despesas!$F:$F,Despesas!$J:$J,"&lt;="&amp;$A807,Despesas!$L:$L,"&gt;="&amp;$A807,Despesas!$C:$C,D$1,Despesas!$M:$M,"Mensal")+SUMIFS(Despesas!$F:$F,Despesas!$J:$J,"&lt;="&amp;$A807,Despesas!$L:$L,"&gt;="&amp;$A807,Despesas!$C:$C,D$1,Despesas!$M:$M,$B807)</f>
        <v>23000</v>
      </c>
      <c r="E807" s="18">
        <f>SUMIFS(Despesas!$F:$F,Despesas!$J:$J,"&lt;="&amp;$A807,Despesas!$L:$L,"&gt;="&amp;$A807,Despesas!$C:$C,E$1,Despesas!$M:$M,"Mensal")+SUMIFS(Despesas!$F:$F,Despesas!$J:$J,"&lt;="&amp;$A807,Despesas!$L:$L,"&gt;="&amp;$A807,Despesas!$C:$C,E$1,Despesas!$M:$M,$B807)</f>
        <v>0</v>
      </c>
      <c r="F807" s="5">
        <f>SUMIFS(Despesas!$F:$F,Despesas!$J:$J,"&lt;="&amp;$A807,Despesas!$L:$L,"&gt;="&amp;$A807,Despesas!$C:$C,F$1,Despesas!$M:$M,"Mensal")+SUMIFS(Despesas!$F:$F,Despesas!$J:$J,"&lt;="&amp;$A807,Despesas!$L:$L,"&gt;="&amp;$A807,Despesas!$C:$C,F$1,Despesas!$M:$M,$B807)</f>
        <v>13000</v>
      </c>
      <c r="G807" s="5">
        <f>SUMIFS(Despesas!$F:$F,Despesas!$J:$J,"&lt;="&amp;$A807,Despesas!$L:$L,"&gt;="&amp;$A807,Despesas!$C:$C,G$1,Despesas!$M:$M,"Mensal")+SUMIFS(Despesas!$F:$F,Despesas!$J:$J,"&lt;="&amp;$A807,Despesas!$L:$L,"&gt;="&amp;$A807,Despesas!$C:$C,G$1,Despesas!$M:$M,$B807)</f>
        <v>0</v>
      </c>
      <c r="H807" s="18">
        <f>SUMIFS(Despesas!$F:$F,Despesas!$J:$J,"&lt;="&amp;$A807,Despesas!$L:$L,"&gt;="&amp;$A807,Despesas!$C:$C,H$1,Despesas!$M:$M,"Mensal")+SUMIFS(Despesas!$F:$F,Despesas!$J:$J,"&lt;="&amp;$A807,Despesas!$L:$L,"&gt;="&amp;$A807,Despesas!$C:$C,H$1,Despesas!$M:$M,$B807)</f>
        <v>2200</v>
      </c>
      <c r="I807" s="18">
        <f>IF(Imóveis!$F$2="PRICE",IF(AND(Dados!$A807&gt;=Imóveis!$Q$2,Dados!$A807&lt;=Imóveis!$T$2),Imóveis!$U$2,0),IF((IF(AND(Dados!$A807&gt;=Imóveis!$Q$2,Dados!$A807&lt;=Imóveis!$T$2),Imóveis!$S$2-(DATEDIF(Imóveis!$Q$2,Dados!$A807,"m")),0))=0,0,((Imóveis!$N$2/Imóveis!$S$2)+((Imóveis!$N$2-((Imóveis!$S$2-(IF(AND(Dados!$A807&gt;=Imóveis!$Q$2,Dados!$A807&lt;=Imóveis!$T$2),Imóveis!$S$2-(DATEDIF(Imóveis!$Q$2,Dados!$A807,"m")),)))*(Imóveis!$N$2/Imóveis!$S$2)))*Imóveis!$P$2))))*IF(AND(Imóveis!$E$2&gt;0,Dados!$A807&gt;Imóveis!$E$2),0,1)</f>
        <v>0</v>
      </c>
      <c r="J807" s="18">
        <f>IF(Imóveis!$F$3="PRICE",IF(AND(Dados!$A807&gt;=Imóveis!$Q$3,Dados!$A807&lt;=Imóveis!$T$3),Imóveis!$U$3,0),IF((IF(AND(Dados!$A807&gt;=Imóveis!$Q$3,Dados!$A807&lt;=Imóveis!$T$3),Imóveis!$S$3-(DATEDIF(Imóveis!$Q$3,Dados!$A807,"m")),0))=0,0,((Imóveis!$N$3/Imóveis!$S$3)+((Imóveis!$N$3-((Imóveis!$S$3-(IF(AND(Dados!$A807&gt;=Imóveis!$Q$3,Dados!$A807&lt;=Imóveis!$T$3),Imóveis!$S$3-(DATEDIF(Imóveis!$Q$3,Dados!$A807,"m")),)))*(Imóveis!$N$3/Imóveis!$S$3)))*Imóveis!$P$3))))*IF(AND(Imóveis!$E$3&gt;0,Dados!$A807&gt;Imóveis!$E$3),0,1)</f>
        <v>0</v>
      </c>
      <c r="K807" s="18">
        <f>IF(Imóveis!$F$4="PRICE",IF(AND(Dados!$A807&gt;=Imóveis!$Q$4,Dados!$A807&lt;=Imóveis!$T$4),Imóveis!$U$4,0),IF((IF(AND(Dados!$A807&gt;=Imóveis!$Q$4,Dados!$A807&lt;=Imóveis!$T$4),Imóveis!$S$4-(DATEDIF(Imóveis!$Q$4,Dados!$A807,"m")),0))=0,0,((Imóveis!$N$4/Imóveis!$S$4)+((Imóveis!$N$4-((Imóveis!$S$4-(IF(AND(Dados!$A807&gt;=Imóveis!$Q$4,Dados!$A807&lt;=Imóveis!$T$4),Imóveis!$S$4-(DATEDIF(Imóveis!$Q$4,Dados!$A807,"m")),)))*(Imóveis!$N$4/Imóveis!$S$4)))*Imóveis!$P$4))))*IF(AND(Imóveis!$E$4&gt;0,Dados!$A807&gt;Imóveis!$E$4),0,1)</f>
        <v>0</v>
      </c>
      <c r="L807" s="18">
        <f>IF(Imóveis!$F$5="PRICE",IF(AND(Dados!$A807&gt;=Imóveis!$Q$5,Dados!$A807&lt;=Imóveis!$T$5),Imóveis!$U$5,0),IF((IF(AND(Dados!$A807&gt;=Imóveis!$Q$5,Dados!$A807&lt;=Imóveis!$T$5),Imóveis!$S$5-(DATEDIF(Imóveis!$Q$5,Dados!$A807,"m")),0))=0,0,((Imóveis!$N$5/Imóveis!$S$5)+((Imóveis!$N$5-((Imóveis!$S$5-(IF(AND(Dados!$A807 &gt;=Imóveis!$Q$5,Dados!$A807&lt;=Imóveis!$T$5),Imóveis!$S$5-(DATEDIF(Imóveis!$Q$5,Dados!$A807,"m")),)))*(Imóveis!$N$5/Imóveis!$S$5)))*Imóveis!$P$5))))*IF(AND(Imóveis!$E$5&gt;0,Dados!$A807&gt;Imóveis!$E$5),0,1)*Imóveis!$I$5</f>
        <v>0</v>
      </c>
      <c r="M807" s="18">
        <f>IF(Imóveis!$F$6="PRICE",IF(AND(Dados!$A807&gt;=Imóveis!$Q$6,Dados!$A807&lt;=Imóveis!$T$6),Imóveis!$U$6,0),IF((IF(AND(Dados!$A807&gt;=Imóveis!$Q$6,Dados!$A807&lt;=Imóveis!$T$6),Imóveis!$S$6-(DATEDIF(Imóveis!$Q$6,Dados!$A807,"m")),0))=0,0,((Imóveis!$N$6/Imóveis!$S$6)+((Imóveis!$N$6-((Imóveis!$S$6-(IF(AND(Dados!$A807&gt;=Imóveis!$Q$6,Dados!$A807&lt;=Imóveis!$T$6),Imóveis!$S$6-(DATEDIF(Imóveis!$Q$6,Dados!$A807,"m")),)))*(Imóveis!$N$6/Imóveis!$S$6)))*Imóveis!$P$6))))*IF(AND(Imóveis!$E$6&gt;0,Dados!$A807&gt;Imóveis!$E$6),0,1)*Imóveis!$I$6</f>
        <v>0</v>
      </c>
      <c r="N807" s="18">
        <f t="shared" si="101"/>
        <v>38200</v>
      </c>
      <c r="O807" s="18">
        <f>SUMIFS(Receitas!$F:$F,Receitas!$J:$J,"&lt;="&amp;$A807,Receitas!$L:$L,"&gt;="&amp;$A807,Receitas!$C:$C,O$1,Receitas!$M:$M,"Mensal")+SUMIFS(Receitas!$F:$F,Receitas!$J:$J,"&lt;="&amp;$A807,Receitas!$L:$L,"&gt;="&amp;$A807,Receitas!$C:$C,O$1,Receitas!$M:$M,$B807)</f>
        <v>0</v>
      </c>
      <c r="P807" s="18">
        <f>SUMIFS(Receitas!$F:$F,Receitas!$J:$J,"&lt;="&amp;$A807,Receitas!$L:$L,"&gt;="&amp;$A807,Receitas!$C:$C,P$1,Receitas!$M:$M,"Mensal")+SUMIFS(Receitas!$F:$F,Receitas!$J:$J,"&lt;="&amp;$A807,Receitas!$L:$L,"&gt;="&amp;$A807,Receitas!$C:$C,P$1,Receitas!$M:$M,$B807)</f>
        <v>0</v>
      </c>
      <c r="Q807" s="18">
        <f>SUMIFS(Receitas!$F:$F,Receitas!$J:$J,"&lt;="&amp;$A807,Receitas!$L:$L,"&gt;="&amp;$A807,Receitas!$C:$C,Q$1,Receitas!$M:$M,"Mensal")+SUMIFS(Receitas!$F:$F,Receitas!$J:$J,"&lt;="&amp;$A807,Receitas!$L:$L,"&gt;="&amp;$A807,Receitas!$C:$C,Q$1,Receitas!$M:$M,$B807)</f>
        <v>0</v>
      </c>
      <c r="R807" s="18" cm="1">
        <f t="array" ref="R807">(IF(AND(Membros!$F$2="Sim",A807&lt;=MAX(Membros!$E$2:$E$5)),Membros!K$2,IF(AND(A807&gt;=Membros!J$2,A807&lt;=MAX(Membros!$E$2:$E$5)),Membros!K$2,0))+IF(AND(Membros!$F$3="Sim",A807&lt;=MAX(Membros!$E$2:$E$5)),Membros!K$3,IF(AND(A807&gt;=Membros!J$3,A807&lt;=MAX(Membros!$E$2:$E$5)),Membros!K$3,0)))*IF(AND(COUNTIFS(Tabela3[Tipo],"Provedor",Tabela3[Simulação Seguro],"Sim")=2,A807&gt;=MAX(IF(Tabela3[Tipo]="Dependente",Tabela3[Expectativa de Vida (Data)]))),0,1)</f>
        <v>10000</v>
      </c>
      <c r="S807" s="18">
        <f t="shared" si="102"/>
        <v>10000</v>
      </c>
      <c r="U807" s="18">
        <f t="shared" ca="1" si="105"/>
        <v>67253497.285765275</v>
      </c>
      <c r="V807" s="18">
        <f>SUMIF(Imóveis!E:E,Dados!A:A,Imóveis!Z:Z)-SUMIF(Imóveis!E:E,Dados!A:A,Imóveis!Y:Y)</f>
        <v>0</v>
      </c>
      <c r="W807" s="18">
        <f>-SUMIF(Projetos!N:N,A807,Projetos!F:F)</f>
        <v>0</v>
      </c>
      <c r="X807" s="18">
        <f t="shared" si="99"/>
        <v>-28200</v>
      </c>
      <c r="Y807" s="26">
        <f ca="1">(U807*((Indicadores_Economicos!D$2+1)^(1/12)-1))</f>
        <v>220170.44955641651</v>
      </c>
      <c r="Z807" s="18">
        <f t="shared" ca="1" si="103"/>
        <v>67445467.735321686</v>
      </c>
      <c r="AA807" s="18">
        <f ca="1">Auxiliar_Projetos!E807</f>
        <v>5.4306123070741574E-9</v>
      </c>
      <c r="AB807" s="18">
        <f ca="1">Auxiliar_Projetos!K807</f>
        <v>4.1773940823647276E-9</v>
      </c>
      <c r="AC807" s="18">
        <f ca="1">IF(Z807-AA807-AB807&gt;Investimentos!$C$14,Investimentos!$C$14,IF(Z807-AA807-AB807&lt;Investimentos!$C$14,Z807-AA807-AB807,0))</f>
        <v>300000</v>
      </c>
      <c r="AD807" s="18">
        <f t="shared" ca="1" si="104"/>
        <v>67145467.735321686</v>
      </c>
      <c r="AE807" s="18"/>
    </row>
    <row r="808" spans="1:31" x14ac:dyDescent="0.2">
      <c r="A808" s="4">
        <v>70189</v>
      </c>
      <c r="B808" s="5" t="str">
        <f t="shared" si="100"/>
        <v>março</v>
      </c>
      <c r="C808" s="5" t="str">
        <f t="shared" si="106"/>
        <v>2092</v>
      </c>
      <c r="D808" s="5">
        <f>SUMIFS(Despesas!$F:$F,Despesas!$J:$J,"&lt;="&amp;$A808,Despesas!$L:$L,"&gt;="&amp;$A808,Despesas!$C:$C,D$1,Despesas!$M:$M,"Mensal")+SUMIFS(Despesas!$F:$F,Despesas!$J:$J,"&lt;="&amp;$A808,Despesas!$L:$L,"&gt;="&amp;$A808,Despesas!$C:$C,D$1,Despesas!$M:$M,$B808)</f>
        <v>23000</v>
      </c>
      <c r="E808" s="18">
        <f>SUMIFS(Despesas!$F:$F,Despesas!$J:$J,"&lt;="&amp;$A808,Despesas!$L:$L,"&gt;="&amp;$A808,Despesas!$C:$C,E$1,Despesas!$M:$M,"Mensal")+SUMIFS(Despesas!$F:$F,Despesas!$J:$J,"&lt;="&amp;$A808,Despesas!$L:$L,"&gt;="&amp;$A808,Despesas!$C:$C,E$1,Despesas!$M:$M,$B808)</f>
        <v>0</v>
      </c>
      <c r="F808" s="5">
        <f>SUMIFS(Despesas!$F:$F,Despesas!$J:$J,"&lt;="&amp;$A808,Despesas!$L:$L,"&gt;="&amp;$A808,Despesas!$C:$C,F$1,Despesas!$M:$M,"Mensal")+SUMIFS(Despesas!$F:$F,Despesas!$J:$J,"&lt;="&amp;$A808,Despesas!$L:$L,"&gt;="&amp;$A808,Despesas!$C:$C,F$1,Despesas!$M:$M,$B808)</f>
        <v>13000</v>
      </c>
      <c r="G808" s="5">
        <f>SUMIFS(Despesas!$F:$F,Despesas!$J:$J,"&lt;="&amp;$A808,Despesas!$L:$L,"&gt;="&amp;$A808,Despesas!$C:$C,G$1,Despesas!$M:$M,"Mensal")+SUMIFS(Despesas!$F:$F,Despesas!$J:$J,"&lt;="&amp;$A808,Despesas!$L:$L,"&gt;="&amp;$A808,Despesas!$C:$C,G$1,Despesas!$M:$M,$B808)</f>
        <v>0</v>
      </c>
      <c r="H808" s="18">
        <f>SUMIFS(Despesas!$F:$F,Despesas!$J:$J,"&lt;="&amp;$A808,Despesas!$L:$L,"&gt;="&amp;$A808,Despesas!$C:$C,H$1,Despesas!$M:$M,"Mensal")+SUMIFS(Despesas!$F:$F,Despesas!$J:$J,"&lt;="&amp;$A808,Despesas!$L:$L,"&gt;="&amp;$A808,Despesas!$C:$C,H$1,Despesas!$M:$M,$B808)</f>
        <v>1000</v>
      </c>
      <c r="I808" s="18">
        <f>IF(Imóveis!$F$2="PRICE",IF(AND(Dados!$A808&gt;=Imóveis!$Q$2,Dados!$A808&lt;=Imóveis!$T$2),Imóveis!$U$2,0),IF((IF(AND(Dados!$A808&gt;=Imóveis!$Q$2,Dados!$A808&lt;=Imóveis!$T$2),Imóveis!$S$2-(DATEDIF(Imóveis!$Q$2,Dados!$A808,"m")),0))=0,0,((Imóveis!$N$2/Imóveis!$S$2)+((Imóveis!$N$2-((Imóveis!$S$2-(IF(AND(Dados!$A808&gt;=Imóveis!$Q$2,Dados!$A808&lt;=Imóveis!$T$2),Imóveis!$S$2-(DATEDIF(Imóveis!$Q$2,Dados!$A808,"m")),)))*(Imóveis!$N$2/Imóveis!$S$2)))*Imóveis!$P$2))))*IF(AND(Imóveis!$E$2&gt;0,Dados!$A808&gt;Imóveis!$E$2),0,1)</f>
        <v>0</v>
      </c>
      <c r="J808" s="18">
        <f>IF(Imóveis!$F$3="PRICE",IF(AND(Dados!$A808&gt;=Imóveis!$Q$3,Dados!$A808&lt;=Imóveis!$T$3),Imóveis!$U$3,0),IF((IF(AND(Dados!$A808&gt;=Imóveis!$Q$3,Dados!$A808&lt;=Imóveis!$T$3),Imóveis!$S$3-(DATEDIF(Imóveis!$Q$3,Dados!$A808,"m")),0))=0,0,((Imóveis!$N$3/Imóveis!$S$3)+((Imóveis!$N$3-((Imóveis!$S$3-(IF(AND(Dados!$A808&gt;=Imóveis!$Q$3,Dados!$A808&lt;=Imóveis!$T$3),Imóveis!$S$3-(DATEDIF(Imóveis!$Q$3,Dados!$A808,"m")),)))*(Imóveis!$N$3/Imóveis!$S$3)))*Imóveis!$P$3))))*IF(AND(Imóveis!$E$3&gt;0,Dados!$A808&gt;Imóveis!$E$3),0,1)</f>
        <v>0</v>
      </c>
      <c r="K808" s="18">
        <f>IF(Imóveis!$F$4="PRICE",IF(AND(Dados!$A808&gt;=Imóveis!$Q$4,Dados!$A808&lt;=Imóveis!$T$4),Imóveis!$U$4,0),IF((IF(AND(Dados!$A808&gt;=Imóveis!$Q$4,Dados!$A808&lt;=Imóveis!$T$4),Imóveis!$S$4-(DATEDIF(Imóveis!$Q$4,Dados!$A808,"m")),0))=0,0,((Imóveis!$N$4/Imóveis!$S$4)+((Imóveis!$N$4-((Imóveis!$S$4-(IF(AND(Dados!$A808&gt;=Imóveis!$Q$4,Dados!$A808&lt;=Imóveis!$T$4),Imóveis!$S$4-(DATEDIF(Imóveis!$Q$4,Dados!$A808,"m")),)))*(Imóveis!$N$4/Imóveis!$S$4)))*Imóveis!$P$4))))*IF(AND(Imóveis!$E$4&gt;0,Dados!$A808&gt;Imóveis!$E$4),0,1)</f>
        <v>0</v>
      </c>
      <c r="L808" s="18">
        <f>IF(Imóveis!$F$5="PRICE",IF(AND(Dados!$A808&gt;=Imóveis!$Q$5,Dados!$A808&lt;=Imóveis!$T$5),Imóveis!$U$5,0),IF((IF(AND(Dados!$A808&gt;=Imóveis!$Q$5,Dados!$A808&lt;=Imóveis!$T$5),Imóveis!$S$5-(DATEDIF(Imóveis!$Q$5,Dados!$A808,"m")),0))=0,0,((Imóveis!$N$5/Imóveis!$S$5)+((Imóveis!$N$5-((Imóveis!$S$5-(IF(AND(Dados!$A808 &gt;=Imóveis!$Q$5,Dados!$A808&lt;=Imóveis!$T$5),Imóveis!$S$5-(DATEDIF(Imóveis!$Q$5,Dados!$A808,"m")),)))*(Imóveis!$N$5/Imóveis!$S$5)))*Imóveis!$P$5))))*IF(AND(Imóveis!$E$5&gt;0,Dados!$A808&gt;Imóveis!$E$5),0,1)*Imóveis!$I$5</f>
        <v>0</v>
      </c>
      <c r="M808" s="18">
        <f>IF(Imóveis!$F$6="PRICE",IF(AND(Dados!$A808&gt;=Imóveis!$Q$6,Dados!$A808&lt;=Imóveis!$T$6),Imóveis!$U$6,0),IF((IF(AND(Dados!$A808&gt;=Imóveis!$Q$6,Dados!$A808&lt;=Imóveis!$T$6),Imóveis!$S$6-(DATEDIF(Imóveis!$Q$6,Dados!$A808,"m")),0))=0,0,((Imóveis!$N$6/Imóveis!$S$6)+((Imóveis!$N$6-((Imóveis!$S$6-(IF(AND(Dados!$A808&gt;=Imóveis!$Q$6,Dados!$A808&lt;=Imóveis!$T$6),Imóveis!$S$6-(DATEDIF(Imóveis!$Q$6,Dados!$A808,"m")),)))*(Imóveis!$N$6/Imóveis!$S$6)))*Imóveis!$P$6))))*IF(AND(Imóveis!$E$6&gt;0,Dados!$A808&gt;Imóveis!$E$6),0,1)*Imóveis!$I$6</f>
        <v>0</v>
      </c>
      <c r="N808" s="18">
        <f t="shared" si="101"/>
        <v>37000</v>
      </c>
      <c r="O808" s="18">
        <f>SUMIFS(Receitas!$F:$F,Receitas!$J:$J,"&lt;="&amp;$A808,Receitas!$L:$L,"&gt;="&amp;$A808,Receitas!$C:$C,O$1,Receitas!$M:$M,"Mensal")+SUMIFS(Receitas!$F:$F,Receitas!$J:$J,"&lt;="&amp;$A808,Receitas!$L:$L,"&gt;="&amp;$A808,Receitas!$C:$C,O$1,Receitas!$M:$M,$B808)</f>
        <v>0</v>
      </c>
      <c r="P808" s="18">
        <f>SUMIFS(Receitas!$F:$F,Receitas!$J:$J,"&lt;="&amp;$A808,Receitas!$L:$L,"&gt;="&amp;$A808,Receitas!$C:$C,P$1,Receitas!$M:$M,"Mensal")+SUMIFS(Receitas!$F:$F,Receitas!$J:$J,"&lt;="&amp;$A808,Receitas!$L:$L,"&gt;="&amp;$A808,Receitas!$C:$C,P$1,Receitas!$M:$M,$B808)</f>
        <v>0</v>
      </c>
      <c r="Q808" s="18">
        <f>SUMIFS(Receitas!$F:$F,Receitas!$J:$J,"&lt;="&amp;$A808,Receitas!$L:$L,"&gt;="&amp;$A808,Receitas!$C:$C,Q$1,Receitas!$M:$M,"Mensal")+SUMIFS(Receitas!$F:$F,Receitas!$J:$J,"&lt;="&amp;$A808,Receitas!$L:$L,"&gt;="&amp;$A808,Receitas!$C:$C,Q$1,Receitas!$M:$M,$B808)</f>
        <v>0</v>
      </c>
      <c r="R808" s="18" cm="1">
        <f t="array" ref="R808">(IF(AND(Membros!$F$2="Sim",A808&lt;=MAX(Membros!$E$2:$E$5)),Membros!K$2,IF(AND(A808&gt;=Membros!J$2,A808&lt;=MAX(Membros!$E$2:$E$5)),Membros!K$2,0))+IF(AND(Membros!$F$3="Sim",A808&lt;=MAX(Membros!$E$2:$E$5)),Membros!K$3,IF(AND(A808&gt;=Membros!J$3,A808&lt;=MAX(Membros!$E$2:$E$5)),Membros!K$3,0)))*IF(AND(COUNTIFS(Tabela3[Tipo],"Provedor",Tabela3[Simulação Seguro],"Sim")=2,A808&gt;=MAX(IF(Tabela3[Tipo]="Dependente",Tabela3[Expectativa de Vida (Data)]))),0,1)</f>
        <v>10000</v>
      </c>
      <c r="S808" s="18">
        <f t="shared" si="102"/>
        <v>10000</v>
      </c>
      <c r="U808" s="18">
        <f t="shared" ca="1" si="105"/>
        <v>67445467.735321686</v>
      </c>
      <c r="V808" s="18">
        <f>SUMIF(Imóveis!E:E,Dados!A:A,Imóveis!Z:Z)-SUMIF(Imóveis!E:E,Dados!A:A,Imóveis!Y:Y)</f>
        <v>0</v>
      </c>
      <c r="W808" s="18">
        <f>-SUMIF(Projetos!N:N,A808,Projetos!F:F)</f>
        <v>0</v>
      </c>
      <c r="X808" s="18">
        <f t="shared" si="99"/>
        <v>-27000</v>
      </c>
      <c r="Y808" s="26">
        <f ca="1">(U808*((Indicadores_Economicos!D$2+1)^(1/12)-1))</f>
        <v>220798.91085413593</v>
      </c>
      <c r="Z808" s="18">
        <f t="shared" ca="1" si="103"/>
        <v>67639266.646175817</v>
      </c>
      <c r="AA808" s="18">
        <f ca="1">Auxiliar_Projetos!E808</f>
        <v>5.4483907186255248E-9</v>
      </c>
      <c r="AB808" s="18">
        <f ca="1">Auxiliar_Projetos!K808</f>
        <v>4.1910697835580871E-9</v>
      </c>
      <c r="AC808" s="18">
        <f ca="1">IF(Z808-AA808-AB808&gt;Investimentos!$C$14,Investimentos!$C$14,IF(Z808-AA808-AB808&lt;Investimentos!$C$14,Z808-AA808-AB808,0))</f>
        <v>300000</v>
      </c>
      <c r="AD808" s="18">
        <f t="shared" ca="1" si="104"/>
        <v>67339266.646175817</v>
      </c>
      <c r="AE808" s="18"/>
    </row>
    <row r="809" spans="1:31" x14ac:dyDescent="0.2">
      <c r="A809" s="4">
        <v>70220</v>
      </c>
      <c r="B809" s="5" t="str">
        <f t="shared" si="100"/>
        <v>abril</v>
      </c>
      <c r="C809" s="5" t="str">
        <f t="shared" si="106"/>
        <v>2092</v>
      </c>
      <c r="D809" s="5">
        <f>SUMIFS(Despesas!$F:$F,Despesas!$J:$J,"&lt;="&amp;$A809,Despesas!$L:$L,"&gt;="&amp;$A809,Despesas!$C:$C,D$1,Despesas!$M:$M,"Mensal")+SUMIFS(Despesas!$F:$F,Despesas!$J:$J,"&lt;="&amp;$A809,Despesas!$L:$L,"&gt;="&amp;$A809,Despesas!$C:$C,D$1,Despesas!$M:$M,$B809)</f>
        <v>23000</v>
      </c>
      <c r="E809" s="18">
        <f>SUMIFS(Despesas!$F:$F,Despesas!$J:$J,"&lt;="&amp;$A809,Despesas!$L:$L,"&gt;="&amp;$A809,Despesas!$C:$C,E$1,Despesas!$M:$M,"Mensal")+SUMIFS(Despesas!$F:$F,Despesas!$J:$J,"&lt;="&amp;$A809,Despesas!$L:$L,"&gt;="&amp;$A809,Despesas!$C:$C,E$1,Despesas!$M:$M,$B809)</f>
        <v>0</v>
      </c>
      <c r="F809" s="5">
        <f>SUMIFS(Despesas!$F:$F,Despesas!$J:$J,"&lt;="&amp;$A809,Despesas!$L:$L,"&gt;="&amp;$A809,Despesas!$C:$C,F$1,Despesas!$M:$M,"Mensal")+SUMIFS(Despesas!$F:$F,Despesas!$J:$J,"&lt;="&amp;$A809,Despesas!$L:$L,"&gt;="&amp;$A809,Despesas!$C:$C,F$1,Despesas!$M:$M,$B809)</f>
        <v>13000</v>
      </c>
      <c r="G809" s="5">
        <f>SUMIFS(Despesas!$F:$F,Despesas!$J:$J,"&lt;="&amp;$A809,Despesas!$L:$L,"&gt;="&amp;$A809,Despesas!$C:$C,G$1,Despesas!$M:$M,"Mensal")+SUMIFS(Despesas!$F:$F,Despesas!$J:$J,"&lt;="&amp;$A809,Despesas!$L:$L,"&gt;="&amp;$A809,Despesas!$C:$C,G$1,Despesas!$M:$M,$B809)</f>
        <v>0</v>
      </c>
      <c r="H809" s="18">
        <f>SUMIFS(Despesas!$F:$F,Despesas!$J:$J,"&lt;="&amp;$A809,Despesas!$L:$L,"&gt;="&amp;$A809,Despesas!$C:$C,H$1,Despesas!$M:$M,"Mensal")+SUMIFS(Despesas!$F:$F,Despesas!$J:$J,"&lt;="&amp;$A809,Despesas!$L:$L,"&gt;="&amp;$A809,Despesas!$C:$C,H$1,Despesas!$M:$M,$B809)</f>
        <v>1000</v>
      </c>
      <c r="I809" s="18">
        <f>IF(Imóveis!$F$2="PRICE",IF(AND(Dados!$A809&gt;=Imóveis!$Q$2,Dados!$A809&lt;=Imóveis!$T$2),Imóveis!$U$2,0),IF((IF(AND(Dados!$A809&gt;=Imóveis!$Q$2,Dados!$A809&lt;=Imóveis!$T$2),Imóveis!$S$2-(DATEDIF(Imóveis!$Q$2,Dados!$A809,"m")),0))=0,0,((Imóveis!$N$2/Imóveis!$S$2)+((Imóveis!$N$2-((Imóveis!$S$2-(IF(AND(Dados!$A809&gt;=Imóveis!$Q$2,Dados!$A809&lt;=Imóveis!$T$2),Imóveis!$S$2-(DATEDIF(Imóveis!$Q$2,Dados!$A809,"m")),)))*(Imóveis!$N$2/Imóveis!$S$2)))*Imóveis!$P$2))))*IF(AND(Imóveis!$E$2&gt;0,Dados!$A809&gt;Imóveis!$E$2),0,1)</f>
        <v>0</v>
      </c>
      <c r="J809" s="18">
        <f>IF(Imóveis!$F$3="PRICE",IF(AND(Dados!$A809&gt;=Imóveis!$Q$3,Dados!$A809&lt;=Imóveis!$T$3),Imóveis!$U$3,0),IF((IF(AND(Dados!$A809&gt;=Imóveis!$Q$3,Dados!$A809&lt;=Imóveis!$T$3),Imóveis!$S$3-(DATEDIF(Imóveis!$Q$3,Dados!$A809,"m")),0))=0,0,((Imóveis!$N$3/Imóveis!$S$3)+((Imóveis!$N$3-((Imóveis!$S$3-(IF(AND(Dados!$A809&gt;=Imóveis!$Q$3,Dados!$A809&lt;=Imóveis!$T$3),Imóveis!$S$3-(DATEDIF(Imóveis!$Q$3,Dados!$A809,"m")),)))*(Imóveis!$N$3/Imóveis!$S$3)))*Imóveis!$P$3))))*IF(AND(Imóveis!$E$3&gt;0,Dados!$A809&gt;Imóveis!$E$3),0,1)</f>
        <v>0</v>
      </c>
      <c r="K809" s="18">
        <f>IF(Imóveis!$F$4="PRICE",IF(AND(Dados!$A809&gt;=Imóveis!$Q$4,Dados!$A809&lt;=Imóveis!$T$4),Imóveis!$U$4,0),IF((IF(AND(Dados!$A809&gt;=Imóveis!$Q$4,Dados!$A809&lt;=Imóveis!$T$4),Imóveis!$S$4-(DATEDIF(Imóveis!$Q$4,Dados!$A809,"m")),0))=0,0,((Imóveis!$N$4/Imóveis!$S$4)+((Imóveis!$N$4-((Imóveis!$S$4-(IF(AND(Dados!$A809&gt;=Imóveis!$Q$4,Dados!$A809&lt;=Imóveis!$T$4),Imóveis!$S$4-(DATEDIF(Imóveis!$Q$4,Dados!$A809,"m")),)))*(Imóveis!$N$4/Imóveis!$S$4)))*Imóveis!$P$4))))*IF(AND(Imóveis!$E$4&gt;0,Dados!$A809&gt;Imóveis!$E$4),0,1)</f>
        <v>0</v>
      </c>
      <c r="L809" s="18">
        <f>IF(Imóveis!$F$5="PRICE",IF(AND(Dados!$A809&gt;=Imóveis!$Q$5,Dados!$A809&lt;=Imóveis!$T$5),Imóveis!$U$5,0),IF((IF(AND(Dados!$A809&gt;=Imóveis!$Q$5,Dados!$A809&lt;=Imóveis!$T$5),Imóveis!$S$5-(DATEDIF(Imóveis!$Q$5,Dados!$A809,"m")),0))=0,0,((Imóveis!$N$5/Imóveis!$S$5)+((Imóveis!$N$5-((Imóveis!$S$5-(IF(AND(Dados!$A809 &gt;=Imóveis!$Q$5,Dados!$A809&lt;=Imóveis!$T$5),Imóveis!$S$5-(DATEDIF(Imóveis!$Q$5,Dados!$A809,"m")),)))*(Imóveis!$N$5/Imóveis!$S$5)))*Imóveis!$P$5))))*IF(AND(Imóveis!$E$5&gt;0,Dados!$A809&gt;Imóveis!$E$5),0,1)*Imóveis!$I$5</f>
        <v>0</v>
      </c>
      <c r="M809" s="18">
        <f>IF(Imóveis!$F$6="PRICE",IF(AND(Dados!$A809&gt;=Imóveis!$Q$6,Dados!$A809&lt;=Imóveis!$T$6),Imóveis!$U$6,0),IF((IF(AND(Dados!$A809&gt;=Imóveis!$Q$6,Dados!$A809&lt;=Imóveis!$T$6),Imóveis!$S$6-(DATEDIF(Imóveis!$Q$6,Dados!$A809,"m")),0))=0,0,((Imóveis!$N$6/Imóveis!$S$6)+((Imóveis!$N$6-((Imóveis!$S$6-(IF(AND(Dados!$A809&gt;=Imóveis!$Q$6,Dados!$A809&lt;=Imóveis!$T$6),Imóveis!$S$6-(DATEDIF(Imóveis!$Q$6,Dados!$A809,"m")),)))*(Imóveis!$N$6/Imóveis!$S$6)))*Imóveis!$P$6))))*IF(AND(Imóveis!$E$6&gt;0,Dados!$A809&gt;Imóveis!$E$6),0,1)*Imóveis!$I$6</f>
        <v>0</v>
      </c>
      <c r="N809" s="18">
        <f t="shared" si="101"/>
        <v>37000</v>
      </c>
      <c r="O809" s="18">
        <f>SUMIFS(Receitas!$F:$F,Receitas!$J:$J,"&lt;="&amp;$A809,Receitas!$L:$L,"&gt;="&amp;$A809,Receitas!$C:$C,O$1,Receitas!$M:$M,"Mensal")+SUMIFS(Receitas!$F:$F,Receitas!$J:$J,"&lt;="&amp;$A809,Receitas!$L:$L,"&gt;="&amp;$A809,Receitas!$C:$C,O$1,Receitas!$M:$M,$B809)</f>
        <v>0</v>
      </c>
      <c r="P809" s="18">
        <f>SUMIFS(Receitas!$F:$F,Receitas!$J:$J,"&lt;="&amp;$A809,Receitas!$L:$L,"&gt;="&amp;$A809,Receitas!$C:$C,P$1,Receitas!$M:$M,"Mensal")+SUMIFS(Receitas!$F:$F,Receitas!$J:$J,"&lt;="&amp;$A809,Receitas!$L:$L,"&gt;="&amp;$A809,Receitas!$C:$C,P$1,Receitas!$M:$M,$B809)</f>
        <v>0</v>
      </c>
      <c r="Q809" s="18">
        <f>SUMIFS(Receitas!$F:$F,Receitas!$J:$J,"&lt;="&amp;$A809,Receitas!$L:$L,"&gt;="&amp;$A809,Receitas!$C:$C,Q$1,Receitas!$M:$M,"Mensal")+SUMIFS(Receitas!$F:$F,Receitas!$J:$J,"&lt;="&amp;$A809,Receitas!$L:$L,"&gt;="&amp;$A809,Receitas!$C:$C,Q$1,Receitas!$M:$M,$B809)</f>
        <v>0</v>
      </c>
      <c r="R809" s="18" cm="1">
        <f t="array" ref="R809">(IF(AND(Membros!$F$2="Sim",A809&lt;=MAX(Membros!$E$2:$E$5)),Membros!K$2,IF(AND(A809&gt;=Membros!J$2,A809&lt;=MAX(Membros!$E$2:$E$5)),Membros!K$2,0))+IF(AND(Membros!$F$3="Sim",A809&lt;=MAX(Membros!$E$2:$E$5)),Membros!K$3,IF(AND(A809&gt;=Membros!J$3,A809&lt;=MAX(Membros!$E$2:$E$5)),Membros!K$3,0)))*IF(AND(COUNTIFS(Tabela3[Tipo],"Provedor",Tabela3[Simulação Seguro],"Sim")=2,A809&gt;=MAX(IF(Tabela3[Tipo]="Dependente",Tabela3[Expectativa de Vida (Data)]))),0,1)</f>
        <v>10000</v>
      </c>
      <c r="S809" s="18">
        <f t="shared" si="102"/>
        <v>10000</v>
      </c>
      <c r="U809" s="18">
        <f t="shared" ca="1" si="105"/>
        <v>67639266.646175817</v>
      </c>
      <c r="V809" s="18">
        <f>SUMIF(Imóveis!E:E,Dados!A:A,Imóveis!Z:Z)-SUMIF(Imóveis!E:E,Dados!A:A,Imóveis!Y:Y)</f>
        <v>0</v>
      </c>
      <c r="W809" s="18">
        <f>-SUMIF(Projetos!N:N,A809,Projetos!F:F)</f>
        <v>0</v>
      </c>
      <c r="X809" s="18">
        <f t="shared" si="99"/>
        <v>-27000</v>
      </c>
      <c r="Y809" s="26">
        <f ca="1">(U809*((Indicadores_Economicos!D$2+1)^(1/12)-1))</f>
        <v>221433.35805834591</v>
      </c>
      <c r="Z809" s="18">
        <f t="shared" ca="1" si="103"/>
        <v>67833700.004234165</v>
      </c>
      <c r="AA809" s="18">
        <f ca="1">Auxiliar_Projetos!E809</f>
        <v>5.4662273320700525E-9</v>
      </c>
      <c r="AB809" s="18">
        <f ca="1">Auxiliar_Projetos!K809</f>
        <v>4.2047902554384929E-9</v>
      </c>
      <c r="AC809" s="18">
        <f ca="1">IF(Z809-AA809-AB809&gt;Investimentos!$C$14,Investimentos!$C$14,IF(Z809-AA809-AB809&lt;Investimentos!$C$14,Z809-AA809-AB809,0))</f>
        <v>300000</v>
      </c>
      <c r="AD809" s="18">
        <f t="shared" ca="1" si="104"/>
        <v>67533700.004234165</v>
      </c>
      <c r="AE809" s="18"/>
    </row>
    <row r="810" spans="1:31" x14ac:dyDescent="0.2">
      <c r="A810" s="4">
        <v>70250</v>
      </c>
      <c r="B810" s="5" t="str">
        <f t="shared" si="100"/>
        <v>maio</v>
      </c>
      <c r="C810" s="5" t="str">
        <f t="shared" si="106"/>
        <v>2092</v>
      </c>
      <c r="D810" s="5">
        <f>SUMIFS(Despesas!$F:$F,Despesas!$J:$J,"&lt;="&amp;$A810,Despesas!$L:$L,"&gt;="&amp;$A810,Despesas!$C:$C,D$1,Despesas!$M:$M,"Mensal")+SUMIFS(Despesas!$F:$F,Despesas!$J:$J,"&lt;="&amp;$A810,Despesas!$L:$L,"&gt;="&amp;$A810,Despesas!$C:$C,D$1,Despesas!$M:$M,$B810)</f>
        <v>23000</v>
      </c>
      <c r="E810" s="18">
        <f>SUMIFS(Despesas!$F:$F,Despesas!$J:$J,"&lt;="&amp;$A810,Despesas!$L:$L,"&gt;="&amp;$A810,Despesas!$C:$C,E$1,Despesas!$M:$M,"Mensal")+SUMIFS(Despesas!$F:$F,Despesas!$J:$J,"&lt;="&amp;$A810,Despesas!$L:$L,"&gt;="&amp;$A810,Despesas!$C:$C,E$1,Despesas!$M:$M,$B810)</f>
        <v>0</v>
      </c>
      <c r="F810" s="5">
        <f>SUMIFS(Despesas!$F:$F,Despesas!$J:$J,"&lt;="&amp;$A810,Despesas!$L:$L,"&gt;="&amp;$A810,Despesas!$C:$C,F$1,Despesas!$M:$M,"Mensal")+SUMIFS(Despesas!$F:$F,Despesas!$J:$J,"&lt;="&amp;$A810,Despesas!$L:$L,"&gt;="&amp;$A810,Despesas!$C:$C,F$1,Despesas!$M:$M,$B810)</f>
        <v>13000</v>
      </c>
      <c r="G810" s="5">
        <f>SUMIFS(Despesas!$F:$F,Despesas!$J:$J,"&lt;="&amp;$A810,Despesas!$L:$L,"&gt;="&amp;$A810,Despesas!$C:$C,G$1,Despesas!$M:$M,"Mensal")+SUMIFS(Despesas!$F:$F,Despesas!$J:$J,"&lt;="&amp;$A810,Despesas!$L:$L,"&gt;="&amp;$A810,Despesas!$C:$C,G$1,Despesas!$M:$M,$B810)</f>
        <v>0</v>
      </c>
      <c r="H810" s="18">
        <f>SUMIFS(Despesas!$F:$F,Despesas!$J:$J,"&lt;="&amp;$A810,Despesas!$L:$L,"&gt;="&amp;$A810,Despesas!$C:$C,H$1,Despesas!$M:$M,"Mensal")+SUMIFS(Despesas!$F:$F,Despesas!$J:$J,"&lt;="&amp;$A810,Despesas!$L:$L,"&gt;="&amp;$A810,Despesas!$C:$C,H$1,Despesas!$M:$M,$B810)</f>
        <v>1000</v>
      </c>
      <c r="I810" s="18">
        <f>IF(Imóveis!$F$2="PRICE",IF(AND(Dados!$A810&gt;=Imóveis!$Q$2,Dados!$A810&lt;=Imóveis!$T$2),Imóveis!$U$2,0),IF((IF(AND(Dados!$A810&gt;=Imóveis!$Q$2,Dados!$A810&lt;=Imóveis!$T$2),Imóveis!$S$2-(DATEDIF(Imóveis!$Q$2,Dados!$A810,"m")),0))=0,0,((Imóveis!$N$2/Imóveis!$S$2)+((Imóveis!$N$2-((Imóveis!$S$2-(IF(AND(Dados!$A810&gt;=Imóveis!$Q$2,Dados!$A810&lt;=Imóveis!$T$2),Imóveis!$S$2-(DATEDIF(Imóveis!$Q$2,Dados!$A810,"m")),)))*(Imóveis!$N$2/Imóveis!$S$2)))*Imóveis!$P$2))))*IF(AND(Imóveis!$E$2&gt;0,Dados!$A810&gt;Imóveis!$E$2),0,1)</f>
        <v>0</v>
      </c>
      <c r="J810" s="18">
        <f>IF(Imóveis!$F$3="PRICE",IF(AND(Dados!$A810&gt;=Imóveis!$Q$3,Dados!$A810&lt;=Imóveis!$T$3),Imóveis!$U$3,0),IF((IF(AND(Dados!$A810&gt;=Imóveis!$Q$3,Dados!$A810&lt;=Imóveis!$T$3),Imóveis!$S$3-(DATEDIF(Imóveis!$Q$3,Dados!$A810,"m")),0))=0,0,((Imóveis!$N$3/Imóveis!$S$3)+((Imóveis!$N$3-((Imóveis!$S$3-(IF(AND(Dados!$A810&gt;=Imóveis!$Q$3,Dados!$A810&lt;=Imóveis!$T$3),Imóveis!$S$3-(DATEDIF(Imóveis!$Q$3,Dados!$A810,"m")),)))*(Imóveis!$N$3/Imóveis!$S$3)))*Imóveis!$P$3))))*IF(AND(Imóveis!$E$3&gt;0,Dados!$A810&gt;Imóveis!$E$3),0,1)</f>
        <v>0</v>
      </c>
      <c r="K810" s="18">
        <f>IF(Imóveis!$F$4="PRICE",IF(AND(Dados!$A810&gt;=Imóveis!$Q$4,Dados!$A810&lt;=Imóveis!$T$4),Imóveis!$U$4,0),IF((IF(AND(Dados!$A810&gt;=Imóveis!$Q$4,Dados!$A810&lt;=Imóveis!$T$4),Imóveis!$S$4-(DATEDIF(Imóveis!$Q$4,Dados!$A810,"m")),0))=0,0,((Imóveis!$N$4/Imóveis!$S$4)+((Imóveis!$N$4-((Imóveis!$S$4-(IF(AND(Dados!$A810&gt;=Imóveis!$Q$4,Dados!$A810&lt;=Imóveis!$T$4),Imóveis!$S$4-(DATEDIF(Imóveis!$Q$4,Dados!$A810,"m")),)))*(Imóveis!$N$4/Imóveis!$S$4)))*Imóveis!$P$4))))*IF(AND(Imóveis!$E$4&gt;0,Dados!$A810&gt;Imóveis!$E$4),0,1)</f>
        <v>0</v>
      </c>
      <c r="L810" s="18">
        <f>IF(Imóveis!$F$5="PRICE",IF(AND(Dados!$A810&gt;=Imóveis!$Q$5,Dados!$A810&lt;=Imóveis!$T$5),Imóveis!$U$5,0),IF((IF(AND(Dados!$A810&gt;=Imóveis!$Q$5,Dados!$A810&lt;=Imóveis!$T$5),Imóveis!$S$5-(DATEDIF(Imóveis!$Q$5,Dados!$A810,"m")),0))=0,0,((Imóveis!$N$5/Imóveis!$S$5)+((Imóveis!$N$5-((Imóveis!$S$5-(IF(AND(Dados!$A810 &gt;=Imóveis!$Q$5,Dados!$A810&lt;=Imóveis!$T$5),Imóveis!$S$5-(DATEDIF(Imóveis!$Q$5,Dados!$A810,"m")),)))*(Imóveis!$N$5/Imóveis!$S$5)))*Imóveis!$P$5))))*IF(AND(Imóveis!$E$5&gt;0,Dados!$A810&gt;Imóveis!$E$5),0,1)*Imóveis!$I$5</f>
        <v>0</v>
      </c>
      <c r="M810" s="18">
        <f>IF(Imóveis!$F$6="PRICE",IF(AND(Dados!$A810&gt;=Imóveis!$Q$6,Dados!$A810&lt;=Imóveis!$T$6),Imóveis!$U$6,0),IF((IF(AND(Dados!$A810&gt;=Imóveis!$Q$6,Dados!$A810&lt;=Imóveis!$T$6),Imóveis!$S$6-(DATEDIF(Imóveis!$Q$6,Dados!$A810,"m")),0))=0,0,((Imóveis!$N$6/Imóveis!$S$6)+((Imóveis!$N$6-((Imóveis!$S$6-(IF(AND(Dados!$A810&gt;=Imóveis!$Q$6,Dados!$A810&lt;=Imóveis!$T$6),Imóveis!$S$6-(DATEDIF(Imóveis!$Q$6,Dados!$A810,"m")),)))*(Imóveis!$N$6/Imóveis!$S$6)))*Imóveis!$P$6))))*IF(AND(Imóveis!$E$6&gt;0,Dados!$A810&gt;Imóveis!$E$6),0,1)*Imóveis!$I$6</f>
        <v>0</v>
      </c>
      <c r="N810" s="18">
        <f t="shared" si="101"/>
        <v>37000</v>
      </c>
      <c r="O810" s="18">
        <f>SUMIFS(Receitas!$F:$F,Receitas!$J:$J,"&lt;="&amp;$A810,Receitas!$L:$L,"&gt;="&amp;$A810,Receitas!$C:$C,O$1,Receitas!$M:$M,"Mensal")+SUMIFS(Receitas!$F:$F,Receitas!$J:$J,"&lt;="&amp;$A810,Receitas!$L:$L,"&gt;="&amp;$A810,Receitas!$C:$C,O$1,Receitas!$M:$M,$B810)</f>
        <v>0</v>
      </c>
      <c r="P810" s="18">
        <f>SUMIFS(Receitas!$F:$F,Receitas!$J:$J,"&lt;="&amp;$A810,Receitas!$L:$L,"&gt;="&amp;$A810,Receitas!$C:$C,P$1,Receitas!$M:$M,"Mensal")+SUMIFS(Receitas!$F:$F,Receitas!$J:$J,"&lt;="&amp;$A810,Receitas!$L:$L,"&gt;="&amp;$A810,Receitas!$C:$C,P$1,Receitas!$M:$M,$B810)</f>
        <v>0</v>
      </c>
      <c r="Q810" s="18">
        <f>SUMIFS(Receitas!$F:$F,Receitas!$J:$J,"&lt;="&amp;$A810,Receitas!$L:$L,"&gt;="&amp;$A810,Receitas!$C:$C,Q$1,Receitas!$M:$M,"Mensal")+SUMIFS(Receitas!$F:$F,Receitas!$J:$J,"&lt;="&amp;$A810,Receitas!$L:$L,"&gt;="&amp;$A810,Receitas!$C:$C,Q$1,Receitas!$M:$M,$B810)</f>
        <v>0</v>
      </c>
      <c r="R810" s="18" cm="1">
        <f t="array" ref="R810">(IF(AND(Membros!$F$2="Sim",A810&lt;=MAX(Membros!$E$2:$E$5)),Membros!K$2,IF(AND(A810&gt;=Membros!J$2,A810&lt;=MAX(Membros!$E$2:$E$5)),Membros!K$2,0))+IF(AND(Membros!$F$3="Sim",A810&lt;=MAX(Membros!$E$2:$E$5)),Membros!K$3,IF(AND(A810&gt;=Membros!J$3,A810&lt;=MAX(Membros!$E$2:$E$5)),Membros!K$3,0)))*IF(AND(COUNTIFS(Tabela3[Tipo],"Provedor",Tabela3[Simulação Seguro],"Sim")=2,A810&gt;=MAX(IF(Tabela3[Tipo]="Dependente",Tabela3[Expectativa de Vida (Data)]))),0,1)</f>
        <v>10000</v>
      </c>
      <c r="S810" s="18">
        <f t="shared" si="102"/>
        <v>10000</v>
      </c>
      <c r="U810" s="18">
        <f t="shared" ca="1" si="105"/>
        <v>67833700.004234165</v>
      </c>
      <c r="V810" s="18">
        <f>SUMIF(Imóveis!E:E,Dados!A:A,Imóveis!Z:Z)-SUMIF(Imóveis!E:E,Dados!A:A,Imóveis!Y:Y)</f>
        <v>0</v>
      </c>
      <c r="W810" s="18">
        <f>-SUMIF(Projetos!N:N,A810,Projetos!F:F)</f>
        <v>0</v>
      </c>
      <c r="X810" s="18">
        <f t="shared" si="99"/>
        <v>-27000</v>
      </c>
      <c r="Y810" s="26">
        <f ca="1">(U810*((Indicadores_Economicos!D$2+1)^(1/12)-1))</f>
        <v>222069.88227760806</v>
      </c>
      <c r="Z810" s="18">
        <f t="shared" ca="1" si="103"/>
        <v>68028769.886511773</v>
      </c>
      <c r="AA810" s="18">
        <f ca="1">Auxiliar_Projetos!E810</f>
        <v>5.4841223379455935E-9</v>
      </c>
      <c r="AB810" s="18">
        <f ca="1">Auxiliar_Projetos!K810</f>
        <v>4.2185556445735242E-9</v>
      </c>
      <c r="AC810" s="18">
        <f ca="1">IF(Z810-AA810-AB810&gt;Investimentos!$C$14,Investimentos!$C$14,IF(Z810-AA810-AB810&lt;Investimentos!$C$14,Z810-AA810-AB810,0))</f>
        <v>300000</v>
      </c>
      <c r="AD810" s="18">
        <f t="shared" ca="1" si="104"/>
        <v>67728769.886511773</v>
      </c>
      <c r="AE810" s="18"/>
    </row>
    <row r="811" spans="1:31" x14ac:dyDescent="0.2">
      <c r="A811" s="4">
        <v>70281</v>
      </c>
      <c r="B811" s="5" t="str">
        <f t="shared" si="100"/>
        <v>junho</v>
      </c>
      <c r="C811" s="5" t="str">
        <f t="shared" si="106"/>
        <v>2092</v>
      </c>
      <c r="D811" s="5">
        <f>SUMIFS(Despesas!$F:$F,Despesas!$J:$J,"&lt;="&amp;$A811,Despesas!$L:$L,"&gt;="&amp;$A811,Despesas!$C:$C,D$1,Despesas!$M:$M,"Mensal")+SUMIFS(Despesas!$F:$F,Despesas!$J:$J,"&lt;="&amp;$A811,Despesas!$L:$L,"&gt;="&amp;$A811,Despesas!$C:$C,D$1,Despesas!$M:$M,$B811)</f>
        <v>23000</v>
      </c>
      <c r="E811" s="18">
        <f>SUMIFS(Despesas!$F:$F,Despesas!$J:$J,"&lt;="&amp;$A811,Despesas!$L:$L,"&gt;="&amp;$A811,Despesas!$C:$C,E$1,Despesas!$M:$M,"Mensal")+SUMIFS(Despesas!$F:$F,Despesas!$J:$J,"&lt;="&amp;$A811,Despesas!$L:$L,"&gt;="&amp;$A811,Despesas!$C:$C,E$1,Despesas!$M:$M,$B811)</f>
        <v>0</v>
      </c>
      <c r="F811" s="5">
        <f>SUMIFS(Despesas!$F:$F,Despesas!$J:$J,"&lt;="&amp;$A811,Despesas!$L:$L,"&gt;="&amp;$A811,Despesas!$C:$C,F$1,Despesas!$M:$M,"Mensal")+SUMIFS(Despesas!$F:$F,Despesas!$J:$J,"&lt;="&amp;$A811,Despesas!$L:$L,"&gt;="&amp;$A811,Despesas!$C:$C,F$1,Despesas!$M:$M,$B811)</f>
        <v>13000</v>
      </c>
      <c r="G811" s="5">
        <f>SUMIFS(Despesas!$F:$F,Despesas!$J:$J,"&lt;="&amp;$A811,Despesas!$L:$L,"&gt;="&amp;$A811,Despesas!$C:$C,G$1,Despesas!$M:$M,"Mensal")+SUMIFS(Despesas!$F:$F,Despesas!$J:$J,"&lt;="&amp;$A811,Despesas!$L:$L,"&gt;="&amp;$A811,Despesas!$C:$C,G$1,Despesas!$M:$M,$B811)</f>
        <v>0</v>
      </c>
      <c r="H811" s="18">
        <f>SUMIFS(Despesas!$F:$F,Despesas!$J:$J,"&lt;="&amp;$A811,Despesas!$L:$L,"&gt;="&amp;$A811,Despesas!$C:$C,H$1,Despesas!$M:$M,"Mensal")+SUMIFS(Despesas!$F:$F,Despesas!$J:$J,"&lt;="&amp;$A811,Despesas!$L:$L,"&gt;="&amp;$A811,Despesas!$C:$C,H$1,Despesas!$M:$M,$B811)</f>
        <v>1000</v>
      </c>
      <c r="I811" s="18">
        <f>IF(Imóveis!$F$2="PRICE",IF(AND(Dados!$A811&gt;=Imóveis!$Q$2,Dados!$A811&lt;=Imóveis!$T$2),Imóveis!$U$2,0),IF((IF(AND(Dados!$A811&gt;=Imóveis!$Q$2,Dados!$A811&lt;=Imóveis!$T$2),Imóveis!$S$2-(DATEDIF(Imóveis!$Q$2,Dados!$A811,"m")),0))=0,0,((Imóveis!$N$2/Imóveis!$S$2)+((Imóveis!$N$2-((Imóveis!$S$2-(IF(AND(Dados!$A811&gt;=Imóveis!$Q$2,Dados!$A811&lt;=Imóveis!$T$2),Imóveis!$S$2-(DATEDIF(Imóveis!$Q$2,Dados!$A811,"m")),)))*(Imóveis!$N$2/Imóveis!$S$2)))*Imóveis!$P$2))))*IF(AND(Imóveis!$E$2&gt;0,Dados!$A811&gt;Imóveis!$E$2),0,1)</f>
        <v>0</v>
      </c>
      <c r="J811" s="18">
        <f>IF(Imóveis!$F$3="PRICE",IF(AND(Dados!$A811&gt;=Imóveis!$Q$3,Dados!$A811&lt;=Imóveis!$T$3),Imóveis!$U$3,0),IF((IF(AND(Dados!$A811&gt;=Imóveis!$Q$3,Dados!$A811&lt;=Imóveis!$T$3),Imóveis!$S$3-(DATEDIF(Imóveis!$Q$3,Dados!$A811,"m")),0))=0,0,((Imóveis!$N$3/Imóveis!$S$3)+((Imóveis!$N$3-((Imóveis!$S$3-(IF(AND(Dados!$A811&gt;=Imóveis!$Q$3,Dados!$A811&lt;=Imóveis!$T$3),Imóveis!$S$3-(DATEDIF(Imóveis!$Q$3,Dados!$A811,"m")),)))*(Imóveis!$N$3/Imóveis!$S$3)))*Imóveis!$P$3))))*IF(AND(Imóveis!$E$3&gt;0,Dados!$A811&gt;Imóveis!$E$3),0,1)</f>
        <v>0</v>
      </c>
      <c r="K811" s="18">
        <f>IF(Imóveis!$F$4="PRICE",IF(AND(Dados!$A811&gt;=Imóveis!$Q$4,Dados!$A811&lt;=Imóveis!$T$4),Imóveis!$U$4,0),IF((IF(AND(Dados!$A811&gt;=Imóveis!$Q$4,Dados!$A811&lt;=Imóveis!$T$4),Imóveis!$S$4-(DATEDIF(Imóveis!$Q$4,Dados!$A811,"m")),0))=0,0,((Imóveis!$N$4/Imóveis!$S$4)+((Imóveis!$N$4-((Imóveis!$S$4-(IF(AND(Dados!$A811&gt;=Imóveis!$Q$4,Dados!$A811&lt;=Imóveis!$T$4),Imóveis!$S$4-(DATEDIF(Imóveis!$Q$4,Dados!$A811,"m")),)))*(Imóveis!$N$4/Imóveis!$S$4)))*Imóveis!$P$4))))*IF(AND(Imóveis!$E$4&gt;0,Dados!$A811&gt;Imóveis!$E$4),0,1)</f>
        <v>0</v>
      </c>
      <c r="L811" s="18">
        <f>IF(Imóveis!$F$5="PRICE",IF(AND(Dados!$A811&gt;=Imóveis!$Q$5,Dados!$A811&lt;=Imóveis!$T$5),Imóveis!$U$5,0),IF((IF(AND(Dados!$A811&gt;=Imóveis!$Q$5,Dados!$A811&lt;=Imóveis!$T$5),Imóveis!$S$5-(DATEDIF(Imóveis!$Q$5,Dados!$A811,"m")),0))=0,0,((Imóveis!$N$5/Imóveis!$S$5)+((Imóveis!$N$5-((Imóveis!$S$5-(IF(AND(Dados!$A811 &gt;=Imóveis!$Q$5,Dados!$A811&lt;=Imóveis!$T$5),Imóveis!$S$5-(DATEDIF(Imóveis!$Q$5,Dados!$A811,"m")),)))*(Imóveis!$N$5/Imóveis!$S$5)))*Imóveis!$P$5))))*IF(AND(Imóveis!$E$5&gt;0,Dados!$A811&gt;Imóveis!$E$5),0,1)*Imóveis!$I$5</f>
        <v>0</v>
      </c>
      <c r="M811" s="18">
        <f>IF(Imóveis!$F$6="PRICE",IF(AND(Dados!$A811&gt;=Imóveis!$Q$6,Dados!$A811&lt;=Imóveis!$T$6),Imóveis!$U$6,0),IF((IF(AND(Dados!$A811&gt;=Imóveis!$Q$6,Dados!$A811&lt;=Imóveis!$T$6),Imóveis!$S$6-(DATEDIF(Imóveis!$Q$6,Dados!$A811,"m")),0))=0,0,((Imóveis!$N$6/Imóveis!$S$6)+((Imóveis!$N$6-((Imóveis!$S$6-(IF(AND(Dados!$A811&gt;=Imóveis!$Q$6,Dados!$A811&lt;=Imóveis!$T$6),Imóveis!$S$6-(DATEDIF(Imóveis!$Q$6,Dados!$A811,"m")),)))*(Imóveis!$N$6/Imóveis!$S$6)))*Imóveis!$P$6))))*IF(AND(Imóveis!$E$6&gt;0,Dados!$A811&gt;Imóveis!$E$6),0,1)*Imóveis!$I$6</f>
        <v>0</v>
      </c>
      <c r="N811" s="18">
        <f t="shared" si="101"/>
        <v>37000</v>
      </c>
      <c r="O811" s="18">
        <f>SUMIFS(Receitas!$F:$F,Receitas!$J:$J,"&lt;="&amp;$A811,Receitas!$L:$L,"&gt;="&amp;$A811,Receitas!$C:$C,O$1,Receitas!$M:$M,"Mensal")+SUMIFS(Receitas!$F:$F,Receitas!$J:$J,"&lt;="&amp;$A811,Receitas!$L:$L,"&gt;="&amp;$A811,Receitas!$C:$C,O$1,Receitas!$M:$M,$B811)</f>
        <v>0</v>
      </c>
      <c r="P811" s="18">
        <f>SUMIFS(Receitas!$F:$F,Receitas!$J:$J,"&lt;="&amp;$A811,Receitas!$L:$L,"&gt;="&amp;$A811,Receitas!$C:$C,P$1,Receitas!$M:$M,"Mensal")+SUMIFS(Receitas!$F:$F,Receitas!$J:$J,"&lt;="&amp;$A811,Receitas!$L:$L,"&gt;="&amp;$A811,Receitas!$C:$C,P$1,Receitas!$M:$M,$B811)</f>
        <v>0</v>
      </c>
      <c r="Q811" s="18">
        <f>SUMIFS(Receitas!$F:$F,Receitas!$J:$J,"&lt;="&amp;$A811,Receitas!$L:$L,"&gt;="&amp;$A811,Receitas!$C:$C,Q$1,Receitas!$M:$M,"Mensal")+SUMIFS(Receitas!$F:$F,Receitas!$J:$J,"&lt;="&amp;$A811,Receitas!$L:$L,"&gt;="&amp;$A811,Receitas!$C:$C,Q$1,Receitas!$M:$M,$B811)</f>
        <v>0</v>
      </c>
      <c r="R811" s="18" cm="1">
        <f t="array" ref="R811">(IF(AND(Membros!$F$2="Sim",A811&lt;=MAX(Membros!$E$2:$E$5)),Membros!K$2,IF(AND(A811&gt;=Membros!J$2,A811&lt;=MAX(Membros!$E$2:$E$5)),Membros!K$2,0))+IF(AND(Membros!$F$3="Sim",A811&lt;=MAX(Membros!$E$2:$E$5)),Membros!K$3,IF(AND(A811&gt;=Membros!J$3,A811&lt;=MAX(Membros!$E$2:$E$5)),Membros!K$3,0)))*IF(AND(COUNTIFS(Tabela3[Tipo],"Provedor",Tabela3[Simulação Seguro],"Sim")=2,A811&gt;=MAX(IF(Tabela3[Tipo]="Dependente",Tabela3[Expectativa de Vida (Data)]))),0,1)</f>
        <v>10000</v>
      </c>
      <c r="S811" s="18">
        <f t="shared" si="102"/>
        <v>10000</v>
      </c>
      <c r="U811" s="18">
        <f t="shared" ca="1" si="105"/>
        <v>68028769.886511773</v>
      </c>
      <c r="V811" s="18">
        <f>SUMIF(Imóveis!E:E,Dados!A:A,Imóveis!Z:Z)-SUMIF(Imóveis!E:E,Dados!A:A,Imóveis!Y:Y)</f>
        <v>0</v>
      </c>
      <c r="W811" s="18">
        <f>-SUMIF(Projetos!N:N,A811,Projetos!F:F)</f>
        <v>0</v>
      </c>
      <c r="X811" s="18">
        <f t="shared" si="99"/>
        <v>-27000</v>
      </c>
      <c r="Y811" s="26">
        <f ca="1">(U811*((Indicadores_Economicos!D$2+1)^(1/12)-1))</f>
        <v>222708.49031152914</v>
      </c>
      <c r="Z811" s="18">
        <f t="shared" ca="1" si="103"/>
        <v>68224478.376823306</v>
      </c>
      <c r="AA811" s="18">
        <f ca="1">Auxiliar_Projetos!E811</f>
        <v>5.5020759274137718E-9</v>
      </c>
      <c r="AB811" s="18">
        <f ca="1">Auxiliar_Projetos!K811</f>
        <v>4.2323660980105846E-9</v>
      </c>
      <c r="AC811" s="18">
        <f ca="1">IF(Z811-AA811-AB811&gt;Investimentos!$C$14,Investimentos!$C$14,IF(Z811-AA811-AB811&lt;Investimentos!$C$14,Z811-AA811-AB811,0))</f>
        <v>300000</v>
      </c>
      <c r="AD811" s="18">
        <f t="shared" ca="1" si="104"/>
        <v>67924478.376823306</v>
      </c>
      <c r="AE811" s="18"/>
    </row>
    <row r="812" spans="1:31" x14ac:dyDescent="0.2">
      <c r="A812" s="4">
        <v>70311</v>
      </c>
      <c r="B812" s="5" t="str">
        <f t="shared" si="100"/>
        <v>julho</v>
      </c>
      <c r="C812" s="5" t="str">
        <f t="shared" si="106"/>
        <v>2092</v>
      </c>
      <c r="D812" s="5">
        <f>SUMIFS(Despesas!$F:$F,Despesas!$J:$J,"&lt;="&amp;$A812,Despesas!$L:$L,"&gt;="&amp;$A812,Despesas!$C:$C,D$1,Despesas!$M:$M,"Mensal")+SUMIFS(Despesas!$F:$F,Despesas!$J:$J,"&lt;="&amp;$A812,Despesas!$L:$L,"&gt;="&amp;$A812,Despesas!$C:$C,D$1,Despesas!$M:$M,$B812)</f>
        <v>23000</v>
      </c>
      <c r="E812" s="18">
        <f>SUMIFS(Despesas!$F:$F,Despesas!$J:$J,"&lt;="&amp;$A812,Despesas!$L:$L,"&gt;="&amp;$A812,Despesas!$C:$C,E$1,Despesas!$M:$M,"Mensal")+SUMIFS(Despesas!$F:$F,Despesas!$J:$J,"&lt;="&amp;$A812,Despesas!$L:$L,"&gt;="&amp;$A812,Despesas!$C:$C,E$1,Despesas!$M:$M,$B812)</f>
        <v>0</v>
      </c>
      <c r="F812" s="5">
        <f>SUMIFS(Despesas!$F:$F,Despesas!$J:$J,"&lt;="&amp;$A812,Despesas!$L:$L,"&gt;="&amp;$A812,Despesas!$C:$C,F$1,Despesas!$M:$M,"Mensal")+SUMIFS(Despesas!$F:$F,Despesas!$J:$J,"&lt;="&amp;$A812,Despesas!$L:$L,"&gt;="&amp;$A812,Despesas!$C:$C,F$1,Despesas!$M:$M,$B812)</f>
        <v>13000</v>
      </c>
      <c r="G812" s="5">
        <f ca="1">SUMIFS(Despesas!$F:$F,Despesas!$J:$J,"&lt;="&amp;$A812,Despesas!$L:$L,"&gt;="&amp;$A812,Despesas!$C:$C,G$1,Despesas!$M:$M,"Mensal")+SUMIFS(Despesas!$F:$F,Despesas!$J:$J,"&lt;="&amp;$A812,Despesas!$L:$L,"&gt;="&amp;$A812,Despesas!$C:$C,G$1,Despesas!$M:$M,$B812)</f>
        <v>55757</v>
      </c>
      <c r="H812" s="18">
        <f>SUMIFS(Despesas!$F:$F,Despesas!$J:$J,"&lt;="&amp;$A812,Despesas!$L:$L,"&gt;="&amp;$A812,Despesas!$C:$C,H$1,Despesas!$M:$M,"Mensal")+SUMIFS(Despesas!$F:$F,Despesas!$J:$J,"&lt;="&amp;$A812,Despesas!$L:$L,"&gt;="&amp;$A812,Despesas!$C:$C,H$1,Despesas!$M:$M,$B812)</f>
        <v>1000</v>
      </c>
      <c r="I812" s="18">
        <f>IF(Imóveis!$F$2="PRICE",IF(AND(Dados!$A812&gt;=Imóveis!$Q$2,Dados!$A812&lt;=Imóveis!$T$2),Imóveis!$U$2,0),IF((IF(AND(Dados!$A812&gt;=Imóveis!$Q$2,Dados!$A812&lt;=Imóveis!$T$2),Imóveis!$S$2-(DATEDIF(Imóveis!$Q$2,Dados!$A812,"m")),0))=0,0,((Imóveis!$N$2/Imóveis!$S$2)+((Imóveis!$N$2-((Imóveis!$S$2-(IF(AND(Dados!$A812&gt;=Imóveis!$Q$2,Dados!$A812&lt;=Imóveis!$T$2),Imóveis!$S$2-(DATEDIF(Imóveis!$Q$2,Dados!$A812,"m")),)))*(Imóveis!$N$2/Imóveis!$S$2)))*Imóveis!$P$2))))*IF(AND(Imóveis!$E$2&gt;0,Dados!$A812&gt;Imóveis!$E$2),0,1)</f>
        <v>0</v>
      </c>
      <c r="J812" s="18">
        <f>IF(Imóveis!$F$3="PRICE",IF(AND(Dados!$A812&gt;=Imóveis!$Q$3,Dados!$A812&lt;=Imóveis!$T$3),Imóveis!$U$3,0),IF((IF(AND(Dados!$A812&gt;=Imóveis!$Q$3,Dados!$A812&lt;=Imóveis!$T$3),Imóveis!$S$3-(DATEDIF(Imóveis!$Q$3,Dados!$A812,"m")),0))=0,0,((Imóveis!$N$3/Imóveis!$S$3)+((Imóveis!$N$3-((Imóveis!$S$3-(IF(AND(Dados!$A812&gt;=Imóveis!$Q$3,Dados!$A812&lt;=Imóveis!$T$3),Imóveis!$S$3-(DATEDIF(Imóveis!$Q$3,Dados!$A812,"m")),)))*(Imóveis!$N$3/Imóveis!$S$3)))*Imóveis!$P$3))))*IF(AND(Imóveis!$E$3&gt;0,Dados!$A812&gt;Imóveis!$E$3),0,1)</f>
        <v>0</v>
      </c>
      <c r="K812" s="18">
        <f>IF(Imóveis!$F$4="PRICE",IF(AND(Dados!$A812&gt;=Imóveis!$Q$4,Dados!$A812&lt;=Imóveis!$T$4),Imóveis!$U$4,0),IF((IF(AND(Dados!$A812&gt;=Imóveis!$Q$4,Dados!$A812&lt;=Imóveis!$T$4),Imóveis!$S$4-(DATEDIF(Imóveis!$Q$4,Dados!$A812,"m")),0))=0,0,((Imóveis!$N$4/Imóveis!$S$4)+((Imóveis!$N$4-((Imóveis!$S$4-(IF(AND(Dados!$A812&gt;=Imóveis!$Q$4,Dados!$A812&lt;=Imóveis!$T$4),Imóveis!$S$4-(DATEDIF(Imóveis!$Q$4,Dados!$A812,"m")),)))*(Imóveis!$N$4/Imóveis!$S$4)))*Imóveis!$P$4))))*IF(AND(Imóveis!$E$4&gt;0,Dados!$A812&gt;Imóveis!$E$4),0,1)</f>
        <v>0</v>
      </c>
      <c r="L812" s="18">
        <f>IF(Imóveis!$F$5="PRICE",IF(AND(Dados!$A812&gt;=Imóveis!$Q$5,Dados!$A812&lt;=Imóveis!$T$5),Imóveis!$U$5,0),IF((IF(AND(Dados!$A812&gt;=Imóveis!$Q$5,Dados!$A812&lt;=Imóveis!$T$5),Imóveis!$S$5-(DATEDIF(Imóveis!$Q$5,Dados!$A812,"m")),0))=0,0,((Imóveis!$N$5/Imóveis!$S$5)+((Imóveis!$N$5-((Imóveis!$S$5-(IF(AND(Dados!$A812 &gt;=Imóveis!$Q$5,Dados!$A812&lt;=Imóveis!$T$5),Imóveis!$S$5-(DATEDIF(Imóveis!$Q$5,Dados!$A812,"m")),)))*(Imóveis!$N$5/Imóveis!$S$5)))*Imóveis!$P$5))))*IF(AND(Imóveis!$E$5&gt;0,Dados!$A812&gt;Imóveis!$E$5),0,1)*Imóveis!$I$5</f>
        <v>0</v>
      </c>
      <c r="M812" s="18">
        <f>IF(Imóveis!$F$6="PRICE",IF(AND(Dados!$A812&gt;=Imóveis!$Q$6,Dados!$A812&lt;=Imóveis!$T$6),Imóveis!$U$6,0),IF((IF(AND(Dados!$A812&gt;=Imóveis!$Q$6,Dados!$A812&lt;=Imóveis!$T$6),Imóveis!$S$6-(DATEDIF(Imóveis!$Q$6,Dados!$A812,"m")),0))=0,0,((Imóveis!$N$6/Imóveis!$S$6)+((Imóveis!$N$6-((Imóveis!$S$6-(IF(AND(Dados!$A812&gt;=Imóveis!$Q$6,Dados!$A812&lt;=Imóveis!$T$6),Imóveis!$S$6-(DATEDIF(Imóveis!$Q$6,Dados!$A812,"m")),)))*(Imóveis!$N$6/Imóveis!$S$6)))*Imóveis!$P$6))))*IF(AND(Imóveis!$E$6&gt;0,Dados!$A812&gt;Imóveis!$E$6),0,1)*Imóveis!$I$6</f>
        <v>0</v>
      </c>
      <c r="N812" s="18">
        <f t="shared" ca="1" si="101"/>
        <v>92757</v>
      </c>
      <c r="O812" s="18">
        <f>SUMIFS(Receitas!$F:$F,Receitas!$J:$J,"&lt;="&amp;$A812,Receitas!$L:$L,"&gt;="&amp;$A812,Receitas!$C:$C,O$1,Receitas!$M:$M,"Mensal")+SUMIFS(Receitas!$F:$F,Receitas!$J:$J,"&lt;="&amp;$A812,Receitas!$L:$L,"&gt;="&amp;$A812,Receitas!$C:$C,O$1,Receitas!$M:$M,$B812)</f>
        <v>0</v>
      </c>
      <c r="P812" s="18">
        <f>SUMIFS(Receitas!$F:$F,Receitas!$J:$J,"&lt;="&amp;$A812,Receitas!$L:$L,"&gt;="&amp;$A812,Receitas!$C:$C,P$1,Receitas!$M:$M,"Mensal")+SUMIFS(Receitas!$F:$F,Receitas!$J:$J,"&lt;="&amp;$A812,Receitas!$L:$L,"&gt;="&amp;$A812,Receitas!$C:$C,P$1,Receitas!$M:$M,$B812)</f>
        <v>0</v>
      </c>
      <c r="Q812" s="18">
        <f>SUMIFS(Receitas!$F:$F,Receitas!$J:$J,"&lt;="&amp;$A812,Receitas!$L:$L,"&gt;="&amp;$A812,Receitas!$C:$C,Q$1,Receitas!$M:$M,"Mensal")+SUMIFS(Receitas!$F:$F,Receitas!$J:$J,"&lt;="&amp;$A812,Receitas!$L:$L,"&gt;="&amp;$A812,Receitas!$C:$C,Q$1,Receitas!$M:$M,$B812)</f>
        <v>0</v>
      </c>
      <c r="R812" s="18" cm="1">
        <f t="array" ref="R812">(IF(AND(Membros!$F$2="Sim",A812&lt;=MAX(Membros!$E$2:$E$5)),Membros!K$2,IF(AND(A812&gt;=Membros!J$2,A812&lt;=MAX(Membros!$E$2:$E$5)),Membros!K$2,0))+IF(AND(Membros!$F$3="Sim",A812&lt;=MAX(Membros!$E$2:$E$5)),Membros!K$3,IF(AND(A812&gt;=Membros!J$3,A812&lt;=MAX(Membros!$E$2:$E$5)),Membros!K$3,0)))*IF(AND(COUNTIFS(Tabela3[Tipo],"Provedor",Tabela3[Simulação Seguro],"Sim")=2,A812&gt;=MAX(IF(Tabela3[Tipo]="Dependente",Tabela3[Expectativa de Vida (Data)]))),0,1)</f>
        <v>10000</v>
      </c>
      <c r="S812" s="18">
        <f t="shared" si="102"/>
        <v>10000</v>
      </c>
      <c r="U812" s="18">
        <f t="shared" ca="1" si="105"/>
        <v>68224478.376823306</v>
      </c>
      <c r="V812" s="18">
        <f>SUMIF(Imóveis!E:E,Dados!A:A,Imóveis!Z:Z)-SUMIF(Imóveis!E:E,Dados!A:A,Imóveis!Y:Y)</f>
        <v>0</v>
      </c>
      <c r="W812" s="18">
        <f>-SUMIF(Projetos!N:N,A812,Projetos!F:F)</f>
        <v>0</v>
      </c>
      <c r="X812" s="18">
        <f t="shared" ca="1" si="99"/>
        <v>-82757</v>
      </c>
      <c r="Y812" s="26">
        <f ca="1">(U812*((Indicadores_Economicos!D$2+1)^(1/12)-1))</f>
        <v>223349.18898197607</v>
      </c>
      <c r="Z812" s="18">
        <f t="shared" ca="1" si="103"/>
        <v>68365070.565805286</v>
      </c>
      <c r="AA812" s="18">
        <f ca="1">Auxiliar_Projetos!E812</f>
        <v>5.5200882922620256E-9</v>
      </c>
      <c r="AB812" s="18">
        <f ca="1">Auxiliar_Projetos!K812</f>
        <v>4.2462217632784723E-9</v>
      </c>
      <c r="AC812" s="18">
        <f ca="1">IF(Z812-AA812-AB812&gt;Investimentos!$C$14,Investimentos!$C$14,IF(Z812-AA812-AB812&lt;Investimentos!$C$14,Z812-AA812-AB812,0))</f>
        <v>300000</v>
      </c>
      <c r="AD812" s="18">
        <f t="shared" ca="1" si="104"/>
        <v>68065070.565805286</v>
      </c>
      <c r="AE812" s="18"/>
    </row>
    <row r="813" spans="1:31" x14ac:dyDescent="0.2">
      <c r="A813" s="4">
        <v>70342</v>
      </c>
      <c r="B813" s="5" t="str">
        <f t="shared" si="100"/>
        <v>agosto</v>
      </c>
      <c r="C813" s="5" t="str">
        <f t="shared" si="106"/>
        <v>2092</v>
      </c>
      <c r="D813" s="5">
        <f>SUMIFS(Despesas!$F:$F,Despesas!$J:$J,"&lt;="&amp;$A813,Despesas!$L:$L,"&gt;="&amp;$A813,Despesas!$C:$C,D$1,Despesas!$M:$M,"Mensal")+SUMIFS(Despesas!$F:$F,Despesas!$J:$J,"&lt;="&amp;$A813,Despesas!$L:$L,"&gt;="&amp;$A813,Despesas!$C:$C,D$1,Despesas!$M:$M,$B813)</f>
        <v>23000</v>
      </c>
      <c r="E813" s="18">
        <f>SUMIFS(Despesas!$F:$F,Despesas!$J:$J,"&lt;="&amp;$A813,Despesas!$L:$L,"&gt;="&amp;$A813,Despesas!$C:$C,E$1,Despesas!$M:$M,"Mensal")+SUMIFS(Despesas!$F:$F,Despesas!$J:$J,"&lt;="&amp;$A813,Despesas!$L:$L,"&gt;="&amp;$A813,Despesas!$C:$C,E$1,Despesas!$M:$M,$B813)</f>
        <v>0</v>
      </c>
      <c r="F813" s="5">
        <f>SUMIFS(Despesas!$F:$F,Despesas!$J:$J,"&lt;="&amp;$A813,Despesas!$L:$L,"&gt;="&amp;$A813,Despesas!$C:$C,F$1,Despesas!$M:$M,"Mensal")+SUMIFS(Despesas!$F:$F,Despesas!$J:$J,"&lt;="&amp;$A813,Despesas!$L:$L,"&gt;="&amp;$A813,Despesas!$C:$C,F$1,Despesas!$M:$M,$B813)</f>
        <v>13000</v>
      </c>
      <c r="G813" s="5">
        <f>SUMIFS(Despesas!$F:$F,Despesas!$J:$J,"&lt;="&amp;$A813,Despesas!$L:$L,"&gt;="&amp;$A813,Despesas!$C:$C,G$1,Despesas!$M:$M,"Mensal")+SUMIFS(Despesas!$F:$F,Despesas!$J:$J,"&lt;="&amp;$A813,Despesas!$L:$L,"&gt;="&amp;$A813,Despesas!$C:$C,G$1,Despesas!$M:$M,$B813)</f>
        <v>0</v>
      </c>
      <c r="H813" s="18">
        <f>SUMIFS(Despesas!$F:$F,Despesas!$J:$J,"&lt;="&amp;$A813,Despesas!$L:$L,"&gt;="&amp;$A813,Despesas!$C:$C,H$1,Despesas!$M:$M,"Mensal")+SUMIFS(Despesas!$F:$F,Despesas!$J:$J,"&lt;="&amp;$A813,Despesas!$L:$L,"&gt;="&amp;$A813,Despesas!$C:$C,H$1,Despesas!$M:$M,$B813)</f>
        <v>1000</v>
      </c>
      <c r="I813" s="18">
        <f>IF(Imóveis!$F$2="PRICE",IF(AND(Dados!$A813&gt;=Imóveis!$Q$2,Dados!$A813&lt;=Imóveis!$T$2),Imóveis!$U$2,0),IF((IF(AND(Dados!$A813&gt;=Imóveis!$Q$2,Dados!$A813&lt;=Imóveis!$T$2),Imóveis!$S$2-(DATEDIF(Imóveis!$Q$2,Dados!$A813,"m")),0))=0,0,((Imóveis!$N$2/Imóveis!$S$2)+((Imóveis!$N$2-((Imóveis!$S$2-(IF(AND(Dados!$A813&gt;=Imóveis!$Q$2,Dados!$A813&lt;=Imóveis!$T$2),Imóveis!$S$2-(DATEDIF(Imóveis!$Q$2,Dados!$A813,"m")),)))*(Imóveis!$N$2/Imóveis!$S$2)))*Imóveis!$P$2))))*IF(AND(Imóveis!$E$2&gt;0,Dados!$A813&gt;Imóveis!$E$2),0,1)</f>
        <v>0</v>
      </c>
      <c r="J813" s="18">
        <f>IF(Imóveis!$F$3="PRICE",IF(AND(Dados!$A813&gt;=Imóveis!$Q$3,Dados!$A813&lt;=Imóveis!$T$3),Imóveis!$U$3,0),IF((IF(AND(Dados!$A813&gt;=Imóveis!$Q$3,Dados!$A813&lt;=Imóveis!$T$3),Imóveis!$S$3-(DATEDIF(Imóveis!$Q$3,Dados!$A813,"m")),0))=0,0,((Imóveis!$N$3/Imóveis!$S$3)+((Imóveis!$N$3-((Imóveis!$S$3-(IF(AND(Dados!$A813&gt;=Imóveis!$Q$3,Dados!$A813&lt;=Imóveis!$T$3),Imóveis!$S$3-(DATEDIF(Imóveis!$Q$3,Dados!$A813,"m")),)))*(Imóveis!$N$3/Imóveis!$S$3)))*Imóveis!$P$3))))*IF(AND(Imóveis!$E$3&gt;0,Dados!$A813&gt;Imóveis!$E$3),0,1)</f>
        <v>0</v>
      </c>
      <c r="K813" s="18">
        <f>IF(Imóveis!$F$4="PRICE",IF(AND(Dados!$A813&gt;=Imóveis!$Q$4,Dados!$A813&lt;=Imóveis!$T$4),Imóveis!$U$4,0),IF((IF(AND(Dados!$A813&gt;=Imóveis!$Q$4,Dados!$A813&lt;=Imóveis!$T$4),Imóveis!$S$4-(DATEDIF(Imóveis!$Q$4,Dados!$A813,"m")),0))=0,0,((Imóveis!$N$4/Imóveis!$S$4)+((Imóveis!$N$4-((Imóveis!$S$4-(IF(AND(Dados!$A813&gt;=Imóveis!$Q$4,Dados!$A813&lt;=Imóveis!$T$4),Imóveis!$S$4-(DATEDIF(Imóveis!$Q$4,Dados!$A813,"m")),)))*(Imóveis!$N$4/Imóveis!$S$4)))*Imóveis!$P$4))))*IF(AND(Imóveis!$E$4&gt;0,Dados!$A813&gt;Imóveis!$E$4),0,1)</f>
        <v>0</v>
      </c>
      <c r="L813" s="18">
        <f>IF(Imóveis!$F$5="PRICE",IF(AND(Dados!$A813&gt;=Imóveis!$Q$5,Dados!$A813&lt;=Imóveis!$T$5),Imóveis!$U$5,0),IF((IF(AND(Dados!$A813&gt;=Imóveis!$Q$5,Dados!$A813&lt;=Imóveis!$T$5),Imóveis!$S$5-(DATEDIF(Imóveis!$Q$5,Dados!$A813,"m")),0))=0,0,((Imóveis!$N$5/Imóveis!$S$5)+((Imóveis!$N$5-((Imóveis!$S$5-(IF(AND(Dados!$A813 &gt;=Imóveis!$Q$5,Dados!$A813&lt;=Imóveis!$T$5),Imóveis!$S$5-(DATEDIF(Imóveis!$Q$5,Dados!$A813,"m")),)))*(Imóveis!$N$5/Imóveis!$S$5)))*Imóveis!$P$5))))*IF(AND(Imóveis!$E$5&gt;0,Dados!$A813&gt;Imóveis!$E$5),0,1)*Imóveis!$I$5</f>
        <v>0</v>
      </c>
      <c r="M813" s="18">
        <f>IF(Imóveis!$F$6="PRICE",IF(AND(Dados!$A813&gt;=Imóveis!$Q$6,Dados!$A813&lt;=Imóveis!$T$6),Imóveis!$U$6,0),IF((IF(AND(Dados!$A813&gt;=Imóveis!$Q$6,Dados!$A813&lt;=Imóveis!$T$6),Imóveis!$S$6-(DATEDIF(Imóveis!$Q$6,Dados!$A813,"m")),0))=0,0,((Imóveis!$N$6/Imóveis!$S$6)+((Imóveis!$N$6-((Imóveis!$S$6-(IF(AND(Dados!$A813&gt;=Imóveis!$Q$6,Dados!$A813&lt;=Imóveis!$T$6),Imóveis!$S$6-(DATEDIF(Imóveis!$Q$6,Dados!$A813,"m")),)))*(Imóveis!$N$6/Imóveis!$S$6)))*Imóveis!$P$6))))*IF(AND(Imóveis!$E$6&gt;0,Dados!$A813&gt;Imóveis!$E$6),0,1)*Imóveis!$I$6</f>
        <v>0</v>
      </c>
      <c r="N813" s="18">
        <f t="shared" si="101"/>
        <v>37000</v>
      </c>
      <c r="O813" s="18">
        <f>SUMIFS(Receitas!$F:$F,Receitas!$J:$J,"&lt;="&amp;$A813,Receitas!$L:$L,"&gt;="&amp;$A813,Receitas!$C:$C,O$1,Receitas!$M:$M,"Mensal")+SUMIFS(Receitas!$F:$F,Receitas!$J:$J,"&lt;="&amp;$A813,Receitas!$L:$L,"&gt;="&amp;$A813,Receitas!$C:$C,O$1,Receitas!$M:$M,$B813)</f>
        <v>0</v>
      </c>
      <c r="P813" s="18">
        <f>SUMIFS(Receitas!$F:$F,Receitas!$J:$J,"&lt;="&amp;$A813,Receitas!$L:$L,"&gt;="&amp;$A813,Receitas!$C:$C,P$1,Receitas!$M:$M,"Mensal")+SUMIFS(Receitas!$F:$F,Receitas!$J:$J,"&lt;="&amp;$A813,Receitas!$L:$L,"&gt;="&amp;$A813,Receitas!$C:$C,P$1,Receitas!$M:$M,$B813)</f>
        <v>0</v>
      </c>
      <c r="Q813" s="18">
        <f>SUMIFS(Receitas!$F:$F,Receitas!$J:$J,"&lt;="&amp;$A813,Receitas!$L:$L,"&gt;="&amp;$A813,Receitas!$C:$C,Q$1,Receitas!$M:$M,"Mensal")+SUMIFS(Receitas!$F:$F,Receitas!$J:$J,"&lt;="&amp;$A813,Receitas!$L:$L,"&gt;="&amp;$A813,Receitas!$C:$C,Q$1,Receitas!$M:$M,$B813)</f>
        <v>0</v>
      </c>
      <c r="R813" s="18" cm="1">
        <f t="array" ref="R813">(IF(AND(Membros!$F$2="Sim",A813&lt;=MAX(Membros!$E$2:$E$5)),Membros!K$2,IF(AND(A813&gt;=Membros!J$2,A813&lt;=MAX(Membros!$E$2:$E$5)),Membros!K$2,0))+IF(AND(Membros!$F$3="Sim",A813&lt;=MAX(Membros!$E$2:$E$5)),Membros!K$3,IF(AND(A813&gt;=Membros!J$3,A813&lt;=MAX(Membros!$E$2:$E$5)),Membros!K$3,0)))*IF(AND(COUNTIFS(Tabela3[Tipo],"Provedor",Tabela3[Simulação Seguro],"Sim")=2,A813&gt;=MAX(IF(Tabela3[Tipo]="Dependente",Tabela3[Expectativa de Vida (Data)]))),0,1)</f>
        <v>10000</v>
      </c>
      <c r="S813" s="18">
        <f t="shared" si="102"/>
        <v>10000</v>
      </c>
      <c r="U813" s="18">
        <f t="shared" ca="1" si="105"/>
        <v>68365070.565805286</v>
      </c>
      <c r="V813" s="18">
        <f>SUMIF(Imóveis!E:E,Dados!A:A,Imóveis!Z:Z)-SUMIF(Imóveis!E:E,Dados!A:A,Imóveis!Y:Y)</f>
        <v>0</v>
      </c>
      <c r="W813" s="18">
        <f>-SUMIF(Projetos!N:N,A813,Projetos!F:F)</f>
        <v>0</v>
      </c>
      <c r="X813" s="18">
        <f t="shared" si="99"/>
        <v>-27000</v>
      </c>
      <c r="Y813" s="26">
        <f ca="1">(U813*((Indicadores_Economicos!D$2+1)^(1/12)-1))</f>
        <v>223809.45122411283</v>
      </c>
      <c r="Z813" s="18">
        <f t="shared" ca="1" si="103"/>
        <v>68561880.017029405</v>
      </c>
      <c r="AA813" s="18">
        <f ca="1">Auxiliar_Projetos!E813</f>
        <v>5.538159624905654E-9</v>
      </c>
      <c r="AB813" s="18">
        <f ca="1">Auxiliar_Projetos!K813</f>
        <v>4.2601227883889559E-9</v>
      </c>
      <c r="AC813" s="18">
        <f ca="1">IF(Z813-AA813-AB813&gt;Investimentos!$C$14,Investimentos!$C$14,IF(Z813-AA813-AB813&lt;Investimentos!$C$14,Z813-AA813-AB813,0))</f>
        <v>300000</v>
      </c>
      <c r="AD813" s="18">
        <f t="shared" ca="1" si="104"/>
        <v>68261880.017029405</v>
      </c>
      <c r="AE813" s="18"/>
    </row>
    <row r="814" spans="1:31" x14ac:dyDescent="0.2">
      <c r="A814" s="4">
        <v>70373</v>
      </c>
      <c r="B814" s="5" t="str">
        <f t="shared" si="100"/>
        <v>setembro</v>
      </c>
      <c r="C814" s="5" t="str">
        <f t="shared" si="106"/>
        <v>2092</v>
      </c>
      <c r="D814" s="5">
        <f>SUMIFS(Despesas!$F:$F,Despesas!$J:$J,"&lt;="&amp;$A814,Despesas!$L:$L,"&gt;="&amp;$A814,Despesas!$C:$C,D$1,Despesas!$M:$M,"Mensal")+SUMIFS(Despesas!$F:$F,Despesas!$J:$J,"&lt;="&amp;$A814,Despesas!$L:$L,"&gt;="&amp;$A814,Despesas!$C:$C,D$1,Despesas!$M:$M,$B814)</f>
        <v>23000</v>
      </c>
      <c r="E814" s="18">
        <f>SUMIFS(Despesas!$F:$F,Despesas!$J:$J,"&lt;="&amp;$A814,Despesas!$L:$L,"&gt;="&amp;$A814,Despesas!$C:$C,E$1,Despesas!$M:$M,"Mensal")+SUMIFS(Despesas!$F:$F,Despesas!$J:$J,"&lt;="&amp;$A814,Despesas!$L:$L,"&gt;="&amp;$A814,Despesas!$C:$C,E$1,Despesas!$M:$M,$B814)</f>
        <v>0</v>
      </c>
      <c r="F814" s="5">
        <f>SUMIFS(Despesas!$F:$F,Despesas!$J:$J,"&lt;="&amp;$A814,Despesas!$L:$L,"&gt;="&amp;$A814,Despesas!$C:$C,F$1,Despesas!$M:$M,"Mensal")+SUMIFS(Despesas!$F:$F,Despesas!$J:$J,"&lt;="&amp;$A814,Despesas!$L:$L,"&gt;="&amp;$A814,Despesas!$C:$C,F$1,Despesas!$M:$M,$B814)</f>
        <v>13000</v>
      </c>
      <c r="G814" s="5">
        <f>SUMIFS(Despesas!$F:$F,Despesas!$J:$J,"&lt;="&amp;$A814,Despesas!$L:$L,"&gt;="&amp;$A814,Despesas!$C:$C,G$1,Despesas!$M:$M,"Mensal")+SUMIFS(Despesas!$F:$F,Despesas!$J:$J,"&lt;="&amp;$A814,Despesas!$L:$L,"&gt;="&amp;$A814,Despesas!$C:$C,G$1,Despesas!$M:$M,$B814)</f>
        <v>0</v>
      </c>
      <c r="H814" s="18">
        <f>SUMIFS(Despesas!$F:$F,Despesas!$J:$J,"&lt;="&amp;$A814,Despesas!$L:$L,"&gt;="&amp;$A814,Despesas!$C:$C,H$1,Despesas!$M:$M,"Mensal")+SUMIFS(Despesas!$F:$F,Despesas!$J:$J,"&lt;="&amp;$A814,Despesas!$L:$L,"&gt;="&amp;$A814,Despesas!$C:$C,H$1,Despesas!$M:$M,$B814)</f>
        <v>1000</v>
      </c>
      <c r="I814" s="18">
        <f>IF(Imóveis!$F$2="PRICE",IF(AND(Dados!$A814&gt;=Imóveis!$Q$2,Dados!$A814&lt;=Imóveis!$T$2),Imóveis!$U$2,0),IF((IF(AND(Dados!$A814&gt;=Imóveis!$Q$2,Dados!$A814&lt;=Imóveis!$T$2),Imóveis!$S$2-(DATEDIF(Imóveis!$Q$2,Dados!$A814,"m")),0))=0,0,((Imóveis!$N$2/Imóveis!$S$2)+((Imóveis!$N$2-((Imóveis!$S$2-(IF(AND(Dados!$A814&gt;=Imóveis!$Q$2,Dados!$A814&lt;=Imóveis!$T$2),Imóveis!$S$2-(DATEDIF(Imóveis!$Q$2,Dados!$A814,"m")),)))*(Imóveis!$N$2/Imóveis!$S$2)))*Imóveis!$P$2))))*IF(AND(Imóveis!$E$2&gt;0,Dados!$A814&gt;Imóveis!$E$2),0,1)</f>
        <v>0</v>
      </c>
      <c r="J814" s="18">
        <f>IF(Imóveis!$F$3="PRICE",IF(AND(Dados!$A814&gt;=Imóveis!$Q$3,Dados!$A814&lt;=Imóveis!$T$3),Imóveis!$U$3,0),IF((IF(AND(Dados!$A814&gt;=Imóveis!$Q$3,Dados!$A814&lt;=Imóveis!$T$3),Imóveis!$S$3-(DATEDIF(Imóveis!$Q$3,Dados!$A814,"m")),0))=0,0,((Imóveis!$N$3/Imóveis!$S$3)+((Imóveis!$N$3-((Imóveis!$S$3-(IF(AND(Dados!$A814&gt;=Imóveis!$Q$3,Dados!$A814&lt;=Imóveis!$T$3),Imóveis!$S$3-(DATEDIF(Imóveis!$Q$3,Dados!$A814,"m")),)))*(Imóveis!$N$3/Imóveis!$S$3)))*Imóveis!$P$3))))*IF(AND(Imóveis!$E$3&gt;0,Dados!$A814&gt;Imóveis!$E$3),0,1)</f>
        <v>0</v>
      </c>
      <c r="K814" s="18">
        <f>IF(Imóveis!$F$4="PRICE",IF(AND(Dados!$A814&gt;=Imóveis!$Q$4,Dados!$A814&lt;=Imóveis!$T$4),Imóveis!$U$4,0),IF((IF(AND(Dados!$A814&gt;=Imóveis!$Q$4,Dados!$A814&lt;=Imóveis!$T$4),Imóveis!$S$4-(DATEDIF(Imóveis!$Q$4,Dados!$A814,"m")),0))=0,0,((Imóveis!$N$4/Imóveis!$S$4)+((Imóveis!$N$4-((Imóveis!$S$4-(IF(AND(Dados!$A814&gt;=Imóveis!$Q$4,Dados!$A814&lt;=Imóveis!$T$4),Imóveis!$S$4-(DATEDIF(Imóveis!$Q$4,Dados!$A814,"m")),)))*(Imóveis!$N$4/Imóveis!$S$4)))*Imóveis!$P$4))))*IF(AND(Imóveis!$E$4&gt;0,Dados!$A814&gt;Imóveis!$E$4),0,1)</f>
        <v>0</v>
      </c>
      <c r="L814" s="18">
        <f>IF(Imóveis!$F$5="PRICE",IF(AND(Dados!$A814&gt;=Imóveis!$Q$5,Dados!$A814&lt;=Imóveis!$T$5),Imóveis!$U$5,0),IF((IF(AND(Dados!$A814&gt;=Imóveis!$Q$5,Dados!$A814&lt;=Imóveis!$T$5),Imóveis!$S$5-(DATEDIF(Imóveis!$Q$5,Dados!$A814,"m")),0))=0,0,((Imóveis!$N$5/Imóveis!$S$5)+((Imóveis!$N$5-((Imóveis!$S$5-(IF(AND(Dados!$A814 &gt;=Imóveis!$Q$5,Dados!$A814&lt;=Imóveis!$T$5),Imóveis!$S$5-(DATEDIF(Imóveis!$Q$5,Dados!$A814,"m")),)))*(Imóveis!$N$5/Imóveis!$S$5)))*Imóveis!$P$5))))*IF(AND(Imóveis!$E$5&gt;0,Dados!$A814&gt;Imóveis!$E$5),0,1)*Imóveis!$I$5</f>
        <v>0</v>
      </c>
      <c r="M814" s="18">
        <f>IF(Imóveis!$F$6="PRICE",IF(AND(Dados!$A814&gt;=Imóveis!$Q$6,Dados!$A814&lt;=Imóveis!$T$6),Imóveis!$U$6,0),IF((IF(AND(Dados!$A814&gt;=Imóveis!$Q$6,Dados!$A814&lt;=Imóveis!$T$6),Imóveis!$S$6-(DATEDIF(Imóveis!$Q$6,Dados!$A814,"m")),0))=0,0,((Imóveis!$N$6/Imóveis!$S$6)+((Imóveis!$N$6-((Imóveis!$S$6-(IF(AND(Dados!$A814&gt;=Imóveis!$Q$6,Dados!$A814&lt;=Imóveis!$T$6),Imóveis!$S$6-(DATEDIF(Imóveis!$Q$6,Dados!$A814,"m")),)))*(Imóveis!$N$6/Imóveis!$S$6)))*Imóveis!$P$6))))*IF(AND(Imóveis!$E$6&gt;0,Dados!$A814&gt;Imóveis!$E$6),0,1)*Imóveis!$I$6</f>
        <v>0</v>
      </c>
      <c r="N814" s="18">
        <f t="shared" si="101"/>
        <v>37000</v>
      </c>
      <c r="O814" s="18">
        <f>SUMIFS(Receitas!$F:$F,Receitas!$J:$J,"&lt;="&amp;$A814,Receitas!$L:$L,"&gt;="&amp;$A814,Receitas!$C:$C,O$1,Receitas!$M:$M,"Mensal")+SUMIFS(Receitas!$F:$F,Receitas!$J:$J,"&lt;="&amp;$A814,Receitas!$L:$L,"&gt;="&amp;$A814,Receitas!$C:$C,O$1,Receitas!$M:$M,$B814)</f>
        <v>0</v>
      </c>
      <c r="P814" s="18">
        <f>SUMIFS(Receitas!$F:$F,Receitas!$J:$J,"&lt;="&amp;$A814,Receitas!$L:$L,"&gt;="&amp;$A814,Receitas!$C:$C,P$1,Receitas!$M:$M,"Mensal")+SUMIFS(Receitas!$F:$F,Receitas!$J:$J,"&lt;="&amp;$A814,Receitas!$L:$L,"&gt;="&amp;$A814,Receitas!$C:$C,P$1,Receitas!$M:$M,$B814)</f>
        <v>0</v>
      </c>
      <c r="Q814" s="18">
        <f>SUMIFS(Receitas!$F:$F,Receitas!$J:$J,"&lt;="&amp;$A814,Receitas!$L:$L,"&gt;="&amp;$A814,Receitas!$C:$C,Q$1,Receitas!$M:$M,"Mensal")+SUMIFS(Receitas!$F:$F,Receitas!$J:$J,"&lt;="&amp;$A814,Receitas!$L:$L,"&gt;="&amp;$A814,Receitas!$C:$C,Q$1,Receitas!$M:$M,$B814)</f>
        <v>0</v>
      </c>
      <c r="R814" s="18" cm="1">
        <f t="array" ref="R814">(IF(AND(Membros!$F$2="Sim",A814&lt;=MAX(Membros!$E$2:$E$5)),Membros!K$2,IF(AND(A814&gt;=Membros!J$2,A814&lt;=MAX(Membros!$E$2:$E$5)),Membros!K$2,0))+IF(AND(Membros!$F$3="Sim",A814&lt;=MAX(Membros!$E$2:$E$5)),Membros!K$3,IF(AND(A814&gt;=Membros!J$3,A814&lt;=MAX(Membros!$E$2:$E$5)),Membros!K$3,0)))*IF(AND(COUNTIFS(Tabela3[Tipo],"Provedor",Tabela3[Simulação Seguro],"Sim")=2,A814&gt;=MAX(IF(Tabela3[Tipo]="Dependente",Tabela3[Expectativa de Vida (Data)]))),0,1)</f>
        <v>10000</v>
      </c>
      <c r="S814" s="18">
        <f t="shared" si="102"/>
        <v>10000</v>
      </c>
      <c r="U814" s="18">
        <f t="shared" ca="1" si="105"/>
        <v>68561880.017029405</v>
      </c>
      <c r="V814" s="18">
        <f>SUMIF(Imóveis!E:E,Dados!A:A,Imóveis!Z:Z)-SUMIF(Imóveis!E:E,Dados!A:A,Imóveis!Y:Y)</f>
        <v>0</v>
      </c>
      <c r="W814" s="18">
        <f>-SUMIF(Projetos!N:N,A814,Projetos!F:F)</f>
        <v>0</v>
      </c>
      <c r="X814" s="18">
        <f t="shared" si="99"/>
        <v>-27000</v>
      </c>
      <c r="Y814" s="26">
        <f ca="1">(U814*((Indicadores_Economicos!D$2+1)^(1/12)-1))</f>
        <v>224453.75415409796</v>
      </c>
      <c r="Z814" s="18">
        <f t="shared" ca="1" si="103"/>
        <v>68759333.771183506</v>
      </c>
      <c r="AA814" s="18">
        <f ca="1">Auxiliar_Projetos!E814</f>
        <v>5.5562901183898753E-9</v>
      </c>
      <c r="AB814" s="18">
        <f ca="1">Auxiliar_Projetos!K814</f>
        <v>4.274069321838357E-9</v>
      </c>
      <c r="AC814" s="18">
        <f ca="1">IF(Z814-AA814-AB814&gt;Investimentos!$C$14,Investimentos!$C$14,IF(Z814-AA814-AB814&lt;Investimentos!$C$14,Z814-AA814-AB814,0))</f>
        <v>300000</v>
      </c>
      <c r="AD814" s="18">
        <f t="shared" ca="1" si="104"/>
        <v>68459333.771183506</v>
      </c>
      <c r="AE814" s="18"/>
    </row>
    <row r="815" spans="1:31" x14ac:dyDescent="0.2">
      <c r="A815" s="4">
        <v>70403</v>
      </c>
      <c r="B815" s="5" t="str">
        <f t="shared" si="100"/>
        <v>outubro</v>
      </c>
      <c r="C815" s="5" t="str">
        <f t="shared" si="106"/>
        <v>2092</v>
      </c>
      <c r="D815" s="5">
        <f>SUMIFS(Despesas!$F:$F,Despesas!$J:$J,"&lt;="&amp;$A815,Despesas!$L:$L,"&gt;="&amp;$A815,Despesas!$C:$C,D$1,Despesas!$M:$M,"Mensal")+SUMIFS(Despesas!$F:$F,Despesas!$J:$J,"&lt;="&amp;$A815,Despesas!$L:$L,"&gt;="&amp;$A815,Despesas!$C:$C,D$1,Despesas!$M:$M,$B815)</f>
        <v>23000</v>
      </c>
      <c r="E815" s="18">
        <f>SUMIFS(Despesas!$F:$F,Despesas!$J:$J,"&lt;="&amp;$A815,Despesas!$L:$L,"&gt;="&amp;$A815,Despesas!$C:$C,E$1,Despesas!$M:$M,"Mensal")+SUMIFS(Despesas!$F:$F,Despesas!$J:$J,"&lt;="&amp;$A815,Despesas!$L:$L,"&gt;="&amp;$A815,Despesas!$C:$C,E$1,Despesas!$M:$M,$B815)</f>
        <v>0</v>
      </c>
      <c r="F815" s="5">
        <f>SUMIFS(Despesas!$F:$F,Despesas!$J:$J,"&lt;="&amp;$A815,Despesas!$L:$L,"&gt;="&amp;$A815,Despesas!$C:$C,F$1,Despesas!$M:$M,"Mensal")+SUMIFS(Despesas!$F:$F,Despesas!$J:$J,"&lt;="&amp;$A815,Despesas!$L:$L,"&gt;="&amp;$A815,Despesas!$C:$C,F$1,Despesas!$M:$M,$B815)</f>
        <v>13000</v>
      </c>
      <c r="G815" s="5">
        <f>SUMIFS(Despesas!$F:$F,Despesas!$J:$J,"&lt;="&amp;$A815,Despesas!$L:$L,"&gt;="&amp;$A815,Despesas!$C:$C,G$1,Despesas!$M:$M,"Mensal")+SUMIFS(Despesas!$F:$F,Despesas!$J:$J,"&lt;="&amp;$A815,Despesas!$L:$L,"&gt;="&amp;$A815,Despesas!$C:$C,G$1,Despesas!$M:$M,$B815)</f>
        <v>0</v>
      </c>
      <c r="H815" s="18">
        <f>SUMIFS(Despesas!$F:$F,Despesas!$J:$J,"&lt;="&amp;$A815,Despesas!$L:$L,"&gt;="&amp;$A815,Despesas!$C:$C,H$1,Despesas!$M:$M,"Mensal")+SUMIFS(Despesas!$F:$F,Despesas!$J:$J,"&lt;="&amp;$A815,Despesas!$L:$L,"&gt;="&amp;$A815,Despesas!$C:$C,H$1,Despesas!$M:$M,$B815)</f>
        <v>1000</v>
      </c>
      <c r="I815" s="18">
        <f>IF(Imóveis!$F$2="PRICE",IF(AND(Dados!$A815&gt;=Imóveis!$Q$2,Dados!$A815&lt;=Imóveis!$T$2),Imóveis!$U$2,0),IF((IF(AND(Dados!$A815&gt;=Imóveis!$Q$2,Dados!$A815&lt;=Imóveis!$T$2),Imóveis!$S$2-(DATEDIF(Imóveis!$Q$2,Dados!$A815,"m")),0))=0,0,((Imóveis!$N$2/Imóveis!$S$2)+((Imóveis!$N$2-((Imóveis!$S$2-(IF(AND(Dados!$A815&gt;=Imóveis!$Q$2,Dados!$A815&lt;=Imóveis!$T$2),Imóveis!$S$2-(DATEDIF(Imóveis!$Q$2,Dados!$A815,"m")),)))*(Imóveis!$N$2/Imóveis!$S$2)))*Imóveis!$P$2))))*IF(AND(Imóveis!$E$2&gt;0,Dados!$A815&gt;Imóveis!$E$2),0,1)</f>
        <v>0</v>
      </c>
      <c r="J815" s="18">
        <f>IF(Imóveis!$F$3="PRICE",IF(AND(Dados!$A815&gt;=Imóveis!$Q$3,Dados!$A815&lt;=Imóveis!$T$3),Imóveis!$U$3,0),IF((IF(AND(Dados!$A815&gt;=Imóveis!$Q$3,Dados!$A815&lt;=Imóveis!$T$3),Imóveis!$S$3-(DATEDIF(Imóveis!$Q$3,Dados!$A815,"m")),0))=0,0,((Imóveis!$N$3/Imóveis!$S$3)+((Imóveis!$N$3-((Imóveis!$S$3-(IF(AND(Dados!$A815&gt;=Imóveis!$Q$3,Dados!$A815&lt;=Imóveis!$T$3),Imóveis!$S$3-(DATEDIF(Imóveis!$Q$3,Dados!$A815,"m")),)))*(Imóveis!$N$3/Imóveis!$S$3)))*Imóveis!$P$3))))*IF(AND(Imóveis!$E$3&gt;0,Dados!$A815&gt;Imóveis!$E$3),0,1)</f>
        <v>0</v>
      </c>
      <c r="K815" s="18">
        <f>IF(Imóveis!$F$4="PRICE",IF(AND(Dados!$A815&gt;=Imóveis!$Q$4,Dados!$A815&lt;=Imóveis!$T$4),Imóveis!$U$4,0),IF((IF(AND(Dados!$A815&gt;=Imóveis!$Q$4,Dados!$A815&lt;=Imóveis!$T$4),Imóveis!$S$4-(DATEDIF(Imóveis!$Q$4,Dados!$A815,"m")),0))=0,0,((Imóveis!$N$4/Imóveis!$S$4)+((Imóveis!$N$4-((Imóveis!$S$4-(IF(AND(Dados!$A815&gt;=Imóveis!$Q$4,Dados!$A815&lt;=Imóveis!$T$4),Imóveis!$S$4-(DATEDIF(Imóveis!$Q$4,Dados!$A815,"m")),)))*(Imóveis!$N$4/Imóveis!$S$4)))*Imóveis!$P$4))))*IF(AND(Imóveis!$E$4&gt;0,Dados!$A815&gt;Imóveis!$E$4),0,1)</f>
        <v>0</v>
      </c>
      <c r="L815" s="18">
        <f>IF(Imóveis!$F$5="PRICE",IF(AND(Dados!$A815&gt;=Imóveis!$Q$5,Dados!$A815&lt;=Imóveis!$T$5),Imóveis!$U$5,0),IF((IF(AND(Dados!$A815&gt;=Imóveis!$Q$5,Dados!$A815&lt;=Imóveis!$T$5),Imóveis!$S$5-(DATEDIF(Imóveis!$Q$5,Dados!$A815,"m")),0))=0,0,((Imóveis!$N$5/Imóveis!$S$5)+((Imóveis!$N$5-((Imóveis!$S$5-(IF(AND(Dados!$A815 &gt;=Imóveis!$Q$5,Dados!$A815&lt;=Imóveis!$T$5),Imóveis!$S$5-(DATEDIF(Imóveis!$Q$5,Dados!$A815,"m")),)))*(Imóveis!$N$5/Imóveis!$S$5)))*Imóveis!$P$5))))*IF(AND(Imóveis!$E$5&gt;0,Dados!$A815&gt;Imóveis!$E$5),0,1)*Imóveis!$I$5</f>
        <v>0</v>
      </c>
      <c r="M815" s="18">
        <f>IF(Imóveis!$F$6="PRICE",IF(AND(Dados!$A815&gt;=Imóveis!$Q$6,Dados!$A815&lt;=Imóveis!$T$6),Imóveis!$U$6,0),IF((IF(AND(Dados!$A815&gt;=Imóveis!$Q$6,Dados!$A815&lt;=Imóveis!$T$6),Imóveis!$S$6-(DATEDIF(Imóveis!$Q$6,Dados!$A815,"m")),0))=0,0,((Imóveis!$N$6/Imóveis!$S$6)+((Imóveis!$N$6-((Imóveis!$S$6-(IF(AND(Dados!$A815&gt;=Imóveis!$Q$6,Dados!$A815&lt;=Imóveis!$T$6),Imóveis!$S$6-(DATEDIF(Imóveis!$Q$6,Dados!$A815,"m")),)))*(Imóveis!$N$6/Imóveis!$S$6)))*Imóveis!$P$6))))*IF(AND(Imóveis!$E$6&gt;0,Dados!$A815&gt;Imóveis!$E$6),0,1)*Imóveis!$I$6</f>
        <v>0</v>
      </c>
      <c r="N815" s="18">
        <f t="shared" si="101"/>
        <v>37000</v>
      </c>
      <c r="O815" s="18">
        <f>SUMIFS(Receitas!$F:$F,Receitas!$J:$J,"&lt;="&amp;$A815,Receitas!$L:$L,"&gt;="&amp;$A815,Receitas!$C:$C,O$1,Receitas!$M:$M,"Mensal")+SUMIFS(Receitas!$F:$F,Receitas!$J:$J,"&lt;="&amp;$A815,Receitas!$L:$L,"&gt;="&amp;$A815,Receitas!$C:$C,O$1,Receitas!$M:$M,$B815)</f>
        <v>0</v>
      </c>
      <c r="P815" s="18">
        <f>SUMIFS(Receitas!$F:$F,Receitas!$J:$J,"&lt;="&amp;$A815,Receitas!$L:$L,"&gt;="&amp;$A815,Receitas!$C:$C,P$1,Receitas!$M:$M,"Mensal")+SUMIFS(Receitas!$F:$F,Receitas!$J:$J,"&lt;="&amp;$A815,Receitas!$L:$L,"&gt;="&amp;$A815,Receitas!$C:$C,P$1,Receitas!$M:$M,$B815)</f>
        <v>0</v>
      </c>
      <c r="Q815" s="18">
        <f>SUMIFS(Receitas!$F:$F,Receitas!$J:$J,"&lt;="&amp;$A815,Receitas!$L:$L,"&gt;="&amp;$A815,Receitas!$C:$C,Q$1,Receitas!$M:$M,"Mensal")+SUMIFS(Receitas!$F:$F,Receitas!$J:$J,"&lt;="&amp;$A815,Receitas!$L:$L,"&gt;="&amp;$A815,Receitas!$C:$C,Q$1,Receitas!$M:$M,$B815)</f>
        <v>0</v>
      </c>
      <c r="R815" s="18" cm="1">
        <f t="array" ref="R815">(IF(AND(Membros!$F$2="Sim",A815&lt;=MAX(Membros!$E$2:$E$5)),Membros!K$2,IF(AND(A815&gt;=Membros!J$2,A815&lt;=MAX(Membros!$E$2:$E$5)),Membros!K$2,0))+IF(AND(Membros!$F$3="Sim",A815&lt;=MAX(Membros!$E$2:$E$5)),Membros!K$3,IF(AND(A815&gt;=Membros!J$3,A815&lt;=MAX(Membros!$E$2:$E$5)),Membros!K$3,0)))*IF(AND(COUNTIFS(Tabela3[Tipo],"Provedor",Tabela3[Simulação Seguro],"Sim")=2,A815&gt;=MAX(IF(Tabela3[Tipo]="Dependente",Tabela3[Expectativa de Vida (Data)]))),0,1)</f>
        <v>10000</v>
      </c>
      <c r="S815" s="18">
        <f t="shared" si="102"/>
        <v>10000</v>
      </c>
      <c r="U815" s="18">
        <f t="shared" ca="1" si="105"/>
        <v>68759333.771183506</v>
      </c>
      <c r="V815" s="18">
        <f>SUMIF(Imóveis!E:E,Dados!A:A,Imóveis!Z:Z)-SUMIF(Imóveis!E:E,Dados!A:A,Imóveis!Y:Y)</f>
        <v>0</v>
      </c>
      <c r="W815" s="18">
        <f>-SUMIF(Projetos!N:N,A815,Projetos!F:F)</f>
        <v>0</v>
      </c>
      <c r="X815" s="18">
        <f t="shared" si="99"/>
        <v>-27000</v>
      </c>
      <c r="Y815" s="26">
        <f ca="1">(U815*((Indicadores_Economicos!D$2+1)^(1/12)-1))</f>
        <v>225100.16636421674</v>
      </c>
      <c r="Z815" s="18">
        <f t="shared" ca="1" si="103"/>
        <v>68957433.937547728</v>
      </c>
      <c r="AA815" s="18">
        <f ca="1">Auxiliar_Projetos!E815</f>
        <v>5.5744799663918866E-9</v>
      </c>
      <c r="AB815" s="18">
        <f ca="1">Auxiliar_Projetos!K815</f>
        <v>4.2880615126091349E-9</v>
      </c>
      <c r="AC815" s="18">
        <f ca="1">IF(Z815-AA815-AB815&gt;Investimentos!$C$14,Investimentos!$C$14,IF(Z815-AA815-AB815&lt;Investimentos!$C$14,Z815-AA815-AB815,0))</f>
        <v>300000</v>
      </c>
      <c r="AD815" s="18">
        <f t="shared" ca="1" si="104"/>
        <v>68657433.937547728</v>
      </c>
      <c r="AE815" s="18"/>
    </row>
    <row r="816" spans="1:31" x14ac:dyDescent="0.2">
      <c r="A816" s="4">
        <v>70434</v>
      </c>
      <c r="B816" s="5" t="str">
        <f t="shared" si="100"/>
        <v>novembro</v>
      </c>
      <c r="C816" s="5" t="str">
        <f t="shared" si="106"/>
        <v>2092</v>
      </c>
      <c r="D816" s="5">
        <f>SUMIFS(Despesas!$F:$F,Despesas!$J:$J,"&lt;="&amp;$A816,Despesas!$L:$L,"&gt;="&amp;$A816,Despesas!$C:$C,D$1,Despesas!$M:$M,"Mensal")+SUMIFS(Despesas!$F:$F,Despesas!$J:$J,"&lt;="&amp;$A816,Despesas!$L:$L,"&gt;="&amp;$A816,Despesas!$C:$C,D$1,Despesas!$M:$M,$B816)</f>
        <v>23000</v>
      </c>
      <c r="E816" s="18">
        <f>SUMIFS(Despesas!$F:$F,Despesas!$J:$J,"&lt;="&amp;$A816,Despesas!$L:$L,"&gt;="&amp;$A816,Despesas!$C:$C,E$1,Despesas!$M:$M,"Mensal")+SUMIFS(Despesas!$F:$F,Despesas!$J:$J,"&lt;="&amp;$A816,Despesas!$L:$L,"&gt;="&amp;$A816,Despesas!$C:$C,E$1,Despesas!$M:$M,$B816)</f>
        <v>0</v>
      </c>
      <c r="F816" s="5">
        <f>SUMIFS(Despesas!$F:$F,Despesas!$J:$J,"&lt;="&amp;$A816,Despesas!$L:$L,"&gt;="&amp;$A816,Despesas!$C:$C,F$1,Despesas!$M:$M,"Mensal")+SUMIFS(Despesas!$F:$F,Despesas!$J:$J,"&lt;="&amp;$A816,Despesas!$L:$L,"&gt;="&amp;$A816,Despesas!$C:$C,F$1,Despesas!$M:$M,$B816)</f>
        <v>13000</v>
      </c>
      <c r="G816" s="5">
        <f>SUMIFS(Despesas!$F:$F,Despesas!$J:$J,"&lt;="&amp;$A816,Despesas!$L:$L,"&gt;="&amp;$A816,Despesas!$C:$C,G$1,Despesas!$M:$M,"Mensal")+SUMIFS(Despesas!$F:$F,Despesas!$J:$J,"&lt;="&amp;$A816,Despesas!$L:$L,"&gt;="&amp;$A816,Despesas!$C:$C,G$1,Despesas!$M:$M,$B816)</f>
        <v>0</v>
      </c>
      <c r="H816" s="18">
        <f>SUMIFS(Despesas!$F:$F,Despesas!$J:$J,"&lt;="&amp;$A816,Despesas!$L:$L,"&gt;="&amp;$A816,Despesas!$C:$C,H$1,Despesas!$M:$M,"Mensal")+SUMIFS(Despesas!$F:$F,Despesas!$J:$J,"&lt;="&amp;$A816,Despesas!$L:$L,"&gt;="&amp;$A816,Despesas!$C:$C,H$1,Despesas!$M:$M,$B816)</f>
        <v>1000</v>
      </c>
      <c r="I816" s="18">
        <f>IF(Imóveis!$F$2="PRICE",IF(AND(Dados!$A816&gt;=Imóveis!$Q$2,Dados!$A816&lt;=Imóveis!$T$2),Imóveis!$U$2,0),IF((IF(AND(Dados!$A816&gt;=Imóveis!$Q$2,Dados!$A816&lt;=Imóveis!$T$2),Imóveis!$S$2-(DATEDIF(Imóveis!$Q$2,Dados!$A816,"m")),0))=0,0,((Imóveis!$N$2/Imóveis!$S$2)+((Imóveis!$N$2-((Imóveis!$S$2-(IF(AND(Dados!$A816&gt;=Imóveis!$Q$2,Dados!$A816&lt;=Imóveis!$T$2),Imóveis!$S$2-(DATEDIF(Imóveis!$Q$2,Dados!$A816,"m")),)))*(Imóveis!$N$2/Imóveis!$S$2)))*Imóveis!$P$2))))*IF(AND(Imóveis!$E$2&gt;0,Dados!$A816&gt;Imóveis!$E$2),0,1)</f>
        <v>0</v>
      </c>
      <c r="J816" s="18">
        <f>IF(Imóveis!$F$3="PRICE",IF(AND(Dados!$A816&gt;=Imóveis!$Q$3,Dados!$A816&lt;=Imóveis!$T$3),Imóveis!$U$3,0),IF((IF(AND(Dados!$A816&gt;=Imóveis!$Q$3,Dados!$A816&lt;=Imóveis!$T$3),Imóveis!$S$3-(DATEDIF(Imóveis!$Q$3,Dados!$A816,"m")),0))=0,0,((Imóveis!$N$3/Imóveis!$S$3)+((Imóveis!$N$3-((Imóveis!$S$3-(IF(AND(Dados!$A816&gt;=Imóveis!$Q$3,Dados!$A816&lt;=Imóveis!$T$3),Imóveis!$S$3-(DATEDIF(Imóveis!$Q$3,Dados!$A816,"m")),)))*(Imóveis!$N$3/Imóveis!$S$3)))*Imóveis!$P$3))))*IF(AND(Imóveis!$E$3&gt;0,Dados!$A816&gt;Imóveis!$E$3),0,1)</f>
        <v>0</v>
      </c>
      <c r="K816" s="18">
        <f>IF(Imóveis!$F$4="PRICE",IF(AND(Dados!$A816&gt;=Imóveis!$Q$4,Dados!$A816&lt;=Imóveis!$T$4),Imóveis!$U$4,0),IF((IF(AND(Dados!$A816&gt;=Imóveis!$Q$4,Dados!$A816&lt;=Imóveis!$T$4),Imóveis!$S$4-(DATEDIF(Imóveis!$Q$4,Dados!$A816,"m")),0))=0,0,((Imóveis!$N$4/Imóveis!$S$4)+((Imóveis!$N$4-((Imóveis!$S$4-(IF(AND(Dados!$A816&gt;=Imóveis!$Q$4,Dados!$A816&lt;=Imóveis!$T$4),Imóveis!$S$4-(DATEDIF(Imóveis!$Q$4,Dados!$A816,"m")),)))*(Imóveis!$N$4/Imóveis!$S$4)))*Imóveis!$P$4))))*IF(AND(Imóveis!$E$4&gt;0,Dados!$A816&gt;Imóveis!$E$4),0,1)</f>
        <v>0</v>
      </c>
      <c r="L816" s="18">
        <f>IF(Imóveis!$F$5="PRICE",IF(AND(Dados!$A816&gt;=Imóveis!$Q$5,Dados!$A816&lt;=Imóveis!$T$5),Imóveis!$U$5,0),IF((IF(AND(Dados!$A816&gt;=Imóveis!$Q$5,Dados!$A816&lt;=Imóveis!$T$5),Imóveis!$S$5-(DATEDIF(Imóveis!$Q$5,Dados!$A816,"m")),0))=0,0,((Imóveis!$N$5/Imóveis!$S$5)+((Imóveis!$N$5-((Imóveis!$S$5-(IF(AND(Dados!$A816 &gt;=Imóveis!$Q$5,Dados!$A816&lt;=Imóveis!$T$5),Imóveis!$S$5-(DATEDIF(Imóveis!$Q$5,Dados!$A816,"m")),)))*(Imóveis!$N$5/Imóveis!$S$5)))*Imóveis!$P$5))))*IF(AND(Imóveis!$E$5&gt;0,Dados!$A816&gt;Imóveis!$E$5),0,1)*Imóveis!$I$5</f>
        <v>0</v>
      </c>
      <c r="M816" s="18">
        <f>IF(Imóveis!$F$6="PRICE",IF(AND(Dados!$A816&gt;=Imóveis!$Q$6,Dados!$A816&lt;=Imóveis!$T$6),Imóveis!$U$6,0),IF((IF(AND(Dados!$A816&gt;=Imóveis!$Q$6,Dados!$A816&lt;=Imóveis!$T$6),Imóveis!$S$6-(DATEDIF(Imóveis!$Q$6,Dados!$A816,"m")),0))=0,0,((Imóveis!$N$6/Imóveis!$S$6)+((Imóveis!$N$6-((Imóveis!$S$6-(IF(AND(Dados!$A816&gt;=Imóveis!$Q$6,Dados!$A816&lt;=Imóveis!$T$6),Imóveis!$S$6-(DATEDIF(Imóveis!$Q$6,Dados!$A816,"m")),)))*(Imóveis!$N$6/Imóveis!$S$6)))*Imóveis!$P$6))))*IF(AND(Imóveis!$E$6&gt;0,Dados!$A816&gt;Imóveis!$E$6),0,1)*Imóveis!$I$6</f>
        <v>0</v>
      </c>
      <c r="N816" s="18">
        <f t="shared" si="101"/>
        <v>37000</v>
      </c>
      <c r="O816" s="18">
        <f>SUMIFS(Receitas!$F:$F,Receitas!$J:$J,"&lt;="&amp;$A816,Receitas!$L:$L,"&gt;="&amp;$A816,Receitas!$C:$C,O$1,Receitas!$M:$M,"Mensal")+SUMIFS(Receitas!$F:$F,Receitas!$J:$J,"&lt;="&amp;$A816,Receitas!$L:$L,"&gt;="&amp;$A816,Receitas!$C:$C,O$1,Receitas!$M:$M,$B816)</f>
        <v>0</v>
      </c>
      <c r="P816" s="18">
        <f>SUMIFS(Receitas!$F:$F,Receitas!$J:$J,"&lt;="&amp;$A816,Receitas!$L:$L,"&gt;="&amp;$A816,Receitas!$C:$C,P$1,Receitas!$M:$M,"Mensal")+SUMIFS(Receitas!$F:$F,Receitas!$J:$J,"&lt;="&amp;$A816,Receitas!$L:$L,"&gt;="&amp;$A816,Receitas!$C:$C,P$1,Receitas!$M:$M,$B816)</f>
        <v>0</v>
      </c>
      <c r="Q816" s="18">
        <f>SUMIFS(Receitas!$F:$F,Receitas!$J:$J,"&lt;="&amp;$A816,Receitas!$L:$L,"&gt;="&amp;$A816,Receitas!$C:$C,Q$1,Receitas!$M:$M,"Mensal")+SUMIFS(Receitas!$F:$F,Receitas!$J:$J,"&lt;="&amp;$A816,Receitas!$L:$L,"&gt;="&amp;$A816,Receitas!$C:$C,Q$1,Receitas!$M:$M,$B816)</f>
        <v>0</v>
      </c>
      <c r="R816" s="18" cm="1">
        <f t="array" ref="R816">(IF(AND(Membros!$F$2="Sim",A816&lt;=MAX(Membros!$E$2:$E$5)),Membros!K$2,IF(AND(A816&gt;=Membros!J$2,A816&lt;=MAX(Membros!$E$2:$E$5)),Membros!K$2,0))+IF(AND(Membros!$F$3="Sim",A816&lt;=MAX(Membros!$E$2:$E$5)),Membros!K$3,IF(AND(A816&gt;=Membros!J$3,A816&lt;=MAX(Membros!$E$2:$E$5)),Membros!K$3,0)))*IF(AND(COUNTIFS(Tabela3[Tipo],"Provedor",Tabela3[Simulação Seguro],"Sim")=2,A816&gt;=MAX(IF(Tabela3[Tipo]="Dependente",Tabela3[Expectativa de Vida (Data)]))),0,1)</f>
        <v>10000</v>
      </c>
      <c r="S816" s="18">
        <f t="shared" si="102"/>
        <v>10000</v>
      </c>
      <c r="U816" s="18">
        <f t="shared" ca="1" si="105"/>
        <v>68957433.937547728</v>
      </c>
      <c r="V816" s="18">
        <f>SUMIF(Imóveis!E:E,Dados!A:A,Imóveis!Z:Z)-SUMIF(Imóveis!E:E,Dados!A:A,Imóveis!Y:Y)</f>
        <v>0</v>
      </c>
      <c r="W816" s="18">
        <f>-SUMIF(Projetos!N:N,A816,Projetos!F:F)</f>
        <v>0</v>
      </c>
      <c r="X816" s="18">
        <f t="shared" si="99"/>
        <v>-27000</v>
      </c>
      <c r="Y816" s="26">
        <f ca="1">(U816*((Indicadores_Economicos!D$2+1)^(1/12)-1))</f>
        <v>225748.69475970353</v>
      </c>
      <c r="Z816" s="18">
        <f t="shared" ca="1" si="103"/>
        <v>69156182.632307425</v>
      </c>
      <c r="AA816" s="18">
        <f ca="1">Auxiliar_Projetos!E816</f>
        <v>5.5927293632229343E-9</v>
      </c>
      <c r="AB816" s="18">
        <f ca="1">Auxiliar_Projetos!K816</f>
        <v>4.3020995101714799E-9</v>
      </c>
      <c r="AC816" s="18">
        <f ca="1">IF(Z816-AA816-AB816&gt;Investimentos!$C$14,Investimentos!$C$14,IF(Z816-AA816-AB816&lt;Investimentos!$C$14,Z816-AA816-AB816,0))</f>
        <v>300000</v>
      </c>
      <c r="AD816" s="18">
        <f t="shared" ca="1" si="104"/>
        <v>68856182.632307425</v>
      </c>
      <c r="AE816" s="18"/>
    </row>
    <row r="817" spans="1:31" x14ac:dyDescent="0.2">
      <c r="A817" s="4">
        <v>70464</v>
      </c>
      <c r="B817" s="5" t="str">
        <f t="shared" si="100"/>
        <v>dezembro</v>
      </c>
      <c r="C817" s="5" t="str">
        <f t="shared" si="106"/>
        <v>2092</v>
      </c>
      <c r="D817" s="5">
        <f>SUMIFS(Despesas!$F:$F,Despesas!$J:$J,"&lt;="&amp;$A817,Despesas!$L:$L,"&gt;="&amp;$A817,Despesas!$C:$C,D$1,Despesas!$M:$M,"Mensal")+SUMIFS(Despesas!$F:$F,Despesas!$J:$J,"&lt;="&amp;$A817,Despesas!$L:$L,"&gt;="&amp;$A817,Despesas!$C:$C,D$1,Despesas!$M:$M,$B817)</f>
        <v>23000</v>
      </c>
      <c r="E817" s="18">
        <f>SUMIFS(Despesas!$F:$F,Despesas!$J:$J,"&lt;="&amp;$A817,Despesas!$L:$L,"&gt;="&amp;$A817,Despesas!$C:$C,E$1,Despesas!$M:$M,"Mensal")+SUMIFS(Despesas!$F:$F,Despesas!$J:$J,"&lt;="&amp;$A817,Despesas!$L:$L,"&gt;="&amp;$A817,Despesas!$C:$C,E$1,Despesas!$M:$M,$B817)</f>
        <v>0</v>
      </c>
      <c r="F817" s="5">
        <f>SUMIFS(Despesas!$F:$F,Despesas!$J:$J,"&lt;="&amp;$A817,Despesas!$L:$L,"&gt;="&amp;$A817,Despesas!$C:$C,F$1,Despesas!$M:$M,"Mensal")+SUMIFS(Despesas!$F:$F,Despesas!$J:$J,"&lt;="&amp;$A817,Despesas!$L:$L,"&gt;="&amp;$A817,Despesas!$C:$C,F$1,Despesas!$M:$M,$B817)</f>
        <v>13000</v>
      </c>
      <c r="G817" s="5">
        <f ca="1">SUMIFS(Despesas!$F:$F,Despesas!$J:$J,"&lt;="&amp;$A817,Despesas!$L:$L,"&gt;="&amp;$A817,Despesas!$C:$C,G$1,Despesas!$M:$M,"Mensal")+SUMIFS(Despesas!$F:$F,Despesas!$J:$J,"&lt;="&amp;$A817,Despesas!$L:$L,"&gt;="&amp;$A817,Despesas!$C:$C,G$1,Despesas!$M:$M,$B817)</f>
        <v>55757</v>
      </c>
      <c r="H817" s="18">
        <f>SUMIFS(Despesas!$F:$F,Despesas!$J:$J,"&lt;="&amp;$A817,Despesas!$L:$L,"&gt;="&amp;$A817,Despesas!$C:$C,H$1,Despesas!$M:$M,"Mensal")+SUMIFS(Despesas!$F:$F,Despesas!$J:$J,"&lt;="&amp;$A817,Despesas!$L:$L,"&gt;="&amp;$A817,Despesas!$C:$C,H$1,Despesas!$M:$M,$B817)</f>
        <v>1000</v>
      </c>
      <c r="I817" s="18">
        <f>IF(Imóveis!$F$2="PRICE",IF(AND(Dados!$A817&gt;=Imóveis!$Q$2,Dados!$A817&lt;=Imóveis!$T$2),Imóveis!$U$2,0),IF((IF(AND(Dados!$A817&gt;=Imóveis!$Q$2,Dados!$A817&lt;=Imóveis!$T$2),Imóveis!$S$2-(DATEDIF(Imóveis!$Q$2,Dados!$A817,"m")),0))=0,0,((Imóveis!$N$2/Imóveis!$S$2)+((Imóveis!$N$2-((Imóveis!$S$2-(IF(AND(Dados!$A817&gt;=Imóveis!$Q$2,Dados!$A817&lt;=Imóveis!$T$2),Imóveis!$S$2-(DATEDIF(Imóveis!$Q$2,Dados!$A817,"m")),)))*(Imóveis!$N$2/Imóveis!$S$2)))*Imóveis!$P$2))))*IF(AND(Imóveis!$E$2&gt;0,Dados!$A817&gt;Imóveis!$E$2),0,1)</f>
        <v>0</v>
      </c>
      <c r="J817" s="18">
        <f>IF(Imóveis!$F$3="PRICE",IF(AND(Dados!$A817&gt;=Imóveis!$Q$3,Dados!$A817&lt;=Imóveis!$T$3),Imóveis!$U$3,0),IF((IF(AND(Dados!$A817&gt;=Imóveis!$Q$3,Dados!$A817&lt;=Imóveis!$T$3),Imóveis!$S$3-(DATEDIF(Imóveis!$Q$3,Dados!$A817,"m")),0))=0,0,((Imóveis!$N$3/Imóveis!$S$3)+((Imóveis!$N$3-((Imóveis!$S$3-(IF(AND(Dados!$A817&gt;=Imóveis!$Q$3,Dados!$A817&lt;=Imóveis!$T$3),Imóveis!$S$3-(DATEDIF(Imóveis!$Q$3,Dados!$A817,"m")),)))*(Imóveis!$N$3/Imóveis!$S$3)))*Imóveis!$P$3))))*IF(AND(Imóveis!$E$3&gt;0,Dados!$A817&gt;Imóveis!$E$3),0,1)</f>
        <v>0</v>
      </c>
      <c r="K817" s="18">
        <f>IF(Imóveis!$F$4="PRICE",IF(AND(Dados!$A817&gt;=Imóveis!$Q$4,Dados!$A817&lt;=Imóveis!$T$4),Imóveis!$U$4,0),IF((IF(AND(Dados!$A817&gt;=Imóveis!$Q$4,Dados!$A817&lt;=Imóveis!$T$4),Imóveis!$S$4-(DATEDIF(Imóveis!$Q$4,Dados!$A817,"m")),0))=0,0,((Imóveis!$N$4/Imóveis!$S$4)+((Imóveis!$N$4-((Imóveis!$S$4-(IF(AND(Dados!$A817&gt;=Imóveis!$Q$4,Dados!$A817&lt;=Imóveis!$T$4),Imóveis!$S$4-(DATEDIF(Imóveis!$Q$4,Dados!$A817,"m")),)))*(Imóveis!$N$4/Imóveis!$S$4)))*Imóveis!$P$4))))*IF(AND(Imóveis!$E$4&gt;0,Dados!$A817&gt;Imóveis!$E$4),0,1)</f>
        <v>0</v>
      </c>
      <c r="L817" s="18">
        <f>IF(Imóveis!$F$5="PRICE",IF(AND(Dados!$A817&gt;=Imóveis!$Q$5,Dados!$A817&lt;=Imóveis!$T$5),Imóveis!$U$5,0),IF((IF(AND(Dados!$A817&gt;=Imóveis!$Q$5,Dados!$A817&lt;=Imóveis!$T$5),Imóveis!$S$5-(DATEDIF(Imóveis!$Q$5,Dados!$A817,"m")),0))=0,0,((Imóveis!$N$5/Imóveis!$S$5)+((Imóveis!$N$5-((Imóveis!$S$5-(IF(AND(Dados!$A817 &gt;=Imóveis!$Q$5,Dados!$A817&lt;=Imóveis!$T$5),Imóveis!$S$5-(DATEDIF(Imóveis!$Q$5,Dados!$A817,"m")),)))*(Imóveis!$N$5/Imóveis!$S$5)))*Imóveis!$P$5))))*IF(AND(Imóveis!$E$5&gt;0,Dados!$A817&gt;Imóveis!$E$5),0,1)*Imóveis!$I$5</f>
        <v>0</v>
      </c>
      <c r="M817" s="18">
        <f>IF(Imóveis!$F$6="PRICE",IF(AND(Dados!$A817&gt;=Imóveis!$Q$6,Dados!$A817&lt;=Imóveis!$T$6),Imóveis!$U$6,0),IF((IF(AND(Dados!$A817&gt;=Imóveis!$Q$6,Dados!$A817&lt;=Imóveis!$T$6),Imóveis!$S$6-(DATEDIF(Imóveis!$Q$6,Dados!$A817,"m")),0))=0,0,((Imóveis!$N$6/Imóveis!$S$6)+((Imóveis!$N$6-((Imóveis!$S$6-(IF(AND(Dados!$A817&gt;=Imóveis!$Q$6,Dados!$A817&lt;=Imóveis!$T$6),Imóveis!$S$6-(DATEDIF(Imóveis!$Q$6,Dados!$A817,"m")),)))*(Imóveis!$N$6/Imóveis!$S$6)))*Imóveis!$P$6))))*IF(AND(Imóveis!$E$6&gt;0,Dados!$A817&gt;Imóveis!$E$6),0,1)*Imóveis!$I$6</f>
        <v>0</v>
      </c>
      <c r="N817" s="18">
        <f t="shared" ca="1" si="101"/>
        <v>92757</v>
      </c>
      <c r="O817" s="18">
        <f>SUMIFS(Receitas!$F:$F,Receitas!$J:$J,"&lt;="&amp;$A817,Receitas!$L:$L,"&gt;="&amp;$A817,Receitas!$C:$C,O$1,Receitas!$M:$M,"Mensal")+SUMIFS(Receitas!$F:$F,Receitas!$J:$J,"&lt;="&amp;$A817,Receitas!$L:$L,"&gt;="&amp;$A817,Receitas!$C:$C,O$1,Receitas!$M:$M,$B817)</f>
        <v>0</v>
      </c>
      <c r="P817" s="18">
        <f>SUMIFS(Receitas!$F:$F,Receitas!$J:$J,"&lt;="&amp;$A817,Receitas!$L:$L,"&gt;="&amp;$A817,Receitas!$C:$C,P$1,Receitas!$M:$M,"Mensal")+SUMIFS(Receitas!$F:$F,Receitas!$J:$J,"&lt;="&amp;$A817,Receitas!$L:$L,"&gt;="&amp;$A817,Receitas!$C:$C,P$1,Receitas!$M:$M,$B817)</f>
        <v>0</v>
      </c>
      <c r="Q817" s="18">
        <f>SUMIFS(Receitas!$F:$F,Receitas!$J:$J,"&lt;="&amp;$A817,Receitas!$L:$L,"&gt;="&amp;$A817,Receitas!$C:$C,Q$1,Receitas!$M:$M,"Mensal")+SUMIFS(Receitas!$F:$F,Receitas!$J:$J,"&lt;="&amp;$A817,Receitas!$L:$L,"&gt;="&amp;$A817,Receitas!$C:$C,Q$1,Receitas!$M:$M,$B817)</f>
        <v>0</v>
      </c>
      <c r="R817" s="18" cm="1">
        <f t="array" ref="R817">(IF(AND(Membros!$F$2="Sim",A817&lt;=MAX(Membros!$E$2:$E$5)),Membros!K$2,IF(AND(A817&gt;=Membros!J$2,A817&lt;=MAX(Membros!$E$2:$E$5)),Membros!K$2,0))+IF(AND(Membros!$F$3="Sim",A817&lt;=MAX(Membros!$E$2:$E$5)),Membros!K$3,IF(AND(A817&gt;=Membros!J$3,A817&lt;=MAX(Membros!$E$2:$E$5)),Membros!K$3,0)))*IF(AND(COUNTIFS(Tabela3[Tipo],"Provedor",Tabela3[Simulação Seguro],"Sim")=2,A817&gt;=MAX(IF(Tabela3[Tipo]="Dependente",Tabela3[Expectativa de Vida (Data)]))),0,1)</f>
        <v>10000</v>
      </c>
      <c r="S817" s="18">
        <f t="shared" si="102"/>
        <v>10000</v>
      </c>
      <c r="U817" s="18">
        <f t="shared" ca="1" si="105"/>
        <v>69156182.632307425</v>
      </c>
      <c r="V817" s="18">
        <f>SUMIF(Imóveis!E:E,Dados!A:A,Imóveis!Z:Z)-SUMIF(Imóveis!E:E,Dados!A:A,Imóveis!Y:Y)</f>
        <v>0</v>
      </c>
      <c r="W817" s="18">
        <f>-SUMIF(Projetos!N:N,A817,Projetos!F:F)</f>
        <v>0</v>
      </c>
      <c r="X817" s="18">
        <f t="shared" ca="1" si="99"/>
        <v>-82757</v>
      </c>
      <c r="Y817" s="26">
        <f ca="1">(U817*((Indicadores_Economicos!D$2+1)^(1/12)-1))</f>
        <v>226399.34626839845</v>
      </c>
      <c r="Z817" s="18">
        <f t="shared" ca="1" si="103"/>
        <v>69299824.978575826</v>
      </c>
      <c r="AA817" s="18">
        <f ca="1">Auxiliar_Projetos!E817</f>
        <v>5.6110385038303893E-9</v>
      </c>
      <c r="AB817" s="18">
        <f ca="1">Auxiliar_Projetos!K817</f>
        <v>4.3161834644849071E-9</v>
      </c>
      <c r="AC817" s="18">
        <f ca="1">IF(Z817-AA817-AB817&gt;Investimentos!$C$14,Investimentos!$C$14,IF(Z817-AA817-AB817&lt;Investimentos!$C$14,Z817-AA817-AB817,0))</f>
        <v>300000</v>
      </c>
      <c r="AD817" s="18">
        <f t="shared" ca="1" si="104"/>
        <v>68999824.978575826</v>
      </c>
      <c r="AE817" s="18"/>
    </row>
    <row r="818" spans="1:31" x14ac:dyDescent="0.2">
      <c r="A818" s="4">
        <v>70495</v>
      </c>
      <c r="B818" s="5" t="str">
        <f t="shared" si="100"/>
        <v>janeiro</v>
      </c>
      <c r="C818" s="5" t="str">
        <f t="shared" si="106"/>
        <v>2093</v>
      </c>
      <c r="D818" s="5">
        <f>SUMIFS(Despesas!$F:$F,Despesas!$J:$J,"&lt;="&amp;$A818,Despesas!$L:$L,"&gt;="&amp;$A818,Despesas!$C:$C,D$1,Despesas!$M:$M,"Mensal")+SUMIFS(Despesas!$F:$F,Despesas!$J:$J,"&lt;="&amp;$A818,Despesas!$L:$L,"&gt;="&amp;$A818,Despesas!$C:$C,D$1,Despesas!$M:$M,$B818)</f>
        <v>23000</v>
      </c>
      <c r="E818" s="18">
        <f>SUMIFS(Despesas!$F:$F,Despesas!$J:$J,"&lt;="&amp;$A818,Despesas!$L:$L,"&gt;="&amp;$A818,Despesas!$C:$C,E$1,Despesas!$M:$M,"Mensal")+SUMIFS(Despesas!$F:$F,Despesas!$J:$J,"&lt;="&amp;$A818,Despesas!$L:$L,"&gt;="&amp;$A818,Despesas!$C:$C,E$1,Despesas!$M:$M,$B818)</f>
        <v>0</v>
      </c>
      <c r="F818" s="5">
        <f>SUMIFS(Despesas!$F:$F,Despesas!$J:$J,"&lt;="&amp;$A818,Despesas!$L:$L,"&gt;="&amp;$A818,Despesas!$C:$C,F$1,Despesas!$M:$M,"Mensal")+SUMIFS(Despesas!$F:$F,Despesas!$J:$J,"&lt;="&amp;$A818,Despesas!$L:$L,"&gt;="&amp;$A818,Despesas!$C:$C,F$1,Despesas!$M:$M,$B818)</f>
        <v>13000</v>
      </c>
      <c r="G818" s="5">
        <f>SUMIFS(Despesas!$F:$F,Despesas!$J:$J,"&lt;="&amp;$A818,Despesas!$L:$L,"&gt;="&amp;$A818,Despesas!$C:$C,G$1,Despesas!$M:$M,"Mensal")+SUMIFS(Despesas!$F:$F,Despesas!$J:$J,"&lt;="&amp;$A818,Despesas!$L:$L,"&gt;="&amp;$A818,Despesas!$C:$C,G$1,Despesas!$M:$M,$B818)</f>
        <v>0</v>
      </c>
      <c r="H818" s="18">
        <f>SUMIFS(Despesas!$F:$F,Despesas!$J:$J,"&lt;="&amp;$A818,Despesas!$L:$L,"&gt;="&amp;$A818,Despesas!$C:$C,H$1,Despesas!$M:$M,"Mensal")+SUMIFS(Despesas!$F:$F,Despesas!$J:$J,"&lt;="&amp;$A818,Despesas!$L:$L,"&gt;="&amp;$A818,Despesas!$C:$C,H$1,Despesas!$M:$M,$B818)</f>
        <v>1000</v>
      </c>
      <c r="I818" s="18">
        <f>IF(Imóveis!$F$2="PRICE",IF(AND(Dados!$A818&gt;=Imóveis!$Q$2,Dados!$A818&lt;=Imóveis!$T$2),Imóveis!$U$2,0),IF((IF(AND(Dados!$A818&gt;=Imóveis!$Q$2,Dados!$A818&lt;=Imóveis!$T$2),Imóveis!$S$2-(DATEDIF(Imóveis!$Q$2,Dados!$A818,"m")),0))=0,0,((Imóveis!$N$2/Imóveis!$S$2)+((Imóveis!$N$2-((Imóveis!$S$2-(IF(AND(Dados!$A818&gt;=Imóveis!$Q$2,Dados!$A818&lt;=Imóveis!$T$2),Imóveis!$S$2-(DATEDIF(Imóveis!$Q$2,Dados!$A818,"m")),)))*(Imóveis!$N$2/Imóveis!$S$2)))*Imóveis!$P$2))))*IF(AND(Imóveis!$E$2&gt;0,Dados!$A818&gt;Imóveis!$E$2),0,1)</f>
        <v>0</v>
      </c>
      <c r="J818" s="18">
        <f>IF(Imóveis!$F$3="PRICE",IF(AND(Dados!$A818&gt;=Imóveis!$Q$3,Dados!$A818&lt;=Imóveis!$T$3),Imóveis!$U$3,0),IF((IF(AND(Dados!$A818&gt;=Imóveis!$Q$3,Dados!$A818&lt;=Imóveis!$T$3),Imóveis!$S$3-(DATEDIF(Imóveis!$Q$3,Dados!$A818,"m")),0))=0,0,((Imóveis!$N$3/Imóveis!$S$3)+((Imóveis!$N$3-((Imóveis!$S$3-(IF(AND(Dados!$A818&gt;=Imóveis!$Q$3,Dados!$A818&lt;=Imóveis!$T$3),Imóveis!$S$3-(DATEDIF(Imóveis!$Q$3,Dados!$A818,"m")),)))*(Imóveis!$N$3/Imóveis!$S$3)))*Imóveis!$P$3))))*IF(AND(Imóveis!$E$3&gt;0,Dados!$A818&gt;Imóveis!$E$3),0,1)</f>
        <v>0</v>
      </c>
      <c r="K818" s="18">
        <f>IF(Imóveis!$F$4="PRICE",IF(AND(Dados!$A818&gt;=Imóveis!$Q$4,Dados!$A818&lt;=Imóveis!$T$4),Imóveis!$U$4,0),IF((IF(AND(Dados!$A818&gt;=Imóveis!$Q$4,Dados!$A818&lt;=Imóveis!$T$4),Imóveis!$S$4-(DATEDIF(Imóveis!$Q$4,Dados!$A818,"m")),0))=0,0,((Imóveis!$N$4/Imóveis!$S$4)+((Imóveis!$N$4-((Imóveis!$S$4-(IF(AND(Dados!$A818&gt;=Imóveis!$Q$4,Dados!$A818&lt;=Imóveis!$T$4),Imóveis!$S$4-(DATEDIF(Imóveis!$Q$4,Dados!$A818,"m")),)))*(Imóveis!$N$4/Imóveis!$S$4)))*Imóveis!$P$4))))*IF(AND(Imóveis!$E$4&gt;0,Dados!$A818&gt;Imóveis!$E$4),0,1)</f>
        <v>0</v>
      </c>
      <c r="L818" s="18">
        <f>IF(Imóveis!$F$5="PRICE",IF(AND(Dados!$A818&gt;=Imóveis!$Q$5,Dados!$A818&lt;=Imóveis!$T$5),Imóveis!$U$5,0),IF((IF(AND(Dados!$A818&gt;=Imóveis!$Q$5,Dados!$A818&lt;=Imóveis!$T$5),Imóveis!$S$5-(DATEDIF(Imóveis!$Q$5,Dados!$A818,"m")),0))=0,0,((Imóveis!$N$5/Imóveis!$S$5)+((Imóveis!$N$5-((Imóveis!$S$5-(IF(AND(Dados!$A818 &gt;=Imóveis!$Q$5,Dados!$A818&lt;=Imóveis!$T$5),Imóveis!$S$5-(DATEDIF(Imóveis!$Q$5,Dados!$A818,"m")),)))*(Imóveis!$N$5/Imóveis!$S$5)))*Imóveis!$P$5))))*IF(AND(Imóveis!$E$5&gt;0,Dados!$A818&gt;Imóveis!$E$5),0,1)*Imóveis!$I$5</f>
        <v>0</v>
      </c>
      <c r="M818" s="18">
        <f>IF(Imóveis!$F$6="PRICE",IF(AND(Dados!$A818&gt;=Imóveis!$Q$6,Dados!$A818&lt;=Imóveis!$T$6),Imóveis!$U$6,0),IF((IF(AND(Dados!$A818&gt;=Imóveis!$Q$6,Dados!$A818&lt;=Imóveis!$T$6),Imóveis!$S$6-(DATEDIF(Imóveis!$Q$6,Dados!$A818,"m")),0))=0,0,((Imóveis!$N$6/Imóveis!$S$6)+((Imóveis!$N$6-((Imóveis!$S$6-(IF(AND(Dados!$A818&gt;=Imóveis!$Q$6,Dados!$A818&lt;=Imóveis!$T$6),Imóveis!$S$6-(DATEDIF(Imóveis!$Q$6,Dados!$A818,"m")),)))*(Imóveis!$N$6/Imóveis!$S$6)))*Imóveis!$P$6))))*IF(AND(Imóveis!$E$6&gt;0,Dados!$A818&gt;Imóveis!$E$6),0,1)*Imóveis!$I$6</f>
        <v>0</v>
      </c>
      <c r="N818" s="18">
        <f t="shared" si="101"/>
        <v>37000</v>
      </c>
      <c r="O818" s="18">
        <f>SUMIFS(Receitas!$F:$F,Receitas!$J:$J,"&lt;="&amp;$A818,Receitas!$L:$L,"&gt;="&amp;$A818,Receitas!$C:$C,O$1,Receitas!$M:$M,"Mensal")+SUMIFS(Receitas!$F:$F,Receitas!$J:$J,"&lt;="&amp;$A818,Receitas!$L:$L,"&gt;="&amp;$A818,Receitas!$C:$C,O$1,Receitas!$M:$M,$B818)</f>
        <v>0</v>
      </c>
      <c r="P818" s="18">
        <f>SUMIFS(Receitas!$F:$F,Receitas!$J:$J,"&lt;="&amp;$A818,Receitas!$L:$L,"&gt;="&amp;$A818,Receitas!$C:$C,P$1,Receitas!$M:$M,"Mensal")+SUMIFS(Receitas!$F:$F,Receitas!$J:$J,"&lt;="&amp;$A818,Receitas!$L:$L,"&gt;="&amp;$A818,Receitas!$C:$C,P$1,Receitas!$M:$M,$B818)</f>
        <v>0</v>
      </c>
      <c r="Q818" s="18">
        <f>SUMIFS(Receitas!$F:$F,Receitas!$J:$J,"&lt;="&amp;$A818,Receitas!$L:$L,"&gt;="&amp;$A818,Receitas!$C:$C,Q$1,Receitas!$M:$M,"Mensal")+SUMIFS(Receitas!$F:$F,Receitas!$J:$J,"&lt;="&amp;$A818,Receitas!$L:$L,"&gt;="&amp;$A818,Receitas!$C:$C,Q$1,Receitas!$M:$M,$B818)</f>
        <v>0</v>
      </c>
      <c r="R818" s="18" cm="1">
        <f t="array" ref="R818">(IF(AND(Membros!$F$2="Sim",A818&lt;=MAX(Membros!$E$2:$E$5)),Membros!K$2,IF(AND(A818&gt;=Membros!J$2,A818&lt;=MAX(Membros!$E$2:$E$5)),Membros!K$2,0))+IF(AND(Membros!$F$3="Sim",A818&lt;=MAX(Membros!$E$2:$E$5)),Membros!K$3,IF(AND(A818&gt;=Membros!J$3,A818&lt;=MAX(Membros!$E$2:$E$5)),Membros!K$3,0)))*IF(AND(COUNTIFS(Tabela3[Tipo],"Provedor",Tabela3[Simulação Seguro],"Sim")=2,A818&gt;=MAX(IF(Tabela3[Tipo]="Dependente",Tabela3[Expectativa de Vida (Data)]))),0,1)</f>
        <v>10000</v>
      </c>
      <c r="S818" s="18">
        <f t="shared" si="102"/>
        <v>10000</v>
      </c>
      <c r="U818" s="18">
        <f t="shared" ca="1" si="105"/>
        <v>69299824.978575826</v>
      </c>
      <c r="V818" s="18">
        <f>SUMIF(Imóveis!E:E,Dados!A:A,Imóveis!Z:Z)-SUMIF(Imóveis!E:E,Dados!A:A,Imóveis!Y:Y)</f>
        <v>0</v>
      </c>
      <c r="W818" s="18">
        <f>-SUMIF(Projetos!N:N,A818,Projetos!F:F)</f>
        <v>0</v>
      </c>
      <c r="X818" s="18">
        <f t="shared" si="99"/>
        <v>-27000</v>
      </c>
      <c r="Y818" s="26">
        <f ca="1">(U818*((Indicadores_Economicos!D$2+1)^(1/12)-1))</f>
        <v>226869.59393178573</v>
      </c>
      <c r="Z818" s="18">
        <f t="shared" ca="1" si="103"/>
        <v>69499694.572507605</v>
      </c>
      <c r="AA818" s="18">
        <f ca="1">Auxiliar_Projetos!E818</f>
        <v>5.6294075837998286E-9</v>
      </c>
      <c r="AB818" s="18">
        <f ca="1">Auxiliar_Projetos!K818</f>
        <v>4.3303135259998604E-9</v>
      </c>
      <c r="AC818" s="18">
        <f ca="1">IF(Z818-AA818-AB818&gt;Investimentos!$C$14,Investimentos!$C$14,IF(Z818-AA818-AB818&lt;Investimentos!$C$14,Z818-AA818-AB818,0))</f>
        <v>300000</v>
      </c>
      <c r="AD818" s="18">
        <f t="shared" ca="1" si="104"/>
        <v>69199694.572507605</v>
      </c>
      <c r="AE818" s="18"/>
    </row>
    <row r="819" spans="1:31" x14ac:dyDescent="0.2">
      <c r="A819" s="4">
        <v>70526</v>
      </c>
      <c r="B819" s="5" t="str">
        <f t="shared" si="100"/>
        <v>fevereiro</v>
      </c>
      <c r="C819" s="5" t="str">
        <f t="shared" si="106"/>
        <v>2093</v>
      </c>
      <c r="D819" s="5">
        <f>SUMIFS(Despesas!$F:$F,Despesas!$J:$J,"&lt;="&amp;$A819,Despesas!$L:$L,"&gt;="&amp;$A819,Despesas!$C:$C,D$1,Despesas!$M:$M,"Mensal")+SUMIFS(Despesas!$F:$F,Despesas!$J:$J,"&lt;="&amp;$A819,Despesas!$L:$L,"&gt;="&amp;$A819,Despesas!$C:$C,D$1,Despesas!$M:$M,$B819)</f>
        <v>23000</v>
      </c>
      <c r="E819" s="18">
        <f>SUMIFS(Despesas!$F:$F,Despesas!$J:$J,"&lt;="&amp;$A819,Despesas!$L:$L,"&gt;="&amp;$A819,Despesas!$C:$C,E$1,Despesas!$M:$M,"Mensal")+SUMIFS(Despesas!$F:$F,Despesas!$J:$J,"&lt;="&amp;$A819,Despesas!$L:$L,"&gt;="&amp;$A819,Despesas!$C:$C,E$1,Despesas!$M:$M,$B819)</f>
        <v>0</v>
      </c>
      <c r="F819" s="5">
        <f>SUMIFS(Despesas!$F:$F,Despesas!$J:$J,"&lt;="&amp;$A819,Despesas!$L:$L,"&gt;="&amp;$A819,Despesas!$C:$C,F$1,Despesas!$M:$M,"Mensal")+SUMIFS(Despesas!$F:$F,Despesas!$J:$J,"&lt;="&amp;$A819,Despesas!$L:$L,"&gt;="&amp;$A819,Despesas!$C:$C,F$1,Despesas!$M:$M,$B819)</f>
        <v>13000</v>
      </c>
      <c r="G819" s="5">
        <f>SUMIFS(Despesas!$F:$F,Despesas!$J:$J,"&lt;="&amp;$A819,Despesas!$L:$L,"&gt;="&amp;$A819,Despesas!$C:$C,G$1,Despesas!$M:$M,"Mensal")+SUMIFS(Despesas!$F:$F,Despesas!$J:$J,"&lt;="&amp;$A819,Despesas!$L:$L,"&gt;="&amp;$A819,Despesas!$C:$C,G$1,Despesas!$M:$M,$B819)</f>
        <v>0</v>
      </c>
      <c r="H819" s="18">
        <f>SUMIFS(Despesas!$F:$F,Despesas!$J:$J,"&lt;="&amp;$A819,Despesas!$L:$L,"&gt;="&amp;$A819,Despesas!$C:$C,H$1,Despesas!$M:$M,"Mensal")+SUMIFS(Despesas!$F:$F,Despesas!$J:$J,"&lt;="&amp;$A819,Despesas!$L:$L,"&gt;="&amp;$A819,Despesas!$C:$C,H$1,Despesas!$M:$M,$B819)</f>
        <v>2200</v>
      </c>
      <c r="I819" s="18">
        <f>IF(Imóveis!$F$2="PRICE",IF(AND(Dados!$A819&gt;=Imóveis!$Q$2,Dados!$A819&lt;=Imóveis!$T$2),Imóveis!$U$2,0),IF((IF(AND(Dados!$A819&gt;=Imóveis!$Q$2,Dados!$A819&lt;=Imóveis!$T$2),Imóveis!$S$2-(DATEDIF(Imóveis!$Q$2,Dados!$A819,"m")),0))=0,0,((Imóveis!$N$2/Imóveis!$S$2)+((Imóveis!$N$2-((Imóveis!$S$2-(IF(AND(Dados!$A819&gt;=Imóveis!$Q$2,Dados!$A819&lt;=Imóveis!$T$2),Imóveis!$S$2-(DATEDIF(Imóveis!$Q$2,Dados!$A819,"m")),)))*(Imóveis!$N$2/Imóveis!$S$2)))*Imóveis!$P$2))))*IF(AND(Imóveis!$E$2&gt;0,Dados!$A819&gt;Imóveis!$E$2),0,1)</f>
        <v>0</v>
      </c>
      <c r="J819" s="18">
        <f>IF(Imóveis!$F$3="PRICE",IF(AND(Dados!$A819&gt;=Imóveis!$Q$3,Dados!$A819&lt;=Imóveis!$T$3),Imóveis!$U$3,0),IF((IF(AND(Dados!$A819&gt;=Imóveis!$Q$3,Dados!$A819&lt;=Imóveis!$T$3),Imóveis!$S$3-(DATEDIF(Imóveis!$Q$3,Dados!$A819,"m")),0))=0,0,((Imóveis!$N$3/Imóveis!$S$3)+((Imóveis!$N$3-((Imóveis!$S$3-(IF(AND(Dados!$A819&gt;=Imóveis!$Q$3,Dados!$A819&lt;=Imóveis!$T$3),Imóveis!$S$3-(DATEDIF(Imóveis!$Q$3,Dados!$A819,"m")),)))*(Imóveis!$N$3/Imóveis!$S$3)))*Imóveis!$P$3))))*IF(AND(Imóveis!$E$3&gt;0,Dados!$A819&gt;Imóveis!$E$3),0,1)</f>
        <v>0</v>
      </c>
      <c r="K819" s="18">
        <f>IF(Imóveis!$F$4="PRICE",IF(AND(Dados!$A819&gt;=Imóveis!$Q$4,Dados!$A819&lt;=Imóveis!$T$4),Imóveis!$U$4,0),IF((IF(AND(Dados!$A819&gt;=Imóveis!$Q$4,Dados!$A819&lt;=Imóveis!$T$4),Imóveis!$S$4-(DATEDIF(Imóveis!$Q$4,Dados!$A819,"m")),0))=0,0,((Imóveis!$N$4/Imóveis!$S$4)+((Imóveis!$N$4-((Imóveis!$S$4-(IF(AND(Dados!$A819&gt;=Imóveis!$Q$4,Dados!$A819&lt;=Imóveis!$T$4),Imóveis!$S$4-(DATEDIF(Imóveis!$Q$4,Dados!$A819,"m")),)))*(Imóveis!$N$4/Imóveis!$S$4)))*Imóveis!$P$4))))*IF(AND(Imóveis!$E$4&gt;0,Dados!$A819&gt;Imóveis!$E$4),0,1)</f>
        <v>0</v>
      </c>
      <c r="L819" s="18">
        <f>IF(Imóveis!$F$5="PRICE",IF(AND(Dados!$A819&gt;=Imóveis!$Q$5,Dados!$A819&lt;=Imóveis!$T$5),Imóveis!$U$5,0),IF((IF(AND(Dados!$A819&gt;=Imóveis!$Q$5,Dados!$A819&lt;=Imóveis!$T$5),Imóveis!$S$5-(DATEDIF(Imóveis!$Q$5,Dados!$A819,"m")),0))=0,0,((Imóveis!$N$5/Imóveis!$S$5)+((Imóveis!$N$5-((Imóveis!$S$5-(IF(AND(Dados!$A819 &gt;=Imóveis!$Q$5,Dados!$A819&lt;=Imóveis!$T$5),Imóveis!$S$5-(DATEDIF(Imóveis!$Q$5,Dados!$A819,"m")),)))*(Imóveis!$N$5/Imóveis!$S$5)))*Imóveis!$P$5))))*IF(AND(Imóveis!$E$5&gt;0,Dados!$A819&gt;Imóveis!$E$5),0,1)*Imóveis!$I$5</f>
        <v>0</v>
      </c>
      <c r="M819" s="18">
        <f>IF(Imóveis!$F$6="PRICE",IF(AND(Dados!$A819&gt;=Imóveis!$Q$6,Dados!$A819&lt;=Imóveis!$T$6),Imóveis!$U$6,0),IF((IF(AND(Dados!$A819&gt;=Imóveis!$Q$6,Dados!$A819&lt;=Imóveis!$T$6),Imóveis!$S$6-(DATEDIF(Imóveis!$Q$6,Dados!$A819,"m")),0))=0,0,((Imóveis!$N$6/Imóveis!$S$6)+((Imóveis!$N$6-((Imóveis!$S$6-(IF(AND(Dados!$A819&gt;=Imóveis!$Q$6,Dados!$A819&lt;=Imóveis!$T$6),Imóveis!$S$6-(DATEDIF(Imóveis!$Q$6,Dados!$A819,"m")),)))*(Imóveis!$N$6/Imóveis!$S$6)))*Imóveis!$P$6))))*IF(AND(Imóveis!$E$6&gt;0,Dados!$A819&gt;Imóveis!$E$6),0,1)*Imóveis!$I$6</f>
        <v>0</v>
      </c>
      <c r="N819" s="18">
        <f t="shared" si="101"/>
        <v>38200</v>
      </c>
      <c r="O819" s="18">
        <f>SUMIFS(Receitas!$F:$F,Receitas!$J:$J,"&lt;="&amp;$A819,Receitas!$L:$L,"&gt;="&amp;$A819,Receitas!$C:$C,O$1,Receitas!$M:$M,"Mensal")+SUMIFS(Receitas!$F:$F,Receitas!$J:$J,"&lt;="&amp;$A819,Receitas!$L:$L,"&gt;="&amp;$A819,Receitas!$C:$C,O$1,Receitas!$M:$M,$B819)</f>
        <v>0</v>
      </c>
      <c r="P819" s="18">
        <f>SUMIFS(Receitas!$F:$F,Receitas!$J:$J,"&lt;="&amp;$A819,Receitas!$L:$L,"&gt;="&amp;$A819,Receitas!$C:$C,P$1,Receitas!$M:$M,"Mensal")+SUMIFS(Receitas!$F:$F,Receitas!$J:$J,"&lt;="&amp;$A819,Receitas!$L:$L,"&gt;="&amp;$A819,Receitas!$C:$C,P$1,Receitas!$M:$M,$B819)</f>
        <v>0</v>
      </c>
      <c r="Q819" s="18">
        <f>SUMIFS(Receitas!$F:$F,Receitas!$J:$J,"&lt;="&amp;$A819,Receitas!$L:$L,"&gt;="&amp;$A819,Receitas!$C:$C,Q$1,Receitas!$M:$M,"Mensal")+SUMIFS(Receitas!$F:$F,Receitas!$J:$J,"&lt;="&amp;$A819,Receitas!$L:$L,"&gt;="&amp;$A819,Receitas!$C:$C,Q$1,Receitas!$M:$M,$B819)</f>
        <v>0</v>
      </c>
      <c r="R819" s="18" cm="1">
        <f t="array" ref="R819">(IF(AND(Membros!$F$2="Sim",A819&lt;=MAX(Membros!$E$2:$E$5)),Membros!K$2,IF(AND(A819&gt;=Membros!J$2,A819&lt;=MAX(Membros!$E$2:$E$5)),Membros!K$2,0))+IF(AND(Membros!$F$3="Sim",A819&lt;=MAX(Membros!$E$2:$E$5)),Membros!K$3,IF(AND(A819&gt;=Membros!J$3,A819&lt;=MAX(Membros!$E$2:$E$5)),Membros!K$3,0)))*IF(AND(COUNTIFS(Tabela3[Tipo],"Provedor",Tabela3[Simulação Seguro],"Sim")=2,A819&gt;=MAX(IF(Tabela3[Tipo]="Dependente",Tabela3[Expectativa de Vida (Data)]))),0,1)</f>
        <v>10000</v>
      </c>
      <c r="S819" s="18">
        <f t="shared" si="102"/>
        <v>10000</v>
      </c>
      <c r="U819" s="18">
        <f t="shared" ca="1" si="105"/>
        <v>69499694.572507605</v>
      </c>
      <c r="V819" s="18">
        <f>SUMIF(Imóveis!E:E,Dados!A:A,Imóveis!Z:Z)-SUMIF(Imóveis!E:E,Dados!A:A,Imóveis!Y:Y)</f>
        <v>0</v>
      </c>
      <c r="W819" s="18">
        <f>-SUMIF(Projetos!N:N,A819,Projetos!F:F)</f>
        <v>0</v>
      </c>
      <c r="X819" s="18">
        <f t="shared" si="99"/>
        <v>-28200</v>
      </c>
      <c r="Y819" s="26">
        <f ca="1">(U819*((Indicadores_Economicos!D$2+1)^(1/12)-1))</f>
        <v>227523.91497269212</v>
      </c>
      <c r="Z819" s="18">
        <f t="shared" ca="1" si="103"/>
        <v>69699018.487480298</v>
      </c>
      <c r="AA819" s="18">
        <f ca="1">Auxiliar_Projetos!E819</f>
        <v>5.6478367993571264E-9</v>
      </c>
      <c r="AB819" s="18">
        <f ca="1">Auxiliar_Projetos!K819</f>
        <v>4.3444898456593198E-9</v>
      </c>
      <c r="AC819" s="18">
        <f ca="1">IF(Z819-AA819-AB819&gt;Investimentos!$C$14,Investimentos!$C$14,IF(Z819-AA819-AB819&lt;Investimentos!$C$14,Z819-AA819-AB819,0))</f>
        <v>300000</v>
      </c>
      <c r="AD819" s="18">
        <f t="shared" ca="1" si="104"/>
        <v>69399018.487480298</v>
      </c>
      <c r="AE819" s="18"/>
    </row>
    <row r="820" spans="1:31" x14ac:dyDescent="0.2">
      <c r="A820" s="4">
        <v>70554</v>
      </c>
      <c r="B820" s="5" t="str">
        <f t="shared" si="100"/>
        <v>março</v>
      </c>
      <c r="C820" s="5" t="str">
        <f t="shared" si="106"/>
        <v>2093</v>
      </c>
      <c r="D820" s="5">
        <f>SUMIFS(Despesas!$F:$F,Despesas!$J:$J,"&lt;="&amp;$A820,Despesas!$L:$L,"&gt;="&amp;$A820,Despesas!$C:$C,D$1,Despesas!$M:$M,"Mensal")+SUMIFS(Despesas!$F:$F,Despesas!$J:$J,"&lt;="&amp;$A820,Despesas!$L:$L,"&gt;="&amp;$A820,Despesas!$C:$C,D$1,Despesas!$M:$M,$B820)</f>
        <v>23000</v>
      </c>
      <c r="E820" s="18">
        <f>SUMIFS(Despesas!$F:$F,Despesas!$J:$J,"&lt;="&amp;$A820,Despesas!$L:$L,"&gt;="&amp;$A820,Despesas!$C:$C,E$1,Despesas!$M:$M,"Mensal")+SUMIFS(Despesas!$F:$F,Despesas!$J:$J,"&lt;="&amp;$A820,Despesas!$L:$L,"&gt;="&amp;$A820,Despesas!$C:$C,E$1,Despesas!$M:$M,$B820)</f>
        <v>0</v>
      </c>
      <c r="F820" s="5">
        <f>SUMIFS(Despesas!$F:$F,Despesas!$J:$J,"&lt;="&amp;$A820,Despesas!$L:$L,"&gt;="&amp;$A820,Despesas!$C:$C,F$1,Despesas!$M:$M,"Mensal")+SUMIFS(Despesas!$F:$F,Despesas!$J:$J,"&lt;="&amp;$A820,Despesas!$L:$L,"&gt;="&amp;$A820,Despesas!$C:$C,F$1,Despesas!$M:$M,$B820)</f>
        <v>13000</v>
      </c>
      <c r="G820" s="5">
        <f>SUMIFS(Despesas!$F:$F,Despesas!$J:$J,"&lt;="&amp;$A820,Despesas!$L:$L,"&gt;="&amp;$A820,Despesas!$C:$C,G$1,Despesas!$M:$M,"Mensal")+SUMIFS(Despesas!$F:$F,Despesas!$J:$J,"&lt;="&amp;$A820,Despesas!$L:$L,"&gt;="&amp;$A820,Despesas!$C:$C,G$1,Despesas!$M:$M,$B820)</f>
        <v>0</v>
      </c>
      <c r="H820" s="18">
        <f>SUMIFS(Despesas!$F:$F,Despesas!$J:$J,"&lt;="&amp;$A820,Despesas!$L:$L,"&gt;="&amp;$A820,Despesas!$C:$C,H$1,Despesas!$M:$M,"Mensal")+SUMIFS(Despesas!$F:$F,Despesas!$J:$J,"&lt;="&amp;$A820,Despesas!$L:$L,"&gt;="&amp;$A820,Despesas!$C:$C,H$1,Despesas!$M:$M,$B820)</f>
        <v>1000</v>
      </c>
      <c r="I820" s="18">
        <f>IF(Imóveis!$F$2="PRICE",IF(AND(Dados!$A820&gt;=Imóveis!$Q$2,Dados!$A820&lt;=Imóveis!$T$2),Imóveis!$U$2,0),IF((IF(AND(Dados!$A820&gt;=Imóveis!$Q$2,Dados!$A820&lt;=Imóveis!$T$2),Imóveis!$S$2-(DATEDIF(Imóveis!$Q$2,Dados!$A820,"m")),0))=0,0,((Imóveis!$N$2/Imóveis!$S$2)+((Imóveis!$N$2-((Imóveis!$S$2-(IF(AND(Dados!$A820&gt;=Imóveis!$Q$2,Dados!$A820&lt;=Imóveis!$T$2),Imóveis!$S$2-(DATEDIF(Imóveis!$Q$2,Dados!$A820,"m")),)))*(Imóveis!$N$2/Imóveis!$S$2)))*Imóveis!$P$2))))*IF(AND(Imóveis!$E$2&gt;0,Dados!$A820&gt;Imóveis!$E$2),0,1)</f>
        <v>0</v>
      </c>
      <c r="J820" s="18">
        <f>IF(Imóveis!$F$3="PRICE",IF(AND(Dados!$A820&gt;=Imóveis!$Q$3,Dados!$A820&lt;=Imóveis!$T$3),Imóveis!$U$3,0),IF((IF(AND(Dados!$A820&gt;=Imóveis!$Q$3,Dados!$A820&lt;=Imóveis!$T$3),Imóveis!$S$3-(DATEDIF(Imóveis!$Q$3,Dados!$A820,"m")),0))=0,0,((Imóveis!$N$3/Imóveis!$S$3)+((Imóveis!$N$3-((Imóveis!$S$3-(IF(AND(Dados!$A820&gt;=Imóveis!$Q$3,Dados!$A820&lt;=Imóveis!$T$3),Imóveis!$S$3-(DATEDIF(Imóveis!$Q$3,Dados!$A820,"m")),)))*(Imóveis!$N$3/Imóveis!$S$3)))*Imóveis!$P$3))))*IF(AND(Imóveis!$E$3&gt;0,Dados!$A820&gt;Imóveis!$E$3),0,1)</f>
        <v>0</v>
      </c>
      <c r="K820" s="18">
        <f>IF(Imóveis!$F$4="PRICE",IF(AND(Dados!$A820&gt;=Imóveis!$Q$4,Dados!$A820&lt;=Imóveis!$T$4),Imóveis!$U$4,0),IF((IF(AND(Dados!$A820&gt;=Imóveis!$Q$4,Dados!$A820&lt;=Imóveis!$T$4),Imóveis!$S$4-(DATEDIF(Imóveis!$Q$4,Dados!$A820,"m")),0))=0,0,((Imóveis!$N$4/Imóveis!$S$4)+((Imóveis!$N$4-((Imóveis!$S$4-(IF(AND(Dados!$A820&gt;=Imóveis!$Q$4,Dados!$A820&lt;=Imóveis!$T$4),Imóveis!$S$4-(DATEDIF(Imóveis!$Q$4,Dados!$A820,"m")),)))*(Imóveis!$N$4/Imóveis!$S$4)))*Imóveis!$P$4))))*IF(AND(Imóveis!$E$4&gt;0,Dados!$A820&gt;Imóveis!$E$4),0,1)</f>
        <v>0</v>
      </c>
      <c r="L820" s="18">
        <f>IF(Imóveis!$F$5="PRICE",IF(AND(Dados!$A820&gt;=Imóveis!$Q$5,Dados!$A820&lt;=Imóveis!$T$5),Imóveis!$U$5,0),IF((IF(AND(Dados!$A820&gt;=Imóveis!$Q$5,Dados!$A820&lt;=Imóveis!$T$5),Imóveis!$S$5-(DATEDIF(Imóveis!$Q$5,Dados!$A820,"m")),0))=0,0,((Imóveis!$N$5/Imóveis!$S$5)+((Imóveis!$N$5-((Imóveis!$S$5-(IF(AND(Dados!$A820 &gt;=Imóveis!$Q$5,Dados!$A820&lt;=Imóveis!$T$5),Imóveis!$S$5-(DATEDIF(Imóveis!$Q$5,Dados!$A820,"m")),)))*(Imóveis!$N$5/Imóveis!$S$5)))*Imóveis!$P$5))))*IF(AND(Imóveis!$E$5&gt;0,Dados!$A820&gt;Imóveis!$E$5),0,1)*Imóveis!$I$5</f>
        <v>0</v>
      </c>
      <c r="M820" s="18">
        <f>IF(Imóveis!$F$6="PRICE",IF(AND(Dados!$A820&gt;=Imóveis!$Q$6,Dados!$A820&lt;=Imóveis!$T$6),Imóveis!$U$6,0),IF((IF(AND(Dados!$A820&gt;=Imóveis!$Q$6,Dados!$A820&lt;=Imóveis!$T$6),Imóveis!$S$6-(DATEDIF(Imóveis!$Q$6,Dados!$A820,"m")),0))=0,0,((Imóveis!$N$6/Imóveis!$S$6)+((Imóveis!$N$6-((Imóveis!$S$6-(IF(AND(Dados!$A820&gt;=Imóveis!$Q$6,Dados!$A820&lt;=Imóveis!$T$6),Imóveis!$S$6-(DATEDIF(Imóveis!$Q$6,Dados!$A820,"m")),)))*(Imóveis!$N$6/Imóveis!$S$6)))*Imóveis!$P$6))))*IF(AND(Imóveis!$E$6&gt;0,Dados!$A820&gt;Imóveis!$E$6),0,1)*Imóveis!$I$6</f>
        <v>0</v>
      </c>
      <c r="N820" s="18">
        <f t="shared" si="101"/>
        <v>37000</v>
      </c>
      <c r="O820" s="18">
        <f>SUMIFS(Receitas!$F:$F,Receitas!$J:$J,"&lt;="&amp;$A820,Receitas!$L:$L,"&gt;="&amp;$A820,Receitas!$C:$C,O$1,Receitas!$M:$M,"Mensal")+SUMIFS(Receitas!$F:$F,Receitas!$J:$J,"&lt;="&amp;$A820,Receitas!$L:$L,"&gt;="&amp;$A820,Receitas!$C:$C,O$1,Receitas!$M:$M,$B820)</f>
        <v>0</v>
      </c>
      <c r="P820" s="18">
        <f>SUMIFS(Receitas!$F:$F,Receitas!$J:$J,"&lt;="&amp;$A820,Receitas!$L:$L,"&gt;="&amp;$A820,Receitas!$C:$C,P$1,Receitas!$M:$M,"Mensal")+SUMIFS(Receitas!$F:$F,Receitas!$J:$J,"&lt;="&amp;$A820,Receitas!$L:$L,"&gt;="&amp;$A820,Receitas!$C:$C,P$1,Receitas!$M:$M,$B820)</f>
        <v>0</v>
      </c>
      <c r="Q820" s="18">
        <f>SUMIFS(Receitas!$F:$F,Receitas!$J:$J,"&lt;="&amp;$A820,Receitas!$L:$L,"&gt;="&amp;$A820,Receitas!$C:$C,Q$1,Receitas!$M:$M,"Mensal")+SUMIFS(Receitas!$F:$F,Receitas!$J:$J,"&lt;="&amp;$A820,Receitas!$L:$L,"&gt;="&amp;$A820,Receitas!$C:$C,Q$1,Receitas!$M:$M,$B820)</f>
        <v>0</v>
      </c>
      <c r="R820" s="18" cm="1">
        <f t="array" ref="R820">(IF(AND(Membros!$F$2="Sim",A820&lt;=MAX(Membros!$E$2:$E$5)),Membros!K$2,IF(AND(A820&gt;=Membros!J$2,A820&lt;=MAX(Membros!$E$2:$E$5)),Membros!K$2,0))+IF(AND(Membros!$F$3="Sim",A820&lt;=MAX(Membros!$E$2:$E$5)),Membros!K$3,IF(AND(A820&gt;=Membros!J$3,A820&lt;=MAX(Membros!$E$2:$E$5)),Membros!K$3,0)))*IF(AND(COUNTIFS(Tabela3[Tipo],"Provedor",Tabela3[Simulação Seguro],"Sim")=2,A820&gt;=MAX(IF(Tabela3[Tipo]="Dependente",Tabela3[Expectativa de Vida (Data)]))),0,1)</f>
        <v>10000</v>
      </c>
      <c r="S820" s="18">
        <f t="shared" si="102"/>
        <v>10000</v>
      </c>
      <c r="U820" s="18">
        <f t="shared" ca="1" si="105"/>
        <v>69699018.487480298</v>
      </c>
      <c r="V820" s="18">
        <f>SUMIF(Imóveis!E:E,Dados!A:A,Imóveis!Z:Z)-SUMIF(Imóveis!E:E,Dados!A:A,Imóveis!Y:Y)</f>
        <v>0</v>
      </c>
      <c r="W820" s="18">
        <f>-SUMIF(Projetos!N:N,A820,Projetos!F:F)</f>
        <v>0</v>
      </c>
      <c r="X820" s="18">
        <f t="shared" si="99"/>
        <v>-27000</v>
      </c>
      <c r="Y820" s="26">
        <f ca="1">(U820*((Indicadores_Economicos!D$2+1)^(1/12)-1))</f>
        <v>228176.44960268185</v>
      </c>
      <c r="Z820" s="18">
        <f t="shared" ca="1" si="103"/>
        <v>69900194.937082976</v>
      </c>
      <c r="AA820" s="18">
        <f ca="1">Auxiliar_Projetos!E820</f>
        <v>5.6663263473705491E-9</v>
      </c>
      <c r="AB820" s="18">
        <f ca="1">Auxiliar_Projetos!K820</f>
        <v>4.3587125749004142E-9</v>
      </c>
      <c r="AC820" s="18">
        <f ca="1">IF(Z820-AA820-AB820&gt;Investimentos!$C$14,Investimentos!$C$14,IF(Z820-AA820-AB820&lt;Investimentos!$C$14,Z820-AA820-AB820,0))</f>
        <v>300000</v>
      </c>
      <c r="AD820" s="18">
        <f t="shared" ca="1" si="104"/>
        <v>69600194.937082976</v>
      </c>
      <c r="AE820" s="18"/>
    </row>
    <row r="821" spans="1:31" x14ac:dyDescent="0.2">
      <c r="A821" s="4">
        <v>70585</v>
      </c>
      <c r="B821" s="5" t="str">
        <f t="shared" si="100"/>
        <v>abril</v>
      </c>
      <c r="C821" s="5" t="str">
        <f t="shared" si="106"/>
        <v>2093</v>
      </c>
      <c r="D821" s="5">
        <f>SUMIFS(Despesas!$F:$F,Despesas!$J:$J,"&lt;="&amp;$A821,Despesas!$L:$L,"&gt;="&amp;$A821,Despesas!$C:$C,D$1,Despesas!$M:$M,"Mensal")+SUMIFS(Despesas!$F:$F,Despesas!$J:$J,"&lt;="&amp;$A821,Despesas!$L:$L,"&gt;="&amp;$A821,Despesas!$C:$C,D$1,Despesas!$M:$M,$B821)</f>
        <v>23000</v>
      </c>
      <c r="E821" s="18">
        <f>SUMIFS(Despesas!$F:$F,Despesas!$J:$J,"&lt;="&amp;$A821,Despesas!$L:$L,"&gt;="&amp;$A821,Despesas!$C:$C,E$1,Despesas!$M:$M,"Mensal")+SUMIFS(Despesas!$F:$F,Despesas!$J:$J,"&lt;="&amp;$A821,Despesas!$L:$L,"&gt;="&amp;$A821,Despesas!$C:$C,E$1,Despesas!$M:$M,$B821)</f>
        <v>0</v>
      </c>
      <c r="F821" s="5">
        <f>SUMIFS(Despesas!$F:$F,Despesas!$J:$J,"&lt;="&amp;$A821,Despesas!$L:$L,"&gt;="&amp;$A821,Despesas!$C:$C,F$1,Despesas!$M:$M,"Mensal")+SUMIFS(Despesas!$F:$F,Despesas!$J:$J,"&lt;="&amp;$A821,Despesas!$L:$L,"&gt;="&amp;$A821,Despesas!$C:$C,F$1,Despesas!$M:$M,$B821)</f>
        <v>13000</v>
      </c>
      <c r="G821" s="5">
        <f>SUMIFS(Despesas!$F:$F,Despesas!$J:$J,"&lt;="&amp;$A821,Despesas!$L:$L,"&gt;="&amp;$A821,Despesas!$C:$C,G$1,Despesas!$M:$M,"Mensal")+SUMIFS(Despesas!$F:$F,Despesas!$J:$J,"&lt;="&amp;$A821,Despesas!$L:$L,"&gt;="&amp;$A821,Despesas!$C:$C,G$1,Despesas!$M:$M,$B821)</f>
        <v>0</v>
      </c>
      <c r="H821" s="18">
        <f>SUMIFS(Despesas!$F:$F,Despesas!$J:$J,"&lt;="&amp;$A821,Despesas!$L:$L,"&gt;="&amp;$A821,Despesas!$C:$C,H$1,Despesas!$M:$M,"Mensal")+SUMIFS(Despesas!$F:$F,Despesas!$J:$J,"&lt;="&amp;$A821,Despesas!$L:$L,"&gt;="&amp;$A821,Despesas!$C:$C,H$1,Despesas!$M:$M,$B821)</f>
        <v>1000</v>
      </c>
      <c r="I821" s="18">
        <f>IF(Imóveis!$F$2="PRICE",IF(AND(Dados!$A821&gt;=Imóveis!$Q$2,Dados!$A821&lt;=Imóveis!$T$2),Imóveis!$U$2,0),IF((IF(AND(Dados!$A821&gt;=Imóveis!$Q$2,Dados!$A821&lt;=Imóveis!$T$2),Imóveis!$S$2-(DATEDIF(Imóveis!$Q$2,Dados!$A821,"m")),0))=0,0,((Imóveis!$N$2/Imóveis!$S$2)+((Imóveis!$N$2-((Imóveis!$S$2-(IF(AND(Dados!$A821&gt;=Imóveis!$Q$2,Dados!$A821&lt;=Imóveis!$T$2),Imóveis!$S$2-(DATEDIF(Imóveis!$Q$2,Dados!$A821,"m")),)))*(Imóveis!$N$2/Imóveis!$S$2)))*Imóveis!$P$2))))*IF(AND(Imóveis!$E$2&gt;0,Dados!$A821&gt;Imóveis!$E$2),0,1)</f>
        <v>0</v>
      </c>
      <c r="J821" s="18">
        <f>IF(Imóveis!$F$3="PRICE",IF(AND(Dados!$A821&gt;=Imóveis!$Q$3,Dados!$A821&lt;=Imóveis!$T$3),Imóveis!$U$3,0),IF((IF(AND(Dados!$A821&gt;=Imóveis!$Q$3,Dados!$A821&lt;=Imóveis!$T$3),Imóveis!$S$3-(DATEDIF(Imóveis!$Q$3,Dados!$A821,"m")),0))=0,0,((Imóveis!$N$3/Imóveis!$S$3)+((Imóveis!$N$3-((Imóveis!$S$3-(IF(AND(Dados!$A821&gt;=Imóveis!$Q$3,Dados!$A821&lt;=Imóveis!$T$3),Imóveis!$S$3-(DATEDIF(Imóveis!$Q$3,Dados!$A821,"m")),)))*(Imóveis!$N$3/Imóveis!$S$3)))*Imóveis!$P$3))))*IF(AND(Imóveis!$E$3&gt;0,Dados!$A821&gt;Imóveis!$E$3),0,1)</f>
        <v>0</v>
      </c>
      <c r="K821" s="18">
        <f>IF(Imóveis!$F$4="PRICE",IF(AND(Dados!$A821&gt;=Imóveis!$Q$4,Dados!$A821&lt;=Imóveis!$T$4),Imóveis!$U$4,0),IF((IF(AND(Dados!$A821&gt;=Imóveis!$Q$4,Dados!$A821&lt;=Imóveis!$T$4),Imóveis!$S$4-(DATEDIF(Imóveis!$Q$4,Dados!$A821,"m")),0))=0,0,((Imóveis!$N$4/Imóveis!$S$4)+((Imóveis!$N$4-((Imóveis!$S$4-(IF(AND(Dados!$A821&gt;=Imóveis!$Q$4,Dados!$A821&lt;=Imóveis!$T$4),Imóveis!$S$4-(DATEDIF(Imóveis!$Q$4,Dados!$A821,"m")),)))*(Imóveis!$N$4/Imóveis!$S$4)))*Imóveis!$P$4))))*IF(AND(Imóveis!$E$4&gt;0,Dados!$A821&gt;Imóveis!$E$4),0,1)</f>
        <v>0</v>
      </c>
      <c r="L821" s="18">
        <f>IF(Imóveis!$F$5="PRICE",IF(AND(Dados!$A821&gt;=Imóveis!$Q$5,Dados!$A821&lt;=Imóveis!$T$5),Imóveis!$U$5,0),IF((IF(AND(Dados!$A821&gt;=Imóveis!$Q$5,Dados!$A821&lt;=Imóveis!$T$5),Imóveis!$S$5-(DATEDIF(Imóveis!$Q$5,Dados!$A821,"m")),0))=0,0,((Imóveis!$N$5/Imóveis!$S$5)+((Imóveis!$N$5-((Imóveis!$S$5-(IF(AND(Dados!$A821 &gt;=Imóveis!$Q$5,Dados!$A821&lt;=Imóveis!$T$5),Imóveis!$S$5-(DATEDIF(Imóveis!$Q$5,Dados!$A821,"m")),)))*(Imóveis!$N$5/Imóveis!$S$5)))*Imóveis!$P$5))))*IF(AND(Imóveis!$E$5&gt;0,Dados!$A821&gt;Imóveis!$E$5),0,1)*Imóveis!$I$5</f>
        <v>0</v>
      </c>
      <c r="M821" s="18">
        <f>IF(Imóveis!$F$6="PRICE",IF(AND(Dados!$A821&gt;=Imóveis!$Q$6,Dados!$A821&lt;=Imóveis!$T$6),Imóveis!$U$6,0),IF((IF(AND(Dados!$A821&gt;=Imóveis!$Q$6,Dados!$A821&lt;=Imóveis!$T$6),Imóveis!$S$6-(DATEDIF(Imóveis!$Q$6,Dados!$A821,"m")),0))=0,0,((Imóveis!$N$6/Imóveis!$S$6)+((Imóveis!$N$6-((Imóveis!$S$6-(IF(AND(Dados!$A821&gt;=Imóveis!$Q$6,Dados!$A821&lt;=Imóveis!$T$6),Imóveis!$S$6-(DATEDIF(Imóveis!$Q$6,Dados!$A821,"m")),)))*(Imóveis!$N$6/Imóveis!$S$6)))*Imóveis!$P$6))))*IF(AND(Imóveis!$E$6&gt;0,Dados!$A821&gt;Imóveis!$E$6),0,1)*Imóveis!$I$6</f>
        <v>0</v>
      </c>
      <c r="N821" s="18">
        <f t="shared" si="101"/>
        <v>37000</v>
      </c>
      <c r="O821" s="18">
        <f>SUMIFS(Receitas!$F:$F,Receitas!$J:$J,"&lt;="&amp;$A821,Receitas!$L:$L,"&gt;="&amp;$A821,Receitas!$C:$C,O$1,Receitas!$M:$M,"Mensal")+SUMIFS(Receitas!$F:$F,Receitas!$J:$J,"&lt;="&amp;$A821,Receitas!$L:$L,"&gt;="&amp;$A821,Receitas!$C:$C,O$1,Receitas!$M:$M,$B821)</f>
        <v>0</v>
      </c>
      <c r="P821" s="18">
        <f>SUMIFS(Receitas!$F:$F,Receitas!$J:$J,"&lt;="&amp;$A821,Receitas!$L:$L,"&gt;="&amp;$A821,Receitas!$C:$C,P$1,Receitas!$M:$M,"Mensal")+SUMIFS(Receitas!$F:$F,Receitas!$J:$J,"&lt;="&amp;$A821,Receitas!$L:$L,"&gt;="&amp;$A821,Receitas!$C:$C,P$1,Receitas!$M:$M,$B821)</f>
        <v>0</v>
      </c>
      <c r="Q821" s="18">
        <f>SUMIFS(Receitas!$F:$F,Receitas!$J:$J,"&lt;="&amp;$A821,Receitas!$L:$L,"&gt;="&amp;$A821,Receitas!$C:$C,Q$1,Receitas!$M:$M,"Mensal")+SUMIFS(Receitas!$F:$F,Receitas!$J:$J,"&lt;="&amp;$A821,Receitas!$L:$L,"&gt;="&amp;$A821,Receitas!$C:$C,Q$1,Receitas!$M:$M,$B821)</f>
        <v>0</v>
      </c>
      <c r="R821" s="18" cm="1">
        <f t="array" ref="R821">(IF(AND(Membros!$F$2="Sim",A821&lt;=MAX(Membros!$E$2:$E$5)),Membros!K$2,IF(AND(A821&gt;=Membros!J$2,A821&lt;=MAX(Membros!$E$2:$E$5)),Membros!K$2,0))+IF(AND(Membros!$F$3="Sim",A821&lt;=MAX(Membros!$E$2:$E$5)),Membros!K$3,IF(AND(A821&gt;=Membros!J$3,A821&lt;=MAX(Membros!$E$2:$E$5)),Membros!K$3,0)))*IF(AND(COUNTIFS(Tabela3[Tipo],"Provedor",Tabela3[Simulação Seguro],"Sim")=2,A821&gt;=MAX(IF(Tabela3[Tipo]="Dependente",Tabela3[Expectativa de Vida (Data)]))),0,1)</f>
        <v>10000</v>
      </c>
      <c r="S821" s="18">
        <f t="shared" si="102"/>
        <v>10000</v>
      </c>
      <c r="U821" s="18">
        <f t="shared" ca="1" si="105"/>
        <v>69900194.937082976</v>
      </c>
      <c r="V821" s="18">
        <f>SUMIF(Imóveis!E:E,Dados!A:A,Imóveis!Z:Z)-SUMIF(Imóveis!E:E,Dados!A:A,Imóveis!Y:Y)</f>
        <v>0</v>
      </c>
      <c r="W821" s="18">
        <f>-SUMIF(Projetos!N:N,A821,Projetos!F:F)</f>
        <v>0</v>
      </c>
      <c r="X821" s="18">
        <f t="shared" si="99"/>
        <v>-27000</v>
      </c>
      <c r="Y821" s="26">
        <f ca="1">(U821*((Indicadores_Economicos!D$2+1)^(1/12)-1))</f>
        <v>228835.04894898768</v>
      </c>
      <c r="Z821" s="18">
        <f t="shared" ca="1" si="103"/>
        <v>70102029.986031964</v>
      </c>
      <c r="AA821" s="18">
        <f ca="1">Auxiliar_Projetos!E821</f>
        <v>5.6848764253528579E-9</v>
      </c>
      <c r="AB821" s="18">
        <f ca="1">Auxiliar_Projetos!K821</f>
        <v>4.3729818656560364E-9</v>
      </c>
      <c r="AC821" s="18">
        <f ca="1">IF(Z821-AA821-AB821&gt;Investimentos!$C$14,Investimentos!$C$14,IF(Z821-AA821-AB821&lt;Investimentos!$C$14,Z821-AA821-AB821,0))</f>
        <v>300000</v>
      </c>
      <c r="AD821" s="18">
        <f t="shared" ca="1" si="104"/>
        <v>69802029.986031964</v>
      </c>
      <c r="AE821" s="18"/>
    </row>
    <row r="822" spans="1:31" x14ac:dyDescent="0.2">
      <c r="A822" s="4">
        <v>70615</v>
      </c>
      <c r="B822" s="5" t="str">
        <f t="shared" si="100"/>
        <v>maio</v>
      </c>
      <c r="C822" s="5" t="str">
        <f t="shared" si="106"/>
        <v>2093</v>
      </c>
      <c r="D822" s="5">
        <f>SUMIFS(Despesas!$F:$F,Despesas!$J:$J,"&lt;="&amp;$A822,Despesas!$L:$L,"&gt;="&amp;$A822,Despesas!$C:$C,D$1,Despesas!$M:$M,"Mensal")+SUMIFS(Despesas!$F:$F,Despesas!$J:$J,"&lt;="&amp;$A822,Despesas!$L:$L,"&gt;="&amp;$A822,Despesas!$C:$C,D$1,Despesas!$M:$M,$B822)</f>
        <v>23000</v>
      </c>
      <c r="E822" s="18">
        <f>SUMIFS(Despesas!$F:$F,Despesas!$J:$J,"&lt;="&amp;$A822,Despesas!$L:$L,"&gt;="&amp;$A822,Despesas!$C:$C,E$1,Despesas!$M:$M,"Mensal")+SUMIFS(Despesas!$F:$F,Despesas!$J:$J,"&lt;="&amp;$A822,Despesas!$L:$L,"&gt;="&amp;$A822,Despesas!$C:$C,E$1,Despesas!$M:$M,$B822)</f>
        <v>0</v>
      </c>
      <c r="F822" s="5">
        <f>SUMIFS(Despesas!$F:$F,Despesas!$J:$J,"&lt;="&amp;$A822,Despesas!$L:$L,"&gt;="&amp;$A822,Despesas!$C:$C,F$1,Despesas!$M:$M,"Mensal")+SUMIFS(Despesas!$F:$F,Despesas!$J:$J,"&lt;="&amp;$A822,Despesas!$L:$L,"&gt;="&amp;$A822,Despesas!$C:$C,F$1,Despesas!$M:$M,$B822)</f>
        <v>13000</v>
      </c>
      <c r="G822" s="5">
        <f>SUMIFS(Despesas!$F:$F,Despesas!$J:$J,"&lt;="&amp;$A822,Despesas!$L:$L,"&gt;="&amp;$A822,Despesas!$C:$C,G$1,Despesas!$M:$M,"Mensal")+SUMIFS(Despesas!$F:$F,Despesas!$J:$J,"&lt;="&amp;$A822,Despesas!$L:$L,"&gt;="&amp;$A822,Despesas!$C:$C,G$1,Despesas!$M:$M,$B822)</f>
        <v>0</v>
      </c>
      <c r="H822" s="18">
        <f>SUMIFS(Despesas!$F:$F,Despesas!$J:$J,"&lt;="&amp;$A822,Despesas!$L:$L,"&gt;="&amp;$A822,Despesas!$C:$C,H$1,Despesas!$M:$M,"Mensal")+SUMIFS(Despesas!$F:$F,Despesas!$J:$J,"&lt;="&amp;$A822,Despesas!$L:$L,"&gt;="&amp;$A822,Despesas!$C:$C,H$1,Despesas!$M:$M,$B822)</f>
        <v>1000</v>
      </c>
      <c r="I822" s="18">
        <f>IF(Imóveis!$F$2="PRICE",IF(AND(Dados!$A822&gt;=Imóveis!$Q$2,Dados!$A822&lt;=Imóveis!$T$2),Imóveis!$U$2,0),IF((IF(AND(Dados!$A822&gt;=Imóveis!$Q$2,Dados!$A822&lt;=Imóveis!$T$2),Imóveis!$S$2-(DATEDIF(Imóveis!$Q$2,Dados!$A822,"m")),0))=0,0,((Imóveis!$N$2/Imóveis!$S$2)+((Imóveis!$N$2-((Imóveis!$S$2-(IF(AND(Dados!$A822&gt;=Imóveis!$Q$2,Dados!$A822&lt;=Imóveis!$T$2),Imóveis!$S$2-(DATEDIF(Imóveis!$Q$2,Dados!$A822,"m")),)))*(Imóveis!$N$2/Imóveis!$S$2)))*Imóveis!$P$2))))*IF(AND(Imóveis!$E$2&gt;0,Dados!$A822&gt;Imóveis!$E$2),0,1)</f>
        <v>0</v>
      </c>
      <c r="J822" s="18">
        <f>IF(Imóveis!$F$3="PRICE",IF(AND(Dados!$A822&gt;=Imóveis!$Q$3,Dados!$A822&lt;=Imóveis!$T$3),Imóveis!$U$3,0),IF((IF(AND(Dados!$A822&gt;=Imóveis!$Q$3,Dados!$A822&lt;=Imóveis!$T$3),Imóveis!$S$3-(DATEDIF(Imóveis!$Q$3,Dados!$A822,"m")),0))=0,0,((Imóveis!$N$3/Imóveis!$S$3)+((Imóveis!$N$3-((Imóveis!$S$3-(IF(AND(Dados!$A822&gt;=Imóveis!$Q$3,Dados!$A822&lt;=Imóveis!$T$3),Imóveis!$S$3-(DATEDIF(Imóveis!$Q$3,Dados!$A822,"m")),)))*(Imóveis!$N$3/Imóveis!$S$3)))*Imóveis!$P$3))))*IF(AND(Imóveis!$E$3&gt;0,Dados!$A822&gt;Imóveis!$E$3),0,1)</f>
        <v>0</v>
      </c>
      <c r="K822" s="18">
        <f>IF(Imóveis!$F$4="PRICE",IF(AND(Dados!$A822&gt;=Imóveis!$Q$4,Dados!$A822&lt;=Imóveis!$T$4),Imóveis!$U$4,0),IF((IF(AND(Dados!$A822&gt;=Imóveis!$Q$4,Dados!$A822&lt;=Imóveis!$T$4),Imóveis!$S$4-(DATEDIF(Imóveis!$Q$4,Dados!$A822,"m")),0))=0,0,((Imóveis!$N$4/Imóveis!$S$4)+((Imóveis!$N$4-((Imóveis!$S$4-(IF(AND(Dados!$A822&gt;=Imóveis!$Q$4,Dados!$A822&lt;=Imóveis!$T$4),Imóveis!$S$4-(DATEDIF(Imóveis!$Q$4,Dados!$A822,"m")),)))*(Imóveis!$N$4/Imóveis!$S$4)))*Imóveis!$P$4))))*IF(AND(Imóveis!$E$4&gt;0,Dados!$A822&gt;Imóveis!$E$4),0,1)</f>
        <v>0</v>
      </c>
      <c r="L822" s="18">
        <f>IF(Imóveis!$F$5="PRICE",IF(AND(Dados!$A822&gt;=Imóveis!$Q$5,Dados!$A822&lt;=Imóveis!$T$5),Imóveis!$U$5,0),IF((IF(AND(Dados!$A822&gt;=Imóveis!$Q$5,Dados!$A822&lt;=Imóveis!$T$5),Imóveis!$S$5-(DATEDIF(Imóveis!$Q$5,Dados!$A822,"m")),0))=0,0,((Imóveis!$N$5/Imóveis!$S$5)+((Imóveis!$N$5-((Imóveis!$S$5-(IF(AND(Dados!$A822 &gt;=Imóveis!$Q$5,Dados!$A822&lt;=Imóveis!$T$5),Imóveis!$S$5-(DATEDIF(Imóveis!$Q$5,Dados!$A822,"m")),)))*(Imóveis!$N$5/Imóveis!$S$5)))*Imóveis!$P$5))))*IF(AND(Imóveis!$E$5&gt;0,Dados!$A822&gt;Imóveis!$E$5),0,1)*Imóveis!$I$5</f>
        <v>0</v>
      </c>
      <c r="M822" s="18">
        <f>IF(Imóveis!$F$6="PRICE",IF(AND(Dados!$A822&gt;=Imóveis!$Q$6,Dados!$A822&lt;=Imóveis!$T$6),Imóveis!$U$6,0),IF((IF(AND(Dados!$A822&gt;=Imóveis!$Q$6,Dados!$A822&lt;=Imóveis!$T$6),Imóveis!$S$6-(DATEDIF(Imóveis!$Q$6,Dados!$A822,"m")),0))=0,0,((Imóveis!$N$6/Imóveis!$S$6)+((Imóveis!$N$6-((Imóveis!$S$6-(IF(AND(Dados!$A822&gt;=Imóveis!$Q$6,Dados!$A822&lt;=Imóveis!$T$6),Imóveis!$S$6-(DATEDIF(Imóveis!$Q$6,Dados!$A822,"m")),)))*(Imóveis!$N$6/Imóveis!$S$6)))*Imóveis!$P$6))))*IF(AND(Imóveis!$E$6&gt;0,Dados!$A822&gt;Imóveis!$E$6),0,1)*Imóveis!$I$6</f>
        <v>0</v>
      </c>
      <c r="N822" s="18">
        <f t="shared" si="101"/>
        <v>37000</v>
      </c>
      <c r="O822" s="18">
        <f>SUMIFS(Receitas!$F:$F,Receitas!$J:$J,"&lt;="&amp;$A822,Receitas!$L:$L,"&gt;="&amp;$A822,Receitas!$C:$C,O$1,Receitas!$M:$M,"Mensal")+SUMIFS(Receitas!$F:$F,Receitas!$J:$J,"&lt;="&amp;$A822,Receitas!$L:$L,"&gt;="&amp;$A822,Receitas!$C:$C,O$1,Receitas!$M:$M,$B822)</f>
        <v>0</v>
      </c>
      <c r="P822" s="18">
        <f>SUMIFS(Receitas!$F:$F,Receitas!$J:$J,"&lt;="&amp;$A822,Receitas!$L:$L,"&gt;="&amp;$A822,Receitas!$C:$C,P$1,Receitas!$M:$M,"Mensal")+SUMIFS(Receitas!$F:$F,Receitas!$J:$J,"&lt;="&amp;$A822,Receitas!$L:$L,"&gt;="&amp;$A822,Receitas!$C:$C,P$1,Receitas!$M:$M,$B822)</f>
        <v>0</v>
      </c>
      <c r="Q822" s="18">
        <f>SUMIFS(Receitas!$F:$F,Receitas!$J:$J,"&lt;="&amp;$A822,Receitas!$L:$L,"&gt;="&amp;$A822,Receitas!$C:$C,Q$1,Receitas!$M:$M,"Mensal")+SUMIFS(Receitas!$F:$F,Receitas!$J:$J,"&lt;="&amp;$A822,Receitas!$L:$L,"&gt;="&amp;$A822,Receitas!$C:$C,Q$1,Receitas!$M:$M,$B822)</f>
        <v>0</v>
      </c>
      <c r="R822" s="18" cm="1">
        <f t="array" ref="R822">(IF(AND(Membros!$F$2="Sim",A822&lt;=MAX(Membros!$E$2:$E$5)),Membros!K$2,IF(AND(A822&gt;=Membros!J$2,A822&lt;=MAX(Membros!$E$2:$E$5)),Membros!K$2,0))+IF(AND(Membros!$F$3="Sim",A822&lt;=MAX(Membros!$E$2:$E$5)),Membros!K$3,IF(AND(A822&gt;=Membros!J$3,A822&lt;=MAX(Membros!$E$2:$E$5)),Membros!K$3,0)))*IF(AND(COUNTIFS(Tabela3[Tipo],"Provedor",Tabela3[Simulação Seguro],"Sim")=2,A822&gt;=MAX(IF(Tabela3[Tipo]="Dependente",Tabela3[Expectativa de Vida (Data)]))),0,1)</f>
        <v>10000</v>
      </c>
      <c r="S822" s="18">
        <f t="shared" si="102"/>
        <v>10000</v>
      </c>
      <c r="U822" s="18">
        <f t="shared" ca="1" si="105"/>
        <v>70102029.986031964</v>
      </c>
      <c r="V822" s="18">
        <f>SUMIF(Imóveis!E:E,Dados!A:A,Imóveis!Z:Z)-SUMIF(Imóveis!E:E,Dados!A:A,Imóveis!Y:Y)</f>
        <v>0</v>
      </c>
      <c r="W822" s="18">
        <f>-SUMIF(Projetos!N:N,A822,Projetos!F:F)</f>
        <v>0</v>
      </c>
      <c r="X822" s="18">
        <f t="shared" si="99"/>
        <v>-27000</v>
      </c>
      <c r="Y822" s="26">
        <f ca="1">(U822*((Indicadores_Economicos!D$2+1)^(1/12)-1))</f>
        <v>229495.80437817404</v>
      </c>
      <c r="Z822" s="18">
        <f t="shared" ca="1" si="103"/>
        <v>70304525.790410131</v>
      </c>
      <c r="AA822" s="18">
        <f ca="1">Auxiliar_Projetos!E822</f>
        <v>5.7034872314634206E-9</v>
      </c>
      <c r="AB822" s="18">
        <f ca="1">Auxiliar_Projetos!K822</f>
        <v>4.3872978703564687E-9</v>
      </c>
      <c r="AC822" s="18">
        <f ca="1">IF(Z822-AA822-AB822&gt;Investimentos!$C$14,Investimentos!$C$14,IF(Z822-AA822-AB822&lt;Investimentos!$C$14,Z822-AA822-AB822,0))</f>
        <v>300000</v>
      </c>
      <c r="AD822" s="18">
        <f t="shared" ca="1" si="104"/>
        <v>70004525.790410131</v>
      </c>
      <c r="AE822" s="18"/>
    </row>
    <row r="823" spans="1:31" x14ac:dyDescent="0.2">
      <c r="A823" s="4">
        <v>70646</v>
      </c>
      <c r="B823" s="5" t="str">
        <f t="shared" si="100"/>
        <v>junho</v>
      </c>
      <c r="C823" s="5" t="str">
        <f t="shared" si="106"/>
        <v>2093</v>
      </c>
      <c r="D823" s="5">
        <f>SUMIFS(Despesas!$F:$F,Despesas!$J:$J,"&lt;="&amp;$A823,Despesas!$L:$L,"&gt;="&amp;$A823,Despesas!$C:$C,D$1,Despesas!$M:$M,"Mensal")+SUMIFS(Despesas!$F:$F,Despesas!$J:$J,"&lt;="&amp;$A823,Despesas!$L:$L,"&gt;="&amp;$A823,Despesas!$C:$C,D$1,Despesas!$M:$M,$B823)</f>
        <v>23000</v>
      </c>
      <c r="E823" s="18">
        <f>SUMIFS(Despesas!$F:$F,Despesas!$J:$J,"&lt;="&amp;$A823,Despesas!$L:$L,"&gt;="&amp;$A823,Despesas!$C:$C,E$1,Despesas!$M:$M,"Mensal")+SUMIFS(Despesas!$F:$F,Despesas!$J:$J,"&lt;="&amp;$A823,Despesas!$L:$L,"&gt;="&amp;$A823,Despesas!$C:$C,E$1,Despesas!$M:$M,$B823)</f>
        <v>0</v>
      </c>
      <c r="F823" s="5">
        <f>SUMIFS(Despesas!$F:$F,Despesas!$J:$J,"&lt;="&amp;$A823,Despesas!$L:$L,"&gt;="&amp;$A823,Despesas!$C:$C,F$1,Despesas!$M:$M,"Mensal")+SUMIFS(Despesas!$F:$F,Despesas!$J:$J,"&lt;="&amp;$A823,Despesas!$L:$L,"&gt;="&amp;$A823,Despesas!$C:$C,F$1,Despesas!$M:$M,$B823)</f>
        <v>13000</v>
      </c>
      <c r="G823" s="5">
        <f>SUMIFS(Despesas!$F:$F,Despesas!$J:$J,"&lt;="&amp;$A823,Despesas!$L:$L,"&gt;="&amp;$A823,Despesas!$C:$C,G$1,Despesas!$M:$M,"Mensal")+SUMIFS(Despesas!$F:$F,Despesas!$J:$J,"&lt;="&amp;$A823,Despesas!$L:$L,"&gt;="&amp;$A823,Despesas!$C:$C,G$1,Despesas!$M:$M,$B823)</f>
        <v>0</v>
      </c>
      <c r="H823" s="18">
        <f>SUMIFS(Despesas!$F:$F,Despesas!$J:$J,"&lt;="&amp;$A823,Despesas!$L:$L,"&gt;="&amp;$A823,Despesas!$C:$C,H$1,Despesas!$M:$M,"Mensal")+SUMIFS(Despesas!$F:$F,Despesas!$J:$J,"&lt;="&amp;$A823,Despesas!$L:$L,"&gt;="&amp;$A823,Despesas!$C:$C,H$1,Despesas!$M:$M,$B823)</f>
        <v>1000</v>
      </c>
      <c r="I823" s="18">
        <f>IF(Imóveis!$F$2="PRICE",IF(AND(Dados!$A823&gt;=Imóveis!$Q$2,Dados!$A823&lt;=Imóveis!$T$2),Imóveis!$U$2,0),IF((IF(AND(Dados!$A823&gt;=Imóveis!$Q$2,Dados!$A823&lt;=Imóveis!$T$2),Imóveis!$S$2-(DATEDIF(Imóveis!$Q$2,Dados!$A823,"m")),0))=0,0,((Imóveis!$N$2/Imóveis!$S$2)+((Imóveis!$N$2-((Imóveis!$S$2-(IF(AND(Dados!$A823&gt;=Imóveis!$Q$2,Dados!$A823&lt;=Imóveis!$T$2),Imóveis!$S$2-(DATEDIF(Imóveis!$Q$2,Dados!$A823,"m")),)))*(Imóveis!$N$2/Imóveis!$S$2)))*Imóveis!$P$2))))*IF(AND(Imóveis!$E$2&gt;0,Dados!$A823&gt;Imóveis!$E$2),0,1)</f>
        <v>0</v>
      </c>
      <c r="J823" s="18">
        <f>IF(Imóveis!$F$3="PRICE",IF(AND(Dados!$A823&gt;=Imóveis!$Q$3,Dados!$A823&lt;=Imóveis!$T$3),Imóveis!$U$3,0),IF((IF(AND(Dados!$A823&gt;=Imóveis!$Q$3,Dados!$A823&lt;=Imóveis!$T$3),Imóveis!$S$3-(DATEDIF(Imóveis!$Q$3,Dados!$A823,"m")),0))=0,0,((Imóveis!$N$3/Imóveis!$S$3)+((Imóveis!$N$3-((Imóveis!$S$3-(IF(AND(Dados!$A823&gt;=Imóveis!$Q$3,Dados!$A823&lt;=Imóveis!$T$3),Imóveis!$S$3-(DATEDIF(Imóveis!$Q$3,Dados!$A823,"m")),)))*(Imóveis!$N$3/Imóveis!$S$3)))*Imóveis!$P$3))))*IF(AND(Imóveis!$E$3&gt;0,Dados!$A823&gt;Imóveis!$E$3),0,1)</f>
        <v>0</v>
      </c>
      <c r="K823" s="18">
        <f>IF(Imóveis!$F$4="PRICE",IF(AND(Dados!$A823&gt;=Imóveis!$Q$4,Dados!$A823&lt;=Imóveis!$T$4),Imóveis!$U$4,0),IF((IF(AND(Dados!$A823&gt;=Imóveis!$Q$4,Dados!$A823&lt;=Imóveis!$T$4),Imóveis!$S$4-(DATEDIF(Imóveis!$Q$4,Dados!$A823,"m")),0))=0,0,((Imóveis!$N$4/Imóveis!$S$4)+((Imóveis!$N$4-((Imóveis!$S$4-(IF(AND(Dados!$A823&gt;=Imóveis!$Q$4,Dados!$A823&lt;=Imóveis!$T$4),Imóveis!$S$4-(DATEDIF(Imóveis!$Q$4,Dados!$A823,"m")),)))*(Imóveis!$N$4/Imóveis!$S$4)))*Imóveis!$P$4))))*IF(AND(Imóveis!$E$4&gt;0,Dados!$A823&gt;Imóveis!$E$4),0,1)</f>
        <v>0</v>
      </c>
      <c r="L823" s="18">
        <f>IF(Imóveis!$F$5="PRICE",IF(AND(Dados!$A823&gt;=Imóveis!$Q$5,Dados!$A823&lt;=Imóveis!$T$5),Imóveis!$U$5,0),IF((IF(AND(Dados!$A823&gt;=Imóveis!$Q$5,Dados!$A823&lt;=Imóveis!$T$5),Imóveis!$S$5-(DATEDIF(Imóveis!$Q$5,Dados!$A823,"m")),0))=0,0,((Imóveis!$N$5/Imóveis!$S$5)+((Imóveis!$N$5-((Imóveis!$S$5-(IF(AND(Dados!$A823 &gt;=Imóveis!$Q$5,Dados!$A823&lt;=Imóveis!$T$5),Imóveis!$S$5-(DATEDIF(Imóveis!$Q$5,Dados!$A823,"m")),)))*(Imóveis!$N$5/Imóveis!$S$5)))*Imóveis!$P$5))))*IF(AND(Imóveis!$E$5&gt;0,Dados!$A823&gt;Imóveis!$E$5),0,1)*Imóveis!$I$5</f>
        <v>0</v>
      </c>
      <c r="M823" s="18">
        <f>IF(Imóveis!$F$6="PRICE",IF(AND(Dados!$A823&gt;=Imóveis!$Q$6,Dados!$A823&lt;=Imóveis!$T$6),Imóveis!$U$6,0),IF((IF(AND(Dados!$A823&gt;=Imóveis!$Q$6,Dados!$A823&lt;=Imóveis!$T$6),Imóveis!$S$6-(DATEDIF(Imóveis!$Q$6,Dados!$A823,"m")),0))=0,0,((Imóveis!$N$6/Imóveis!$S$6)+((Imóveis!$N$6-((Imóveis!$S$6-(IF(AND(Dados!$A823&gt;=Imóveis!$Q$6,Dados!$A823&lt;=Imóveis!$T$6),Imóveis!$S$6-(DATEDIF(Imóveis!$Q$6,Dados!$A823,"m")),)))*(Imóveis!$N$6/Imóveis!$S$6)))*Imóveis!$P$6))))*IF(AND(Imóveis!$E$6&gt;0,Dados!$A823&gt;Imóveis!$E$6),0,1)*Imóveis!$I$6</f>
        <v>0</v>
      </c>
      <c r="N823" s="18">
        <f t="shared" si="101"/>
        <v>37000</v>
      </c>
      <c r="O823" s="18">
        <f>SUMIFS(Receitas!$F:$F,Receitas!$J:$J,"&lt;="&amp;$A823,Receitas!$L:$L,"&gt;="&amp;$A823,Receitas!$C:$C,O$1,Receitas!$M:$M,"Mensal")+SUMIFS(Receitas!$F:$F,Receitas!$J:$J,"&lt;="&amp;$A823,Receitas!$L:$L,"&gt;="&amp;$A823,Receitas!$C:$C,O$1,Receitas!$M:$M,$B823)</f>
        <v>0</v>
      </c>
      <c r="P823" s="18">
        <f>SUMIFS(Receitas!$F:$F,Receitas!$J:$J,"&lt;="&amp;$A823,Receitas!$L:$L,"&gt;="&amp;$A823,Receitas!$C:$C,P$1,Receitas!$M:$M,"Mensal")+SUMIFS(Receitas!$F:$F,Receitas!$J:$J,"&lt;="&amp;$A823,Receitas!$L:$L,"&gt;="&amp;$A823,Receitas!$C:$C,P$1,Receitas!$M:$M,$B823)</f>
        <v>0</v>
      </c>
      <c r="Q823" s="18">
        <f>SUMIFS(Receitas!$F:$F,Receitas!$J:$J,"&lt;="&amp;$A823,Receitas!$L:$L,"&gt;="&amp;$A823,Receitas!$C:$C,Q$1,Receitas!$M:$M,"Mensal")+SUMIFS(Receitas!$F:$F,Receitas!$J:$J,"&lt;="&amp;$A823,Receitas!$L:$L,"&gt;="&amp;$A823,Receitas!$C:$C,Q$1,Receitas!$M:$M,$B823)</f>
        <v>0</v>
      </c>
      <c r="R823" s="18" cm="1">
        <f t="array" ref="R823">(IF(AND(Membros!$F$2="Sim",A823&lt;=MAX(Membros!$E$2:$E$5)),Membros!K$2,IF(AND(A823&gt;=Membros!J$2,A823&lt;=MAX(Membros!$E$2:$E$5)),Membros!K$2,0))+IF(AND(Membros!$F$3="Sim",A823&lt;=MAX(Membros!$E$2:$E$5)),Membros!K$3,IF(AND(A823&gt;=Membros!J$3,A823&lt;=MAX(Membros!$E$2:$E$5)),Membros!K$3,0)))*IF(AND(COUNTIFS(Tabela3[Tipo],"Provedor",Tabela3[Simulação Seguro],"Sim")=2,A823&gt;=MAX(IF(Tabela3[Tipo]="Dependente",Tabela3[Expectativa de Vida (Data)]))),0,1)</f>
        <v>10000</v>
      </c>
      <c r="S823" s="18">
        <f t="shared" si="102"/>
        <v>10000</v>
      </c>
      <c r="U823" s="18">
        <f t="shared" ca="1" si="105"/>
        <v>70304525.790410131</v>
      </c>
      <c r="V823" s="18">
        <f>SUMIF(Imóveis!E:E,Dados!A:A,Imóveis!Z:Z)-SUMIF(Imóveis!E:E,Dados!A:A,Imóveis!Y:Y)</f>
        <v>0</v>
      </c>
      <c r="W823" s="18">
        <f>-SUMIF(Projetos!N:N,A823,Projetos!F:F)</f>
        <v>0</v>
      </c>
      <c r="X823" s="18">
        <f t="shared" si="99"/>
        <v>-27000</v>
      </c>
      <c r="Y823" s="26">
        <f ca="1">(U823*((Indicadores_Economicos!D$2+1)^(1/12)-1))</f>
        <v>230158.72294869524</v>
      </c>
      <c r="Z823" s="18">
        <f t="shared" ca="1" si="103"/>
        <v>70507684.513358831</v>
      </c>
      <c r="AA823" s="18">
        <f ca="1">Auxiliar_Projetos!E823</f>
        <v>5.7221589645103263E-9</v>
      </c>
      <c r="AB823" s="18">
        <f ca="1">Auxiliar_Projetos!K823</f>
        <v>4.4016607419310116E-9</v>
      </c>
      <c r="AC823" s="18">
        <f ca="1">IF(Z823-AA823-AB823&gt;Investimentos!$C$14,Investimentos!$C$14,IF(Z823-AA823-AB823&lt;Investimentos!$C$14,Z823-AA823-AB823,0))</f>
        <v>300000</v>
      </c>
      <c r="AD823" s="18">
        <f t="shared" ca="1" si="104"/>
        <v>70207684.513358831</v>
      </c>
      <c r="AE823" s="18"/>
    </row>
    <row r="824" spans="1:31" x14ac:dyDescent="0.2">
      <c r="A824" s="4">
        <v>70676</v>
      </c>
      <c r="B824" s="5" t="str">
        <f t="shared" si="100"/>
        <v>julho</v>
      </c>
      <c r="C824" s="5" t="str">
        <f t="shared" si="106"/>
        <v>2093</v>
      </c>
      <c r="D824" s="5">
        <f>SUMIFS(Despesas!$F:$F,Despesas!$J:$J,"&lt;="&amp;$A824,Despesas!$L:$L,"&gt;="&amp;$A824,Despesas!$C:$C,D$1,Despesas!$M:$M,"Mensal")+SUMIFS(Despesas!$F:$F,Despesas!$J:$J,"&lt;="&amp;$A824,Despesas!$L:$L,"&gt;="&amp;$A824,Despesas!$C:$C,D$1,Despesas!$M:$M,$B824)</f>
        <v>23000</v>
      </c>
      <c r="E824" s="18">
        <f>SUMIFS(Despesas!$F:$F,Despesas!$J:$J,"&lt;="&amp;$A824,Despesas!$L:$L,"&gt;="&amp;$A824,Despesas!$C:$C,E$1,Despesas!$M:$M,"Mensal")+SUMIFS(Despesas!$F:$F,Despesas!$J:$J,"&lt;="&amp;$A824,Despesas!$L:$L,"&gt;="&amp;$A824,Despesas!$C:$C,E$1,Despesas!$M:$M,$B824)</f>
        <v>0</v>
      </c>
      <c r="F824" s="5">
        <f>SUMIFS(Despesas!$F:$F,Despesas!$J:$J,"&lt;="&amp;$A824,Despesas!$L:$L,"&gt;="&amp;$A824,Despesas!$C:$C,F$1,Despesas!$M:$M,"Mensal")+SUMIFS(Despesas!$F:$F,Despesas!$J:$J,"&lt;="&amp;$A824,Despesas!$L:$L,"&gt;="&amp;$A824,Despesas!$C:$C,F$1,Despesas!$M:$M,$B824)</f>
        <v>13000</v>
      </c>
      <c r="G824" s="5">
        <f ca="1">SUMIFS(Despesas!$F:$F,Despesas!$J:$J,"&lt;="&amp;$A824,Despesas!$L:$L,"&gt;="&amp;$A824,Despesas!$C:$C,G$1,Despesas!$M:$M,"Mensal")+SUMIFS(Despesas!$F:$F,Despesas!$J:$J,"&lt;="&amp;$A824,Despesas!$L:$L,"&gt;="&amp;$A824,Despesas!$C:$C,G$1,Despesas!$M:$M,$B824)</f>
        <v>55757</v>
      </c>
      <c r="H824" s="18">
        <f>SUMIFS(Despesas!$F:$F,Despesas!$J:$J,"&lt;="&amp;$A824,Despesas!$L:$L,"&gt;="&amp;$A824,Despesas!$C:$C,H$1,Despesas!$M:$M,"Mensal")+SUMIFS(Despesas!$F:$F,Despesas!$J:$J,"&lt;="&amp;$A824,Despesas!$L:$L,"&gt;="&amp;$A824,Despesas!$C:$C,H$1,Despesas!$M:$M,$B824)</f>
        <v>1000</v>
      </c>
      <c r="I824" s="18">
        <f>IF(Imóveis!$F$2="PRICE",IF(AND(Dados!$A824&gt;=Imóveis!$Q$2,Dados!$A824&lt;=Imóveis!$T$2),Imóveis!$U$2,0),IF((IF(AND(Dados!$A824&gt;=Imóveis!$Q$2,Dados!$A824&lt;=Imóveis!$T$2),Imóveis!$S$2-(DATEDIF(Imóveis!$Q$2,Dados!$A824,"m")),0))=0,0,((Imóveis!$N$2/Imóveis!$S$2)+((Imóveis!$N$2-((Imóveis!$S$2-(IF(AND(Dados!$A824&gt;=Imóveis!$Q$2,Dados!$A824&lt;=Imóveis!$T$2),Imóveis!$S$2-(DATEDIF(Imóveis!$Q$2,Dados!$A824,"m")),)))*(Imóveis!$N$2/Imóveis!$S$2)))*Imóveis!$P$2))))*IF(AND(Imóveis!$E$2&gt;0,Dados!$A824&gt;Imóveis!$E$2),0,1)</f>
        <v>0</v>
      </c>
      <c r="J824" s="18">
        <f>IF(Imóveis!$F$3="PRICE",IF(AND(Dados!$A824&gt;=Imóveis!$Q$3,Dados!$A824&lt;=Imóveis!$T$3),Imóveis!$U$3,0),IF((IF(AND(Dados!$A824&gt;=Imóveis!$Q$3,Dados!$A824&lt;=Imóveis!$T$3),Imóveis!$S$3-(DATEDIF(Imóveis!$Q$3,Dados!$A824,"m")),0))=0,0,((Imóveis!$N$3/Imóveis!$S$3)+((Imóveis!$N$3-((Imóveis!$S$3-(IF(AND(Dados!$A824&gt;=Imóveis!$Q$3,Dados!$A824&lt;=Imóveis!$T$3),Imóveis!$S$3-(DATEDIF(Imóveis!$Q$3,Dados!$A824,"m")),)))*(Imóveis!$N$3/Imóveis!$S$3)))*Imóveis!$P$3))))*IF(AND(Imóveis!$E$3&gt;0,Dados!$A824&gt;Imóveis!$E$3),0,1)</f>
        <v>0</v>
      </c>
      <c r="K824" s="18">
        <f>IF(Imóveis!$F$4="PRICE",IF(AND(Dados!$A824&gt;=Imóveis!$Q$4,Dados!$A824&lt;=Imóveis!$T$4),Imóveis!$U$4,0),IF((IF(AND(Dados!$A824&gt;=Imóveis!$Q$4,Dados!$A824&lt;=Imóveis!$T$4),Imóveis!$S$4-(DATEDIF(Imóveis!$Q$4,Dados!$A824,"m")),0))=0,0,((Imóveis!$N$4/Imóveis!$S$4)+((Imóveis!$N$4-((Imóveis!$S$4-(IF(AND(Dados!$A824&gt;=Imóveis!$Q$4,Dados!$A824&lt;=Imóveis!$T$4),Imóveis!$S$4-(DATEDIF(Imóveis!$Q$4,Dados!$A824,"m")),)))*(Imóveis!$N$4/Imóveis!$S$4)))*Imóveis!$P$4))))*IF(AND(Imóveis!$E$4&gt;0,Dados!$A824&gt;Imóveis!$E$4),0,1)</f>
        <v>0</v>
      </c>
      <c r="L824" s="18">
        <f>IF(Imóveis!$F$5="PRICE",IF(AND(Dados!$A824&gt;=Imóveis!$Q$5,Dados!$A824&lt;=Imóveis!$T$5),Imóveis!$U$5,0),IF((IF(AND(Dados!$A824&gt;=Imóveis!$Q$5,Dados!$A824&lt;=Imóveis!$T$5),Imóveis!$S$5-(DATEDIF(Imóveis!$Q$5,Dados!$A824,"m")),0))=0,0,((Imóveis!$N$5/Imóveis!$S$5)+((Imóveis!$N$5-((Imóveis!$S$5-(IF(AND(Dados!$A824 &gt;=Imóveis!$Q$5,Dados!$A824&lt;=Imóveis!$T$5),Imóveis!$S$5-(DATEDIF(Imóveis!$Q$5,Dados!$A824,"m")),)))*(Imóveis!$N$5/Imóveis!$S$5)))*Imóveis!$P$5))))*IF(AND(Imóveis!$E$5&gt;0,Dados!$A824&gt;Imóveis!$E$5),0,1)*Imóveis!$I$5</f>
        <v>0</v>
      </c>
      <c r="M824" s="18">
        <f>IF(Imóveis!$F$6="PRICE",IF(AND(Dados!$A824&gt;=Imóveis!$Q$6,Dados!$A824&lt;=Imóveis!$T$6),Imóveis!$U$6,0),IF((IF(AND(Dados!$A824&gt;=Imóveis!$Q$6,Dados!$A824&lt;=Imóveis!$T$6),Imóveis!$S$6-(DATEDIF(Imóveis!$Q$6,Dados!$A824,"m")),0))=0,0,((Imóveis!$N$6/Imóveis!$S$6)+((Imóveis!$N$6-((Imóveis!$S$6-(IF(AND(Dados!$A824&gt;=Imóveis!$Q$6,Dados!$A824&lt;=Imóveis!$T$6),Imóveis!$S$6-(DATEDIF(Imóveis!$Q$6,Dados!$A824,"m")),)))*(Imóveis!$N$6/Imóveis!$S$6)))*Imóveis!$P$6))))*IF(AND(Imóveis!$E$6&gt;0,Dados!$A824&gt;Imóveis!$E$6),0,1)*Imóveis!$I$6</f>
        <v>0</v>
      </c>
      <c r="N824" s="18">
        <f t="shared" ca="1" si="101"/>
        <v>92757</v>
      </c>
      <c r="O824" s="18">
        <f>SUMIFS(Receitas!$F:$F,Receitas!$J:$J,"&lt;="&amp;$A824,Receitas!$L:$L,"&gt;="&amp;$A824,Receitas!$C:$C,O$1,Receitas!$M:$M,"Mensal")+SUMIFS(Receitas!$F:$F,Receitas!$J:$J,"&lt;="&amp;$A824,Receitas!$L:$L,"&gt;="&amp;$A824,Receitas!$C:$C,O$1,Receitas!$M:$M,$B824)</f>
        <v>0</v>
      </c>
      <c r="P824" s="18">
        <f>SUMIFS(Receitas!$F:$F,Receitas!$J:$J,"&lt;="&amp;$A824,Receitas!$L:$L,"&gt;="&amp;$A824,Receitas!$C:$C,P$1,Receitas!$M:$M,"Mensal")+SUMIFS(Receitas!$F:$F,Receitas!$J:$J,"&lt;="&amp;$A824,Receitas!$L:$L,"&gt;="&amp;$A824,Receitas!$C:$C,P$1,Receitas!$M:$M,$B824)</f>
        <v>0</v>
      </c>
      <c r="Q824" s="18">
        <f>SUMIFS(Receitas!$F:$F,Receitas!$J:$J,"&lt;="&amp;$A824,Receitas!$L:$L,"&gt;="&amp;$A824,Receitas!$C:$C,Q$1,Receitas!$M:$M,"Mensal")+SUMIFS(Receitas!$F:$F,Receitas!$J:$J,"&lt;="&amp;$A824,Receitas!$L:$L,"&gt;="&amp;$A824,Receitas!$C:$C,Q$1,Receitas!$M:$M,$B824)</f>
        <v>0</v>
      </c>
      <c r="R824" s="18" cm="1">
        <f t="array" ref="R824">(IF(AND(Membros!$F$2="Sim",A824&lt;=MAX(Membros!$E$2:$E$5)),Membros!K$2,IF(AND(A824&gt;=Membros!J$2,A824&lt;=MAX(Membros!$E$2:$E$5)),Membros!K$2,0))+IF(AND(Membros!$F$3="Sim",A824&lt;=MAX(Membros!$E$2:$E$5)),Membros!K$3,IF(AND(A824&gt;=Membros!J$3,A824&lt;=MAX(Membros!$E$2:$E$5)),Membros!K$3,0)))*IF(AND(COUNTIFS(Tabela3[Tipo],"Provedor",Tabela3[Simulação Seguro],"Sim")=2,A824&gt;=MAX(IF(Tabela3[Tipo]="Dependente",Tabela3[Expectativa de Vida (Data)]))),0,1)</f>
        <v>10000</v>
      </c>
      <c r="S824" s="18">
        <f t="shared" si="102"/>
        <v>10000</v>
      </c>
      <c r="U824" s="18">
        <f t="shared" ca="1" si="105"/>
        <v>70507684.513358831</v>
      </c>
      <c r="V824" s="18">
        <f>SUMIF(Imóveis!E:E,Dados!A:A,Imóveis!Z:Z)-SUMIF(Imóveis!E:E,Dados!A:A,Imóveis!Y:Y)</f>
        <v>0</v>
      </c>
      <c r="W824" s="18">
        <f>-SUMIF(Projetos!N:N,A824,Projetos!F:F)</f>
        <v>0</v>
      </c>
      <c r="X824" s="18">
        <f t="shared" ca="1" si="99"/>
        <v>-82757</v>
      </c>
      <c r="Y824" s="26">
        <f ca="1">(U824*((Indicadores_Economicos!D$2+1)^(1/12)-1))</f>
        <v>230823.81174211312</v>
      </c>
      <c r="Z824" s="18">
        <f t="shared" ca="1" si="103"/>
        <v>70655751.325100943</v>
      </c>
      <c r="AA824" s="18">
        <f ca="1">Auxiliar_Projetos!E824</f>
        <v>5.7408918239525095E-9</v>
      </c>
      <c r="AB824" s="18">
        <f ca="1">Auxiliar_Projetos!K824</f>
        <v>4.4160706338096144E-9</v>
      </c>
      <c r="AC824" s="18">
        <f ca="1">IF(Z824-AA824-AB824&gt;Investimentos!$C$14,Investimentos!$C$14,IF(Z824-AA824-AB824&lt;Investimentos!$C$14,Z824-AA824-AB824,0))</f>
        <v>300000</v>
      </c>
      <c r="AD824" s="18">
        <f t="shared" ca="1" si="104"/>
        <v>70355751.325100943</v>
      </c>
      <c r="AE824" s="18"/>
    </row>
    <row r="825" spans="1:31" x14ac:dyDescent="0.2">
      <c r="A825" s="4">
        <v>70707</v>
      </c>
      <c r="B825" s="5" t="str">
        <f t="shared" si="100"/>
        <v>agosto</v>
      </c>
      <c r="C825" s="5" t="str">
        <f t="shared" si="106"/>
        <v>2093</v>
      </c>
      <c r="D825" s="5">
        <f>SUMIFS(Despesas!$F:$F,Despesas!$J:$J,"&lt;="&amp;$A825,Despesas!$L:$L,"&gt;="&amp;$A825,Despesas!$C:$C,D$1,Despesas!$M:$M,"Mensal")+SUMIFS(Despesas!$F:$F,Despesas!$J:$J,"&lt;="&amp;$A825,Despesas!$L:$L,"&gt;="&amp;$A825,Despesas!$C:$C,D$1,Despesas!$M:$M,$B825)</f>
        <v>23000</v>
      </c>
      <c r="E825" s="18">
        <f>SUMIFS(Despesas!$F:$F,Despesas!$J:$J,"&lt;="&amp;$A825,Despesas!$L:$L,"&gt;="&amp;$A825,Despesas!$C:$C,E$1,Despesas!$M:$M,"Mensal")+SUMIFS(Despesas!$F:$F,Despesas!$J:$J,"&lt;="&amp;$A825,Despesas!$L:$L,"&gt;="&amp;$A825,Despesas!$C:$C,E$1,Despesas!$M:$M,$B825)</f>
        <v>0</v>
      </c>
      <c r="F825" s="5">
        <f>SUMIFS(Despesas!$F:$F,Despesas!$J:$J,"&lt;="&amp;$A825,Despesas!$L:$L,"&gt;="&amp;$A825,Despesas!$C:$C,F$1,Despesas!$M:$M,"Mensal")+SUMIFS(Despesas!$F:$F,Despesas!$J:$J,"&lt;="&amp;$A825,Despesas!$L:$L,"&gt;="&amp;$A825,Despesas!$C:$C,F$1,Despesas!$M:$M,$B825)</f>
        <v>13000</v>
      </c>
      <c r="G825" s="5">
        <f>SUMIFS(Despesas!$F:$F,Despesas!$J:$J,"&lt;="&amp;$A825,Despesas!$L:$L,"&gt;="&amp;$A825,Despesas!$C:$C,G$1,Despesas!$M:$M,"Mensal")+SUMIFS(Despesas!$F:$F,Despesas!$J:$J,"&lt;="&amp;$A825,Despesas!$L:$L,"&gt;="&amp;$A825,Despesas!$C:$C,G$1,Despesas!$M:$M,$B825)</f>
        <v>0</v>
      </c>
      <c r="H825" s="18">
        <f>SUMIFS(Despesas!$F:$F,Despesas!$J:$J,"&lt;="&amp;$A825,Despesas!$L:$L,"&gt;="&amp;$A825,Despesas!$C:$C,H$1,Despesas!$M:$M,"Mensal")+SUMIFS(Despesas!$F:$F,Despesas!$J:$J,"&lt;="&amp;$A825,Despesas!$L:$L,"&gt;="&amp;$A825,Despesas!$C:$C,H$1,Despesas!$M:$M,$B825)</f>
        <v>1000</v>
      </c>
      <c r="I825" s="18">
        <f>IF(Imóveis!$F$2="PRICE",IF(AND(Dados!$A825&gt;=Imóveis!$Q$2,Dados!$A825&lt;=Imóveis!$T$2),Imóveis!$U$2,0),IF((IF(AND(Dados!$A825&gt;=Imóveis!$Q$2,Dados!$A825&lt;=Imóveis!$T$2),Imóveis!$S$2-(DATEDIF(Imóveis!$Q$2,Dados!$A825,"m")),0))=0,0,((Imóveis!$N$2/Imóveis!$S$2)+((Imóveis!$N$2-((Imóveis!$S$2-(IF(AND(Dados!$A825&gt;=Imóveis!$Q$2,Dados!$A825&lt;=Imóveis!$T$2),Imóveis!$S$2-(DATEDIF(Imóveis!$Q$2,Dados!$A825,"m")),)))*(Imóveis!$N$2/Imóveis!$S$2)))*Imóveis!$P$2))))*IF(AND(Imóveis!$E$2&gt;0,Dados!$A825&gt;Imóveis!$E$2),0,1)</f>
        <v>0</v>
      </c>
      <c r="J825" s="18">
        <f>IF(Imóveis!$F$3="PRICE",IF(AND(Dados!$A825&gt;=Imóveis!$Q$3,Dados!$A825&lt;=Imóveis!$T$3),Imóveis!$U$3,0),IF((IF(AND(Dados!$A825&gt;=Imóveis!$Q$3,Dados!$A825&lt;=Imóveis!$T$3),Imóveis!$S$3-(DATEDIF(Imóveis!$Q$3,Dados!$A825,"m")),0))=0,0,((Imóveis!$N$3/Imóveis!$S$3)+((Imóveis!$N$3-((Imóveis!$S$3-(IF(AND(Dados!$A825&gt;=Imóveis!$Q$3,Dados!$A825&lt;=Imóveis!$T$3),Imóveis!$S$3-(DATEDIF(Imóveis!$Q$3,Dados!$A825,"m")),)))*(Imóveis!$N$3/Imóveis!$S$3)))*Imóveis!$P$3))))*IF(AND(Imóveis!$E$3&gt;0,Dados!$A825&gt;Imóveis!$E$3),0,1)</f>
        <v>0</v>
      </c>
      <c r="K825" s="18">
        <f>IF(Imóveis!$F$4="PRICE",IF(AND(Dados!$A825&gt;=Imóveis!$Q$4,Dados!$A825&lt;=Imóveis!$T$4),Imóveis!$U$4,0),IF((IF(AND(Dados!$A825&gt;=Imóveis!$Q$4,Dados!$A825&lt;=Imóveis!$T$4),Imóveis!$S$4-(DATEDIF(Imóveis!$Q$4,Dados!$A825,"m")),0))=0,0,((Imóveis!$N$4/Imóveis!$S$4)+((Imóveis!$N$4-((Imóveis!$S$4-(IF(AND(Dados!$A825&gt;=Imóveis!$Q$4,Dados!$A825&lt;=Imóveis!$T$4),Imóveis!$S$4-(DATEDIF(Imóveis!$Q$4,Dados!$A825,"m")),)))*(Imóveis!$N$4/Imóveis!$S$4)))*Imóveis!$P$4))))*IF(AND(Imóveis!$E$4&gt;0,Dados!$A825&gt;Imóveis!$E$4),0,1)</f>
        <v>0</v>
      </c>
      <c r="L825" s="18">
        <f>IF(Imóveis!$F$5="PRICE",IF(AND(Dados!$A825&gt;=Imóveis!$Q$5,Dados!$A825&lt;=Imóveis!$T$5),Imóveis!$U$5,0),IF((IF(AND(Dados!$A825&gt;=Imóveis!$Q$5,Dados!$A825&lt;=Imóveis!$T$5),Imóveis!$S$5-(DATEDIF(Imóveis!$Q$5,Dados!$A825,"m")),0))=0,0,((Imóveis!$N$5/Imóveis!$S$5)+((Imóveis!$N$5-((Imóveis!$S$5-(IF(AND(Dados!$A825 &gt;=Imóveis!$Q$5,Dados!$A825&lt;=Imóveis!$T$5),Imóveis!$S$5-(DATEDIF(Imóveis!$Q$5,Dados!$A825,"m")),)))*(Imóveis!$N$5/Imóveis!$S$5)))*Imóveis!$P$5))))*IF(AND(Imóveis!$E$5&gt;0,Dados!$A825&gt;Imóveis!$E$5),0,1)*Imóveis!$I$5</f>
        <v>0</v>
      </c>
      <c r="M825" s="18">
        <f>IF(Imóveis!$F$6="PRICE",IF(AND(Dados!$A825&gt;=Imóveis!$Q$6,Dados!$A825&lt;=Imóveis!$T$6),Imóveis!$U$6,0),IF((IF(AND(Dados!$A825&gt;=Imóveis!$Q$6,Dados!$A825&lt;=Imóveis!$T$6),Imóveis!$S$6-(DATEDIF(Imóveis!$Q$6,Dados!$A825,"m")),0))=0,0,((Imóveis!$N$6/Imóveis!$S$6)+((Imóveis!$N$6-((Imóveis!$S$6-(IF(AND(Dados!$A825&gt;=Imóveis!$Q$6,Dados!$A825&lt;=Imóveis!$T$6),Imóveis!$S$6-(DATEDIF(Imóveis!$Q$6,Dados!$A825,"m")),)))*(Imóveis!$N$6/Imóveis!$S$6)))*Imóveis!$P$6))))*IF(AND(Imóveis!$E$6&gt;0,Dados!$A825&gt;Imóveis!$E$6),0,1)*Imóveis!$I$6</f>
        <v>0</v>
      </c>
      <c r="N825" s="18">
        <f t="shared" si="101"/>
        <v>37000</v>
      </c>
      <c r="O825" s="18">
        <f>SUMIFS(Receitas!$F:$F,Receitas!$J:$J,"&lt;="&amp;$A825,Receitas!$L:$L,"&gt;="&amp;$A825,Receitas!$C:$C,O$1,Receitas!$M:$M,"Mensal")+SUMIFS(Receitas!$F:$F,Receitas!$J:$J,"&lt;="&amp;$A825,Receitas!$L:$L,"&gt;="&amp;$A825,Receitas!$C:$C,O$1,Receitas!$M:$M,$B825)</f>
        <v>0</v>
      </c>
      <c r="P825" s="18">
        <f>SUMIFS(Receitas!$F:$F,Receitas!$J:$J,"&lt;="&amp;$A825,Receitas!$L:$L,"&gt;="&amp;$A825,Receitas!$C:$C,P$1,Receitas!$M:$M,"Mensal")+SUMIFS(Receitas!$F:$F,Receitas!$J:$J,"&lt;="&amp;$A825,Receitas!$L:$L,"&gt;="&amp;$A825,Receitas!$C:$C,P$1,Receitas!$M:$M,$B825)</f>
        <v>0</v>
      </c>
      <c r="Q825" s="18">
        <f>SUMIFS(Receitas!$F:$F,Receitas!$J:$J,"&lt;="&amp;$A825,Receitas!$L:$L,"&gt;="&amp;$A825,Receitas!$C:$C,Q$1,Receitas!$M:$M,"Mensal")+SUMIFS(Receitas!$F:$F,Receitas!$J:$J,"&lt;="&amp;$A825,Receitas!$L:$L,"&gt;="&amp;$A825,Receitas!$C:$C,Q$1,Receitas!$M:$M,$B825)</f>
        <v>0</v>
      </c>
      <c r="R825" s="18" cm="1">
        <f t="array" ref="R825">(IF(AND(Membros!$F$2="Sim",A825&lt;=MAX(Membros!$E$2:$E$5)),Membros!K$2,IF(AND(A825&gt;=Membros!J$2,A825&lt;=MAX(Membros!$E$2:$E$5)),Membros!K$2,0))+IF(AND(Membros!$F$3="Sim",A825&lt;=MAX(Membros!$E$2:$E$5)),Membros!K$3,IF(AND(A825&gt;=Membros!J$3,A825&lt;=MAX(Membros!$E$2:$E$5)),Membros!K$3,0)))*IF(AND(COUNTIFS(Tabela3[Tipo],"Provedor",Tabela3[Simulação Seguro],"Sim")=2,A825&gt;=MAX(IF(Tabela3[Tipo]="Dependente",Tabela3[Expectativa de Vida (Data)]))),0,1)</f>
        <v>10000</v>
      </c>
      <c r="S825" s="18">
        <f t="shared" si="102"/>
        <v>10000</v>
      </c>
      <c r="U825" s="18">
        <f t="shared" ca="1" si="105"/>
        <v>70655751.325100943</v>
      </c>
      <c r="V825" s="18">
        <f>SUMIF(Imóveis!E:E,Dados!A:A,Imóveis!Z:Z)-SUMIF(Imóveis!E:E,Dados!A:A,Imóveis!Y:Y)</f>
        <v>0</v>
      </c>
      <c r="W825" s="18">
        <f>-SUMIF(Projetos!N:N,A825,Projetos!F:F)</f>
        <v>0</v>
      </c>
      <c r="X825" s="18">
        <f t="shared" si="99"/>
        <v>-27000</v>
      </c>
      <c r="Y825" s="26">
        <f ca="1">(U825*((Indicadores_Economicos!D$2+1)^(1/12)-1))</f>
        <v>231308.54395413664</v>
      </c>
      <c r="Z825" s="18">
        <f t="shared" ca="1" si="103"/>
        <v>70860059.869055077</v>
      </c>
      <c r="AA825" s="18">
        <f ca="1">Auxiliar_Projetos!E825</f>
        <v>5.7596860099018829E-9</v>
      </c>
      <c r="AB825" s="18">
        <f ca="1">Auxiliar_Projetos!K825</f>
        <v>4.4305276999245174E-9</v>
      </c>
      <c r="AC825" s="18">
        <f ca="1">IF(Z825-AA825-AB825&gt;Investimentos!$C$14,Investimentos!$C$14,IF(Z825-AA825-AB825&lt;Investimentos!$C$14,Z825-AA825-AB825,0))</f>
        <v>300000</v>
      </c>
      <c r="AD825" s="18">
        <f t="shared" ca="1" si="104"/>
        <v>70560059.869055077</v>
      </c>
      <c r="AE825" s="18"/>
    </row>
    <row r="826" spans="1:31" x14ac:dyDescent="0.2">
      <c r="A826" s="4">
        <v>70738</v>
      </c>
      <c r="B826" s="5" t="str">
        <f t="shared" si="100"/>
        <v>setembro</v>
      </c>
      <c r="C826" s="5" t="str">
        <f t="shared" si="106"/>
        <v>2093</v>
      </c>
      <c r="D826" s="5">
        <f>SUMIFS(Despesas!$F:$F,Despesas!$J:$J,"&lt;="&amp;$A826,Despesas!$L:$L,"&gt;="&amp;$A826,Despesas!$C:$C,D$1,Despesas!$M:$M,"Mensal")+SUMIFS(Despesas!$F:$F,Despesas!$J:$J,"&lt;="&amp;$A826,Despesas!$L:$L,"&gt;="&amp;$A826,Despesas!$C:$C,D$1,Despesas!$M:$M,$B826)</f>
        <v>23000</v>
      </c>
      <c r="E826" s="18">
        <f>SUMIFS(Despesas!$F:$F,Despesas!$J:$J,"&lt;="&amp;$A826,Despesas!$L:$L,"&gt;="&amp;$A826,Despesas!$C:$C,E$1,Despesas!$M:$M,"Mensal")+SUMIFS(Despesas!$F:$F,Despesas!$J:$J,"&lt;="&amp;$A826,Despesas!$L:$L,"&gt;="&amp;$A826,Despesas!$C:$C,E$1,Despesas!$M:$M,$B826)</f>
        <v>0</v>
      </c>
      <c r="F826" s="5">
        <f>SUMIFS(Despesas!$F:$F,Despesas!$J:$J,"&lt;="&amp;$A826,Despesas!$L:$L,"&gt;="&amp;$A826,Despesas!$C:$C,F$1,Despesas!$M:$M,"Mensal")+SUMIFS(Despesas!$F:$F,Despesas!$J:$J,"&lt;="&amp;$A826,Despesas!$L:$L,"&gt;="&amp;$A826,Despesas!$C:$C,F$1,Despesas!$M:$M,$B826)</f>
        <v>13000</v>
      </c>
      <c r="G826" s="5">
        <f>SUMIFS(Despesas!$F:$F,Despesas!$J:$J,"&lt;="&amp;$A826,Despesas!$L:$L,"&gt;="&amp;$A826,Despesas!$C:$C,G$1,Despesas!$M:$M,"Mensal")+SUMIFS(Despesas!$F:$F,Despesas!$J:$J,"&lt;="&amp;$A826,Despesas!$L:$L,"&gt;="&amp;$A826,Despesas!$C:$C,G$1,Despesas!$M:$M,$B826)</f>
        <v>0</v>
      </c>
      <c r="H826" s="18">
        <f>SUMIFS(Despesas!$F:$F,Despesas!$J:$J,"&lt;="&amp;$A826,Despesas!$L:$L,"&gt;="&amp;$A826,Despesas!$C:$C,H$1,Despesas!$M:$M,"Mensal")+SUMIFS(Despesas!$F:$F,Despesas!$J:$J,"&lt;="&amp;$A826,Despesas!$L:$L,"&gt;="&amp;$A826,Despesas!$C:$C,H$1,Despesas!$M:$M,$B826)</f>
        <v>1000</v>
      </c>
      <c r="I826" s="18">
        <f>IF(Imóveis!$F$2="PRICE",IF(AND(Dados!$A826&gt;=Imóveis!$Q$2,Dados!$A826&lt;=Imóveis!$T$2),Imóveis!$U$2,0),IF((IF(AND(Dados!$A826&gt;=Imóveis!$Q$2,Dados!$A826&lt;=Imóveis!$T$2),Imóveis!$S$2-(DATEDIF(Imóveis!$Q$2,Dados!$A826,"m")),0))=0,0,((Imóveis!$N$2/Imóveis!$S$2)+((Imóveis!$N$2-((Imóveis!$S$2-(IF(AND(Dados!$A826&gt;=Imóveis!$Q$2,Dados!$A826&lt;=Imóveis!$T$2),Imóveis!$S$2-(DATEDIF(Imóveis!$Q$2,Dados!$A826,"m")),)))*(Imóveis!$N$2/Imóveis!$S$2)))*Imóveis!$P$2))))*IF(AND(Imóveis!$E$2&gt;0,Dados!$A826&gt;Imóveis!$E$2),0,1)</f>
        <v>0</v>
      </c>
      <c r="J826" s="18">
        <f>IF(Imóveis!$F$3="PRICE",IF(AND(Dados!$A826&gt;=Imóveis!$Q$3,Dados!$A826&lt;=Imóveis!$T$3),Imóveis!$U$3,0),IF((IF(AND(Dados!$A826&gt;=Imóveis!$Q$3,Dados!$A826&lt;=Imóveis!$T$3),Imóveis!$S$3-(DATEDIF(Imóveis!$Q$3,Dados!$A826,"m")),0))=0,0,((Imóveis!$N$3/Imóveis!$S$3)+((Imóveis!$N$3-((Imóveis!$S$3-(IF(AND(Dados!$A826&gt;=Imóveis!$Q$3,Dados!$A826&lt;=Imóveis!$T$3),Imóveis!$S$3-(DATEDIF(Imóveis!$Q$3,Dados!$A826,"m")),)))*(Imóveis!$N$3/Imóveis!$S$3)))*Imóveis!$P$3))))*IF(AND(Imóveis!$E$3&gt;0,Dados!$A826&gt;Imóveis!$E$3),0,1)</f>
        <v>0</v>
      </c>
      <c r="K826" s="18">
        <f>IF(Imóveis!$F$4="PRICE",IF(AND(Dados!$A826&gt;=Imóveis!$Q$4,Dados!$A826&lt;=Imóveis!$T$4),Imóveis!$U$4,0),IF((IF(AND(Dados!$A826&gt;=Imóveis!$Q$4,Dados!$A826&lt;=Imóveis!$T$4),Imóveis!$S$4-(DATEDIF(Imóveis!$Q$4,Dados!$A826,"m")),0))=0,0,((Imóveis!$N$4/Imóveis!$S$4)+((Imóveis!$N$4-((Imóveis!$S$4-(IF(AND(Dados!$A826&gt;=Imóveis!$Q$4,Dados!$A826&lt;=Imóveis!$T$4),Imóveis!$S$4-(DATEDIF(Imóveis!$Q$4,Dados!$A826,"m")),)))*(Imóveis!$N$4/Imóveis!$S$4)))*Imóveis!$P$4))))*IF(AND(Imóveis!$E$4&gt;0,Dados!$A826&gt;Imóveis!$E$4),0,1)</f>
        <v>0</v>
      </c>
      <c r="L826" s="18">
        <f>IF(Imóveis!$F$5="PRICE",IF(AND(Dados!$A826&gt;=Imóveis!$Q$5,Dados!$A826&lt;=Imóveis!$T$5),Imóveis!$U$5,0),IF((IF(AND(Dados!$A826&gt;=Imóveis!$Q$5,Dados!$A826&lt;=Imóveis!$T$5),Imóveis!$S$5-(DATEDIF(Imóveis!$Q$5,Dados!$A826,"m")),0))=0,0,((Imóveis!$N$5/Imóveis!$S$5)+((Imóveis!$N$5-((Imóveis!$S$5-(IF(AND(Dados!$A826 &gt;=Imóveis!$Q$5,Dados!$A826&lt;=Imóveis!$T$5),Imóveis!$S$5-(DATEDIF(Imóveis!$Q$5,Dados!$A826,"m")),)))*(Imóveis!$N$5/Imóveis!$S$5)))*Imóveis!$P$5))))*IF(AND(Imóveis!$E$5&gt;0,Dados!$A826&gt;Imóveis!$E$5),0,1)*Imóveis!$I$5</f>
        <v>0</v>
      </c>
      <c r="M826" s="18">
        <f>IF(Imóveis!$F$6="PRICE",IF(AND(Dados!$A826&gt;=Imóveis!$Q$6,Dados!$A826&lt;=Imóveis!$T$6),Imóveis!$U$6,0),IF((IF(AND(Dados!$A826&gt;=Imóveis!$Q$6,Dados!$A826&lt;=Imóveis!$T$6),Imóveis!$S$6-(DATEDIF(Imóveis!$Q$6,Dados!$A826,"m")),0))=0,0,((Imóveis!$N$6/Imóveis!$S$6)+((Imóveis!$N$6-((Imóveis!$S$6-(IF(AND(Dados!$A826&gt;=Imóveis!$Q$6,Dados!$A826&lt;=Imóveis!$T$6),Imóveis!$S$6-(DATEDIF(Imóveis!$Q$6,Dados!$A826,"m")),)))*(Imóveis!$N$6/Imóveis!$S$6)))*Imóveis!$P$6))))*IF(AND(Imóveis!$E$6&gt;0,Dados!$A826&gt;Imóveis!$E$6),0,1)*Imóveis!$I$6</f>
        <v>0</v>
      </c>
      <c r="N826" s="18">
        <f t="shared" si="101"/>
        <v>37000</v>
      </c>
      <c r="O826" s="18">
        <f>SUMIFS(Receitas!$F:$F,Receitas!$J:$J,"&lt;="&amp;$A826,Receitas!$L:$L,"&gt;="&amp;$A826,Receitas!$C:$C,O$1,Receitas!$M:$M,"Mensal")+SUMIFS(Receitas!$F:$F,Receitas!$J:$J,"&lt;="&amp;$A826,Receitas!$L:$L,"&gt;="&amp;$A826,Receitas!$C:$C,O$1,Receitas!$M:$M,$B826)</f>
        <v>0</v>
      </c>
      <c r="P826" s="18">
        <f>SUMIFS(Receitas!$F:$F,Receitas!$J:$J,"&lt;="&amp;$A826,Receitas!$L:$L,"&gt;="&amp;$A826,Receitas!$C:$C,P$1,Receitas!$M:$M,"Mensal")+SUMIFS(Receitas!$F:$F,Receitas!$J:$J,"&lt;="&amp;$A826,Receitas!$L:$L,"&gt;="&amp;$A826,Receitas!$C:$C,P$1,Receitas!$M:$M,$B826)</f>
        <v>0</v>
      </c>
      <c r="Q826" s="18">
        <f>SUMIFS(Receitas!$F:$F,Receitas!$J:$J,"&lt;="&amp;$A826,Receitas!$L:$L,"&gt;="&amp;$A826,Receitas!$C:$C,Q$1,Receitas!$M:$M,"Mensal")+SUMIFS(Receitas!$F:$F,Receitas!$J:$J,"&lt;="&amp;$A826,Receitas!$L:$L,"&gt;="&amp;$A826,Receitas!$C:$C,Q$1,Receitas!$M:$M,$B826)</f>
        <v>0</v>
      </c>
      <c r="R826" s="18" cm="1">
        <f t="array" ref="R826">(IF(AND(Membros!$F$2="Sim",A826&lt;=MAX(Membros!$E$2:$E$5)),Membros!K$2,IF(AND(A826&gt;=Membros!J$2,A826&lt;=MAX(Membros!$E$2:$E$5)),Membros!K$2,0))+IF(AND(Membros!$F$3="Sim",A826&lt;=MAX(Membros!$E$2:$E$5)),Membros!K$3,IF(AND(A826&gt;=Membros!J$3,A826&lt;=MAX(Membros!$E$2:$E$5)),Membros!K$3,0)))*IF(AND(COUNTIFS(Tabela3[Tipo],"Provedor",Tabela3[Simulação Seguro],"Sim")=2,A826&gt;=MAX(IF(Tabela3[Tipo]="Dependente",Tabela3[Expectativa de Vida (Data)]))),0,1)</f>
        <v>10000</v>
      </c>
      <c r="S826" s="18">
        <f t="shared" si="102"/>
        <v>10000</v>
      </c>
      <c r="U826" s="18">
        <f t="shared" ca="1" si="105"/>
        <v>70860059.869055077</v>
      </c>
      <c r="V826" s="18">
        <f>SUMIF(Imóveis!E:E,Dados!A:A,Imóveis!Z:Z)-SUMIF(Imóveis!E:E,Dados!A:A,Imóveis!Y:Y)</f>
        <v>0</v>
      </c>
      <c r="W826" s="18">
        <f>-SUMIF(Projetos!N:N,A826,Projetos!F:F)</f>
        <v>0</v>
      </c>
      <c r="X826" s="18">
        <f t="shared" si="99"/>
        <v>-27000</v>
      </c>
      <c r="Y826" s="26">
        <f ca="1">(U826*((Indicadores_Economicos!D$2+1)^(1/12)-1))</f>
        <v>231977.39696232241</v>
      </c>
      <c r="Z826" s="18">
        <f t="shared" ca="1" si="103"/>
        <v>71065037.266017407</v>
      </c>
      <c r="AA826" s="18">
        <f ca="1">Auxiliar_Projetos!E826</f>
        <v>5.778541723125473E-9</v>
      </c>
      <c r="AB826" s="18">
        <f ca="1">Auxiliar_Projetos!K826</f>
        <v>4.4450320947118945E-9</v>
      </c>
      <c r="AC826" s="18">
        <f ca="1">IF(Z826-AA826-AB826&gt;Investimentos!$C$14,Investimentos!$C$14,IF(Z826-AA826-AB826&lt;Investimentos!$C$14,Z826-AA826-AB826,0))</f>
        <v>300000</v>
      </c>
      <c r="AD826" s="18">
        <f t="shared" ca="1" si="104"/>
        <v>70765037.266017407</v>
      </c>
      <c r="AE826" s="18"/>
    </row>
    <row r="827" spans="1:31" x14ac:dyDescent="0.2">
      <c r="A827" s="4">
        <v>70768</v>
      </c>
      <c r="B827" s="5" t="str">
        <f t="shared" si="100"/>
        <v>outubro</v>
      </c>
      <c r="C827" s="5" t="str">
        <f t="shared" si="106"/>
        <v>2093</v>
      </c>
      <c r="D827" s="5">
        <f>SUMIFS(Despesas!$F:$F,Despesas!$J:$J,"&lt;="&amp;$A827,Despesas!$L:$L,"&gt;="&amp;$A827,Despesas!$C:$C,D$1,Despesas!$M:$M,"Mensal")+SUMIFS(Despesas!$F:$F,Despesas!$J:$J,"&lt;="&amp;$A827,Despesas!$L:$L,"&gt;="&amp;$A827,Despesas!$C:$C,D$1,Despesas!$M:$M,$B827)</f>
        <v>23000</v>
      </c>
      <c r="E827" s="18">
        <f>SUMIFS(Despesas!$F:$F,Despesas!$J:$J,"&lt;="&amp;$A827,Despesas!$L:$L,"&gt;="&amp;$A827,Despesas!$C:$C,E$1,Despesas!$M:$M,"Mensal")+SUMIFS(Despesas!$F:$F,Despesas!$J:$J,"&lt;="&amp;$A827,Despesas!$L:$L,"&gt;="&amp;$A827,Despesas!$C:$C,E$1,Despesas!$M:$M,$B827)</f>
        <v>0</v>
      </c>
      <c r="F827" s="5">
        <f>SUMIFS(Despesas!$F:$F,Despesas!$J:$J,"&lt;="&amp;$A827,Despesas!$L:$L,"&gt;="&amp;$A827,Despesas!$C:$C,F$1,Despesas!$M:$M,"Mensal")+SUMIFS(Despesas!$F:$F,Despesas!$J:$J,"&lt;="&amp;$A827,Despesas!$L:$L,"&gt;="&amp;$A827,Despesas!$C:$C,F$1,Despesas!$M:$M,$B827)</f>
        <v>13000</v>
      </c>
      <c r="G827" s="5">
        <f>SUMIFS(Despesas!$F:$F,Despesas!$J:$J,"&lt;="&amp;$A827,Despesas!$L:$L,"&gt;="&amp;$A827,Despesas!$C:$C,G$1,Despesas!$M:$M,"Mensal")+SUMIFS(Despesas!$F:$F,Despesas!$J:$J,"&lt;="&amp;$A827,Despesas!$L:$L,"&gt;="&amp;$A827,Despesas!$C:$C,G$1,Despesas!$M:$M,$B827)</f>
        <v>0</v>
      </c>
      <c r="H827" s="18">
        <f>SUMIFS(Despesas!$F:$F,Despesas!$J:$J,"&lt;="&amp;$A827,Despesas!$L:$L,"&gt;="&amp;$A827,Despesas!$C:$C,H$1,Despesas!$M:$M,"Mensal")+SUMIFS(Despesas!$F:$F,Despesas!$J:$J,"&lt;="&amp;$A827,Despesas!$L:$L,"&gt;="&amp;$A827,Despesas!$C:$C,H$1,Despesas!$M:$M,$B827)</f>
        <v>1000</v>
      </c>
      <c r="I827" s="18">
        <f>IF(Imóveis!$F$2="PRICE",IF(AND(Dados!$A827&gt;=Imóveis!$Q$2,Dados!$A827&lt;=Imóveis!$T$2),Imóveis!$U$2,0),IF((IF(AND(Dados!$A827&gt;=Imóveis!$Q$2,Dados!$A827&lt;=Imóveis!$T$2),Imóveis!$S$2-(DATEDIF(Imóveis!$Q$2,Dados!$A827,"m")),0))=0,0,((Imóveis!$N$2/Imóveis!$S$2)+((Imóveis!$N$2-((Imóveis!$S$2-(IF(AND(Dados!$A827&gt;=Imóveis!$Q$2,Dados!$A827&lt;=Imóveis!$T$2),Imóveis!$S$2-(DATEDIF(Imóveis!$Q$2,Dados!$A827,"m")),)))*(Imóveis!$N$2/Imóveis!$S$2)))*Imóveis!$P$2))))*IF(AND(Imóveis!$E$2&gt;0,Dados!$A827&gt;Imóveis!$E$2),0,1)</f>
        <v>0</v>
      </c>
      <c r="J827" s="18">
        <f>IF(Imóveis!$F$3="PRICE",IF(AND(Dados!$A827&gt;=Imóveis!$Q$3,Dados!$A827&lt;=Imóveis!$T$3),Imóveis!$U$3,0),IF((IF(AND(Dados!$A827&gt;=Imóveis!$Q$3,Dados!$A827&lt;=Imóveis!$T$3),Imóveis!$S$3-(DATEDIF(Imóveis!$Q$3,Dados!$A827,"m")),0))=0,0,((Imóveis!$N$3/Imóveis!$S$3)+((Imóveis!$N$3-((Imóveis!$S$3-(IF(AND(Dados!$A827&gt;=Imóveis!$Q$3,Dados!$A827&lt;=Imóveis!$T$3),Imóveis!$S$3-(DATEDIF(Imóveis!$Q$3,Dados!$A827,"m")),)))*(Imóveis!$N$3/Imóveis!$S$3)))*Imóveis!$P$3))))*IF(AND(Imóveis!$E$3&gt;0,Dados!$A827&gt;Imóveis!$E$3),0,1)</f>
        <v>0</v>
      </c>
      <c r="K827" s="18">
        <f>IF(Imóveis!$F$4="PRICE",IF(AND(Dados!$A827&gt;=Imóveis!$Q$4,Dados!$A827&lt;=Imóveis!$T$4),Imóveis!$U$4,0),IF((IF(AND(Dados!$A827&gt;=Imóveis!$Q$4,Dados!$A827&lt;=Imóveis!$T$4),Imóveis!$S$4-(DATEDIF(Imóveis!$Q$4,Dados!$A827,"m")),0))=0,0,((Imóveis!$N$4/Imóveis!$S$4)+((Imóveis!$N$4-((Imóveis!$S$4-(IF(AND(Dados!$A827&gt;=Imóveis!$Q$4,Dados!$A827&lt;=Imóveis!$T$4),Imóveis!$S$4-(DATEDIF(Imóveis!$Q$4,Dados!$A827,"m")),)))*(Imóveis!$N$4/Imóveis!$S$4)))*Imóveis!$P$4))))*IF(AND(Imóveis!$E$4&gt;0,Dados!$A827&gt;Imóveis!$E$4),0,1)</f>
        <v>0</v>
      </c>
      <c r="L827" s="18">
        <f>IF(Imóveis!$F$5="PRICE",IF(AND(Dados!$A827&gt;=Imóveis!$Q$5,Dados!$A827&lt;=Imóveis!$T$5),Imóveis!$U$5,0),IF((IF(AND(Dados!$A827&gt;=Imóveis!$Q$5,Dados!$A827&lt;=Imóveis!$T$5),Imóveis!$S$5-(DATEDIF(Imóveis!$Q$5,Dados!$A827,"m")),0))=0,0,((Imóveis!$N$5/Imóveis!$S$5)+((Imóveis!$N$5-((Imóveis!$S$5-(IF(AND(Dados!$A827 &gt;=Imóveis!$Q$5,Dados!$A827&lt;=Imóveis!$T$5),Imóveis!$S$5-(DATEDIF(Imóveis!$Q$5,Dados!$A827,"m")),)))*(Imóveis!$N$5/Imóveis!$S$5)))*Imóveis!$P$5))))*IF(AND(Imóveis!$E$5&gt;0,Dados!$A827&gt;Imóveis!$E$5),0,1)*Imóveis!$I$5</f>
        <v>0</v>
      </c>
      <c r="M827" s="18">
        <f>IF(Imóveis!$F$6="PRICE",IF(AND(Dados!$A827&gt;=Imóveis!$Q$6,Dados!$A827&lt;=Imóveis!$T$6),Imóveis!$U$6,0),IF((IF(AND(Dados!$A827&gt;=Imóveis!$Q$6,Dados!$A827&lt;=Imóveis!$T$6),Imóveis!$S$6-(DATEDIF(Imóveis!$Q$6,Dados!$A827,"m")),0))=0,0,((Imóveis!$N$6/Imóveis!$S$6)+((Imóveis!$N$6-((Imóveis!$S$6-(IF(AND(Dados!$A827&gt;=Imóveis!$Q$6,Dados!$A827&lt;=Imóveis!$T$6),Imóveis!$S$6-(DATEDIF(Imóveis!$Q$6,Dados!$A827,"m")),)))*(Imóveis!$N$6/Imóveis!$S$6)))*Imóveis!$P$6))))*IF(AND(Imóveis!$E$6&gt;0,Dados!$A827&gt;Imóveis!$E$6),0,1)*Imóveis!$I$6</f>
        <v>0</v>
      </c>
      <c r="N827" s="18">
        <f t="shared" si="101"/>
        <v>37000</v>
      </c>
      <c r="O827" s="18">
        <f>SUMIFS(Receitas!$F:$F,Receitas!$J:$J,"&lt;="&amp;$A827,Receitas!$L:$L,"&gt;="&amp;$A827,Receitas!$C:$C,O$1,Receitas!$M:$M,"Mensal")+SUMIFS(Receitas!$F:$F,Receitas!$J:$J,"&lt;="&amp;$A827,Receitas!$L:$L,"&gt;="&amp;$A827,Receitas!$C:$C,O$1,Receitas!$M:$M,$B827)</f>
        <v>0</v>
      </c>
      <c r="P827" s="18">
        <f>SUMIFS(Receitas!$F:$F,Receitas!$J:$J,"&lt;="&amp;$A827,Receitas!$L:$L,"&gt;="&amp;$A827,Receitas!$C:$C,P$1,Receitas!$M:$M,"Mensal")+SUMIFS(Receitas!$F:$F,Receitas!$J:$J,"&lt;="&amp;$A827,Receitas!$L:$L,"&gt;="&amp;$A827,Receitas!$C:$C,P$1,Receitas!$M:$M,$B827)</f>
        <v>0</v>
      </c>
      <c r="Q827" s="18">
        <f>SUMIFS(Receitas!$F:$F,Receitas!$J:$J,"&lt;="&amp;$A827,Receitas!$L:$L,"&gt;="&amp;$A827,Receitas!$C:$C,Q$1,Receitas!$M:$M,"Mensal")+SUMIFS(Receitas!$F:$F,Receitas!$J:$J,"&lt;="&amp;$A827,Receitas!$L:$L,"&gt;="&amp;$A827,Receitas!$C:$C,Q$1,Receitas!$M:$M,$B827)</f>
        <v>0</v>
      </c>
      <c r="R827" s="18" cm="1">
        <f t="array" ref="R827">(IF(AND(Membros!$F$2="Sim",A827&lt;=MAX(Membros!$E$2:$E$5)),Membros!K$2,IF(AND(A827&gt;=Membros!J$2,A827&lt;=MAX(Membros!$E$2:$E$5)),Membros!K$2,0))+IF(AND(Membros!$F$3="Sim",A827&lt;=MAX(Membros!$E$2:$E$5)),Membros!K$3,IF(AND(A827&gt;=Membros!J$3,A827&lt;=MAX(Membros!$E$2:$E$5)),Membros!K$3,0)))*IF(AND(COUNTIFS(Tabela3[Tipo],"Provedor",Tabela3[Simulação Seguro],"Sim")=2,A827&gt;=MAX(IF(Tabela3[Tipo]="Dependente",Tabela3[Expectativa de Vida (Data)]))),0,1)</f>
        <v>10000</v>
      </c>
      <c r="S827" s="18">
        <f t="shared" si="102"/>
        <v>10000</v>
      </c>
      <c r="U827" s="18">
        <f t="shared" ca="1" si="105"/>
        <v>71065037.266017407</v>
      </c>
      <c r="V827" s="18">
        <f>SUMIF(Imóveis!E:E,Dados!A:A,Imóveis!Z:Z)-SUMIF(Imóveis!E:E,Dados!A:A,Imóveis!Y:Y)</f>
        <v>0</v>
      </c>
      <c r="W827" s="18">
        <f>-SUMIF(Projetos!N:N,A827,Projetos!F:F)</f>
        <v>0</v>
      </c>
      <c r="X827" s="18">
        <f t="shared" si="99"/>
        <v>-27000</v>
      </c>
      <c r="Y827" s="26">
        <f ca="1">(U827*((Indicadores_Economicos!D$2+1)^(1/12)-1))</f>
        <v>232648.43962120957</v>
      </c>
      <c r="Z827" s="18">
        <f t="shared" ca="1" si="103"/>
        <v>71270685.705638617</v>
      </c>
      <c r="AA827" s="18">
        <f ca="1">Auxiliar_Projetos!E827</f>
        <v>5.7974591650475648E-9</v>
      </c>
      <c r="AB827" s="18">
        <f ca="1">Auxiliar_Projetos!K827</f>
        <v>4.4595839731135038E-9</v>
      </c>
      <c r="AC827" s="18">
        <f ca="1">IF(Z827-AA827-AB827&gt;Investimentos!$C$14,Investimentos!$C$14,IF(Z827-AA827-AB827&lt;Investimentos!$C$14,Z827-AA827-AB827,0))</f>
        <v>300000</v>
      </c>
      <c r="AD827" s="18">
        <f t="shared" ca="1" si="104"/>
        <v>70970685.705638617</v>
      </c>
      <c r="AE827" s="18"/>
    </row>
    <row r="828" spans="1:31" x14ac:dyDescent="0.2">
      <c r="A828" s="4">
        <v>70799</v>
      </c>
      <c r="B828" s="5" t="str">
        <f t="shared" si="100"/>
        <v>novembro</v>
      </c>
      <c r="C828" s="5" t="str">
        <f t="shared" si="106"/>
        <v>2093</v>
      </c>
      <c r="D828" s="5">
        <f>SUMIFS(Despesas!$F:$F,Despesas!$J:$J,"&lt;="&amp;$A828,Despesas!$L:$L,"&gt;="&amp;$A828,Despesas!$C:$C,D$1,Despesas!$M:$M,"Mensal")+SUMIFS(Despesas!$F:$F,Despesas!$J:$J,"&lt;="&amp;$A828,Despesas!$L:$L,"&gt;="&amp;$A828,Despesas!$C:$C,D$1,Despesas!$M:$M,$B828)</f>
        <v>23000</v>
      </c>
      <c r="E828" s="18">
        <f>SUMIFS(Despesas!$F:$F,Despesas!$J:$J,"&lt;="&amp;$A828,Despesas!$L:$L,"&gt;="&amp;$A828,Despesas!$C:$C,E$1,Despesas!$M:$M,"Mensal")+SUMIFS(Despesas!$F:$F,Despesas!$J:$J,"&lt;="&amp;$A828,Despesas!$L:$L,"&gt;="&amp;$A828,Despesas!$C:$C,E$1,Despesas!$M:$M,$B828)</f>
        <v>0</v>
      </c>
      <c r="F828" s="5">
        <f>SUMIFS(Despesas!$F:$F,Despesas!$J:$J,"&lt;="&amp;$A828,Despesas!$L:$L,"&gt;="&amp;$A828,Despesas!$C:$C,F$1,Despesas!$M:$M,"Mensal")+SUMIFS(Despesas!$F:$F,Despesas!$J:$J,"&lt;="&amp;$A828,Despesas!$L:$L,"&gt;="&amp;$A828,Despesas!$C:$C,F$1,Despesas!$M:$M,$B828)</f>
        <v>13000</v>
      </c>
      <c r="G828" s="5">
        <f>SUMIFS(Despesas!$F:$F,Despesas!$J:$J,"&lt;="&amp;$A828,Despesas!$L:$L,"&gt;="&amp;$A828,Despesas!$C:$C,G$1,Despesas!$M:$M,"Mensal")+SUMIFS(Despesas!$F:$F,Despesas!$J:$J,"&lt;="&amp;$A828,Despesas!$L:$L,"&gt;="&amp;$A828,Despesas!$C:$C,G$1,Despesas!$M:$M,$B828)</f>
        <v>0</v>
      </c>
      <c r="H828" s="18">
        <f>SUMIFS(Despesas!$F:$F,Despesas!$J:$J,"&lt;="&amp;$A828,Despesas!$L:$L,"&gt;="&amp;$A828,Despesas!$C:$C,H$1,Despesas!$M:$M,"Mensal")+SUMIFS(Despesas!$F:$F,Despesas!$J:$J,"&lt;="&amp;$A828,Despesas!$L:$L,"&gt;="&amp;$A828,Despesas!$C:$C,H$1,Despesas!$M:$M,$B828)</f>
        <v>1000</v>
      </c>
      <c r="I828" s="18">
        <f>IF(Imóveis!$F$2="PRICE",IF(AND(Dados!$A828&gt;=Imóveis!$Q$2,Dados!$A828&lt;=Imóveis!$T$2),Imóveis!$U$2,0),IF((IF(AND(Dados!$A828&gt;=Imóveis!$Q$2,Dados!$A828&lt;=Imóveis!$T$2),Imóveis!$S$2-(DATEDIF(Imóveis!$Q$2,Dados!$A828,"m")),0))=0,0,((Imóveis!$N$2/Imóveis!$S$2)+((Imóveis!$N$2-((Imóveis!$S$2-(IF(AND(Dados!$A828&gt;=Imóveis!$Q$2,Dados!$A828&lt;=Imóveis!$T$2),Imóveis!$S$2-(DATEDIF(Imóveis!$Q$2,Dados!$A828,"m")),)))*(Imóveis!$N$2/Imóveis!$S$2)))*Imóveis!$P$2))))*IF(AND(Imóveis!$E$2&gt;0,Dados!$A828&gt;Imóveis!$E$2),0,1)</f>
        <v>0</v>
      </c>
      <c r="J828" s="18">
        <f>IF(Imóveis!$F$3="PRICE",IF(AND(Dados!$A828&gt;=Imóveis!$Q$3,Dados!$A828&lt;=Imóveis!$T$3),Imóveis!$U$3,0),IF((IF(AND(Dados!$A828&gt;=Imóveis!$Q$3,Dados!$A828&lt;=Imóveis!$T$3),Imóveis!$S$3-(DATEDIF(Imóveis!$Q$3,Dados!$A828,"m")),0))=0,0,((Imóveis!$N$3/Imóveis!$S$3)+((Imóveis!$N$3-((Imóveis!$S$3-(IF(AND(Dados!$A828&gt;=Imóveis!$Q$3,Dados!$A828&lt;=Imóveis!$T$3),Imóveis!$S$3-(DATEDIF(Imóveis!$Q$3,Dados!$A828,"m")),)))*(Imóveis!$N$3/Imóveis!$S$3)))*Imóveis!$P$3))))*IF(AND(Imóveis!$E$3&gt;0,Dados!$A828&gt;Imóveis!$E$3),0,1)</f>
        <v>0</v>
      </c>
      <c r="K828" s="18">
        <f>IF(Imóveis!$F$4="PRICE",IF(AND(Dados!$A828&gt;=Imóveis!$Q$4,Dados!$A828&lt;=Imóveis!$T$4),Imóveis!$U$4,0),IF((IF(AND(Dados!$A828&gt;=Imóveis!$Q$4,Dados!$A828&lt;=Imóveis!$T$4),Imóveis!$S$4-(DATEDIF(Imóveis!$Q$4,Dados!$A828,"m")),0))=0,0,((Imóveis!$N$4/Imóveis!$S$4)+((Imóveis!$N$4-((Imóveis!$S$4-(IF(AND(Dados!$A828&gt;=Imóveis!$Q$4,Dados!$A828&lt;=Imóveis!$T$4),Imóveis!$S$4-(DATEDIF(Imóveis!$Q$4,Dados!$A828,"m")),)))*(Imóveis!$N$4/Imóveis!$S$4)))*Imóveis!$P$4))))*IF(AND(Imóveis!$E$4&gt;0,Dados!$A828&gt;Imóveis!$E$4),0,1)</f>
        <v>0</v>
      </c>
      <c r="L828" s="18">
        <f>IF(Imóveis!$F$5="PRICE",IF(AND(Dados!$A828&gt;=Imóveis!$Q$5,Dados!$A828&lt;=Imóveis!$T$5),Imóveis!$U$5,0),IF((IF(AND(Dados!$A828&gt;=Imóveis!$Q$5,Dados!$A828&lt;=Imóveis!$T$5),Imóveis!$S$5-(DATEDIF(Imóveis!$Q$5,Dados!$A828,"m")),0))=0,0,((Imóveis!$N$5/Imóveis!$S$5)+((Imóveis!$N$5-((Imóveis!$S$5-(IF(AND(Dados!$A828 &gt;=Imóveis!$Q$5,Dados!$A828&lt;=Imóveis!$T$5),Imóveis!$S$5-(DATEDIF(Imóveis!$Q$5,Dados!$A828,"m")),)))*(Imóveis!$N$5/Imóveis!$S$5)))*Imóveis!$P$5))))*IF(AND(Imóveis!$E$5&gt;0,Dados!$A828&gt;Imóveis!$E$5),0,1)*Imóveis!$I$5</f>
        <v>0</v>
      </c>
      <c r="M828" s="18">
        <f>IF(Imóveis!$F$6="PRICE",IF(AND(Dados!$A828&gt;=Imóveis!$Q$6,Dados!$A828&lt;=Imóveis!$T$6),Imóveis!$U$6,0),IF((IF(AND(Dados!$A828&gt;=Imóveis!$Q$6,Dados!$A828&lt;=Imóveis!$T$6),Imóveis!$S$6-(DATEDIF(Imóveis!$Q$6,Dados!$A828,"m")),0))=0,0,((Imóveis!$N$6/Imóveis!$S$6)+((Imóveis!$N$6-((Imóveis!$S$6-(IF(AND(Dados!$A828&gt;=Imóveis!$Q$6,Dados!$A828&lt;=Imóveis!$T$6),Imóveis!$S$6-(DATEDIF(Imóveis!$Q$6,Dados!$A828,"m")),)))*(Imóveis!$N$6/Imóveis!$S$6)))*Imóveis!$P$6))))*IF(AND(Imóveis!$E$6&gt;0,Dados!$A828&gt;Imóveis!$E$6),0,1)*Imóveis!$I$6</f>
        <v>0</v>
      </c>
      <c r="N828" s="18">
        <f t="shared" si="101"/>
        <v>37000</v>
      </c>
      <c r="O828" s="18">
        <f>SUMIFS(Receitas!$F:$F,Receitas!$J:$J,"&lt;="&amp;$A828,Receitas!$L:$L,"&gt;="&amp;$A828,Receitas!$C:$C,O$1,Receitas!$M:$M,"Mensal")+SUMIFS(Receitas!$F:$F,Receitas!$J:$J,"&lt;="&amp;$A828,Receitas!$L:$L,"&gt;="&amp;$A828,Receitas!$C:$C,O$1,Receitas!$M:$M,$B828)</f>
        <v>0</v>
      </c>
      <c r="P828" s="18">
        <f>SUMIFS(Receitas!$F:$F,Receitas!$J:$J,"&lt;="&amp;$A828,Receitas!$L:$L,"&gt;="&amp;$A828,Receitas!$C:$C,P$1,Receitas!$M:$M,"Mensal")+SUMIFS(Receitas!$F:$F,Receitas!$J:$J,"&lt;="&amp;$A828,Receitas!$L:$L,"&gt;="&amp;$A828,Receitas!$C:$C,P$1,Receitas!$M:$M,$B828)</f>
        <v>0</v>
      </c>
      <c r="Q828" s="18">
        <f>SUMIFS(Receitas!$F:$F,Receitas!$J:$J,"&lt;="&amp;$A828,Receitas!$L:$L,"&gt;="&amp;$A828,Receitas!$C:$C,Q$1,Receitas!$M:$M,"Mensal")+SUMIFS(Receitas!$F:$F,Receitas!$J:$J,"&lt;="&amp;$A828,Receitas!$L:$L,"&gt;="&amp;$A828,Receitas!$C:$C,Q$1,Receitas!$M:$M,$B828)</f>
        <v>0</v>
      </c>
      <c r="R828" s="18" cm="1">
        <f t="array" ref="R828">(IF(AND(Membros!$F$2="Sim",A828&lt;=MAX(Membros!$E$2:$E$5)),Membros!K$2,IF(AND(A828&gt;=Membros!J$2,A828&lt;=MAX(Membros!$E$2:$E$5)),Membros!K$2,0))+IF(AND(Membros!$F$3="Sim",A828&lt;=MAX(Membros!$E$2:$E$5)),Membros!K$3,IF(AND(A828&gt;=Membros!J$3,A828&lt;=MAX(Membros!$E$2:$E$5)),Membros!K$3,0)))*IF(AND(COUNTIFS(Tabela3[Tipo],"Provedor",Tabela3[Simulação Seguro],"Sim")=2,A828&gt;=MAX(IF(Tabela3[Tipo]="Dependente",Tabela3[Expectativa de Vida (Data)]))),0,1)</f>
        <v>10000</v>
      </c>
      <c r="S828" s="18">
        <f t="shared" si="102"/>
        <v>10000</v>
      </c>
      <c r="U828" s="18">
        <f t="shared" ca="1" si="105"/>
        <v>71270685.705638617</v>
      </c>
      <c r="V828" s="18">
        <f>SUMIF(Imóveis!E:E,Dados!A:A,Imóveis!Z:Z)-SUMIF(Imóveis!E:E,Dados!A:A,Imóveis!Y:Y)</f>
        <v>0</v>
      </c>
      <c r="W828" s="18">
        <f>-SUMIF(Projetos!N:N,A828,Projetos!F:F)</f>
        <v>0</v>
      </c>
      <c r="X828" s="18">
        <f t="shared" si="99"/>
        <v>-27000</v>
      </c>
      <c r="Y828" s="26">
        <f ca="1">(U828*((Indicadores_Economicos!D$2+1)^(1/12)-1))</f>
        <v>233321.67909914465</v>
      </c>
      <c r="Z828" s="18">
        <f t="shared" ca="1" si="103"/>
        <v>71477007.38473776</v>
      </c>
      <c r="AA828" s="18">
        <f ca="1">Auxiliar_Projetos!E828</f>
        <v>5.8164385377518546E-9</v>
      </c>
      <c r="AB828" s="18">
        <f ca="1">Auxiliar_Projetos!K828</f>
        <v>4.4741834905783423E-9</v>
      </c>
      <c r="AC828" s="18">
        <f ca="1">IF(Z828-AA828-AB828&gt;Investimentos!$C$14,Investimentos!$C$14,IF(Z828-AA828-AB828&lt;Investimentos!$C$14,Z828-AA828-AB828,0))</f>
        <v>300000</v>
      </c>
      <c r="AD828" s="18">
        <f t="shared" ca="1" si="104"/>
        <v>71177007.38473776</v>
      </c>
      <c r="AE828" s="18"/>
    </row>
    <row r="829" spans="1:31" x14ac:dyDescent="0.2">
      <c r="A829" s="4">
        <v>70829</v>
      </c>
      <c r="B829" s="5" t="str">
        <f t="shared" si="100"/>
        <v>dezembro</v>
      </c>
      <c r="C829" s="5" t="str">
        <f t="shared" si="106"/>
        <v>2093</v>
      </c>
      <c r="D829" s="5">
        <f>SUMIFS(Despesas!$F:$F,Despesas!$J:$J,"&lt;="&amp;$A829,Despesas!$L:$L,"&gt;="&amp;$A829,Despesas!$C:$C,D$1,Despesas!$M:$M,"Mensal")+SUMIFS(Despesas!$F:$F,Despesas!$J:$J,"&lt;="&amp;$A829,Despesas!$L:$L,"&gt;="&amp;$A829,Despesas!$C:$C,D$1,Despesas!$M:$M,$B829)</f>
        <v>23000</v>
      </c>
      <c r="E829" s="18">
        <f>SUMIFS(Despesas!$F:$F,Despesas!$J:$J,"&lt;="&amp;$A829,Despesas!$L:$L,"&gt;="&amp;$A829,Despesas!$C:$C,E$1,Despesas!$M:$M,"Mensal")+SUMIFS(Despesas!$F:$F,Despesas!$J:$J,"&lt;="&amp;$A829,Despesas!$L:$L,"&gt;="&amp;$A829,Despesas!$C:$C,E$1,Despesas!$M:$M,$B829)</f>
        <v>0</v>
      </c>
      <c r="F829" s="5">
        <f>SUMIFS(Despesas!$F:$F,Despesas!$J:$J,"&lt;="&amp;$A829,Despesas!$L:$L,"&gt;="&amp;$A829,Despesas!$C:$C,F$1,Despesas!$M:$M,"Mensal")+SUMIFS(Despesas!$F:$F,Despesas!$J:$J,"&lt;="&amp;$A829,Despesas!$L:$L,"&gt;="&amp;$A829,Despesas!$C:$C,F$1,Despesas!$M:$M,$B829)</f>
        <v>13000</v>
      </c>
      <c r="G829" s="5">
        <f ca="1">SUMIFS(Despesas!$F:$F,Despesas!$J:$J,"&lt;="&amp;$A829,Despesas!$L:$L,"&gt;="&amp;$A829,Despesas!$C:$C,G$1,Despesas!$M:$M,"Mensal")+SUMIFS(Despesas!$F:$F,Despesas!$J:$J,"&lt;="&amp;$A829,Despesas!$L:$L,"&gt;="&amp;$A829,Despesas!$C:$C,G$1,Despesas!$M:$M,$B829)</f>
        <v>55757</v>
      </c>
      <c r="H829" s="18">
        <f>SUMIFS(Despesas!$F:$F,Despesas!$J:$J,"&lt;="&amp;$A829,Despesas!$L:$L,"&gt;="&amp;$A829,Despesas!$C:$C,H$1,Despesas!$M:$M,"Mensal")+SUMIFS(Despesas!$F:$F,Despesas!$J:$J,"&lt;="&amp;$A829,Despesas!$L:$L,"&gt;="&amp;$A829,Despesas!$C:$C,H$1,Despesas!$M:$M,$B829)</f>
        <v>1000</v>
      </c>
      <c r="I829" s="18">
        <f>IF(Imóveis!$F$2="PRICE",IF(AND(Dados!$A829&gt;=Imóveis!$Q$2,Dados!$A829&lt;=Imóveis!$T$2),Imóveis!$U$2,0),IF((IF(AND(Dados!$A829&gt;=Imóveis!$Q$2,Dados!$A829&lt;=Imóveis!$T$2),Imóveis!$S$2-(DATEDIF(Imóveis!$Q$2,Dados!$A829,"m")),0))=0,0,((Imóveis!$N$2/Imóveis!$S$2)+((Imóveis!$N$2-((Imóveis!$S$2-(IF(AND(Dados!$A829&gt;=Imóveis!$Q$2,Dados!$A829&lt;=Imóveis!$T$2),Imóveis!$S$2-(DATEDIF(Imóveis!$Q$2,Dados!$A829,"m")),)))*(Imóveis!$N$2/Imóveis!$S$2)))*Imóveis!$P$2))))*IF(AND(Imóveis!$E$2&gt;0,Dados!$A829&gt;Imóveis!$E$2),0,1)</f>
        <v>0</v>
      </c>
      <c r="J829" s="18">
        <f>IF(Imóveis!$F$3="PRICE",IF(AND(Dados!$A829&gt;=Imóveis!$Q$3,Dados!$A829&lt;=Imóveis!$T$3),Imóveis!$U$3,0),IF((IF(AND(Dados!$A829&gt;=Imóveis!$Q$3,Dados!$A829&lt;=Imóveis!$T$3),Imóveis!$S$3-(DATEDIF(Imóveis!$Q$3,Dados!$A829,"m")),0))=0,0,((Imóveis!$N$3/Imóveis!$S$3)+((Imóveis!$N$3-((Imóveis!$S$3-(IF(AND(Dados!$A829&gt;=Imóveis!$Q$3,Dados!$A829&lt;=Imóveis!$T$3),Imóveis!$S$3-(DATEDIF(Imóveis!$Q$3,Dados!$A829,"m")),)))*(Imóveis!$N$3/Imóveis!$S$3)))*Imóveis!$P$3))))*IF(AND(Imóveis!$E$3&gt;0,Dados!$A829&gt;Imóveis!$E$3),0,1)</f>
        <v>0</v>
      </c>
      <c r="K829" s="18">
        <f>IF(Imóveis!$F$4="PRICE",IF(AND(Dados!$A829&gt;=Imóveis!$Q$4,Dados!$A829&lt;=Imóveis!$T$4),Imóveis!$U$4,0),IF((IF(AND(Dados!$A829&gt;=Imóveis!$Q$4,Dados!$A829&lt;=Imóveis!$T$4),Imóveis!$S$4-(DATEDIF(Imóveis!$Q$4,Dados!$A829,"m")),0))=0,0,((Imóveis!$N$4/Imóveis!$S$4)+((Imóveis!$N$4-((Imóveis!$S$4-(IF(AND(Dados!$A829&gt;=Imóveis!$Q$4,Dados!$A829&lt;=Imóveis!$T$4),Imóveis!$S$4-(DATEDIF(Imóveis!$Q$4,Dados!$A829,"m")),)))*(Imóveis!$N$4/Imóveis!$S$4)))*Imóveis!$P$4))))*IF(AND(Imóveis!$E$4&gt;0,Dados!$A829&gt;Imóveis!$E$4),0,1)</f>
        <v>0</v>
      </c>
      <c r="L829" s="18">
        <f>IF(Imóveis!$F$5="PRICE",IF(AND(Dados!$A829&gt;=Imóveis!$Q$5,Dados!$A829&lt;=Imóveis!$T$5),Imóveis!$U$5,0),IF((IF(AND(Dados!$A829&gt;=Imóveis!$Q$5,Dados!$A829&lt;=Imóveis!$T$5),Imóveis!$S$5-(DATEDIF(Imóveis!$Q$5,Dados!$A829,"m")),0))=0,0,((Imóveis!$N$5/Imóveis!$S$5)+((Imóveis!$N$5-((Imóveis!$S$5-(IF(AND(Dados!$A829 &gt;=Imóveis!$Q$5,Dados!$A829&lt;=Imóveis!$T$5),Imóveis!$S$5-(DATEDIF(Imóveis!$Q$5,Dados!$A829,"m")),)))*(Imóveis!$N$5/Imóveis!$S$5)))*Imóveis!$P$5))))*IF(AND(Imóveis!$E$5&gt;0,Dados!$A829&gt;Imóveis!$E$5),0,1)*Imóveis!$I$5</f>
        <v>0</v>
      </c>
      <c r="M829" s="18">
        <f>IF(Imóveis!$F$6="PRICE",IF(AND(Dados!$A829&gt;=Imóveis!$Q$6,Dados!$A829&lt;=Imóveis!$T$6),Imóveis!$U$6,0),IF((IF(AND(Dados!$A829&gt;=Imóveis!$Q$6,Dados!$A829&lt;=Imóveis!$T$6),Imóveis!$S$6-(DATEDIF(Imóveis!$Q$6,Dados!$A829,"m")),0))=0,0,((Imóveis!$N$6/Imóveis!$S$6)+((Imóveis!$N$6-((Imóveis!$S$6-(IF(AND(Dados!$A829&gt;=Imóveis!$Q$6,Dados!$A829&lt;=Imóveis!$T$6),Imóveis!$S$6-(DATEDIF(Imóveis!$Q$6,Dados!$A829,"m")),)))*(Imóveis!$N$6/Imóveis!$S$6)))*Imóveis!$P$6))))*IF(AND(Imóveis!$E$6&gt;0,Dados!$A829&gt;Imóveis!$E$6),0,1)*Imóveis!$I$6</f>
        <v>0</v>
      </c>
      <c r="N829" s="18">
        <f t="shared" ca="1" si="101"/>
        <v>92757</v>
      </c>
      <c r="O829" s="18">
        <f>SUMIFS(Receitas!$F:$F,Receitas!$J:$J,"&lt;="&amp;$A829,Receitas!$L:$L,"&gt;="&amp;$A829,Receitas!$C:$C,O$1,Receitas!$M:$M,"Mensal")+SUMIFS(Receitas!$F:$F,Receitas!$J:$J,"&lt;="&amp;$A829,Receitas!$L:$L,"&gt;="&amp;$A829,Receitas!$C:$C,O$1,Receitas!$M:$M,$B829)</f>
        <v>0</v>
      </c>
      <c r="P829" s="18">
        <f>SUMIFS(Receitas!$F:$F,Receitas!$J:$J,"&lt;="&amp;$A829,Receitas!$L:$L,"&gt;="&amp;$A829,Receitas!$C:$C,P$1,Receitas!$M:$M,"Mensal")+SUMIFS(Receitas!$F:$F,Receitas!$J:$J,"&lt;="&amp;$A829,Receitas!$L:$L,"&gt;="&amp;$A829,Receitas!$C:$C,P$1,Receitas!$M:$M,$B829)</f>
        <v>0</v>
      </c>
      <c r="Q829" s="18">
        <f>SUMIFS(Receitas!$F:$F,Receitas!$J:$J,"&lt;="&amp;$A829,Receitas!$L:$L,"&gt;="&amp;$A829,Receitas!$C:$C,Q$1,Receitas!$M:$M,"Mensal")+SUMIFS(Receitas!$F:$F,Receitas!$J:$J,"&lt;="&amp;$A829,Receitas!$L:$L,"&gt;="&amp;$A829,Receitas!$C:$C,Q$1,Receitas!$M:$M,$B829)</f>
        <v>0</v>
      </c>
      <c r="R829" s="18" cm="1">
        <f t="array" ref="R829">(IF(AND(Membros!$F$2="Sim",A829&lt;=MAX(Membros!$E$2:$E$5)),Membros!K$2,IF(AND(A829&gt;=Membros!J$2,A829&lt;=MAX(Membros!$E$2:$E$5)),Membros!K$2,0))+IF(AND(Membros!$F$3="Sim",A829&lt;=MAX(Membros!$E$2:$E$5)),Membros!K$3,IF(AND(A829&gt;=Membros!J$3,A829&lt;=MAX(Membros!$E$2:$E$5)),Membros!K$3,0)))*IF(AND(COUNTIFS(Tabela3[Tipo],"Provedor",Tabela3[Simulação Seguro],"Sim")=2,A829&gt;=MAX(IF(Tabela3[Tipo]="Dependente",Tabela3[Expectativa de Vida (Data)]))),0,1)</f>
        <v>10000</v>
      </c>
      <c r="S829" s="18">
        <f t="shared" si="102"/>
        <v>10000</v>
      </c>
      <c r="U829" s="18">
        <f t="shared" ca="1" si="105"/>
        <v>71477007.38473776</v>
      </c>
      <c r="V829" s="18">
        <f>SUMIF(Imóveis!E:E,Dados!A:A,Imóveis!Z:Z)-SUMIF(Imóveis!E:E,Dados!A:A,Imóveis!Y:Y)</f>
        <v>0</v>
      </c>
      <c r="W829" s="18">
        <f>-SUMIF(Projetos!N:N,A829,Projetos!F:F)</f>
        <v>0</v>
      </c>
      <c r="X829" s="18">
        <f t="shared" ca="1" si="99"/>
        <v>-82757</v>
      </c>
      <c r="Y829" s="26">
        <f ca="1">(U829*((Indicadores_Economicos!D$2+1)^(1/12)-1))</f>
        <v>233997.12258794159</v>
      </c>
      <c r="Z829" s="18">
        <f t="shared" ca="1" si="103"/>
        <v>71628247.507325709</v>
      </c>
      <c r="AA829" s="18">
        <f ca="1">Auxiliar_Projetos!E829</f>
        <v>5.8354800439836075E-9</v>
      </c>
      <c r="AB829" s="18">
        <f ca="1">Auxiliar_Projetos!K829</f>
        <v>4.4888308030643067E-9</v>
      </c>
      <c r="AC829" s="18">
        <f ca="1">IF(Z829-AA829-AB829&gt;Investimentos!$C$14,Investimentos!$C$14,IF(Z829-AA829-AB829&lt;Investimentos!$C$14,Z829-AA829-AB829,0))</f>
        <v>300000</v>
      </c>
      <c r="AD829" s="18">
        <f t="shared" ca="1" si="104"/>
        <v>71328247.507325709</v>
      </c>
      <c r="AE829" s="18"/>
    </row>
    <row r="830" spans="1:31" x14ac:dyDescent="0.2">
      <c r="A830" s="4">
        <v>70860</v>
      </c>
      <c r="B830" s="5" t="str">
        <f t="shared" si="100"/>
        <v>janeiro</v>
      </c>
      <c r="C830" s="5" t="str">
        <f t="shared" si="106"/>
        <v>2094</v>
      </c>
      <c r="D830" s="5">
        <f>SUMIFS(Despesas!$F:$F,Despesas!$J:$J,"&lt;="&amp;$A830,Despesas!$L:$L,"&gt;="&amp;$A830,Despesas!$C:$C,D$1,Despesas!$M:$M,"Mensal")+SUMIFS(Despesas!$F:$F,Despesas!$J:$J,"&lt;="&amp;$A830,Despesas!$L:$L,"&gt;="&amp;$A830,Despesas!$C:$C,D$1,Despesas!$M:$M,$B830)</f>
        <v>23000</v>
      </c>
      <c r="E830" s="18">
        <f>SUMIFS(Despesas!$F:$F,Despesas!$J:$J,"&lt;="&amp;$A830,Despesas!$L:$L,"&gt;="&amp;$A830,Despesas!$C:$C,E$1,Despesas!$M:$M,"Mensal")+SUMIFS(Despesas!$F:$F,Despesas!$J:$J,"&lt;="&amp;$A830,Despesas!$L:$L,"&gt;="&amp;$A830,Despesas!$C:$C,E$1,Despesas!$M:$M,$B830)</f>
        <v>0</v>
      </c>
      <c r="F830" s="5">
        <f>SUMIFS(Despesas!$F:$F,Despesas!$J:$J,"&lt;="&amp;$A830,Despesas!$L:$L,"&gt;="&amp;$A830,Despesas!$C:$C,F$1,Despesas!$M:$M,"Mensal")+SUMIFS(Despesas!$F:$F,Despesas!$J:$J,"&lt;="&amp;$A830,Despesas!$L:$L,"&gt;="&amp;$A830,Despesas!$C:$C,F$1,Despesas!$M:$M,$B830)</f>
        <v>13000</v>
      </c>
      <c r="G830" s="5">
        <f>SUMIFS(Despesas!$F:$F,Despesas!$J:$J,"&lt;="&amp;$A830,Despesas!$L:$L,"&gt;="&amp;$A830,Despesas!$C:$C,G$1,Despesas!$M:$M,"Mensal")+SUMIFS(Despesas!$F:$F,Despesas!$J:$J,"&lt;="&amp;$A830,Despesas!$L:$L,"&gt;="&amp;$A830,Despesas!$C:$C,G$1,Despesas!$M:$M,$B830)</f>
        <v>0</v>
      </c>
      <c r="H830" s="18">
        <f>SUMIFS(Despesas!$F:$F,Despesas!$J:$J,"&lt;="&amp;$A830,Despesas!$L:$L,"&gt;="&amp;$A830,Despesas!$C:$C,H$1,Despesas!$M:$M,"Mensal")+SUMIFS(Despesas!$F:$F,Despesas!$J:$J,"&lt;="&amp;$A830,Despesas!$L:$L,"&gt;="&amp;$A830,Despesas!$C:$C,H$1,Despesas!$M:$M,$B830)</f>
        <v>1000</v>
      </c>
      <c r="I830" s="18">
        <f>IF(Imóveis!$F$2="PRICE",IF(AND(Dados!$A830&gt;=Imóveis!$Q$2,Dados!$A830&lt;=Imóveis!$T$2),Imóveis!$U$2,0),IF((IF(AND(Dados!$A830&gt;=Imóveis!$Q$2,Dados!$A830&lt;=Imóveis!$T$2),Imóveis!$S$2-(DATEDIF(Imóveis!$Q$2,Dados!$A830,"m")),0))=0,0,((Imóveis!$N$2/Imóveis!$S$2)+((Imóveis!$N$2-((Imóveis!$S$2-(IF(AND(Dados!$A830&gt;=Imóveis!$Q$2,Dados!$A830&lt;=Imóveis!$T$2),Imóveis!$S$2-(DATEDIF(Imóveis!$Q$2,Dados!$A830,"m")),)))*(Imóveis!$N$2/Imóveis!$S$2)))*Imóveis!$P$2))))*IF(AND(Imóveis!$E$2&gt;0,Dados!$A830&gt;Imóveis!$E$2),0,1)</f>
        <v>0</v>
      </c>
      <c r="J830" s="18">
        <f>IF(Imóveis!$F$3="PRICE",IF(AND(Dados!$A830&gt;=Imóveis!$Q$3,Dados!$A830&lt;=Imóveis!$T$3),Imóveis!$U$3,0),IF((IF(AND(Dados!$A830&gt;=Imóveis!$Q$3,Dados!$A830&lt;=Imóveis!$T$3),Imóveis!$S$3-(DATEDIF(Imóveis!$Q$3,Dados!$A830,"m")),0))=0,0,((Imóveis!$N$3/Imóveis!$S$3)+((Imóveis!$N$3-((Imóveis!$S$3-(IF(AND(Dados!$A830&gt;=Imóveis!$Q$3,Dados!$A830&lt;=Imóveis!$T$3),Imóveis!$S$3-(DATEDIF(Imóveis!$Q$3,Dados!$A830,"m")),)))*(Imóveis!$N$3/Imóveis!$S$3)))*Imóveis!$P$3))))*IF(AND(Imóveis!$E$3&gt;0,Dados!$A830&gt;Imóveis!$E$3),0,1)</f>
        <v>0</v>
      </c>
      <c r="K830" s="18">
        <f>IF(Imóveis!$F$4="PRICE",IF(AND(Dados!$A830&gt;=Imóveis!$Q$4,Dados!$A830&lt;=Imóveis!$T$4),Imóveis!$U$4,0),IF((IF(AND(Dados!$A830&gt;=Imóveis!$Q$4,Dados!$A830&lt;=Imóveis!$T$4),Imóveis!$S$4-(DATEDIF(Imóveis!$Q$4,Dados!$A830,"m")),0))=0,0,((Imóveis!$N$4/Imóveis!$S$4)+((Imóveis!$N$4-((Imóveis!$S$4-(IF(AND(Dados!$A830&gt;=Imóveis!$Q$4,Dados!$A830&lt;=Imóveis!$T$4),Imóveis!$S$4-(DATEDIF(Imóveis!$Q$4,Dados!$A830,"m")),)))*(Imóveis!$N$4/Imóveis!$S$4)))*Imóveis!$P$4))))*IF(AND(Imóveis!$E$4&gt;0,Dados!$A830&gt;Imóveis!$E$4),0,1)</f>
        <v>0</v>
      </c>
      <c r="L830" s="18">
        <f>IF(Imóveis!$F$5="PRICE",IF(AND(Dados!$A830&gt;=Imóveis!$Q$5,Dados!$A830&lt;=Imóveis!$T$5),Imóveis!$U$5,0),IF((IF(AND(Dados!$A830&gt;=Imóveis!$Q$5,Dados!$A830&lt;=Imóveis!$T$5),Imóveis!$S$5-(DATEDIF(Imóveis!$Q$5,Dados!$A830,"m")),0))=0,0,((Imóveis!$N$5/Imóveis!$S$5)+((Imóveis!$N$5-((Imóveis!$S$5-(IF(AND(Dados!$A830 &gt;=Imóveis!$Q$5,Dados!$A830&lt;=Imóveis!$T$5),Imóveis!$S$5-(DATEDIF(Imóveis!$Q$5,Dados!$A830,"m")),)))*(Imóveis!$N$5/Imóveis!$S$5)))*Imóveis!$P$5))))*IF(AND(Imóveis!$E$5&gt;0,Dados!$A830&gt;Imóveis!$E$5),0,1)*Imóveis!$I$5</f>
        <v>0</v>
      </c>
      <c r="M830" s="18">
        <f>IF(Imóveis!$F$6="PRICE",IF(AND(Dados!$A830&gt;=Imóveis!$Q$6,Dados!$A830&lt;=Imóveis!$T$6),Imóveis!$U$6,0),IF((IF(AND(Dados!$A830&gt;=Imóveis!$Q$6,Dados!$A830&lt;=Imóveis!$T$6),Imóveis!$S$6-(DATEDIF(Imóveis!$Q$6,Dados!$A830,"m")),0))=0,0,((Imóveis!$N$6/Imóveis!$S$6)+((Imóveis!$N$6-((Imóveis!$S$6-(IF(AND(Dados!$A830&gt;=Imóveis!$Q$6,Dados!$A830&lt;=Imóveis!$T$6),Imóveis!$S$6-(DATEDIF(Imóveis!$Q$6,Dados!$A830,"m")),)))*(Imóveis!$N$6/Imóveis!$S$6)))*Imóveis!$P$6))))*IF(AND(Imóveis!$E$6&gt;0,Dados!$A830&gt;Imóveis!$E$6),0,1)*Imóveis!$I$6</f>
        <v>0</v>
      </c>
      <c r="N830" s="18">
        <f t="shared" si="101"/>
        <v>37000</v>
      </c>
      <c r="O830" s="18">
        <f>SUMIFS(Receitas!$F:$F,Receitas!$J:$J,"&lt;="&amp;$A830,Receitas!$L:$L,"&gt;="&amp;$A830,Receitas!$C:$C,O$1,Receitas!$M:$M,"Mensal")+SUMIFS(Receitas!$F:$F,Receitas!$J:$J,"&lt;="&amp;$A830,Receitas!$L:$L,"&gt;="&amp;$A830,Receitas!$C:$C,O$1,Receitas!$M:$M,$B830)</f>
        <v>0</v>
      </c>
      <c r="P830" s="18">
        <f>SUMIFS(Receitas!$F:$F,Receitas!$J:$J,"&lt;="&amp;$A830,Receitas!$L:$L,"&gt;="&amp;$A830,Receitas!$C:$C,P$1,Receitas!$M:$M,"Mensal")+SUMIFS(Receitas!$F:$F,Receitas!$J:$J,"&lt;="&amp;$A830,Receitas!$L:$L,"&gt;="&amp;$A830,Receitas!$C:$C,P$1,Receitas!$M:$M,$B830)</f>
        <v>0</v>
      </c>
      <c r="Q830" s="18">
        <f>SUMIFS(Receitas!$F:$F,Receitas!$J:$J,"&lt;="&amp;$A830,Receitas!$L:$L,"&gt;="&amp;$A830,Receitas!$C:$C,Q$1,Receitas!$M:$M,"Mensal")+SUMIFS(Receitas!$F:$F,Receitas!$J:$J,"&lt;="&amp;$A830,Receitas!$L:$L,"&gt;="&amp;$A830,Receitas!$C:$C,Q$1,Receitas!$M:$M,$B830)</f>
        <v>0</v>
      </c>
      <c r="R830" s="18" cm="1">
        <f t="array" ref="R830">(IF(AND(Membros!$F$2="Sim",A830&lt;=MAX(Membros!$E$2:$E$5)),Membros!K$2,IF(AND(A830&gt;=Membros!J$2,A830&lt;=MAX(Membros!$E$2:$E$5)),Membros!K$2,0))+IF(AND(Membros!$F$3="Sim",A830&lt;=MAX(Membros!$E$2:$E$5)),Membros!K$3,IF(AND(A830&gt;=Membros!J$3,A830&lt;=MAX(Membros!$E$2:$E$5)),Membros!K$3,0)))*IF(AND(COUNTIFS(Tabela3[Tipo],"Provedor",Tabela3[Simulação Seguro],"Sim")=2,A830&gt;=MAX(IF(Tabela3[Tipo]="Dependente",Tabela3[Expectativa de Vida (Data)]))),0,1)</f>
        <v>10000</v>
      </c>
      <c r="S830" s="18">
        <f t="shared" si="102"/>
        <v>10000</v>
      </c>
      <c r="U830" s="18">
        <f t="shared" ca="1" si="105"/>
        <v>71628247.507325709</v>
      </c>
      <c r="V830" s="18">
        <f>SUMIF(Imóveis!E:E,Dados!A:A,Imóveis!Z:Z)-SUMIF(Imóveis!E:E,Dados!A:A,Imóveis!Y:Y)</f>
        <v>0</v>
      </c>
      <c r="W830" s="18">
        <f>-SUMIF(Projetos!N:N,A830,Projetos!F:F)</f>
        <v>0</v>
      </c>
      <c r="X830" s="18">
        <f t="shared" si="99"/>
        <v>-27000</v>
      </c>
      <c r="Y830" s="26">
        <f ca="1">(U830*((Indicadores_Economicos!D$2+1)^(1/12)-1))</f>
        <v>234492.2433939224</v>
      </c>
      <c r="Z830" s="18">
        <f t="shared" ca="1" si="103"/>
        <v>71835739.750719637</v>
      </c>
      <c r="AA830" s="18">
        <f ca="1">Auxiliar_Projetos!E830</f>
        <v>5.8545838871518244E-9</v>
      </c>
      <c r="AB830" s="18">
        <f ca="1">Auxiliar_Projetos!K830</f>
        <v>4.5035260670398582E-9</v>
      </c>
      <c r="AC830" s="18">
        <f ca="1">IF(Z830-AA830-AB830&gt;Investimentos!$C$14,Investimentos!$C$14,IF(Z830-AA830-AB830&lt;Investimentos!$C$14,Z830-AA830-AB830,0))</f>
        <v>300000</v>
      </c>
      <c r="AD830" s="18">
        <f t="shared" ca="1" si="104"/>
        <v>71535739.750719637</v>
      </c>
      <c r="AE830" s="18"/>
    </row>
    <row r="831" spans="1:31" x14ac:dyDescent="0.2">
      <c r="A831" s="4">
        <v>70891</v>
      </c>
      <c r="B831" s="5" t="str">
        <f t="shared" si="100"/>
        <v>fevereiro</v>
      </c>
      <c r="C831" s="5" t="str">
        <f t="shared" si="106"/>
        <v>2094</v>
      </c>
      <c r="D831" s="5">
        <f>SUMIFS(Despesas!$F:$F,Despesas!$J:$J,"&lt;="&amp;$A831,Despesas!$L:$L,"&gt;="&amp;$A831,Despesas!$C:$C,D$1,Despesas!$M:$M,"Mensal")+SUMIFS(Despesas!$F:$F,Despesas!$J:$J,"&lt;="&amp;$A831,Despesas!$L:$L,"&gt;="&amp;$A831,Despesas!$C:$C,D$1,Despesas!$M:$M,$B831)</f>
        <v>23000</v>
      </c>
      <c r="E831" s="18">
        <f>SUMIFS(Despesas!$F:$F,Despesas!$J:$J,"&lt;="&amp;$A831,Despesas!$L:$L,"&gt;="&amp;$A831,Despesas!$C:$C,E$1,Despesas!$M:$M,"Mensal")+SUMIFS(Despesas!$F:$F,Despesas!$J:$J,"&lt;="&amp;$A831,Despesas!$L:$L,"&gt;="&amp;$A831,Despesas!$C:$C,E$1,Despesas!$M:$M,$B831)</f>
        <v>0</v>
      </c>
      <c r="F831" s="5">
        <f>SUMIFS(Despesas!$F:$F,Despesas!$J:$J,"&lt;="&amp;$A831,Despesas!$L:$L,"&gt;="&amp;$A831,Despesas!$C:$C,F$1,Despesas!$M:$M,"Mensal")+SUMIFS(Despesas!$F:$F,Despesas!$J:$J,"&lt;="&amp;$A831,Despesas!$L:$L,"&gt;="&amp;$A831,Despesas!$C:$C,F$1,Despesas!$M:$M,$B831)</f>
        <v>13000</v>
      </c>
      <c r="G831" s="5">
        <f>SUMIFS(Despesas!$F:$F,Despesas!$J:$J,"&lt;="&amp;$A831,Despesas!$L:$L,"&gt;="&amp;$A831,Despesas!$C:$C,G$1,Despesas!$M:$M,"Mensal")+SUMIFS(Despesas!$F:$F,Despesas!$J:$J,"&lt;="&amp;$A831,Despesas!$L:$L,"&gt;="&amp;$A831,Despesas!$C:$C,G$1,Despesas!$M:$M,$B831)</f>
        <v>0</v>
      </c>
      <c r="H831" s="18">
        <f>SUMIFS(Despesas!$F:$F,Despesas!$J:$J,"&lt;="&amp;$A831,Despesas!$L:$L,"&gt;="&amp;$A831,Despesas!$C:$C,H$1,Despesas!$M:$M,"Mensal")+SUMIFS(Despesas!$F:$F,Despesas!$J:$J,"&lt;="&amp;$A831,Despesas!$L:$L,"&gt;="&amp;$A831,Despesas!$C:$C,H$1,Despesas!$M:$M,$B831)</f>
        <v>2200</v>
      </c>
      <c r="I831" s="18">
        <f>IF(Imóveis!$F$2="PRICE",IF(AND(Dados!$A831&gt;=Imóveis!$Q$2,Dados!$A831&lt;=Imóveis!$T$2),Imóveis!$U$2,0),IF((IF(AND(Dados!$A831&gt;=Imóveis!$Q$2,Dados!$A831&lt;=Imóveis!$T$2),Imóveis!$S$2-(DATEDIF(Imóveis!$Q$2,Dados!$A831,"m")),0))=0,0,((Imóveis!$N$2/Imóveis!$S$2)+((Imóveis!$N$2-((Imóveis!$S$2-(IF(AND(Dados!$A831&gt;=Imóveis!$Q$2,Dados!$A831&lt;=Imóveis!$T$2),Imóveis!$S$2-(DATEDIF(Imóveis!$Q$2,Dados!$A831,"m")),)))*(Imóveis!$N$2/Imóveis!$S$2)))*Imóveis!$P$2))))*IF(AND(Imóveis!$E$2&gt;0,Dados!$A831&gt;Imóveis!$E$2),0,1)</f>
        <v>0</v>
      </c>
      <c r="J831" s="18">
        <f>IF(Imóveis!$F$3="PRICE",IF(AND(Dados!$A831&gt;=Imóveis!$Q$3,Dados!$A831&lt;=Imóveis!$T$3),Imóveis!$U$3,0),IF((IF(AND(Dados!$A831&gt;=Imóveis!$Q$3,Dados!$A831&lt;=Imóveis!$T$3),Imóveis!$S$3-(DATEDIF(Imóveis!$Q$3,Dados!$A831,"m")),0))=0,0,((Imóveis!$N$3/Imóveis!$S$3)+((Imóveis!$N$3-((Imóveis!$S$3-(IF(AND(Dados!$A831&gt;=Imóveis!$Q$3,Dados!$A831&lt;=Imóveis!$T$3),Imóveis!$S$3-(DATEDIF(Imóveis!$Q$3,Dados!$A831,"m")),)))*(Imóveis!$N$3/Imóveis!$S$3)))*Imóveis!$P$3))))*IF(AND(Imóveis!$E$3&gt;0,Dados!$A831&gt;Imóveis!$E$3),0,1)</f>
        <v>0</v>
      </c>
      <c r="K831" s="18">
        <f>IF(Imóveis!$F$4="PRICE",IF(AND(Dados!$A831&gt;=Imóveis!$Q$4,Dados!$A831&lt;=Imóveis!$T$4),Imóveis!$U$4,0),IF((IF(AND(Dados!$A831&gt;=Imóveis!$Q$4,Dados!$A831&lt;=Imóveis!$T$4),Imóveis!$S$4-(DATEDIF(Imóveis!$Q$4,Dados!$A831,"m")),0))=0,0,((Imóveis!$N$4/Imóveis!$S$4)+((Imóveis!$N$4-((Imóveis!$S$4-(IF(AND(Dados!$A831&gt;=Imóveis!$Q$4,Dados!$A831&lt;=Imóveis!$T$4),Imóveis!$S$4-(DATEDIF(Imóveis!$Q$4,Dados!$A831,"m")),)))*(Imóveis!$N$4/Imóveis!$S$4)))*Imóveis!$P$4))))*IF(AND(Imóveis!$E$4&gt;0,Dados!$A831&gt;Imóveis!$E$4),0,1)</f>
        <v>0</v>
      </c>
      <c r="L831" s="18">
        <f>IF(Imóveis!$F$5="PRICE",IF(AND(Dados!$A831&gt;=Imóveis!$Q$5,Dados!$A831&lt;=Imóveis!$T$5),Imóveis!$U$5,0),IF((IF(AND(Dados!$A831&gt;=Imóveis!$Q$5,Dados!$A831&lt;=Imóveis!$T$5),Imóveis!$S$5-(DATEDIF(Imóveis!$Q$5,Dados!$A831,"m")),0))=0,0,((Imóveis!$N$5/Imóveis!$S$5)+((Imóveis!$N$5-((Imóveis!$S$5-(IF(AND(Dados!$A831 &gt;=Imóveis!$Q$5,Dados!$A831&lt;=Imóveis!$T$5),Imóveis!$S$5-(DATEDIF(Imóveis!$Q$5,Dados!$A831,"m")),)))*(Imóveis!$N$5/Imóveis!$S$5)))*Imóveis!$P$5))))*IF(AND(Imóveis!$E$5&gt;0,Dados!$A831&gt;Imóveis!$E$5),0,1)*Imóveis!$I$5</f>
        <v>0</v>
      </c>
      <c r="M831" s="18">
        <f>IF(Imóveis!$F$6="PRICE",IF(AND(Dados!$A831&gt;=Imóveis!$Q$6,Dados!$A831&lt;=Imóveis!$T$6),Imóveis!$U$6,0),IF((IF(AND(Dados!$A831&gt;=Imóveis!$Q$6,Dados!$A831&lt;=Imóveis!$T$6),Imóveis!$S$6-(DATEDIF(Imóveis!$Q$6,Dados!$A831,"m")),0))=0,0,((Imóveis!$N$6/Imóveis!$S$6)+((Imóveis!$N$6-((Imóveis!$S$6-(IF(AND(Dados!$A831&gt;=Imóveis!$Q$6,Dados!$A831&lt;=Imóveis!$T$6),Imóveis!$S$6-(DATEDIF(Imóveis!$Q$6,Dados!$A831,"m")),)))*(Imóveis!$N$6/Imóveis!$S$6)))*Imóveis!$P$6))))*IF(AND(Imóveis!$E$6&gt;0,Dados!$A831&gt;Imóveis!$E$6),0,1)*Imóveis!$I$6</f>
        <v>0</v>
      </c>
      <c r="N831" s="18">
        <f t="shared" si="101"/>
        <v>38200</v>
      </c>
      <c r="O831" s="18">
        <f>SUMIFS(Receitas!$F:$F,Receitas!$J:$J,"&lt;="&amp;$A831,Receitas!$L:$L,"&gt;="&amp;$A831,Receitas!$C:$C,O$1,Receitas!$M:$M,"Mensal")+SUMIFS(Receitas!$F:$F,Receitas!$J:$J,"&lt;="&amp;$A831,Receitas!$L:$L,"&gt;="&amp;$A831,Receitas!$C:$C,O$1,Receitas!$M:$M,$B831)</f>
        <v>0</v>
      </c>
      <c r="P831" s="18">
        <f>SUMIFS(Receitas!$F:$F,Receitas!$J:$J,"&lt;="&amp;$A831,Receitas!$L:$L,"&gt;="&amp;$A831,Receitas!$C:$C,P$1,Receitas!$M:$M,"Mensal")+SUMIFS(Receitas!$F:$F,Receitas!$J:$J,"&lt;="&amp;$A831,Receitas!$L:$L,"&gt;="&amp;$A831,Receitas!$C:$C,P$1,Receitas!$M:$M,$B831)</f>
        <v>0</v>
      </c>
      <c r="Q831" s="18">
        <f>SUMIFS(Receitas!$F:$F,Receitas!$J:$J,"&lt;="&amp;$A831,Receitas!$L:$L,"&gt;="&amp;$A831,Receitas!$C:$C,Q$1,Receitas!$M:$M,"Mensal")+SUMIFS(Receitas!$F:$F,Receitas!$J:$J,"&lt;="&amp;$A831,Receitas!$L:$L,"&gt;="&amp;$A831,Receitas!$C:$C,Q$1,Receitas!$M:$M,$B831)</f>
        <v>0</v>
      </c>
      <c r="R831" s="18" cm="1">
        <f t="array" ref="R831">(IF(AND(Membros!$F$2="Sim",A831&lt;=MAX(Membros!$E$2:$E$5)),Membros!K$2,IF(AND(A831&gt;=Membros!J$2,A831&lt;=MAX(Membros!$E$2:$E$5)),Membros!K$2,0))+IF(AND(Membros!$F$3="Sim",A831&lt;=MAX(Membros!$E$2:$E$5)),Membros!K$3,IF(AND(A831&gt;=Membros!J$3,A831&lt;=MAX(Membros!$E$2:$E$5)),Membros!K$3,0)))*IF(AND(COUNTIFS(Tabela3[Tipo],"Provedor",Tabela3[Simulação Seguro],"Sim")=2,A831&gt;=MAX(IF(Tabela3[Tipo]="Dependente",Tabela3[Expectativa de Vida (Data)]))),0,1)</f>
        <v>10000</v>
      </c>
      <c r="S831" s="18">
        <f t="shared" si="102"/>
        <v>10000</v>
      </c>
      <c r="U831" s="18">
        <f t="shared" ca="1" si="105"/>
        <v>71835739.750719637</v>
      </c>
      <c r="V831" s="18">
        <f>SUMIF(Imóveis!E:E,Dados!A:A,Imóveis!Z:Z)-SUMIF(Imóveis!E:E,Dados!A:A,Imóveis!Y:Y)</f>
        <v>0</v>
      </c>
      <c r="W831" s="18">
        <f>-SUMIF(Projetos!N:N,A831,Projetos!F:F)</f>
        <v>0</v>
      </c>
      <c r="X831" s="18">
        <f t="shared" si="99"/>
        <v>-28200</v>
      </c>
      <c r="Y831" s="26">
        <f ca="1">(U831*((Indicadores_Economicos!D$2+1)^(1/12)-1))</f>
        <v>235171.51900561881</v>
      </c>
      <c r="Z831" s="18">
        <f t="shared" ca="1" si="103"/>
        <v>72042711.269725248</v>
      </c>
      <c r="AA831" s="18">
        <f ca="1">Auxiliar_Projetos!E831</f>
        <v>5.8737502713314139E-9</v>
      </c>
      <c r="AB831" s="18">
        <f ca="1">Auxiliar_Projetos!K831</f>
        <v>4.5182694394856967E-9</v>
      </c>
      <c r="AC831" s="18">
        <f ca="1">IF(Z831-AA831-AB831&gt;Investimentos!$C$14,Investimentos!$C$14,IF(Z831-AA831-AB831&lt;Investimentos!$C$14,Z831-AA831-AB831,0))</f>
        <v>300000</v>
      </c>
      <c r="AD831" s="18">
        <f t="shared" ca="1" si="104"/>
        <v>71742711.269725248</v>
      </c>
      <c r="AE831" s="18"/>
    </row>
    <row r="832" spans="1:31" x14ac:dyDescent="0.2">
      <c r="A832" s="4">
        <v>70919</v>
      </c>
      <c r="B832" s="5" t="str">
        <f t="shared" si="100"/>
        <v>março</v>
      </c>
      <c r="C832" s="5" t="str">
        <f t="shared" si="106"/>
        <v>2094</v>
      </c>
      <c r="D832" s="5">
        <f>SUMIFS(Despesas!$F:$F,Despesas!$J:$J,"&lt;="&amp;$A832,Despesas!$L:$L,"&gt;="&amp;$A832,Despesas!$C:$C,D$1,Despesas!$M:$M,"Mensal")+SUMIFS(Despesas!$F:$F,Despesas!$J:$J,"&lt;="&amp;$A832,Despesas!$L:$L,"&gt;="&amp;$A832,Despesas!$C:$C,D$1,Despesas!$M:$M,$B832)</f>
        <v>23000</v>
      </c>
      <c r="E832" s="18">
        <f>SUMIFS(Despesas!$F:$F,Despesas!$J:$J,"&lt;="&amp;$A832,Despesas!$L:$L,"&gt;="&amp;$A832,Despesas!$C:$C,E$1,Despesas!$M:$M,"Mensal")+SUMIFS(Despesas!$F:$F,Despesas!$J:$J,"&lt;="&amp;$A832,Despesas!$L:$L,"&gt;="&amp;$A832,Despesas!$C:$C,E$1,Despesas!$M:$M,$B832)</f>
        <v>0</v>
      </c>
      <c r="F832" s="5">
        <f>SUMIFS(Despesas!$F:$F,Despesas!$J:$J,"&lt;="&amp;$A832,Despesas!$L:$L,"&gt;="&amp;$A832,Despesas!$C:$C,F$1,Despesas!$M:$M,"Mensal")+SUMIFS(Despesas!$F:$F,Despesas!$J:$J,"&lt;="&amp;$A832,Despesas!$L:$L,"&gt;="&amp;$A832,Despesas!$C:$C,F$1,Despesas!$M:$M,$B832)</f>
        <v>13000</v>
      </c>
      <c r="G832" s="5">
        <f>SUMIFS(Despesas!$F:$F,Despesas!$J:$J,"&lt;="&amp;$A832,Despesas!$L:$L,"&gt;="&amp;$A832,Despesas!$C:$C,G$1,Despesas!$M:$M,"Mensal")+SUMIFS(Despesas!$F:$F,Despesas!$J:$J,"&lt;="&amp;$A832,Despesas!$L:$L,"&gt;="&amp;$A832,Despesas!$C:$C,G$1,Despesas!$M:$M,$B832)</f>
        <v>0</v>
      </c>
      <c r="H832" s="18">
        <f>SUMIFS(Despesas!$F:$F,Despesas!$J:$J,"&lt;="&amp;$A832,Despesas!$L:$L,"&gt;="&amp;$A832,Despesas!$C:$C,H$1,Despesas!$M:$M,"Mensal")+SUMIFS(Despesas!$F:$F,Despesas!$J:$J,"&lt;="&amp;$A832,Despesas!$L:$L,"&gt;="&amp;$A832,Despesas!$C:$C,H$1,Despesas!$M:$M,$B832)</f>
        <v>1000</v>
      </c>
      <c r="I832" s="18">
        <f>IF(Imóveis!$F$2="PRICE",IF(AND(Dados!$A832&gt;=Imóveis!$Q$2,Dados!$A832&lt;=Imóveis!$T$2),Imóveis!$U$2,0),IF((IF(AND(Dados!$A832&gt;=Imóveis!$Q$2,Dados!$A832&lt;=Imóveis!$T$2),Imóveis!$S$2-(DATEDIF(Imóveis!$Q$2,Dados!$A832,"m")),0))=0,0,((Imóveis!$N$2/Imóveis!$S$2)+((Imóveis!$N$2-((Imóveis!$S$2-(IF(AND(Dados!$A832&gt;=Imóveis!$Q$2,Dados!$A832&lt;=Imóveis!$T$2),Imóveis!$S$2-(DATEDIF(Imóveis!$Q$2,Dados!$A832,"m")),)))*(Imóveis!$N$2/Imóveis!$S$2)))*Imóveis!$P$2))))*IF(AND(Imóveis!$E$2&gt;0,Dados!$A832&gt;Imóveis!$E$2),0,1)</f>
        <v>0</v>
      </c>
      <c r="J832" s="18">
        <f>IF(Imóveis!$F$3="PRICE",IF(AND(Dados!$A832&gt;=Imóveis!$Q$3,Dados!$A832&lt;=Imóveis!$T$3),Imóveis!$U$3,0),IF((IF(AND(Dados!$A832&gt;=Imóveis!$Q$3,Dados!$A832&lt;=Imóveis!$T$3),Imóveis!$S$3-(DATEDIF(Imóveis!$Q$3,Dados!$A832,"m")),0))=0,0,((Imóveis!$N$3/Imóveis!$S$3)+((Imóveis!$N$3-((Imóveis!$S$3-(IF(AND(Dados!$A832&gt;=Imóveis!$Q$3,Dados!$A832&lt;=Imóveis!$T$3),Imóveis!$S$3-(DATEDIF(Imóveis!$Q$3,Dados!$A832,"m")),)))*(Imóveis!$N$3/Imóveis!$S$3)))*Imóveis!$P$3))))*IF(AND(Imóveis!$E$3&gt;0,Dados!$A832&gt;Imóveis!$E$3),0,1)</f>
        <v>0</v>
      </c>
      <c r="K832" s="18">
        <f>IF(Imóveis!$F$4="PRICE",IF(AND(Dados!$A832&gt;=Imóveis!$Q$4,Dados!$A832&lt;=Imóveis!$T$4),Imóveis!$U$4,0),IF((IF(AND(Dados!$A832&gt;=Imóveis!$Q$4,Dados!$A832&lt;=Imóveis!$T$4),Imóveis!$S$4-(DATEDIF(Imóveis!$Q$4,Dados!$A832,"m")),0))=0,0,((Imóveis!$N$4/Imóveis!$S$4)+((Imóveis!$N$4-((Imóveis!$S$4-(IF(AND(Dados!$A832&gt;=Imóveis!$Q$4,Dados!$A832&lt;=Imóveis!$T$4),Imóveis!$S$4-(DATEDIF(Imóveis!$Q$4,Dados!$A832,"m")),)))*(Imóveis!$N$4/Imóveis!$S$4)))*Imóveis!$P$4))))*IF(AND(Imóveis!$E$4&gt;0,Dados!$A832&gt;Imóveis!$E$4),0,1)</f>
        <v>0</v>
      </c>
      <c r="L832" s="18">
        <f>IF(Imóveis!$F$5="PRICE",IF(AND(Dados!$A832&gt;=Imóveis!$Q$5,Dados!$A832&lt;=Imóveis!$T$5),Imóveis!$U$5,0),IF((IF(AND(Dados!$A832&gt;=Imóveis!$Q$5,Dados!$A832&lt;=Imóveis!$T$5),Imóveis!$S$5-(DATEDIF(Imóveis!$Q$5,Dados!$A832,"m")),0))=0,0,((Imóveis!$N$5/Imóveis!$S$5)+((Imóveis!$N$5-((Imóveis!$S$5-(IF(AND(Dados!$A832 &gt;=Imóveis!$Q$5,Dados!$A832&lt;=Imóveis!$T$5),Imóveis!$S$5-(DATEDIF(Imóveis!$Q$5,Dados!$A832,"m")),)))*(Imóveis!$N$5/Imóveis!$S$5)))*Imóveis!$P$5))))*IF(AND(Imóveis!$E$5&gt;0,Dados!$A832&gt;Imóveis!$E$5),0,1)*Imóveis!$I$5</f>
        <v>0</v>
      </c>
      <c r="M832" s="18">
        <f>IF(Imóveis!$F$6="PRICE",IF(AND(Dados!$A832&gt;=Imóveis!$Q$6,Dados!$A832&lt;=Imóveis!$T$6),Imóveis!$U$6,0),IF((IF(AND(Dados!$A832&gt;=Imóveis!$Q$6,Dados!$A832&lt;=Imóveis!$T$6),Imóveis!$S$6-(DATEDIF(Imóveis!$Q$6,Dados!$A832,"m")),0))=0,0,((Imóveis!$N$6/Imóveis!$S$6)+((Imóveis!$N$6-((Imóveis!$S$6-(IF(AND(Dados!$A832&gt;=Imóveis!$Q$6,Dados!$A832&lt;=Imóveis!$T$6),Imóveis!$S$6-(DATEDIF(Imóveis!$Q$6,Dados!$A832,"m")),)))*(Imóveis!$N$6/Imóveis!$S$6)))*Imóveis!$P$6))))*IF(AND(Imóveis!$E$6&gt;0,Dados!$A832&gt;Imóveis!$E$6),0,1)*Imóveis!$I$6</f>
        <v>0</v>
      </c>
      <c r="N832" s="18">
        <f t="shared" si="101"/>
        <v>37000</v>
      </c>
      <c r="O832" s="18">
        <f>SUMIFS(Receitas!$F:$F,Receitas!$J:$J,"&lt;="&amp;$A832,Receitas!$L:$L,"&gt;="&amp;$A832,Receitas!$C:$C,O$1,Receitas!$M:$M,"Mensal")+SUMIFS(Receitas!$F:$F,Receitas!$J:$J,"&lt;="&amp;$A832,Receitas!$L:$L,"&gt;="&amp;$A832,Receitas!$C:$C,O$1,Receitas!$M:$M,$B832)</f>
        <v>0</v>
      </c>
      <c r="P832" s="18">
        <f>SUMIFS(Receitas!$F:$F,Receitas!$J:$J,"&lt;="&amp;$A832,Receitas!$L:$L,"&gt;="&amp;$A832,Receitas!$C:$C,P$1,Receitas!$M:$M,"Mensal")+SUMIFS(Receitas!$F:$F,Receitas!$J:$J,"&lt;="&amp;$A832,Receitas!$L:$L,"&gt;="&amp;$A832,Receitas!$C:$C,P$1,Receitas!$M:$M,$B832)</f>
        <v>0</v>
      </c>
      <c r="Q832" s="18">
        <f>SUMIFS(Receitas!$F:$F,Receitas!$J:$J,"&lt;="&amp;$A832,Receitas!$L:$L,"&gt;="&amp;$A832,Receitas!$C:$C,Q$1,Receitas!$M:$M,"Mensal")+SUMIFS(Receitas!$F:$F,Receitas!$J:$J,"&lt;="&amp;$A832,Receitas!$L:$L,"&gt;="&amp;$A832,Receitas!$C:$C,Q$1,Receitas!$M:$M,$B832)</f>
        <v>0</v>
      </c>
      <c r="R832" s="18" cm="1">
        <f t="array" ref="R832">(IF(AND(Membros!$F$2="Sim",A832&lt;=MAX(Membros!$E$2:$E$5)),Membros!K$2,IF(AND(A832&gt;=Membros!J$2,A832&lt;=MAX(Membros!$E$2:$E$5)),Membros!K$2,0))+IF(AND(Membros!$F$3="Sim",A832&lt;=MAX(Membros!$E$2:$E$5)),Membros!K$3,IF(AND(A832&gt;=Membros!J$3,A832&lt;=MAX(Membros!$E$2:$E$5)),Membros!K$3,0)))*IF(AND(COUNTIFS(Tabela3[Tipo],"Provedor",Tabela3[Simulação Seguro],"Sim")=2,A832&gt;=MAX(IF(Tabela3[Tipo]="Dependente",Tabela3[Expectativa de Vida (Data)]))),0,1)</f>
        <v>10000</v>
      </c>
      <c r="S832" s="18">
        <f t="shared" si="102"/>
        <v>10000</v>
      </c>
      <c r="U832" s="18">
        <f t="shared" ca="1" si="105"/>
        <v>72042711.269725248</v>
      </c>
      <c r="V832" s="18">
        <f>SUMIF(Imóveis!E:E,Dados!A:A,Imóveis!Z:Z)-SUMIF(Imóveis!E:E,Dados!A:A,Imóveis!Y:Y)</f>
        <v>0</v>
      </c>
      <c r="W832" s="18">
        <f>-SUMIF(Projetos!N:N,A832,Projetos!F:F)</f>
        <v>0</v>
      </c>
      <c r="X832" s="18">
        <f t="shared" si="99"/>
        <v>-27000</v>
      </c>
      <c r="Y832" s="26">
        <f ca="1">(U832*((Indicadores_Economicos!D$2+1)^(1/12)-1))</f>
        <v>235849.08990116962</v>
      </c>
      <c r="Z832" s="18">
        <f t="shared" ca="1" si="103"/>
        <v>72251560.359626412</v>
      </c>
      <c r="AA832" s="18">
        <f ca="1">Auxiliar_Projetos!E832</f>
        <v>5.8929794012653732E-9</v>
      </c>
      <c r="AB832" s="18">
        <f ca="1">Auxiliar_Projetos!K832</f>
        <v>4.5330610778964349E-9</v>
      </c>
      <c r="AC832" s="18">
        <f ca="1">IF(Z832-AA832-AB832&gt;Investimentos!$C$14,Investimentos!$C$14,IF(Z832-AA832-AB832&lt;Investimentos!$C$14,Z832-AA832-AB832,0))</f>
        <v>300000</v>
      </c>
      <c r="AD832" s="18">
        <f t="shared" ca="1" si="104"/>
        <v>71951560.359626412</v>
      </c>
      <c r="AE832" s="18"/>
    </row>
    <row r="833" spans="1:33" x14ac:dyDescent="0.2">
      <c r="A833" s="4">
        <v>70950</v>
      </c>
      <c r="B833" s="5" t="str">
        <f t="shared" si="100"/>
        <v>abril</v>
      </c>
      <c r="C833" s="5" t="str">
        <f t="shared" si="106"/>
        <v>2094</v>
      </c>
      <c r="D833" s="5">
        <f>SUMIFS(Despesas!$F:$F,Despesas!$J:$J,"&lt;="&amp;$A833,Despesas!$L:$L,"&gt;="&amp;$A833,Despesas!$C:$C,D$1,Despesas!$M:$M,"Mensal")+SUMIFS(Despesas!$F:$F,Despesas!$J:$J,"&lt;="&amp;$A833,Despesas!$L:$L,"&gt;="&amp;$A833,Despesas!$C:$C,D$1,Despesas!$M:$M,$B833)</f>
        <v>23000</v>
      </c>
      <c r="E833" s="18">
        <f>SUMIFS(Despesas!$F:$F,Despesas!$J:$J,"&lt;="&amp;$A833,Despesas!$L:$L,"&gt;="&amp;$A833,Despesas!$C:$C,E$1,Despesas!$M:$M,"Mensal")+SUMIFS(Despesas!$F:$F,Despesas!$J:$J,"&lt;="&amp;$A833,Despesas!$L:$L,"&gt;="&amp;$A833,Despesas!$C:$C,E$1,Despesas!$M:$M,$B833)</f>
        <v>0</v>
      </c>
      <c r="F833" s="5">
        <f>SUMIFS(Despesas!$F:$F,Despesas!$J:$J,"&lt;="&amp;$A833,Despesas!$L:$L,"&gt;="&amp;$A833,Despesas!$C:$C,F$1,Despesas!$M:$M,"Mensal")+SUMIFS(Despesas!$F:$F,Despesas!$J:$J,"&lt;="&amp;$A833,Despesas!$L:$L,"&gt;="&amp;$A833,Despesas!$C:$C,F$1,Despesas!$M:$M,$B833)</f>
        <v>13000</v>
      </c>
      <c r="G833" s="5">
        <f>SUMIFS(Despesas!$F:$F,Despesas!$J:$J,"&lt;="&amp;$A833,Despesas!$L:$L,"&gt;="&amp;$A833,Despesas!$C:$C,G$1,Despesas!$M:$M,"Mensal")+SUMIFS(Despesas!$F:$F,Despesas!$J:$J,"&lt;="&amp;$A833,Despesas!$L:$L,"&gt;="&amp;$A833,Despesas!$C:$C,G$1,Despesas!$M:$M,$B833)</f>
        <v>0</v>
      </c>
      <c r="H833" s="18">
        <f>SUMIFS(Despesas!$F:$F,Despesas!$J:$J,"&lt;="&amp;$A833,Despesas!$L:$L,"&gt;="&amp;$A833,Despesas!$C:$C,H$1,Despesas!$M:$M,"Mensal")+SUMIFS(Despesas!$F:$F,Despesas!$J:$J,"&lt;="&amp;$A833,Despesas!$L:$L,"&gt;="&amp;$A833,Despesas!$C:$C,H$1,Despesas!$M:$M,$B833)</f>
        <v>1000</v>
      </c>
      <c r="I833" s="18">
        <f>IF(Imóveis!$F$2="PRICE",IF(AND(Dados!$A833&gt;=Imóveis!$Q$2,Dados!$A833&lt;=Imóveis!$T$2),Imóveis!$U$2,0),IF((IF(AND(Dados!$A833&gt;=Imóveis!$Q$2,Dados!$A833&lt;=Imóveis!$T$2),Imóveis!$S$2-(DATEDIF(Imóveis!$Q$2,Dados!$A833,"m")),0))=0,0,((Imóveis!$N$2/Imóveis!$S$2)+((Imóveis!$N$2-((Imóveis!$S$2-(IF(AND(Dados!$A833&gt;=Imóveis!$Q$2,Dados!$A833&lt;=Imóveis!$T$2),Imóveis!$S$2-(DATEDIF(Imóveis!$Q$2,Dados!$A833,"m")),)))*(Imóveis!$N$2/Imóveis!$S$2)))*Imóveis!$P$2))))*IF(AND(Imóveis!$E$2&gt;0,Dados!$A833&gt;Imóveis!$E$2),0,1)</f>
        <v>0</v>
      </c>
      <c r="J833" s="18">
        <f>IF(Imóveis!$F$3="PRICE",IF(AND(Dados!$A833&gt;=Imóveis!$Q$3,Dados!$A833&lt;=Imóveis!$T$3),Imóveis!$U$3,0),IF((IF(AND(Dados!$A833&gt;=Imóveis!$Q$3,Dados!$A833&lt;=Imóveis!$T$3),Imóveis!$S$3-(DATEDIF(Imóveis!$Q$3,Dados!$A833,"m")),0))=0,0,((Imóveis!$N$3/Imóveis!$S$3)+((Imóveis!$N$3-((Imóveis!$S$3-(IF(AND(Dados!$A833&gt;=Imóveis!$Q$3,Dados!$A833&lt;=Imóveis!$T$3),Imóveis!$S$3-(DATEDIF(Imóveis!$Q$3,Dados!$A833,"m")),)))*(Imóveis!$N$3/Imóveis!$S$3)))*Imóveis!$P$3))))*IF(AND(Imóveis!$E$3&gt;0,Dados!$A833&gt;Imóveis!$E$3),0,1)</f>
        <v>0</v>
      </c>
      <c r="K833" s="18">
        <f>IF(Imóveis!$F$4="PRICE",IF(AND(Dados!$A833&gt;=Imóveis!$Q$4,Dados!$A833&lt;=Imóveis!$T$4),Imóveis!$U$4,0),IF((IF(AND(Dados!$A833&gt;=Imóveis!$Q$4,Dados!$A833&lt;=Imóveis!$T$4),Imóveis!$S$4-(DATEDIF(Imóveis!$Q$4,Dados!$A833,"m")),0))=0,0,((Imóveis!$N$4/Imóveis!$S$4)+((Imóveis!$N$4-((Imóveis!$S$4-(IF(AND(Dados!$A833&gt;=Imóveis!$Q$4,Dados!$A833&lt;=Imóveis!$T$4),Imóveis!$S$4-(DATEDIF(Imóveis!$Q$4,Dados!$A833,"m")),)))*(Imóveis!$N$4/Imóveis!$S$4)))*Imóveis!$P$4))))*IF(AND(Imóveis!$E$4&gt;0,Dados!$A833&gt;Imóveis!$E$4),0,1)</f>
        <v>0</v>
      </c>
      <c r="L833" s="18">
        <f>IF(Imóveis!$F$5="PRICE",IF(AND(Dados!$A833&gt;=Imóveis!$Q$5,Dados!$A833&lt;=Imóveis!$T$5),Imóveis!$U$5,0),IF((IF(AND(Dados!$A833&gt;=Imóveis!$Q$5,Dados!$A833&lt;=Imóveis!$T$5),Imóveis!$S$5-(DATEDIF(Imóveis!$Q$5,Dados!$A833,"m")),0))=0,0,((Imóveis!$N$5/Imóveis!$S$5)+((Imóveis!$N$5-((Imóveis!$S$5-(IF(AND(Dados!$A833 &gt;=Imóveis!$Q$5,Dados!$A833&lt;=Imóveis!$T$5),Imóveis!$S$5-(DATEDIF(Imóveis!$Q$5,Dados!$A833,"m")),)))*(Imóveis!$N$5/Imóveis!$S$5)))*Imóveis!$P$5))))*IF(AND(Imóveis!$E$5&gt;0,Dados!$A833&gt;Imóveis!$E$5),0,1)*Imóveis!$I$5</f>
        <v>0</v>
      </c>
      <c r="M833" s="18">
        <f>IF(Imóveis!$F$6="PRICE",IF(AND(Dados!$A833&gt;=Imóveis!$Q$6,Dados!$A833&lt;=Imóveis!$T$6),Imóveis!$U$6,0),IF((IF(AND(Dados!$A833&gt;=Imóveis!$Q$6,Dados!$A833&lt;=Imóveis!$T$6),Imóveis!$S$6-(DATEDIF(Imóveis!$Q$6,Dados!$A833,"m")),0))=0,0,((Imóveis!$N$6/Imóveis!$S$6)+((Imóveis!$N$6-((Imóveis!$S$6-(IF(AND(Dados!$A833&gt;=Imóveis!$Q$6,Dados!$A833&lt;=Imóveis!$T$6),Imóveis!$S$6-(DATEDIF(Imóveis!$Q$6,Dados!$A833,"m")),)))*(Imóveis!$N$6/Imóveis!$S$6)))*Imóveis!$P$6))))*IF(AND(Imóveis!$E$6&gt;0,Dados!$A833&gt;Imóveis!$E$6),0,1)*Imóveis!$I$6</f>
        <v>0</v>
      </c>
      <c r="N833" s="18">
        <f t="shared" si="101"/>
        <v>37000</v>
      </c>
      <c r="O833" s="18">
        <f>SUMIFS(Receitas!$F:$F,Receitas!$J:$J,"&lt;="&amp;$A833,Receitas!$L:$L,"&gt;="&amp;$A833,Receitas!$C:$C,O$1,Receitas!$M:$M,"Mensal")+SUMIFS(Receitas!$F:$F,Receitas!$J:$J,"&lt;="&amp;$A833,Receitas!$L:$L,"&gt;="&amp;$A833,Receitas!$C:$C,O$1,Receitas!$M:$M,$B833)</f>
        <v>0</v>
      </c>
      <c r="P833" s="18">
        <f>SUMIFS(Receitas!$F:$F,Receitas!$J:$J,"&lt;="&amp;$A833,Receitas!$L:$L,"&gt;="&amp;$A833,Receitas!$C:$C,P$1,Receitas!$M:$M,"Mensal")+SUMIFS(Receitas!$F:$F,Receitas!$J:$J,"&lt;="&amp;$A833,Receitas!$L:$L,"&gt;="&amp;$A833,Receitas!$C:$C,P$1,Receitas!$M:$M,$B833)</f>
        <v>0</v>
      </c>
      <c r="Q833" s="18">
        <f>SUMIFS(Receitas!$F:$F,Receitas!$J:$J,"&lt;="&amp;$A833,Receitas!$L:$L,"&gt;="&amp;$A833,Receitas!$C:$C,Q$1,Receitas!$M:$M,"Mensal")+SUMIFS(Receitas!$F:$F,Receitas!$J:$J,"&lt;="&amp;$A833,Receitas!$L:$L,"&gt;="&amp;$A833,Receitas!$C:$C,Q$1,Receitas!$M:$M,$B833)</f>
        <v>0</v>
      </c>
      <c r="R833" s="18" cm="1">
        <f t="array" ref="R833">(IF(AND(Membros!$F$2="Sim",A833&lt;=MAX(Membros!$E$2:$E$5)),Membros!K$2,IF(AND(A833&gt;=Membros!J$2,A833&lt;=MAX(Membros!$E$2:$E$5)),Membros!K$2,0))+IF(AND(Membros!$F$3="Sim",A833&lt;=MAX(Membros!$E$2:$E$5)),Membros!K$3,IF(AND(A833&gt;=Membros!J$3,A833&lt;=MAX(Membros!$E$2:$E$5)),Membros!K$3,0)))*IF(AND(COUNTIFS(Tabela3[Tipo],"Provedor",Tabela3[Simulação Seguro],"Sim")=2,A833&gt;=MAX(IF(Tabela3[Tipo]="Dependente",Tabela3[Expectativa de Vida (Data)]))),0,1)</f>
        <v>10000</v>
      </c>
      <c r="S833" s="18">
        <f t="shared" si="102"/>
        <v>10000</v>
      </c>
      <c r="U833" s="18">
        <f t="shared" ca="1" si="105"/>
        <v>72251560.359626412</v>
      </c>
      <c r="V833" s="18">
        <f>SUMIF(Imóveis!E:E,Dados!A:A,Imóveis!Z:Z)-SUMIF(Imóveis!E:E,Dados!A:A,Imóveis!Y:Y)</f>
        <v>0</v>
      </c>
      <c r="W833" s="18">
        <f>-SUMIF(Projetos!N:N,A833,Projetos!F:F)</f>
        <v>0</v>
      </c>
      <c r="X833" s="18">
        <f t="shared" si="99"/>
        <v>-27000</v>
      </c>
      <c r="Y833" s="26">
        <f ca="1">(U833*((Indicadores_Economicos!D$2+1)^(1/12)-1))</f>
        <v>236532.8074752551</v>
      </c>
      <c r="Z833" s="18">
        <f t="shared" ca="1" si="103"/>
        <v>72461093.167101666</v>
      </c>
      <c r="AA833" s="18">
        <f ca="1">Auxiliar_Projetos!E833</f>
        <v>5.9122714823669743E-9</v>
      </c>
      <c r="AB833" s="18">
        <f ca="1">Auxiliar_Projetos!K833</f>
        <v>4.5479011402822817E-9</v>
      </c>
      <c r="AC833" s="18">
        <f ca="1">IF(Z833-AA833-AB833&gt;Investimentos!$C$14,Investimentos!$C$14,IF(Z833-AA833-AB833&lt;Investimentos!$C$14,Z833-AA833-AB833,0))</f>
        <v>300000</v>
      </c>
      <c r="AD833" s="18">
        <f t="shared" ca="1" si="104"/>
        <v>72161093.167101666</v>
      </c>
      <c r="AE833" s="18"/>
    </row>
    <row r="834" spans="1:33" x14ac:dyDescent="0.2">
      <c r="A834" s="4">
        <v>70980</v>
      </c>
      <c r="B834" s="5" t="str">
        <f t="shared" si="100"/>
        <v>maio</v>
      </c>
      <c r="C834" s="5" t="str">
        <f t="shared" si="106"/>
        <v>2094</v>
      </c>
      <c r="D834" s="5">
        <f>SUMIFS(Despesas!$F:$F,Despesas!$J:$J,"&lt;="&amp;$A834,Despesas!$L:$L,"&gt;="&amp;$A834,Despesas!$C:$C,D$1,Despesas!$M:$M,"Mensal")+SUMIFS(Despesas!$F:$F,Despesas!$J:$J,"&lt;="&amp;$A834,Despesas!$L:$L,"&gt;="&amp;$A834,Despesas!$C:$C,D$1,Despesas!$M:$M,$B834)</f>
        <v>23000</v>
      </c>
      <c r="E834" s="18">
        <f>SUMIFS(Despesas!$F:$F,Despesas!$J:$J,"&lt;="&amp;$A834,Despesas!$L:$L,"&gt;="&amp;$A834,Despesas!$C:$C,E$1,Despesas!$M:$M,"Mensal")+SUMIFS(Despesas!$F:$F,Despesas!$J:$J,"&lt;="&amp;$A834,Despesas!$L:$L,"&gt;="&amp;$A834,Despesas!$C:$C,E$1,Despesas!$M:$M,$B834)</f>
        <v>0</v>
      </c>
      <c r="F834" s="5">
        <f>SUMIFS(Despesas!$F:$F,Despesas!$J:$J,"&lt;="&amp;$A834,Despesas!$L:$L,"&gt;="&amp;$A834,Despesas!$C:$C,F$1,Despesas!$M:$M,"Mensal")+SUMIFS(Despesas!$F:$F,Despesas!$J:$J,"&lt;="&amp;$A834,Despesas!$L:$L,"&gt;="&amp;$A834,Despesas!$C:$C,F$1,Despesas!$M:$M,$B834)</f>
        <v>13000</v>
      </c>
      <c r="G834" s="5">
        <f>SUMIFS(Despesas!$F:$F,Despesas!$J:$J,"&lt;="&amp;$A834,Despesas!$L:$L,"&gt;="&amp;$A834,Despesas!$C:$C,G$1,Despesas!$M:$M,"Mensal")+SUMIFS(Despesas!$F:$F,Despesas!$J:$J,"&lt;="&amp;$A834,Despesas!$L:$L,"&gt;="&amp;$A834,Despesas!$C:$C,G$1,Despesas!$M:$M,$B834)</f>
        <v>0</v>
      </c>
      <c r="H834" s="18">
        <f>SUMIFS(Despesas!$F:$F,Despesas!$J:$J,"&lt;="&amp;$A834,Despesas!$L:$L,"&gt;="&amp;$A834,Despesas!$C:$C,H$1,Despesas!$M:$M,"Mensal")+SUMIFS(Despesas!$F:$F,Despesas!$J:$J,"&lt;="&amp;$A834,Despesas!$L:$L,"&gt;="&amp;$A834,Despesas!$C:$C,H$1,Despesas!$M:$M,$B834)</f>
        <v>1000</v>
      </c>
      <c r="I834" s="18">
        <f>IF(Imóveis!$F$2="PRICE",IF(AND(Dados!$A834&gt;=Imóveis!$Q$2,Dados!$A834&lt;=Imóveis!$T$2),Imóveis!$U$2,0),IF((IF(AND(Dados!$A834&gt;=Imóveis!$Q$2,Dados!$A834&lt;=Imóveis!$T$2),Imóveis!$S$2-(DATEDIF(Imóveis!$Q$2,Dados!$A834,"m")),0))=0,0,((Imóveis!$N$2/Imóveis!$S$2)+((Imóveis!$N$2-((Imóveis!$S$2-(IF(AND(Dados!$A834&gt;=Imóveis!$Q$2,Dados!$A834&lt;=Imóveis!$T$2),Imóveis!$S$2-(DATEDIF(Imóveis!$Q$2,Dados!$A834,"m")),)))*(Imóveis!$N$2/Imóveis!$S$2)))*Imóveis!$P$2))))*IF(AND(Imóveis!$E$2&gt;0,Dados!$A834&gt;Imóveis!$E$2),0,1)</f>
        <v>0</v>
      </c>
      <c r="J834" s="18">
        <f>IF(Imóveis!$F$3="PRICE",IF(AND(Dados!$A834&gt;=Imóveis!$Q$3,Dados!$A834&lt;=Imóveis!$T$3),Imóveis!$U$3,0),IF((IF(AND(Dados!$A834&gt;=Imóveis!$Q$3,Dados!$A834&lt;=Imóveis!$T$3),Imóveis!$S$3-(DATEDIF(Imóveis!$Q$3,Dados!$A834,"m")),0))=0,0,((Imóveis!$N$3/Imóveis!$S$3)+((Imóveis!$N$3-((Imóveis!$S$3-(IF(AND(Dados!$A834&gt;=Imóveis!$Q$3,Dados!$A834&lt;=Imóveis!$T$3),Imóveis!$S$3-(DATEDIF(Imóveis!$Q$3,Dados!$A834,"m")),)))*(Imóveis!$N$3/Imóveis!$S$3)))*Imóveis!$P$3))))*IF(AND(Imóveis!$E$3&gt;0,Dados!$A834&gt;Imóveis!$E$3),0,1)</f>
        <v>0</v>
      </c>
      <c r="K834" s="18">
        <f>IF(Imóveis!$F$4="PRICE",IF(AND(Dados!$A834&gt;=Imóveis!$Q$4,Dados!$A834&lt;=Imóveis!$T$4),Imóveis!$U$4,0),IF((IF(AND(Dados!$A834&gt;=Imóveis!$Q$4,Dados!$A834&lt;=Imóveis!$T$4),Imóveis!$S$4-(DATEDIF(Imóveis!$Q$4,Dados!$A834,"m")),0))=0,0,((Imóveis!$N$4/Imóveis!$S$4)+((Imóveis!$N$4-((Imóveis!$S$4-(IF(AND(Dados!$A834&gt;=Imóveis!$Q$4,Dados!$A834&lt;=Imóveis!$T$4),Imóveis!$S$4-(DATEDIF(Imóveis!$Q$4,Dados!$A834,"m")),)))*(Imóveis!$N$4/Imóveis!$S$4)))*Imóveis!$P$4))))*IF(AND(Imóveis!$E$4&gt;0,Dados!$A834&gt;Imóveis!$E$4),0,1)</f>
        <v>0</v>
      </c>
      <c r="L834" s="18">
        <f>IF(Imóveis!$F$5="PRICE",IF(AND(Dados!$A834&gt;=Imóveis!$Q$5,Dados!$A834&lt;=Imóveis!$T$5),Imóveis!$U$5,0),IF((IF(AND(Dados!$A834&gt;=Imóveis!$Q$5,Dados!$A834&lt;=Imóveis!$T$5),Imóveis!$S$5-(DATEDIF(Imóveis!$Q$5,Dados!$A834,"m")),0))=0,0,((Imóveis!$N$5/Imóveis!$S$5)+((Imóveis!$N$5-((Imóveis!$S$5-(IF(AND(Dados!$A834 &gt;=Imóveis!$Q$5,Dados!$A834&lt;=Imóveis!$T$5),Imóveis!$S$5-(DATEDIF(Imóveis!$Q$5,Dados!$A834,"m")),)))*(Imóveis!$N$5/Imóveis!$S$5)))*Imóveis!$P$5))))*IF(AND(Imóveis!$E$5&gt;0,Dados!$A834&gt;Imóveis!$E$5),0,1)*Imóveis!$I$5</f>
        <v>0</v>
      </c>
      <c r="M834" s="18">
        <f>IF(Imóveis!$F$6="PRICE",IF(AND(Dados!$A834&gt;=Imóveis!$Q$6,Dados!$A834&lt;=Imóveis!$T$6),Imóveis!$U$6,0),IF((IF(AND(Dados!$A834&gt;=Imóveis!$Q$6,Dados!$A834&lt;=Imóveis!$T$6),Imóveis!$S$6-(DATEDIF(Imóveis!$Q$6,Dados!$A834,"m")),0))=0,0,((Imóveis!$N$6/Imóveis!$S$6)+((Imóveis!$N$6-((Imóveis!$S$6-(IF(AND(Dados!$A834&gt;=Imóveis!$Q$6,Dados!$A834&lt;=Imóveis!$T$6),Imóveis!$S$6-(DATEDIF(Imóveis!$Q$6,Dados!$A834,"m")),)))*(Imóveis!$N$6/Imóveis!$S$6)))*Imóveis!$P$6))))*IF(AND(Imóveis!$E$6&gt;0,Dados!$A834&gt;Imóveis!$E$6),0,1)*Imóveis!$I$6</f>
        <v>0</v>
      </c>
      <c r="N834" s="18">
        <f t="shared" si="101"/>
        <v>37000</v>
      </c>
      <c r="O834" s="18">
        <f>SUMIFS(Receitas!$F:$F,Receitas!$J:$J,"&lt;="&amp;$A834,Receitas!$L:$L,"&gt;="&amp;$A834,Receitas!$C:$C,O$1,Receitas!$M:$M,"Mensal")+SUMIFS(Receitas!$F:$F,Receitas!$J:$J,"&lt;="&amp;$A834,Receitas!$L:$L,"&gt;="&amp;$A834,Receitas!$C:$C,O$1,Receitas!$M:$M,$B834)</f>
        <v>0</v>
      </c>
      <c r="P834" s="18">
        <f>SUMIFS(Receitas!$F:$F,Receitas!$J:$J,"&lt;="&amp;$A834,Receitas!$L:$L,"&gt;="&amp;$A834,Receitas!$C:$C,P$1,Receitas!$M:$M,"Mensal")+SUMIFS(Receitas!$F:$F,Receitas!$J:$J,"&lt;="&amp;$A834,Receitas!$L:$L,"&gt;="&amp;$A834,Receitas!$C:$C,P$1,Receitas!$M:$M,$B834)</f>
        <v>0</v>
      </c>
      <c r="Q834" s="18">
        <f>SUMIFS(Receitas!$F:$F,Receitas!$J:$J,"&lt;="&amp;$A834,Receitas!$L:$L,"&gt;="&amp;$A834,Receitas!$C:$C,Q$1,Receitas!$M:$M,"Mensal")+SUMIFS(Receitas!$F:$F,Receitas!$J:$J,"&lt;="&amp;$A834,Receitas!$L:$L,"&gt;="&amp;$A834,Receitas!$C:$C,Q$1,Receitas!$M:$M,$B834)</f>
        <v>0</v>
      </c>
      <c r="R834" s="18" cm="1">
        <f t="array" ref="R834">(IF(AND(Membros!$F$2="Sim",A834&lt;=MAX(Membros!$E$2:$E$5)),Membros!K$2,IF(AND(A834&gt;=Membros!J$2,A834&lt;=MAX(Membros!$E$2:$E$5)),Membros!K$2,0))+IF(AND(Membros!$F$3="Sim",A834&lt;=MAX(Membros!$E$2:$E$5)),Membros!K$3,IF(AND(A834&gt;=Membros!J$3,A834&lt;=MAX(Membros!$E$2:$E$5)),Membros!K$3,0)))*IF(AND(COUNTIFS(Tabela3[Tipo],"Provedor",Tabela3[Simulação Seguro],"Sim")=2,A834&gt;=MAX(IF(Tabela3[Tipo]="Dependente",Tabela3[Expectativa de Vida (Data)]))),0,1)</f>
        <v>10000</v>
      </c>
      <c r="S834" s="18">
        <f t="shared" si="102"/>
        <v>10000</v>
      </c>
      <c r="U834" s="18">
        <f t="shared" ca="1" si="105"/>
        <v>72461093.167101666</v>
      </c>
      <c r="V834" s="18">
        <f>SUMIF(Imóveis!E:E,Dados!A:A,Imóveis!Z:Z)-SUMIF(Imóveis!E:E,Dados!A:A,Imóveis!Y:Y)</f>
        <v>0</v>
      </c>
      <c r="W834" s="18">
        <f>-SUMIF(Projetos!N:N,A834,Projetos!F:F)</f>
        <v>0</v>
      </c>
      <c r="X834" s="18">
        <f t="shared" ref="X834:X897" si="107">(S834-N834)</f>
        <v>-27000</v>
      </c>
      <c r="Y834" s="26">
        <f ca="1">(U834*((Indicadores_Economicos!D$2+1)^(1/12)-1))</f>
        <v>237218.76336276266</v>
      </c>
      <c r="Z834" s="18">
        <f t="shared" ca="1" si="103"/>
        <v>72671311.930464432</v>
      </c>
      <c r="AA834" s="18">
        <f ca="1">Auxiliar_Projetos!E834</f>
        <v>5.9316267207219595E-9</v>
      </c>
      <c r="AB834" s="18">
        <f ca="1">Auxiliar_Projetos!K834</f>
        <v>4.5627897851707312E-9</v>
      </c>
      <c r="AC834" s="18">
        <f ca="1">IF(Z834-AA834-AB834&gt;Investimentos!$C$14,Investimentos!$C$14,IF(Z834-AA834-AB834&lt;Investimentos!$C$14,Z834-AA834-AB834,0))</f>
        <v>300000</v>
      </c>
      <c r="AD834" s="18">
        <f t="shared" ca="1" si="104"/>
        <v>72371311.930464432</v>
      </c>
      <c r="AE834" s="18"/>
    </row>
    <row r="835" spans="1:33" x14ac:dyDescent="0.2">
      <c r="A835" s="4">
        <v>71011</v>
      </c>
      <c r="B835" s="5" t="str">
        <f t="shared" ref="B835:B898" si="108">TEXT(A835,"MMMM")</f>
        <v>junho</v>
      </c>
      <c r="C835" s="5" t="str">
        <f t="shared" si="106"/>
        <v>2094</v>
      </c>
      <c r="D835" s="5">
        <f>SUMIFS(Despesas!$F:$F,Despesas!$J:$J,"&lt;="&amp;$A835,Despesas!$L:$L,"&gt;="&amp;$A835,Despesas!$C:$C,D$1,Despesas!$M:$M,"Mensal")+SUMIFS(Despesas!$F:$F,Despesas!$J:$J,"&lt;="&amp;$A835,Despesas!$L:$L,"&gt;="&amp;$A835,Despesas!$C:$C,D$1,Despesas!$M:$M,$B835)</f>
        <v>23000</v>
      </c>
      <c r="E835" s="18">
        <f>SUMIFS(Despesas!$F:$F,Despesas!$J:$J,"&lt;="&amp;$A835,Despesas!$L:$L,"&gt;="&amp;$A835,Despesas!$C:$C,E$1,Despesas!$M:$M,"Mensal")+SUMIFS(Despesas!$F:$F,Despesas!$J:$J,"&lt;="&amp;$A835,Despesas!$L:$L,"&gt;="&amp;$A835,Despesas!$C:$C,E$1,Despesas!$M:$M,$B835)</f>
        <v>0</v>
      </c>
      <c r="F835" s="5">
        <f>SUMIFS(Despesas!$F:$F,Despesas!$J:$J,"&lt;="&amp;$A835,Despesas!$L:$L,"&gt;="&amp;$A835,Despesas!$C:$C,F$1,Despesas!$M:$M,"Mensal")+SUMIFS(Despesas!$F:$F,Despesas!$J:$J,"&lt;="&amp;$A835,Despesas!$L:$L,"&gt;="&amp;$A835,Despesas!$C:$C,F$1,Despesas!$M:$M,$B835)</f>
        <v>13000</v>
      </c>
      <c r="G835" s="5">
        <f>SUMIFS(Despesas!$F:$F,Despesas!$J:$J,"&lt;="&amp;$A835,Despesas!$L:$L,"&gt;="&amp;$A835,Despesas!$C:$C,G$1,Despesas!$M:$M,"Mensal")+SUMIFS(Despesas!$F:$F,Despesas!$J:$J,"&lt;="&amp;$A835,Despesas!$L:$L,"&gt;="&amp;$A835,Despesas!$C:$C,G$1,Despesas!$M:$M,$B835)</f>
        <v>0</v>
      </c>
      <c r="H835" s="18">
        <f>SUMIFS(Despesas!$F:$F,Despesas!$J:$J,"&lt;="&amp;$A835,Despesas!$L:$L,"&gt;="&amp;$A835,Despesas!$C:$C,H$1,Despesas!$M:$M,"Mensal")+SUMIFS(Despesas!$F:$F,Despesas!$J:$J,"&lt;="&amp;$A835,Despesas!$L:$L,"&gt;="&amp;$A835,Despesas!$C:$C,H$1,Despesas!$M:$M,$B835)</f>
        <v>1000</v>
      </c>
      <c r="I835" s="18">
        <f>IF(Imóveis!$F$2="PRICE",IF(AND(Dados!$A835&gt;=Imóveis!$Q$2,Dados!$A835&lt;=Imóveis!$T$2),Imóveis!$U$2,0),IF((IF(AND(Dados!$A835&gt;=Imóveis!$Q$2,Dados!$A835&lt;=Imóveis!$T$2),Imóveis!$S$2-(DATEDIF(Imóveis!$Q$2,Dados!$A835,"m")),0))=0,0,((Imóveis!$N$2/Imóveis!$S$2)+((Imóveis!$N$2-((Imóveis!$S$2-(IF(AND(Dados!$A835&gt;=Imóveis!$Q$2,Dados!$A835&lt;=Imóveis!$T$2),Imóveis!$S$2-(DATEDIF(Imóveis!$Q$2,Dados!$A835,"m")),)))*(Imóveis!$N$2/Imóveis!$S$2)))*Imóveis!$P$2))))*IF(AND(Imóveis!$E$2&gt;0,Dados!$A835&gt;Imóveis!$E$2),0,1)</f>
        <v>0</v>
      </c>
      <c r="J835" s="18">
        <f>IF(Imóveis!$F$3="PRICE",IF(AND(Dados!$A835&gt;=Imóveis!$Q$3,Dados!$A835&lt;=Imóveis!$T$3),Imóveis!$U$3,0),IF((IF(AND(Dados!$A835&gt;=Imóveis!$Q$3,Dados!$A835&lt;=Imóveis!$T$3),Imóveis!$S$3-(DATEDIF(Imóveis!$Q$3,Dados!$A835,"m")),0))=0,0,((Imóveis!$N$3/Imóveis!$S$3)+((Imóveis!$N$3-((Imóveis!$S$3-(IF(AND(Dados!$A835&gt;=Imóveis!$Q$3,Dados!$A835&lt;=Imóveis!$T$3),Imóveis!$S$3-(DATEDIF(Imóveis!$Q$3,Dados!$A835,"m")),)))*(Imóveis!$N$3/Imóveis!$S$3)))*Imóveis!$P$3))))*IF(AND(Imóveis!$E$3&gt;0,Dados!$A835&gt;Imóveis!$E$3),0,1)</f>
        <v>0</v>
      </c>
      <c r="K835" s="18">
        <f>IF(Imóveis!$F$4="PRICE",IF(AND(Dados!$A835&gt;=Imóveis!$Q$4,Dados!$A835&lt;=Imóveis!$T$4),Imóveis!$U$4,0),IF((IF(AND(Dados!$A835&gt;=Imóveis!$Q$4,Dados!$A835&lt;=Imóveis!$T$4),Imóveis!$S$4-(DATEDIF(Imóveis!$Q$4,Dados!$A835,"m")),0))=0,0,((Imóveis!$N$4/Imóveis!$S$4)+((Imóveis!$N$4-((Imóveis!$S$4-(IF(AND(Dados!$A835&gt;=Imóveis!$Q$4,Dados!$A835&lt;=Imóveis!$T$4),Imóveis!$S$4-(DATEDIF(Imóveis!$Q$4,Dados!$A835,"m")),)))*(Imóveis!$N$4/Imóveis!$S$4)))*Imóveis!$P$4))))*IF(AND(Imóveis!$E$4&gt;0,Dados!$A835&gt;Imóveis!$E$4),0,1)</f>
        <v>0</v>
      </c>
      <c r="L835" s="18">
        <f>IF(Imóveis!$F$5="PRICE",IF(AND(Dados!$A835&gt;=Imóveis!$Q$5,Dados!$A835&lt;=Imóveis!$T$5),Imóveis!$U$5,0),IF((IF(AND(Dados!$A835&gt;=Imóveis!$Q$5,Dados!$A835&lt;=Imóveis!$T$5),Imóveis!$S$5-(DATEDIF(Imóveis!$Q$5,Dados!$A835,"m")),0))=0,0,((Imóveis!$N$5/Imóveis!$S$5)+((Imóveis!$N$5-((Imóveis!$S$5-(IF(AND(Dados!$A835 &gt;=Imóveis!$Q$5,Dados!$A835&lt;=Imóveis!$T$5),Imóveis!$S$5-(DATEDIF(Imóveis!$Q$5,Dados!$A835,"m")),)))*(Imóveis!$N$5/Imóveis!$S$5)))*Imóveis!$P$5))))*IF(AND(Imóveis!$E$5&gt;0,Dados!$A835&gt;Imóveis!$E$5),0,1)*Imóveis!$I$5</f>
        <v>0</v>
      </c>
      <c r="M835" s="18">
        <f>IF(Imóveis!$F$6="PRICE",IF(AND(Dados!$A835&gt;=Imóveis!$Q$6,Dados!$A835&lt;=Imóveis!$T$6),Imóveis!$U$6,0),IF((IF(AND(Dados!$A835&gt;=Imóveis!$Q$6,Dados!$A835&lt;=Imóveis!$T$6),Imóveis!$S$6-(DATEDIF(Imóveis!$Q$6,Dados!$A835,"m")),0))=0,0,((Imóveis!$N$6/Imóveis!$S$6)+((Imóveis!$N$6-((Imóveis!$S$6-(IF(AND(Dados!$A835&gt;=Imóveis!$Q$6,Dados!$A835&lt;=Imóveis!$T$6),Imóveis!$S$6-(DATEDIF(Imóveis!$Q$6,Dados!$A835,"m")),)))*(Imóveis!$N$6/Imóveis!$S$6)))*Imóveis!$P$6))))*IF(AND(Imóveis!$E$6&gt;0,Dados!$A835&gt;Imóveis!$E$6),0,1)*Imóveis!$I$6</f>
        <v>0</v>
      </c>
      <c r="N835" s="18">
        <f t="shared" ref="N835:N898" si="109">SUM(D835:M835)</f>
        <v>37000</v>
      </c>
      <c r="O835" s="18">
        <f>SUMIFS(Receitas!$F:$F,Receitas!$J:$J,"&lt;="&amp;$A835,Receitas!$L:$L,"&gt;="&amp;$A835,Receitas!$C:$C,O$1,Receitas!$M:$M,"Mensal")+SUMIFS(Receitas!$F:$F,Receitas!$J:$J,"&lt;="&amp;$A835,Receitas!$L:$L,"&gt;="&amp;$A835,Receitas!$C:$C,O$1,Receitas!$M:$M,$B835)</f>
        <v>0</v>
      </c>
      <c r="P835" s="18">
        <f>SUMIFS(Receitas!$F:$F,Receitas!$J:$J,"&lt;="&amp;$A835,Receitas!$L:$L,"&gt;="&amp;$A835,Receitas!$C:$C,P$1,Receitas!$M:$M,"Mensal")+SUMIFS(Receitas!$F:$F,Receitas!$J:$J,"&lt;="&amp;$A835,Receitas!$L:$L,"&gt;="&amp;$A835,Receitas!$C:$C,P$1,Receitas!$M:$M,$B835)</f>
        <v>0</v>
      </c>
      <c r="Q835" s="18">
        <f>SUMIFS(Receitas!$F:$F,Receitas!$J:$J,"&lt;="&amp;$A835,Receitas!$L:$L,"&gt;="&amp;$A835,Receitas!$C:$C,Q$1,Receitas!$M:$M,"Mensal")+SUMIFS(Receitas!$F:$F,Receitas!$J:$J,"&lt;="&amp;$A835,Receitas!$L:$L,"&gt;="&amp;$A835,Receitas!$C:$C,Q$1,Receitas!$M:$M,$B835)</f>
        <v>0</v>
      </c>
      <c r="R835" s="18" cm="1">
        <f t="array" ref="R835">(IF(AND(Membros!$F$2="Sim",A835&lt;=MAX(Membros!$E$2:$E$5)),Membros!K$2,IF(AND(A835&gt;=Membros!J$2,A835&lt;=MAX(Membros!$E$2:$E$5)),Membros!K$2,0))+IF(AND(Membros!$F$3="Sim",A835&lt;=MAX(Membros!$E$2:$E$5)),Membros!K$3,IF(AND(A835&gt;=Membros!J$3,A835&lt;=MAX(Membros!$E$2:$E$5)),Membros!K$3,0)))*IF(AND(COUNTIFS(Tabela3[Tipo],"Provedor",Tabela3[Simulação Seguro],"Sim")=2,A835&gt;=MAX(IF(Tabela3[Tipo]="Dependente",Tabela3[Expectativa de Vida (Data)]))),0,1)</f>
        <v>10000</v>
      </c>
      <c r="S835" s="18">
        <f t="shared" ref="S835:S898" si="110">O835+P835+Q835+R835</f>
        <v>10000</v>
      </c>
      <c r="U835" s="18">
        <f t="shared" ca="1" si="105"/>
        <v>72671311.930464432</v>
      </c>
      <c r="V835" s="18">
        <f>SUMIF(Imóveis!E:E,Dados!A:A,Imóveis!Z:Z)-SUMIF(Imóveis!E:E,Dados!A:A,Imóveis!Y:Y)</f>
        <v>0</v>
      </c>
      <c r="W835" s="18">
        <f>-SUMIF(Projetos!N:N,A835,Projetos!F:F)</f>
        <v>0</v>
      </c>
      <c r="X835" s="18">
        <f t="shared" si="107"/>
        <v>-27000</v>
      </c>
      <c r="Y835" s="26">
        <f ca="1">(U835*((Indicadores_Economicos!D$2+1)^(1/12)-1))</f>
        <v>237906.96489134801</v>
      </c>
      <c r="Z835" s="18">
        <f t="shared" ref="Z835:Z898" ca="1" si="111">U835+V835+W835+X835+Y835</f>
        <v>72882218.895355776</v>
      </c>
      <c r="AA835" s="18">
        <f ca="1">Auxiliar_Projetos!E835</f>
        <v>5.9510453230907412E-9</v>
      </c>
      <c r="AB835" s="18">
        <f ca="1">Auxiliar_Projetos!K835</f>
        <v>4.5777271716082551E-9</v>
      </c>
      <c r="AC835" s="18">
        <f ca="1">IF(Z835-AA835-AB835&gt;Investimentos!$C$14,Investimentos!$C$14,IF(Z835-AA835-AB835&lt;Investimentos!$C$14,Z835-AA835-AB835,0))</f>
        <v>300000</v>
      </c>
      <c r="AD835" s="18">
        <f t="shared" ref="AD835:AD898" ca="1" si="112">Z835-AA835-AB835-AC835</f>
        <v>72582218.895355776</v>
      </c>
      <c r="AE835" s="18"/>
    </row>
    <row r="836" spans="1:33" x14ac:dyDescent="0.2">
      <c r="A836" s="4">
        <v>71041</v>
      </c>
      <c r="B836" s="5" t="str">
        <f t="shared" si="108"/>
        <v>julho</v>
      </c>
      <c r="C836" s="5" t="str">
        <f t="shared" si="106"/>
        <v>2094</v>
      </c>
      <c r="D836" s="5">
        <f>SUMIFS(Despesas!$F:$F,Despesas!$J:$J,"&lt;="&amp;$A836,Despesas!$L:$L,"&gt;="&amp;$A836,Despesas!$C:$C,D$1,Despesas!$M:$M,"Mensal")+SUMIFS(Despesas!$F:$F,Despesas!$J:$J,"&lt;="&amp;$A836,Despesas!$L:$L,"&gt;="&amp;$A836,Despesas!$C:$C,D$1,Despesas!$M:$M,$B836)</f>
        <v>23000</v>
      </c>
      <c r="E836" s="18">
        <f>SUMIFS(Despesas!$F:$F,Despesas!$J:$J,"&lt;="&amp;$A836,Despesas!$L:$L,"&gt;="&amp;$A836,Despesas!$C:$C,E$1,Despesas!$M:$M,"Mensal")+SUMIFS(Despesas!$F:$F,Despesas!$J:$J,"&lt;="&amp;$A836,Despesas!$L:$L,"&gt;="&amp;$A836,Despesas!$C:$C,E$1,Despesas!$M:$M,$B836)</f>
        <v>0</v>
      </c>
      <c r="F836" s="5">
        <f>SUMIFS(Despesas!$F:$F,Despesas!$J:$J,"&lt;="&amp;$A836,Despesas!$L:$L,"&gt;="&amp;$A836,Despesas!$C:$C,F$1,Despesas!$M:$M,"Mensal")+SUMIFS(Despesas!$F:$F,Despesas!$J:$J,"&lt;="&amp;$A836,Despesas!$L:$L,"&gt;="&amp;$A836,Despesas!$C:$C,F$1,Despesas!$M:$M,$B836)</f>
        <v>13000</v>
      </c>
      <c r="G836" s="5">
        <f ca="1">SUMIFS(Despesas!$F:$F,Despesas!$J:$J,"&lt;="&amp;$A836,Despesas!$L:$L,"&gt;="&amp;$A836,Despesas!$C:$C,G$1,Despesas!$M:$M,"Mensal")+SUMIFS(Despesas!$F:$F,Despesas!$J:$J,"&lt;="&amp;$A836,Despesas!$L:$L,"&gt;="&amp;$A836,Despesas!$C:$C,G$1,Despesas!$M:$M,$B836)</f>
        <v>55757</v>
      </c>
      <c r="H836" s="18">
        <f>SUMIFS(Despesas!$F:$F,Despesas!$J:$J,"&lt;="&amp;$A836,Despesas!$L:$L,"&gt;="&amp;$A836,Despesas!$C:$C,H$1,Despesas!$M:$M,"Mensal")+SUMIFS(Despesas!$F:$F,Despesas!$J:$J,"&lt;="&amp;$A836,Despesas!$L:$L,"&gt;="&amp;$A836,Despesas!$C:$C,H$1,Despesas!$M:$M,$B836)</f>
        <v>1000</v>
      </c>
      <c r="I836" s="18">
        <f>IF(Imóveis!$F$2="PRICE",IF(AND(Dados!$A836&gt;=Imóveis!$Q$2,Dados!$A836&lt;=Imóveis!$T$2),Imóveis!$U$2,0),IF((IF(AND(Dados!$A836&gt;=Imóveis!$Q$2,Dados!$A836&lt;=Imóveis!$T$2),Imóveis!$S$2-(DATEDIF(Imóveis!$Q$2,Dados!$A836,"m")),0))=0,0,((Imóveis!$N$2/Imóveis!$S$2)+((Imóveis!$N$2-((Imóveis!$S$2-(IF(AND(Dados!$A836&gt;=Imóveis!$Q$2,Dados!$A836&lt;=Imóveis!$T$2),Imóveis!$S$2-(DATEDIF(Imóveis!$Q$2,Dados!$A836,"m")),)))*(Imóveis!$N$2/Imóveis!$S$2)))*Imóveis!$P$2))))*IF(AND(Imóveis!$E$2&gt;0,Dados!$A836&gt;Imóveis!$E$2),0,1)</f>
        <v>0</v>
      </c>
      <c r="J836" s="18">
        <f>IF(Imóveis!$F$3="PRICE",IF(AND(Dados!$A836&gt;=Imóveis!$Q$3,Dados!$A836&lt;=Imóveis!$T$3),Imóveis!$U$3,0),IF((IF(AND(Dados!$A836&gt;=Imóveis!$Q$3,Dados!$A836&lt;=Imóveis!$T$3),Imóveis!$S$3-(DATEDIF(Imóveis!$Q$3,Dados!$A836,"m")),0))=0,0,((Imóveis!$N$3/Imóveis!$S$3)+((Imóveis!$N$3-((Imóveis!$S$3-(IF(AND(Dados!$A836&gt;=Imóveis!$Q$3,Dados!$A836&lt;=Imóveis!$T$3),Imóveis!$S$3-(DATEDIF(Imóveis!$Q$3,Dados!$A836,"m")),)))*(Imóveis!$N$3/Imóveis!$S$3)))*Imóveis!$P$3))))*IF(AND(Imóveis!$E$3&gt;0,Dados!$A836&gt;Imóveis!$E$3),0,1)</f>
        <v>0</v>
      </c>
      <c r="K836" s="18">
        <f>IF(Imóveis!$F$4="PRICE",IF(AND(Dados!$A836&gt;=Imóveis!$Q$4,Dados!$A836&lt;=Imóveis!$T$4),Imóveis!$U$4,0),IF((IF(AND(Dados!$A836&gt;=Imóveis!$Q$4,Dados!$A836&lt;=Imóveis!$T$4),Imóveis!$S$4-(DATEDIF(Imóveis!$Q$4,Dados!$A836,"m")),0))=0,0,((Imóveis!$N$4/Imóveis!$S$4)+((Imóveis!$N$4-((Imóveis!$S$4-(IF(AND(Dados!$A836&gt;=Imóveis!$Q$4,Dados!$A836&lt;=Imóveis!$T$4),Imóveis!$S$4-(DATEDIF(Imóveis!$Q$4,Dados!$A836,"m")),)))*(Imóveis!$N$4/Imóveis!$S$4)))*Imóveis!$P$4))))*IF(AND(Imóveis!$E$4&gt;0,Dados!$A836&gt;Imóveis!$E$4),0,1)</f>
        <v>0</v>
      </c>
      <c r="L836" s="18">
        <f>IF(Imóveis!$F$5="PRICE",IF(AND(Dados!$A836&gt;=Imóveis!$Q$5,Dados!$A836&lt;=Imóveis!$T$5),Imóveis!$U$5,0),IF((IF(AND(Dados!$A836&gt;=Imóveis!$Q$5,Dados!$A836&lt;=Imóveis!$T$5),Imóveis!$S$5-(DATEDIF(Imóveis!$Q$5,Dados!$A836,"m")),0))=0,0,((Imóveis!$N$5/Imóveis!$S$5)+((Imóveis!$N$5-((Imóveis!$S$5-(IF(AND(Dados!$A836 &gt;=Imóveis!$Q$5,Dados!$A836&lt;=Imóveis!$T$5),Imóveis!$S$5-(DATEDIF(Imóveis!$Q$5,Dados!$A836,"m")),)))*(Imóveis!$N$5/Imóveis!$S$5)))*Imóveis!$P$5))))*IF(AND(Imóveis!$E$5&gt;0,Dados!$A836&gt;Imóveis!$E$5),0,1)*Imóveis!$I$5</f>
        <v>0</v>
      </c>
      <c r="M836" s="18">
        <f>IF(Imóveis!$F$6="PRICE",IF(AND(Dados!$A836&gt;=Imóveis!$Q$6,Dados!$A836&lt;=Imóveis!$T$6),Imóveis!$U$6,0),IF((IF(AND(Dados!$A836&gt;=Imóveis!$Q$6,Dados!$A836&lt;=Imóveis!$T$6),Imóveis!$S$6-(DATEDIF(Imóveis!$Q$6,Dados!$A836,"m")),0))=0,0,((Imóveis!$N$6/Imóveis!$S$6)+((Imóveis!$N$6-((Imóveis!$S$6-(IF(AND(Dados!$A836&gt;=Imóveis!$Q$6,Dados!$A836&lt;=Imóveis!$T$6),Imóveis!$S$6-(DATEDIF(Imóveis!$Q$6,Dados!$A836,"m")),)))*(Imóveis!$N$6/Imóveis!$S$6)))*Imóveis!$P$6))))*IF(AND(Imóveis!$E$6&gt;0,Dados!$A836&gt;Imóveis!$E$6),0,1)*Imóveis!$I$6</f>
        <v>0</v>
      </c>
      <c r="N836" s="18">
        <f t="shared" ca="1" si="109"/>
        <v>92757</v>
      </c>
      <c r="O836" s="18">
        <f>SUMIFS(Receitas!$F:$F,Receitas!$J:$J,"&lt;="&amp;$A836,Receitas!$L:$L,"&gt;="&amp;$A836,Receitas!$C:$C,O$1,Receitas!$M:$M,"Mensal")+SUMIFS(Receitas!$F:$F,Receitas!$J:$J,"&lt;="&amp;$A836,Receitas!$L:$L,"&gt;="&amp;$A836,Receitas!$C:$C,O$1,Receitas!$M:$M,$B836)</f>
        <v>0</v>
      </c>
      <c r="P836" s="18">
        <f>SUMIFS(Receitas!$F:$F,Receitas!$J:$J,"&lt;="&amp;$A836,Receitas!$L:$L,"&gt;="&amp;$A836,Receitas!$C:$C,P$1,Receitas!$M:$M,"Mensal")+SUMIFS(Receitas!$F:$F,Receitas!$J:$J,"&lt;="&amp;$A836,Receitas!$L:$L,"&gt;="&amp;$A836,Receitas!$C:$C,P$1,Receitas!$M:$M,$B836)</f>
        <v>0</v>
      </c>
      <c r="Q836" s="18">
        <f>SUMIFS(Receitas!$F:$F,Receitas!$J:$J,"&lt;="&amp;$A836,Receitas!$L:$L,"&gt;="&amp;$A836,Receitas!$C:$C,Q$1,Receitas!$M:$M,"Mensal")+SUMIFS(Receitas!$F:$F,Receitas!$J:$J,"&lt;="&amp;$A836,Receitas!$L:$L,"&gt;="&amp;$A836,Receitas!$C:$C,Q$1,Receitas!$M:$M,$B836)</f>
        <v>0</v>
      </c>
      <c r="R836" s="18" cm="1">
        <f t="array" ref="R836">(IF(AND(Membros!$F$2="Sim",A836&lt;=MAX(Membros!$E$2:$E$5)),Membros!K$2,IF(AND(A836&gt;=Membros!J$2,A836&lt;=MAX(Membros!$E$2:$E$5)),Membros!K$2,0))+IF(AND(Membros!$F$3="Sim",A836&lt;=MAX(Membros!$E$2:$E$5)),Membros!K$3,IF(AND(A836&gt;=Membros!J$3,A836&lt;=MAX(Membros!$E$2:$E$5)),Membros!K$3,0)))*IF(AND(COUNTIFS(Tabela3[Tipo],"Provedor",Tabela3[Simulação Seguro],"Sim")=2,A836&gt;=MAX(IF(Tabela3[Tipo]="Dependente",Tabela3[Expectativa de Vida (Data)]))),0,1)</f>
        <v>10000</v>
      </c>
      <c r="S836" s="18">
        <f t="shared" si="110"/>
        <v>10000</v>
      </c>
      <c r="U836" s="18">
        <f t="shared" ref="U836:U899" ca="1" si="113">Z835</f>
        <v>72882218.895355776</v>
      </c>
      <c r="V836" s="18">
        <f>SUMIF(Imóveis!E:E,Dados!A:A,Imóveis!Z:Z)-SUMIF(Imóveis!E:E,Dados!A:A,Imóveis!Y:Y)</f>
        <v>0</v>
      </c>
      <c r="W836" s="18">
        <f>-SUMIF(Projetos!N:N,A836,Projetos!F:F)</f>
        <v>0</v>
      </c>
      <c r="X836" s="18">
        <f t="shared" ca="1" si="107"/>
        <v>-82757</v>
      </c>
      <c r="Y836" s="26">
        <f ca="1">(U836*((Indicadores_Economicos!D$2+1)^(1/12)-1))</f>
        <v>238597.41941265564</v>
      </c>
      <c r="Z836" s="18">
        <f t="shared" ca="1" si="111"/>
        <v>73038059.314768434</v>
      </c>
      <c r="AA836" s="18">
        <f ca="1">Auxiliar_Projetos!E836</f>
        <v>5.970527496910612E-9</v>
      </c>
      <c r="AB836" s="18">
        <f ca="1">Auxiliar_Projetos!K836</f>
        <v>4.592713459162002E-9</v>
      </c>
      <c r="AC836" s="18">
        <f ca="1">IF(Z836-AA836-AB836&gt;Investimentos!$C$14,Investimentos!$C$14,IF(Z836-AA836-AB836&lt;Investimentos!$C$14,Z836-AA836-AB836,0))</f>
        <v>300000</v>
      </c>
      <c r="AD836" s="18">
        <f t="shared" ca="1" si="112"/>
        <v>72738059.314768434</v>
      </c>
      <c r="AE836" s="18"/>
    </row>
    <row r="837" spans="1:33" x14ac:dyDescent="0.2">
      <c r="A837" s="4">
        <v>71072</v>
      </c>
      <c r="B837" s="5" t="str">
        <f t="shared" si="108"/>
        <v>agosto</v>
      </c>
      <c r="C837" s="5" t="str">
        <f t="shared" si="106"/>
        <v>2094</v>
      </c>
      <c r="D837" s="5">
        <f>SUMIFS(Despesas!$F:$F,Despesas!$J:$J,"&lt;="&amp;$A837,Despesas!$L:$L,"&gt;="&amp;$A837,Despesas!$C:$C,D$1,Despesas!$M:$M,"Mensal")+SUMIFS(Despesas!$F:$F,Despesas!$J:$J,"&lt;="&amp;$A837,Despesas!$L:$L,"&gt;="&amp;$A837,Despesas!$C:$C,D$1,Despesas!$M:$M,$B837)</f>
        <v>23000</v>
      </c>
      <c r="E837" s="18">
        <f>SUMIFS(Despesas!$F:$F,Despesas!$J:$J,"&lt;="&amp;$A837,Despesas!$L:$L,"&gt;="&amp;$A837,Despesas!$C:$C,E$1,Despesas!$M:$M,"Mensal")+SUMIFS(Despesas!$F:$F,Despesas!$J:$J,"&lt;="&amp;$A837,Despesas!$L:$L,"&gt;="&amp;$A837,Despesas!$C:$C,E$1,Despesas!$M:$M,$B837)</f>
        <v>0</v>
      </c>
      <c r="F837" s="5">
        <f>SUMIFS(Despesas!$F:$F,Despesas!$J:$J,"&lt;="&amp;$A837,Despesas!$L:$L,"&gt;="&amp;$A837,Despesas!$C:$C,F$1,Despesas!$M:$M,"Mensal")+SUMIFS(Despesas!$F:$F,Despesas!$J:$J,"&lt;="&amp;$A837,Despesas!$L:$L,"&gt;="&amp;$A837,Despesas!$C:$C,F$1,Despesas!$M:$M,$B837)</f>
        <v>13000</v>
      </c>
      <c r="G837" s="5">
        <f>SUMIFS(Despesas!$F:$F,Despesas!$J:$J,"&lt;="&amp;$A837,Despesas!$L:$L,"&gt;="&amp;$A837,Despesas!$C:$C,G$1,Despesas!$M:$M,"Mensal")+SUMIFS(Despesas!$F:$F,Despesas!$J:$J,"&lt;="&amp;$A837,Despesas!$L:$L,"&gt;="&amp;$A837,Despesas!$C:$C,G$1,Despesas!$M:$M,$B837)</f>
        <v>0</v>
      </c>
      <c r="H837" s="18">
        <f>SUMIFS(Despesas!$F:$F,Despesas!$J:$J,"&lt;="&amp;$A837,Despesas!$L:$L,"&gt;="&amp;$A837,Despesas!$C:$C,H$1,Despesas!$M:$M,"Mensal")+SUMIFS(Despesas!$F:$F,Despesas!$J:$J,"&lt;="&amp;$A837,Despesas!$L:$L,"&gt;="&amp;$A837,Despesas!$C:$C,H$1,Despesas!$M:$M,$B837)</f>
        <v>1000</v>
      </c>
      <c r="I837" s="18">
        <f>IF(Imóveis!$F$2="PRICE",IF(AND(Dados!$A837&gt;=Imóveis!$Q$2,Dados!$A837&lt;=Imóveis!$T$2),Imóveis!$U$2,0),IF((IF(AND(Dados!$A837&gt;=Imóveis!$Q$2,Dados!$A837&lt;=Imóveis!$T$2),Imóveis!$S$2-(DATEDIF(Imóveis!$Q$2,Dados!$A837,"m")),0))=0,0,((Imóveis!$N$2/Imóveis!$S$2)+((Imóveis!$N$2-((Imóveis!$S$2-(IF(AND(Dados!$A837&gt;=Imóveis!$Q$2,Dados!$A837&lt;=Imóveis!$T$2),Imóveis!$S$2-(DATEDIF(Imóveis!$Q$2,Dados!$A837,"m")),)))*(Imóveis!$N$2/Imóveis!$S$2)))*Imóveis!$P$2))))*IF(AND(Imóveis!$E$2&gt;0,Dados!$A837&gt;Imóveis!$E$2),0,1)</f>
        <v>0</v>
      </c>
      <c r="J837" s="18">
        <f>IF(Imóveis!$F$3="PRICE",IF(AND(Dados!$A837&gt;=Imóveis!$Q$3,Dados!$A837&lt;=Imóveis!$T$3),Imóveis!$U$3,0),IF((IF(AND(Dados!$A837&gt;=Imóveis!$Q$3,Dados!$A837&lt;=Imóveis!$T$3),Imóveis!$S$3-(DATEDIF(Imóveis!$Q$3,Dados!$A837,"m")),0))=0,0,((Imóveis!$N$3/Imóveis!$S$3)+((Imóveis!$N$3-((Imóveis!$S$3-(IF(AND(Dados!$A837&gt;=Imóveis!$Q$3,Dados!$A837&lt;=Imóveis!$T$3),Imóveis!$S$3-(DATEDIF(Imóveis!$Q$3,Dados!$A837,"m")),)))*(Imóveis!$N$3/Imóveis!$S$3)))*Imóveis!$P$3))))*IF(AND(Imóveis!$E$3&gt;0,Dados!$A837&gt;Imóveis!$E$3),0,1)</f>
        <v>0</v>
      </c>
      <c r="K837" s="18">
        <f>IF(Imóveis!$F$4="PRICE",IF(AND(Dados!$A837&gt;=Imóveis!$Q$4,Dados!$A837&lt;=Imóveis!$T$4),Imóveis!$U$4,0),IF((IF(AND(Dados!$A837&gt;=Imóveis!$Q$4,Dados!$A837&lt;=Imóveis!$T$4),Imóveis!$S$4-(DATEDIF(Imóveis!$Q$4,Dados!$A837,"m")),0))=0,0,((Imóveis!$N$4/Imóveis!$S$4)+((Imóveis!$N$4-((Imóveis!$S$4-(IF(AND(Dados!$A837&gt;=Imóveis!$Q$4,Dados!$A837&lt;=Imóveis!$T$4),Imóveis!$S$4-(DATEDIF(Imóveis!$Q$4,Dados!$A837,"m")),)))*(Imóveis!$N$4/Imóveis!$S$4)))*Imóveis!$P$4))))*IF(AND(Imóveis!$E$4&gt;0,Dados!$A837&gt;Imóveis!$E$4),0,1)</f>
        <v>0</v>
      </c>
      <c r="L837" s="18">
        <f>IF(Imóveis!$F$5="PRICE",IF(AND(Dados!$A837&gt;=Imóveis!$Q$5,Dados!$A837&lt;=Imóveis!$T$5),Imóveis!$U$5,0),IF((IF(AND(Dados!$A837&gt;=Imóveis!$Q$5,Dados!$A837&lt;=Imóveis!$T$5),Imóveis!$S$5-(DATEDIF(Imóveis!$Q$5,Dados!$A837,"m")),0))=0,0,((Imóveis!$N$5/Imóveis!$S$5)+((Imóveis!$N$5-((Imóveis!$S$5-(IF(AND(Dados!$A837 &gt;=Imóveis!$Q$5,Dados!$A837&lt;=Imóveis!$T$5),Imóveis!$S$5-(DATEDIF(Imóveis!$Q$5,Dados!$A837,"m")),)))*(Imóveis!$N$5/Imóveis!$S$5)))*Imóveis!$P$5))))*IF(AND(Imóveis!$E$5&gt;0,Dados!$A837&gt;Imóveis!$E$5),0,1)*Imóveis!$I$5</f>
        <v>0</v>
      </c>
      <c r="M837" s="18">
        <f>IF(Imóveis!$F$6="PRICE",IF(AND(Dados!$A837&gt;=Imóveis!$Q$6,Dados!$A837&lt;=Imóveis!$T$6),Imóveis!$U$6,0),IF((IF(AND(Dados!$A837&gt;=Imóveis!$Q$6,Dados!$A837&lt;=Imóveis!$T$6),Imóveis!$S$6-(DATEDIF(Imóveis!$Q$6,Dados!$A837,"m")),0))=0,0,((Imóveis!$N$6/Imóveis!$S$6)+((Imóveis!$N$6-((Imóveis!$S$6-(IF(AND(Dados!$A837&gt;=Imóveis!$Q$6,Dados!$A837&lt;=Imóveis!$T$6),Imóveis!$S$6-(DATEDIF(Imóveis!$Q$6,Dados!$A837,"m")),)))*(Imóveis!$N$6/Imóveis!$S$6)))*Imóveis!$P$6))))*IF(AND(Imóveis!$E$6&gt;0,Dados!$A837&gt;Imóveis!$E$6),0,1)*Imóveis!$I$6</f>
        <v>0</v>
      </c>
      <c r="N837" s="18">
        <f t="shared" si="109"/>
        <v>37000</v>
      </c>
      <c r="O837" s="18">
        <f>SUMIFS(Receitas!$F:$F,Receitas!$J:$J,"&lt;="&amp;$A837,Receitas!$L:$L,"&gt;="&amp;$A837,Receitas!$C:$C,O$1,Receitas!$M:$M,"Mensal")+SUMIFS(Receitas!$F:$F,Receitas!$J:$J,"&lt;="&amp;$A837,Receitas!$L:$L,"&gt;="&amp;$A837,Receitas!$C:$C,O$1,Receitas!$M:$M,$B837)</f>
        <v>0</v>
      </c>
      <c r="P837" s="18">
        <f>SUMIFS(Receitas!$F:$F,Receitas!$J:$J,"&lt;="&amp;$A837,Receitas!$L:$L,"&gt;="&amp;$A837,Receitas!$C:$C,P$1,Receitas!$M:$M,"Mensal")+SUMIFS(Receitas!$F:$F,Receitas!$J:$J,"&lt;="&amp;$A837,Receitas!$L:$L,"&gt;="&amp;$A837,Receitas!$C:$C,P$1,Receitas!$M:$M,$B837)</f>
        <v>0</v>
      </c>
      <c r="Q837" s="18">
        <f>SUMIFS(Receitas!$F:$F,Receitas!$J:$J,"&lt;="&amp;$A837,Receitas!$L:$L,"&gt;="&amp;$A837,Receitas!$C:$C,Q$1,Receitas!$M:$M,"Mensal")+SUMIFS(Receitas!$F:$F,Receitas!$J:$J,"&lt;="&amp;$A837,Receitas!$L:$L,"&gt;="&amp;$A837,Receitas!$C:$C,Q$1,Receitas!$M:$M,$B837)</f>
        <v>0</v>
      </c>
      <c r="R837" s="18" cm="1">
        <f t="array" ref="R837">(IF(AND(Membros!$F$2="Sim",A837&lt;=MAX(Membros!$E$2:$E$5)),Membros!K$2,IF(AND(A837&gt;=Membros!J$2,A837&lt;=MAX(Membros!$E$2:$E$5)),Membros!K$2,0))+IF(AND(Membros!$F$3="Sim",A837&lt;=MAX(Membros!$E$2:$E$5)),Membros!K$3,IF(AND(A837&gt;=Membros!J$3,A837&lt;=MAX(Membros!$E$2:$E$5)),Membros!K$3,0)))*IF(AND(COUNTIFS(Tabela3[Tipo],"Provedor",Tabela3[Simulação Seguro],"Sim")=2,A837&gt;=MAX(IF(Tabela3[Tipo]="Dependente",Tabela3[Expectativa de Vida (Data)]))),0,1)</f>
        <v>10000</v>
      </c>
      <c r="S837" s="18">
        <f t="shared" si="110"/>
        <v>10000</v>
      </c>
      <c r="U837" s="18">
        <f t="shared" ca="1" si="113"/>
        <v>73038059.314768434</v>
      </c>
      <c r="V837" s="18">
        <f>SUMIF(Imóveis!E:E,Dados!A:A,Imóveis!Z:Z)-SUMIF(Imóveis!E:E,Dados!A:A,Imóveis!Y:Y)</f>
        <v>0</v>
      </c>
      <c r="W837" s="18">
        <f>-SUMIF(Projetos!N:N,A837,Projetos!F:F)</f>
        <v>0</v>
      </c>
      <c r="X837" s="18">
        <f t="shared" si="107"/>
        <v>-27000</v>
      </c>
      <c r="Y837" s="26">
        <f ca="1">(U837*((Indicadores_Economicos!D$2+1)^(1/12)-1))</f>
        <v>239107.60039336141</v>
      </c>
      <c r="Z837" s="18">
        <f t="shared" ca="1" si="111"/>
        <v>73250166.915161788</v>
      </c>
      <c r="AA837" s="18">
        <f ca="1">Auxiliar_Projetos!E837</f>
        <v>5.9900734502979608E-9</v>
      </c>
      <c r="AB837" s="18">
        <f ca="1">Auxiliar_Projetos!K837</f>
        <v>4.6077488079215009E-9</v>
      </c>
      <c r="AC837" s="18">
        <f ca="1">IF(Z837-AA837-AB837&gt;Investimentos!$C$14,Investimentos!$C$14,IF(Z837-AA837-AB837&lt;Investimentos!$C$14,Z837-AA837-AB837,0))</f>
        <v>300000</v>
      </c>
      <c r="AD837" s="18">
        <f t="shared" ca="1" si="112"/>
        <v>72950166.915161788</v>
      </c>
      <c r="AE837" s="18"/>
    </row>
    <row r="838" spans="1:33" x14ac:dyDescent="0.2">
      <c r="A838" s="4">
        <v>71103</v>
      </c>
      <c r="B838" s="5" t="str">
        <f t="shared" si="108"/>
        <v>setembro</v>
      </c>
      <c r="C838" s="5" t="str">
        <f t="shared" si="106"/>
        <v>2094</v>
      </c>
      <c r="D838" s="5">
        <f>SUMIFS(Despesas!$F:$F,Despesas!$J:$J,"&lt;="&amp;$A838,Despesas!$L:$L,"&gt;="&amp;$A838,Despesas!$C:$C,D$1,Despesas!$M:$M,"Mensal")+SUMIFS(Despesas!$F:$F,Despesas!$J:$J,"&lt;="&amp;$A838,Despesas!$L:$L,"&gt;="&amp;$A838,Despesas!$C:$C,D$1,Despesas!$M:$M,$B838)</f>
        <v>23000</v>
      </c>
      <c r="E838" s="18">
        <f>SUMIFS(Despesas!$F:$F,Despesas!$J:$J,"&lt;="&amp;$A838,Despesas!$L:$L,"&gt;="&amp;$A838,Despesas!$C:$C,E$1,Despesas!$M:$M,"Mensal")+SUMIFS(Despesas!$F:$F,Despesas!$J:$J,"&lt;="&amp;$A838,Despesas!$L:$L,"&gt;="&amp;$A838,Despesas!$C:$C,E$1,Despesas!$M:$M,$B838)</f>
        <v>0</v>
      </c>
      <c r="F838" s="5">
        <f>SUMIFS(Despesas!$F:$F,Despesas!$J:$J,"&lt;="&amp;$A838,Despesas!$L:$L,"&gt;="&amp;$A838,Despesas!$C:$C,F$1,Despesas!$M:$M,"Mensal")+SUMIFS(Despesas!$F:$F,Despesas!$J:$J,"&lt;="&amp;$A838,Despesas!$L:$L,"&gt;="&amp;$A838,Despesas!$C:$C,F$1,Despesas!$M:$M,$B838)</f>
        <v>13000</v>
      </c>
      <c r="G838" s="5">
        <f>SUMIFS(Despesas!$F:$F,Despesas!$J:$J,"&lt;="&amp;$A838,Despesas!$L:$L,"&gt;="&amp;$A838,Despesas!$C:$C,G$1,Despesas!$M:$M,"Mensal")+SUMIFS(Despesas!$F:$F,Despesas!$J:$J,"&lt;="&amp;$A838,Despesas!$L:$L,"&gt;="&amp;$A838,Despesas!$C:$C,G$1,Despesas!$M:$M,$B838)</f>
        <v>0</v>
      </c>
      <c r="H838" s="18">
        <f>SUMIFS(Despesas!$F:$F,Despesas!$J:$J,"&lt;="&amp;$A838,Despesas!$L:$L,"&gt;="&amp;$A838,Despesas!$C:$C,H$1,Despesas!$M:$M,"Mensal")+SUMIFS(Despesas!$F:$F,Despesas!$J:$J,"&lt;="&amp;$A838,Despesas!$L:$L,"&gt;="&amp;$A838,Despesas!$C:$C,H$1,Despesas!$M:$M,$B838)</f>
        <v>1000</v>
      </c>
      <c r="I838" s="18">
        <f>IF(Imóveis!$F$2="PRICE",IF(AND(Dados!$A838&gt;=Imóveis!$Q$2,Dados!$A838&lt;=Imóveis!$T$2),Imóveis!$U$2,0),IF((IF(AND(Dados!$A838&gt;=Imóveis!$Q$2,Dados!$A838&lt;=Imóveis!$T$2),Imóveis!$S$2-(DATEDIF(Imóveis!$Q$2,Dados!$A838,"m")),0))=0,0,((Imóveis!$N$2/Imóveis!$S$2)+((Imóveis!$N$2-((Imóveis!$S$2-(IF(AND(Dados!$A838&gt;=Imóveis!$Q$2,Dados!$A838&lt;=Imóveis!$T$2),Imóveis!$S$2-(DATEDIF(Imóveis!$Q$2,Dados!$A838,"m")),)))*(Imóveis!$N$2/Imóveis!$S$2)))*Imóveis!$P$2))))*IF(AND(Imóveis!$E$2&gt;0,Dados!$A838&gt;Imóveis!$E$2),0,1)</f>
        <v>0</v>
      </c>
      <c r="J838" s="18">
        <f>IF(Imóveis!$F$3="PRICE",IF(AND(Dados!$A838&gt;=Imóveis!$Q$3,Dados!$A838&lt;=Imóveis!$T$3),Imóveis!$U$3,0),IF((IF(AND(Dados!$A838&gt;=Imóveis!$Q$3,Dados!$A838&lt;=Imóveis!$T$3),Imóveis!$S$3-(DATEDIF(Imóveis!$Q$3,Dados!$A838,"m")),0))=0,0,((Imóveis!$N$3/Imóveis!$S$3)+((Imóveis!$N$3-((Imóveis!$S$3-(IF(AND(Dados!$A838&gt;=Imóveis!$Q$3,Dados!$A838&lt;=Imóveis!$T$3),Imóveis!$S$3-(DATEDIF(Imóveis!$Q$3,Dados!$A838,"m")),)))*(Imóveis!$N$3/Imóveis!$S$3)))*Imóveis!$P$3))))*IF(AND(Imóveis!$E$3&gt;0,Dados!$A838&gt;Imóveis!$E$3),0,1)</f>
        <v>0</v>
      </c>
      <c r="K838" s="18">
        <f>IF(Imóveis!$F$4="PRICE",IF(AND(Dados!$A838&gt;=Imóveis!$Q$4,Dados!$A838&lt;=Imóveis!$T$4),Imóveis!$U$4,0),IF((IF(AND(Dados!$A838&gt;=Imóveis!$Q$4,Dados!$A838&lt;=Imóveis!$T$4),Imóveis!$S$4-(DATEDIF(Imóveis!$Q$4,Dados!$A838,"m")),0))=0,0,((Imóveis!$N$4/Imóveis!$S$4)+((Imóveis!$N$4-((Imóveis!$S$4-(IF(AND(Dados!$A838&gt;=Imóveis!$Q$4,Dados!$A838&lt;=Imóveis!$T$4),Imóveis!$S$4-(DATEDIF(Imóveis!$Q$4,Dados!$A838,"m")),)))*(Imóveis!$N$4/Imóveis!$S$4)))*Imóveis!$P$4))))*IF(AND(Imóveis!$E$4&gt;0,Dados!$A838&gt;Imóveis!$E$4),0,1)</f>
        <v>0</v>
      </c>
      <c r="L838" s="18">
        <f>IF(Imóveis!$F$5="PRICE",IF(AND(Dados!$A838&gt;=Imóveis!$Q$5,Dados!$A838&lt;=Imóveis!$T$5),Imóveis!$U$5,0),IF((IF(AND(Dados!$A838&gt;=Imóveis!$Q$5,Dados!$A838&lt;=Imóveis!$T$5),Imóveis!$S$5-(DATEDIF(Imóveis!$Q$5,Dados!$A838,"m")),0))=0,0,((Imóveis!$N$5/Imóveis!$S$5)+((Imóveis!$N$5-((Imóveis!$S$5-(IF(AND(Dados!$A838 &gt;=Imóveis!$Q$5,Dados!$A838&lt;=Imóveis!$T$5),Imóveis!$S$5-(DATEDIF(Imóveis!$Q$5,Dados!$A838,"m")),)))*(Imóveis!$N$5/Imóveis!$S$5)))*Imóveis!$P$5))))*IF(AND(Imóveis!$E$5&gt;0,Dados!$A838&gt;Imóveis!$E$5),0,1)*Imóveis!$I$5</f>
        <v>0</v>
      </c>
      <c r="M838" s="18">
        <f>IF(Imóveis!$F$6="PRICE",IF(AND(Dados!$A838&gt;=Imóveis!$Q$6,Dados!$A838&lt;=Imóveis!$T$6),Imóveis!$U$6,0),IF((IF(AND(Dados!$A838&gt;=Imóveis!$Q$6,Dados!$A838&lt;=Imóveis!$T$6),Imóveis!$S$6-(DATEDIF(Imóveis!$Q$6,Dados!$A838,"m")),0))=0,0,((Imóveis!$N$6/Imóveis!$S$6)+((Imóveis!$N$6-((Imóveis!$S$6-(IF(AND(Dados!$A838&gt;=Imóveis!$Q$6,Dados!$A838&lt;=Imóveis!$T$6),Imóveis!$S$6-(DATEDIF(Imóveis!$Q$6,Dados!$A838,"m")),)))*(Imóveis!$N$6/Imóveis!$S$6)))*Imóveis!$P$6))))*IF(AND(Imóveis!$E$6&gt;0,Dados!$A838&gt;Imóveis!$E$6),0,1)*Imóveis!$I$6</f>
        <v>0</v>
      </c>
      <c r="N838" s="18">
        <f t="shared" si="109"/>
        <v>37000</v>
      </c>
      <c r="O838" s="18">
        <f>SUMIFS(Receitas!$F:$F,Receitas!$J:$J,"&lt;="&amp;$A838,Receitas!$L:$L,"&gt;="&amp;$A838,Receitas!$C:$C,O$1,Receitas!$M:$M,"Mensal")+SUMIFS(Receitas!$F:$F,Receitas!$J:$J,"&lt;="&amp;$A838,Receitas!$L:$L,"&gt;="&amp;$A838,Receitas!$C:$C,O$1,Receitas!$M:$M,$B838)</f>
        <v>0</v>
      </c>
      <c r="P838" s="18">
        <f>SUMIFS(Receitas!$F:$F,Receitas!$J:$J,"&lt;="&amp;$A838,Receitas!$L:$L,"&gt;="&amp;$A838,Receitas!$C:$C,P$1,Receitas!$M:$M,"Mensal")+SUMIFS(Receitas!$F:$F,Receitas!$J:$J,"&lt;="&amp;$A838,Receitas!$L:$L,"&gt;="&amp;$A838,Receitas!$C:$C,P$1,Receitas!$M:$M,$B838)</f>
        <v>0</v>
      </c>
      <c r="Q838" s="18">
        <f>SUMIFS(Receitas!$F:$F,Receitas!$J:$J,"&lt;="&amp;$A838,Receitas!$L:$L,"&gt;="&amp;$A838,Receitas!$C:$C,Q$1,Receitas!$M:$M,"Mensal")+SUMIFS(Receitas!$F:$F,Receitas!$J:$J,"&lt;="&amp;$A838,Receitas!$L:$L,"&gt;="&amp;$A838,Receitas!$C:$C,Q$1,Receitas!$M:$M,$B838)</f>
        <v>0</v>
      </c>
      <c r="R838" s="18" cm="1">
        <f t="array" ref="R838">(IF(AND(Membros!$F$2="Sim",A838&lt;=MAX(Membros!$E$2:$E$5)),Membros!K$2,IF(AND(A838&gt;=Membros!J$2,A838&lt;=MAX(Membros!$E$2:$E$5)),Membros!K$2,0))+IF(AND(Membros!$F$3="Sim",A838&lt;=MAX(Membros!$E$2:$E$5)),Membros!K$3,IF(AND(A838&gt;=Membros!J$3,A838&lt;=MAX(Membros!$E$2:$E$5)),Membros!K$3,0)))*IF(AND(COUNTIFS(Tabela3[Tipo],"Provedor",Tabela3[Simulação Seguro],"Sim")=2,A838&gt;=MAX(IF(Tabela3[Tipo]="Dependente",Tabela3[Expectativa de Vida (Data)]))),0,1)</f>
        <v>10000</v>
      </c>
      <c r="S838" s="18">
        <f t="shared" si="110"/>
        <v>10000</v>
      </c>
      <c r="U838" s="18">
        <f t="shared" ca="1" si="113"/>
        <v>73250166.915161788</v>
      </c>
      <c r="V838" s="18">
        <f>SUMIF(Imóveis!E:E,Dados!A:A,Imóveis!Z:Z)-SUMIF(Imóveis!E:E,Dados!A:A,Imóveis!Y:Y)</f>
        <v>0</v>
      </c>
      <c r="W838" s="18">
        <f>-SUMIF(Projetos!N:N,A838,Projetos!F:F)</f>
        <v>0</v>
      </c>
      <c r="X838" s="18">
        <f t="shared" si="107"/>
        <v>-27000</v>
      </c>
      <c r="Y838" s="26">
        <f ca="1">(U838*((Indicadores_Economicos!D$2+1)^(1/12)-1))</f>
        <v>239801.9854828759</v>
      </c>
      <c r="Z838" s="18">
        <f t="shared" ca="1" si="111"/>
        <v>73462968.90064466</v>
      </c>
      <c r="AA838" s="18">
        <f ca="1">Auxiliar_Projetos!E838</f>
        <v>6.0096833920504946E-9</v>
      </c>
      <c r="AB838" s="18">
        <f ca="1">Auxiliar_Projetos!K838</f>
        <v>4.6228333785003733E-9</v>
      </c>
      <c r="AC838" s="18">
        <f ca="1">IF(Z838-AA838-AB838&gt;Investimentos!$C$14,Investimentos!$C$14,IF(Z838-AA838-AB838&lt;Investimentos!$C$14,Z838-AA838-AB838,0))</f>
        <v>300000</v>
      </c>
      <c r="AD838" s="18">
        <f t="shared" ca="1" si="112"/>
        <v>73162968.90064466</v>
      </c>
      <c r="AE838" s="18"/>
    </row>
    <row r="839" spans="1:33" x14ac:dyDescent="0.2">
      <c r="A839" s="4">
        <v>71133</v>
      </c>
      <c r="B839" s="5" t="str">
        <f t="shared" si="108"/>
        <v>outubro</v>
      </c>
      <c r="C839" s="5" t="str">
        <f t="shared" si="106"/>
        <v>2094</v>
      </c>
      <c r="D839" s="5">
        <f>SUMIFS(Despesas!$F:$F,Despesas!$J:$J,"&lt;="&amp;$A839,Despesas!$L:$L,"&gt;="&amp;$A839,Despesas!$C:$C,D$1,Despesas!$M:$M,"Mensal")+SUMIFS(Despesas!$F:$F,Despesas!$J:$J,"&lt;="&amp;$A839,Despesas!$L:$L,"&gt;="&amp;$A839,Despesas!$C:$C,D$1,Despesas!$M:$M,$B839)</f>
        <v>23000</v>
      </c>
      <c r="E839" s="18">
        <f>SUMIFS(Despesas!$F:$F,Despesas!$J:$J,"&lt;="&amp;$A839,Despesas!$L:$L,"&gt;="&amp;$A839,Despesas!$C:$C,E$1,Despesas!$M:$M,"Mensal")+SUMIFS(Despesas!$F:$F,Despesas!$J:$J,"&lt;="&amp;$A839,Despesas!$L:$L,"&gt;="&amp;$A839,Despesas!$C:$C,E$1,Despesas!$M:$M,$B839)</f>
        <v>0</v>
      </c>
      <c r="F839" s="5">
        <f>SUMIFS(Despesas!$F:$F,Despesas!$J:$J,"&lt;="&amp;$A839,Despesas!$L:$L,"&gt;="&amp;$A839,Despesas!$C:$C,F$1,Despesas!$M:$M,"Mensal")+SUMIFS(Despesas!$F:$F,Despesas!$J:$J,"&lt;="&amp;$A839,Despesas!$L:$L,"&gt;="&amp;$A839,Despesas!$C:$C,F$1,Despesas!$M:$M,$B839)</f>
        <v>13000</v>
      </c>
      <c r="G839" s="5">
        <f>SUMIFS(Despesas!$F:$F,Despesas!$J:$J,"&lt;="&amp;$A839,Despesas!$L:$L,"&gt;="&amp;$A839,Despesas!$C:$C,G$1,Despesas!$M:$M,"Mensal")+SUMIFS(Despesas!$F:$F,Despesas!$J:$J,"&lt;="&amp;$A839,Despesas!$L:$L,"&gt;="&amp;$A839,Despesas!$C:$C,G$1,Despesas!$M:$M,$B839)</f>
        <v>0</v>
      </c>
      <c r="H839" s="18">
        <f>SUMIFS(Despesas!$F:$F,Despesas!$J:$J,"&lt;="&amp;$A839,Despesas!$L:$L,"&gt;="&amp;$A839,Despesas!$C:$C,H$1,Despesas!$M:$M,"Mensal")+SUMIFS(Despesas!$F:$F,Despesas!$J:$J,"&lt;="&amp;$A839,Despesas!$L:$L,"&gt;="&amp;$A839,Despesas!$C:$C,H$1,Despesas!$M:$M,$B839)</f>
        <v>1000</v>
      </c>
      <c r="I839" s="18">
        <f>IF(Imóveis!$F$2="PRICE",IF(AND(Dados!$A839&gt;=Imóveis!$Q$2,Dados!$A839&lt;=Imóveis!$T$2),Imóveis!$U$2,0),IF((IF(AND(Dados!$A839&gt;=Imóveis!$Q$2,Dados!$A839&lt;=Imóveis!$T$2),Imóveis!$S$2-(DATEDIF(Imóveis!$Q$2,Dados!$A839,"m")),0))=0,0,((Imóveis!$N$2/Imóveis!$S$2)+((Imóveis!$N$2-((Imóveis!$S$2-(IF(AND(Dados!$A839&gt;=Imóveis!$Q$2,Dados!$A839&lt;=Imóveis!$T$2),Imóveis!$S$2-(DATEDIF(Imóveis!$Q$2,Dados!$A839,"m")),)))*(Imóveis!$N$2/Imóveis!$S$2)))*Imóveis!$P$2))))*IF(AND(Imóveis!$E$2&gt;0,Dados!$A839&gt;Imóveis!$E$2),0,1)</f>
        <v>0</v>
      </c>
      <c r="J839" s="18">
        <f>IF(Imóveis!$F$3="PRICE",IF(AND(Dados!$A839&gt;=Imóveis!$Q$3,Dados!$A839&lt;=Imóveis!$T$3),Imóveis!$U$3,0),IF((IF(AND(Dados!$A839&gt;=Imóveis!$Q$3,Dados!$A839&lt;=Imóveis!$T$3),Imóveis!$S$3-(DATEDIF(Imóveis!$Q$3,Dados!$A839,"m")),0))=0,0,((Imóveis!$N$3/Imóveis!$S$3)+((Imóveis!$N$3-((Imóveis!$S$3-(IF(AND(Dados!$A839&gt;=Imóveis!$Q$3,Dados!$A839&lt;=Imóveis!$T$3),Imóveis!$S$3-(DATEDIF(Imóveis!$Q$3,Dados!$A839,"m")),)))*(Imóveis!$N$3/Imóveis!$S$3)))*Imóveis!$P$3))))*IF(AND(Imóveis!$E$3&gt;0,Dados!$A839&gt;Imóveis!$E$3),0,1)</f>
        <v>0</v>
      </c>
      <c r="K839" s="18">
        <f>IF(Imóveis!$F$4="PRICE",IF(AND(Dados!$A839&gt;=Imóveis!$Q$4,Dados!$A839&lt;=Imóveis!$T$4),Imóveis!$U$4,0),IF((IF(AND(Dados!$A839&gt;=Imóveis!$Q$4,Dados!$A839&lt;=Imóveis!$T$4),Imóveis!$S$4-(DATEDIF(Imóveis!$Q$4,Dados!$A839,"m")),0))=0,0,((Imóveis!$N$4/Imóveis!$S$4)+((Imóveis!$N$4-((Imóveis!$S$4-(IF(AND(Dados!$A839&gt;=Imóveis!$Q$4,Dados!$A839&lt;=Imóveis!$T$4),Imóveis!$S$4-(DATEDIF(Imóveis!$Q$4,Dados!$A839,"m")),)))*(Imóveis!$N$4/Imóveis!$S$4)))*Imóveis!$P$4))))*IF(AND(Imóveis!$E$4&gt;0,Dados!$A839&gt;Imóveis!$E$4),0,1)</f>
        <v>0</v>
      </c>
      <c r="L839" s="18">
        <f>IF(Imóveis!$F$5="PRICE",IF(AND(Dados!$A839&gt;=Imóveis!$Q$5,Dados!$A839&lt;=Imóveis!$T$5),Imóveis!$U$5,0),IF((IF(AND(Dados!$A839&gt;=Imóveis!$Q$5,Dados!$A839&lt;=Imóveis!$T$5),Imóveis!$S$5-(DATEDIF(Imóveis!$Q$5,Dados!$A839,"m")),0))=0,0,((Imóveis!$N$5/Imóveis!$S$5)+((Imóveis!$N$5-((Imóveis!$S$5-(IF(AND(Dados!$A839 &gt;=Imóveis!$Q$5,Dados!$A839&lt;=Imóveis!$T$5),Imóveis!$S$5-(DATEDIF(Imóveis!$Q$5,Dados!$A839,"m")),)))*(Imóveis!$N$5/Imóveis!$S$5)))*Imóveis!$P$5))))*IF(AND(Imóveis!$E$5&gt;0,Dados!$A839&gt;Imóveis!$E$5),0,1)*Imóveis!$I$5</f>
        <v>0</v>
      </c>
      <c r="M839" s="18">
        <f>IF(Imóveis!$F$6="PRICE",IF(AND(Dados!$A839&gt;=Imóveis!$Q$6,Dados!$A839&lt;=Imóveis!$T$6),Imóveis!$U$6,0),IF((IF(AND(Dados!$A839&gt;=Imóveis!$Q$6,Dados!$A839&lt;=Imóveis!$T$6),Imóveis!$S$6-(DATEDIF(Imóveis!$Q$6,Dados!$A839,"m")),0))=0,0,((Imóveis!$N$6/Imóveis!$S$6)+((Imóveis!$N$6-((Imóveis!$S$6-(IF(AND(Dados!$A839&gt;=Imóveis!$Q$6,Dados!$A839&lt;=Imóveis!$T$6),Imóveis!$S$6-(DATEDIF(Imóveis!$Q$6,Dados!$A839,"m")),)))*(Imóveis!$N$6/Imóveis!$S$6)))*Imóveis!$P$6))))*IF(AND(Imóveis!$E$6&gt;0,Dados!$A839&gt;Imóveis!$E$6),0,1)*Imóveis!$I$6</f>
        <v>0</v>
      </c>
      <c r="N839" s="18">
        <f t="shared" si="109"/>
        <v>37000</v>
      </c>
      <c r="O839" s="18">
        <f>SUMIFS(Receitas!$F:$F,Receitas!$J:$J,"&lt;="&amp;$A839,Receitas!$L:$L,"&gt;="&amp;$A839,Receitas!$C:$C,O$1,Receitas!$M:$M,"Mensal")+SUMIFS(Receitas!$F:$F,Receitas!$J:$J,"&lt;="&amp;$A839,Receitas!$L:$L,"&gt;="&amp;$A839,Receitas!$C:$C,O$1,Receitas!$M:$M,$B839)</f>
        <v>0</v>
      </c>
      <c r="P839" s="18">
        <f>SUMIFS(Receitas!$F:$F,Receitas!$J:$J,"&lt;="&amp;$A839,Receitas!$L:$L,"&gt;="&amp;$A839,Receitas!$C:$C,P$1,Receitas!$M:$M,"Mensal")+SUMIFS(Receitas!$F:$F,Receitas!$J:$J,"&lt;="&amp;$A839,Receitas!$L:$L,"&gt;="&amp;$A839,Receitas!$C:$C,P$1,Receitas!$M:$M,$B839)</f>
        <v>0</v>
      </c>
      <c r="Q839" s="18">
        <f>SUMIFS(Receitas!$F:$F,Receitas!$J:$J,"&lt;="&amp;$A839,Receitas!$L:$L,"&gt;="&amp;$A839,Receitas!$C:$C,Q$1,Receitas!$M:$M,"Mensal")+SUMIFS(Receitas!$F:$F,Receitas!$J:$J,"&lt;="&amp;$A839,Receitas!$L:$L,"&gt;="&amp;$A839,Receitas!$C:$C,Q$1,Receitas!$M:$M,$B839)</f>
        <v>0</v>
      </c>
      <c r="R839" s="18" cm="1">
        <f t="array" ref="R839">(IF(AND(Membros!$F$2="Sim",A839&lt;=MAX(Membros!$E$2:$E$5)),Membros!K$2,IF(AND(A839&gt;=Membros!J$2,A839&lt;=MAX(Membros!$E$2:$E$5)),Membros!K$2,0))+IF(AND(Membros!$F$3="Sim",A839&lt;=MAX(Membros!$E$2:$E$5)),Membros!K$3,IF(AND(A839&gt;=Membros!J$3,A839&lt;=MAX(Membros!$E$2:$E$5)),Membros!K$3,0)))*IF(AND(COUNTIFS(Tabela3[Tipo],"Provedor",Tabela3[Simulação Seguro],"Sim")=2,A839&gt;=MAX(IF(Tabela3[Tipo]="Dependente",Tabela3[Expectativa de Vida (Data)]))),0,1)</f>
        <v>10000</v>
      </c>
      <c r="S839" s="18">
        <f t="shared" si="110"/>
        <v>10000</v>
      </c>
      <c r="U839" s="18">
        <f t="shared" ca="1" si="113"/>
        <v>73462968.90064466</v>
      </c>
      <c r="V839" s="18">
        <f>SUMIF(Imóveis!E:E,Dados!A:A,Imóveis!Z:Z)-SUMIF(Imóveis!E:E,Dados!A:A,Imóveis!Y:Y)</f>
        <v>0</v>
      </c>
      <c r="W839" s="18">
        <f>-SUMIF(Projetos!N:N,A839,Projetos!F:F)</f>
        <v>0</v>
      </c>
      <c r="X839" s="18">
        <f t="shared" si="107"/>
        <v>-27000</v>
      </c>
      <c r="Y839" s="26">
        <f ca="1">(U839*((Indicadores_Economicos!D$2+1)^(1/12)-1))</f>
        <v>240498.64380848207</v>
      </c>
      <c r="Z839" s="18">
        <f t="shared" ca="1" si="111"/>
        <v>73676467.544453144</v>
      </c>
      <c r="AA839" s="18">
        <f ca="1">Auxiliar_Projetos!E839</f>
        <v>6.02935753164947E-9</v>
      </c>
      <c r="AB839" s="18">
        <f ca="1">Auxiliar_Projetos!K839</f>
        <v>4.637967332038047E-9</v>
      </c>
      <c r="AC839" s="18">
        <f ca="1">IF(Z839-AA839-AB839&gt;Investimentos!$C$14,Investimentos!$C$14,IF(Z839-AA839-AB839&lt;Investimentos!$C$14,Z839-AA839-AB839,0))</f>
        <v>300000</v>
      </c>
      <c r="AD839" s="18">
        <f t="shared" ca="1" si="112"/>
        <v>73376467.544453144</v>
      </c>
      <c r="AE839" s="18"/>
    </row>
    <row r="840" spans="1:33" x14ac:dyDescent="0.2">
      <c r="A840" s="4">
        <v>71164</v>
      </c>
      <c r="B840" s="5" t="str">
        <f t="shared" si="108"/>
        <v>novembro</v>
      </c>
      <c r="C840" s="5" t="str">
        <f t="shared" si="106"/>
        <v>2094</v>
      </c>
      <c r="D840" s="5">
        <f>SUMIFS(Despesas!$F:$F,Despesas!$J:$J,"&lt;="&amp;$A840,Despesas!$L:$L,"&gt;="&amp;$A840,Despesas!$C:$C,D$1,Despesas!$M:$M,"Mensal")+SUMIFS(Despesas!$F:$F,Despesas!$J:$J,"&lt;="&amp;$A840,Despesas!$L:$L,"&gt;="&amp;$A840,Despesas!$C:$C,D$1,Despesas!$M:$M,$B840)</f>
        <v>23000</v>
      </c>
      <c r="E840" s="18">
        <f>SUMIFS(Despesas!$F:$F,Despesas!$J:$J,"&lt;="&amp;$A840,Despesas!$L:$L,"&gt;="&amp;$A840,Despesas!$C:$C,E$1,Despesas!$M:$M,"Mensal")+SUMIFS(Despesas!$F:$F,Despesas!$J:$J,"&lt;="&amp;$A840,Despesas!$L:$L,"&gt;="&amp;$A840,Despesas!$C:$C,E$1,Despesas!$M:$M,$B840)</f>
        <v>0</v>
      </c>
      <c r="F840" s="5">
        <f>SUMIFS(Despesas!$F:$F,Despesas!$J:$J,"&lt;="&amp;$A840,Despesas!$L:$L,"&gt;="&amp;$A840,Despesas!$C:$C,F$1,Despesas!$M:$M,"Mensal")+SUMIFS(Despesas!$F:$F,Despesas!$J:$J,"&lt;="&amp;$A840,Despesas!$L:$L,"&gt;="&amp;$A840,Despesas!$C:$C,F$1,Despesas!$M:$M,$B840)</f>
        <v>13000</v>
      </c>
      <c r="G840" s="5">
        <f>SUMIFS(Despesas!$F:$F,Despesas!$J:$J,"&lt;="&amp;$A840,Despesas!$L:$L,"&gt;="&amp;$A840,Despesas!$C:$C,G$1,Despesas!$M:$M,"Mensal")+SUMIFS(Despesas!$F:$F,Despesas!$J:$J,"&lt;="&amp;$A840,Despesas!$L:$L,"&gt;="&amp;$A840,Despesas!$C:$C,G$1,Despesas!$M:$M,$B840)</f>
        <v>0</v>
      </c>
      <c r="H840" s="18">
        <f>SUMIFS(Despesas!$F:$F,Despesas!$J:$J,"&lt;="&amp;$A840,Despesas!$L:$L,"&gt;="&amp;$A840,Despesas!$C:$C,H$1,Despesas!$M:$M,"Mensal")+SUMIFS(Despesas!$F:$F,Despesas!$J:$J,"&lt;="&amp;$A840,Despesas!$L:$L,"&gt;="&amp;$A840,Despesas!$C:$C,H$1,Despesas!$M:$M,$B840)</f>
        <v>1000</v>
      </c>
      <c r="I840" s="18">
        <f>IF(Imóveis!$F$2="PRICE",IF(AND(Dados!$A840&gt;=Imóveis!$Q$2,Dados!$A840&lt;=Imóveis!$T$2),Imóveis!$U$2,0),IF((IF(AND(Dados!$A840&gt;=Imóveis!$Q$2,Dados!$A840&lt;=Imóveis!$T$2),Imóveis!$S$2-(DATEDIF(Imóveis!$Q$2,Dados!$A840,"m")),0))=0,0,((Imóveis!$N$2/Imóveis!$S$2)+((Imóveis!$N$2-((Imóveis!$S$2-(IF(AND(Dados!$A840&gt;=Imóveis!$Q$2,Dados!$A840&lt;=Imóveis!$T$2),Imóveis!$S$2-(DATEDIF(Imóveis!$Q$2,Dados!$A840,"m")),)))*(Imóveis!$N$2/Imóveis!$S$2)))*Imóveis!$P$2))))*IF(AND(Imóveis!$E$2&gt;0,Dados!$A840&gt;Imóveis!$E$2),0,1)</f>
        <v>0</v>
      </c>
      <c r="J840" s="18">
        <f>IF(Imóveis!$F$3="PRICE",IF(AND(Dados!$A840&gt;=Imóveis!$Q$3,Dados!$A840&lt;=Imóveis!$T$3),Imóveis!$U$3,0),IF((IF(AND(Dados!$A840&gt;=Imóveis!$Q$3,Dados!$A840&lt;=Imóveis!$T$3),Imóveis!$S$3-(DATEDIF(Imóveis!$Q$3,Dados!$A840,"m")),0))=0,0,((Imóveis!$N$3/Imóveis!$S$3)+((Imóveis!$N$3-((Imóveis!$S$3-(IF(AND(Dados!$A840&gt;=Imóveis!$Q$3,Dados!$A840&lt;=Imóveis!$T$3),Imóveis!$S$3-(DATEDIF(Imóveis!$Q$3,Dados!$A840,"m")),)))*(Imóveis!$N$3/Imóveis!$S$3)))*Imóveis!$P$3))))*IF(AND(Imóveis!$E$3&gt;0,Dados!$A840&gt;Imóveis!$E$3),0,1)</f>
        <v>0</v>
      </c>
      <c r="K840" s="18">
        <f>IF(Imóveis!$F$4="PRICE",IF(AND(Dados!$A840&gt;=Imóveis!$Q$4,Dados!$A840&lt;=Imóveis!$T$4),Imóveis!$U$4,0),IF((IF(AND(Dados!$A840&gt;=Imóveis!$Q$4,Dados!$A840&lt;=Imóveis!$T$4),Imóveis!$S$4-(DATEDIF(Imóveis!$Q$4,Dados!$A840,"m")),0))=0,0,((Imóveis!$N$4/Imóveis!$S$4)+((Imóveis!$N$4-((Imóveis!$S$4-(IF(AND(Dados!$A840&gt;=Imóveis!$Q$4,Dados!$A840&lt;=Imóveis!$T$4),Imóveis!$S$4-(DATEDIF(Imóveis!$Q$4,Dados!$A840,"m")),)))*(Imóveis!$N$4/Imóveis!$S$4)))*Imóveis!$P$4))))*IF(AND(Imóveis!$E$4&gt;0,Dados!$A840&gt;Imóveis!$E$4),0,1)</f>
        <v>0</v>
      </c>
      <c r="L840" s="18">
        <f>IF(Imóveis!$F$5="PRICE",IF(AND(Dados!$A840&gt;=Imóveis!$Q$5,Dados!$A840&lt;=Imóveis!$T$5),Imóveis!$U$5,0),IF((IF(AND(Dados!$A840&gt;=Imóveis!$Q$5,Dados!$A840&lt;=Imóveis!$T$5),Imóveis!$S$5-(DATEDIF(Imóveis!$Q$5,Dados!$A840,"m")),0))=0,0,((Imóveis!$N$5/Imóveis!$S$5)+((Imóveis!$N$5-((Imóveis!$S$5-(IF(AND(Dados!$A840 &gt;=Imóveis!$Q$5,Dados!$A840&lt;=Imóveis!$T$5),Imóveis!$S$5-(DATEDIF(Imóveis!$Q$5,Dados!$A840,"m")),)))*(Imóveis!$N$5/Imóveis!$S$5)))*Imóveis!$P$5))))*IF(AND(Imóveis!$E$5&gt;0,Dados!$A840&gt;Imóveis!$E$5),0,1)*Imóveis!$I$5</f>
        <v>0</v>
      </c>
      <c r="M840" s="18">
        <f>IF(Imóveis!$F$6="PRICE",IF(AND(Dados!$A840&gt;=Imóveis!$Q$6,Dados!$A840&lt;=Imóveis!$T$6),Imóveis!$U$6,0),IF((IF(AND(Dados!$A840&gt;=Imóveis!$Q$6,Dados!$A840&lt;=Imóveis!$T$6),Imóveis!$S$6-(DATEDIF(Imóveis!$Q$6,Dados!$A840,"m")),0))=0,0,((Imóveis!$N$6/Imóveis!$S$6)+((Imóveis!$N$6-((Imóveis!$S$6-(IF(AND(Dados!$A840&gt;=Imóveis!$Q$6,Dados!$A840&lt;=Imóveis!$T$6),Imóveis!$S$6-(DATEDIF(Imóveis!$Q$6,Dados!$A840,"m")),)))*(Imóveis!$N$6/Imóveis!$S$6)))*Imóveis!$P$6))))*IF(AND(Imóveis!$E$6&gt;0,Dados!$A840&gt;Imóveis!$E$6),0,1)*Imóveis!$I$6</f>
        <v>0</v>
      </c>
      <c r="N840" s="18">
        <f t="shared" si="109"/>
        <v>37000</v>
      </c>
      <c r="O840" s="18">
        <f>SUMIFS(Receitas!$F:$F,Receitas!$J:$J,"&lt;="&amp;$A840,Receitas!$L:$L,"&gt;="&amp;$A840,Receitas!$C:$C,O$1,Receitas!$M:$M,"Mensal")+SUMIFS(Receitas!$F:$F,Receitas!$J:$J,"&lt;="&amp;$A840,Receitas!$L:$L,"&gt;="&amp;$A840,Receitas!$C:$C,O$1,Receitas!$M:$M,$B840)</f>
        <v>0</v>
      </c>
      <c r="P840" s="18">
        <f>SUMIFS(Receitas!$F:$F,Receitas!$J:$J,"&lt;="&amp;$A840,Receitas!$L:$L,"&gt;="&amp;$A840,Receitas!$C:$C,P$1,Receitas!$M:$M,"Mensal")+SUMIFS(Receitas!$F:$F,Receitas!$J:$J,"&lt;="&amp;$A840,Receitas!$L:$L,"&gt;="&amp;$A840,Receitas!$C:$C,P$1,Receitas!$M:$M,$B840)</f>
        <v>0</v>
      </c>
      <c r="Q840" s="18">
        <f>SUMIFS(Receitas!$F:$F,Receitas!$J:$J,"&lt;="&amp;$A840,Receitas!$L:$L,"&gt;="&amp;$A840,Receitas!$C:$C,Q$1,Receitas!$M:$M,"Mensal")+SUMIFS(Receitas!$F:$F,Receitas!$J:$J,"&lt;="&amp;$A840,Receitas!$L:$L,"&gt;="&amp;$A840,Receitas!$C:$C,Q$1,Receitas!$M:$M,$B840)</f>
        <v>0</v>
      </c>
      <c r="R840" s="18" cm="1">
        <f t="array" ref="R840">(IF(AND(Membros!$F$2="Sim",A840&lt;=MAX(Membros!$E$2:$E$5)),Membros!K$2,IF(AND(A840&gt;=Membros!J$2,A840&lt;=MAX(Membros!$E$2:$E$5)),Membros!K$2,0))+IF(AND(Membros!$F$3="Sim",A840&lt;=MAX(Membros!$E$2:$E$5)),Membros!K$3,IF(AND(A840&gt;=Membros!J$3,A840&lt;=MAX(Membros!$E$2:$E$5)),Membros!K$3,0)))*IF(AND(COUNTIFS(Tabela3[Tipo],"Provedor",Tabela3[Simulação Seguro],"Sim")=2,A840&gt;=MAX(IF(Tabela3[Tipo]="Dependente",Tabela3[Expectativa de Vida (Data)]))),0,1)</f>
        <v>10000</v>
      </c>
      <c r="S840" s="18">
        <f t="shared" si="110"/>
        <v>10000</v>
      </c>
      <c r="U840" s="18">
        <f t="shared" ca="1" si="113"/>
        <v>73676467.544453144</v>
      </c>
      <c r="V840" s="18">
        <f>SUMIF(Imóveis!E:E,Dados!A:A,Imóveis!Z:Z)-SUMIF(Imóveis!E:E,Dados!A:A,Imóveis!Y:Y)</f>
        <v>0</v>
      </c>
      <c r="W840" s="18">
        <f>-SUMIF(Projetos!N:N,A840,Projetos!F:F)</f>
        <v>0</v>
      </c>
      <c r="X840" s="18">
        <f t="shared" si="107"/>
        <v>-27000</v>
      </c>
      <c r="Y840" s="26">
        <f ca="1">(U840*((Indicadores_Economicos!D$2+1)^(1/12)-1))</f>
        <v>241197.58281216343</v>
      </c>
      <c r="Z840" s="18">
        <f t="shared" ca="1" si="111"/>
        <v>73890665.127265304</v>
      </c>
      <c r="AA840" s="18">
        <f ca="1">Auxiliar_Projetos!E840</f>
        <v>6.0490960792619312E-9</v>
      </c>
      <c r="AB840" s="18">
        <f ca="1">Auxiliar_Projetos!K840</f>
        <v>4.6531508302014788E-9</v>
      </c>
      <c r="AC840" s="18">
        <f ca="1">IF(Z840-AA840-AB840&gt;Investimentos!$C$14,Investimentos!$C$14,IF(Z840-AA840-AB840&lt;Investimentos!$C$14,Z840-AA840-AB840,0))</f>
        <v>300000</v>
      </c>
      <c r="AD840" s="18">
        <f t="shared" ca="1" si="112"/>
        <v>73590665.127265304</v>
      </c>
      <c r="AE840" s="18"/>
    </row>
    <row r="841" spans="1:33" x14ac:dyDescent="0.2">
      <c r="A841" s="4">
        <v>71194</v>
      </c>
      <c r="B841" s="5" t="str">
        <f t="shared" si="108"/>
        <v>dezembro</v>
      </c>
      <c r="C841" s="5" t="str">
        <f t="shared" si="106"/>
        <v>2094</v>
      </c>
      <c r="D841" s="5">
        <f>SUMIFS(Despesas!$F:$F,Despesas!$J:$J,"&lt;="&amp;$A841,Despesas!$L:$L,"&gt;="&amp;$A841,Despesas!$C:$C,D$1,Despesas!$M:$M,"Mensal")+SUMIFS(Despesas!$F:$F,Despesas!$J:$J,"&lt;="&amp;$A841,Despesas!$L:$L,"&gt;="&amp;$A841,Despesas!$C:$C,D$1,Despesas!$M:$M,$B841)</f>
        <v>23000</v>
      </c>
      <c r="E841" s="18">
        <f>SUMIFS(Despesas!$F:$F,Despesas!$J:$J,"&lt;="&amp;$A841,Despesas!$L:$L,"&gt;="&amp;$A841,Despesas!$C:$C,E$1,Despesas!$M:$M,"Mensal")+SUMIFS(Despesas!$F:$F,Despesas!$J:$J,"&lt;="&amp;$A841,Despesas!$L:$L,"&gt;="&amp;$A841,Despesas!$C:$C,E$1,Despesas!$M:$M,$B841)</f>
        <v>0</v>
      </c>
      <c r="F841" s="5">
        <f>SUMIFS(Despesas!$F:$F,Despesas!$J:$J,"&lt;="&amp;$A841,Despesas!$L:$L,"&gt;="&amp;$A841,Despesas!$C:$C,F$1,Despesas!$M:$M,"Mensal")+SUMIFS(Despesas!$F:$F,Despesas!$J:$J,"&lt;="&amp;$A841,Despesas!$L:$L,"&gt;="&amp;$A841,Despesas!$C:$C,F$1,Despesas!$M:$M,$B841)</f>
        <v>13000</v>
      </c>
      <c r="G841" s="5">
        <f ca="1">SUMIFS(Despesas!$F:$F,Despesas!$J:$J,"&lt;="&amp;$A841,Despesas!$L:$L,"&gt;="&amp;$A841,Despesas!$C:$C,G$1,Despesas!$M:$M,"Mensal")+SUMIFS(Despesas!$F:$F,Despesas!$J:$J,"&lt;="&amp;$A841,Despesas!$L:$L,"&gt;="&amp;$A841,Despesas!$C:$C,G$1,Despesas!$M:$M,$B841)</f>
        <v>55757</v>
      </c>
      <c r="H841" s="18">
        <f>SUMIFS(Despesas!$F:$F,Despesas!$J:$J,"&lt;="&amp;$A841,Despesas!$L:$L,"&gt;="&amp;$A841,Despesas!$C:$C,H$1,Despesas!$M:$M,"Mensal")+SUMIFS(Despesas!$F:$F,Despesas!$J:$J,"&lt;="&amp;$A841,Despesas!$L:$L,"&gt;="&amp;$A841,Despesas!$C:$C,H$1,Despesas!$M:$M,$B841)</f>
        <v>1000</v>
      </c>
      <c r="I841" s="18">
        <f>IF(Imóveis!$F$2="PRICE",IF(AND(Dados!$A841&gt;=Imóveis!$Q$2,Dados!$A841&lt;=Imóveis!$T$2),Imóveis!$U$2,0),IF((IF(AND(Dados!$A841&gt;=Imóveis!$Q$2,Dados!$A841&lt;=Imóveis!$T$2),Imóveis!$S$2-(DATEDIF(Imóveis!$Q$2,Dados!$A841,"m")),0))=0,0,((Imóveis!$N$2/Imóveis!$S$2)+((Imóveis!$N$2-((Imóveis!$S$2-(IF(AND(Dados!$A841&gt;=Imóveis!$Q$2,Dados!$A841&lt;=Imóveis!$T$2),Imóveis!$S$2-(DATEDIF(Imóveis!$Q$2,Dados!$A841,"m")),)))*(Imóveis!$N$2/Imóveis!$S$2)))*Imóveis!$P$2))))*IF(AND(Imóveis!$E$2&gt;0,Dados!$A841&gt;Imóveis!$E$2),0,1)</f>
        <v>0</v>
      </c>
      <c r="J841" s="18">
        <f>IF(Imóveis!$F$3="PRICE",IF(AND(Dados!$A841&gt;=Imóveis!$Q$3,Dados!$A841&lt;=Imóveis!$T$3),Imóveis!$U$3,0),IF((IF(AND(Dados!$A841&gt;=Imóveis!$Q$3,Dados!$A841&lt;=Imóveis!$T$3),Imóveis!$S$3-(DATEDIF(Imóveis!$Q$3,Dados!$A841,"m")),0))=0,0,((Imóveis!$N$3/Imóveis!$S$3)+((Imóveis!$N$3-((Imóveis!$S$3-(IF(AND(Dados!$A841&gt;=Imóveis!$Q$3,Dados!$A841&lt;=Imóveis!$T$3),Imóveis!$S$3-(DATEDIF(Imóveis!$Q$3,Dados!$A841,"m")),)))*(Imóveis!$N$3/Imóveis!$S$3)))*Imóveis!$P$3))))*IF(AND(Imóveis!$E$3&gt;0,Dados!$A841&gt;Imóveis!$E$3),0,1)</f>
        <v>0</v>
      </c>
      <c r="K841" s="18">
        <f>IF(Imóveis!$F$4="PRICE",IF(AND(Dados!$A841&gt;=Imóveis!$Q$4,Dados!$A841&lt;=Imóveis!$T$4),Imóveis!$U$4,0),IF((IF(AND(Dados!$A841&gt;=Imóveis!$Q$4,Dados!$A841&lt;=Imóveis!$T$4),Imóveis!$S$4-(DATEDIF(Imóveis!$Q$4,Dados!$A841,"m")),0))=0,0,((Imóveis!$N$4/Imóveis!$S$4)+((Imóveis!$N$4-((Imóveis!$S$4-(IF(AND(Dados!$A841&gt;=Imóveis!$Q$4,Dados!$A841&lt;=Imóveis!$T$4),Imóveis!$S$4-(DATEDIF(Imóveis!$Q$4,Dados!$A841,"m")),)))*(Imóveis!$N$4/Imóveis!$S$4)))*Imóveis!$P$4))))*IF(AND(Imóveis!$E$4&gt;0,Dados!$A841&gt;Imóveis!$E$4),0,1)</f>
        <v>0</v>
      </c>
      <c r="L841" s="18">
        <f>IF(Imóveis!$F$5="PRICE",IF(AND(Dados!$A841&gt;=Imóveis!$Q$5,Dados!$A841&lt;=Imóveis!$T$5),Imóveis!$U$5,0),IF((IF(AND(Dados!$A841&gt;=Imóveis!$Q$5,Dados!$A841&lt;=Imóveis!$T$5),Imóveis!$S$5-(DATEDIF(Imóveis!$Q$5,Dados!$A841,"m")),0))=0,0,((Imóveis!$N$5/Imóveis!$S$5)+((Imóveis!$N$5-((Imóveis!$S$5-(IF(AND(Dados!$A841 &gt;=Imóveis!$Q$5,Dados!$A841&lt;=Imóveis!$T$5),Imóveis!$S$5-(DATEDIF(Imóveis!$Q$5,Dados!$A841,"m")),)))*(Imóveis!$N$5/Imóveis!$S$5)))*Imóveis!$P$5))))*IF(AND(Imóveis!$E$5&gt;0,Dados!$A841&gt;Imóveis!$E$5),0,1)*Imóveis!$I$5</f>
        <v>0</v>
      </c>
      <c r="M841" s="18">
        <f>IF(Imóveis!$F$6="PRICE",IF(AND(Dados!$A841&gt;=Imóveis!$Q$6,Dados!$A841&lt;=Imóveis!$T$6),Imóveis!$U$6,0),IF((IF(AND(Dados!$A841&gt;=Imóveis!$Q$6,Dados!$A841&lt;=Imóveis!$T$6),Imóveis!$S$6-(DATEDIF(Imóveis!$Q$6,Dados!$A841,"m")),0))=0,0,((Imóveis!$N$6/Imóveis!$S$6)+((Imóveis!$N$6-((Imóveis!$S$6-(IF(AND(Dados!$A841&gt;=Imóveis!$Q$6,Dados!$A841&lt;=Imóveis!$T$6),Imóveis!$S$6-(DATEDIF(Imóveis!$Q$6,Dados!$A841,"m")),)))*(Imóveis!$N$6/Imóveis!$S$6)))*Imóveis!$P$6))))*IF(AND(Imóveis!$E$6&gt;0,Dados!$A841&gt;Imóveis!$E$6),0,1)*Imóveis!$I$6</f>
        <v>0</v>
      </c>
      <c r="N841" s="18">
        <f t="shared" ca="1" si="109"/>
        <v>92757</v>
      </c>
      <c r="O841" s="18">
        <f>SUMIFS(Receitas!$F:$F,Receitas!$J:$J,"&lt;="&amp;$A841,Receitas!$L:$L,"&gt;="&amp;$A841,Receitas!$C:$C,O$1,Receitas!$M:$M,"Mensal")+SUMIFS(Receitas!$F:$F,Receitas!$J:$J,"&lt;="&amp;$A841,Receitas!$L:$L,"&gt;="&amp;$A841,Receitas!$C:$C,O$1,Receitas!$M:$M,$B841)</f>
        <v>0</v>
      </c>
      <c r="P841" s="18">
        <f>SUMIFS(Receitas!$F:$F,Receitas!$J:$J,"&lt;="&amp;$A841,Receitas!$L:$L,"&gt;="&amp;$A841,Receitas!$C:$C,P$1,Receitas!$M:$M,"Mensal")+SUMIFS(Receitas!$F:$F,Receitas!$J:$J,"&lt;="&amp;$A841,Receitas!$L:$L,"&gt;="&amp;$A841,Receitas!$C:$C,P$1,Receitas!$M:$M,$B841)</f>
        <v>0</v>
      </c>
      <c r="Q841" s="18">
        <f>SUMIFS(Receitas!$F:$F,Receitas!$J:$J,"&lt;="&amp;$A841,Receitas!$L:$L,"&gt;="&amp;$A841,Receitas!$C:$C,Q$1,Receitas!$M:$M,"Mensal")+SUMIFS(Receitas!$F:$F,Receitas!$J:$J,"&lt;="&amp;$A841,Receitas!$L:$L,"&gt;="&amp;$A841,Receitas!$C:$C,Q$1,Receitas!$M:$M,$B841)</f>
        <v>0</v>
      </c>
      <c r="R841" s="18" cm="1">
        <f t="array" ref="R841">(IF(AND(Membros!$F$2="Sim",A841&lt;=MAX(Membros!$E$2:$E$5)),Membros!K$2,IF(AND(A841&gt;=Membros!J$2,A841&lt;=MAX(Membros!$E$2:$E$5)),Membros!K$2,0))+IF(AND(Membros!$F$3="Sim",A841&lt;=MAX(Membros!$E$2:$E$5)),Membros!K$3,IF(AND(A841&gt;=Membros!J$3,A841&lt;=MAX(Membros!$E$2:$E$5)),Membros!K$3,0)))*IF(AND(COUNTIFS(Tabela3[Tipo],"Provedor",Tabela3[Simulação Seguro],"Sim")=2,A841&gt;=MAX(IF(Tabela3[Tipo]="Dependente",Tabela3[Expectativa de Vida (Data)]))),0,1)</f>
        <v>10000</v>
      </c>
      <c r="S841" s="18">
        <f t="shared" si="110"/>
        <v>10000</v>
      </c>
      <c r="U841" s="18">
        <f t="shared" ca="1" si="113"/>
        <v>73890665.127265304</v>
      </c>
      <c r="V841" s="18">
        <f>SUMIF(Imóveis!E:E,Dados!A:A,Imóveis!Z:Z)-SUMIF(Imóveis!E:E,Dados!A:A,Imóveis!Y:Y)</f>
        <v>0</v>
      </c>
      <c r="W841" s="18">
        <f>-SUMIF(Projetos!N:N,A841,Projetos!F:F)</f>
        <v>0</v>
      </c>
      <c r="X841" s="18">
        <f t="shared" ca="1" si="107"/>
        <v>-82757</v>
      </c>
      <c r="Y841" s="26">
        <f ca="1">(U841*((Indicadores_Economicos!D$2+1)^(1/12)-1))</f>
        <v>241898.80996026643</v>
      </c>
      <c r="Z841" s="18">
        <f t="shared" ca="1" si="111"/>
        <v>74049806.937225565</v>
      </c>
      <c r="AA841" s="18">
        <f ca="1">Auxiliar_Projetos!E841</f>
        <v>6.0688992457429544E-9</v>
      </c>
      <c r="AB841" s="18">
        <f ca="1">Auxiliar_Projetos!K841</f>
        <v>4.668384035186881E-9</v>
      </c>
      <c r="AC841" s="18">
        <f ca="1">IF(Z841-AA841-AB841&gt;Investimentos!$C$14,Investimentos!$C$14,IF(Z841-AA841-AB841&lt;Investimentos!$C$14,Z841-AA841-AB841,0))</f>
        <v>300000</v>
      </c>
      <c r="AD841" s="18">
        <f t="shared" ca="1" si="112"/>
        <v>73749806.937225565</v>
      </c>
      <c r="AE841" s="18"/>
    </row>
    <row r="842" spans="1:33" x14ac:dyDescent="0.2">
      <c r="A842" s="4">
        <v>71225</v>
      </c>
      <c r="B842" s="5" t="str">
        <f t="shared" si="108"/>
        <v>janeiro</v>
      </c>
      <c r="C842" s="5" t="str">
        <f t="shared" si="106"/>
        <v>2095</v>
      </c>
      <c r="D842" s="5">
        <f>SUMIFS(Despesas!$F:$F,Despesas!$J:$J,"&lt;="&amp;$A842,Despesas!$L:$L,"&gt;="&amp;$A842,Despesas!$C:$C,D$1,Despesas!$M:$M,"Mensal")+SUMIFS(Despesas!$F:$F,Despesas!$J:$J,"&lt;="&amp;$A842,Despesas!$L:$L,"&gt;="&amp;$A842,Despesas!$C:$C,D$1,Despesas!$M:$M,$B842)</f>
        <v>23000</v>
      </c>
      <c r="E842" s="18">
        <f>SUMIFS(Despesas!$F:$F,Despesas!$J:$J,"&lt;="&amp;$A842,Despesas!$L:$L,"&gt;="&amp;$A842,Despesas!$C:$C,E$1,Despesas!$M:$M,"Mensal")+SUMIFS(Despesas!$F:$F,Despesas!$J:$J,"&lt;="&amp;$A842,Despesas!$L:$L,"&gt;="&amp;$A842,Despesas!$C:$C,E$1,Despesas!$M:$M,$B842)</f>
        <v>0</v>
      </c>
      <c r="F842" s="5">
        <f>SUMIFS(Despesas!$F:$F,Despesas!$J:$J,"&lt;="&amp;$A842,Despesas!$L:$L,"&gt;="&amp;$A842,Despesas!$C:$C,F$1,Despesas!$M:$M,"Mensal")+SUMIFS(Despesas!$F:$F,Despesas!$J:$J,"&lt;="&amp;$A842,Despesas!$L:$L,"&gt;="&amp;$A842,Despesas!$C:$C,F$1,Despesas!$M:$M,$B842)</f>
        <v>13000</v>
      </c>
      <c r="G842" s="5">
        <f>SUMIFS(Despesas!$F:$F,Despesas!$J:$J,"&lt;="&amp;$A842,Despesas!$L:$L,"&gt;="&amp;$A842,Despesas!$C:$C,G$1,Despesas!$M:$M,"Mensal")+SUMIFS(Despesas!$F:$F,Despesas!$J:$J,"&lt;="&amp;$A842,Despesas!$L:$L,"&gt;="&amp;$A842,Despesas!$C:$C,G$1,Despesas!$M:$M,$B842)</f>
        <v>0</v>
      </c>
      <c r="H842" s="18">
        <f>SUMIFS(Despesas!$F:$F,Despesas!$J:$J,"&lt;="&amp;$A842,Despesas!$L:$L,"&gt;="&amp;$A842,Despesas!$C:$C,H$1,Despesas!$M:$M,"Mensal")+SUMIFS(Despesas!$F:$F,Despesas!$J:$J,"&lt;="&amp;$A842,Despesas!$L:$L,"&gt;="&amp;$A842,Despesas!$C:$C,H$1,Despesas!$M:$M,$B842)</f>
        <v>1000</v>
      </c>
      <c r="I842" s="18">
        <f>IF(Imóveis!$F$2="PRICE",IF(AND(Dados!$A842&gt;=Imóveis!$Q$2,Dados!$A842&lt;=Imóveis!$T$2),Imóveis!$U$2,0),IF((IF(AND(Dados!$A842&gt;=Imóveis!$Q$2,Dados!$A842&lt;=Imóveis!$T$2),Imóveis!$S$2-(DATEDIF(Imóveis!$Q$2,Dados!$A842,"m")),0))=0,0,((Imóveis!$N$2/Imóveis!$S$2)+((Imóveis!$N$2-((Imóveis!$S$2-(IF(AND(Dados!$A842&gt;=Imóveis!$Q$2,Dados!$A842&lt;=Imóveis!$T$2),Imóveis!$S$2-(DATEDIF(Imóveis!$Q$2,Dados!$A842,"m")),)))*(Imóveis!$N$2/Imóveis!$S$2)))*Imóveis!$P$2))))*IF(AND(Imóveis!$E$2&gt;0,Dados!$A842&gt;Imóveis!$E$2),0,1)</f>
        <v>0</v>
      </c>
      <c r="J842" s="18">
        <f>IF(Imóveis!$F$3="PRICE",IF(AND(Dados!$A842&gt;=Imóveis!$Q$3,Dados!$A842&lt;=Imóveis!$T$3),Imóveis!$U$3,0),IF((IF(AND(Dados!$A842&gt;=Imóveis!$Q$3,Dados!$A842&lt;=Imóveis!$T$3),Imóveis!$S$3-(DATEDIF(Imóveis!$Q$3,Dados!$A842,"m")),0))=0,0,((Imóveis!$N$3/Imóveis!$S$3)+((Imóveis!$N$3-((Imóveis!$S$3-(IF(AND(Dados!$A842&gt;=Imóveis!$Q$3,Dados!$A842&lt;=Imóveis!$T$3),Imóveis!$S$3-(DATEDIF(Imóveis!$Q$3,Dados!$A842,"m")),)))*(Imóveis!$N$3/Imóveis!$S$3)))*Imóveis!$P$3))))*IF(AND(Imóveis!$E$3&gt;0,Dados!$A842&gt;Imóveis!$E$3),0,1)</f>
        <v>0</v>
      </c>
      <c r="K842" s="18">
        <f>IF(Imóveis!$F$4="PRICE",IF(AND(Dados!$A842&gt;=Imóveis!$Q$4,Dados!$A842&lt;=Imóveis!$T$4),Imóveis!$U$4,0),IF((IF(AND(Dados!$A842&gt;=Imóveis!$Q$4,Dados!$A842&lt;=Imóveis!$T$4),Imóveis!$S$4-(DATEDIF(Imóveis!$Q$4,Dados!$A842,"m")),0))=0,0,((Imóveis!$N$4/Imóveis!$S$4)+((Imóveis!$N$4-((Imóveis!$S$4-(IF(AND(Dados!$A842&gt;=Imóveis!$Q$4,Dados!$A842&lt;=Imóveis!$T$4),Imóveis!$S$4-(DATEDIF(Imóveis!$Q$4,Dados!$A842,"m")),)))*(Imóveis!$N$4/Imóveis!$S$4)))*Imóveis!$P$4))))*IF(AND(Imóveis!$E$4&gt;0,Dados!$A842&gt;Imóveis!$E$4),0,1)</f>
        <v>0</v>
      </c>
      <c r="L842" s="18">
        <f>IF(Imóveis!$F$5="PRICE",IF(AND(Dados!$A842&gt;=Imóveis!$Q$5,Dados!$A842&lt;=Imóveis!$T$5),Imóveis!$U$5,0),IF((IF(AND(Dados!$A842&gt;=Imóveis!$Q$5,Dados!$A842&lt;=Imóveis!$T$5),Imóveis!$S$5-(DATEDIF(Imóveis!$Q$5,Dados!$A842,"m")),0))=0,0,((Imóveis!$N$5/Imóveis!$S$5)+((Imóveis!$N$5-((Imóveis!$S$5-(IF(AND(Dados!$A842 &gt;=Imóveis!$Q$5,Dados!$A842&lt;=Imóveis!$T$5),Imóveis!$S$5-(DATEDIF(Imóveis!$Q$5,Dados!$A842,"m")),)))*(Imóveis!$N$5/Imóveis!$S$5)))*Imóveis!$P$5))))*IF(AND(Imóveis!$E$5&gt;0,Dados!$A842&gt;Imóveis!$E$5),0,1)*Imóveis!$I$5</f>
        <v>0</v>
      </c>
      <c r="M842" s="18">
        <f>IF(Imóveis!$F$6="PRICE",IF(AND(Dados!$A842&gt;=Imóveis!$Q$6,Dados!$A842&lt;=Imóveis!$T$6),Imóveis!$U$6,0),IF((IF(AND(Dados!$A842&gt;=Imóveis!$Q$6,Dados!$A842&lt;=Imóveis!$T$6),Imóveis!$S$6-(DATEDIF(Imóveis!$Q$6,Dados!$A842,"m")),0))=0,0,((Imóveis!$N$6/Imóveis!$S$6)+((Imóveis!$N$6-((Imóveis!$S$6-(IF(AND(Dados!$A842&gt;=Imóveis!$Q$6,Dados!$A842&lt;=Imóveis!$T$6),Imóveis!$S$6-(DATEDIF(Imóveis!$Q$6,Dados!$A842,"m")),)))*(Imóveis!$N$6/Imóveis!$S$6)))*Imóveis!$P$6))))*IF(AND(Imóveis!$E$6&gt;0,Dados!$A842&gt;Imóveis!$E$6),0,1)*Imóveis!$I$6</f>
        <v>0</v>
      </c>
      <c r="N842" s="18">
        <f t="shared" si="109"/>
        <v>37000</v>
      </c>
      <c r="O842" s="18">
        <f>SUMIFS(Receitas!$F:$F,Receitas!$J:$J,"&lt;="&amp;$A842,Receitas!$L:$L,"&gt;="&amp;$A842,Receitas!$C:$C,O$1,Receitas!$M:$M,"Mensal")+SUMIFS(Receitas!$F:$F,Receitas!$J:$J,"&lt;="&amp;$A842,Receitas!$L:$L,"&gt;="&amp;$A842,Receitas!$C:$C,O$1,Receitas!$M:$M,$B842)</f>
        <v>0</v>
      </c>
      <c r="P842" s="18">
        <f>SUMIFS(Receitas!$F:$F,Receitas!$J:$J,"&lt;="&amp;$A842,Receitas!$L:$L,"&gt;="&amp;$A842,Receitas!$C:$C,P$1,Receitas!$M:$M,"Mensal")+SUMIFS(Receitas!$F:$F,Receitas!$J:$J,"&lt;="&amp;$A842,Receitas!$L:$L,"&gt;="&amp;$A842,Receitas!$C:$C,P$1,Receitas!$M:$M,$B842)</f>
        <v>0</v>
      </c>
      <c r="Q842" s="18">
        <f>SUMIFS(Receitas!$F:$F,Receitas!$J:$J,"&lt;="&amp;$A842,Receitas!$L:$L,"&gt;="&amp;$A842,Receitas!$C:$C,Q$1,Receitas!$M:$M,"Mensal")+SUMIFS(Receitas!$F:$F,Receitas!$J:$J,"&lt;="&amp;$A842,Receitas!$L:$L,"&gt;="&amp;$A842,Receitas!$C:$C,Q$1,Receitas!$M:$M,$B842)</f>
        <v>0</v>
      </c>
      <c r="R842" s="18" cm="1">
        <f t="array" ref="R842">(IF(AND(Membros!$F$2="Sim",A842&lt;=MAX(Membros!$E$2:$E$5)),Membros!K$2,IF(AND(A842&gt;=Membros!J$2,A842&lt;=MAX(Membros!$E$2:$E$5)),Membros!K$2,0))+IF(AND(Membros!$F$3="Sim",A842&lt;=MAX(Membros!$E$2:$E$5)),Membros!K$3,IF(AND(A842&gt;=Membros!J$3,A842&lt;=MAX(Membros!$E$2:$E$5)),Membros!K$3,0)))*IF(AND(COUNTIFS(Tabela3[Tipo],"Provedor",Tabela3[Simulação Seguro],"Sim")=2,A842&gt;=MAX(IF(Tabela3[Tipo]="Dependente",Tabela3[Expectativa de Vida (Data)]))),0,1)</f>
        <v>10000</v>
      </c>
      <c r="S842" s="18">
        <f t="shared" si="110"/>
        <v>10000</v>
      </c>
      <c r="U842" s="18">
        <f t="shared" ca="1" si="113"/>
        <v>74049806.937225565</v>
      </c>
      <c r="V842" s="18">
        <f>SUMIF(Imóveis!E:E,Dados!A:A,Imóveis!Z:Z)-SUMIF(Imóveis!E:E,Dados!A:A,Imóveis!Y:Y)</f>
        <v>0</v>
      </c>
      <c r="W842" s="18">
        <f>-SUMIF(Projetos!N:N,A842,Projetos!F:F)</f>
        <v>0</v>
      </c>
      <c r="X842" s="18">
        <f t="shared" si="107"/>
        <v>-27000</v>
      </c>
      <c r="Y842" s="26">
        <f ca="1">(U842*((Indicadores_Economicos!D$2+1)^(1/12)-1))</f>
        <v>242419.79883454449</v>
      </c>
      <c r="Z842" s="18">
        <f t="shared" ca="1" si="111"/>
        <v>74265226.736060113</v>
      </c>
      <c r="AA842" s="18">
        <f ca="1">Auxiliar_Projetos!E842</f>
        <v>6.0887672426379E-9</v>
      </c>
      <c r="AB842" s="18">
        <f ca="1">Auxiliar_Projetos!K842</f>
        <v>4.6836671097214548E-9</v>
      </c>
      <c r="AC842" s="18">
        <f ca="1">IF(Z842-AA842-AB842&gt;Investimentos!$C$14,Investimentos!$C$14,IF(Z842-AA842-AB842&lt;Investimentos!$C$14,Z842-AA842-AB842,0))</f>
        <v>300000</v>
      </c>
      <c r="AD842" s="18">
        <f t="shared" ca="1" si="112"/>
        <v>73965226.736060113</v>
      </c>
      <c r="AE842" s="18"/>
    </row>
    <row r="843" spans="1:33" x14ac:dyDescent="0.2">
      <c r="A843" s="4">
        <v>71256</v>
      </c>
      <c r="B843" s="5" t="str">
        <f t="shared" si="108"/>
        <v>fevereiro</v>
      </c>
      <c r="C843" s="5" t="str">
        <f t="shared" si="106"/>
        <v>2095</v>
      </c>
      <c r="D843" s="5">
        <f>SUMIFS(Despesas!$F:$F,Despesas!$J:$J,"&lt;="&amp;$A843,Despesas!$L:$L,"&gt;="&amp;$A843,Despesas!$C:$C,D$1,Despesas!$M:$M,"Mensal")+SUMIFS(Despesas!$F:$F,Despesas!$J:$J,"&lt;="&amp;$A843,Despesas!$L:$L,"&gt;="&amp;$A843,Despesas!$C:$C,D$1,Despesas!$M:$M,$B843)</f>
        <v>23000</v>
      </c>
      <c r="E843" s="18">
        <f>SUMIFS(Despesas!$F:$F,Despesas!$J:$J,"&lt;="&amp;$A843,Despesas!$L:$L,"&gt;="&amp;$A843,Despesas!$C:$C,E$1,Despesas!$M:$M,"Mensal")+SUMIFS(Despesas!$F:$F,Despesas!$J:$J,"&lt;="&amp;$A843,Despesas!$L:$L,"&gt;="&amp;$A843,Despesas!$C:$C,E$1,Despesas!$M:$M,$B843)</f>
        <v>0</v>
      </c>
      <c r="F843" s="5">
        <f>SUMIFS(Despesas!$F:$F,Despesas!$J:$J,"&lt;="&amp;$A843,Despesas!$L:$L,"&gt;="&amp;$A843,Despesas!$C:$C,F$1,Despesas!$M:$M,"Mensal")+SUMIFS(Despesas!$F:$F,Despesas!$J:$J,"&lt;="&amp;$A843,Despesas!$L:$L,"&gt;="&amp;$A843,Despesas!$C:$C,F$1,Despesas!$M:$M,$B843)</f>
        <v>13000</v>
      </c>
      <c r="G843" s="5">
        <f>SUMIFS(Despesas!$F:$F,Despesas!$J:$J,"&lt;="&amp;$A843,Despesas!$L:$L,"&gt;="&amp;$A843,Despesas!$C:$C,G$1,Despesas!$M:$M,"Mensal")+SUMIFS(Despesas!$F:$F,Despesas!$J:$J,"&lt;="&amp;$A843,Despesas!$L:$L,"&gt;="&amp;$A843,Despesas!$C:$C,G$1,Despesas!$M:$M,$B843)</f>
        <v>0</v>
      </c>
      <c r="H843" s="18">
        <f>SUMIFS(Despesas!$F:$F,Despesas!$J:$J,"&lt;="&amp;$A843,Despesas!$L:$L,"&gt;="&amp;$A843,Despesas!$C:$C,H$1,Despesas!$M:$M,"Mensal")+SUMIFS(Despesas!$F:$F,Despesas!$J:$J,"&lt;="&amp;$A843,Despesas!$L:$L,"&gt;="&amp;$A843,Despesas!$C:$C,H$1,Despesas!$M:$M,$B843)</f>
        <v>2200</v>
      </c>
      <c r="I843" s="18">
        <f>IF(Imóveis!$F$2="PRICE",IF(AND(Dados!$A843&gt;=Imóveis!$Q$2,Dados!$A843&lt;=Imóveis!$T$2),Imóveis!$U$2,0),IF((IF(AND(Dados!$A843&gt;=Imóveis!$Q$2,Dados!$A843&lt;=Imóveis!$T$2),Imóveis!$S$2-(DATEDIF(Imóveis!$Q$2,Dados!$A843,"m")),0))=0,0,((Imóveis!$N$2/Imóveis!$S$2)+((Imóveis!$N$2-((Imóveis!$S$2-(IF(AND(Dados!$A843&gt;=Imóveis!$Q$2,Dados!$A843&lt;=Imóveis!$T$2),Imóveis!$S$2-(DATEDIF(Imóveis!$Q$2,Dados!$A843,"m")),)))*(Imóveis!$N$2/Imóveis!$S$2)))*Imóveis!$P$2))))*IF(AND(Imóveis!$E$2&gt;0,Dados!$A843&gt;Imóveis!$E$2),0,1)</f>
        <v>0</v>
      </c>
      <c r="J843" s="18">
        <f>IF(Imóveis!$F$3="PRICE",IF(AND(Dados!$A843&gt;=Imóveis!$Q$3,Dados!$A843&lt;=Imóveis!$T$3),Imóveis!$U$3,0),IF((IF(AND(Dados!$A843&gt;=Imóveis!$Q$3,Dados!$A843&lt;=Imóveis!$T$3),Imóveis!$S$3-(DATEDIF(Imóveis!$Q$3,Dados!$A843,"m")),0))=0,0,((Imóveis!$N$3/Imóveis!$S$3)+((Imóveis!$N$3-((Imóveis!$S$3-(IF(AND(Dados!$A843&gt;=Imóveis!$Q$3,Dados!$A843&lt;=Imóveis!$T$3),Imóveis!$S$3-(DATEDIF(Imóveis!$Q$3,Dados!$A843,"m")),)))*(Imóveis!$N$3/Imóveis!$S$3)))*Imóveis!$P$3))))*IF(AND(Imóveis!$E$3&gt;0,Dados!$A843&gt;Imóveis!$E$3),0,1)</f>
        <v>0</v>
      </c>
      <c r="K843" s="18">
        <f>IF(Imóveis!$F$4="PRICE",IF(AND(Dados!$A843&gt;=Imóveis!$Q$4,Dados!$A843&lt;=Imóveis!$T$4),Imóveis!$U$4,0),IF((IF(AND(Dados!$A843&gt;=Imóveis!$Q$4,Dados!$A843&lt;=Imóveis!$T$4),Imóveis!$S$4-(DATEDIF(Imóveis!$Q$4,Dados!$A843,"m")),0))=0,0,((Imóveis!$N$4/Imóveis!$S$4)+((Imóveis!$N$4-((Imóveis!$S$4-(IF(AND(Dados!$A843&gt;=Imóveis!$Q$4,Dados!$A843&lt;=Imóveis!$T$4),Imóveis!$S$4-(DATEDIF(Imóveis!$Q$4,Dados!$A843,"m")),)))*(Imóveis!$N$4/Imóveis!$S$4)))*Imóveis!$P$4))))*IF(AND(Imóveis!$E$4&gt;0,Dados!$A843&gt;Imóveis!$E$4),0,1)</f>
        <v>0</v>
      </c>
      <c r="L843" s="18">
        <f>IF(Imóveis!$F$5="PRICE",IF(AND(Dados!$A843&gt;=Imóveis!$Q$5,Dados!$A843&lt;=Imóveis!$T$5),Imóveis!$U$5,0),IF((IF(AND(Dados!$A843&gt;=Imóveis!$Q$5,Dados!$A843&lt;=Imóveis!$T$5),Imóveis!$S$5-(DATEDIF(Imóveis!$Q$5,Dados!$A843,"m")),0))=0,0,((Imóveis!$N$5/Imóveis!$S$5)+((Imóveis!$N$5-((Imóveis!$S$5-(IF(AND(Dados!$A843 &gt;=Imóveis!$Q$5,Dados!$A843&lt;=Imóveis!$T$5),Imóveis!$S$5-(DATEDIF(Imóveis!$Q$5,Dados!$A843,"m")),)))*(Imóveis!$N$5/Imóveis!$S$5)))*Imóveis!$P$5))))*IF(AND(Imóveis!$E$5&gt;0,Dados!$A843&gt;Imóveis!$E$5),0,1)*Imóveis!$I$5</f>
        <v>0</v>
      </c>
      <c r="M843" s="18">
        <f>IF(Imóveis!$F$6="PRICE",IF(AND(Dados!$A843&gt;=Imóveis!$Q$6,Dados!$A843&lt;=Imóveis!$T$6),Imóveis!$U$6,0),IF((IF(AND(Dados!$A843&gt;=Imóveis!$Q$6,Dados!$A843&lt;=Imóveis!$T$6),Imóveis!$S$6-(DATEDIF(Imóveis!$Q$6,Dados!$A843,"m")),0))=0,0,((Imóveis!$N$6/Imóveis!$S$6)+((Imóveis!$N$6-((Imóveis!$S$6-(IF(AND(Dados!$A843&gt;=Imóveis!$Q$6,Dados!$A843&lt;=Imóveis!$T$6),Imóveis!$S$6-(DATEDIF(Imóveis!$Q$6,Dados!$A843,"m")),)))*(Imóveis!$N$6/Imóveis!$S$6)))*Imóveis!$P$6))))*IF(AND(Imóveis!$E$6&gt;0,Dados!$A843&gt;Imóveis!$E$6),0,1)*Imóveis!$I$6</f>
        <v>0</v>
      </c>
      <c r="N843" s="18">
        <f t="shared" si="109"/>
        <v>38200</v>
      </c>
      <c r="O843" s="18">
        <f>SUMIFS(Receitas!$F:$F,Receitas!$J:$J,"&lt;="&amp;$A843,Receitas!$L:$L,"&gt;="&amp;$A843,Receitas!$C:$C,O$1,Receitas!$M:$M,"Mensal")+SUMIFS(Receitas!$F:$F,Receitas!$J:$J,"&lt;="&amp;$A843,Receitas!$L:$L,"&gt;="&amp;$A843,Receitas!$C:$C,O$1,Receitas!$M:$M,$B843)</f>
        <v>0</v>
      </c>
      <c r="P843" s="18">
        <f>SUMIFS(Receitas!$F:$F,Receitas!$J:$J,"&lt;="&amp;$A843,Receitas!$L:$L,"&gt;="&amp;$A843,Receitas!$C:$C,P$1,Receitas!$M:$M,"Mensal")+SUMIFS(Receitas!$F:$F,Receitas!$J:$J,"&lt;="&amp;$A843,Receitas!$L:$L,"&gt;="&amp;$A843,Receitas!$C:$C,P$1,Receitas!$M:$M,$B843)</f>
        <v>0</v>
      </c>
      <c r="Q843" s="18">
        <f>SUMIFS(Receitas!$F:$F,Receitas!$J:$J,"&lt;="&amp;$A843,Receitas!$L:$L,"&gt;="&amp;$A843,Receitas!$C:$C,Q$1,Receitas!$M:$M,"Mensal")+SUMIFS(Receitas!$F:$F,Receitas!$J:$J,"&lt;="&amp;$A843,Receitas!$L:$L,"&gt;="&amp;$A843,Receitas!$C:$C,Q$1,Receitas!$M:$M,$B843)</f>
        <v>0</v>
      </c>
      <c r="R843" s="18" cm="1">
        <f t="array" ref="R843">(IF(AND(Membros!$F$2="Sim",A843&lt;=MAX(Membros!$E$2:$E$5)),Membros!K$2,IF(AND(A843&gt;=Membros!J$2,A843&lt;=MAX(Membros!$E$2:$E$5)),Membros!K$2,0))+IF(AND(Membros!$F$3="Sim",A843&lt;=MAX(Membros!$E$2:$E$5)),Membros!K$3,IF(AND(A843&gt;=Membros!J$3,A843&lt;=MAX(Membros!$E$2:$E$5)),Membros!K$3,0)))*IF(AND(COUNTIFS(Tabela3[Tipo],"Provedor",Tabela3[Simulação Seguro],"Sim")=2,A843&gt;=MAX(IF(Tabela3[Tipo]="Dependente",Tabela3[Expectativa de Vida (Data)]))),0,1)</f>
        <v>10000</v>
      </c>
      <c r="S843" s="18">
        <f t="shared" si="110"/>
        <v>10000</v>
      </c>
      <c r="U843" s="18">
        <f t="shared" ca="1" si="113"/>
        <v>74265226.736060113</v>
      </c>
      <c r="V843" s="18">
        <f>SUMIF(Imóveis!E:E,Dados!A:A,Imóveis!Z:Z)-SUMIF(Imóveis!E:E,Dados!A:A,Imóveis!Y:Y)</f>
        <v>0</v>
      </c>
      <c r="W843" s="18">
        <f>-SUMIF(Projetos!N:N,A843,Projetos!F:F)</f>
        <v>0</v>
      </c>
      <c r="X843" s="18">
        <f t="shared" si="107"/>
        <v>-28200</v>
      </c>
      <c r="Y843" s="26">
        <f ca="1">(U843*((Indicadores_Economicos!D$2+1)^(1/12)-1))</f>
        <v>243125.02719986244</v>
      </c>
      <c r="Z843" s="18">
        <f t="shared" ca="1" si="111"/>
        <v>74480151.763259977</v>
      </c>
      <c r="AA843" s="18">
        <f ca="1">Auxiliar_Projetos!E843</f>
        <v>6.1087002821846736E-9</v>
      </c>
      <c r="AB843" s="18">
        <f ca="1">Auxiliar_Projetos!K843</f>
        <v>4.6990002170651261E-9</v>
      </c>
      <c r="AC843" s="18">
        <f ca="1">IF(Z843-AA843-AB843&gt;Investimentos!$C$14,Investimentos!$C$14,IF(Z843-AA843-AB843&lt;Investimentos!$C$14,Z843-AA843-AB843,0))</f>
        <v>300000</v>
      </c>
      <c r="AD843" s="18">
        <f t="shared" ca="1" si="112"/>
        <v>74180151.763259977</v>
      </c>
      <c r="AE843" s="18"/>
    </row>
    <row r="844" spans="1:33" x14ac:dyDescent="0.2">
      <c r="A844" s="4">
        <v>71284</v>
      </c>
      <c r="B844" s="5" t="str">
        <f t="shared" si="108"/>
        <v>março</v>
      </c>
      <c r="C844" s="5" t="str">
        <f t="shared" si="106"/>
        <v>2095</v>
      </c>
      <c r="D844" s="5">
        <f>SUMIFS(Despesas!$F:$F,Despesas!$J:$J,"&lt;="&amp;$A844,Despesas!$L:$L,"&gt;="&amp;$A844,Despesas!$C:$C,D$1,Despesas!$M:$M,"Mensal")+SUMIFS(Despesas!$F:$F,Despesas!$J:$J,"&lt;="&amp;$A844,Despesas!$L:$L,"&gt;="&amp;$A844,Despesas!$C:$C,D$1,Despesas!$M:$M,$B844)</f>
        <v>23000</v>
      </c>
      <c r="E844" s="18">
        <f>SUMIFS(Despesas!$F:$F,Despesas!$J:$J,"&lt;="&amp;$A844,Despesas!$L:$L,"&gt;="&amp;$A844,Despesas!$C:$C,E$1,Despesas!$M:$M,"Mensal")+SUMIFS(Despesas!$F:$F,Despesas!$J:$J,"&lt;="&amp;$A844,Despesas!$L:$L,"&gt;="&amp;$A844,Despesas!$C:$C,E$1,Despesas!$M:$M,$B844)</f>
        <v>0</v>
      </c>
      <c r="F844" s="5">
        <f>SUMIFS(Despesas!$F:$F,Despesas!$J:$J,"&lt;="&amp;$A844,Despesas!$L:$L,"&gt;="&amp;$A844,Despesas!$C:$C,F$1,Despesas!$M:$M,"Mensal")+SUMIFS(Despesas!$F:$F,Despesas!$J:$J,"&lt;="&amp;$A844,Despesas!$L:$L,"&gt;="&amp;$A844,Despesas!$C:$C,F$1,Despesas!$M:$M,$B844)</f>
        <v>13000</v>
      </c>
      <c r="G844" s="5">
        <f>SUMIFS(Despesas!$F:$F,Despesas!$J:$J,"&lt;="&amp;$A844,Despesas!$L:$L,"&gt;="&amp;$A844,Despesas!$C:$C,G$1,Despesas!$M:$M,"Mensal")+SUMIFS(Despesas!$F:$F,Despesas!$J:$J,"&lt;="&amp;$A844,Despesas!$L:$L,"&gt;="&amp;$A844,Despesas!$C:$C,G$1,Despesas!$M:$M,$B844)</f>
        <v>0</v>
      </c>
      <c r="H844" s="18">
        <f>SUMIFS(Despesas!$F:$F,Despesas!$J:$J,"&lt;="&amp;$A844,Despesas!$L:$L,"&gt;="&amp;$A844,Despesas!$C:$C,H$1,Despesas!$M:$M,"Mensal")+SUMIFS(Despesas!$F:$F,Despesas!$J:$J,"&lt;="&amp;$A844,Despesas!$L:$L,"&gt;="&amp;$A844,Despesas!$C:$C,H$1,Despesas!$M:$M,$B844)</f>
        <v>1000</v>
      </c>
      <c r="I844" s="18">
        <f>IF(Imóveis!$F$2="PRICE",IF(AND(Dados!$A844&gt;=Imóveis!$Q$2,Dados!$A844&lt;=Imóveis!$T$2),Imóveis!$U$2,0),IF((IF(AND(Dados!$A844&gt;=Imóveis!$Q$2,Dados!$A844&lt;=Imóveis!$T$2),Imóveis!$S$2-(DATEDIF(Imóveis!$Q$2,Dados!$A844,"m")),0))=0,0,((Imóveis!$N$2/Imóveis!$S$2)+((Imóveis!$N$2-((Imóveis!$S$2-(IF(AND(Dados!$A844&gt;=Imóveis!$Q$2,Dados!$A844&lt;=Imóveis!$T$2),Imóveis!$S$2-(DATEDIF(Imóveis!$Q$2,Dados!$A844,"m")),)))*(Imóveis!$N$2/Imóveis!$S$2)))*Imóveis!$P$2))))*IF(AND(Imóveis!$E$2&gt;0,Dados!$A844&gt;Imóveis!$E$2),0,1)</f>
        <v>0</v>
      </c>
      <c r="J844" s="18">
        <f>IF(Imóveis!$F$3="PRICE",IF(AND(Dados!$A844&gt;=Imóveis!$Q$3,Dados!$A844&lt;=Imóveis!$T$3),Imóveis!$U$3,0),IF((IF(AND(Dados!$A844&gt;=Imóveis!$Q$3,Dados!$A844&lt;=Imóveis!$T$3),Imóveis!$S$3-(DATEDIF(Imóveis!$Q$3,Dados!$A844,"m")),0))=0,0,((Imóveis!$N$3/Imóveis!$S$3)+((Imóveis!$N$3-((Imóveis!$S$3-(IF(AND(Dados!$A844&gt;=Imóveis!$Q$3,Dados!$A844&lt;=Imóveis!$T$3),Imóveis!$S$3-(DATEDIF(Imóveis!$Q$3,Dados!$A844,"m")),)))*(Imóveis!$N$3/Imóveis!$S$3)))*Imóveis!$P$3))))*IF(AND(Imóveis!$E$3&gt;0,Dados!$A844&gt;Imóveis!$E$3),0,1)</f>
        <v>0</v>
      </c>
      <c r="K844" s="18">
        <f>IF(Imóveis!$F$4="PRICE",IF(AND(Dados!$A844&gt;=Imóveis!$Q$4,Dados!$A844&lt;=Imóveis!$T$4),Imóveis!$U$4,0),IF((IF(AND(Dados!$A844&gt;=Imóveis!$Q$4,Dados!$A844&lt;=Imóveis!$T$4),Imóveis!$S$4-(DATEDIF(Imóveis!$Q$4,Dados!$A844,"m")),0))=0,0,((Imóveis!$N$4/Imóveis!$S$4)+((Imóveis!$N$4-((Imóveis!$S$4-(IF(AND(Dados!$A844&gt;=Imóveis!$Q$4,Dados!$A844&lt;=Imóveis!$T$4),Imóveis!$S$4-(DATEDIF(Imóveis!$Q$4,Dados!$A844,"m")),)))*(Imóveis!$N$4/Imóveis!$S$4)))*Imóveis!$P$4))))*IF(AND(Imóveis!$E$4&gt;0,Dados!$A844&gt;Imóveis!$E$4),0,1)</f>
        <v>0</v>
      </c>
      <c r="L844" s="18">
        <f>IF(Imóveis!$F$5="PRICE",IF(AND(Dados!$A844&gt;=Imóveis!$Q$5,Dados!$A844&lt;=Imóveis!$T$5),Imóveis!$U$5,0),IF((IF(AND(Dados!$A844&gt;=Imóveis!$Q$5,Dados!$A844&lt;=Imóveis!$T$5),Imóveis!$S$5-(DATEDIF(Imóveis!$Q$5,Dados!$A844,"m")),0))=0,0,((Imóveis!$N$5/Imóveis!$S$5)+((Imóveis!$N$5-((Imóveis!$S$5-(IF(AND(Dados!$A844 &gt;=Imóveis!$Q$5,Dados!$A844&lt;=Imóveis!$T$5),Imóveis!$S$5-(DATEDIF(Imóveis!$Q$5,Dados!$A844,"m")),)))*(Imóveis!$N$5/Imóveis!$S$5)))*Imóveis!$P$5))))*IF(AND(Imóveis!$E$5&gt;0,Dados!$A844&gt;Imóveis!$E$5),0,1)*Imóveis!$I$5</f>
        <v>0</v>
      </c>
      <c r="M844" s="18">
        <f>IF(Imóveis!$F$6="PRICE",IF(AND(Dados!$A844&gt;=Imóveis!$Q$6,Dados!$A844&lt;=Imóveis!$T$6),Imóveis!$U$6,0),IF((IF(AND(Dados!$A844&gt;=Imóveis!$Q$6,Dados!$A844&lt;=Imóveis!$T$6),Imóveis!$S$6-(DATEDIF(Imóveis!$Q$6,Dados!$A844,"m")),0))=0,0,((Imóveis!$N$6/Imóveis!$S$6)+((Imóveis!$N$6-((Imóveis!$S$6-(IF(AND(Dados!$A844&gt;=Imóveis!$Q$6,Dados!$A844&lt;=Imóveis!$T$6),Imóveis!$S$6-(DATEDIF(Imóveis!$Q$6,Dados!$A844,"m")),)))*(Imóveis!$N$6/Imóveis!$S$6)))*Imóveis!$P$6))))*IF(AND(Imóveis!$E$6&gt;0,Dados!$A844&gt;Imóveis!$E$6),0,1)*Imóveis!$I$6</f>
        <v>0</v>
      </c>
      <c r="N844" s="18">
        <f t="shared" si="109"/>
        <v>37000</v>
      </c>
      <c r="O844" s="18">
        <f>SUMIFS(Receitas!$F:$F,Receitas!$J:$J,"&lt;="&amp;$A844,Receitas!$L:$L,"&gt;="&amp;$A844,Receitas!$C:$C,O$1,Receitas!$M:$M,"Mensal")+SUMIFS(Receitas!$F:$F,Receitas!$J:$J,"&lt;="&amp;$A844,Receitas!$L:$L,"&gt;="&amp;$A844,Receitas!$C:$C,O$1,Receitas!$M:$M,$B844)</f>
        <v>0</v>
      </c>
      <c r="P844" s="18">
        <f>SUMIFS(Receitas!$F:$F,Receitas!$J:$J,"&lt;="&amp;$A844,Receitas!$L:$L,"&gt;="&amp;$A844,Receitas!$C:$C,P$1,Receitas!$M:$M,"Mensal")+SUMIFS(Receitas!$F:$F,Receitas!$J:$J,"&lt;="&amp;$A844,Receitas!$L:$L,"&gt;="&amp;$A844,Receitas!$C:$C,P$1,Receitas!$M:$M,$B844)</f>
        <v>0</v>
      </c>
      <c r="Q844" s="18">
        <f>SUMIFS(Receitas!$F:$F,Receitas!$J:$J,"&lt;="&amp;$A844,Receitas!$L:$L,"&gt;="&amp;$A844,Receitas!$C:$C,Q$1,Receitas!$M:$M,"Mensal")+SUMIFS(Receitas!$F:$F,Receitas!$J:$J,"&lt;="&amp;$A844,Receitas!$L:$L,"&gt;="&amp;$A844,Receitas!$C:$C,Q$1,Receitas!$M:$M,$B844)</f>
        <v>0</v>
      </c>
      <c r="R844" s="18" cm="1">
        <f t="array" ref="R844">(IF(AND(Membros!$F$2="Sim",A844&lt;=MAX(Membros!$E$2:$E$5)),Membros!K$2,IF(AND(A844&gt;=Membros!J$2,A844&lt;=MAX(Membros!$E$2:$E$5)),Membros!K$2,0))+IF(AND(Membros!$F$3="Sim",A844&lt;=MAX(Membros!$E$2:$E$5)),Membros!K$3,IF(AND(A844&gt;=Membros!J$3,A844&lt;=MAX(Membros!$E$2:$E$5)),Membros!K$3,0)))*IF(AND(COUNTIFS(Tabela3[Tipo],"Provedor",Tabela3[Simulação Seguro],"Sim")=2,A844&gt;=MAX(IF(Tabela3[Tipo]="Dependente",Tabela3[Expectativa de Vida (Data)]))),0,1)</f>
        <v>10000</v>
      </c>
      <c r="S844" s="18">
        <f t="shared" si="110"/>
        <v>10000</v>
      </c>
      <c r="U844" s="18">
        <f t="shared" ca="1" si="113"/>
        <v>74480151.763259977</v>
      </c>
      <c r="V844" s="18">
        <f>SUMIF(Imóveis!E:E,Dados!A:A,Imóveis!Z:Z)-SUMIF(Imóveis!E:E,Dados!A:A,Imóveis!Y:Y)</f>
        <v>0</v>
      </c>
      <c r="W844" s="18">
        <f>-SUMIF(Projetos!N:N,A844,Projetos!F:F)</f>
        <v>0</v>
      </c>
      <c r="X844" s="18">
        <f t="shared" si="107"/>
        <v>-27000</v>
      </c>
      <c r="Y844" s="26">
        <f ca="1">(U844*((Indicadores_Economicos!D$2+1)^(1/12)-1))</f>
        <v>243828.63581159682</v>
      </c>
      <c r="Z844" s="18">
        <f t="shared" ca="1" si="111"/>
        <v>74696980.399071574</v>
      </c>
      <c r="AA844" s="18">
        <f ca="1">Auxiliar_Projetos!E844</f>
        <v>6.1286985773159908E-9</v>
      </c>
      <c r="AB844" s="18">
        <f ca="1">Auxiliar_Projetos!K844</f>
        <v>4.7143835210122933E-9</v>
      </c>
      <c r="AC844" s="18">
        <f ca="1">IF(Z844-AA844-AB844&gt;Investimentos!$C$14,Investimentos!$C$14,IF(Z844-AA844-AB844&lt;Investimentos!$C$14,Z844-AA844-AB844,0))</f>
        <v>300000</v>
      </c>
      <c r="AD844" s="18">
        <f t="shared" ca="1" si="112"/>
        <v>74396980.399071574</v>
      </c>
      <c r="AE844" s="18"/>
    </row>
    <row r="845" spans="1:33" x14ac:dyDescent="0.2">
      <c r="A845" s="4">
        <v>71315</v>
      </c>
      <c r="B845" s="5" t="str">
        <f t="shared" si="108"/>
        <v>abril</v>
      </c>
      <c r="C845" s="5" t="str">
        <f t="shared" si="106"/>
        <v>2095</v>
      </c>
      <c r="D845" s="5">
        <f>SUMIFS(Despesas!$F:$F,Despesas!$J:$J,"&lt;="&amp;$A845,Despesas!$L:$L,"&gt;="&amp;$A845,Despesas!$C:$C,D$1,Despesas!$M:$M,"Mensal")+SUMIFS(Despesas!$F:$F,Despesas!$J:$J,"&lt;="&amp;$A845,Despesas!$L:$L,"&gt;="&amp;$A845,Despesas!$C:$C,D$1,Despesas!$M:$M,$B845)</f>
        <v>23000</v>
      </c>
      <c r="E845" s="18">
        <f>SUMIFS(Despesas!$F:$F,Despesas!$J:$J,"&lt;="&amp;$A845,Despesas!$L:$L,"&gt;="&amp;$A845,Despesas!$C:$C,E$1,Despesas!$M:$M,"Mensal")+SUMIFS(Despesas!$F:$F,Despesas!$J:$J,"&lt;="&amp;$A845,Despesas!$L:$L,"&gt;="&amp;$A845,Despesas!$C:$C,E$1,Despesas!$M:$M,$B845)</f>
        <v>0</v>
      </c>
      <c r="F845" s="5">
        <f>SUMIFS(Despesas!$F:$F,Despesas!$J:$J,"&lt;="&amp;$A845,Despesas!$L:$L,"&gt;="&amp;$A845,Despesas!$C:$C,F$1,Despesas!$M:$M,"Mensal")+SUMIFS(Despesas!$F:$F,Despesas!$J:$J,"&lt;="&amp;$A845,Despesas!$L:$L,"&gt;="&amp;$A845,Despesas!$C:$C,F$1,Despesas!$M:$M,$B845)</f>
        <v>13000</v>
      </c>
      <c r="G845" s="5">
        <f>SUMIFS(Despesas!$F:$F,Despesas!$J:$J,"&lt;="&amp;$A845,Despesas!$L:$L,"&gt;="&amp;$A845,Despesas!$C:$C,G$1,Despesas!$M:$M,"Mensal")+SUMIFS(Despesas!$F:$F,Despesas!$J:$J,"&lt;="&amp;$A845,Despesas!$L:$L,"&gt;="&amp;$A845,Despesas!$C:$C,G$1,Despesas!$M:$M,$B845)</f>
        <v>0</v>
      </c>
      <c r="H845" s="18">
        <f>SUMIFS(Despesas!$F:$F,Despesas!$J:$J,"&lt;="&amp;$A845,Despesas!$L:$L,"&gt;="&amp;$A845,Despesas!$C:$C,H$1,Despesas!$M:$M,"Mensal")+SUMIFS(Despesas!$F:$F,Despesas!$J:$J,"&lt;="&amp;$A845,Despesas!$L:$L,"&gt;="&amp;$A845,Despesas!$C:$C,H$1,Despesas!$M:$M,$B845)</f>
        <v>1000</v>
      </c>
      <c r="I845" s="18">
        <f>IF(Imóveis!$F$2="PRICE",IF(AND(Dados!$A845&gt;=Imóveis!$Q$2,Dados!$A845&lt;=Imóveis!$T$2),Imóveis!$U$2,0),IF((IF(AND(Dados!$A845&gt;=Imóveis!$Q$2,Dados!$A845&lt;=Imóveis!$T$2),Imóveis!$S$2-(DATEDIF(Imóveis!$Q$2,Dados!$A845,"m")),0))=0,0,((Imóveis!$N$2/Imóveis!$S$2)+((Imóveis!$N$2-((Imóveis!$S$2-(IF(AND(Dados!$A845&gt;=Imóveis!$Q$2,Dados!$A845&lt;=Imóveis!$T$2),Imóveis!$S$2-(DATEDIF(Imóveis!$Q$2,Dados!$A845,"m")),)))*(Imóveis!$N$2/Imóveis!$S$2)))*Imóveis!$P$2))))*IF(AND(Imóveis!$E$2&gt;0,Dados!$A845&gt;Imóveis!$E$2),0,1)</f>
        <v>0</v>
      </c>
      <c r="J845" s="18">
        <f>IF(Imóveis!$F$3="PRICE",IF(AND(Dados!$A845&gt;=Imóveis!$Q$3,Dados!$A845&lt;=Imóveis!$T$3),Imóveis!$U$3,0),IF((IF(AND(Dados!$A845&gt;=Imóveis!$Q$3,Dados!$A845&lt;=Imóveis!$T$3),Imóveis!$S$3-(DATEDIF(Imóveis!$Q$3,Dados!$A845,"m")),0))=0,0,((Imóveis!$N$3/Imóveis!$S$3)+((Imóveis!$N$3-((Imóveis!$S$3-(IF(AND(Dados!$A845&gt;=Imóveis!$Q$3,Dados!$A845&lt;=Imóveis!$T$3),Imóveis!$S$3-(DATEDIF(Imóveis!$Q$3,Dados!$A845,"m")),)))*(Imóveis!$N$3/Imóveis!$S$3)))*Imóveis!$P$3))))*IF(AND(Imóveis!$E$3&gt;0,Dados!$A845&gt;Imóveis!$E$3),0,1)</f>
        <v>0</v>
      </c>
      <c r="K845" s="18">
        <f>IF(Imóveis!$F$4="PRICE",IF(AND(Dados!$A845&gt;=Imóveis!$Q$4,Dados!$A845&lt;=Imóveis!$T$4),Imóveis!$U$4,0),IF((IF(AND(Dados!$A845&gt;=Imóveis!$Q$4,Dados!$A845&lt;=Imóveis!$T$4),Imóveis!$S$4-(DATEDIF(Imóveis!$Q$4,Dados!$A845,"m")),0))=0,0,((Imóveis!$N$4/Imóveis!$S$4)+((Imóveis!$N$4-((Imóveis!$S$4-(IF(AND(Dados!$A845&gt;=Imóveis!$Q$4,Dados!$A845&lt;=Imóveis!$T$4),Imóveis!$S$4-(DATEDIF(Imóveis!$Q$4,Dados!$A845,"m")),)))*(Imóveis!$N$4/Imóveis!$S$4)))*Imóveis!$P$4))))*IF(AND(Imóveis!$E$4&gt;0,Dados!$A845&gt;Imóveis!$E$4),0,1)</f>
        <v>0</v>
      </c>
      <c r="L845" s="18">
        <f>IF(Imóveis!$F$5="PRICE",IF(AND(Dados!$A845&gt;=Imóveis!$Q$5,Dados!$A845&lt;=Imóveis!$T$5),Imóveis!$U$5,0),IF((IF(AND(Dados!$A845&gt;=Imóveis!$Q$5,Dados!$A845&lt;=Imóveis!$T$5),Imóveis!$S$5-(DATEDIF(Imóveis!$Q$5,Dados!$A845,"m")),0))=0,0,((Imóveis!$N$5/Imóveis!$S$5)+((Imóveis!$N$5-((Imóveis!$S$5-(IF(AND(Dados!$A845 &gt;=Imóveis!$Q$5,Dados!$A845&lt;=Imóveis!$T$5),Imóveis!$S$5-(DATEDIF(Imóveis!$Q$5,Dados!$A845,"m")),)))*(Imóveis!$N$5/Imóveis!$S$5)))*Imóveis!$P$5))))*IF(AND(Imóveis!$E$5&gt;0,Dados!$A845&gt;Imóveis!$E$5),0,1)*Imóveis!$I$5</f>
        <v>0</v>
      </c>
      <c r="M845" s="18">
        <f>IF(Imóveis!$F$6="PRICE",IF(AND(Dados!$A845&gt;=Imóveis!$Q$6,Dados!$A845&lt;=Imóveis!$T$6),Imóveis!$U$6,0),IF((IF(AND(Dados!$A845&gt;=Imóveis!$Q$6,Dados!$A845&lt;=Imóveis!$T$6),Imóveis!$S$6-(DATEDIF(Imóveis!$Q$6,Dados!$A845,"m")),0))=0,0,((Imóveis!$N$6/Imóveis!$S$6)+((Imóveis!$N$6-((Imóveis!$S$6-(IF(AND(Dados!$A845&gt;=Imóveis!$Q$6,Dados!$A845&lt;=Imóveis!$T$6),Imóveis!$S$6-(DATEDIF(Imóveis!$Q$6,Dados!$A845,"m")),)))*(Imóveis!$N$6/Imóveis!$S$6)))*Imóveis!$P$6))))*IF(AND(Imóveis!$E$6&gt;0,Dados!$A845&gt;Imóveis!$E$6),0,1)*Imóveis!$I$6</f>
        <v>0</v>
      </c>
      <c r="N845" s="18">
        <f t="shared" si="109"/>
        <v>37000</v>
      </c>
      <c r="O845" s="18">
        <f>SUMIFS(Receitas!$F:$F,Receitas!$J:$J,"&lt;="&amp;$A845,Receitas!$L:$L,"&gt;="&amp;$A845,Receitas!$C:$C,O$1,Receitas!$M:$M,"Mensal")+SUMIFS(Receitas!$F:$F,Receitas!$J:$J,"&lt;="&amp;$A845,Receitas!$L:$L,"&gt;="&amp;$A845,Receitas!$C:$C,O$1,Receitas!$M:$M,$B845)</f>
        <v>0</v>
      </c>
      <c r="P845" s="18">
        <f>SUMIFS(Receitas!$F:$F,Receitas!$J:$J,"&lt;="&amp;$A845,Receitas!$L:$L,"&gt;="&amp;$A845,Receitas!$C:$C,P$1,Receitas!$M:$M,"Mensal")+SUMIFS(Receitas!$F:$F,Receitas!$J:$J,"&lt;="&amp;$A845,Receitas!$L:$L,"&gt;="&amp;$A845,Receitas!$C:$C,P$1,Receitas!$M:$M,$B845)</f>
        <v>0</v>
      </c>
      <c r="Q845" s="18">
        <f>SUMIFS(Receitas!$F:$F,Receitas!$J:$J,"&lt;="&amp;$A845,Receitas!$L:$L,"&gt;="&amp;$A845,Receitas!$C:$C,Q$1,Receitas!$M:$M,"Mensal")+SUMIFS(Receitas!$F:$F,Receitas!$J:$J,"&lt;="&amp;$A845,Receitas!$L:$L,"&gt;="&amp;$A845,Receitas!$C:$C,Q$1,Receitas!$M:$M,$B845)</f>
        <v>0</v>
      </c>
      <c r="R845" s="18" cm="1">
        <f t="array" ref="R845">(IF(AND(Membros!$F$2="Sim",A845&lt;=MAX(Membros!$E$2:$E$5)),Membros!K$2,IF(AND(A845&gt;=Membros!J$2,A845&lt;=MAX(Membros!$E$2:$E$5)),Membros!K$2,0))+IF(AND(Membros!$F$3="Sim",A845&lt;=MAX(Membros!$E$2:$E$5)),Membros!K$3,IF(AND(A845&gt;=Membros!J$3,A845&lt;=MAX(Membros!$E$2:$E$5)),Membros!K$3,0)))*IF(AND(COUNTIFS(Tabela3[Tipo],"Provedor",Tabela3[Simulação Seguro],"Sim")=2,A845&gt;=MAX(IF(Tabela3[Tipo]="Dependente",Tabela3[Expectativa de Vida (Data)]))),0,1)</f>
        <v>10000</v>
      </c>
      <c r="S845" s="18">
        <f t="shared" si="110"/>
        <v>10000</v>
      </c>
      <c r="U845" s="18">
        <f t="shared" ca="1" si="113"/>
        <v>74696980.399071574</v>
      </c>
      <c r="V845" s="18">
        <f>SUMIF(Imóveis!E:E,Dados!A:A,Imóveis!Z:Z)-SUMIF(Imóveis!E:E,Dados!A:A,Imóveis!Y:Y)</f>
        <v>0</v>
      </c>
      <c r="W845" s="18">
        <f>-SUMIF(Projetos!N:N,A845,Projetos!F:F)</f>
        <v>0</v>
      </c>
      <c r="X845" s="18">
        <f t="shared" si="107"/>
        <v>-27000</v>
      </c>
      <c r="Y845" s="26">
        <f ca="1">(U845*((Indicadores_Economicos!D$2+1)^(1/12)-1))</f>
        <v>244538.47634257315</v>
      </c>
      <c r="Z845" s="18">
        <f t="shared" ca="1" si="111"/>
        <v>74914518.875414148</v>
      </c>
      <c r="AA845" s="18">
        <f ca="1">Auxiliar_Projetos!E845</f>
        <v>6.148762341661656E-9</v>
      </c>
      <c r="AB845" s="18">
        <f ca="1">Auxiliar_Projetos!K845</f>
        <v>4.7298171858935741E-9</v>
      </c>
      <c r="AC845" s="18">
        <f ca="1">IF(Z845-AA845-AB845&gt;Investimentos!$C$14,Investimentos!$C$14,IF(Z845-AA845-AB845&lt;Investimentos!$C$14,Z845-AA845-AB845,0))</f>
        <v>300000</v>
      </c>
      <c r="AD845" s="18">
        <f t="shared" ca="1" si="112"/>
        <v>74614518.875414148</v>
      </c>
      <c r="AE845" s="18"/>
    </row>
    <row r="846" spans="1:33" x14ac:dyDescent="0.2">
      <c r="A846" s="4">
        <v>71345</v>
      </c>
      <c r="B846" s="5" t="str">
        <f t="shared" si="108"/>
        <v>maio</v>
      </c>
      <c r="C846" s="5" t="str">
        <f t="shared" si="106"/>
        <v>2095</v>
      </c>
      <c r="D846" s="5">
        <f>SUMIFS(Despesas!$F:$F,Despesas!$J:$J,"&lt;="&amp;$A846,Despesas!$L:$L,"&gt;="&amp;$A846,Despesas!$C:$C,D$1,Despesas!$M:$M,"Mensal")+SUMIFS(Despesas!$F:$F,Despesas!$J:$J,"&lt;="&amp;$A846,Despesas!$L:$L,"&gt;="&amp;$A846,Despesas!$C:$C,D$1,Despesas!$M:$M,$B846)</f>
        <v>23000</v>
      </c>
      <c r="E846" s="18">
        <f>SUMIFS(Despesas!$F:$F,Despesas!$J:$J,"&lt;="&amp;$A846,Despesas!$L:$L,"&gt;="&amp;$A846,Despesas!$C:$C,E$1,Despesas!$M:$M,"Mensal")+SUMIFS(Despesas!$F:$F,Despesas!$J:$J,"&lt;="&amp;$A846,Despesas!$L:$L,"&gt;="&amp;$A846,Despesas!$C:$C,E$1,Despesas!$M:$M,$B846)</f>
        <v>0</v>
      </c>
      <c r="F846" s="5">
        <f>SUMIFS(Despesas!$F:$F,Despesas!$J:$J,"&lt;="&amp;$A846,Despesas!$L:$L,"&gt;="&amp;$A846,Despesas!$C:$C,F$1,Despesas!$M:$M,"Mensal")+SUMIFS(Despesas!$F:$F,Despesas!$J:$J,"&lt;="&amp;$A846,Despesas!$L:$L,"&gt;="&amp;$A846,Despesas!$C:$C,F$1,Despesas!$M:$M,$B846)</f>
        <v>13000</v>
      </c>
      <c r="G846" s="5">
        <f>SUMIFS(Despesas!$F:$F,Despesas!$J:$J,"&lt;="&amp;$A846,Despesas!$L:$L,"&gt;="&amp;$A846,Despesas!$C:$C,G$1,Despesas!$M:$M,"Mensal")+SUMIFS(Despesas!$F:$F,Despesas!$J:$J,"&lt;="&amp;$A846,Despesas!$L:$L,"&gt;="&amp;$A846,Despesas!$C:$C,G$1,Despesas!$M:$M,$B846)</f>
        <v>0</v>
      </c>
      <c r="H846" s="18">
        <f>SUMIFS(Despesas!$F:$F,Despesas!$J:$J,"&lt;="&amp;$A846,Despesas!$L:$L,"&gt;="&amp;$A846,Despesas!$C:$C,H$1,Despesas!$M:$M,"Mensal")+SUMIFS(Despesas!$F:$F,Despesas!$J:$J,"&lt;="&amp;$A846,Despesas!$L:$L,"&gt;="&amp;$A846,Despesas!$C:$C,H$1,Despesas!$M:$M,$B846)</f>
        <v>1000</v>
      </c>
      <c r="I846" s="18">
        <f>IF(Imóveis!$F$2="PRICE",IF(AND(Dados!$A846&gt;=Imóveis!$Q$2,Dados!$A846&lt;=Imóveis!$T$2),Imóveis!$U$2,0),IF((IF(AND(Dados!$A846&gt;=Imóveis!$Q$2,Dados!$A846&lt;=Imóveis!$T$2),Imóveis!$S$2-(DATEDIF(Imóveis!$Q$2,Dados!$A846,"m")),0))=0,0,((Imóveis!$N$2/Imóveis!$S$2)+((Imóveis!$N$2-((Imóveis!$S$2-(IF(AND(Dados!$A846&gt;=Imóveis!$Q$2,Dados!$A846&lt;=Imóveis!$T$2),Imóveis!$S$2-(DATEDIF(Imóveis!$Q$2,Dados!$A846,"m")),)))*(Imóveis!$N$2/Imóveis!$S$2)))*Imóveis!$P$2))))*IF(AND(Imóveis!$E$2&gt;0,Dados!$A846&gt;Imóveis!$E$2),0,1)</f>
        <v>0</v>
      </c>
      <c r="J846" s="18">
        <f>IF(Imóveis!$F$3="PRICE",IF(AND(Dados!$A846&gt;=Imóveis!$Q$3,Dados!$A846&lt;=Imóveis!$T$3),Imóveis!$U$3,0),IF((IF(AND(Dados!$A846&gt;=Imóveis!$Q$3,Dados!$A846&lt;=Imóveis!$T$3),Imóveis!$S$3-(DATEDIF(Imóveis!$Q$3,Dados!$A846,"m")),0))=0,0,((Imóveis!$N$3/Imóveis!$S$3)+((Imóveis!$N$3-((Imóveis!$S$3-(IF(AND(Dados!$A846&gt;=Imóveis!$Q$3,Dados!$A846&lt;=Imóveis!$T$3),Imóveis!$S$3-(DATEDIF(Imóveis!$Q$3,Dados!$A846,"m")),)))*(Imóveis!$N$3/Imóveis!$S$3)))*Imóveis!$P$3))))*IF(AND(Imóveis!$E$3&gt;0,Dados!$A846&gt;Imóveis!$E$3),0,1)</f>
        <v>0</v>
      </c>
      <c r="K846" s="18">
        <f>IF(Imóveis!$F$4="PRICE",IF(AND(Dados!$A846&gt;=Imóveis!$Q$4,Dados!$A846&lt;=Imóveis!$T$4),Imóveis!$U$4,0),IF((IF(AND(Dados!$A846&gt;=Imóveis!$Q$4,Dados!$A846&lt;=Imóveis!$T$4),Imóveis!$S$4-(DATEDIF(Imóveis!$Q$4,Dados!$A846,"m")),0))=0,0,((Imóveis!$N$4/Imóveis!$S$4)+((Imóveis!$N$4-((Imóveis!$S$4-(IF(AND(Dados!$A846&gt;=Imóveis!$Q$4,Dados!$A846&lt;=Imóveis!$T$4),Imóveis!$S$4-(DATEDIF(Imóveis!$Q$4,Dados!$A846,"m")),)))*(Imóveis!$N$4/Imóveis!$S$4)))*Imóveis!$P$4))))*IF(AND(Imóveis!$E$4&gt;0,Dados!$A846&gt;Imóveis!$E$4),0,1)</f>
        <v>0</v>
      </c>
      <c r="L846" s="18">
        <f>IF(Imóveis!$F$5="PRICE",IF(AND(Dados!$A846&gt;=Imóveis!$Q$5,Dados!$A846&lt;=Imóveis!$T$5),Imóveis!$U$5,0),IF((IF(AND(Dados!$A846&gt;=Imóveis!$Q$5,Dados!$A846&lt;=Imóveis!$T$5),Imóveis!$S$5-(DATEDIF(Imóveis!$Q$5,Dados!$A846,"m")),0))=0,0,((Imóveis!$N$5/Imóveis!$S$5)+((Imóveis!$N$5-((Imóveis!$S$5-(IF(AND(Dados!$A846 &gt;=Imóveis!$Q$5,Dados!$A846&lt;=Imóveis!$T$5),Imóveis!$S$5-(DATEDIF(Imóveis!$Q$5,Dados!$A846,"m")),)))*(Imóveis!$N$5/Imóveis!$S$5)))*Imóveis!$P$5))))*IF(AND(Imóveis!$E$5&gt;0,Dados!$A846&gt;Imóveis!$E$5),0,1)*Imóveis!$I$5</f>
        <v>0</v>
      </c>
      <c r="M846" s="18">
        <f>IF(Imóveis!$F$6="PRICE",IF(AND(Dados!$A846&gt;=Imóveis!$Q$6,Dados!$A846&lt;=Imóveis!$T$6),Imóveis!$U$6,0),IF((IF(AND(Dados!$A846&gt;=Imóveis!$Q$6,Dados!$A846&lt;=Imóveis!$T$6),Imóveis!$S$6-(DATEDIF(Imóveis!$Q$6,Dados!$A846,"m")),0))=0,0,((Imóveis!$N$6/Imóveis!$S$6)+((Imóveis!$N$6-((Imóveis!$S$6-(IF(AND(Dados!$A846&gt;=Imóveis!$Q$6,Dados!$A846&lt;=Imóveis!$T$6),Imóveis!$S$6-(DATEDIF(Imóveis!$Q$6,Dados!$A846,"m")),)))*(Imóveis!$N$6/Imóveis!$S$6)))*Imóveis!$P$6))))*IF(AND(Imóveis!$E$6&gt;0,Dados!$A846&gt;Imóveis!$E$6),0,1)*Imóveis!$I$6</f>
        <v>0</v>
      </c>
      <c r="N846" s="18">
        <f t="shared" si="109"/>
        <v>37000</v>
      </c>
      <c r="O846" s="18">
        <f>SUMIFS(Receitas!$F:$F,Receitas!$J:$J,"&lt;="&amp;$A846,Receitas!$L:$L,"&gt;="&amp;$A846,Receitas!$C:$C,O$1,Receitas!$M:$M,"Mensal")+SUMIFS(Receitas!$F:$F,Receitas!$J:$J,"&lt;="&amp;$A846,Receitas!$L:$L,"&gt;="&amp;$A846,Receitas!$C:$C,O$1,Receitas!$M:$M,$B846)</f>
        <v>0</v>
      </c>
      <c r="P846" s="18">
        <f>SUMIFS(Receitas!$F:$F,Receitas!$J:$J,"&lt;="&amp;$A846,Receitas!$L:$L,"&gt;="&amp;$A846,Receitas!$C:$C,P$1,Receitas!$M:$M,"Mensal")+SUMIFS(Receitas!$F:$F,Receitas!$J:$J,"&lt;="&amp;$A846,Receitas!$L:$L,"&gt;="&amp;$A846,Receitas!$C:$C,P$1,Receitas!$M:$M,$B846)</f>
        <v>0</v>
      </c>
      <c r="Q846" s="18">
        <f>SUMIFS(Receitas!$F:$F,Receitas!$J:$J,"&lt;="&amp;$A846,Receitas!$L:$L,"&gt;="&amp;$A846,Receitas!$C:$C,Q$1,Receitas!$M:$M,"Mensal")+SUMIFS(Receitas!$F:$F,Receitas!$J:$J,"&lt;="&amp;$A846,Receitas!$L:$L,"&gt;="&amp;$A846,Receitas!$C:$C,Q$1,Receitas!$M:$M,$B846)</f>
        <v>0</v>
      </c>
      <c r="R846" s="18" cm="1">
        <f t="array" ref="R846">(IF(AND(Membros!$F$2="Sim",A846&lt;=MAX(Membros!$E$2:$E$5)),Membros!K$2,IF(AND(A846&gt;=Membros!J$2,A846&lt;=MAX(Membros!$E$2:$E$5)),Membros!K$2,0))+IF(AND(Membros!$F$3="Sim",A846&lt;=MAX(Membros!$E$2:$E$5)),Membros!K$3,IF(AND(A846&gt;=Membros!J$3,A846&lt;=MAX(Membros!$E$2:$E$5)),Membros!K$3,0)))*IF(AND(COUNTIFS(Tabela3[Tipo],"Provedor",Tabela3[Simulação Seguro],"Sim")=2,A846&gt;=MAX(IF(Tabela3[Tipo]="Dependente",Tabela3[Expectativa de Vida (Data)]))),0,1)</f>
        <v>10000</v>
      </c>
      <c r="S846" s="18">
        <f t="shared" si="110"/>
        <v>10000</v>
      </c>
      <c r="U846" s="18">
        <f t="shared" ca="1" si="113"/>
        <v>74914518.875414148</v>
      </c>
      <c r="V846" s="18">
        <f>SUMIF(Imóveis!E:E,Dados!A:A,Imóveis!Z:Z)-SUMIF(Imóveis!E:E,Dados!A:A,Imóveis!Y:Y)</f>
        <v>0</v>
      </c>
      <c r="W846" s="18">
        <f>-SUMIF(Projetos!N:N,A846,Projetos!F:F)</f>
        <v>0</v>
      </c>
      <c r="X846" s="18">
        <f t="shared" si="107"/>
        <v>-27000</v>
      </c>
      <c r="Y846" s="26">
        <f ca="1">(U846*((Indicadores_Economicos!D$2+1)^(1/12)-1))</f>
        <v>245250.64070673479</v>
      </c>
      <c r="Z846" s="18">
        <f t="shared" ca="1" si="111"/>
        <v>75132769.516120881</v>
      </c>
      <c r="AA846" s="18">
        <f ca="1">Auxiliar_Projetos!E846</f>
        <v>6.1688917895508402E-9</v>
      </c>
      <c r="AB846" s="18">
        <f ca="1">Auxiliar_Projetos!K846</f>
        <v>4.7453013765775618E-9</v>
      </c>
      <c r="AC846" s="18">
        <f ca="1">IF(Z846-AA846-AB846&gt;Investimentos!$C$14,Investimentos!$C$14,IF(Z846-AA846-AB846&lt;Investimentos!$C$14,Z846-AA846-AB846,0))</f>
        <v>300000</v>
      </c>
      <c r="AD846" s="18">
        <f t="shared" ca="1" si="112"/>
        <v>74832769.516120881</v>
      </c>
      <c r="AE846" s="18"/>
    </row>
    <row r="847" spans="1:33" x14ac:dyDescent="0.2">
      <c r="A847" s="4">
        <v>71376</v>
      </c>
      <c r="B847" s="5" t="str">
        <f t="shared" si="108"/>
        <v>junho</v>
      </c>
      <c r="C847" s="5" t="str">
        <f t="shared" si="106"/>
        <v>2095</v>
      </c>
      <c r="D847" s="5">
        <f>SUMIFS(Despesas!$F:$F,Despesas!$J:$J,"&lt;="&amp;$A847,Despesas!$L:$L,"&gt;="&amp;$A847,Despesas!$C:$C,D$1,Despesas!$M:$M,"Mensal")+SUMIFS(Despesas!$F:$F,Despesas!$J:$J,"&lt;="&amp;$A847,Despesas!$L:$L,"&gt;="&amp;$A847,Despesas!$C:$C,D$1,Despesas!$M:$M,$B847)</f>
        <v>23000</v>
      </c>
      <c r="E847" s="18">
        <f>SUMIFS(Despesas!$F:$F,Despesas!$J:$J,"&lt;="&amp;$A847,Despesas!$L:$L,"&gt;="&amp;$A847,Despesas!$C:$C,E$1,Despesas!$M:$M,"Mensal")+SUMIFS(Despesas!$F:$F,Despesas!$J:$J,"&lt;="&amp;$A847,Despesas!$L:$L,"&gt;="&amp;$A847,Despesas!$C:$C,E$1,Despesas!$M:$M,$B847)</f>
        <v>0</v>
      </c>
      <c r="F847" s="5">
        <f>SUMIFS(Despesas!$F:$F,Despesas!$J:$J,"&lt;="&amp;$A847,Despesas!$L:$L,"&gt;="&amp;$A847,Despesas!$C:$C,F$1,Despesas!$M:$M,"Mensal")+SUMIFS(Despesas!$F:$F,Despesas!$J:$J,"&lt;="&amp;$A847,Despesas!$L:$L,"&gt;="&amp;$A847,Despesas!$C:$C,F$1,Despesas!$M:$M,$B847)</f>
        <v>13000</v>
      </c>
      <c r="G847" s="5">
        <f>SUMIFS(Despesas!$F:$F,Despesas!$J:$J,"&lt;="&amp;$A847,Despesas!$L:$L,"&gt;="&amp;$A847,Despesas!$C:$C,G$1,Despesas!$M:$M,"Mensal")+SUMIFS(Despesas!$F:$F,Despesas!$J:$J,"&lt;="&amp;$A847,Despesas!$L:$L,"&gt;="&amp;$A847,Despesas!$C:$C,G$1,Despesas!$M:$M,$B847)</f>
        <v>0</v>
      </c>
      <c r="H847" s="18">
        <f>SUMIFS(Despesas!$F:$F,Despesas!$J:$J,"&lt;="&amp;$A847,Despesas!$L:$L,"&gt;="&amp;$A847,Despesas!$C:$C,H$1,Despesas!$M:$M,"Mensal")+SUMIFS(Despesas!$F:$F,Despesas!$J:$J,"&lt;="&amp;$A847,Despesas!$L:$L,"&gt;="&amp;$A847,Despesas!$C:$C,H$1,Despesas!$M:$M,$B847)</f>
        <v>1000</v>
      </c>
      <c r="I847" s="18">
        <f>IF(Imóveis!$F$2="PRICE",IF(AND(Dados!$A847&gt;=Imóveis!$Q$2,Dados!$A847&lt;=Imóveis!$T$2),Imóveis!$U$2,0),IF((IF(AND(Dados!$A847&gt;=Imóveis!$Q$2,Dados!$A847&lt;=Imóveis!$T$2),Imóveis!$S$2-(DATEDIF(Imóveis!$Q$2,Dados!$A847,"m")),0))=0,0,((Imóveis!$N$2/Imóveis!$S$2)+((Imóveis!$N$2-((Imóveis!$S$2-(IF(AND(Dados!$A847&gt;=Imóveis!$Q$2,Dados!$A847&lt;=Imóveis!$T$2),Imóveis!$S$2-(DATEDIF(Imóveis!$Q$2,Dados!$A847,"m")),)))*(Imóveis!$N$2/Imóveis!$S$2)))*Imóveis!$P$2))))*IF(AND(Imóveis!$E$2&gt;0,Dados!$A847&gt;Imóveis!$E$2),0,1)</f>
        <v>0</v>
      </c>
      <c r="J847" s="18">
        <f>IF(Imóveis!$F$3="PRICE",IF(AND(Dados!$A847&gt;=Imóveis!$Q$3,Dados!$A847&lt;=Imóveis!$T$3),Imóveis!$U$3,0),IF((IF(AND(Dados!$A847&gt;=Imóveis!$Q$3,Dados!$A847&lt;=Imóveis!$T$3),Imóveis!$S$3-(DATEDIF(Imóveis!$Q$3,Dados!$A847,"m")),0))=0,0,((Imóveis!$N$3/Imóveis!$S$3)+((Imóveis!$N$3-((Imóveis!$S$3-(IF(AND(Dados!$A847&gt;=Imóveis!$Q$3,Dados!$A847&lt;=Imóveis!$T$3),Imóveis!$S$3-(DATEDIF(Imóveis!$Q$3,Dados!$A847,"m")),)))*(Imóveis!$N$3/Imóveis!$S$3)))*Imóveis!$P$3))))*IF(AND(Imóveis!$E$3&gt;0,Dados!$A847&gt;Imóveis!$E$3),0,1)</f>
        <v>0</v>
      </c>
      <c r="K847" s="18">
        <f>IF(Imóveis!$F$4="PRICE",IF(AND(Dados!$A847&gt;=Imóveis!$Q$4,Dados!$A847&lt;=Imóveis!$T$4),Imóveis!$U$4,0),IF((IF(AND(Dados!$A847&gt;=Imóveis!$Q$4,Dados!$A847&lt;=Imóveis!$T$4),Imóveis!$S$4-(DATEDIF(Imóveis!$Q$4,Dados!$A847,"m")),0))=0,0,((Imóveis!$N$4/Imóveis!$S$4)+((Imóveis!$N$4-((Imóveis!$S$4-(IF(AND(Dados!$A847&gt;=Imóveis!$Q$4,Dados!$A847&lt;=Imóveis!$T$4),Imóveis!$S$4-(DATEDIF(Imóveis!$Q$4,Dados!$A847,"m")),)))*(Imóveis!$N$4/Imóveis!$S$4)))*Imóveis!$P$4))))*IF(AND(Imóveis!$E$4&gt;0,Dados!$A847&gt;Imóveis!$E$4),0,1)</f>
        <v>0</v>
      </c>
      <c r="L847" s="18">
        <f>IF(Imóveis!$F$5="PRICE",IF(AND(Dados!$A847&gt;=Imóveis!$Q$5,Dados!$A847&lt;=Imóveis!$T$5),Imóveis!$U$5,0),IF((IF(AND(Dados!$A847&gt;=Imóveis!$Q$5,Dados!$A847&lt;=Imóveis!$T$5),Imóveis!$S$5-(DATEDIF(Imóveis!$Q$5,Dados!$A847,"m")),0))=0,0,((Imóveis!$N$5/Imóveis!$S$5)+((Imóveis!$N$5-((Imóveis!$S$5-(IF(AND(Dados!$A847 &gt;=Imóveis!$Q$5,Dados!$A847&lt;=Imóveis!$T$5),Imóveis!$S$5-(DATEDIF(Imóveis!$Q$5,Dados!$A847,"m")),)))*(Imóveis!$N$5/Imóveis!$S$5)))*Imóveis!$P$5))))*IF(AND(Imóveis!$E$5&gt;0,Dados!$A847&gt;Imóveis!$E$5),0,1)*Imóveis!$I$5</f>
        <v>0</v>
      </c>
      <c r="M847" s="18">
        <f>IF(Imóveis!$F$6="PRICE",IF(AND(Dados!$A847&gt;=Imóveis!$Q$6,Dados!$A847&lt;=Imóveis!$T$6),Imóveis!$U$6,0),IF((IF(AND(Dados!$A847&gt;=Imóveis!$Q$6,Dados!$A847&lt;=Imóveis!$T$6),Imóveis!$S$6-(DATEDIF(Imóveis!$Q$6,Dados!$A847,"m")),0))=0,0,((Imóveis!$N$6/Imóveis!$S$6)+((Imóveis!$N$6-((Imóveis!$S$6-(IF(AND(Dados!$A847&gt;=Imóveis!$Q$6,Dados!$A847&lt;=Imóveis!$T$6),Imóveis!$S$6-(DATEDIF(Imóveis!$Q$6,Dados!$A847,"m")),)))*(Imóveis!$N$6/Imóveis!$S$6)))*Imóveis!$P$6))))*IF(AND(Imóveis!$E$6&gt;0,Dados!$A847&gt;Imóveis!$E$6),0,1)*Imóveis!$I$6</f>
        <v>0</v>
      </c>
      <c r="N847" s="18">
        <f t="shared" si="109"/>
        <v>37000</v>
      </c>
      <c r="O847" s="18">
        <f>SUMIFS(Receitas!$F:$F,Receitas!$J:$J,"&lt;="&amp;$A847,Receitas!$L:$L,"&gt;="&amp;$A847,Receitas!$C:$C,O$1,Receitas!$M:$M,"Mensal")+SUMIFS(Receitas!$F:$F,Receitas!$J:$J,"&lt;="&amp;$A847,Receitas!$L:$L,"&gt;="&amp;$A847,Receitas!$C:$C,O$1,Receitas!$M:$M,$B847)</f>
        <v>0</v>
      </c>
      <c r="P847" s="18">
        <f>SUMIFS(Receitas!$F:$F,Receitas!$J:$J,"&lt;="&amp;$A847,Receitas!$L:$L,"&gt;="&amp;$A847,Receitas!$C:$C,P$1,Receitas!$M:$M,"Mensal")+SUMIFS(Receitas!$F:$F,Receitas!$J:$J,"&lt;="&amp;$A847,Receitas!$L:$L,"&gt;="&amp;$A847,Receitas!$C:$C,P$1,Receitas!$M:$M,$B847)</f>
        <v>0</v>
      </c>
      <c r="Q847" s="18">
        <f>SUMIFS(Receitas!$F:$F,Receitas!$J:$J,"&lt;="&amp;$A847,Receitas!$L:$L,"&gt;="&amp;$A847,Receitas!$C:$C,Q$1,Receitas!$M:$M,"Mensal")+SUMIFS(Receitas!$F:$F,Receitas!$J:$J,"&lt;="&amp;$A847,Receitas!$L:$L,"&gt;="&amp;$A847,Receitas!$C:$C,Q$1,Receitas!$M:$M,$B847)</f>
        <v>0</v>
      </c>
      <c r="R847" s="18" cm="1">
        <f t="array" ref="R847">(IF(AND(Membros!$F$2="Sim",A847&lt;=MAX(Membros!$E$2:$E$5)),Membros!K$2,IF(AND(A847&gt;=Membros!J$2,A847&lt;=MAX(Membros!$E$2:$E$5)),Membros!K$2,0))+IF(AND(Membros!$F$3="Sim",A847&lt;=MAX(Membros!$E$2:$E$5)),Membros!K$3,IF(AND(A847&gt;=Membros!J$3,A847&lt;=MAX(Membros!$E$2:$E$5)),Membros!K$3,0)))*IF(AND(COUNTIFS(Tabela3[Tipo],"Provedor",Tabela3[Simulação Seguro],"Sim")=2,A847&gt;=MAX(IF(Tabela3[Tipo]="Dependente",Tabela3[Expectativa de Vida (Data)]))),0,1)</f>
        <v>10000</v>
      </c>
      <c r="S847" s="18">
        <f t="shared" si="110"/>
        <v>10000</v>
      </c>
      <c r="U847" s="18">
        <f t="shared" ca="1" si="113"/>
        <v>75132769.516120881</v>
      </c>
      <c r="V847" s="18">
        <f>SUMIF(Imóveis!E:E,Dados!A:A,Imóveis!Z:Z)-SUMIF(Imóveis!E:E,Dados!A:A,Imóveis!Y:Y)</f>
        <v>0</v>
      </c>
      <c r="W847" s="18">
        <f>-SUMIF(Projetos!N:N,A847,Projetos!F:F)</f>
        <v>0</v>
      </c>
      <c r="X847" s="18">
        <f t="shared" si="107"/>
        <v>-27000</v>
      </c>
      <c r="Y847" s="26">
        <f ca="1">(U847*((Indicadores_Economicos!D$2+1)^(1/12)-1))</f>
        <v>245965.13651170681</v>
      </c>
      <c r="Z847" s="18">
        <f t="shared" ca="1" si="111"/>
        <v>75351734.652632594</v>
      </c>
      <c r="AA847" s="18">
        <f ca="1">Auxiliar_Projetos!E847</f>
        <v>6.1890871360143732E-9</v>
      </c>
      <c r="AB847" s="18">
        <f ca="1">Auxiliar_Projetos!K847</f>
        <v>4.7608362584725872E-9</v>
      </c>
      <c r="AC847" s="18">
        <f ca="1">IF(Z847-AA847-AB847&gt;Investimentos!$C$14,Investimentos!$C$14,IF(Z847-AA847-AB847&lt;Investimentos!$C$14,Z847-AA847-AB847,0))</f>
        <v>300000</v>
      </c>
      <c r="AD847" s="18">
        <f t="shared" ca="1" si="112"/>
        <v>75051734.652632594</v>
      </c>
      <c r="AE847" s="18"/>
    </row>
    <row r="848" spans="1:33" x14ac:dyDescent="0.2">
      <c r="A848" s="4">
        <v>71406</v>
      </c>
      <c r="B848" s="5" t="str">
        <f t="shared" si="108"/>
        <v>julho</v>
      </c>
      <c r="C848" s="5" t="str">
        <f t="shared" si="106"/>
        <v>2095</v>
      </c>
      <c r="D848" s="5">
        <f>SUMIFS(Despesas!$F:$F,Despesas!$J:$J,"&lt;="&amp;$A848,Despesas!$L:$L,"&gt;="&amp;$A848,Despesas!$C:$C,D$1,Despesas!$M:$M,"Mensal")+SUMIFS(Despesas!$F:$F,Despesas!$J:$J,"&lt;="&amp;$A848,Despesas!$L:$L,"&gt;="&amp;$A848,Despesas!$C:$C,D$1,Despesas!$M:$M,$B848)</f>
        <v>23000</v>
      </c>
      <c r="E848" s="18">
        <f>SUMIFS(Despesas!$F:$F,Despesas!$J:$J,"&lt;="&amp;$A848,Despesas!$L:$L,"&gt;="&amp;$A848,Despesas!$C:$C,E$1,Despesas!$M:$M,"Mensal")+SUMIFS(Despesas!$F:$F,Despesas!$J:$J,"&lt;="&amp;$A848,Despesas!$L:$L,"&gt;="&amp;$A848,Despesas!$C:$C,E$1,Despesas!$M:$M,$B848)</f>
        <v>0</v>
      </c>
      <c r="F848" s="5">
        <f>SUMIFS(Despesas!$F:$F,Despesas!$J:$J,"&lt;="&amp;$A848,Despesas!$L:$L,"&gt;="&amp;$A848,Despesas!$C:$C,F$1,Despesas!$M:$M,"Mensal")+SUMIFS(Despesas!$F:$F,Despesas!$J:$J,"&lt;="&amp;$A848,Despesas!$L:$L,"&gt;="&amp;$A848,Despesas!$C:$C,F$1,Despesas!$M:$M,$B848)</f>
        <v>13000</v>
      </c>
      <c r="G848" s="5">
        <f ca="1">SUMIFS(Despesas!$F:$F,Despesas!$J:$J,"&lt;="&amp;$A848,Despesas!$L:$L,"&gt;="&amp;$A848,Despesas!$C:$C,G$1,Despesas!$M:$M,"Mensal")+SUMIFS(Despesas!$F:$F,Despesas!$J:$J,"&lt;="&amp;$A848,Despesas!$L:$L,"&gt;="&amp;$A848,Despesas!$C:$C,G$1,Despesas!$M:$M,$B848)</f>
        <v>55757</v>
      </c>
      <c r="H848" s="18">
        <f>SUMIFS(Despesas!$F:$F,Despesas!$J:$J,"&lt;="&amp;$A848,Despesas!$L:$L,"&gt;="&amp;$A848,Despesas!$C:$C,H$1,Despesas!$M:$M,"Mensal")+SUMIFS(Despesas!$F:$F,Despesas!$J:$J,"&lt;="&amp;$A848,Despesas!$L:$L,"&gt;="&amp;$A848,Despesas!$C:$C,H$1,Despesas!$M:$M,$B848)</f>
        <v>1000</v>
      </c>
      <c r="I848" s="18">
        <f>IF(Imóveis!$F$2="PRICE",IF(AND(Dados!$A848&gt;=Imóveis!$Q$2,Dados!$A848&lt;=Imóveis!$T$2),Imóveis!$U$2,0),IF((IF(AND(Dados!$A848&gt;=Imóveis!$Q$2,Dados!$A848&lt;=Imóveis!$T$2),Imóveis!$S$2-(DATEDIF(Imóveis!$Q$2,Dados!$A848,"m")),0))=0,0,((Imóveis!$N$2/Imóveis!$S$2)+((Imóveis!$N$2-((Imóveis!$S$2-(IF(AND(Dados!$A848&gt;=Imóveis!$Q$2,Dados!$A848&lt;=Imóveis!$T$2),Imóveis!$S$2-(DATEDIF(Imóveis!$Q$2,Dados!$A848,"m")),)))*(Imóveis!$N$2/Imóveis!$S$2)))*Imóveis!$P$2))))*IF(AND(Imóveis!$E$2&gt;0,Dados!$A848&gt;Imóveis!$E$2),0,1)</f>
        <v>0</v>
      </c>
      <c r="J848" s="18">
        <f>IF(Imóveis!$F$3="PRICE",IF(AND(Dados!$A848&gt;=Imóveis!$Q$3,Dados!$A848&lt;=Imóveis!$T$3),Imóveis!$U$3,0),IF((IF(AND(Dados!$A848&gt;=Imóveis!$Q$3,Dados!$A848&lt;=Imóveis!$T$3),Imóveis!$S$3-(DATEDIF(Imóveis!$Q$3,Dados!$A848,"m")),0))=0,0,((Imóveis!$N$3/Imóveis!$S$3)+((Imóveis!$N$3-((Imóveis!$S$3-(IF(AND(Dados!$A848&gt;=Imóveis!$Q$3,Dados!$A848&lt;=Imóveis!$T$3),Imóveis!$S$3-(DATEDIF(Imóveis!$Q$3,Dados!$A848,"m")),)))*(Imóveis!$N$3/Imóveis!$S$3)))*Imóveis!$P$3))))*IF(AND(Imóveis!$E$3&gt;0,Dados!$A848&gt;Imóveis!$E$3),0,1)</f>
        <v>0</v>
      </c>
      <c r="K848" s="18">
        <f>IF(Imóveis!$F$4="PRICE",IF(AND(Dados!$A848&gt;=Imóveis!$Q$4,Dados!$A848&lt;=Imóveis!$T$4),Imóveis!$U$4,0),IF((IF(AND(Dados!$A848&gt;=Imóveis!$Q$4,Dados!$A848&lt;=Imóveis!$T$4),Imóveis!$S$4-(DATEDIF(Imóveis!$Q$4,Dados!$A848,"m")),0))=0,0,((Imóveis!$N$4/Imóveis!$S$4)+((Imóveis!$N$4-((Imóveis!$S$4-(IF(AND(Dados!$A848&gt;=Imóveis!$Q$4,Dados!$A848&lt;=Imóveis!$T$4),Imóveis!$S$4-(DATEDIF(Imóveis!$Q$4,Dados!$A848,"m")),)))*(Imóveis!$N$4/Imóveis!$S$4)))*Imóveis!$P$4))))*IF(AND(Imóveis!$E$4&gt;0,Dados!$A848&gt;Imóveis!$E$4),0,1)</f>
        <v>0</v>
      </c>
      <c r="L848" s="18">
        <f>IF(Imóveis!$F$5="PRICE",IF(AND(Dados!$A848&gt;=Imóveis!$Q$5,Dados!$A848&lt;=Imóveis!$T$5),Imóveis!$U$5,0),IF((IF(AND(Dados!$A848&gt;=Imóveis!$Q$5,Dados!$A848&lt;=Imóveis!$T$5),Imóveis!$S$5-(DATEDIF(Imóveis!$Q$5,Dados!$A848,"m")),0))=0,0,((Imóveis!$N$5/Imóveis!$S$5)+((Imóveis!$N$5-((Imóveis!$S$5-(IF(AND(Dados!$A848 &gt;=Imóveis!$Q$5,Dados!$A848&lt;=Imóveis!$T$5),Imóveis!$S$5-(DATEDIF(Imóveis!$Q$5,Dados!$A848,"m")),)))*(Imóveis!$N$5/Imóveis!$S$5)))*Imóveis!$P$5))))*IF(AND(Imóveis!$E$5&gt;0,Dados!$A848&gt;Imóveis!$E$5),0,1)*Imóveis!$I$5</f>
        <v>0</v>
      </c>
      <c r="M848" s="18">
        <f>IF(Imóveis!$F$6="PRICE",IF(AND(Dados!$A848&gt;=Imóveis!$Q$6,Dados!$A848&lt;=Imóveis!$T$6),Imóveis!$U$6,0),IF((IF(AND(Dados!$A848&gt;=Imóveis!$Q$6,Dados!$A848&lt;=Imóveis!$T$6),Imóveis!$S$6-(DATEDIF(Imóveis!$Q$6,Dados!$A848,"m")),0))=0,0,((Imóveis!$N$6/Imóveis!$S$6)+((Imóveis!$N$6-((Imóveis!$S$6-(IF(AND(Dados!$A848&gt;=Imóveis!$Q$6,Dados!$A848&lt;=Imóveis!$T$6),Imóveis!$S$6-(DATEDIF(Imóveis!$Q$6,Dados!$A848,"m")),)))*(Imóveis!$N$6/Imóveis!$S$6)))*Imóveis!$P$6))))*IF(AND(Imóveis!$E$6&gt;0,Dados!$A848&gt;Imóveis!$E$6),0,1)*Imóveis!$I$6</f>
        <v>0</v>
      </c>
      <c r="N848" s="18">
        <f t="shared" ca="1" si="109"/>
        <v>92757</v>
      </c>
      <c r="O848" s="18">
        <f>SUMIFS(Receitas!$F:$F,Receitas!$J:$J,"&lt;="&amp;$A848,Receitas!$L:$L,"&gt;="&amp;$A848,Receitas!$C:$C,O$1,Receitas!$M:$M,"Mensal")+SUMIFS(Receitas!$F:$F,Receitas!$J:$J,"&lt;="&amp;$A848,Receitas!$L:$L,"&gt;="&amp;$A848,Receitas!$C:$C,O$1,Receitas!$M:$M,$B848)</f>
        <v>0</v>
      </c>
      <c r="P848" s="18">
        <f>SUMIFS(Receitas!$F:$F,Receitas!$J:$J,"&lt;="&amp;$A848,Receitas!$L:$L,"&gt;="&amp;$A848,Receitas!$C:$C,P$1,Receitas!$M:$M,"Mensal")+SUMIFS(Receitas!$F:$F,Receitas!$J:$J,"&lt;="&amp;$A848,Receitas!$L:$L,"&gt;="&amp;$A848,Receitas!$C:$C,P$1,Receitas!$M:$M,$B848)</f>
        <v>0</v>
      </c>
      <c r="Q848" s="18">
        <f>SUMIFS(Receitas!$F:$F,Receitas!$J:$J,"&lt;="&amp;$A848,Receitas!$L:$L,"&gt;="&amp;$A848,Receitas!$C:$C,Q$1,Receitas!$M:$M,"Mensal")+SUMIFS(Receitas!$F:$F,Receitas!$J:$J,"&lt;="&amp;$A848,Receitas!$L:$L,"&gt;="&amp;$A848,Receitas!$C:$C,Q$1,Receitas!$M:$M,$B848)</f>
        <v>0</v>
      </c>
      <c r="R848" s="18" cm="1">
        <f t="array" ref="R848">(IF(AND(Membros!$F$2="Sim",A848&lt;=MAX(Membros!$E$2:$E$5)),Membros!K$2,IF(AND(A848&gt;=Membros!J$2,A848&lt;=MAX(Membros!$E$2:$E$5)),Membros!K$2,0))+IF(AND(Membros!$F$3="Sim",A848&lt;=MAX(Membros!$E$2:$E$5)),Membros!K$3,IF(AND(A848&gt;=Membros!J$3,A848&lt;=MAX(Membros!$E$2:$E$5)),Membros!K$3,0)))*IF(AND(COUNTIFS(Tabela3[Tipo],"Provedor",Tabela3[Simulação Seguro],"Sim")=2,A848&gt;=MAX(IF(Tabela3[Tipo]="Dependente",Tabela3[Expectativa de Vida (Data)]))),0,1)</f>
        <v>10000</v>
      </c>
      <c r="S848" s="18">
        <f t="shared" si="110"/>
        <v>10000</v>
      </c>
      <c r="U848" s="18">
        <f t="shared" ca="1" si="113"/>
        <v>75351734.652632594</v>
      </c>
      <c r="V848" s="18">
        <f>SUMIF(Imóveis!E:E,Dados!A:A,Imóveis!Z:Z)-SUMIF(Imóveis!E:E,Dados!A:A,Imóveis!Y:Y)</f>
        <v>0</v>
      </c>
      <c r="W848" s="18">
        <f>-SUMIF(Projetos!N:N,A848,Projetos!F:F)</f>
        <v>0</v>
      </c>
      <c r="X848" s="18">
        <f t="shared" ca="1" si="107"/>
        <v>-82757</v>
      </c>
      <c r="Y848" s="26">
        <f ca="1">(U848*((Indicadores_Economicos!D$2+1)^(1/12)-1))</f>
        <v>246681.97139001981</v>
      </c>
      <c r="Z848" s="18">
        <f t="shared" ca="1" si="111"/>
        <v>75515659.624022618</v>
      </c>
      <c r="AA848" s="18">
        <f ca="1">Auxiliar_Projetos!E848</f>
        <v>6.2093485967870393E-9</v>
      </c>
      <c r="AB848" s="18">
        <f ca="1">Auxiliar_Projetos!K848</f>
        <v>4.7764219975284842E-9</v>
      </c>
      <c r="AC848" s="18">
        <f ca="1">IF(Z848-AA848-AB848&gt;Investimentos!$C$14,Investimentos!$C$14,IF(Z848-AA848-AB848&lt;Investimentos!$C$14,Z848-AA848-AB848,0))</f>
        <v>300000</v>
      </c>
      <c r="AD848" s="18">
        <f t="shared" ca="1" si="112"/>
        <v>75215659.624022618</v>
      </c>
      <c r="AE848" s="18"/>
      <c r="AG848" s="28"/>
    </row>
    <row r="849" spans="1:33" x14ac:dyDescent="0.2">
      <c r="A849" s="4">
        <v>71437</v>
      </c>
      <c r="B849" s="5" t="str">
        <f t="shared" si="108"/>
        <v>agosto</v>
      </c>
      <c r="C849" s="5" t="str">
        <f t="shared" si="106"/>
        <v>2095</v>
      </c>
      <c r="D849" s="5">
        <f>SUMIFS(Despesas!$F:$F,Despesas!$J:$J,"&lt;="&amp;$A849,Despesas!$L:$L,"&gt;="&amp;$A849,Despesas!$C:$C,D$1,Despesas!$M:$M,"Mensal")+SUMIFS(Despesas!$F:$F,Despesas!$J:$J,"&lt;="&amp;$A849,Despesas!$L:$L,"&gt;="&amp;$A849,Despesas!$C:$C,D$1,Despesas!$M:$M,$B849)</f>
        <v>23000</v>
      </c>
      <c r="E849" s="18">
        <f>SUMIFS(Despesas!$F:$F,Despesas!$J:$J,"&lt;="&amp;$A849,Despesas!$L:$L,"&gt;="&amp;$A849,Despesas!$C:$C,E$1,Despesas!$M:$M,"Mensal")+SUMIFS(Despesas!$F:$F,Despesas!$J:$J,"&lt;="&amp;$A849,Despesas!$L:$L,"&gt;="&amp;$A849,Despesas!$C:$C,E$1,Despesas!$M:$M,$B849)</f>
        <v>0</v>
      </c>
      <c r="F849" s="5">
        <f>SUMIFS(Despesas!$F:$F,Despesas!$J:$J,"&lt;="&amp;$A849,Despesas!$L:$L,"&gt;="&amp;$A849,Despesas!$C:$C,F$1,Despesas!$M:$M,"Mensal")+SUMIFS(Despesas!$F:$F,Despesas!$J:$J,"&lt;="&amp;$A849,Despesas!$L:$L,"&gt;="&amp;$A849,Despesas!$C:$C,F$1,Despesas!$M:$M,$B849)</f>
        <v>13000</v>
      </c>
      <c r="G849" s="5">
        <f>SUMIFS(Despesas!$F:$F,Despesas!$J:$J,"&lt;="&amp;$A849,Despesas!$L:$L,"&gt;="&amp;$A849,Despesas!$C:$C,G$1,Despesas!$M:$M,"Mensal")+SUMIFS(Despesas!$F:$F,Despesas!$J:$J,"&lt;="&amp;$A849,Despesas!$L:$L,"&gt;="&amp;$A849,Despesas!$C:$C,G$1,Despesas!$M:$M,$B849)</f>
        <v>0</v>
      </c>
      <c r="H849" s="18">
        <f>SUMIFS(Despesas!$F:$F,Despesas!$J:$J,"&lt;="&amp;$A849,Despesas!$L:$L,"&gt;="&amp;$A849,Despesas!$C:$C,H$1,Despesas!$M:$M,"Mensal")+SUMIFS(Despesas!$F:$F,Despesas!$J:$J,"&lt;="&amp;$A849,Despesas!$L:$L,"&gt;="&amp;$A849,Despesas!$C:$C,H$1,Despesas!$M:$M,$B849)</f>
        <v>1000</v>
      </c>
      <c r="I849" s="18">
        <f>IF(Imóveis!$F$2="PRICE",IF(AND(Dados!$A849&gt;=Imóveis!$Q$2,Dados!$A849&lt;=Imóveis!$T$2),Imóveis!$U$2,0),IF((IF(AND(Dados!$A849&gt;=Imóveis!$Q$2,Dados!$A849&lt;=Imóveis!$T$2),Imóveis!$S$2-(DATEDIF(Imóveis!$Q$2,Dados!$A849,"m")),0))=0,0,((Imóveis!$N$2/Imóveis!$S$2)+((Imóveis!$N$2-((Imóveis!$S$2-(IF(AND(Dados!$A849&gt;=Imóveis!$Q$2,Dados!$A849&lt;=Imóveis!$T$2),Imóveis!$S$2-(DATEDIF(Imóveis!$Q$2,Dados!$A849,"m")),)))*(Imóveis!$N$2/Imóveis!$S$2)))*Imóveis!$P$2))))*IF(AND(Imóveis!$E$2&gt;0,Dados!$A849&gt;Imóveis!$E$2),0,1)</f>
        <v>0</v>
      </c>
      <c r="J849" s="18">
        <f>IF(Imóveis!$F$3="PRICE",IF(AND(Dados!$A849&gt;=Imóveis!$Q$3,Dados!$A849&lt;=Imóveis!$T$3),Imóveis!$U$3,0),IF((IF(AND(Dados!$A849&gt;=Imóveis!$Q$3,Dados!$A849&lt;=Imóveis!$T$3),Imóveis!$S$3-(DATEDIF(Imóveis!$Q$3,Dados!$A849,"m")),0))=0,0,((Imóveis!$N$3/Imóveis!$S$3)+((Imóveis!$N$3-((Imóveis!$S$3-(IF(AND(Dados!$A849&gt;=Imóveis!$Q$3,Dados!$A849&lt;=Imóveis!$T$3),Imóveis!$S$3-(DATEDIF(Imóveis!$Q$3,Dados!$A849,"m")),)))*(Imóveis!$N$3/Imóveis!$S$3)))*Imóveis!$P$3))))*IF(AND(Imóveis!$E$3&gt;0,Dados!$A849&gt;Imóveis!$E$3),0,1)</f>
        <v>0</v>
      </c>
      <c r="K849" s="18">
        <f>IF(Imóveis!$F$4="PRICE",IF(AND(Dados!$A849&gt;=Imóveis!$Q$4,Dados!$A849&lt;=Imóveis!$T$4),Imóveis!$U$4,0),IF((IF(AND(Dados!$A849&gt;=Imóveis!$Q$4,Dados!$A849&lt;=Imóveis!$T$4),Imóveis!$S$4-(DATEDIF(Imóveis!$Q$4,Dados!$A849,"m")),0))=0,0,((Imóveis!$N$4/Imóveis!$S$4)+((Imóveis!$N$4-((Imóveis!$S$4-(IF(AND(Dados!$A849&gt;=Imóveis!$Q$4,Dados!$A849&lt;=Imóveis!$T$4),Imóveis!$S$4-(DATEDIF(Imóveis!$Q$4,Dados!$A849,"m")),)))*(Imóveis!$N$4/Imóveis!$S$4)))*Imóveis!$P$4))))*IF(AND(Imóveis!$E$4&gt;0,Dados!$A849&gt;Imóveis!$E$4),0,1)</f>
        <v>0</v>
      </c>
      <c r="L849" s="18">
        <f>IF(Imóveis!$F$5="PRICE",IF(AND(Dados!$A849&gt;=Imóveis!$Q$5,Dados!$A849&lt;=Imóveis!$T$5),Imóveis!$U$5,0),IF((IF(AND(Dados!$A849&gt;=Imóveis!$Q$5,Dados!$A849&lt;=Imóveis!$T$5),Imóveis!$S$5-(DATEDIF(Imóveis!$Q$5,Dados!$A849,"m")),0))=0,0,((Imóveis!$N$5/Imóveis!$S$5)+((Imóveis!$N$5-((Imóveis!$S$5-(IF(AND(Dados!$A849 &gt;=Imóveis!$Q$5,Dados!$A849&lt;=Imóveis!$T$5),Imóveis!$S$5-(DATEDIF(Imóveis!$Q$5,Dados!$A849,"m")),)))*(Imóveis!$N$5/Imóveis!$S$5)))*Imóveis!$P$5))))*IF(AND(Imóveis!$E$5&gt;0,Dados!$A849&gt;Imóveis!$E$5),0,1)*Imóveis!$I$5</f>
        <v>0</v>
      </c>
      <c r="M849" s="18">
        <f>IF(Imóveis!$F$6="PRICE",IF(AND(Dados!$A849&gt;=Imóveis!$Q$6,Dados!$A849&lt;=Imóveis!$T$6),Imóveis!$U$6,0),IF((IF(AND(Dados!$A849&gt;=Imóveis!$Q$6,Dados!$A849&lt;=Imóveis!$T$6),Imóveis!$S$6-(DATEDIF(Imóveis!$Q$6,Dados!$A849,"m")),0))=0,0,((Imóveis!$N$6/Imóveis!$S$6)+((Imóveis!$N$6-((Imóveis!$S$6-(IF(AND(Dados!$A849&gt;=Imóveis!$Q$6,Dados!$A849&lt;=Imóveis!$T$6),Imóveis!$S$6-(DATEDIF(Imóveis!$Q$6,Dados!$A849,"m")),)))*(Imóveis!$N$6/Imóveis!$S$6)))*Imóveis!$P$6))))*IF(AND(Imóveis!$E$6&gt;0,Dados!$A849&gt;Imóveis!$E$6),0,1)*Imóveis!$I$6</f>
        <v>0</v>
      </c>
      <c r="N849" s="18">
        <f t="shared" si="109"/>
        <v>37000</v>
      </c>
      <c r="O849" s="18">
        <f>SUMIFS(Receitas!$F:$F,Receitas!$J:$J,"&lt;="&amp;$A849,Receitas!$L:$L,"&gt;="&amp;$A849,Receitas!$C:$C,O$1,Receitas!$M:$M,"Mensal")+SUMIFS(Receitas!$F:$F,Receitas!$J:$J,"&lt;="&amp;$A849,Receitas!$L:$L,"&gt;="&amp;$A849,Receitas!$C:$C,O$1,Receitas!$M:$M,$B849)</f>
        <v>0</v>
      </c>
      <c r="P849" s="18">
        <f>SUMIFS(Receitas!$F:$F,Receitas!$J:$J,"&lt;="&amp;$A849,Receitas!$L:$L,"&gt;="&amp;$A849,Receitas!$C:$C,P$1,Receitas!$M:$M,"Mensal")+SUMIFS(Receitas!$F:$F,Receitas!$J:$J,"&lt;="&amp;$A849,Receitas!$L:$L,"&gt;="&amp;$A849,Receitas!$C:$C,P$1,Receitas!$M:$M,$B849)</f>
        <v>0</v>
      </c>
      <c r="Q849" s="18">
        <f>SUMIFS(Receitas!$F:$F,Receitas!$J:$J,"&lt;="&amp;$A849,Receitas!$L:$L,"&gt;="&amp;$A849,Receitas!$C:$C,Q$1,Receitas!$M:$M,"Mensal")+SUMIFS(Receitas!$F:$F,Receitas!$J:$J,"&lt;="&amp;$A849,Receitas!$L:$L,"&gt;="&amp;$A849,Receitas!$C:$C,Q$1,Receitas!$M:$M,$B849)</f>
        <v>0</v>
      </c>
      <c r="R849" s="18" cm="1">
        <f t="array" ref="R849">(IF(AND(Membros!$F$2="Sim",A849&lt;=MAX(Membros!$E$2:$E$5)),Membros!K$2,IF(AND(A849&gt;=Membros!J$2,A849&lt;=MAX(Membros!$E$2:$E$5)),Membros!K$2,0))+IF(AND(Membros!$F$3="Sim",A849&lt;=MAX(Membros!$E$2:$E$5)),Membros!K$3,IF(AND(A849&gt;=Membros!J$3,A849&lt;=MAX(Membros!$E$2:$E$5)),Membros!K$3,0)))*IF(AND(COUNTIFS(Tabela3[Tipo],"Provedor",Tabela3[Simulação Seguro],"Sim")=2,A849&gt;=MAX(IF(Tabela3[Tipo]="Dependente",Tabela3[Expectativa de Vida (Data)]))),0,1)</f>
        <v>10000</v>
      </c>
      <c r="S849" s="18">
        <f t="shared" si="110"/>
        <v>10000</v>
      </c>
      <c r="U849" s="18">
        <f t="shared" ca="1" si="113"/>
        <v>75515659.624022618</v>
      </c>
      <c r="V849" s="18">
        <f>SUMIF(Imóveis!E:E,Dados!A:A,Imóveis!Z:Z)-SUMIF(Imóveis!E:E,Dados!A:A,Imóveis!Y:Y)</f>
        <v>0</v>
      </c>
      <c r="W849" s="18">
        <f>-SUMIF(Projetos!N:N,A849,Projetos!F:F)</f>
        <v>0</v>
      </c>
      <c r="X849" s="18">
        <f t="shared" si="107"/>
        <v>-27000</v>
      </c>
      <c r="Y849" s="26">
        <f ca="1">(U849*((Indicadores_Economicos!D$2+1)^(1/12)-1))</f>
        <v>247218.61909015517</v>
      </c>
      <c r="Z849" s="18">
        <f t="shared" ca="1" si="111"/>
        <v>75735878.243112773</v>
      </c>
      <c r="AA849" s="18">
        <f ca="1">Auxiliar_Projetos!E849</f>
        <v>6.229676388309882E-9</v>
      </c>
      <c r="AB849" s="18">
        <f ca="1">Auxiliar_Projetos!K849</f>
        <v>4.7920587602383632E-9</v>
      </c>
      <c r="AC849" s="18">
        <f ca="1">IF(Z849-AA849-AB849&gt;Investimentos!$C$14,Investimentos!$C$14,IF(Z849-AA849-AB849&lt;Investimentos!$C$14,Z849-AA849-AB849,0))</f>
        <v>300000</v>
      </c>
      <c r="AD849" s="18">
        <f t="shared" ca="1" si="112"/>
        <v>75435878.243112773</v>
      </c>
      <c r="AE849" s="18"/>
      <c r="AG849" s="8"/>
    </row>
    <row r="850" spans="1:33" x14ac:dyDescent="0.2">
      <c r="A850" s="4">
        <v>71468</v>
      </c>
      <c r="B850" s="5" t="str">
        <f t="shared" si="108"/>
        <v>setembro</v>
      </c>
      <c r="C850" s="5" t="str">
        <f t="shared" si="106"/>
        <v>2095</v>
      </c>
      <c r="D850" s="5">
        <f>SUMIFS(Despesas!$F:$F,Despesas!$J:$J,"&lt;="&amp;$A850,Despesas!$L:$L,"&gt;="&amp;$A850,Despesas!$C:$C,D$1,Despesas!$M:$M,"Mensal")+SUMIFS(Despesas!$F:$F,Despesas!$J:$J,"&lt;="&amp;$A850,Despesas!$L:$L,"&gt;="&amp;$A850,Despesas!$C:$C,D$1,Despesas!$M:$M,$B850)</f>
        <v>23000</v>
      </c>
      <c r="E850" s="18">
        <f>SUMIFS(Despesas!$F:$F,Despesas!$J:$J,"&lt;="&amp;$A850,Despesas!$L:$L,"&gt;="&amp;$A850,Despesas!$C:$C,E$1,Despesas!$M:$M,"Mensal")+SUMIFS(Despesas!$F:$F,Despesas!$J:$J,"&lt;="&amp;$A850,Despesas!$L:$L,"&gt;="&amp;$A850,Despesas!$C:$C,E$1,Despesas!$M:$M,$B850)</f>
        <v>0</v>
      </c>
      <c r="F850" s="5">
        <f>SUMIFS(Despesas!$F:$F,Despesas!$J:$J,"&lt;="&amp;$A850,Despesas!$L:$L,"&gt;="&amp;$A850,Despesas!$C:$C,F$1,Despesas!$M:$M,"Mensal")+SUMIFS(Despesas!$F:$F,Despesas!$J:$J,"&lt;="&amp;$A850,Despesas!$L:$L,"&gt;="&amp;$A850,Despesas!$C:$C,F$1,Despesas!$M:$M,$B850)</f>
        <v>13000</v>
      </c>
      <c r="G850" s="5">
        <f>SUMIFS(Despesas!$F:$F,Despesas!$J:$J,"&lt;="&amp;$A850,Despesas!$L:$L,"&gt;="&amp;$A850,Despesas!$C:$C,G$1,Despesas!$M:$M,"Mensal")+SUMIFS(Despesas!$F:$F,Despesas!$J:$J,"&lt;="&amp;$A850,Despesas!$L:$L,"&gt;="&amp;$A850,Despesas!$C:$C,G$1,Despesas!$M:$M,$B850)</f>
        <v>0</v>
      </c>
      <c r="H850" s="18">
        <f>SUMIFS(Despesas!$F:$F,Despesas!$J:$J,"&lt;="&amp;$A850,Despesas!$L:$L,"&gt;="&amp;$A850,Despesas!$C:$C,H$1,Despesas!$M:$M,"Mensal")+SUMIFS(Despesas!$F:$F,Despesas!$J:$J,"&lt;="&amp;$A850,Despesas!$L:$L,"&gt;="&amp;$A850,Despesas!$C:$C,H$1,Despesas!$M:$M,$B850)</f>
        <v>1000</v>
      </c>
      <c r="I850" s="18">
        <f>IF(Imóveis!$F$2="PRICE",IF(AND(Dados!$A850&gt;=Imóveis!$Q$2,Dados!$A850&lt;=Imóveis!$T$2),Imóveis!$U$2,0),IF((IF(AND(Dados!$A850&gt;=Imóveis!$Q$2,Dados!$A850&lt;=Imóveis!$T$2),Imóveis!$S$2-(DATEDIF(Imóveis!$Q$2,Dados!$A850,"m")),0))=0,0,((Imóveis!$N$2/Imóveis!$S$2)+((Imóveis!$N$2-((Imóveis!$S$2-(IF(AND(Dados!$A850&gt;=Imóveis!$Q$2,Dados!$A850&lt;=Imóveis!$T$2),Imóveis!$S$2-(DATEDIF(Imóveis!$Q$2,Dados!$A850,"m")),)))*(Imóveis!$N$2/Imóveis!$S$2)))*Imóveis!$P$2))))*IF(AND(Imóveis!$E$2&gt;0,Dados!$A850&gt;Imóveis!$E$2),0,1)</f>
        <v>0</v>
      </c>
      <c r="J850" s="18">
        <f>IF(Imóveis!$F$3="PRICE",IF(AND(Dados!$A850&gt;=Imóveis!$Q$3,Dados!$A850&lt;=Imóveis!$T$3),Imóveis!$U$3,0),IF((IF(AND(Dados!$A850&gt;=Imóveis!$Q$3,Dados!$A850&lt;=Imóveis!$T$3),Imóveis!$S$3-(DATEDIF(Imóveis!$Q$3,Dados!$A850,"m")),0))=0,0,((Imóveis!$N$3/Imóveis!$S$3)+((Imóveis!$N$3-((Imóveis!$S$3-(IF(AND(Dados!$A850&gt;=Imóveis!$Q$3,Dados!$A850&lt;=Imóveis!$T$3),Imóveis!$S$3-(DATEDIF(Imóveis!$Q$3,Dados!$A850,"m")),)))*(Imóveis!$N$3/Imóveis!$S$3)))*Imóveis!$P$3))))*IF(AND(Imóveis!$E$3&gt;0,Dados!$A850&gt;Imóveis!$E$3),0,1)</f>
        <v>0</v>
      </c>
      <c r="K850" s="18">
        <f>IF(Imóveis!$F$4="PRICE",IF(AND(Dados!$A850&gt;=Imóveis!$Q$4,Dados!$A850&lt;=Imóveis!$T$4),Imóveis!$U$4,0),IF((IF(AND(Dados!$A850&gt;=Imóveis!$Q$4,Dados!$A850&lt;=Imóveis!$T$4),Imóveis!$S$4-(DATEDIF(Imóveis!$Q$4,Dados!$A850,"m")),0))=0,0,((Imóveis!$N$4/Imóveis!$S$4)+((Imóveis!$N$4-((Imóveis!$S$4-(IF(AND(Dados!$A850&gt;=Imóveis!$Q$4,Dados!$A850&lt;=Imóveis!$T$4),Imóveis!$S$4-(DATEDIF(Imóveis!$Q$4,Dados!$A850,"m")),)))*(Imóveis!$N$4/Imóveis!$S$4)))*Imóveis!$P$4))))*IF(AND(Imóveis!$E$4&gt;0,Dados!$A850&gt;Imóveis!$E$4),0,1)</f>
        <v>0</v>
      </c>
      <c r="L850" s="18">
        <f>IF(Imóveis!$F$5="PRICE",IF(AND(Dados!$A850&gt;=Imóveis!$Q$5,Dados!$A850&lt;=Imóveis!$T$5),Imóveis!$U$5,0),IF((IF(AND(Dados!$A850&gt;=Imóveis!$Q$5,Dados!$A850&lt;=Imóveis!$T$5),Imóveis!$S$5-(DATEDIF(Imóveis!$Q$5,Dados!$A850,"m")),0))=0,0,((Imóveis!$N$5/Imóveis!$S$5)+((Imóveis!$N$5-((Imóveis!$S$5-(IF(AND(Dados!$A850 &gt;=Imóveis!$Q$5,Dados!$A850&lt;=Imóveis!$T$5),Imóveis!$S$5-(DATEDIF(Imóveis!$Q$5,Dados!$A850,"m")),)))*(Imóveis!$N$5/Imóveis!$S$5)))*Imóveis!$P$5))))*IF(AND(Imóveis!$E$5&gt;0,Dados!$A850&gt;Imóveis!$E$5),0,1)*Imóveis!$I$5</f>
        <v>0</v>
      </c>
      <c r="M850" s="18">
        <f>IF(Imóveis!$F$6="PRICE",IF(AND(Dados!$A850&gt;=Imóveis!$Q$6,Dados!$A850&lt;=Imóveis!$T$6),Imóveis!$U$6,0),IF((IF(AND(Dados!$A850&gt;=Imóveis!$Q$6,Dados!$A850&lt;=Imóveis!$T$6),Imóveis!$S$6-(DATEDIF(Imóveis!$Q$6,Dados!$A850,"m")),0))=0,0,((Imóveis!$N$6/Imóveis!$S$6)+((Imóveis!$N$6-((Imóveis!$S$6-(IF(AND(Dados!$A850&gt;=Imóveis!$Q$6,Dados!$A850&lt;=Imóveis!$T$6),Imóveis!$S$6-(DATEDIF(Imóveis!$Q$6,Dados!$A850,"m")),)))*(Imóveis!$N$6/Imóveis!$S$6)))*Imóveis!$P$6))))*IF(AND(Imóveis!$E$6&gt;0,Dados!$A850&gt;Imóveis!$E$6),0,1)*Imóveis!$I$6</f>
        <v>0</v>
      </c>
      <c r="N850" s="18">
        <f t="shared" si="109"/>
        <v>37000</v>
      </c>
      <c r="O850" s="18">
        <f>SUMIFS(Receitas!$F:$F,Receitas!$J:$J,"&lt;="&amp;$A850,Receitas!$L:$L,"&gt;="&amp;$A850,Receitas!$C:$C,O$1,Receitas!$M:$M,"Mensal")+SUMIFS(Receitas!$F:$F,Receitas!$J:$J,"&lt;="&amp;$A850,Receitas!$L:$L,"&gt;="&amp;$A850,Receitas!$C:$C,O$1,Receitas!$M:$M,$B850)</f>
        <v>0</v>
      </c>
      <c r="P850" s="18">
        <f>SUMIFS(Receitas!$F:$F,Receitas!$J:$J,"&lt;="&amp;$A850,Receitas!$L:$L,"&gt;="&amp;$A850,Receitas!$C:$C,P$1,Receitas!$M:$M,"Mensal")+SUMIFS(Receitas!$F:$F,Receitas!$J:$J,"&lt;="&amp;$A850,Receitas!$L:$L,"&gt;="&amp;$A850,Receitas!$C:$C,P$1,Receitas!$M:$M,$B850)</f>
        <v>0</v>
      </c>
      <c r="Q850" s="18">
        <f>SUMIFS(Receitas!$F:$F,Receitas!$J:$J,"&lt;="&amp;$A850,Receitas!$L:$L,"&gt;="&amp;$A850,Receitas!$C:$C,Q$1,Receitas!$M:$M,"Mensal")+SUMIFS(Receitas!$F:$F,Receitas!$J:$J,"&lt;="&amp;$A850,Receitas!$L:$L,"&gt;="&amp;$A850,Receitas!$C:$C,Q$1,Receitas!$M:$M,$B850)</f>
        <v>0</v>
      </c>
      <c r="R850" s="18" cm="1">
        <f t="array" ref="R850">(IF(AND(Membros!$F$2="Sim",A850&lt;=MAX(Membros!$E$2:$E$5)),Membros!K$2,IF(AND(A850&gt;=Membros!J$2,A850&lt;=MAX(Membros!$E$2:$E$5)),Membros!K$2,0))+IF(AND(Membros!$F$3="Sim",A850&lt;=MAX(Membros!$E$2:$E$5)),Membros!K$3,IF(AND(A850&gt;=Membros!J$3,A850&lt;=MAX(Membros!$E$2:$E$5)),Membros!K$3,0)))*IF(AND(COUNTIFS(Tabela3[Tipo],"Provedor",Tabela3[Simulação Seguro],"Sim")=2,A850&gt;=MAX(IF(Tabela3[Tipo]="Dependente",Tabela3[Expectativa de Vida (Data)]))),0,1)</f>
        <v>10000</v>
      </c>
      <c r="S850" s="18">
        <f t="shared" si="110"/>
        <v>10000</v>
      </c>
      <c r="U850" s="18">
        <f t="shared" ca="1" si="113"/>
        <v>75735878.243112773</v>
      </c>
      <c r="V850" s="18">
        <f>SUMIF(Imóveis!E:E,Dados!A:A,Imóveis!Z:Z)-SUMIF(Imóveis!E:E,Dados!A:A,Imóveis!Y:Y)</f>
        <v>0</v>
      </c>
      <c r="W850" s="18">
        <f>-SUMIF(Projetos!N:N,A850,Projetos!F:F)</f>
        <v>0</v>
      </c>
      <c r="X850" s="18">
        <f t="shared" si="107"/>
        <v>-27000</v>
      </c>
      <c r="Y850" s="26">
        <f ca="1">(U850*((Indicadores_Economicos!D$2+1)^(1/12)-1))</f>
        <v>247939.55754425153</v>
      </c>
      <c r="Z850" s="18">
        <f t="shared" ca="1" si="111"/>
        <v>75956817.800657019</v>
      </c>
      <c r="AA850" s="18">
        <f ca="1">Auxiliar_Projetos!E850</f>
        <v>6.250070727732517E-9</v>
      </c>
      <c r="AB850" s="18">
        <f ca="1">Auxiliar_Projetos!K850</f>
        <v>4.8077467136403905E-9</v>
      </c>
      <c r="AC850" s="18">
        <f ca="1">IF(Z850-AA850-AB850&gt;Investimentos!$C$14,Investimentos!$C$14,IF(Z850-AA850-AB850&lt;Investimentos!$C$14,Z850-AA850-AB850,0))</f>
        <v>300000</v>
      </c>
      <c r="AD850" s="18">
        <f t="shared" ca="1" si="112"/>
        <v>75656817.800657019</v>
      </c>
      <c r="AE850" s="18"/>
    </row>
    <row r="851" spans="1:33" x14ac:dyDescent="0.2">
      <c r="A851" s="4">
        <v>71498</v>
      </c>
      <c r="B851" s="5" t="str">
        <f t="shared" si="108"/>
        <v>outubro</v>
      </c>
      <c r="C851" s="5" t="str">
        <f t="shared" si="106"/>
        <v>2095</v>
      </c>
      <c r="D851" s="5">
        <f>SUMIFS(Despesas!$F:$F,Despesas!$J:$J,"&lt;="&amp;$A851,Despesas!$L:$L,"&gt;="&amp;$A851,Despesas!$C:$C,D$1,Despesas!$M:$M,"Mensal")+SUMIFS(Despesas!$F:$F,Despesas!$J:$J,"&lt;="&amp;$A851,Despesas!$L:$L,"&gt;="&amp;$A851,Despesas!$C:$C,D$1,Despesas!$M:$M,$B851)</f>
        <v>23000</v>
      </c>
      <c r="E851" s="18">
        <f>SUMIFS(Despesas!$F:$F,Despesas!$J:$J,"&lt;="&amp;$A851,Despesas!$L:$L,"&gt;="&amp;$A851,Despesas!$C:$C,E$1,Despesas!$M:$M,"Mensal")+SUMIFS(Despesas!$F:$F,Despesas!$J:$J,"&lt;="&amp;$A851,Despesas!$L:$L,"&gt;="&amp;$A851,Despesas!$C:$C,E$1,Despesas!$M:$M,$B851)</f>
        <v>0</v>
      </c>
      <c r="F851" s="5">
        <f>SUMIFS(Despesas!$F:$F,Despesas!$J:$J,"&lt;="&amp;$A851,Despesas!$L:$L,"&gt;="&amp;$A851,Despesas!$C:$C,F$1,Despesas!$M:$M,"Mensal")+SUMIFS(Despesas!$F:$F,Despesas!$J:$J,"&lt;="&amp;$A851,Despesas!$L:$L,"&gt;="&amp;$A851,Despesas!$C:$C,F$1,Despesas!$M:$M,$B851)</f>
        <v>13000</v>
      </c>
      <c r="G851" s="5">
        <f>SUMIFS(Despesas!$F:$F,Despesas!$J:$J,"&lt;="&amp;$A851,Despesas!$L:$L,"&gt;="&amp;$A851,Despesas!$C:$C,G$1,Despesas!$M:$M,"Mensal")+SUMIFS(Despesas!$F:$F,Despesas!$J:$J,"&lt;="&amp;$A851,Despesas!$L:$L,"&gt;="&amp;$A851,Despesas!$C:$C,G$1,Despesas!$M:$M,$B851)</f>
        <v>0</v>
      </c>
      <c r="H851" s="18">
        <f>SUMIFS(Despesas!$F:$F,Despesas!$J:$J,"&lt;="&amp;$A851,Despesas!$L:$L,"&gt;="&amp;$A851,Despesas!$C:$C,H$1,Despesas!$M:$M,"Mensal")+SUMIFS(Despesas!$F:$F,Despesas!$J:$J,"&lt;="&amp;$A851,Despesas!$L:$L,"&gt;="&amp;$A851,Despesas!$C:$C,H$1,Despesas!$M:$M,$B851)</f>
        <v>1000</v>
      </c>
      <c r="I851" s="18">
        <f>IF(Imóveis!$F$2="PRICE",IF(AND(Dados!$A851&gt;=Imóveis!$Q$2,Dados!$A851&lt;=Imóveis!$T$2),Imóveis!$U$2,0),IF((IF(AND(Dados!$A851&gt;=Imóveis!$Q$2,Dados!$A851&lt;=Imóveis!$T$2),Imóveis!$S$2-(DATEDIF(Imóveis!$Q$2,Dados!$A851,"m")),0))=0,0,((Imóveis!$N$2/Imóveis!$S$2)+((Imóveis!$N$2-((Imóveis!$S$2-(IF(AND(Dados!$A851&gt;=Imóveis!$Q$2,Dados!$A851&lt;=Imóveis!$T$2),Imóveis!$S$2-(DATEDIF(Imóveis!$Q$2,Dados!$A851,"m")),)))*(Imóveis!$N$2/Imóveis!$S$2)))*Imóveis!$P$2))))*IF(AND(Imóveis!$E$2&gt;0,Dados!$A851&gt;Imóveis!$E$2),0,1)</f>
        <v>0</v>
      </c>
      <c r="J851" s="18">
        <f>IF(Imóveis!$F$3="PRICE",IF(AND(Dados!$A851&gt;=Imóveis!$Q$3,Dados!$A851&lt;=Imóveis!$T$3),Imóveis!$U$3,0),IF((IF(AND(Dados!$A851&gt;=Imóveis!$Q$3,Dados!$A851&lt;=Imóveis!$T$3),Imóveis!$S$3-(DATEDIF(Imóveis!$Q$3,Dados!$A851,"m")),0))=0,0,((Imóveis!$N$3/Imóveis!$S$3)+((Imóveis!$N$3-((Imóveis!$S$3-(IF(AND(Dados!$A851&gt;=Imóveis!$Q$3,Dados!$A851&lt;=Imóveis!$T$3),Imóveis!$S$3-(DATEDIF(Imóveis!$Q$3,Dados!$A851,"m")),)))*(Imóveis!$N$3/Imóveis!$S$3)))*Imóveis!$P$3))))*IF(AND(Imóveis!$E$3&gt;0,Dados!$A851&gt;Imóveis!$E$3),0,1)</f>
        <v>0</v>
      </c>
      <c r="K851" s="18">
        <f>IF(Imóveis!$F$4="PRICE",IF(AND(Dados!$A851&gt;=Imóveis!$Q$4,Dados!$A851&lt;=Imóveis!$T$4),Imóveis!$U$4,0),IF((IF(AND(Dados!$A851&gt;=Imóveis!$Q$4,Dados!$A851&lt;=Imóveis!$T$4),Imóveis!$S$4-(DATEDIF(Imóveis!$Q$4,Dados!$A851,"m")),0))=0,0,((Imóveis!$N$4/Imóveis!$S$4)+((Imóveis!$N$4-((Imóveis!$S$4-(IF(AND(Dados!$A851&gt;=Imóveis!$Q$4,Dados!$A851&lt;=Imóveis!$T$4),Imóveis!$S$4-(DATEDIF(Imóveis!$Q$4,Dados!$A851,"m")),)))*(Imóveis!$N$4/Imóveis!$S$4)))*Imóveis!$P$4))))*IF(AND(Imóveis!$E$4&gt;0,Dados!$A851&gt;Imóveis!$E$4),0,1)</f>
        <v>0</v>
      </c>
      <c r="L851" s="18">
        <f>IF(Imóveis!$F$5="PRICE",IF(AND(Dados!$A851&gt;=Imóveis!$Q$5,Dados!$A851&lt;=Imóveis!$T$5),Imóveis!$U$5,0),IF((IF(AND(Dados!$A851&gt;=Imóveis!$Q$5,Dados!$A851&lt;=Imóveis!$T$5),Imóveis!$S$5-(DATEDIF(Imóveis!$Q$5,Dados!$A851,"m")),0))=0,0,((Imóveis!$N$5/Imóveis!$S$5)+((Imóveis!$N$5-((Imóveis!$S$5-(IF(AND(Dados!$A851 &gt;=Imóveis!$Q$5,Dados!$A851&lt;=Imóveis!$T$5),Imóveis!$S$5-(DATEDIF(Imóveis!$Q$5,Dados!$A851,"m")),)))*(Imóveis!$N$5/Imóveis!$S$5)))*Imóveis!$P$5))))*IF(AND(Imóveis!$E$5&gt;0,Dados!$A851&gt;Imóveis!$E$5),0,1)*Imóveis!$I$5</f>
        <v>0</v>
      </c>
      <c r="M851" s="18">
        <f>IF(Imóveis!$F$6="PRICE",IF(AND(Dados!$A851&gt;=Imóveis!$Q$6,Dados!$A851&lt;=Imóveis!$T$6),Imóveis!$U$6,0),IF((IF(AND(Dados!$A851&gt;=Imóveis!$Q$6,Dados!$A851&lt;=Imóveis!$T$6),Imóveis!$S$6-(DATEDIF(Imóveis!$Q$6,Dados!$A851,"m")),0))=0,0,((Imóveis!$N$6/Imóveis!$S$6)+((Imóveis!$N$6-((Imóveis!$S$6-(IF(AND(Dados!$A851&gt;=Imóveis!$Q$6,Dados!$A851&lt;=Imóveis!$T$6),Imóveis!$S$6-(DATEDIF(Imóveis!$Q$6,Dados!$A851,"m")),)))*(Imóveis!$N$6/Imóveis!$S$6)))*Imóveis!$P$6))))*IF(AND(Imóveis!$E$6&gt;0,Dados!$A851&gt;Imóveis!$E$6),0,1)*Imóveis!$I$6</f>
        <v>0</v>
      </c>
      <c r="N851" s="18">
        <f t="shared" si="109"/>
        <v>37000</v>
      </c>
      <c r="O851" s="18">
        <f>SUMIFS(Receitas!$F:$F,Receitas!$J:$J,"&lt;="&amp;$A851,Receitas!$L:$L,"&gt;="&amp;$A851,Receitas!$C:$C,O$1,Receitas!$M:$M,"Mensal")+SUMIFS(Receitas!$F:$F,Receitas!$J:$J,"&lt;="&amp;$A851,Receitas!$L:$L,"&gt;="&amp;$A851,Receitas!$C:$C,O$1,Receitas!$M:$M,$B851)</f>
        <v>0</v>
      </c>
      <c r="P851" s="18">
        <f>SUMIFS(Receitas!$F:$F,Receitas!$J:$J,"&lt;="&amp;$A851,Receitas!$L:$L,"&gt;="&amp;$A851,Receitas!$C:$C,P$1,Receitas!$M:$M,"Mensal")+SUMIFS(Receitas!$F:$F,Receitas!$J:$J,"&lt;="&amp;$A851,Receitas!$L:$L,"&gt;="&amp;$A851,Receitas!$C:$C,P$1,Receitas!$M:$M,$B851)</f>
        <v>0</v>
      </c>
      <c r="Q851" s="18">
        <f>SUMIFS(Receitas!$F:$F,Receitas!$J:$J,"&lt;="&amp;$A851,Receitas!$L:$L,"&gt;="&amp;$A851,Receitas!$C:$C,Q$1,Receitas!$M:$M,"Mensal")+SUMIFS(Receitas!$F:$F,Receitas!$J:$J,"&lt;="&amp;$A851,Receitas!$L:$L,"&gt;="&amp;$A851,Receitas!$C:$C,Q$1,Receitas!$M:$M,$B851)</f>
        <v>0</v>
      </c>
      <c r="R851" s="18" cm="1">
        <f t="array" ref="R851">(IF(AND(Membros!$F$2="Sim",A851&lt;=MAX(Membros!$E$2:$E$5)),Membros!K$2,IF(AND(A851&gt;=Membros!J$2,A851&lt;=MAX(Membros!$E$2:$E$5)),Membros!K$2,0))+IF(AND(Membros!$F$3="Sim",A851&lt;=MAX(Membros!$E$2:$E$5)),Membros!K$3,IF(AND(A851&gt;=Membros!J$3,A851&lt;=MAX(Membros!$E$2:$E$5)),Membros!K$3,0)))*IF(AND(COUNTIFS(Tabela3[Tipo],"Provedor",Tabela3[Simulação Seguro],"Sim")=2,A851&gt;=MAX(IF(Tabela3[Tipo]="Dependente",Tabela3[Expectativa de Vida (Data)]))),0,1)</f>
        <v>10000</v>
      </c>
      <c r="S851" s="18">
        <f t="shared" si="110"/>
        <v>10000</v>
      </c>
      <c r="U851" s="18">
        <f t="shared" ca="1" si="113"/>
        <v>75956817.800657019</v>
      </c>
      <c r="V851" s="18">
        <f>SUMIF(Imóveis!E:E,Dados!A:A,Imóveis!Z:Z)-SUMIF(Imóveis!E:E,Dados!A:A,Imóveis!Y:Y)</f>
        <v>0</v>
      </c>
      <c r="W851" s="18">
        <f>-SUMIF(Projetos!N:N,A851,Projetos!F:F)</f>
        <v>0</v>
      </c>
      <c r="X851" s="18">
        <f t="shared" si="107"/>
        <v>-27000</v>
      </c>
      <c r="Y851" s="26">
        <f ca="1">(U851*((Indicadores_Economicos!D$2+1)^(1/12)-1))</f>
        <v>248662.85616324554</v>
      </c>
      <c r="Z851" s="18">
        <f t="shared" ca="1" si="111"/>
        <v>76178480.656820267</v>
      </c>
      <c r="AA851" s="18">
        <f ca="1">Auxiliar_Projetos!E851</f>
        <v>6.2705318329154522E-9</v>
      </c>
      <c r="AB851" s="18">
        <f ca="1">Auxiliar_Projetos!K851</f>
        <v>4.8234860253195715E-9</v>
      </c>
      <c r="AC851" s="18">
        <f ca="1">IF(Z851-AA851-AB851&gt;Investimentos!$C$14,Investimentos!$C$14,IF(Z851-AA851-AB851&lt;Investimentos!$C$14,Z851-AA851-AB851,0))</f>
        <v>300000</v>
      </c>
      <c r="AD851" s="18">
        <f t="shared" ca="1" si="112"/>
        <v>75878480.656820267</v>
      </c>
      <c r="AE851" s="18"/>
    </row>
    <row r="852" spans="1:33" x14ac:dyDescent="0.2">
      <c r="A852" s="4">
        <v>71529</v>
      </c>
      <c r="B852" s="5" t="str">
        <f t="shared" si="108"/>
        <v>novembro</v>
      </c>
      <c r="C852" s="5" t="str">
        <f t="shared" si="106"/>
        <v>2095</v>
      </c>
      <c r="D852" s="5">
        <f>SUMIFS(Despesas!$F:$F,Despesas!$J:$J,"&lt;="&amp;$A852,Despesas!$L:$L,"&gt;="&amp;$A852,Despesas!$C:$C,D$1,Despesas!$M:$M,"Mensal")+SUMIFS(Despesas!$F:$F,Despesas!$J:$J,"&lt;="&amp;$A852,Despesas!$L:$L,"&gt;="&amp;$A852,Despesas!$C:$C,D$1,Despesas!$M:$M,$B852)</f>
        <v>23000</v>
      </c>
      <c r="E852" s="18">
        <f>SUMIFS(Despesas!$F:$F,Despesas!$J:$J,"&lt;="&amp;$A852,Despesas!$L:$L,"&gt;="&amp;$A852,Despesas!$C:$C,E$1,Despesas!$M:$M,"Mensal")+SUMIFS(Despesas!$F:$F,Despesas!$J:$J,"&lt;="&amp;$A852,Despesas!$L:$L,"&gt;="&amp;$A852,Despesas!$C:$C,E$1,Despesas!$M:$M,$B852)</f>
        <v>0</v>
      </c>
      <c r="F852" s="5">
        <f>SUMIFS(Despesas!$F:$F,Despesas!$J:$J,"&lt;="&amp;$A852,Despesas!$L:$L,"&gt;="&amp;$A852,Despesas!$C:$C,F$1,Despesas!$M:$M,"Mensal")+SUMIFS(Despesas!$F:$F,Despesas!$J:$J,"&lt;="&amp;$A852,Despesas!$L:$L,"&gt;="&amp;$A852,Despesas!$C:$C,F$1,Despesas!$M:$M,$B852)</f>
        <v>13000</v>
      </c>
      <c r="G852" s="5">
        <f>SUMIFS(Despesas!$F:$F,Despesas!$J:$J,"&lt;="&amp;$A852,Despesas!$L:$L,"&gt;="&amp;$A852,Despesas!$C:$C,G$1,Despesas!$M:$M,"Mensal")+SUMIFS(Despesas!$F:$F,Despesas!$J:$J,"&lt;="&amp;$A852,Despesas!$L:$L,"&gt;="&amp;$A852,Despesas!$C:$C,G$1,Despesas!$M:$M,$B852)</f>
        <v>0</v>
      </c>
      <c r="H852" s="18">
        <f>SUMIFS(Despesas!$F:$F,Despesas!$J:$J,"&lt;="&amp;$A852,Despesas!$L:$L,"&gt;="&amp;$A852,Despesas!$C:$C,H$1,Despesas!$M:$M,"Mensal")+SUMIFS(Despesas!$F:$F,Despesas!$J:$J,"&lt;="&amp;$A852,Despesas!$L:$L,"&gt;="&amp;$A852,Despesas!$C:$C,H$1,Despesas!$M:$M,$B852)</f>
        <v>1000</v>
      </c>
      <c r="I852" s="18">
        <f>IF(Imóveis!$F$2="PRICE",IF(AND(Dados!$A852&gt;=Imóveis!$Q$2,Dados!$A852&lt;=Imóveis!$T$2),Imóveis!$U$2,0),IF((IF(AND(Dados!$A852&gt;=Imóveis!$Q$2,Dados!$A852&lt;=Imóveis!$T$2),Imóveis!$S$2-(DATEDIF(Imóveis!$Q$2,Dados!$A852,"m")),0))=0,0,((Imóveis!$N$2/Imóveis!$S$2)+((Imóveis!$N$2-((Imóveis!$S$2-(IF(AND(Dados!$A852&gt;=Imóveis!$Q$2,Dados!$A852&lt;=Imóveis!$T$2),Imóveis!$S$2-(DATEDIF(Imóveis!$Q$2,Dados!$A852,"m")),)))*(Imóveis!$N$2/Imóveis!$S$2)))*Imóveis!$P$2))))*IF(AND(Imóveis!$E$2&gt;0,Dados!$A852&gt;Imóveis!$E$2),0,1)</f>
        <v>0</v>
      </c>
      <c r="J852" s="18">
        <f>IF(Imóveis!$F$3="PRICE",IF(AND(Dados!$A852&gt;=Imóveis!$Q$3,Dados!$A852&lt;=Imóveis!$T$3),Imóveis!$U$3,0),IF((IF(AND(Dados!$A852&gt;=Imóveis!$Q$3,Dados!$A852&lt;=Imóveis!$T$3),Imóveis!$S$3-(DATEDIF(Imóveis!$Q$3,Dados!$A852,"m")),0))=0,0,((Imóveis!$N$3/Imóveis!$S$3)+((Imóveis!$N$3-((Imóveis!$S$3-(IF(AND(Dados!$A852&gt;=Imóveis!$Q$3,Dados!$A852&lt;=Imóveis!$T$3),Imóveis!$S$3-(DATEDIF(Imóveis!$Q$3,Dados!$A852,"m")),)))*(Imóveis!$N$3/Imóveis!$S$3)))*Imóveis!$P$3))))*IF(AND(Imóveis!$E$3&gt;0,Dados!$A852&gt;Imóveis!$E$3),0,1)</f>
        <v>0</v>
      </c>
      <c r="K852" s="18">
        <f>IF(Imóveis!$F$4="PRICE",IF(AND(Dados!$A852&gt;=Imóveis!$Q$4,Dados!$A852&lt;=Imóveis!$T$4),Imóveis!$U$4,0),IF((IF(AND(Dados!$A852&gt;=Imóveis!$Q$4,Dados!$A852&lt;=Imóveis!$T$4),Imóveis!$S$4-(DATEDIF(Imóveis!$Q$4,Dados!$A852,"m")),0))=0,0,((Imóveis!$N$4/Imóveis!$S$4)+((Imóveis!$N$4-((Imóveis!$S$4-(IF(AND(Dados!$A852&gt;=Imóveis!$Q$4,Dados!$A852&lt;=Imóveis!$T$4),Imóveis!$S$4-(DATEDIF(Imóveis!$Q$4,Dados!$A852,"m")),)))*(Imóveis!$N$4/Imóveis!$S$4)))*Imóveis!$P$4))))*IF(AND(Imóveis!$E$4&gt;0,Dados!$A852&gt;Imóveis!$E$4),0,1)</f>
        <v>0</v>
      </c>
      <c r="L852" s="18">
        <f>IF(Imóveis!$F$5="PRICE",IF(AND(Dados!$A852&gt;=Imóveis!$Q$5,Dados!$A852&lt;=Imóveis!$T$5),Imóveis!$U$5,0),IF((IF(AND(Dados!$A852&gt;=Imóveis!$Q$5,Dados!$A852&lt;=Imóveis!$T$5),Imóveis!$S$5-(DATEDIF(Imóveis!$Q$5,Dados!$A852,"m")),0))=0,0,((Imóveis!$N$5/Imóveis!$S$5)+((Imóveis!$N$5-((Imóveis!$S$5-(IF(AND(Dados!$A852 &gt;=Imóveis!$Q$5,Dados!$A852&lt;=Imóveis!$T$5),Imóveis!$S$5-(DATEDIF(Imóveis!$Q$5,Dados!$A852,"m")),)))*(Imóveis!$N$5/Imóveis!$S$5)))*Imóveis!$P$5))))*IF(AND(Imóveis!$E$5&gt;0,Dados!$A852&gt;Imóveis!$E$5),0,1)*Imóveis!$I$5</f>
        <v>0</v>
      </c>
      <c r="M852" s="18">
        <f>IF(Imóveis!$F$6="PRICE",IF(AND(Dados!$A852&gt;=Imóveis!$Q$6,Dados!$A852&lt;=Imóveis!$T$6),Imóveis!$U$6,0),IF((IF(AND(Dados!$A852&gt;=Imóveis!$Q$6,Dados!$A852&lt;=Imóveis!$T$6),Imóveis!$S$6-(DATEDIF(Imóveis!$Q$6,Dados!$A852,"m")),0))=0,0,((Imóveis!$N$6/Imóveis!$S$6)+((Imóveis!$N$6-((Imóveis!$S$6-(IF(AND(Dados!$A852&gt;=Imóveis!$Q$6,Dados!$A852&lt;=Imóveis!$T$6),Imóveis!$S$6-(DATEDIF(Imóveis!$Q$6,Dados!$A852,"m")),)))*(Imóveis!$N$6/Imóveis!$S$6)))*Imóveis!$P$6))))*IF(AND(Imóveis!$E$6&gt;0,Dados!$A852&gt;Imóveis!$E$6),0,1)*Imóveis!$I$6</f>
        <v>0</v>
      </c>
      <c r="N852" s="18">
        <f t="shared" si="109"/>
        <v>37000</v>
      </c>
      <c r="O852" s="18">
        <f>SUMIFS(Receitas!$F:$F,Receitas!$J:$J,"&lt;="&amp;$A852,Receitas!$L:$L,"&gt;="&amp;$A852,Receitas!$C:$C,O$1,Receitas!$M:$M,"Mensal")+SUMIFS(Receitas!$F:$F,Receitas!$J:$J,"&lt;="&amp;$A852,Receitas!$L:$L,"&gt;="&amp;$A852,Receitas!$C:$C,O$1,Receitas!$M:$M,$B852)</f>
        <v>0</v>
      </c>
      <c r="P852" s="18">
        <f>SUMIFS(Receitas!$F:$F,Receitas!$J:$J,"&lt;="&amp;$A852,Receitas!$L:$L,"&gt;="&amp;$A852,Receitas!$C:$C,P$1,Receitas!$M:$M,"Mensal")+SUMIFS(Receitas!$F:$F,Receitas!$J:$J,"&lt;="&amp;$A852,Receitas!$L:$L,"&gt;="&amp;$A852,Receitas!$C:$C,P$1,Receitas!$M:$M,$B852)</f>
        <v>0</v>
      </c>
      <c r="Q852" s="18">
        <f>SUMIFS(Receitas!$F:$F,Receitas!$J:$J,"&lt;="&amp;$A852,Receitas!$L:$L,"&gt;="&amp;$A852,Receitas!$C:$C,Q$1,Receitas!$M:$M,"Mensal")+SUMIFS(Receitas!$F:$F,Receitas!$J:$J,"&lt;="&amp;$A852,Receitas!$L:$L,"&gt;="&amp;$A852,Receitas!$C:$C,Q$1,Receitas!$M:$M,$B852)</f>
        <v>0</v>
      </c>
      <c r="R852" s="18" cm="1">
        <f t="array" ref="R852">(IF(AND(Membros!$F$2="Sim",A852&lt;=MAX(Membros!$E$2:$E$5)),Membros!K$2,IF(AND(A852&gt;=Membros!J$2,A852&lt;=MAX(Membros!$E$2:$E$5)),Membros!K$2,0))+IF(AND(Membros!$F$3="Sim",A852&lt;=MAX(Membros!$E$2:$E$5)),Membros!K$3,IF(AND(A852&gt;=Membros!J$3,A852&lt;=MAX(Membros!$E$2:$E$5)),Membros!K$3,0)))*IF(AND(COUNTIFS(Tabela3[Tipo],"Provedor",Tabela3[Simulação Seguro],"Sim")=2,A852&gt;=MAX(IF(Tabela3[Tipo]="Dependente",Tabela3[Expectativa de Vida (Data)]))),0,1)</f>
        <v>10000</v>
      </c>
      <c r="S852" s="18">
        <f t="shared" si="110"/>
        <v>10000</v>
      </c>
      <c r="U852" s="18">
        <f t="shared" ca="1" si="113"/>
        <v>76178480.656820267</v>
      </c>
      <c r="V852" s="18">
        <f>SUMIF(Imóveis!E:E,Dados!A:A,Imóveis!Z:Z)-SUMIF(Imóveis!E:E,Dados!A:A,Imóveis!Y:Y)</f>
        <v>0</v>
      </c>
      <c r="W852" s="18">
        <f>-SUMIF(Projetos!N:N,A852,Projetos!F:F)</f>
        <v>0</v>
      </c>
      <c r="X852" s="18">
        <f t="shared" si="107"/>
        <v>-27000</v>
      </c>
      <c r="Y852" s="26">
        <f ca="1">(U852*((Indicadores_Economicos!D$2+1)^(1/12)-1))</f>
        <v>249388.522673703</v>
      </c>
      <c r="Z852" s="18">
        <f t="shared" ca="1" si="111"/>
        <v>76400869.179493964</v>
      </c>
      <c r="AA852" s="18">
        <f ca="1">Auxiliar_Projetos!E852</f>
        <v>6.2910599224324119E-9</v>
      </c>
      <c r="AB852" s="18">
        <f ca="1">Auxiliar_Projetos!K852</f>
        <v>4.8392768634095408E-9</v>
      </c>
      <c r="AC852" s="18">
        <f ca="1">IF(Z852-AA852-AB852&gt;Investimentos!$C$14,Investimentos!$C$14,IF(Z852-AA852-AB852&lt;Investimentos!$C$14,Z852-AA852-AB852,0))</f>
        <v>300000</v>
      </c>
      <c r="AD852" s="18">
        <f t="shared" ca="1" si="112"/>
        <v>76100869.179493964</v>
      </c>
      <c r="AE852" s="18"/>
      <c r="AG852" s="9"/>
    </row>
    <row r="853" spans="1:33" x14ac:dyDescent="0.2">
      <c r="A853" s="4">
        <v>71559</v>
      </c>
      <c r="B853" s="5" t="str">
        <f t="shared" si="108"/>
        <v>dezembro</v>
      </c>
      <c r="C853" s="5" t="str">
        <f t="shared" si="106"/>
        <v>2095</v>
      </c>
      <c r="D853" s="5">
        <f>SUMIFS(Despesas!$F:$F,Despesas!$J:$J,"&lt;="&amp;$A853,Despesas!$L:$L,"&gt;="&amp;$A853,Despesas!$C:$C,D$1,Despesas!$M:$M,"Mensal")+SUMIFS(Despesas!$F:$F,Despesas!$J:$J,"&lt;="&amp;$A853,Despesas!$L:$L,"&gt;="&amp;$A853,Despesas!$C:$C,D$1,Despesas!$M:$M,$B853)</f>
        <v>23000</v>
      </c>
      <c r="E853" s="18">
        <f>SUMIFS(Despesas!$F:$F,Despesas!$J:$J,"&lt;="&amp;$A853,Despesas!$L:$L,"&gt;="&amp;$A853,Despesas!$C:$C,E$1,Despesas!$M:$M,"Mensal")+SUMIFS(Despesas!$F:$F,Despesas!$J:$J,"&lt;="&amp;$A853,Despesas!$L:$L,"&gt;="&amp;$A853,Despesas!$C:$C,E$1,Despesas!$M:$M,$B853)</f>
        <v>0</v>
      </c>
      <c r="F853" s="5">
        <f>SUMIFS(Despesas!$F:$F,Despesas!$J:$J,"&lt;="&amp;$A853,Despesas!$L:$L,"&gt;="&amp;$A853,Despesas!$C:$C,F$1,Despesas!$M:$M,"Mensal")+SUMIFS(Despesas!$F:$F,Despesas!$J:$J,"&lt;="&amp;$A853,Despesas!$L:$L,"&gt;="&amp;$A853,Despesas!$C:$C,F$1,Despesas!$M:$M,$B853)</f>
        <v>13000</v>
      </c>
      <c r="G853" s="5">
        <f ca="1">SUMIFS(Despesas!$F:$F,Despesas!$J:$J,"&lt;="&amp;$A853,Despesas!$L:$L,"&gt;="&amp;$A853,Despesas!$C:$C,G$1,Despesas!$M:$M,"Mensal")+SUMIFS(Despesas!$F:$F,Despesas!$J:$J,"&lt;="&amp;$A853,Despesas!$L:$L,"&gt;="&amp;$A853,Despesas!$C:$C,G$1,Despesas!$M:$M,$B853)</f>
        <v>55757</v>
      </c>
      <c r="H853" s="18">
        <f>SUMIFS(Despesas!$F:$F,Despesas!$J:$J,"&lt;="&amp;$A853,Despesas!$L:$L,"&gt;="&amp;$A853,Despesas!$C:$C,H$1,Despesas!$M:$M,"Mensal")+SUMIFS(Despesas!$F:$F,Despesas!$J:$J,"&lt;="&amp;$A853,Despesas!$L:$L,"&gt;="&amp;$A853,Despesas!$C:$C,H$1,Despesas!$M:$M,$B853)</f>
        <v>1000</v>
      </c>
      <c r="I853" s="18">
        <f>IF(Imóveis!$F$2="PRICE",IF(AND(Dados!$A853&gt;=Imóveis!$Q$2,Dados!$A853&lt;=Imóveis!$T$2),Imóveis!$U$2,0),IF((IF(AND(Dados!$A853&gt;=Imóveis!$Q$2,Dados!$A853&lt;=Imóveis!$T$2),Imóveis!$S$2-(DATEDIF(Imóveis!$Q$2,Dados!$A853,"m")),0))=0,0,((Imóveis!$N$2/Imóveis!$S$2)+((Imóveis!$N$2-((Imóveis!$S$2-(IF(AND(Dados!$A853&gt;=Imóveis!$Q$2,Dados!$A853&lt;=Imóveis!$T$2),Imóveis!$S$2-(DATEDIF(Imóveis!$Q$2,Dados!$A853,"m")),)))*(Imóveis!$N$2/Imóveis!$S$2)))*Imóveis!$P$2))))*IF(AND(Imóveis!$E$2&gt;0,Dados!$A853&gt;Imóveis!$E$2),0,1)</f>
        <v>0</v>
      </c>
      <c r="J853" s="18">
        <f>IF(Imóveis!$F$3="PRICE",IF(AND(Dados!$A853&gt;=Imóveis!$Q$3,Dados!$A853&lt;=Imóveis!$T$3),Imóveis!$U$3,0),IF((IF(AND(Dados!$A853&gt;=Imóveis!$Q$3,Dados!$A853&lt;=Imóveis!$T$3),Imóveis!$S$3-(DATEDIF(Imóveis!$Q$3,Dados!$A853,"m")),0))=0,0,((Imóveis!$N$3/Imóveis!$S$3)+((Imóveis!$N$3-((Imóveis!$S$3-(IF(AND(Dados!$A853&gt;=Imóveis!$Q$3,Dados!$A853&lt;=Imóveis!$T$3),Imóveis!$S$3-(DATEDIF(Imóveis!$Q$3,Dados!$A853,"m")),)))*(Imóveis!$N$3/Imóveis!$S$3)))*Imóveis!$P$3))))*IF(AND(Imóveis!$E$3&gt;0,Dados!$A853&gt;Imóveis!$E$3),0,1)</f>
        <v>0</v>
      </c>
      <c r="K853" s="18">
        <f>IF(Imóveis!$F$4="PRICE",IF(AND(Dados!$A853&gt;=Imóveis!$Q$4,Dados!$A853&lt;=Imóveis!$T$4),Imóveis!$U$4,0),IF((IF(AND(Dados!$A853&gt;=Imóveis!$Q$4,Dados!$A853&lt;=Imóveis!$T$4),Imóveis!$S$4-(DATEDIF(Imóveis!$Q$4,Dados!$A853,"m")),0))=0,0,((Imóveis!$N$4/Imóveis!$S$4)+((Imóveis!$N$4-((Imóveis!$S$4-(IF(AND(Dados!$A853&gt;=Imóveis!$Q$4,Dados!$A853&lt;=Imóveis!$T$4),Imóveis!$S$4-(DATEDIF(Imóveis!$Q$4,Dados!$A853,"m")),)))*(Imóveis!$N$4/Imóveis!$S$4)))*Imóveis!$P$4))))*IF(AND(Imóveis!$E$4&gt;0,Dados!$A853&gt;Imóveis!$E$4),0,1)</f>
        <v>0</v>
      </c>
      <c r="L853" s="18">
        <f>IF(Imóveis!$F$5="PRICE",IF(AND(Dados!$A853&gt;=Imóveis!$Q$5,Dados!$A853&lt;=Imóveis!$T$5),Imóveis!$U$5,0),IF((IF(AND(Dados!$A853&gt;=Imóveis!$Q$5,Dados!$A853&lt;=Imóveis!$T$5),Imóveis!$S$5-(DATEDIF(Imóveis!$Q$5,Dados!$A853,"m")),0))=0,0,((Imóveis!$N$5/Imóveis!$S$5)+((Imóveis!$N$5-((Imóveis!$S$5-(IF(AND(Dados!$A853 &gt;=Imóveis!$Q$5,Dados!$A853&lt;=Imóveis!$T$5),Imóveis!$S$5-(DATEDIF(Imóveis!$Q$5,Dados!$A853,"m")),)))*(Imóveis!$N$5/Imóveis!$S$5)))*Imóveis!$P$5))))*IF(AND(Imóveis!$E$5&gt;0,Dados!$A853&gt;Imóveis!$E$5),0,1)*Imóveis!$I$5</f>
        <v>0</v>
      </c>
      <c r="M853" s="18">
        <f>IF(Imóveis!$F$6="PRICE",IF(AND(Dados!$A853&gt;=Imóveis!$Q$6,Dados!$A853&lt;=Imóveis!$T$6),Imóveis!$U$6,0),IF((IF(AND(Dados!$A853&gt;=Imóveis!$Q$6,Dados!$A853&lt;=Imóveis!$T$6),Imóveis!$S$6-(DATEDIF(Imóveis!$Q$6,Dados!$A853,"m")),0))=0,0,((Imóveis!$N$6/Imóveis!$S$6)+((Imóveis!$N$6-((Imóveis!$S$6-(IF(AND(Dados!$A853&gt;=Imóveis!$Q$6,Dados!$A853&lt;=Imóveis!$T$6),Imóveis!$S$6-(DATEDIF(Imóveis!$Q$6,Dados!$A853,"m")),)))*(Imóveis!$N$6/Imóveis!$S$6)))*Imóveis!$P$6))))*IF(AND(Imóveis!$E$6&gt;0,Dados!$A853&gt;Imóveis!$E$6),0,1)*Imóveis!$I$6</f>
        <v>0</v>
      </c>
      <c r="N853" s="18">
        <f t="shared" ca="1" si="109"/>
        <v>92757</v>
      </c>
      <c r="O853" s="18">
        <f>SUMIFS(Receitas!$F:$F,Receitas!$J:$J,"&lt;="&amp;$A853,Receitas!$L:$L,"&gt;="&amp;$A853,Receitas!$C:$C,O$1,Receitas!$M:$M,"Mensal")+SUMIFS(Receitas!$F:$F,Receitas!$J:$J,"&lt;="&amp;$A853,Receitas!$L:$L,"&gt;="&amp;$A853,Receitas!$C:$C,O$1,Receitas!$M:$M,$B853)</f>
        <v>0</v>
      </c>
      <c r="P853" s="18">
        <f>SUMIFS(Receitas!$F:$F,Receitas!$J:$J,"&lt;="&amp;$A853,Receitas!$L:$L,"&gt;="&amp;$A853,Receitas!$C:$C,P$1,Receitas!$M:$M,"Mensal")+SUMIFS(Receitas!$F:$F,Receitas!$J:$J,"&lt;="&amp;$A853,Receitas!$L:$L,"&gt;="&amp;$A853,Receitas!$C:$C,P$1,Receitas!$M:$M,$B853)</f>
        <v>0</v>
      </c>
      <c r="Q853" s="18">
        <f>SUMIFS(Receitas!$F:$F,Receitas!$J:$J,"&lt;="&amp;$A853,Receitas!$L:$L,"&gt;="&amp;$A853,Receitas!$C:$C,Q$1,Receitas!$M:$M,"Mensal")+SUMIFS(Receitas!$F:$F,Receitas!$J:$J,"&lt;="&amp;$A853,Receitas!$L:$L,"&gt;="&amp;$A853,Receitas!$C:$C,Q$1,Receitas!$M:$M,$B853)</f>
        <v>0</v>
      </c>
      <c r="R853" s="18" cm="1">
        <f t="array" ref="R853">(IF(AND(Membros!$F$2="Sim",A853&lt;=MAX(Membros!$E$2:$E$5)),Membros!K$2,IF(AND(A853&gt;=Membros!J$2,A853&lt;=MAX(Membros!$E$2:$E$5)),Membros!K$2,0))+IF(AND(Membros!$F$3="Sim",A853&lt;=MAX(Membros!$E$2:$E$5)),Membros!K$3,IF(AND(A853&gt;=Membros!J$3,A853&lt;=MAX(Membros!$E$2:$E$5)),Membros!K$3,0)))*IF(AND(COUNTIFS(Tabela3[Tipo],"Provedor",Tabela3[Simulação Seguro],"Sim")=2,A853&gt;=MAX(IF(Tabela3[Tipo]="Dependente",Tabela3[Expectativa de Vida (Data)]))),0,1)</f>
        <v>10000</v>
      </c>
      <c r="S853" s="18">
        <f t="shared" si="110"/>
        <v>10000</v>
      </c>
      <c r="U853" s="18">
        <f t="shared" ca="1" si="113"/>
        <v>76400869.179493964</v>
      </c>
      <c r="V853" s="18">
        <f>SUMIF(Imóveis!E:E,Dados!A:A,Imóveis!Z:Z)-SUMIF(Imóveis!E:E,Dados!A:A,Imóveis!Y:Y)</f>
        <v>0</v>
      </c>
      <c r="W853" s="18">
        <f>-SUMIF(Projetos!N:N,A853,Projetos!F:F)</f>
        <v>0</v>
      </c>
      <c r="X853" s="18">
        <f t="shared" ca="1" si="107"/>
        <v>-82757</v>
      </c>
      <c r="Y853" s="26">
        <f ca="1">(U853*((Indicadores_Economicos!D$2+1)^(1/12)-1))</f>
        <v>250116.56482748434</v>
      </c>
      <c r="Z853" s="18">
        <f t="shared" ca="1" si="111"/>
        <v>76568228.744321451</v>
      </c>
      <c r="AA853" s="18">
        <f ca="1">Auxiliar_Projetos!E853</f>
        <v>6.3116552155726757E-9</v>
      </c>
      <c r="AB853" s="18">
        <f ca="1">Auxiliar_Projetos!K853</f>
        <v>4.8551193965943596E-9</v>
      </c>
      <c r="AC853" s="18">
        <f ca="1">IF(Z853-AA853-AB853&gt;Investimentos!$C$14,Investimentos!$C$14,IF(Z853-AA853-AB853&lt;Investimentos!$C$14,Z853-AA853-AB853,0))</f>
        <v>300000</v>
      </c>
      <c r="AD853" s="18">
        <f t="shared" ca="1" si="112"/>
        <v>76268228.744321451</v>
      </c>
      <c r="AE853" s="18"/>
      <c r="AG853" s="18"/>
    </row>
    <row r="854" spans="1:33" x14ac:dyDescent="0.2">
      <c r="A854" s="4">
        <v>71590</v>
      </c>
      <c r="B854" s="5" t="str">
        <f t="shared" si="108"/>
        <v>janeiro</v>
      </c>
      <c r="C854" s="5" t="str">
        <f t="shared" si="106"/>
        <v>2096</v>
      </c>
      <c r="D854" s="5">
        <f>SUMIFS(Despesas!$F:$F,Despesas!$J:$J,"&lt;="&amp;$A854,Despesas!$L:$L,"&gt;="&amp;$A854,Despesas!$C:$C,D$1,Despesas!$M:$M,"Mensal")+SUMIFS(Despesas!$F:$F,Despesas!$J:$J,"&lt;="&amp;$A854,Despesas!$L:$L,"&gt;="&amp;$A854,Despesas!$C:$C,D$1,Despesas!$M:$M,$B854)</f>
        <v>0</v>
      </c>
      <c r="E854" s="18">
        <f>SUMIFS(Despesas!$F:$F,Despesas!$J:$J,"&lt;="&amp;$A854,Despesas!$L:$L,"&gt;="&amp;$A854,Despesas!$C:$C,E$1,Despesas!$M:$M,"Mensal")+SUMIFS(Despesas!$F:$F,Despesas!$J:$J,"&lt;="&amp;$A854,Despesas!$L:$L,"&gt;="&amp;$A854,Despesas!$C:$C,E$1,Despesas!$M:$M,$B854)</f>
        <v>0</v>
      </c>
      <c r="F854" s="5">
        <f>SUMIFS(Despesas!$F:$F,Despesas!$J:$J,"&lt;="&amp;$A854,Despesas!$L:$L,"&gt;="&amp;$A854,Despesas!$C:$C,F$1,Despesas!$M:$M,"Mensal")+SUMIFS(Despesas!$F:$F,Despesas!$J:$J,"&lt;="&amp;$A854,Despesas!$L:$L,"&gt;="&amp;$A854,Despesas!$C:$C,F$1,Despesas!$M:$M,$B854)</f>
        <v>0</v>
      </c>
      <c r="G854" s="5">
        <f>SUMIFS(Despesas!$F:$F,Despesas!$J:$J,"&lt;="&amp;$A854,Despesas!$L:$L,"&gt;="&amp;$A854,Despesas!$C:$C,G$1,Despesas!$M:$M,"Mensal")+SUMIFS(Despesas!$F:$F,Despesas!$J:$J,"&lt;="&amp;$A854,Despesas!$L:$L,"&gt;="&amp;$A854,Despesas!$C:$C,G$1,Despesas!$M:$M,$B854)</f>
        <v>0</v>
      </c>
      <c r="H854" s="18">
        <f>SUMIFS(Despesas!$F:$F,Despesas!$J:$J,"&lt;="&amp;$A854,Despesas!$L:$L,"&gt;="&amp;$A854,Despesas!$C:$C,H$1,Despesas!$M:$M,"Mensal")+SUMIFS(Despesas!$F:$F,Despesas!$J:$J,"&lt;="&amp;$A854,Despesas!$L:$L,"&gt;="&amp;$A854,Despesas!$C:$C,H$1,Despesas!$M:$M,$B854)</f>
        <v>0</v>
      </c>
      <c r="I854" s="18">
        <f>IF(Imóveis!$F$2="PRICE",IF(AND(Dados!$A854&gt;=Imóveis!$Q$2,Dados!$A854&lt;=Imóveis!$T$2),Imóveis!$U$2,0),IF((IF(AND(Dados!$A854&gt;=Imóveis!$Q$2,Dados!$A854&lt;=Imóveis!$T$2),Imóveis!$S$2-(DATEDIF(Imóveis!$Q$2,Dados!$A854,"m")),0))=0,0,((Imóveis!$N$2/Imóveis!$S$2)+((Imóveis!$N$2-((Imóveis!$S$2-(IF(AND(Dados!$A854&gt;=Imóveis!$Q$2,Dados!$A854&lt;=Imóveis!$T$2),Imóveis!$S$2-(DATEDIF(Imóveis!$Q$2,Dados!$A854,"m")),)))*(Imóveis!$N$2/Imóveis!$S$2)))*Imóveis!$P$2))))*IF(AND(Imóveis!$E$2&gt;0,Dados!$A854&gt;Imóveis!$E$2),0,1)</f>
        <v>0</v>
      </c>
      <c r="J854" s="18">
        <f>IF(Imóveis!$F$3="PRICE",IF(AND(Dados!$A854&gt;=Imóveis!$Q$3,Dados!$A854&lt;=Imóveis!$T$3),Imóveis!$U$3,0),IF((IF(AND(Dados!$A854&gt;=Imóveis!$Q$3,Dados!$A854&lt;=Imóveis!$T$3),Imóveis!$S$3-(DATEDIF(Imóveis!$Q$3,Dados!$A854,"m")),0))=0,0,((Imóveis!$N$3/Imóveis!$S$3)+((Imóveis!$N$3-((Imóveis!$S$3-(IF(AND(Dados!$A854&gt;=Imóveis!$Q$3,Dados!$A854&lt;=Imóveis!$T$3),Imóveis!$S$3-(DATEDIF(Imóveis!$Q$3,Dados!$A854,"m")),)))*(Imóveis!$N$3/Imóveis!$S$3)))*Imóveis!$P$3))))*IF(AND(Imóveis!$E$3&gt;0,Dados!$A854&gt;Imóveis!$E$3),0,1)</f>
        <v>0</v>
      </c>
      <c r="K854" s="18">
        <f>IF(Imóveis!$F$4="PRICE",IF(AND(Dados!$A854&gt;=Imóveis!$Q$4,Dados!$A854&lt;=Imóveis!$T$4),Imóveis!$U$4,0),IF((IF(AND(Dados!$A854&gt;=Imóveis!$Q$4,Dados!$A854&lt;=Imóveis!$T$4),Imóveis!$S$4-(DATEDIF(Imóveis!$Q$4,Dados!$A854,"m")),0))=0,0,((Imóveis!$N$4/Imóveis!$S$4)+((Imóveis!$N$4-((Imóveis!$S$4-(IF(AND(Dados!$A854&gt;=Imóveis!$Q$4,Dados!$A854&lt;=Imóveis!$T$4),Imóveis!$S$4-(DATEDIF(Imóveis!$Q$4,Dados!$A854,"m")),)))*(Imóveis!$N$4/Imóveis!$S$4)))*Imóveis!$P$4))))*IF(AND(Imóveis!$E$4&gt;0,Dados!$A854&gt;Imóveis!$E$4),0,1)</f>
        <v>0</v>
      </c>
      <c r="L854" s="18">
        <f>IF(Imóveis!$F$5="PRICE",IF(AND(Dados!$A854&gt;=Imóveis!$Q$5,Dados!$A854&lt;=Imóveis!$T$5),Imóveis!$U$5,0),IF((IF(AND(Dados!$A854&gt;=Imóveis!$Q$5,Dados!$A854&lt;=Imóveis!$T$5),Imóveis!$S$5-(DATEDIF(Imóveis!$Q$5,Dados!$A854,"m")),0))=0,0,((Imóveis!$N$5/Imóveis!$S$5)+((Imóveis!$N$5-((Imóveis!$S$5-(IF(AND(Dados!$A854 &gt;=Imóveis!$Q$5,Dados!$A854&lt;=Imóveis!$T$5),Imóveis!$S$5-(DATEDIF(Imóveis!$Q$5,Dados!$A854,"m")),)))*(Imóveis!$N$5/Imóveis!$S$5)))*Imóveis!$P$5))))*IF(AND(Imóveis!$E$5&gt;0,Dados!$A854&gt;Imóveis!$E$5),0,1)*Imóveis!$I$5</f>
        <v>0</v>
      </c>
      <c r="M854" s="18">
        <f>IF(Imóveis!$F$6="PRICE",IF(AND(Dados!$A854&gt;=Imóveis!$Q$6,Dados!$A854&lt;=Imóveis!$T$6),Imóveis!$U$6,0),IF((IF(AND(Dados!$A854&gt;=Imóveis!$Q$6,Dados!$A854&lt;=Imóveis!$T$6),Imóveis!$S$6-(DATEDIF(Imóveis!$Q$6,Dados!$A854,"m")),0))=0,0,((Imóveis!$N$6/Imóveis!$S$6)+((Imóveis!$N$6-((Imóveis!$S$6-(IF(AND(Dados!$A854&gt;=Imóveis!$Q$6,Dados!$A854&lt;=Imóveis!$T$6),Imóveis!$S$6-(DATEDIF(Imóveis!$Q$6,Dados!$A854,"m")),)))*(Imóveis!$N$6/Imóveis!$S$6)))*Imóveis!$P$6))))*IF(AND(Imóveis!$E$6&gt;0,Dados!$A854&gt;Imóveis!$E$6),0,1)*Imóveis!$I$6</f>
        <v>0</v>
      </c>
      <c r="N854" s="18">
        <f t="shared" si="109"/>
        <v>0</v>
      </c>
      <c r="O854" s="18">
        <f>SUMIFS(Receitas!$F:$F,Receitas!$J:$J,"&lt;="&amp;$A854,Receitas!$L:$L,"&gt;="&amp;$A854,Receitas!$C:$C,O$1,Receitas!$M:$M,"Mensal")+SUMIFS(Receitas!$F:$F,Receitas!$J:$J,"&lt;="&amp;$A854,Receitas!$L:$L,"&gt;="&amp;$A854,Receitas!$C:$C,O$1,Receitas!$M:$M,$B854)</f>
        <v>0</v>
      </c>
      <c r="P854" s="18">
        <f>SUMIFS(Receitas!$F:$F,Receitas!$J:$J,"&lt;="&amp;$A854,Receitas!$L:$L,"&gt;="&amp;$A854,Receitas!$C:$C,P$1,Receitas!$M:$M,"Mensal")+SUMIFS(Receitas!$F:$F,Receitas!$J:$J,"&lt;="&amp;$A854,Receitas!$L:$L,"&gt;="&amp;$A854,Receitas!$C:$C,P$1,Receitas!$M:$M,$B854)</f>
        <v>0</v>
      </c>
      <c r="Q854" s="18">
        <f>SUMIFS(Receitas!$F:$F,Receitas!$J:$J,"&lt;="&amp;$A854,Receitas!$L:$L,"&gt;="&amp;$A854,Receitas!$C:$C,Q$1,Receitas!$M:$M,"Mensal")+SUMIFS(Receitas!$F:$F,Receitas!$J:$J,"&lt;="&amp;$A854,Receitas!$L:$L,"&gt;="&amp;$A854,Receitas!$C:$C,Q$1,Receitas!$M:$M,$B854)</f>
        <v>0</v>
      </c>
      <c r="R854" s="18" cm="1">
        <f t="array" ref="R854">(IF(AND(Membros!$F$2="Sim",A854&lt;=MAX(Membros!$E$2:$E$5)),Membros!K$2,IF(AND(A854&gt;=Membros!J$2,A854&lt;=MAX(Membros!$E$2:$E$5)),Membros!K$2,0))+IF(AND(Membros!$F$3="Sim",A854&lt;=MAX(Membros!$E$2:$E$5)),Membros!K$3,IF(AND(A854&gt;=Membros!J$3,A854&lt;=MAX(Membros!$E$2:$E$5)),Membros!K$3,0)))*IF(AND(COUNTIFS(Tabela3[Tipo],"Provedor",Tabela3[Simulação Seguro],"Sim")=2,A854&gt;=MAX(IF(Tabela3[Tipo]="Dependente",Tabela3[Expectativa de Vida (Data)]))),0,1)</f>
        <v>0</v>
      </c>
      <c r="S854" s="18">
        <f t="shared" si="110"/>
        <v>0</v>
      </c>
      <c r="U854" s="18">
        <f t="shared" ca="1" si="113"/>
        <v>76568228.744321451</v>
      </c>
      <c r="V854" s="18">
        <f>SUMIF(Imóveis!E:E,Dados!A:A,Imóveis!Z:Z)-SUMIF(Imóveis!E:E,Dados!A:A,Imóveis!Y:Y)</f>
        <v>0</v>
      </c>
      <c r="W854" s="18">
        <f>-SUMIF(Projetos!N:N,A854,Projetos!F:F)</f>
        <v>0</v>
      </c>
      <c r="X854" s="18">
        <f t="shared" si="107"/>
        <v>0</v>
      </c>
      <c r="Y854" s="26">
        <f ca="1">(U854*((Indicadores_Economicos!D$2+1)^(1/12)-1))</f>
        <v>250664.45649279156</v>
      </c>
      <c r="Z854" s="18">
        <f t="shared" ca="1" si="111"/>
        <v>76818893.200814247</v>
      </c>
      <c r="AA854" s="18">
        <f ca="1">Auxiliar_Projetos!E854</f>
        <v>6.3323179323434192E-9</v>
      </c>
      <c r="AB854" s="18">
        <f ca="1">Auxiliar_Projetos!K854</f>
        <v>4.8710137941103157E-9</v>
      </c>
      <c r="AC854" s="18">
        <f ca="1">IF(Z854-AA854-AB854&gt;Investimentos!$C$14,Investimentos!$C$14,IF(Z854-AA854-AB854&lt;Investimentos!$C$14,Z854-AA854-AB854,0))</f>
        <v>300000</v>
      </c>
      <c r="AD854" s="18">
        <f t="shared" ca="1" si="112"/>
        <v>76518893.200814247</v>
      </c>
      <c r="AE854" s="18"/>
      <c r="AG854" s="4"/>
    </row>
    <row r="855" spans="1:33" x14ac:dyDescent="0.2">
      <c r="A855" s="4">
        <v>71621</v>
      </c>
      <c r="B855" s="5" t="str">
        <f t="shared" si="108"/>
        <v>fevereiro</v>
      </c>
      <c r="C855" s="5" t="str">
        <f t="shared" si="106"/>
        <v>2096</v>
      </c>
      <c r="D855" s="5">
        <f>SUMIFS(Despesas!$F:$F,Despesas!$J:$J,"&lt;="&amp;$A855,Despesas!$L:$L,"&gt;="&amp;$A855,Despesas!$C:$C,D$1,Despesas!$M:$M,"Mensal")+SUMIFS(Despesas!$F:$F,Despesas!$J:$J,"&lt;="&amp;$A855,Despesas!$L:$L,"&gt;="&amp;$A855,Despesas!$C:$C,D$1,Despesas!$M:$M,$B855)</f>
        <v>0</v>
      </c>
      <c r="E855" s="18">
        <f>SUMIFS(Despesas!$F:$F,Despesas!$J:$J,"&lt;="&amp;$A855,Despesas!$L:$L,"&gt;="&amp;$A855,Despesas!$C:$C,E$1,Despesas!$M:$M,"Mensal")+SUMIFS(Despesas!$F:$F,Despesas!$J:$J,"&lt;="&amp;$A855,Despesas!$L:$L,"&gt;="&amp;$A855,Despesas!$C:$C,E$1,Despesas!$M:$M,$B855)</f>
        <v>0</v>
      </c>
      <c r="F855" s="5">
        <f>SUMIFS(Despesas!$F:$F,Despesas!$J:$J,"&lt;="&amp;$A855,Despesas!$L:$L,"&gt;="&amp;$A855,Despesas!$C:$C,F$1,Despesas!$M:$M,"Mensal")+SUMIFS(Despesas!$F:$F,Despesas!$J:$J,"&lt;="&amp;$A855,Despesas!$L:$L,"&gt;="&amp;$A855,Despesas!$C:$C,F$1,Despesas!$M:$M,$B855)</f>
        <v>0</v>
      </c>
      <c r="G855" s="5">
        <f>SUMIFS(Despesas!$F:$F,Despesas!$J:$J,"&lt;="&amp;$A855,Despesas!$L:$L,"&gt;="&amp;$A855,Despesas!$C:$C,G$1,Despesas!$M:$M,"Mensal")+SUMIFS(Despesas!$F:$F,Despesas!$J:$J,"&lt;="&amp;$A855,Despesas!$L:$L,"&gt;="&amp;$A855,Despesas!$C:$C,G$1,Despesas!$M:$M,$B855)</f>
        <v>0</v>
      </c>
      <c r="H855" s="18">
        <f>SUMIFS(Despesas!$F:$F,Despesas!$J:$J,"&lt;="&amp;$A855,Despesas!$L:$L,"&gt;="&amp;$A855,Despesas!$C:$C,H$1,Despesas!$M:$M,"Mensal")+SUMIFS(Despesas!$F:$F,Despesas!$J:$J,"&lt;="&amp;$A855,Despesas!$L:$L,"&gt;="&amp;$A855,Despesas!$C:$C,H$1,Despesas!$M:$M,$B855)</f>
        <v>0</v>
      </c>
      <c r="I855" s="18">
        <f>IF(Imóveis!$F$2="PRICE",IF(AND(Dados!$A855&gt;=Imóveis!$Q$2,Dados!$A855&lt;=Imóveis!$T$2),Imóveis!$U$2,0),IF((IF(AND(Dados!$A855&gt;=Imóveis!$Q$2,Dados!$A855&lt;=Imóveis!$T$2),Imóveis!$S$2-(DATEDIF(Imóveis!$Q$2,Dados!$A855,"m")),0))=0,0,((Imóveis!$N$2/Imóveis!$S$2)+((Imóveis!$N$2-((Imóveis!$S$2-(IF(AND(Dados!$A855&gt;=Imóveis!$Q$2,Dados!$A855&lt;=Imóveis!$T$2),Imóveis!$S$2-(DATEDIF(Imóveis!$Q$2,Dados!$A855,"m")),)))*(Imóveis!$N$2/Imóveis!$S$2)))*Imóveis!$P$2))))*IF(AND(Imóveis!$E$2&gt;0,Dados!$A855&gt;Imóveis!$E$2),0,1)</f>
        <v>0</v>
      </c>
      <c r="J855" s="18">
        <f>IF(Imóveis!$F$3="PRICE",IF(AND(Dados!$A855&gt;=Imóveis!$Q$3,Dados!$A855&lt;=Imóveis!$T$3),Imóveis!$U$3,0),IF((IF(AND(Dados!$A855&gt;=Imóveis!$Q$3,Dados!$A855&lt;=Imóveis!$T$3),Imóveis!$S$3-(DATEDIF(Imóveis!$Q$3,Dados!$A855,"m")),0))=0,0,((Imóveis!$N$3/Imóveis!$S$3)+((Imóveis!$N$3-((Imóveis!$S$3-(IF(AND(Dados!$A855&gt;=Imóveis!$Q$3,Dados!$A855&lt;=Imóveis!$T$3),Imóveis!$S$3-(DATEDIF(Imóveis!$Q$3,Dados!$A855,"m")),)))*(Imóveis!$N$3/Imóveis!$S$3)))*Imóveis!$P$3))))*IF(AND(Imóveis!$E$3&gt;0,Dados!$A855&gt;Imóveis!$E$3),0,1)</f>
        <v>0</v>
      </c>
      <c r="K855" s="18">
        <f>IF(Imóveis!$F$4="PRICE",IF(AND(Dados!$A855&gt;=Imóveis!$Q$4,Dados!$A855&lt;=Imóveis!$T$4),Imóveis!$U$4,0),IF((IF(AND(Dados!$A855&gt;=Imóveis!$Q$4,Dados!$A855&lt;=Imóveis!$T$4),Imóveis!$S$4-(DATEDIF(Imóveis!$Q$4,Dados!$A855,"m")),0))=0,0,((Imóveis!$N$4/Imóveis!$S$4)+((Imóveis!$N$4-((Imóveis!$S$4-(IF(AND(Dados!$A855&gt;=Imóveis!$Q$4,Dados!$A855&lt;=Imóveis!$T$4),Imóveis!$S$4-(DATEDIF(Imóveis!$Q$4,Dados!$A855,"m")),)))*(Imóveis!$N$4/Imóveis!$S$4)))*Imóveis!$P$4))))*IF(AND(Imóveis!$E$4&gt;0,Dados!$A855&gt;Imóveis!$E$4),0,1)</f>
        <v>0</v>
      </c>
      <c r="L855" s="18">
        <f>IF(Imóveis!$F$5="PRICE",IF(AND(Dados!$A855&gt;=Imóveis!$Q$5,Dados!$A855&lt;=Imóveis!$T$5),Imóveis!$U$5,0),IF((IF(AND(Dados!$A855&gt;=Imóveis!$Q$5,Dados!$A855&lt;=Imóveis!$T$5),Imóveis!$S$5-(DATEDIF(Imóveis!$Q$5,Dados!$A855,"m")),0))=0,0,((Imóveis!$N$5/Imóveis!$S$5)+((Imóveis!$N$5-((Imóveis!$S$5-(IF(AND(Dados!$A855 &gt;=Imóveis!$Q$5,Dados!$A855&lt;=Imóveis!$T$5),Imóveis!$S$5-(DATEDIF(Imóveis!$Q$5,Dados!$A855,"m")),)))*(Imóveis!$N$5/Imóveis!$S$5)))*Imóveis!$P$5))))*IF(AND(Imóveis!$E$5&gt;0,Dados!$A855&gt;Imóveis!$E$5),0,1)*Imóveis!$I$5</f>
        <v>0</v>
      </c>
      <c r="M855" s="18">
        <f>IF(Imóveis!$F$6="PRICE",IF(AND(Dados!$A855&gt;=Imóveis!$Q$6,Dados!$A855&lt;=Imóveis!$T$6),Imóveis!$U$6,0),IF((IF(AND(Dados!$A855&gt;=Imóveis!$Q$6,Dados!$A855&lt;=Imóveis!$T$6),Imóveis!$S$6-(DATEDIF(Imóveis!$Q$6,Dados!$A855,"m")),0))=0,0,((Imóveis!$N$6/Imóveis!$S$6)+((Imóveis!$N$6-((Imóveis!$S$6-(IF(AND(Dados!$A855&gt;=Imóveis!$Q$6,Dados!$A855&lt;=Imóveis!$T$6),Imóveis!$S$6-(DATEDIF(Imóveis!$Q$6,Dados!$A855,"m")),)))*(Imóveis!$N$6/Imóveis!$S$6)))*Imóveis!$P$6))))*IF(AND(Imóveis!$E$6&gt;0,Dados!$A855&gt;Imóveis!$E$6),0,1)*Imóveis!$I$6</f>
        <v>0</v>
      </c>
      <c r="N855" s="18">
        <f t="shared" si="109"/>
        <v>0</v>
      </c>
      <c r="O855" s="18">
        <f>SUMIFS(Receitas!$F:$F,Receitas!$J:$J,"&lt;="&amp;$A855,Receitas!$L:$L,"&gt;="&amp;$A855,Receitas!$C:$C,O$1,Receitas!$M:$M,"Mensal")+SUMIFS(Receitas!$F:$F,Receitas!$J:$J,"&lt;="&amp;$A855,Receitas!$L:$L,"&gt;="&amp;$A855,Receitas!$C:$C,O$1,Receitas!$M:$M,$B855)</f>
        <v>0</v>
      </c>
      <c r="P855" s="18">
        <f>SUMIFS(Receitas!$F:$F,Receitas!$J:$J,"&lt;="&amp;$A855,Receitas!$L:$L,"&gt;="&amp;$A855,Receitas!$C:$C,P$1,Receitas!$M:$M,"Mensal")+SUMIFS(Receitas!$F:$F,Receitas!$J:$J,"&lt;="&amp;$A855,Receitas!$L:$L,"&gt;="&amp;$A855,Receitas!$C:$C,P$1,Receitas!$M:$M,$B855)</f>
        <v>0</v>
      </c>
      <c r="Q855" s="18">
        <f>SUMIFS(Receitas!$F:$F,Receitas!$J:$J,"&lt;="&amp;$A855,Receitas!$L:$L,"&gt;="&amp;$A855,Receitas!$C:$C,Q$1,Receitas!$M:$M,"Mensal")+SUMIFS(Receitas!$F:$F,Receitas!$J:$J,"&lt;="&amp;$A855,Receitas!$L:$L,"&gt;="&amp;$A855,Receitas!$C:$C,Q$1,Receitas!$M:$M,$B855)</f>
        <v>0</v>
      </c>
      <c r="R855" s="18" cm="1">
        <f t="array" ref="R855">(IF(AND(Membros!$F$2="Sim",A855&lt;=MAX(Membros!$E$2:$E$5)),Membros!K$2,IF(AND(A855&gt;=Membros!J$2,A855&lt;=MAX(Membros!$E$2:$E$5)),Membros!K$2,0))+IF(AND(Membros!$F$3="Sim",A855&lt;=MAX(Membros!$E$2:$E$5)),Membros!K$3,IF(AND(A855&gt;=Membros!J$3,A855&lt;=MAX(Membros!$E$2:$E$5)),Membros!K$3,0)))*IF(AND(COUNTIFS(Tabela3[Tipo],"Provedor",Tabela3[Simulação Seguro],"Sim")=2,A855&gt;=MAX(IF(Tabela3[Tipo]="Dependente",Tabela3[Expectativa de Vida (Data)]))),0,1)</f>
        <v>0</v>
      </c>
      <c r="S855" s="18">
        <f t="shared" si="110"/>
        <v>0</v>
      </c>
      <c r="U855" s="18">
        <f t="shared" ca="1" si="113"/>
        <v>76818893.200814247</v>
      </c>
      <c r="V855" s="18">
        <f>SUMIF(Imóveis!E:E,Dados!A:A,Imóveis!Z:Z)-SUMIF(Imóveis!E:E,Dados!A:A,Imóveis!Y:Y)</f>
        <v>0</v>
      </c>
      <c r="W855" s="18">
        <f>-SUMIF(Projetos!N:N,A855,Projetos!F:F)</f>
        <v>0</v>
      </c>
      <c r="X855" s="18">
        <f t="shared" si="107"/>
        <v>0</v>
      </c>
      <c r="Y855" s="26">
        <f ca="1">(U855*((Indicadores_Economicos!D$2+1)^(1/12)-1))</f>
        <v>251485.06669599531</v>
      </c>
      <c r="Z855" s="18">
        <f t="shared" ca="1" si="111"/>
        <v>77070378.267510235</v>
      </c>
      <c r="AA855" s="18">
        <f ca="1">Auxiliar_Projetos!E855</f>
        <v>6.353048293472063E-9</v>
      </c>
      <c r="AB855" s="18">
        <f ca="1">Auxiliar_Projetos!K855</f>
        <v>4.8869602257477344E-9</v>
      </c>
      <c r="AC855" s="18">
        <f ca="1">IF(Z855-AA855-AB855&gt;Investimentos!$C$14,Investimentos!$C$14,IF(Z855-AA855-AB855&lt;Investimentos!$C$14,Z855-AA855-AB855,0))</f>
        <v>300000</v>
      </c>
      <c r="AD855" s="18">
        <f t="shared" ca="1" si="112"/>
        <v>76770378.267510235</v>
      </c>
      <c r="AE855" s="18"/>
    </row>
    <row r="856" spans="1:33" x14ac:dyDescent="0.2">
      <c r="A856" s="4">
        <v>71650</v>
      </c>
      <c r="B856" s="5" t="str">
        <f t="shared" si="108"/>
        <v>março</v>
      </c>
      <c r="C856" s="5" t="str">
        <f t="shared" ref="C856:C919" si="114">TEXT(A856,"AAAA")</f>
        <v>2096</v>
      </c>
      <c r="D856" s="5">
        <f>SUMIFS(Despesas!$F:$F,Despesas!$J:$J,"&lt;="&amp;$A856,Despesas!$L:$L,"&gt;="&amp;$A856,Despesas!$C:$C,D$1,Despesas!$M:$M,"Mensal")+SUMIFS(Despesas!$F:$F,Despesas!$J:$J,"&lt;="&amp;$A856,Despesas!$L:$L,"&gt;="&amp;$A856,Despesas!$C:$C,D$1,Despesas!$M:$M,$B856)</f>
        <v>0</v>
      </c>
      <c r="E856" s="18">
        <f>SUMIFS(Despesas!$F:$F,Despesas!$J:$J,"&lt;="&amp;$A856,Despesas!$L:$L,"&gt;="&amp;$A856,Despesas!$C:$C,E$1,Despesas!$M:$M,"Mensal")+SUMIFS(Despesas!$F:$F,Despesas!$J:$J,"&lt;="&amp;$A856,Despesas!$L:$L,"&gt;="&amp;$A856,Despesas!$C:$C,E$1,Despesas!$M:$M,$B856)</f>
        <v>0</v>
      </c>
      <c r="F856" s="5">
        <f>SUMIFS(Despesas!$F:$F,Despesas!$J:$J,"&lt;="&amp;$A856,Despesas!$L:$L,"&gt;="&amp;$A856,Despesas!$C:$C,F$1,Despesas!$M:$M,"Mensal")+SUMIFS(Despesas!$F:$F,Despesas!$J:$J,"&lt;="&amp;$A856,Despesas!$L:$L,"&gt;="&amp;$A856,Despesas!$C:$C,F$1,Despesas!$M:$M,$B856)</f>
        <v>0</v>
      </c>
      <c r="G856" s="5">
        <f>SUMIFS(Despesas!$F:$F,Despesas!$J:$J,"&lt;="&amp;$A856,Despesas!$L:$L,"&gt;="&amp;$A856,Despesas!$C:$C,G$1,Despesas!$M:$M,"Mensal")+SUMIFS(Despesas!$F:$F,Despesas!$J:$J,"&lt;="&amp;$A856,Despesas!$L:$L,"&gt;="&amp;$A856,Despesas!$C:$C,G$1,Despesas!$M:$M,$B856)</f>
        <v>0</v>
      </c>
      <c r="H856" s="18">
        <f>SUMIFS(Despesas!$F:$F,Despesas!$J:$J,"&lt;="&amp;$A856,Despesas!$L:$L,"&gt;="&amp;$A856,Despesas!$C:$C,H$1,Despesas!$M:$M,"Mensal")+SUMIFS(Despesas!$F:$F,Despesas!$J:$J,"&lt;="&amp;$A856,Despesas!$L:$L,"&gt;="&amp;$A856,Despesas!$C:$C,H$1,Despesas!$M:$M,$B856)</f>
        <v>0</v>
      </c>
      <c r="I856" s="18">
        <f>IF(Imóveis!$F$2="PRICE",IF(AND(Dados!$A856&gt;=Imóveis!$Q$2,Dados!$A856&lt;=Imóveis!$T$2),Imóveis!$U$2,0),IF((IF(AND(Dados!$A856&gt;=Imóveis!$Q$2,Dados!$A856&lt;=Imóveis!$T$2),Imóveis!$S$2-(DATEDIF(Imóveis!$Q$2,Dados!$A856,"m")),0))=0,0,((Imóveis!$N$2/Imóveis!$S$2)+((Imóveis!$N$2-((Imóveis!$S$2-(IF(AND(Dados!$A856&gt;=Imóveis!$Q$2,Dados!$A856&lt;=Imóveis!$T$2),Imóveis!$S$2-(DATEDIF(Imóveis!$Q$2,Dados!$A856,"m")),)))*(Imóveis!$N$2/Imóveis!$S$2)))*Imóveis!$P$2))))*IF(AND(Imóveis!$E$2&gt;0,Dados!$A856&gt;Imóveis!$E$2),0,1)</f>
        <v>0</v>
      </c>
      <c r="J856" s="18">
        <f>IF(Imóveis!$F$3="PRICE",IF(AND(Dados!$A856&gt;=Imóveis!$Q$3,Dados!$A856&lt;=Imóveis!$T$3),Imóveis!$U$3,0),IF((IF(AND(Dados!$A856&gt;=Imóveis!$Q$3,Dados!$A856&lt;=Imóveis!$T$3),Imóveis!$S$3-(DATEDIF(Imóveis!$Q$3,Dados!$A856,"m")),0))=0,0,((Imóveis!$N$3/Imóveis!$S$3)+((Imóveis!$N$3-((Imóveis!$S$3-(IF(AND(Dados!$A856&gt;=Imóveis!$Q$3,Dados!$A856&lt;=Imóveis!$T$3),Imóveis!$S$3-(DATEDIF(Imóveis!$Q$3,Dados!$A856,"m")),)))*(Imóveis!$N$3/Imóveis!$S$3)))*Imóveis!$P$3))))*IF(AND(Imóveis!$E$3&gt;0,Dados!$A856&gt;Imóveis!$E$3),0,1)</f>
        <v>0</v>
      </c>
      <c r="K856" s="18">
        <f>IF(Imóveis!$F$4="PRICE",IF(AND(Dados!$A856&gt;=Imóveis!$Q$4,Dados!$A856&lt;=Imóveis!$T$4),Imóveis!$U$4,0),IF((IF(AND(Dados!$A856&gt;=Imóveis!$Q$4,Dados!$A856&lt;=Imóveis!$T$4),Imóveis!$S$4-(DATEDIF(Imóveis!$Q$4,Dados!$A856,"m")),0))=0,0,((Imóveis!$N$4/Imóveis!$S$4)+((Imóveis!$N$4-((Imóveis!$S$4-(IF(AND(Dados!$A856&gt;=Imóveis!$Q$4,Dados!$A856&lt;=Imóveis!$T$4),Imóveis!$S$4-(DATEDIF(Imóveis!$Q$4,Dados!$A856,"m")),)))*(Imóveis!$N$4/Imóveis!$S$4)))*Imóveis!$P$4))))*IF(AND(Imóveis!$E$4&gt;0,Dados!$A856&gt;Imóveis!$E$4),0,1)</f>
        <v>0</v>
      </c>
      <c r="L856" s="18">
        <f>IF(Imóveis!$F$5="PRICE",IF(AND(Dados!$A856&gt;=Imóveis!$Q$5,Dados!$A856&lt;=Imóveis!$T$5),Imóveis!$U$5,0),IF((IF(AND(Dados!$A856&gt;=Imóveis!$Q$5,Dados!$A856&lt;=Imóveis!$T$5),Imóveis!$S$5-(DATEDIF(Imóveis!$Q$5,Dados!$A856,"m")),0))=0,0,((Imóveis!$N$5/Imóveis!$S$5)+((Imóveis!$N$5-((Imóveis!$S$5-(IF(AND(Dados!$A856 &gt;=Imóveis!$Q$5,Dados!$A856&lt;=Imóveis!$T$5),Imóveis!$S$5-(DATEDIF(Imóveis!$Q$5,Dados!$A856,"m")),)))*(Imóveis!$N$5/Imóveis!$S$5)))*Imóveis!$P$5))))*IF(AND(Imóveis!$E$5&gt;0,Dados!$A856&gt;Imóveis!$E$5),0,1)*Imóveis!$I$5</f>
        <v>0</v>
      </c>
      <c r="M856" s="18">
        <f>IF(Imóveis!$F$6="PRICE",IF(AND(Dados!$A856&gt;=Imóveis!$Q$6,Dados!$A856&lt;=Imóveis!$T$6),Imóveis!$U$6,0),IF((IF(AND(Dados!$A856&gt;=Imóveis!$Q$6,Dados!$A856&lt;=Imóveis!$T$6),Imóveis!$S$6-(DATEDIF(Imóveis!$Q$6,Dados!$A856,"m")),0))=0,0,((Imóveis!$N$6/Imóveis!$S$6)+((Imóveis!$N$6-((Imóveis!$S$6-(IF(AND(Dados!$A856&gt;=Imóveis!$Q$6,Dados!$A856&lt;=Imóveis!$T$6),Imóveis!$S$6-(DATEDIF(Imóveis!$Q$6,Dados!$A856,"m")),)))*(Imóveis!$N$6/Imóveis!$S$6)))*Imóveis!$P$6))))*IF(AND(Imóveis!$E$6&gt;0,Dados!$A856&gt;Imóveis!$E$6),0,1)*Imóveis!$I$6</f>
        <v>0</v>
      </c>
      <c r="N856" s="18">
        <f t="shared" si="109"/>
        <v>0</v>
      </c>
      <c r="O856" s="18">
        <f>SUMIFS(Receitas!$F:$F,Receitas!$J:$J,"&lt;="&amp;$A856,Receitas!$L:$L,"&gt;="&amp;$A856,Receitas!$C:$C,O$1,Receitas!$M:$M,"Mensal")+SUMIFS(Receitas!$F:$F,Receitas!$J:$J,"&lt;="&amp;$A856,Receitas!$L:$L,"&gt;="&amp;$A856,Receitas!$C:$C,O$1,Receitas!$M:$M,$B856)</f>
        <v>0</v>
      </c>
      <c r="P856" s="18">
        <f>SUMIFS(Receitas!$F:$F,Receitas!$J:$J,"&lt;="&amp;$A856,Receitas!$L:$L,"&gt;="&amp;$A856,Receitas!$C:$C,P$1,Receitas!$M:$M,"Mensal")+SUMIFS(Receitas!$F:$F,Receitas!$J:$J,"&lt;="&amp;$A856,Receitas!$L:$L,"&gt;="&amp;$A856,Receitas!$C:$C,P$1,Receitas!$M:$M,$B856)</f>
        <v>0</v>
      </c>
      <c r="Q856" s="18">
        <f>SUMIFS(Receitas!$F:$F,Receitas!$J:$J,"&lt;="&amp;$A856,Receitas!$L:$L,"&gt;="&amp;$A856,Receitas!$C:$C,Q$1,Receitas!$M:$M,"Mensal")+SUMIFS(Receitas!$F:$F,Receitas!$J:$J,"&lt;="&amp;$A856,Receitas!$L:$L,"&gt;="&amp;$A856,Receitas!$C:$C,Q$1,Receitas!$M:$M,$B856)</f>
        <v>0</v>
      </c>
      <c r="R856" s="18" cm="1">
        <f t="array" ref="R856">(IF(AND(Membros!$F$2="Sim",A856&lt;=MAX(Membros!$E$2:$E$5)),Membros!K$2,IF(AND(A856&gt;=Membros!J$2,A856&lt;=MAX(Membros!$E$2:$E$5)),Membros!K$2,0))+IF(AND(Membros!$F$3="Sim",A856&lt;=MAX(Membros!$E$2:$E$5)),Membros!K$3,IF(AND(A856&gt;=Membros!J$3,A856&lt;=MAX(Membros!$E$2:$E$5)),Membros!K$3,0)))*IF(AND(COUNTIFS(Tabela3[Tipo],"Provedor",Tabela3[Simulação Seguro],"Sim")=2,A856&gt;=MAX(IF(Tabela3[Tipo]="Dependente",Tabela3[Expectativa de Vida (Data)]))),0,1)</f>
        <v>0</v>
      </c>
      <c r="S856" s="18">
        <f t="shared" si="110"/>
        <v>0</v>
      </c>
      <c r="U856" s="18">
        <f t="shared" ca="1" si="113"/>
        <v>77070378.267510235</v>
      </c>
      <c r="V856" s="18">
        <f>SUMIF(Imóveis!E:E,Dados!A:A,Imóveis!Z:Z)-SUMIF(Imóveis!E:E,Dados!A:A,Imóveis!Y:Y)</f>
        <v>0</v>
      </c>
      <c r="W856" s="18">
        <f>-SUMIF(Projetos!N:N,A856,Projetos!F:F)</f>
        <v>0</v>
      </c>
      <c r="X856" s="18">
        <f t="shared" si="107"/>
        <v>0</v>
      </c>
      <c r="Y856" s="26">
        <f ca="1">(U856*((Indicadores_Economicos!D$2+1)^(1/12)-1))</f>
        <v>252308.36336346692</v>
      </c>
      <c r="Z856" s="18">
        <f t="shared" ca="1" si="111"/>
        <v>77322686.630873695</v>
      </c>
      <c r="AA856" s="18">
        <f ca="1">Auxiliar_Projetos!E856</f>
        <v>6.3738465204086331E-9</v>
      </c>
      <c r="AB856" s="18">
        <f ca="1">Auxiliar_Projetos!K856</f>
        <v>4.9029588618527887E-9</v>
      </c>
      <c r="AC856" s="18">
        <f ca="1">IF(Z856-AA856-AB856&gt;Investimentos!$C$14,Investimentos!$C$14,IF(Z856-AA856-AB856&lt;Investimentos!$C$14,Z856-AA856-AB856,0))</f>
        <v>300000</v>
      </c>
      <c r="AD856" s="18">
        <f t="shared" ca="1" si="112"/>
        <v>77022686.630873695</v>
      </c>
      <c r="AE856" s="18"/>
    </row>
    <row r="857" spans="1:33" x14ac:dyDescent="0.2">
      <c r="A857" s="4">
        <v>71681</v>
      </c>
      <c r="B857" s="5" t="str">
        <f t="shared" si="108"/>
        <v>abril</v>
      </c>
      <c r="C857" s="5" t="str">
        <f t="shared" si="114"/>
        <v>2096</v>
      </c>
      <c r="D857" s="5">
        <f>SUMIFS(Despesas!$F:$F,Despesas!$J:$J,"&lt;="&amp;$A857,Despesas!$L:$L,"&gt;="&amp;$A857,Despesas!$C:$C,D$1,Despesas!$M:$M,"Mensal")+SUMIFS(Despesas!$F:$F,Despesas!$J:$J,"&lt;="&amp;$A857,Despesas!$L:$L,"&gt;="&amp;$A857,Despesas!$C:$C,D$1,Despesas!$M:$M,$B857)</f>
        <v>0</v>
      </c>
      <c r="E857" s="18">
        <f>SUMIFS(Despesas!$F:$F,Despesas!$J:$J,"&lt;="&amp;$A857,Despesas!$L:$L,"&gt;="&amp;$A857,Despesas!$C:$C,E$1,Despesas!$M:$M,"Mensal")+SUMIFS(Despesas!$F:$F,Despesas!$J:$J,"&lt;="&amp;$A857,Despesas!$L:$L,"&gt;="&amp;$A857,Despesas!$C:$C,E$1,Despesas!$M:$M,$B857)</f>
        <v>0</v>
      </c>
      <c r="F857" s="5">
        <f>SUMIFS(Despesas!$F:$F,Despesas!$J:$J,"&lt;="&amp;$A857,Despesas!$L:$L,"&gt;="&amp;$A857,Despesas!$C:$C,F$1,Despesas!$M:$M,"Mensal")+SUMIFS(Despesas!$F:$F,Despesas!$J:$J,"&lt;="&amp;$A857,Despesas!$L:$L,"&gt;="&amp;$A857,Despesas!$C:$C,F$1,Despesas!$M:$M,$B857)</f>
        <v>0</v>
      </c>
      <c r="G857" s="5">
        <f>SUMIFS(Despesas!$F:$F,Despesas!$J:$J,"&lt;="&amp;$A857,Despesas!$L:$L,"&gt;="&amp;$A857,Despesas!$C:$C,G$1,Despesas!$M:$M,"Mensal")+SUMIFS(Despesas!$F:$F,Despesas!$J:$J,"&lt;="&amp;$A857,Despesas!$L:$L,"&gt;="&amp;$A857,Despesas!$C:$C,G$1,Despesas!$M:$M,$B857)</f>
        <v>0</v>
      </c>
      <c r="H857" s="18">
        <f>SUMIFS(Despesas!$F:$F,Despesas!$J:$J,"&lt;="&amp;$A857,Despesas!$L:$L,"&gt;="&amp;$A857,Despesas!$C:$C,H$1,Despesas!$M:$M,"Mensal")+SUMIFS(Despesas!$F:$F,Despesas!$J:$J,"&lt;="&amp;$A857,Despesas!$L:$L,"&gt;="&amp;$A857,Despesas!$C:$C,H$1,Despesas!$M:$M,$B857)</f>
        <v>0</v>
      </c>
      <c r="I857" s="18">
        <f>IF(Imóveis!$F$2="PRICE",IF(AND(Dados!$A857&gt;=Imóveis!$Q$2,Dados!$A857&lt;=Imóveis!$T$2),Imóveis!$U$2,0),IF((IF(AND(Dados!$A857&gt;=Imóveis!$Q$2,Dados!$A857&lt;=Imóveis!$T$2),Imóveis!$S$2-(DATEDIF(Imóveis!$Q$2,Dados!$A857,"m")),0))=0,0,((Imóveis!$N$2/Imóveis!$S$2)+((Imóveis!$N$2-((Imóveis!$S$2-(IF(AND(Dados!$A857&gt;=Imóveis!$Q$2,Dados!$A857&lt;=Imóveis!$T$2),Imóveis!$S$2-(DATEDIF(Imóveis!$Q$2,Dados!$A857,"m")),)))*(Imóveis!$N$2/Imóveis!$S$2)))*Imóveis!$P$2))))*IF(AND(Imóveis!$E$2&gt;0,Dados!$A857&gt;Imóveis!$E$2),0,1)</f>
        <v>0</v>
      </c>
      <c r="J857" s="18">
        <f>IF(Imóveis!$F$3="PRICE",IF(AND(Dados!$A857&gt;=Imóveis!$Q$3,Dados!$A857&lt;=Imóveis!$T$3),Imóveis!$U$3,0),IF((IF(AND(Dados!$A857&gt;=Imóveis!$Q$3,Dados!$A857&lt;=Imóveis!$T$3),Imóveis!$S$3-(DATEDIF(Imóveis!$Q$3,Dados!$A857,"m")),0))=0,0,((Imóveis!$N$3/Imóveis!$S$3)+((Imóveis!$N$3-((Imóveis!$S$3-(IF(AND(Dados!$A857&gt;=Imóveis!$Q$3,Dados!$A857&lt;=Imóveis!$T$3),Imóveis!$S$3-(DATEDIF(Imóveis!$Q$3,Dados!$A857,"m")),)))*(Imóveis!$N$3/Imóveis!$S$3)))*Imóveis!$P$3))))*IF(AND(Imóveis!$E$3&gt;0,Dados!$A857&gt;Imóveis!$E$3),0,1)</f>
        <v>0</v>
      </c>
      <c r="K857" s="18">
        <f>IF(Imóveis!$F$4="PRICE",IF(AND(Dados!$A857&gt;=Imóveis!$Q$4,Dados!$A857&lt;=Imóveis!$T$4),Imóveis!$U$4,0),IF((IF(AND(Dados!$A857&gt;=Imóveis!$Q$4,Dados!$A857&lt;=Imóveis!$T$4),Imóveis!$S$4-(DATEDIF(Imóveis!$Q$4,Dados!$A857,"m")),0))=0,0,((Imóveis!$N$4/Imóveis!$S$4)+((Imóveis!$N$4-((Imóveis!$S$4-(IF(AND(Dados!$A857&gt;=Imóveis!$Q$4,Dados!$A857&lt;=Imóveis!$T$4),Imóveis!$S$4-(DATEDIF(Imóveis!$Q$4,Dados!$A857,"m")),)))*(Imóveis!$N$4/Imóveis!$S$4)))*Imóveis!$P$4))))*IF(AND(Imóveis!$E$4&gt;0,Dados!$A857&gt;Imóveis!$E$4),0,1)</f>
        <v>0</v>
      </c>
      <c r="L857" s="18">
        <f>IF(Imóveis!$F$5="PRICE",IF(AND(Dados!$A857&gt;=Imóveis!$Q$5,Dados!$A857&lt;=Imóveis!$T$5),Imóveis!$U$5,0),IF((IF(AND(Dados!$A857&gt;=Imóveis!$Q$5,Dados!$A857&lt;=Imóveis!$T$5),Imóveis!$S$5-(DATEDIF(Imóveis!$Q$5,Dados!$A857,"m")),0))=0,0,((Imóveis!$N$5/Imóveis!$S$5)+((Imóveis!$N$5-((Imóveis!$S$5-(IF(AND(Dados!$A857 &gt;=Imóveis!$Q$5,Dados!$A857&lt;=Imóveis!$T$5),Imóveis!$S$5-(DATEDIF(Imóveis!$Q$5,Dados!$A857,"m")),)))*(Imóveis!$N$5/Imóveis!$S$5)))*Imóveis!$P$5))))*IF(AND(Imóveis!$E$5&gt;0,Dados!$A857&gt;Imóveis!$E$5),0,1)*Imóveis!$I$5</f>
        <v>0</v>
      </c>
      <c r="M857" s="18">
        <f>IF(Imóveis!$F$6="PRICE",IF(AND(Dados!$A857&gt;=Imóveis!$Q$6,Dados!$A857&lt;=Imóveis!$T$6),Imóveis!$U$6,0),IF((IF(AND(Dados!$A857&gt;=Imóveis!$Q$6,Dados!$A857&lt;=Imóveis!$T$6),Imóveis!$S$6-(DATEDIF(Imóveis!$Q$6,Dados!$A857,"m")),0))=0,0,((Imóveis!$N$6/Imóveis!$S$6)+((Imóveis!$N$6-((Imóveis!$S$6-(IF(AND(Dados!$A857&gt;=Imóveis!$Q$6,Dados!$A857&lt;=Imóveis!$T$6),Imóveis!$S$6-(DATEDIF(Imóveis!$Q$6,Dados!$A857,"m")),)))*(Imóveis!$N$6/Imóveis!$S$6)))*Imóveis!$P$6))))*IF(AND(Imóveis!$E$6&gt;0,Dados!$A857&gt;Imóveis!$E$6),0,1)*Imóveis!$I$6</f>
        <v>0</v>
      </c>
      <c r="N857" s="18">
        <f t="shared" si="109"/>
        <v>0</v>
      </c>
      <c r="O857" s="18">
        <f>SUMIFS(Receitas!$F:$F,Receitas!$J:$J,"&lt;="&amp;$A857,Receitas!$L:$L,"&gt;="&amp;$A857,Receitas!$C:$C,O$1,Receitas!$M:$M,"Mensal")+SUMIFS(Receitas!$F:$F,Receitas!$J:$J,"&lt;="&amp;$A857,Receitas!$L:$L,"&gt;="&amp;$A857,Receitas!$C:$C,O$1,Receitas!$M:$M,$B857)</f>
        <v>0</v>
      </c>
      <c r="P857" s="18">
        <f>SUMIFS(Receitas!$F:$F,Receitas!$J:$J,"&lt;="&amp;$A857,Receitas!$L:$L,"&gt;="&amp;$A857,Receitas!$C:$C,P$1,Receitas!$M:$M,"Mensal")+SUMIFS(Receitas!$F:$F,Receitas!$J:$J,"&lt;="&amp;$A857,Receitas!$L:$L,"&gt;="&amp;$A857,Receitas!$C:$C,P$1,Receitas!$M:$M,$B857)</f>
        <v>0</v>
      </c>
      <c r="Q857" s="18">
        <f>SUMIFS(Receitas!$F:$F,Receitas!$J:$J,"&lt;="&amp;$A857,Receitas!$L:$L,"&gt;="&amp;$A857,Receitas!$C:$C,Q$1,Receitas!$M:$M,"Mensal")+SUMIFS(Receitas!$F:$F,Receitas!$J:$J,"&lt;="&amp;$A857,Receitas!$L:$L,"&gt;="&amp;$A857,Receitas!$C:$C,Q$1,Receitas!$M:$M,$B857)</f>
        <v>0</v>
      </c>
      <c r="R857" s="18" cm="1">
        <f t="array" ref="R857">(IF(AND(Membros!$F$2="Sim",A857&lt;=MAX(Membros!$E$2:$E$5)),Membros!K$2,IF(AND(A857&gt;=Membros!J$2,A857&lt;=MAX(Membros!$E$2:$E$5)),Membros!K$2,0))+IF(AND(Membros!$F$3="Sim",A857&lt;=MAX(Membros!$E$2:$E$5)),Membros!K$3,IF(AND(A857&gt;=Membros!J$3,A857&lt;=MAX(Membros!$E$2:$E$5)),Membros!K$3,0)))*IF(AND(COUNTIFS(Tabela3[Tipo],"Provedor",Tabela3[Simulação Seguro],"Sim")=2,A857&gt;=MAX(IF(Tabela3[Tipo]="Dependente",Tabela3[Expectativa de Vida (Data)]))),0,1)</f>
        <v>0</v>
      </c>
      <c r="S857" s="18">
        <f t="shared" si="110"/>
        <v>0</v>
      </c>
      <c r="U857" s="18">
        <f t="shared" ca="1" si="113"/>
        <v>77322686.630873695</v>
      </c>
      <c r="V857" s="18">
        <f>SUMIF(Imóveis!E:E,Dados!A:A,Imóveis!Z:Z)-SUMIF(Imóveis!E:E,Dados!A:A,Imóveis!Y:Y)</f>
        <v>0</v>
      </c>
      <c r="W857" s="18">
        <f>-SUMIF(Projetos!N:N,A857,Projetos!F:F)</f>
        <v>0</v>
      </c>
      <c r="X857" s="18">
        <f t="shared" si="107"/>
        <v>0</v>
      </c>
      <c r="Y857" s="26">
        <f ca="1">(U857*((Indicadores_Economicos!D$2+1)^(1/12)-1))</f>
        <v>253134.35528999136</v>
      </c>
      <c r="Z857" s="18">
        <f t="shared" ca="1" si="111"/>
        <v>77575820.986163691</v>
      </c>
      <c r="AA857" s="18">
        <f ca="1">Auxiliar_Projetos!E857</f>
        <v>6.3947128353281252E-9</v>
      </c>
      <c r="AB857" s="18">
        <f ca="1">Auxiliar_Projetos!K857</f>
        <v>4.9190098733293205E-9</v>
      </c>
      <c r="AC857" s="18">
        <f ca="1">IF(Z857-AA857-AB857&gt;Investimentos!$C$14,Investimentos!$C$14,IF(Z857-AA857-AB857&lt;Investimentos!$C$14,Z857-AA857-AB857,0))</f>
        <v>300000</v>
      </c>
      <c r="AD857" s="18">
        <f t="shared" ca="1" si="112"/>
        <v>77275820.986163691</v>
      </c>
      <c r="AE857" s="18"/>
    </row>
    <row r="858" spans="1:33" x14ac:dyDescent="0.2">
      <c r="A858" s="4">
        <v>71711</v>
      </c>
      <c r="B858" s="5" t="str">
        <f t="shared" si="108"/>
        <v>maio</v>
      </c>
      <c r="C858" s="5" t="str">
        <f t="shared" si="114"/>
        <v>2096</v>
      </c>
      <c r="D858" s="5">
        <f>SUMIFS(Despesas!$F:$F,Despesas!$J:$J,"&lt;="&amp;$A858,Despesas!$L:$L,"&gt;="&amp;$A858,Despesas!$C:$C,D$1,Despesas!$M:$M,"Mensal")+SUMIFS(Despesas!$F:$F,Despesas!$J:$J,"&lt;="&amp;$A858,Despesas!$L:$L,"&gt;="&amp;$A858,Despesas!$C:$C,D$1,Despesas!$M:$M,$B858)</f>
        <v>0</v>
      </c>
      <c r="E858" s="18">
        <f>SUMIFS(Despesas!$F:$F,Despesas!$J:$J,"&lt;="&amp;$A858,Despesas!$L:$L,"&gt;="&amp;$A858,Despesas!$C:$C,E$1,Despesas!$M:$M,"Mensal")+SUMIFS(Despesas!$F:$F,Despesas!$J:$J,"&lt;="&amp;$A858,Despesas!$L:$L,"&gt;="&amp;$A858,Despesas!$C:$C,E$1,Despesas!$M:$M,$B858)</f>
        <v>0</v>
      </c>
      <c r="F858" s="5">
        <f>SUMIFS(Despesas!$F:$F,Despesas!$J:$J,"&lt;="&amp;$A858,Despesas!$L:$L,"&gt;="&amp;$A858,Despesas!$C:$C,F$1,Despesas!$M:$M,"Mensal")+SUMIFS(Despesas!$F:$F,Despesas!$J:$J,"&lt;="&amp;$A858,Despesas!$L:$L,"&gt;="&amp;$A858,Despesas!$C:$C,F$1,Despesas!$M:$M,$B858)</f>
        <v>0</v>
      </c>
      <c r="G858" s="5">
        <f>SUMIFS(Despesas!$F:$F,Despesas!$J:$J,"&lt;="&amp;$A858,Despesas!$L:$L,"&gt;="&amp;$A858,Despesas!$C:$C,G$1,Despesas!$M:$M,"Mensal")+SUMIFS(Despesas!$F:$F,Despesas!$J:$J,"&lt;="&amp;$A858,Despesas!$L:$L,"&gt;="&amp;$A858,Despesas!$C:$C,G$1,Despesas!$M:$M,$B858)</f>
        <v>0</v>
      </c>
      <c r="H858" s="18">
        <f>SUMIFS(Despesas!$F:$F,Despesas!$J:$J,"&lt;="&amp;$A858,Despesas!$L:$L,"&gt;="&amp;$A858,Despesas!$C:$C,H$1,Despesas!$M:$M,"Mensal")+SUMIFS(Despesas!$F:$F,Despesas!$J:$J,"&lt;="&amp;$A858,Despesas!$L:$L,"&gt;="&amp;$A858,Despesas!$C:$C,H$1,Despesas!$M:$M,$B858)</f>
        <v>0</v>
      </c>
      <c r="I858" s="18">
        <f>IF(Imóveis!$F$2="PRICE",IF(AND(Dados!$A858&gt;=Imóveis!$Q$2,Dados!$A858&lt;=Imóveis!$T$2),Imóveis!$U$2,0),IF((IF(AND(Dados!$A858&gt;=Imóveis!$Q$2,Dados!$A858&lt;=Imóveis!$T$2),Imóveis!$S$2-(DATEDIF(Imóveis!$Q$2,Dados!$A858,"m")),0))=0,0,((Imóveis!$N$2/Imóveis!$S$2)+((Imóveis!$N$2-((Imóveis!$S$2-(IF(AND(Dados!$A858&gt;=Imóveis!$Q$2,Dados!$A858&lt;=Imóveis!$T$2),Imóveis!$S$2-(DATEDIF(Imóveis!$Q$2,Dados!$A858,"m")),)))*(Imóveis!$N$2/Imóveis!$S$2)))*Imóveis!$P$2))))*IF(AND(Imóveis!$E$2&gt;0,Dados!$A858&gt;Imóveis!$E$2),0,1)</f>
        <v>0</v>
      </c>
      <c r="J858" s="18">
        <f>IF(Imóveis!$F$3="PRICE",IF(AND(Dados!$A858&gt;=Imóveis!$Q$3,Dados!$A858&lt;=Imóveis!$T$3),Imóveis!$U$3,0),IF((IF(AND(Dados!$A858&gt;=Imóveis!$Q$3,Dados!$A858&lt;=Imóveis!$T$3),Imóveis!$S$3-(DATEDIF(Imóveis!$Q$3,Dados!$A858,"m")),0))=0,0,((Imóveis!$N$3/Imóveis!$S$3)+((Imóveis!$N$3-((Imóveis!$S$3-(IF(AND(Dados!$A858&gt;=Imóveis!$Q$3,Dados!$A858&lt;=Imóveis!$T$3),Imóveis!$S$3-(DATEDIF(Imóveis!$Q$3,Dados!$A858,"m")),)))*(Imóveis!$N$3/Imóveis!$S$3)))*Imóveis!$P$3))))*IF(AND(Imóveis!$E$3&gt;0,Dados!$A858&gt;Imóveis!$E$3),0,1)</f>
        <v>0</v>
      </c>
      <c r="K858" s="18">
        <f>IF(Imóveis!$F$4="PRICE",IF(AND(Dados!$A858&gt;=Imóveis!$Q$4,Dados!$A858&lt;=Imóveis!$T$4),Imóveis!$U$4,0),IF((IF(AND(Dados!$A858&gt;=Imóveis!$Q$4,Dados!$A858&lt;=Imóveis!$T$4),Imóveis!$S$4-(DATEDIF(Imóveis!$Q$4,Dados!$A858,"m")),0))=0,0,((Imóveis!$N$4/Imóveis!$S$4)+((Imóveis!$N$4-((Imóveis!$S$4-(IF(AND(Dados!$A858&gt;=Imóveis!$Q$4,Dados!$A858&lt;=Imóveis!$T$4),Imóveis!$S$4-(DATEDIF(Imóveis!$Q$4,Dados!$A858,"m")),)))*(Imóveis!$N$4/Imóveis!$S$4)))*Imóveis!$P$4))))*IF(AND(Imóveis!$E$4&gt;0,Dados!$A858&gt;Imóveis!$E$4),0,1)</f>
        <v>0</v>
      </c>
      <c r="L858" s="18">
        <f>IF(Imóveis!$F$5="PRICE",IF(AND(Dados!$A858&gt;=Imóveis!$Q$5,Dados!$A858&lt;=Imóveis!$T$5),Imóveis!$U$5,0),IF((IF(AND(Dados!$A858&gt;=Imóveis!$Q$5,Dados!$A858&lt;=Imóveis!$T$5),Imóveis!$S$5-(DATEDIF(Imóveis!$Q$5,Dados!$A858,"m")),0))=0,0,((Imóveis!$N$5/Imóveis!$S$5)+((Imóveis!$N$5-((Imóveis!$S$5-(IF(AND(Dados!$A858 &gt;=Imóveis!$Q$5,Dados!$A858&lt;=Imóveis!$T$5),Imóveis!$S$5-(DATEDIF(Imóveis!$Q$5,Dados!$A858,"m")),)))*(Imóveis!$N$5/Imóveis!$S$5)))*Imóveis!$P$5))))*IF(AND(Imóveis!$E$5&gt;0,Dados!$A858&gt;Imóveis!$E$5),0,1)*Imóveis!$I$5</f>
        <v>0</v>
      </c>
      <c r="M858" s="18">
        <f>IF(Imóveis!$F$6="PRICE",IF(AND(Dados!$A858&gt;=Imóveis!$Q$6,Dados!$A858&lt;=Imóveis!$T$6),Imóveis!$U$6,0),IF((IF(AND(Dados!$A858&gt;=Imóveis!$Q$6,Dados!$A858&lt;=Imóveis!$T$6),Imóveis!$S$6-(DATEDIF(Imóveis!$Q$6,Dados!$A858,"m")),0))=0,0,((Imóveis!$N$6/Imóveis!$S$6)+((Imóveis!$N$6-((Imóveis!$S$6-(IF(AND(Dados!$A858&gt;=Imóveis!$Q$6,Dados!$A858&lt;=Imóveis!$T$6),Imóveis!$S$6-(DATEDIF(Imóveis!$Q$6,Dados!$A858,"m")),)))*(Imóveis!$N$6/Imóveis!$S$6)))*Imóveis!$P$6))))*IF(AND(Imóveis!$E$6&gt;0,Dados!$A858&gt;Imóveis!$E$6),0,1)*Imóveis!$I$6</f>
        <v>0</v>
      </c>
      <c r="N858" s="18">
        <f t="shared" si="109"/>
        <v>0</v>
      </c>
      <c r="O858" s="18">
        <f>SUMIFS(Receitas!$F:$F,Receitas!$J:$J,"&lt;="&amp;$A858,Receitas!$L:$L,"&gt;="&amp;$A858,Receitas!$C:$C,O$1,Receitas!$M:$M,"Mensal")+SUMIFS(Receitas!$F:$F,Receitas!$J:$J,"&lt;="&amp;$A858,Receitas!$L:$L,"&gt;="&amp;$A858,Receitas!$C:$C,O$1,Receitas!$M:$M,$B858)</f>
        <v>0</v>
      </c>
      <c r="P858" s="18">
        <f>SUMIFS(Receitas!$F:$F,Receitas!$J:$J,"&lt;="&amp;$A858,Receitas!$L:$L,"&gt;="&amp;$A858,Receitas!$C:$C,P$1,Receitas!$M:$M,"Mensal")+SUMIFS(Receitas!$F:$F,Receitas!$J:$J,"&lt;="&amp;$A858,Receitas!$L:$L,"&gt;="&amp;$A858,Receitas!$C:$C,P$1,Receitas!$M:$M,$B858)</f>
        <v>0</v>
      </c>
      <c r="Q858" s="18">
        <f>SUMIFS(Receitas!$F:$F,Receitas!$J:$J,"&lt;="&amp;$A858,Receitas!$L:$L,"&gt;="&amp;$A858,Receitas!$C:$C,Q$1,Receitas!$M:$M,"Mensal")+SUMIFS(Receitas!$F:$F,Receitas!$J:$J,"&lt;="&amp;$A858,Receitas!$L:$L,"&gt;="&amp;$A858,Receitas!$C:$C,Q$1,Receitas!$M:$M,$B858)</f>
        <v>0</v>
      </c>
      <c r="R858" s="18" cm="1">
        <f t="array" ref="R858">(IF(AND(Membros!$F$2="Sim",A858&lt;=MAX(Membros!$E$2:$E$5)),Membros!K$2,IF(AND(A858&gt;=Membros!J$2,A858&lt;=MAX(Membros!$E$2:$E$5)),Membros!K$2,0))+IF(AND(Membros!$F$3="Sim",A858&lt;=MAX(Membros!$E$2:$E$5)),Membros!K$3,IF(AND(A858&gt;=Membros!J$3,A858&lt;=MAX(Membros!$E$2:$E$5)),Membros!K$3,0)))*IF(AND(COUNTIFS(Tabela3[Tipo],"Provedor",Tabela3[Simulação Seguro],"Sim")=2,A858&gt;=MAX(IF(Tabela3[Tipo]="Dependente",Tabela3[Expectativa de Vida (Data)]))),0,1)</f>
        <v>0</v>
      </c>
      <c r="S858" s="18">
        <f t="shared" si="110"/>
        <v>0</v>
      </c>
      <c r="U858" s="18">
        <f t="shared" ca="1" si="113"/>
        <v>77575820.986163691</v>
      </c>
      <c r="V858" s="18">
        <f>SUMIF(Imóveis!E:E,Dados!A:A,Imóveis!Z:Z)-SUMIF(Imóveis!E:E,Dados!A:A,Imóveis!Y:Y)</f>
        <v>0</v>
      </c>
      <c r="W858" s="18">
        <f>-SUMIF(Projetos!N:N,A858,Projetos!F:F)</f>
        <v>0</v>
      </c>
      <c r="X858" s="18">
        <f t="shared" si="107"/>
        <v>0</v>
      </c>
      <c r="Y858" s="26">
        <f ca="1">(U858*((Indicadores_Economicos!D$2+1)^(1/12)-1))</f>
        <v>253963.0512991455</v>
      </c>
      <c r="Z858" s="18">
        <f t="shared" ca="1" si="111"/>
        <v>77829784.037462831</v>
      </c>
      <c r="AA858" s="18">
        <f ca="1">Auxiliar_Projetos!E858</f>
        <v>6.4156474611328769E-9</v>
      </c>
      <c r="AB858" s="18">
        <f ca="1">Auxiliar_Projetos!K858</f>
        <v>4.9351134316406682E-9</v>
      </c>
      <c r="AC858" s="18">
        <f ca="1">IF(Z858-AA858-AB858&gt;Investimentos!$C$14,Investimentos!$C$14,IF(Z858-AA858-AB858&lt;Investimentos!$C$14,Z858-AA858-AB858,0))</f>
        <v>300000</v>
      </c>
      <c r="AD858" s="18">
        <f t="shared" ca="1" si="112"/>
        <v>77529784.037462831</v>
      </c>
      <c r="AE858" s="18"/>
    </row>
    <row r="859" spans="1:33" x14ac:dyDescent="0.2">
      <c r="A859" s="4">
        <v>71742</v>
      </c>
      <c r="B859" s="5" t="str">
        <f t="shared" si="108"/>
        <v>junho</v>
      </c>
      <c r="C859" s="5" t="str">
        <f t="shared" si="114"/>
        <v>2096</v>
      </c>
      <c r="D859" s="5">
        <f>SUMIFS(Despesas!$F:$F,Despesas!$J:$J,"&lt;="&amp;$A859,Despesas!$L:$L,"&gt;="&amp;$A859,Despesas!$C:$C,D$1,Despesas!$M:$M,"Mensal")+SUMIFS(Despesas!$F:$F,Despesas!$J:$J,"&lt;="&amp;$A859,Despesas!$L:$L,"&gt;="&amp;$A859,Despesas!$C:$C,D$1,Despesas!$M:$M,$B859)</f>
        <v>0</v>
      </c>
      <c r="E859" s="18">
        <f>SUMIFS(Despesas!$F:$F,Despesas!$J:$J,"&lt;="&amp;$A859,Despesas!$L:$L,"&gt;="&amp;$A859,Despesas!$C:$C,E$1,Despesas!$M:$M,"Mensal")+SUMIFS(Despesas!$F:$F,Despesas!$J:$J,"&lt;="&amp;$A859,Despesas!$L:$L,"&gt;="&amp;$A859,Despesas!$C:$C,E$1,Despesas!$M:$M,$B859)</f>
        <v>0</v>
      </c>
      <c r="F859" s="5">
        <f>SUMIFS(Despesas!$F:$F,Despesas!$J:$J,"&lt;="&amp;$A859,Despesas!$L:$L,"&gt;="&amp;$A859,Despesas!$C:$C,F$1,Despesas!$M:$M,"Mensal")+SUMIFS(Despesas!$F:$F,Despesas!$J:$J,"&lt;="&amp;$A859,Despesas!$L:$L,"&gt;="&amp;$A859,Despesas!$C:$C,F$1,Despesas!$M:$M,$B859)</f>
        <v>0</v>
      </c>
      <c r="G859" s="5">
        <f>SUMIFS(Despesas!$F:$F,Despesas!$J:$J,"&lt;="&amp;$A859,Despesas!$L:$L,"&gt;="&amp;$A859,Despesas!$C:$C,G$1,Despesas!$M:$M,"Mensal")+SUMIFS(Despesas!$F:$F,Despesas!$J:$J,"&lt;="&amp;$A859,Despesas!$L:$L,"&gt;="&amp;$A859,Despesas!$C:$C,G$1,Despesas!$M:$M,$B859)</f>
        <v>0</v>
      </c>
      <c r="H859" s="18">
        <f>SUMIFS(Despesas!$F:$F,Despesas!$J:$J,"&lt;="&amp;$A859,Despesas!$L:$L,"&gt;="&amp;$A859,Despesas!$C:$C,H$1,Despesas!$M:$M,"Mensal")+SUMIFS(Despesas!$F:$F,Despesas!$J:$J,"&lt;="&amp;$A859,Despesas!$L:$L,"&gt;="&amp;$A859,Despesas!$C:$C,H$1,Despesas!$M:$M,$B859)</f>
        <v>0</v>
      </c>
      <c r="I859" s="18">
        <f>IF(Imóveis!$F$2="PRICE",IF(AND(Dados!$A859&gt;=Imóveis!$Q$2,Dados!$A859&lt;=Imóveis!$T$2),Imóveis!$U$2,0),IF((IF(AND(Dados!$A859&gt;=Imóveis!$Q$2,Dados!$A859&lt;=Imóveis!$T$2),Imóveis!$S$2-(DATEDIF(Imóveis!$Q$2,Dados!$A859,"m")),0))=0,0,((Imóveis!$N$2/Imóveis!$S$2)+((Imóveis!$N$2-((Imóveis!$S$2-(IF(AND(Dados!$A859&gt;=Imóveis!$Q$2,Dados!$A859&lt;=Imóveis!$T$2),Imóveis!$S$2-(DATEDIF(Imóveis!$Q$2,Dados!$A859,"m")),)))*(Imóveis!$N$2/Imóveis!$S$2)))*Imóveis!$P$2))))*IF(AND(Imóveis!$E$2&gt;0,Dados!$A859&gt;Imóveis!$E$2),0,1)</f>
        <v>0</v>
      </c>
      <c r="J859" s="18">
        <f>IF(Imóveis!$F$3="PRICE",IF(AND(Dados!$A859&gt;=Imóveis!$Q$3,Dados!$A859&lt;=Imóveis!$T$3),Imóveis!$U$3,0),IF((IF(AND(Dados!$A859&gt;=Imóveis!$Q$3,Dados!$A859&lt;=Imóveis!$T$3),Imóveis!$S$3-(DATEDIF(Imóveis!$Q$3,Dados!$A859,"m")),0))=0,0,((Imóveis!$N$3/Imóveis!$S$3)+((Imóveis!$N$3-((Imóveis!$S$3-(IF(AND(Dados!$A859&gt;=Imóveis!$Q$3,Dados!$A859&lt;=Imóveis!$T$3),Imóveis!$S$3-(DATEDIF(Imóveis!$Q$3,Dados!$A859,"m")),)))*(Imóveis!$N$3/Imóveis!$S$3)))*Imóveis!$P$3))))*IF(AND(Imóveis!$E$3&gt;0,Dados!$A859&gt;Imóveis!$E$3),0,1)</f>
        <v>0</v>
      </c>
      <c r="K859" s="18">
        <f>IF(Imóveis!$F$4="PRICE",IF(AND(Dados!$A859&gt;=Imóveis!$Q$4,Dados!$A859&lt;=Imóveis!$T$4),Imóveis!$U$4,0),IF((IF(AND(Dados!$A859&gt;=Imóveis!$Q$4,Dados!$A859&lt;=Imóveis!$T$4),Imóveis!$S$4-(DATEDIF(Imóveis!$Q$4,Dados!$A859,"m")),0))=0,0,((Imóveis!$N$4/Imóveis!$S$4)+((Imóveis!$N$4-((Imóveis!$S$4-(IF(AND(Dados!$A859&gt;=Imóveis!$Q$4,Dados!$A859&lt;=Imóveis!$T$4),Imóveis!$S$4-(DATEDIF(Imóveis!$Q$4,Dados!$A859,"m")),)))*(Imóveis!$N$4/Imóveis!$S$4)))*Imóveis!$P$4))))*IF(AND(Imóveis!$E$4&gt;0,Dados!$A859&gt;Imóveis!$E$4),0,1)</f>
        <v>0</v>
      </c>
      <c r="L859" s="18">
        <f>IF(Imóveis!$F$5="PRICE",IF(AND(Dados!$A859&gt;=Imóveis!$Q$5,Dados!$A859&lt;=Imóveis!$T$5),Imóveis!$U$5,0),IF((IF(AND(Dados!$A859&gt;=Imóveis!$Q$5,Dados!$A859&lt;=Imóveis!$T$5),Imóveis!$S$5-(DATEDIF(Imóveis!$Q$5,Dados!$A859,"m")),0))=0,0,((Imóveis!$N$5/Imóveis!$S$5)+((Imóveis!$N$5-((Imóveis!$S$5-(IF(AND(Dados!$A859 &gt;=Imóveis!$Q$5,Dados!$A859&lt;=Imóveis!$T$5),Imóveis!$S$5-(DATEDIF(Imóveis!$Q$5,Dados!$A859,"m")),)))*(Imóveis!$N$5/Imóveis!$S$5)))*Imóveis!$P$5))))*IF(AND(Imóveis!$E$5&gt;0,Dados!$A859&gt;Imóveis!$E$5),0,1)*Imóveis!$I$5</f>
        <v>0</v>
      </c>
      <c r="M859" s="18">
        <f>IF(Imóveis!$F$6="PRICE",IF(AND(Dados!$A859&gt;=Imóveis!$Q$6,Dados!$A859&lt;=Imóveis!$T$6),Imóveis!$U$6,0),IF((IF(AND(Dados!$A859&gt;=Imóveis!$Q$6,Dados!$A859&lt;=Imóveis!$T$6),Imóveis!$S$6-(DATEDIF(Imóveis!$Q$6,Dados!$A859,"m")),0))=0,0,((Imóveis!$N$6/Imóveis!$S$6)+((Imóveis!$N$6-((Imóveis!$S$6-(IF(AND(Dados!$A859&gt;=Imóveis!$Q$6,Dados!$A859&lt;=Imóveis!$T$6),Imóveis!$S$6-(DATEDIF(Imóveis!$Q$6,Dados!$A859,"m")),)))*(Imóveis!$N$6/Imóveis!$S$6)))*Imóveis!$P$6))))*IF(AND(Imóveis!$E$6&gt;0,Dados!$A859&gt;Imóveis!$E$6),0,1)*Imóveis!$I$6</f>
        <v>0</v>
      </c>
      <c r="N859" s="18">
        <f t="shared" si="109"/>
        <v>0</v>
      </c>
      <c r="O859" s="18">
        <f>SUMIFS(Receitas!$F:$F,Receitas!$J:$J,"&lt;="&amp;$A859,Receitas!$L:$L,"&gt;="&amp;$A859,Receitas!$C:$C,O$1,Receitas!$M:$M,"Mensal")+SUMIFS(Receitas!$F:$F,Receitas!$J:$J,"&lt;="&amp;$A859,Receitas!$L:$L,"&gt;="&amp;$A859,Receitas!$C:$C,O$1,Receitas!$M:$M,$B859)</f>
        <v>0</v>
      </c>
      <c r="P859" s="18">
        <f>SUMIFS(Receitas!$F:$F,Receitas!$J:$J,"&lt;="&amp;$A859,Receitas!$L:$L,"&gt;="&amp;$A859,Receitas!$C:$C,P$1,Receitas!$M:$M,"Mensal")+SUMIFS(Receitas!$F:$F,Receitas!$J:$J,"&lt;="&amp;$A859,Receitas!$L:$L,"&gt;="&amp;$A859,Receitas!$C:$C,P$1,Receitas!$M:$M,$B859)</f>
        <v>0</v>
      </c>
      <c r="Q859" s="18">
        <f>SUMIFS(Receitas!$F:$F,Receitas!$J:$J,"&lt;="&amp;$A859,Receitas!$L:$L,"&gt;="&amp;$A859,Receitas!$C:$C,Q$1,Receitas!$M:$M,"Mensal")+SUMIFS(Receitas!$F:$F,Receitas!$J:$J,"&lt;="&amp;$A859,Receitas!$L:$L,"&gt;="&amp;$A859,Receitas!$C:$C,Q$1,Receitas!$M:$M,$B859)</f>
        <v>0</v>
      </c>
      <c r="R859" s="18" cm="1">
        <f t="array" ref="R859">(IF(AND(Membros!$F$2="Sim",A859&lt;=MAX(Membros!$E$2:$E$5)),Membros!K$2,IF(AND(A859&gt;=Membros!J$2,A859&lt;=MAX(Membros!$E$2:$E$5)),Membros!K$2,0))+IF(AND(Membros!$F$3="Sim",A859&lt;=MAX(Membros!$E$2:$E$5)),Membros!K$3,IF(AND(A859&gt;=Membros!J$3,A859&lt;=MAX(Membros!$E$2:$E$5)),Membros!K$3,0)))*IF(AND(COUNTIFS(Tabela3[Tipo],"Provedor",Tabela3[Simulação Seguro],"Sim")=2,A859&gt;=MAX(IF(Tabela3[Tipo]="Dependente",Tabela3[Expectativa de Vida (Data)]))),0,1)</f>
        <v>0</v>
      </c>
      <c r="S859" s="18">
        <f t="shared" si="110"/>
        <v>0</v>
      </c>
      <c r="U859" s="18">
        <f t="shared" ca="1" si="113"/>
        <v>77829784.037462831</v>
      </c>
      <c r="V859" s="18">
        <f>SUMIF(Imóveis!E:E,Dados!A:A,Imóveis!Z:Z)-SUMIF(Imóveis!E:E,Dados!A:A,Imóveis!Y:Y)</f>
        <v>0</v>
      </c>
      <c r="W859" s="18">
        <f>-SUMIF(Projetos!N:N,A859,Projetos!F:F)</f>
        <v>0</v>
      </c>
      <c r="X859" s="18">
        <f t="shared" si="107"/>
        <v>0</v>
      </c>
      <c r="Y859" s="26">
        <f ca="1">(U859*((Indicadores_Economicos!D$2+1)^(1/12)-1))</f>
        <v>254794.46024339212</v>
      </c>
      <c r="Z859" s="18">
        <f t="shared" ca="1" si="111"/>
        <v>78084578.49770622</v>
      </c>
      <c r="AA859" s="18">
        <f ca="1">Auxiliar_Projetos!E859</f>
        <v>6.4366506214549511E-9</v>
      </c>
      <c r="AB859" s="18">
        <f ca="1">Auxiliar_Projetos!K859</f>
        <v>4.9512697088114942E-9</v>
      </c>
      <c r="AC859" s="18">
        <f ca="1">IF(Z859-AA859-AB859&gt;Investimentos!$C$14,Investimentos!$C$14,IF(Z859-AA859-AB859&lt;Investimentos!$C$14,Z859-AA859-AB859,0))</f>
        <v>300000</v>
      </c>
      <c r="AD859" s="18">
        <f t="shared" ca="1" si="112"/>
        <v>77784578.49770622</v>
      </c>
      <c r="AE859" s="18"/>
    </row>
    <row r="860" spans="1:33" x14ac:dyDescent="0.2">
      <c r="A860" s="4">
        <v>71772</v>
      </c>
      <c r="B860" s="5" t="str">
        <f t="shared" si="108"/>
        <v>julho</v>
      </c>
      <c r="C860" s="5" t="str">
        <f t="shared" si="114"/>
        <v>2096</v>
      </c>
      <c r="D860" s="5">
        <f>SUMIFS(Despesas!$F:$F,Despesas!$J:$J,"&lt;="&amp;$A860,Despesas!$L:$L,"&gt;="&amp;$A860,Despesas!$C:$C,D$1,Despesas!$M:$M,"Mensal")+SUMIFS(Despesas!$F:$F,Despesas!$J:$J,"&lt;="&amp;$A860,Despesas!$L:$L,"&gt;="&amp;$A860,Despesas!$C:$C,D$1,Despesas!$M:$M,$B860)</f>
        <v>0</v>
      </c>
      <c r="E860" s="18">
        <f>SUMIFS(Despesas!$F:$F,Despesas!$J:$J,"&lt;="&amp;$A860,Despesas!$L:$L,"&gt;="&amp;$A860,Despesas!$C:$C,E$1,Despesas!$M:$M,"Mensal")+SUMIFS(Despesas!$F:$F,Despesas!$J:$J,"&lt;="&amp;$A860,Despesas!$L:$L,"&gt;="&amp;$A860,Despesas!$C:$C,E$1,Despesas!$M:$M,$B860)</f>
        <v>0</v>
      </c>
      <c r="F860" s="5">
        <f>SUMIFS(Despesas!$F:$F,Despesas!$J:$J,"&lt;="&amp;$A860,Despesas!$L:$L,"&gt;="&amp;$A860,Despesas!$C:$C,F$1,Despesas!$M:$M,"Mensal")+SUMIFS(Despesas!$F:$F,Despesas!$J:$J,"&lt;="&amp;$A860,Despesas!$L:$L,"&gt;="&amp;$A860,Despesas!$C:$C,F$1,Despesas!$M:$M,$B860)</f>
        <v>0</v>
      </c>
      <c r="G860" s="5">
        <f>SUMIFS(Despesas!$F:$F,Despesas!$J:$J,"&lt;="&amp;$A860,Despesas!$L:$L,"&gt;="&amp;$A860,Despesas!$C:$C,G$1,Despesas!$M:$M,"Mensal")+SUMIFS(Despesas!$F:$F,Despesas!$J:$J,"&lt;="&amp;$A860,Despesas!$L:$L,"&gt;="&amp;$A860,Despesas!$C:$C,G$1,Despesas!$M:$M,$B860)</f>
        <v>0</v>
      </c>
      <c r="H860" s="18">
        <f>SUMIFS(Despesas!$F:$F,Despesas!$J:$J,"&lt;="&amp;$A860,Despesas!$L:$L,"&gt;="&amp;$A860,Despesas!$C:$C,H$1,Despesas!$M:$M,"Mensal")+SUMIFS(Despesas!$F:$F,Despesas!$J:$J,"&lt;="&amp;$A860,Despesas!$L:$L,"&gt;="&amp;$A860,Despesas!$C:$C,H$1,Despesas!$M:$M,$B860)</f>
        <v>0</v>
      </c>
      <c r="I860" s="18">
        <f>IF(Imóveis!$F$2="PRICE",IF(AND(Dados!$A860&gt;=Imóveis!$Q$2,Dados!$A860&lt;=Imóveis!$T$2),Imóveis!$U$2,0),IF((IF(AND(Dados!$A860&gt;=Imóveis!$Q$2,Dados!$A860&lt;=Imóveis!$T$2),Imóveis!$S$2-(DATEDIF(Imóveis!$Q$2,Dados!$A860,"m")),0))=0,0,((Imóveis!$N$2/Imóveis!$S$2)+((Imóveis!$N$2-((Imóveis!$S$2-(IF(AND(Dados!$A860&gt;=Imóveis!$Q$2,Dados!$A860&lt;=Imóveis!$T$2),Imóveis!$S$2-(DATEDIF(Imóveis!$Q$2,Dados!$A860,"m")),)))*(Imóveis!$N$2/Imóveis!$S$2)))*Imóveis!$P$2))))*IF(AND(Imóveis!$E$2&gt;0,Dados!$A860&gt;Imóveis!$E$2),0,1)</f>
        <v>0</v>
      </c>
      <c r="J860" s="18">
        <f>IF(Imóveis!$F$3="PRICE",IF(AND(Dados!$A860&gt;=Imóveis!$Q$3,Dados!$A860&lt;=Imóveis!$T$3),Imóveis!$U$3,0),IF((IF(AND(Dados!$A860&gt;=Imóveis!$Q$3,Dados!$A860&lt;=Imóveis!$T$3),Imóveis!$S$3-(DATEDIF(Imóveis!$Q$3,Dados!$A860,"m")),0))=0,0,((Imóveis!$N$3/Imóveis!$S$3)+((Imóveis!$N$3-((Imóveis!$S$3-(IF(AND(Dados!$A860&gt;=Imóveis!$Q$3,Dados!$A860&lt;=Imóveis!$T$3),Imóveis!$S$3-(DATEDIF(Imóveis!$Q$3,Dados!$A860,"m")),)))*(Imóveis!$N$3/Imóveis!$S$3)))*Imóveis!$P$3))))*IF(AND(Imóveis!$E$3&gt;0,Dados!$A860&gt;Imóveis!$E$3),0,1)</f>
        <v>0</v>
      </c>
      <c r="K860" s="18">
        <f>IF(Imóveis!$F$4="PRICE",IF(AND(Dados!$A860&gt;=Imóveis!$Q$4,Dados!$A860&lt;=Imóveis!$T$4),Imóveis!$U$4,0),IF((IF(AND(Dados!$A860&gt;=Imóveis!$Q$4,Dados!$A860&lt;=Imóveis!$T$4),Imóveis!$S$4-(DATEDIF(Imóveis!$Q$4,Dados!$A860,"m")),0))=0,0,((Imóveis!$N$4/Imóveis!$S$4)+((Imóveis!$N$4-((Imóveis!$S$4-(IF(AND(Dados!$A860&gt;=Imóveis!$Q$4,Dados!$A860&lt;=Imóveis!$T$4),Imóveis!$S$4-(DATEDIF(Imóveis!$Q$4,Dados!$A860,"m")),)))*(Imóveis!$N$4/Imóveis!$S$4)))*Imóveis!$P$4))))*IF(AND(Imóveis!$E$4&gt;0,Dados!$A860&gt;Imóveis!$E$4),0,1)</f>
        <v>0</v>
      </c>
      <c r="L860" s="18">
        <f>IF(Imóveis!$F$5="PRICE",IF(AND(Dados!$A860&gt;=Imóveis!$Q$5,Dados!$A860&lt;=Imóveis!$T$5),Imóveis!$U$5,0),IF((IF(AND(Dados!$A860&gt;=Imóveis!$Q$5,Dados!$A860&lt;=Imóveis!$T$5),Imóveis!$S$5-(DATEDIF(Imóveis!$Q$5,Dados!$A860,"m")),0))=0,0,((Imóveis!$N$5/Imóveis!$S$5)+((Imóveis!$N$5-((Imóveis!$S$5-(IF(AND(Dados!$A860 &gt;=Imóveis!$Q$5,Dados!$A860&lt;=Imóveis!$T$5),Imóveis!$S$5-(DATEDIF(Imóveis!$Q$5,Dados!$A860,"m")),)))*(Imóveis!$N$5/Imóveis!$S$5)))*Imóveis!$P$5))))*IF(AND(Imóveis!$E$5&gt;0,Dados!$A860&gt;Imóveis!$E$5),0,1)*Imóveis!$I$5</f>
        <v>0</v>
      </c>
      <c r="M860" s="18">
        <f>IF(Imóveis!$F$6="PRICE",IF(AND(Dados!$A860&gt;=Imóveis!$Q$6,Dados!$A860&lt;=Imóveis!$T$6),Imóveis!$U$6,0),IF((IF(AND(Dados!$A860&gt;=Imóveis!$Q$6,Dados!$A860&lt;=Imóveis!$T$6),Imóveis!$S$6-(DATEDIF(Imóveis!$Q$6,Dados!$A860,"m")),0))=0,0,((Imóveis!$N$6/Imóveis!$S$6)+((Imóveis!$N$6-((Imóveis!$S$6-(IF(AND(Dados!$A860&gt;=Imóveis!$Q$6,Dados!$A860&lt;=Imóveis!$T$6),Imóveis!$S$6-(DATEDIF(Imóveis!$Q$6,Dados!$A860,"m")),)))*(Imóveis!$N$6/Imóveis!$S$6)))*Imóveis!$P$6))))*IF(AND(Imóveis!$E$6&gt;0,Dados!$A860&gt;Imóveis!$E$6),0,1)*Imóveis!$I$6</f>
        <v>0</v>
      </c>
      <c r="N860" s="18">
        <f t="shared" si="109"/>
        <v>0</v>
      </c>
      <c r="O860" s="18">
        <f>SUMIFS(Receitas!$F:$F,Receitas!$J:$J,"&lt;="&amp;$A860,Receitas!$L:$L,"&gt;="&amp;$A860,Receitas!$C:$C,O$1,Receitas!$M:$M,"Mensal")+SUMIFS(Receitas!$F:$F,Receitas!$J:$J,"&lt;="&amp;$A860,Receitas!$L:$L,"&gt;="&amp;$A860,Receitas!$C:$C,O$1,Receitas!$M:$M,$B860)</f>
        <v>0</v>
      </c>
      <c r="P860" s="18">
        <f>SUMIFS(Receitas!$F:$F,Receitas!$J:$J,"&lt;="&amp;$A860,Receitas!$L:$L,"&gt;="&amp;$A860,Receitas!$C:$C,P$1,Receitas!$M:$M,"Mensal")+SUMIFS(Receitas!$F:$F,Receitas!$J:$J,"&lt;="&amp;$A860,Receitas!$L:$L,"&gt;="&amp;$A860,Receitas!$C:$C,P$1,Receitas!$M:$M,$B860)</f>
        <v>0</v>
      </c>
      <c r="Q860" s="18">
        <f>SUMIFS(Receitas!$F:$F,Receitas!$J:$J,"&lt;="&amp;$A860,Receitas!$L:$L,"&gt;="&amp;$A860,Receitas!$C:$C,Q$1,Receitas!$M:$M,"Mensal")+SUMIFS(Receitas!$F:$F,Receitas!$J:$J,"&lt;="&amp;$A860,Receitas!$L:$L,"&gt;="&amp;$A860,Receitas!$C:$C,Q$1,Receitas!$M:$M,$B860)</f>
        <v>0</v>
      </c>
      <c r="R860" s="18" cm="1">
        <f t="array" ref="R860">(IF(AND(Membros!$F$2="Sim",A860&lt;=MAX(Membros!$E$2:$E$5)),Membros!K$2,IF(AND(A860&gt;=Membros!J$2,A860&lt;=MAX(Membros!$E$2:$E$5)),Membros!K$2,0))+IF(AND(Membros!$F$3="Sim",A860&lt;=MAX(Membros!$E$2:$E$5)),Membros!K$3,IF(AND(A860&gt;=Membros!J$3,A860&lt;=MAX(Membros!$E$2:$E$5)),Membros!K$3,0)))*IF(AND(COUNTIFS(Tabela3[Tipo],"Provedor",Tabela3[Simulação Seguro],"Sim")=2,A860&gt;=MAX(IF(Tabela3[Tipo]="Dependente",Tabela3[Expectativa de Vida (Data)]))),0,1)</f>
        <v>0</v>
      </c>
      <c r="S860" s="18">
        <f t="shared" si="110"/>
        <v>0</v>
      </c>
      <c r="U860" s="18">
        <f t="shared" ca="1" si="113"/>
        <v>78084578.49770622</v>
      </c>
      <c r="V860" s="18">
        <f>SUMIF(Imóveis!E:E,Dados!A:A,Imóveis!Z:Z)-SUMIF(Imóveis!E:E,Dados!A:A,Imóveis!Y:Y)</f>
        <v>0</v>
      </c>
      <c r="W860" s="18">
        <f>-SUMIF(Projetos!N:N,A860,Projetos!F:F)</f>
        <v>0</v>
      </c>
      <c r="X860" s="18">
        <f t="shared" si="107"/>
        <v>0</v>
      </c>
      <c r="Y860" s="26">
        <f ca="1">(U860*((Indicadores_Economicos!D$2+1)^(1/12)-1))</f>
        <v>255628.59100417481</v>
      </c>
      <c r="Z860" s="18">
        <f t="shared" ca="1" si="111"/>
        <v>78340207.088710397</v>
      </c>
      <c r="AA860" s="18">
        <f ca="1">Auxiliar_Projetos!E860</f>
        <v>6.4577225406585235E-9</v>
      </c>
      <c r="AB860" s="18">
        <f ca="1">Auxiliar_Projetos!K860</f>
        <v>4.9674788774296271E-9</v>
      </c>
      <c r="AC860" s="18">
        <f ca="1">IF(Z860-AA860-AB860&gt;Investimentos!$C$14,Investimentos!$C$14,IF(Z860-AA860-AB860&lt;Investimentos!$C$14,Z860-AA860-AB860,0))</f>
        <v>300000</v>
      </c>
      <c r="AD860" s="18">
        <f t="shared" ca="1" si="112"/>
        <v>78040207.088710397</v>
      </c>
      <c r="AE860" s="18"/>
    </row>
    <row r="861" spans="1:33" x14ac:dyDescent="0.2">
      <c r="A861" s="4">
        <v>71803</v>
      </c>
      <c r="B861" s="5" t="str">
        <f t="shared" si="108"/>
        <v>agosto</v>
      </c>
      <c r="C861" s="5" t="str">
        <f t="shared" si="114"/>
        <v>2096</v>
      </c>
      <c r="D861" s="5">
        <f>SUMIFS(Despesas!$F:$F,Despesas!$J:$J,"&lt;="&amp;$A861,Despesas!$L:$L,"&gt;="&amp;$A861,Despesas!$C:$C,D$1,Despesas!$M:$M,"Mensal")+SUMIFS(Despesas!$F:$F,Despesas!$J:$J,"&lt;="&amp;$A861,Despesas!$L:$L,"&gt;="&amp;$A861,Despesas!$C:$C,D$1,Despesas!$M:$M,$B861)</f>
        <v>0</v>
      </c>
      <c r="E861" s="18">
        <f>SUMIFS(Despesas!$F:$F,Despesas!$J:$J,"&lt;="&amp;$A861,Despesas!$L:$L,"&gt;="&amp;$A861,Despesas!$C:$C,E$1,Despesas!$M:$M,"Mensal")+SUMIFS(Despesas!$F:$F,Despesas!$J:$J,"&lt;="&amp;$A861,Despesas!$L:$L,"&gt;="&amp;$A861,Despesas!$C:$C,E$1,Despesas!$M:$M,$B861)</f>
        <v>0</v>
      </c>
      <c r="F861" s="5">
        <f>SUMIFS(Despesas!$F:$F,Despesas!$J:$J,"&lt;="&amp;$A861,Despesas!$L:$L,"&gt;="&amp;$A861,Despesas!$C:$C,F$1,Despesas!$M:$M,"Mensal")+SUMIFS(Despesas!$F:$F,Despesas!$J:$J,"&lt;="&amp;$A861,Despesas!$L:$L,"&gt;="&amp;$A861,Despesas!$C:$C,F$1,Despesas!$M:$M,$B861)</f>
        <v>0</v>
      </c>
      <c r="G861" s="5">
        <f>SUMIFS(Despesas!$F:$F,Despesas!$J:$J,"&lt;="&amp;$A861,Despesas!$L:$L,"&gt;="&amp;$A861,Despesas!$C:$C,G$1,Despesas!$M:$M,"Mensal")+SUMIFS(Despesas!$F:$F,Despesas!$J:$J,"&lt;="&amp;$A861,Despesas!$L:$L,"&gt;="&amp;$A861,Despesas!$C:$C,G$1,Despesas!$M:$M,$B861)</f>
        <v>0</v>
      </c>
      <c r="H861" s="18">
        <f>SUMIFS(Despesas!$F:$F,Despesas!$J:$J,"&lt;="&amp;$A861,Despesas!$L:$L,"&gt;="&amp;$A861,Despesas!$C:$C,H$1,Despesas!$M:$M,"Mensal")+SUMIFS(Despesas!$F:$F,Despesas!$J:$J,"&lt;="&amp;$A861,Despesas!$L:$L,"&gt;="&amp;$A861,Despesas!$C:$C,H$1,Despesas!$M:$M,$B861)</f>
        <v>0</v>
      </c>
      <c r="I861" s="18">
        <f>IF(Imóveis!$F$2="PRICE",IF(AND(Dados!$A861&gt;=Imóveis!$Q$2,Dados!$A861&lt;=Imóveis!$T$2),Imóveis!$U$2,0),IF((IF(AND(Dados!$A861&gt;=Imóveis!$Q$2,Dados!$A861&lt;=Imóveis!$T$2),Imóveis!$S$2-(DATEDIF(Imóveis!$Q$2,Dados!$A861,"m")),0))=0,0,((Imóveis!$N$2/Imóveis!$S$2)+((Imóveis!$N$2-((Imóveis!$S$2-(IF(AND(Dados!$A861&gt;=Imóveis!$Q$2,Dados!$A861&lt;=Imóveis!$T$2),Imóveis!$S$2-(DATEDIF(Imóveis!$Q$2,Dados!$A861,"m")),)))*(Imóveis!$N$2/Imóveis!$S$2)))*Imóveis!$P$2))))*IF(AND(Imóveis!$E$2&gt;0,Dados!$A861&gt;Imóveis!$E$2),0,1)</f>
        <v>0</v>
      </c>
      <c r="J861" s="18">
        <f>IF(Imóveis!$F$3="PRICE",IF(AND(Dados!$A861&gt;=Imóveis!$Q$3,Dados!$A861&lt;=Imóveis!$T$3),Imóveis!$U$3,0),IF((IF(AND(Dados!$A861&gt;=Imóveis!$Q$3,Dados!$A861&lt;=Imóveis!$T$3),Imóveis!$S$3-(DATEDIF(Imóveis!$Q$3,Dados!$A861,"m")),0))=0,0,((Imóveis!$N$3/Imóveis!$S$3)+((Imóveis!$N$3-((Imóveis!$S$3-(IF(AND(Dados!$A861&gt;=Imóveis!$Q$3,Dados!$A861&lt;=Imóveis!$T$3),Imóveis!$S$3-(DATEDIF(Imóveis!$Q$3,Dados!$A861,"m")),)))*(Imóveis!$N$3/Imóveis!$S$3)))*Imóveis!$P$3))))*IF(AND(Imóveis!$E$3&gt;0,Dados!$A861&gt;Imóveis!$E$3),0,1)</f>
        <v>0</v>
      </c>
      <c r="K861" s="18">
        <f>IF(Imóveis!$F$4="PRICE",IF(AND(Dados!$A861&gt;=Imóveis!$Q$4,Dados!$A861&lt;=Imóveis!$T$4),Imóveis!$U$4,0),IF((IF(AND(Dados!$A861&gt;=Imóveis!$Q$4,Dados!$A861&lt;=Imóveis!$T$4),Imóveis!$S$4-(DATEDIF(Imóveis!$Q$4,Dados!$A861,"m")),0))=0,0,((Imóveis!$N$4/Imóveis!$S$4)+((Imóveis!$N$4-((Imóveis!$S$4-(IF(AND(Dados!$A861&gt;=Imóveis!$Q$4,Dados!$A861&lt;=Imóveis!$T$4),Imóveis!$S$4-(DATEDIF(Imóveis!$Q$4,Dados!$A861,"m")),)))*(Imóveis!$N$4/Imóveis!$S$4)))*Imóveis!$P$4))))*IF(AND(Imóveis!$E$4&gt;0,Dados!$A861&gt;Imóveis!$E$4),0,1)</f>
        <v>0</v>
      </c>
      <c r="L861" s="18">
        <f>IF(Imóveis!$F$5="PRICE",IF(AND(Dados!$A861&gt;=Imóveis!$Q$5,Dados!$A861&lt;=Imóveis!$T$5),Imóveis!$U$5,0),IF((IF(AND(Dados!$A861&gt;=Imóveis!$Q$5,Dados!$A861&lt;=Imóveis!$T$5),Imóveis!$S$5-(DATEDIF(Imóveis!$Q$5,Dados!$A861,"m")),0))=0,0,((Imóveis!$N$5/Imóveis!$S$5)+((Imóveis!$N$5-((Imóveis!$S$5-(IF(AND(Dados!$A861 &gt;=Imóveis!$Q$5,Dados!$A861&lt;=Imóveis!$T$5),Imóveis!$S$5-(DATEDIF(Imóveis!$Q$5,Dados!$A861,"m")),)))*(Imóveis!$N$5/Imóveis!$S$5)))*Imóveis!$P$5))))*IF(AND(Imóveis!$E$5&gt;0,Dados!$A861&gt;Imóveis!$E$5),0,1)*Imóveis!$I$5</f>
        <v>0</v>
      </c>
      <c r="M861" s="18">
        <f>IF(Imóveis!$F$6="PRICE",IF(AND(Dados!$A861&gt;=Imóveis!$Q$6,Dados!$A861&lt;=Imóveis!$T$6),Imóveis!$U$6,0),IF((IF(AND(Dados!$A861&gt;=Imóveis!$Q$6,Dados!$A861&lt;=Imóveis!$T$6),Imóveis!$S$6-(DATEDIF(Imóveis!$Q$6,Dados!$A861,"m")),0))=0,0,((Imóveis!$N$6/Imóveis!$S$6)+((Imóveis!$N$6-((Imóveis!$S$6-(IF(AND(Dados!$A861&gt;=Imóveis!$Q$6,Dados!$A861&lt;=Imóveis!$T$6),Imóveis!$S$6-(DATEDIF(Imóveis!$Q$6,Dados!$A861,"m")),)))*(Imóveis!$N$6/Imóveis!$S$6)))*Imóveis!$P$6))))*IF(AND(Imóveis!$E$6&gt;0,Dados!$A861&gt;Imóveis!$E$6),0,1)*Imóveis!$I$6</f>
        <v>0</v>
      </c>
      <c r="N861" s="18">
        <f t="shared" si="109"/>
        <v>0</v>
      </c>
      <c r="O861" s="18">
        <f>SUMIFS(Receitas!$F:$F,Receitas!$J:$J,"&lt;="&amp;$A861,Receitas!$L:$L,"&gt;="&amp;$A861,Receitas!$C:$C,O$1,Receitas!$M:$M,"Mensal")+SUMIFS(Receitas!$F:$F,Receitas!$J:$J,"&lt;="&amp;$A861,Receitas!$L:$L,"&gt;="&amp;$A861,Receitas!$C:$C,O$1,Receitas!$M:$M,$B861)</f>
        <v>0</v>
      </c>
      <c r="P861" s="18">
        <f>SUMIFS(Receitas!$F:$F,Receitas!$J:$J,"&lt;="&amp;$A861,Receitas!$L:$L,"&gt;="&amp;$A861,Receitas!$C:$C,P$1,Receitas!$M:$M,"Mensal")+SUMIFS(Receitas!$F:$F,Receitas!$J:$J,"&lt;="&amp;$A861,Receitas!$L:$L,"&gt;="&amp;$A861,Receitas!$C:$C,P$1,Receitas!$M:$M,$B861)</f>
        <v>0</v>
      </c>
      <c r="Q861" s="18">
        <f>SUMIFS(Receitas!$F:$F,Receitas!$J:$J,"&lt;="&amp;$A861,Receitas!$L:$L,"&gt;="&amp;$A861,Receitas!$C:$C,Q$1,Receitas!$M:$M,"Mensal")+SUMIFS(Receitas!$F:$F,Receitas!$J:$J,"&lt;="&amp;$A861,Receitas!$L:$L,"&gt;="&amp;$A861,Receitas!$C:$C,Q$1,Receitas!$M:$M,$B861)</f>
        <v>0</v>
      </c>
      <c r="R861" s="18" cm="1">
        <f t="array" ref="R861">(IF(AND(Membros!$F$2="Sim",A861&lt;=MAX(Membros!$E$2:$E$5)),Membros!K$2,IF(AND(A861&gt;=Membros!J$2,A861&lt;=MAX(Membros!$E$2:$E$5)),Membros!K$2,0))+IF(AND(Membros!$F$3="Sim",A861&lt;=MAX(Membros!$E$2:$E$5)),Membros!K$3,IF(AND(A861&gt;=Membros!J$3,A861&lt;=MAX(Membros!$E$2:$E$5)),Membros!K$3,0)))*IF(AND(COUNTIFS(Tabela3[Tipo],"Provedor",Tabela3[Simulação Seguro],"Sim")=2,A861&gt;=MAX(IF(Tabela3[Tipo]="Dependente",Tabela3[Expectativa de Vida (Data)]))),0,1)</f>
        <v>0</v>
      </c>
      <c r="S861" s="18">
        <f t="shared" si="110"/>
        <v>0</v>
      </c>
      <c r="U861" s="18">
        <f t="shared" ca="1" si="113"/>
        <v>78340207.088710397</v>
      </c>
      <c r="V861" s="18">
        <f>SUMIF(Imóveis!E:E,Dados!A:A,Imóveis!Z:Z)-SUMIF(Imóveis!E:E,Dados!A:A,Imóveis!Y:Y)</f>
        <v>0</v>
      </c>
      <c r="W861" s="18">
        <f>-SUMIF(Projetos!N:N,A861,Projetos!F:F)</f>
        <v>0</v>
      </c>
      <c r="X861" s="18">
        <f t="shared" si="107"/>
        <v>0</v>
      </c>
      <c r="Y861" s="26">
        <f ca="1">(U861*((Indicadores_Economicos!D$2+1)^(1/12)-1))</f>
        <v>256465.45249201264</v>
      </c>
      <c r="Z861" s="18">
        <f t="shared" ca="1" si="111"/>
        <v>78596672.541202411</v>
      </c>
      <c r="AA861" s="18">
        <f ca="1">Auxiliar_Projetos!E861</f>
        <v>6.4788634438422797E-9</v>
      </c>
      <c r="AB861" s="18">
        <f ca="1">Auxiliar_Projetos!K861</f>
        <v>4.983741110647901E-9</v>
      </c>
      <c r="AC861" s="18">
        <f ca="1">IF(Z861-AA861-AB861&gt;Investimentos!$C$14,Investimentos!$C$14,IF(Z861-AA861-AB861&lt;Investimentos!$C$14,Z861-AA861-AB861,0))</f>
        <v>300000</v>
      </c>
      <c r="AD861" s="18">
        <f t="shared" ca="1" si="112"/>
        <v>78296672.541202411</v>
      </c>
      <c r="AE861" s="18"/>
    </row>
    <row r="862" spans="1:33" x14ac:dyDescent="0.2">
      <c r="A862" s="4">
        <v>71834</v>
      </c>
      <c r="B862" s="5" t="str">
        <f t="shared" si="108"/>
        <v>setembro</v>
      </c>
      <c r="C862" s="5" t="str">
        <f t="shared" si="114"/>
        <v>2096</v>
      </c>
      <c r="D862" s="5">
        <f>SUMIFS(Despesas!$F:$F,Despesas!$J:$J,"&lt;="&amp;$A862,Despesas!$L:$L,"&gt;="&amp;$A862,Despesas!$C:$C,D$1,Despesas!$M:$M,"Mensal")+SUMIFS(Despesas!$F:$F,Despesas!$J:$J,"&lt;="&amp;$A862,Despesas!$L:$L,"&gt;="&amp;$A862,Despesas!$C:$C,D$1,Despesas!$M:$M,$B862)</f>
        <v>0</v>
      </c>
      <c r="E862" s="18">
        <f>SUMIFS(Despesas!$F:$F,Despesas!$J:$J,"&lt;="&amp;$A862,Despesas!$L:$L,"&gt;="&amp;$A862,Despesas!$C:$C,E$1,Despesas!$M:$M,"Mensal")+SUMIFS(Despesas!$F:$F,Despesas!$J:$J,"&lt;="&amp;$A862,Despesas!$L:$L,"&gt;="&amp;$A862,Despesas!$C:$C,E$1,Despesas!$M:$M,$B862)</f>
        <v>0</v>
      </c>
      <c r="F862" s="5">
        <f>SUMIFS(Despesas!$F:$F,Despesas!$J:$J,"&lt;="&amp;$A862,Despesas!$L:$L,"&gt;="&amp;$A862,Despesas!$C:$C,F$1,Despesas!$M:$M,"Mensal")+SUMIFS(Despesas!$F:$F,Despesas!$J:$J,"&lt;="&amp;$A862,Despesas!$L:$L,"&gt;="&amp;$A862,Despesas!$C:$C,F$1,Despesas!$M:$M,$B862)</f>
        <v>0</v>
      </c>
      <c r="G862" s="5">
        <f>SUMIFS(Despesas!$F:$F,Despesas!$J:$J,"&lt;="&amp;$A862,Despesas!$L:$L,"&gt;="&amp;$A862,Despesas!$C:$C,G$1,Despesas!$M:$M,"Mensal")+SUMIFS(Despesas!$F:$F,Despesas!$J:$J,"&lt;="&amp;$A862,Despesas!$L:$L,"&gt;="&amp;$A862,Despesas!$C:$C,G$1,Despesas!$M:$M,$B862)</f>
        <v>0</v>
      </c>
      <c r="H862" s="18">
        <f>SUMIFS(Despesas!$F:$F,Despesas!$J:$J,"&lt;="&amp;$A862,Despesas!$L:$L,"&gt;="&amp;$A862,Despesas!$C:$C,H$1,Despesas!$M:$M,"Mensal")+SUMIFS(Despesas!$F:$F,Despesas!$J:$J,"&lt;="&amp;$A862,Despesas!$L:$L,"&gt;="&amp;$A862,Despesas!$C:$C,H$1,Despesas!$M:$M,$B862)</f>
        <v>0</v>
      </c>
      <c r="I862" s="18">
        <f>IF(Imóveis!$F$2="PRICE",IF(AND(Dados!$A862&gt;=Imóveis!$Q$2,Dados!$A862&lt;=Imóveis!$T$2),Imóveis!$U$2,0),IF((IF(AND(Dados!$A862&gt;=Imóveis!$Q$2,Dados!$A862&lt;=Imóveis!$T$2),Imóveis!$S$2-(DATEDIF(Imóveis!$Q$2,Dados!$A862,"m")),0))=0,0,((Imóveis!$N$2/Imóveis!$S$2)+((Imóveis!$N$2-((Imóveis!$S$2-(IF(AND(Dados!$A862&gt;=Imóveis!$Q$2,Dados!$A862&lt;=Imóveis!$T$2),Imóveis!$S$2-(DATEDIF(Imóveis!$Q$2,Dados!$A862,"m")),)))*(Imóveis!$N$2/Imóveis!$S$2)))*Imóveis!$P$2))))*IF(AND(Imóveis!$E$2&gt;0,Dados!$A862&gt;Imóveis!$E$2),0,1)</f>
        <v>0</v>
      </c>
      <c r="J862" s="18">
        <f>IF(Imóveis!$F$3="PRICE",IF(AND(Dados!$A862&gt;=Imóveis!$Q$3,Dados!$A862&lt;=Imóveis!$T$3),Imóveis!$U$3,0),IF((IF(AND(Dados!$A862&gt;=Imóveis!$Q$3,Dados!$A862&lt;=Imóveis!$T$3),Imóveis!$S$3-(DATEDIF(Imóveis!$Q$3,Dados!$A862,"m")),0))=0,0,((Imóveis!$N$3/Imóveis!$S$3)+((Imóveis!$N$3-((Imóveis!$S$3-(IF(AND(Dados!$A862&gt;=Imóveis!$Q$3,Dados!$A862&lt;=Imóveis!$T$3),Imóveis!$S$3-(DATEDIF(Imóveis!$Q$3,Dados!$A862,"m")),)))*(Imóveis!$N$3/Imóveis!$S$3)))*Imóveis!$P$3))))*IF(AND(Imóveis!$E$3&gt;0,Dados!$A862&gt;Imóveis!$E$3),0,1)</f>
        <v>0</v>
      </c>
      <c r="K862" s="18">
        <f>IF(Imóveis!$F$4="PRICE",IF(AND(Dados!$A862&gt;=Imóveis!$Q$4,Dados!$A862&lt;=Imóveis!$T$4),Imóveis!$U$4,0),IF((IF(AND(Dados!$A862&gt;=Imóveis!$Q$4,Dados!$A862&lt;=Imóveis!$T$4),Imóveis!$S$4-(DATEDIF(Imóveis!$Q$4,Dados!$A862,"m")),0))=0,0,((Imóveis!$N$4/Imóveis!$S$4)+((Imóveis!$N$4-((Imóveis!$S$4-(IF(AND(Dados!$A862&gt;=Imóveis!$Q$4,Dados!$A862&lt;=Imóveis!$T$4),Imóveis!$S$4-(DATEDIF(Imóveis!$Q$4,Dados!$A862,"m")),)))*(Imóveis!$N$4/Imóveis!$S$4)))*Imóveis!$P$4))))*IF(AND(Imóveis!$E$4&gt;0,Dados!$A862&gt;Imóveis!$E$4),0,1)</f>
        <v>0</v>
      </c>
      <c r="L862" s="18">
        <f>IF(Imóveis!$F$5="PRICE",IF(AND(Dados!$A862&gt;=Imóveis!$Q$5,Dados!$A862&lt;=Imóveis!$T$5),Imóveis!$U$5,0),IF((IF(AND(Dados!$A862&gt;=Imóveis!$Q$5,Dados!$A862&lt;=Imóveis!$T$5),Imóveis!$S$5-(DATEDIF(Imóveis!$Q$5,Dados!$A862,"m")),0))=0,0,((Imóveis!$N$5/Imóveis!$S$5)+((Imóveis!$N$5-((Imóveis!$S$5-(IF(AND(Dados!$A862 &gt;=Imóveis!$Q$5,Dados!$A862&lt;=Imóveis!$T$5),Imóveis!$S$5-(DATEDIF(Imóveis!$Q$5,Dados!$A862,"m")),)))*(Imóveis!$N$5/Imóveis!$S$5)))*Imóveis!$P$5))))*IF(AND(Imóveis!$E$5&gt;0,Dados!$A862&gt;Imóveis!$E$5),0,1)*Imóveis!$I$5</f>
        <v>0</v>
      </c>
      <c r="M862" s="18">
        <f>IF(Imóveis!$F$6="PRICE",IF(AND(Dados!$A862&gt;=Imóveis!$Q$6,Dados!$A862&lt;=Imóveis!$T$6),Imóveis!$U$6,0),IF((IF(AND(Dados!$A862&gt;=Imóveis!$Q$6,Dados!$A862&lt;=Imóveis!$T$6),Imóveis!$S$6-(DATEDIF(Imóveis!$Q$6,Dados!$A862,"m")),0))=0,0,((Imóveis!$N$6/Imóveis!$S$6)+((Imóveis!$N$6-((Imóveis!$S$6-(IF(AND(Dados!$A862&gt;=Imóveis!$Q$6,Dados!$A862&lt;=Imóveis!$T$6),Imóveis!$S$6-(DATEDIF(Imóveis!$Q$6,Dados!$A862,"m")),)))*(Imóveis!$N$6/Imóveis!$S$6)))*Imóveis!$P$6))))*IF(AND(Imóveis!$E$6&gt;0,Dados!$A862&gt;Imóveis!$E$6),0,1)*Imóveis!$I$6</f>
        <v>0</v>
      </c>
      <c r="N862" s="18">
        <f t="shared" si="109"/>
        <v>0</v>
      </c>
      <c r="O862" s="18">
        <f>SUMIFS(Receitas!$F:$F,Receitas!$J:$J,"&lt;="&amp;$A862,Receitas!$L:$L,"&gt;="&amp;$A862,Receitas!$C:$C,O$1,Receitas!$M:$M,"Mensal")+SUMIFS(Receitas!$F:$F,Receitas!$J:$J,"&lt;="&amp;$A862,Receitas!$L:$L,"&gt;="&amp;$A862,Receitas!$C:$C,O$1,Receitas!$M:$M,$B862)</f>
        <v>0</v>
      </c>
      <c r="P862" s="18">
        <f>SUMIFS(Receitas!$F:$F,Receitas!$J:$J,"&lt;="&amp;$A862,Receitas!$L:$L,"&gt;="&amp;$A862,Receitas!$C:$C,P$1,Receitas!$M:$M,"Mensal")+SUMIFS(Receitas!$F:$F,Receitas!$J:$J,"&lt;="&amp;$A862,Receitas!$L:$L,"&gt;="&amp;$A862,Receitas!$C:$C,P$1,Receitas!$M:$M,$B862)</f>
        <v>0</v>
      </c>
      <c r="Q862" s="18">
        <f>SUMIFS(Receitas!$F:$F,Receitas!$J:$J,"&lt;="&amp;$A862,Receitas!$L:$L,"&gt;="&amp;$A862,Receitas!$C:$C,Q$1,Receitas!$M:$M,"Mensal")+SUMIFS(Receitas!$F:$F,Receitas!$J:$J,"&lt;="&amp;$A862,Receitas!$L:$L,"&gt;="&amp;$A862,Receitas!$C:$C,Q$1,Receitas!$M:$M,$B862)</f>
        <v>0</v>
      </c>
      <c r="R862" s="18" cm="1">
        <f t="array" ref="R862">(IF(AND(Membros!$F$2="Sim",A862&lt;=MAX(Membros!$E$2:$E$5)),Membros!K$2,IF(AND(A862&gt;=Membros!J$2,A862&lt;=MAX(Membros!$E$2:$E$5)),Membros!K$2,0))+IF(AND(Membros!$F$3="Sim",A862&lt;=MAX(Membros!$E$2:$E$5)),Membros!K$3,IF(AND(A862&gt;=Membros!J$3,A862&lt;=MAX(Membros!$E$2:$E$5)),Membros!K$3,0)))*IF(AND(COUNTIFS(Tabela3[Tipo],"Provedor",Tabela3[Simulação Seguro],"Sim")=2,A862&gt;=MAX(IF(Tabela3[Tipo]="Dependente",Tabela3[Expectativa de Vida (Data)]))),0,1)</f>
        <v>0</v>
      </c>
      <c r="S862" s="18">
        <f t="shared" si="110"/>
        <v>0</v>
      </c>
      <c r="U862" s="18">
        <f t="shared" ca="1" si="113"/>
        <v>78596672.541202411</v>
      </c>
      <c r="V862" s="18">
        <f>SUMIF(Imóveis!E:E,Dados!A:A,Imóveis!Z:Z)-SUMIF(Imóveis!E:E,Dados!A:A,Imóveis!Y:Y)</f>
        <v>0</v>
      </c>
      <c r="W862" s="18">
        <f>-SUMIF(Projetos!N:N,A862,Projetos!F:F)</f>
        <v>0</v>
      </c>
      <c r="X862" s="18">
        <f t="shared" si="107"/>
        <v>0</v>
      </c>
      <c r="Y862" s="26">
        <f ca="1">(U862*((Indicadores_Economicos!D$2+1)^(1/12)-1))</f>
        <v>257305.05364659539</v>
      </c>
      <c r="Z862" s="18">
        <f t="shared" ca="1" si="111"/>
        <v>78853977.594849005</v>
      </c>
      <c r="AA862" s="18">
        <f ca="1">Auxiliar_Projetos!E862</f>
        <v>6.5000735568418207E-9</v>
      </c>
      <c r="AB862" s="18">
        <f ca="1">Auxiliar_Projetos!K862</f>
        <v>5.0000565821860095E-9</v>
      </c>
      <c r="AC862" s="18">
        <f ca="1">IF(Z862-AA862-AB862&gt;Investimentos!$C$14,Investimentos!$C$14,IF(Z862-AA862-AB862&lt;Investimentos!$C$14,Z862-AA862-AB862,0))</f>
        <v>300000</v>
      </c>
      <c r="AD862" s="18">
        <f t="shared" ca="1" si="112"/>
        <v>78553977.594849005</v>
      </c>
      <c r="AE862" s="18"/>
    </row>
    <row r="863" spans="1:33" x14ac:dyDescent="0.2">
      <c r="A863" s="4">
        <v>71864</v>
      </c>
      <c r="B863" s="5" t="str">
        <f t="shared" si="108"/>
        <v>outubro</v>
      </c>
      <c r="C863" s="5" t="str">
        <f t="shared" si="114"/>
        <v>2096</v>
      </c>
      <c r="D863" s="5">
        <f>SUMIFS(Despesas!$F:$F,Despesas!$J:$J,"&lt;="&amp;$A863,Despesas!$L:$L,"&gt;="&amp;$A863,Despesas!$C:$C,D$1,Despesas!$M:$M,"Mensal")+SUMIFS(Despesas!$F:$F,Despesas!$J:$J,"&lt;="&amp;$A863,Despesas!$L:$L,"&gt;="&amp;$A863,Despesas!$C:$C,D$1,Despesas!$M:$M,$B863)</f>
        <v>0</v>
      </c>
      <c r="E863" s="18">
        <f>SUMIFS(Despesas!$F:$F,Despesas!$J:$J,"&lt;="&amp;$A863,Despesas!$L:$L,"&gt;="&amp;$A863,Despesas!$C:$C,E$1,Despesas!$M:$M,"Mensal")+SUMIFS(Despesas!$F:$F,Despesas!$J:$J,"&lt;="&amp;$A863,Despesas!$L:$L,"&gt;="&amp;$A863,Despesas!$C:$C,E$1,Despesas!$M:$M,$B863)</f>
        <v>0</v>
      </c>
      <c r="F863" s="5">
        <f>SUMIFS(Despesas!$F:$F,Despesas!$J:$J,"&lt;="&amp;$A863,Despesas!$L:$L,"&gt;="&amp;$A863,Despesas!$C:$C,F$1,Despesas!$M:$M,"Mensal")+SUMIFS(Despesas!$F:$F,Despesas!$J:$J,"&lt;="&amp;$A863,Despesas!$L:$L,"&gt;="&amp;$A863,Despesas!$C:$C,F$1,Despesas!$M:$M,$B863)</f>
        <v>0</v>
      </c>
      <c r="G863" s="5">
        <f>SUMIFS(Despesas!$F:$F,Despesas!$J:$J,"&lt;="&amp;$A863,Despesas!$L:$L,"&gt;="&amp;$A863,Despesas!$C:$C,G$1,Despesas!$M:$M,"Mensal")+SUMIFS(Despesas!$F:$F,Despesas!$J:$J,"&lt;="&amp;$A863,Despesas!$L:$L,"&gt;="&amp;$A863,Despesas!$C:$C,G$1,Despesas!$M:$M,$B863)</f>
        <v>0</v>
      </c>
      <c r="H863" s="18">
        <f>SUMIFS(Despesas!$F:$F,Despesas!$J:$J,"&lt;="&amp;$A863,Despesas!$L:$L,"&gt;="&amp;$A863,Despesas!$C:$C,H$1,Despesas!$M:$M,"Mensal")+SUMIFS(Despesas!$F:$F,Despesas!$J:$J,"&lt;="&amp;$A863,Despesas!$L:$L,"&gt;="&amp;$A863,Despesas!$C:$C,H$1,Despesas!$M:$M,$B863)</f>
        <v>0</v>
      </c>
      <c r="I863" s="18">
        <f>IF(Imóveis!$F$2="PRICE",IF(AND(Dados!$A863&gt;=Imóveis!$Q$2,Dados!$A863&lt;=Imóveis!$T$2),Imóveis!$U$2,0),IF((IF(AND(Dados!$A863&gt;=Imóveis!$Q$2,Dados!$A863&lt;=Imóveis!$T$2),Imóveis!$S$2-(DATEDIF(Imóveis!$Q$2,Dados!$A863,"m")),0))=0,0,((Imóveis!$N$2/Imóveis!$S$2)+((Imóveis!$N$2-((Imóveis!$S$2-(IF(AND(Dados!$A863&gt;=Imóveis!$Q$2,Dados!$A863&lt;=Imóveis!$T$2),Imóveis!$S$2-(DATEDIF(Imóveis!$Q$2,Dados!$A863,"m")),)))*(Imóveis!$N$2/Imóveis!$S$2)))*Imóveis!$P$2))))*IF(AND(Imóveis!$E$2&gt;0,Dados!$A863&gt;Imóveis!$E$2),0,1)</f>
        <v>0</v>
      </c>
      <c r="J863" s="18">
        <f>IF(Imóveis!$F$3="PRICE",IF(AND(Dados!$A863&gt;=Imóveis!$Q$3,Dados!$A863&lt;=Imóveis!$T$3),Imóveis!$U$3,0),IF((IF(AND(Dados!$A863&gt;=Imóveis!$Q$3,Dados!$A863&lt;=Imóveis!$T$3),Imóveis!$S$3-(DATEDIF(Imóveis!$Q$3,Dados!$A863,"m")),0))=0,0,((Imóveis!$N$3/Imóveis!$S$3)+((Imóveis!$N$3-((Imóveis!$S$3-(IF(AND(Dados!$A863&gt;=Imóveis!$Q$3,Dados!$A863&lt;=Imóveis!$T$3),Imóveis!$S$3-(DATEDIF(Imóveis!$Q$3,Dados!$A863,"m")),)))*(Imóveis!$N$3/Imóveis!$S$3)))*Imóveis!$P$3))))*IF(AND(Imóveis!$E$3&gt;0,Dados!$A863&gt;Imóveis!$E$3),0,1)</f>
        <v>0</v>
      </c>
      <c r="K863" s="18">
        <f>IF(Imóveis!$F$4="PRICE",IF(AND(Dados!$A863&gt;=Imóveis!$Q$4,Dados!$A863&lt;=Imóveis!$T$4),Imóveis!$U$4,0),IF((IF(AND(Dados!$A863&gt;=Imóveis!$Q$4,Dados!$A863&lt;=Imóveis!$T$4),Imóveis!$S$4-(DATEDIF(Imóveis!$Q$4,Dados!$A863,"m")),0))=0,0,((Imóveis!$N$4/Imóveis!$S$4)+((Imóveis!$N$4-((Imóveis!$S$4-(IF(AND(Dados!$A863&gt;=Imóveis!$Q$4,Dados!$A863&lt;=Imóveis!$T$4),Imóveis!$S$4-(DATEDIF(Imóveis!$Q$4,Dados!$A863,"m")),)))*(Imóveis!$N$4/Imóveis!$S$4)))*Imóveis!$P$4))))*IF(AND(Imóveis!$E$4&gt;0,Dados!$A863&gt;Imóveis!$E$4),0,1)</f>
        <v>0</v>
      </c>
      <c r="L863" s="18">
        <f>IF(Imóveis!$F$5="PRICE",IF(AND(Dados!$A863&gt;=Imóveis!$Q$5,Dados!$A863&lt;=Imóveis!$T$5),Imóveis!$U$5,0),IF((IF(AND(Dados!$A863&gt;=Imóveis!$Q$5,Dados!$A863&lt;=Imóveis!$T$5),Imóveis!$S$5-(DATEDIF(Imóveis!$Q$5,Dados!$A863,"m")),0))=0,0,((Imóveis!$N$5/Imóveis!$S$5)+((Imóveis!$N$5-((Imóveis!$S$5-(IF(AND(Dados!$A863 &gt;=Imóveis!$Q$5,Dados!$A863&lt;=Imóveis!$T$5),Imóveis!$S$5-(DATEDIF(Imóveis!$Q$5,Dados!$A863,"m")),)))*(Imóveis!$N$5/Imóveis!$S$5)))*Imóveis!$P$5))))*IF(AND(Imóveis!$E$5&gt;0,Dados!$A863&gt;Imóveis!$E$5),0,1)*Imóveis!$I$5</f>
        <v>0</v>
      </c>
      <c r="M863" s="18">
        <f>IF(Imóveis!$F$6="PRICE",IF(AND(Dados!$A863&gt;=Imóveis!$Q$6,Dados!$A863&lt;=Imóveis!$T$6),Imóveis!$U$6,0),IF((IF(AND(Dados!$A863&gt;=Imóveis!$Q$6,Dados!$A863&lt;=Imóveis!$T$6),Imóveis!$S$6-(DATEDIF(Imóveis!$Q$6,Dados!$A863,"m")),0))=0,0,((Imóveis!$N$6/Imóveis!$S$6)+((Imóveis!$N$6-((Imóveis!$S$6-(IF(AND(Dados!$A863&gt;=Imóveis!$Q$6,Dados!$A863&lt;=Imóveis!$T$6),Imóveis!$S$6-(DATEDIF(Imóveis!$Q$6,Dados!$A863,"m")),)))*(Imóveis!$N$6/Imóveis!$S$6)))*Imóveis!$P$6))))*IF(AND(Imóveis!$E$6&gt;0,Dados!$A863&gt;Imóveis!$E$6),0,1)*Imóveis!$I$6</f>
        <v>0</v>
      </c>
      <c r="N863" s="18">
        <f t="shared" si="109"/>
        <v>0</v>
      </c>
      <c r="O863" s="18">
        <f>SUMIFS(Receitas!$F:$F,Receitas!$J:$J,"&lt;="&amp;$A863,Receitas!$L:$L,"&gt;="&amp;$A863,Receitas!$C:$C,O$1,Receitas!$M:$M,"Mensal")+SUMIFS(Receitas!$F:$F,Receitas!$J:$J,"&lt;="&amp;$A863,Receitas!$L:$L,"&gt;="&amp;$A863,Receitas!$C:$C,O$1,Receitas!$M:$M,$B863)</f>
        <v>0</v>
      </c>
      <c r="P863" s="18">
        <f>SUMIFS(Receitas!$F:$F,Receitas!$J:$J,"&lt;="&amp;$A863,Receitas!$L:$L,"&gt;="&amp;$A863,Receitas!$C:$C,P$1,Receitas!$M:$M,"Mensal")+SUMIFS(Receitas!$F:$F,Receitas!$J:$J,"&lt;="&amp;$A863,Receitas!$L:$L,"&gt;="&amp;$A863,Receitas!$C:$C,P$1,Receitas!$M:$M,$B863)</f>
        <v>0</v>
      </c>
      <c r="Q863" s="18">
        <f>SUMIFS(Receitas!$F:$F,Receitas!$J:$J,"&lt;="&amp;$A863,Receitas!$L:$L,"&gt;="&amp;$A863,Receitas!$C:$C,Q$1,Receitas!$M:$M,"Mensal")+SUMIFS(Receitas!$F:$F,Receitas!$J:$J,"&lt;="&amp;$A863,Receitas!$L:$L,"&gt;="&amp;$A863,Receitas!$C:$C,Q$1,Receitas!$M:$M,$B863)</f>
        <v>0</v>
      </c>
      <c r="R863" s="18" cm="1">
        <f t="array" ref="R863">(IF(AND(Membros!$F$2="Sim",A863&lt;=MAX(Membros!$E$2:$E$5)),Membros!K$2,IF(AND(A863&gt;=Membros!J$2,A863&lt;=MAX(Membros!$E$2:$E$5)),Membros!K$2,0))+IF(AND(Membros!$F$3="Sim",A863&lt;=MAX(Membros!$E$2:$E$5)),Membros!K$3,IF(AND(A863&gt;=Membros!J$3,A863&lt;=MAX(Membros!$E$2:$E$5)),Membros!K$3,0)))*IF(AND(COUNTIFS(Tabela3[Tipo],"Provedor",Tabela3[Simulação Seguro],"Sim")=2,A863&gt;=MAX(IF(Tabela3[Tipo]="Dependente",Tabela3[Expectativa de Vida (Data)]))),0,1)</f>
        <v>0</v>
      </c>
      <c r="S863" s="18">
        <f t="shared" si="110"/>
        <v>0</v>
      </c>
      <c r="U863" s="18">
        <f t="shared" ca="1" si="113"/>
        <v>78853977.594849005</v>
      </c>
      <c r="V863" s="18">
        <f>SUMIF(Imóveis!E:E,Dados!A:A,Imóveis!Z:Z)-SUMIF(Imóveis!E:E,Dados!A:A,Imóveis!Y:Y)</f>
        <v>0</v>
      </c>
      <c r="W863" s="18">
        <f>-SUMIF(Projetos!N:N,A863,Projetos!F:F)</f>
        <v>0</v>
      </c>
      <c r="X863" s="18">
        <f t="shared" si="107"/>
        <v>0</v>
      </c>
      <c r="Y863" s="26">
        <f ca="1">(U863*((Indicadores_Economicos!D$2+1)^(1/12)-1))</f>
        <v>258147.40343687907</v>
      </c>
      <c r="Z863" s="18">
        <f t="shared" ca="1" si="111"/>
        <v>79112124.99828589</v>
      </c>
      <c r="AA863" s="18">
        <f ca="1">Auxiliar_Projetos!E863</f>
        <v>6.5213531062320732E-9</v>
      </c>
      <c r="AB863" s="18">
        <f ca="1">Auxiliar_Projetos!K863</f>
        <v>5.0164254663323578E-9</v>
      </c>
      <c r="AC863" s="18">
        <f ca="1">IF(Z863-AA863-AB863&gt;Investimentos!$C$14,Investimentos!$C$14,IF(Z863-AA863-AB863&lt;Investimentos!$C$14,Z863-AA863-AB863,0))</f>
        <v>300000</v>
      </c>
      <c r="AD863" s="18">
        <f t="shared" ca="1" si="112"/>
        <v>78812124.99828589</v>
      </c>
      <c r="AE863" s="18"/>
    </row>
    <row r="864" spans="1:33" x14ac:dyDescent="0.2">
      <c r="A864" s="4">
        <v>71895</v>
      </c>
      <c r="B864" s="5" t="str">
        <f t="shared" si="108"/>
        <v>novembro</v>
      </c>
      <c r="C864" s="5" t="str">
        <f t="shared" si="114"/>
        <v>2096</v>
      </c>
      <c r="D864" s="5">
        <f>SUMIFS(Despesas!$F:$F,Despesas!$J:$J,"&lt;="&amp;$A864,Despesas!$L:$L,"&gt;="&amp;$A864,Despesas!$C:$C,D$1,Despesas!$M:$M,"Mensal")+SUMIFS(Despesas!$F:$F,Despesas!$J:$J,"&lt;="&amp;$A864,Despesas!$L:$L,"&gt;="&amp;$A864,Despesas!$C:$C,D$1,Despesas!$M:$M,$B864)</f>
        <v>0</v>
      </c>
      <c r="E864" s="18">
        <f>SUMIFS(Despesas!$F:$F,Despesas!$J:$J,"&lt;="&amp;$A864,Despesas!$L:$L,"&gt;="&amp;$A864,Despesas!$C:$C,E$1,Despesas!$M:$M,"Mensal")+SUMIFS(Despesas!$F:$F,Despesas!$J:$J,"&lt;="&amp;$A864,Despesas!$L:$L,"&gt;="&amp;$A864,Despesas!$C:$C,E$1,Despesas!$M:$M,$B864)</f>
        <v>0</v>
      </c>
      <c r="F864" s="5">
        <f>SUMIFS(Despesas!$F:$F,Despesas!$J:$J,"&lt;="&amp;$A864,Despesas!$L:$L,"&gt;="&amp;$A864,Despesas!$C:$C,F$1,Despesas!$M:$M,"Mensal")+SUMIFS(Despesas!$F:$F,Despesas!$J:$J,"&lt;="&amp;$A864,Despesas!$L:$L,"&gt;="&amp;$A864,Despesas!$C:$C,F$1,Despesas!$M:$M,$B864)</f>
        <v>0</v>
      </c>
      <c r="G864" s="5">
        <f>SUMIFS(Despesas!$F:$F,Despesas!$J:$J,"&lt;="&amp;$A864,Despesas!$L:$L,"&gt;="&amp;$A864,Despesas!$C:$C,G$1,Despesas!$M:$M,"Mensal")+SUMIFS(Despesas!$F:$F,Despesas!$J:$J,"&lt;="&amp;$A864,Despesas!$L:$L,"&gt;="&amp;$A864,Despesas!$C:$C,G$1,Despesas!$M:$M,$B864)</f>
        <v>0</v>
      </c>
      <c r="H864" s="18">
        <f>SUMIFS(Despesas!$F:$F,Despesas!$J:$J,"&lt;="&amp;$A864,Despesas!$L:$L,"&gt;="&amp;$A864,Despesas!$C:$C,H$1,Despesas!$M:$M,"Mensal")+SUMIFS(Despesas!$F:$F,Despesas!$J:$J,"&lt;="&amp;$A864,Despesas!$L:$L,"&gt;="&amp;$A864,Despesas!$C:$C,H$1,Despesas!$M:$M,$B864)</f>
        <v>0</v>
      </c>
      <c r="I864" s="18">
        <f>IF(Imóveis!$F$2="PRICE",IF(AND(Dados!$A864&gt;=Imóveis!$Q$2,Dados!$A864&lt;=Imóveis!$T$2),Imóveis!$U$2,0),IF((IF(AND(Dados!$A864&gt;=Imóveis!$Q$2,Dados!$A864&lt;=Imóveis!$T$2),Imóveis!$S$2-(DATEDIF(Imóveis!$Q$2,Dados!$A864,"m")),0))=0,0,((Imóveis!$N$2/Imóveis!$S$2)+((Imóveis!$N$2-((Imóveis!$S$2-(IF(AND(Dados!$A864&gt;=Imóveis!$Q$2,Dados!$A864&lt;=Imóveis!$T$2),Imóveis!$S$2-(DATEDIF(Imóveis!$Q$2,Dados!$A864,"m")),)))*(Imóveis!$N$2/Imóveis!$S$2)))*Imóveis!$P$2))))*IF(AND(Imóveis!$E$2&gt;0,Dados!$A864&gt;Imóveis!$E$2),0,1)</f>
        <v>0</v>
      </c>
      <c r="J864" s="18">
        <f>IF(Imóveis!$F$3="PRICE",IF(AND(Dados!$A864&gt;=Imóveis!$Q$3,Dados!$A864&lt;=Imóveis!$T$3),Imóveis!$U$3,0),IF((IF(AND(Dados!$A864&gt;=Imóveis!$Q$3,Dados!$A864&lt;=Imóveis!$T$3),Imóveis!$S$3-(DATEDIF(Imóveis!$Q$3,Dados!$A864,"m")),0))=0,0,((Imóveis!$N$3/Imóveis!$S$3)+((Imóveis!$N$3-((Imóveis!$S$3-(IF(AND(Dados!$A864&gt;=Imóveis!$Q$3,Dados!$A864&lt;=Imóveis!$T$3),Imóveis!$S$3-(DATEDIF(Imóveis!$Q$3,Dados!$A864,"m")),)))*(Imóveis!$N$3/Imóveis!$S$3)))*Imóveis!$P$3))))*IF(AND(Imóveis!$E$3&gt;0,Dados!$A864&gt;Imóveis!$E$3),0,1)</f>
        <v>0</v>
      </c>
      <c r="K864" s="18">
        <f>IF(Imóveis!$F$4="PRICE",IF(AND(Dados!$A864&gt;=Imóveis!$Q$4,Dados!$A864&lt;=Imóveis!$T$4),Imóveis!$U$4,0),IF((IF(AND(Dados!$A864&gt;=Imóveis!$Q$4,Dados!$A864&lt;=Imóveis!$T$4),Imóveis!$S$4-(DATEDIF(Imóveis!$Q$4,Dados!$A864,"m")),0))=0,0,((Imóveis!$N$4/Imóveis!$S$4)+((Imóveis!$N$4-((Imóveis!$S$4-(IF(AND(Dados!$A864&gt;=Imóveis!$Q$4,Dados!$A864&lt;=Imóveis!$T$4),Imóveis!$S$4-(DATEDIF(Imóveis!$Q$4,Dados!$A864,"m")),)))*(Imóveis!$N$4/Imóveis!$S$4)))*Imóveis!$P$4))))*IF(AND(Imóveis!$E$4&gt;0,Dados!$A864&gt;Imóveis!$E$4),0,1)</f>
        <v>0</v>
      </c>
      <c r="L864" s="18">
        <f>IF(Imóveis!$F$5="PRICE",IF(AND(Dados!$A864&gt;=Imóveis!$Q$5,Dados!$A864&lt;=Imóveis!$T$5),Imóveis!$U$5,0),IF((IF(AND(Dados!$A864&gt;=Imóveis!$Q$5,Dados!$A864&lt;=Imóveis!$T$5),Imóveis!$S$5-(DATEDIF(Imóveis!$Q$5,Dados!$A864,"m")),0))=0,0,((Imóveis!$N$5/Imóveis!$S$5)+((Imóveis!$N$5-((Imóveis!$S$5-(IF(AND(Dados!$A864 &gt;=Imóveis!$Q$5,Dados!$A864&lt;=Imóveis!$T$5),Imóveis!$S$5-(DATEDIF(Imóveis!$Q$5,Dados!$A864,"m")),)))*(Imóveis!$N$5/Imóveis!$S$5)))*Imóveis!$P$5))))*IF(AND(Imóveis!$E$5&gt;0,Dados!$A864&gt;Imóveis!$E$5),0,1)*Imóveis!$I$5</f>
        <v>0</v>
      </c>
      <c r="M864" s="18">
        <f>IF(Imóveis!$F$6="PRICE",IF(AND(Dados!$A864&gt;=Imóveis!$Q$6,Dados!$A864&lt;=Imóveis!$T$6),Imóveis!$U$6,0),IF((IF(AND(Dados!$A864&gt;=Imóveis!$Q$6,Dados!$A864&lt;=Imóveis!$T$6),Imóveis!$S$6-(DATEDIF(Imóveis!$Q$6,Dados!$A864,"m")),0))=0,0,((Imóveis!$N$6/Imóveis!$S$6)+((Imóveis!$N$6-((Imóveis!$S$6-(IF(AND(Dados!$A864&gt;=Imóveis!$Q$6,Dados!$A864&lt;=Imóveis!$T$6),Imóveis!$S$6-(DATEDIF(Imóveis!$Q$6,Dados!$A864,"m")),)))*(Imóveis!$N$6/Imóveis!$S$6)))*Imóveis!$P$6))))*IF(AND(Imóveis!$E$6&gt;0,Dados!$A864&gt;Imóveis!$E$6),0,1)*Imóveis!$I$6</f>
        <v>0</v>
      </c>
      <c r="N864" s="18">
        <f t="shared" si="109"/>
        <v>0</v>
      </c>
      <c r="O864" s="18">
        <f>SUMIFS(Receitas!$F:$F,Receitas!$J:$J,"&lt;="&amp;$A864,Receitas!$L:$L,"&gt;="&amp;$A864,Receitas!$C:$C,O$1,Receitas!$M:$M,"Mensal")+SUMIFS(Receitas!$F:$F,Receitas!$J:$J,"&lt;="&amp;$A864,Receitas!$L:$L,"&gt;="&amp;$A864,Receitas!$C:$C,O$1,Receitas!$M:$M,$B864)</f>
        <v>0</v>
      </c>
      <c r="P864" s="18">
        <f>SUMIFS(Receitas!$F:$F,Receitas!$J:$J,"&lt;="&amp;$A864,Receitas!$L:$L,"&gt;="&amp;$A864,Receitas!$C:$C,P$1,Receitas!$M:$M,"Mensal")+SUMIFS(Receitas!$F:$F,Receitas!$J:$J,"&lt;="&amp;$A864,Receitas!$L:$L,"&gt;="&amp;$A864,Receitas!$C:$C,P$1,Receitas!$M:$M,$B864)</f>
        <v>0</v>
      </c>
      <c r="Q864" s="18">
        <f>SUMIFS(Receitas!$F:$F,Receitas!$J:$J,"&lt;="&amp;$A864,Receitas!$L:$L,"&gt;="&amp;$A864,Receitas!$C:$C,Q$1,Receitas!$M:$M,"Mensal")+SUMIFS(Receitas!$F:$F,Receitas!$J:$J,"&lt;="&amp;$A864,Receitas!$L:$L,"&gt;="&amp;$A864,Receitas!$C:$C,Q$1,Receitas!$M:$M,$B864)</f>
        <v>0</v>
      </c>
      <c r="R864" s="18" cm="1">
        <f t="array" ref="R864">(IF(AND(Membros!$F$2="Sim",A864&lt;=MAX(Membros!$E$2:$E$5)),Membros!K$2,IF(AND(A864&gt;=Membros!J$2,A864&lt;=MAX(Membros!$E$2:$E$5)),Membros!K$2,0))+IF(AND(Membros!$F$3="Sim",A864&lt;=MAX(Membros!$E$2:$E$5)),Membros!K$3,IF(AND(A864&gt;=Membros!J$3,A864&lt;=MAX(Membros!$E$2:$E$5)),Membros!K$3,0)))*IF(AND(COUNTIFS(Tabela3[Tipo],"Provedor",Tabela3[Simulação Seguro],"Sim")=2,A864&gt;=MAX(IF(Tabela3[Tipo]="Dependente",Tabela3[Expectativa de Vida (Data)]))),0,1)</f>
        <v>0</v>
      </c>
      <c r="S864" s="18">
        <f t="shared" si="110"/>
        <v>0</v>
      </c>
      <c r="U864" s="18">
        <f t="shared" ca="1" si="113"/>
        <v>79112124.99828589</v>
      </c>
      <c r="V864" s="18">
        <f>SUMIF(Imóveis!E:E,Dados!A:A,Imóveis!Z:Z)-SUMIF(Imóveis!E:E,Dados!A:A,Imóveis!Y:Y)</f>
        <v>0</v>
      </c>
      <c r="W864" s="18">
        <f>-SUMIF(Projetos!N:N,A864,Projetos!F:F)</f>
        <v>0</v>
      </c>
      <c r="X864" s="18">
        <f t="shared" si="107"/>
        <v>0</v>
      </c>
      <c r="Y864" s="26">
        <f ca="1">(U864*((Indicadores_Economicos!D$2+1)^(1/12)-1))</f>
        <v>258992.51086118174</v>
      </c>
      <c r="Z864" s="18">
        <f t="shared" ca="1" si="111"/>
        <v>79371117.509147078</v>
      </c>
      <c r="AA864" s="18">
        <f ca="1">Auxiliar_Projetos!E864</f>
        <v>6.5427023193297117E-9</v>
      </c>
      <c r="AB864" s="18">
        <f ca="1">Auxiliar_Projetos!K864</f>
        <v>5.032847937945926E-9</v>
      </c>
      <c r="AC864" s="18">
        <f ca="1">IF(Z864-AA864-AB864&gt;Investimentos!$C$14,Investimentos!$C$14,IF(Z864-AA864-AB864&lt;Investimentos!$C$14,Z864-AA864-AB864,0))</f>
        <v>300000</v>
      </c>
      <c r="AD864" s="18">
        <f t="shared" ca="1" si="112"/>
        <v>79071117.509147078</v>
      </c>
      <c r="AE864" s="18"/>
    </row>
    <row r="865" spans="1:31" x14ac:dyDescent="0.2">
      <c r="A865" s="4">
        <v>71925</v>
      </c>
      <c r="B865" s="5" t="str">
        <f t="shared" si="108"/>
        <v>dezembro</v>
      </c>
      <c r="C865" s="5" t="str">
        <f t="shared" si="114"/>
        <v>2096</v>
      </c>
      <c r="D865" s="5">
        <f>SUMIFS(Despesas!$F:$F,Despesas!$J:$J,"&lt;="&amp;$A865,Despesas!$L:$L,"&gt;="&amp;$A865,Despesas!$C:$C,D$1,Despesas!$M:$M,"Mensal")+SUMIFS(Despesas!$F:$F,Despesas!$J:$J,"&lt;="&amp;$A865,Despesas!$L:$L,"&gt;="&amp;$A865,Despesas!$C:$C,D$1,Despesas!$M:$M,$B865)</f>
        <v>0</v>
      </c>
      <c r="E865" s="18">
        <f>SUMIFS(Despesas!$F:$F,Despesas!$J:$J,"&lt;="&amp;$A865,Despesas!$L:$L,"&gt;="&amp;$A865,Despesas!$C:$C,E$1,Despesas!$M:$M,"Mensal")+SUMIFS(Despesas!$F:$F,Despesas!$J:$J,"&lt;="&amp;$A865,Despesas!$L:$L,"&gt;="&amp;$A865,Despesas!$C:$C,E$1,Despesas!$M:$M,$B865)</f>
        <v>0</v>
      </c>
      <c r="F865" s="5">
        <f>SUMIFS(Despesas!$F:$F,Despesas!$J:$J,"&lt;="&amp;$A865,Despesas!$L:$L,"&gt;="&amp;$A865,Despesas!$C:$C,F$1,Despesas!$M:$M,"Mensal")+SUMIFS(Despesas!$F:$F,Despesas!$J:$J,"&lt;="&amp;$A865,Despesas!$L:$L,"&gt;="&amp;$A865,Despesas!$C:$C,F$1,Despesas!$M:$M,$B865)</f>
        <v>0</v>
      </c>
      <c r="G865" s="5">
        <f>SUMIFS(Despesas!$F:$F,Despesas!$J:$J,"&lt;="&amp;$A865,Despesas!$L:$L,"&gt;="&amp;$A865,Despesas!$C:$C,G$1,Despesas!$M:$M,"Mensal")+SUMIFS(Despesas!$F:$F,Despesas!$J:$J,"&lt;="&amp;$A865,Despesas!$L:$L,"&gt;="&amp;$A865,Despesas!$C:$C,G$1,Despesas!$M:$M,$B865)</f>
        <v>0</v>
      </c>
      <c r="H865" s="18">
        <f>SUMIFS(Despesas!$F:$F,Despesas!$J:$J,"&lt;="&amp;$A865,Despesas!$L:$L,"&gt;="&amp;$A865,Despesas!$C:$C,H$1,Despesas!$M:$M,"Mensal")+SUMIFS(Despesas!$F:$F,Despesas!$J:$J,"&lt;="&amp;$A865,Despesas!$L:$L,"&gt;="&amp;$A865,Despesas!$C:$C,H$1,Despesas!$M:$M,$B865)</f>
        <v>0</v>
      </c>
      <c r="I865" s="18">
        <f>IF(Imóveis!$F$2="PRICE",IF(AND(Dados!$A865&gt;=Imóveis!$Q$2,Dados!$A865&lt;=Imóveis!$T$2),Imóveis!$U$2,0),IF((IF(AND(Dados!$A865&gt;=Imóveis!$Q$2,Dados!$A865&lt;=Imóveis!$T$2),Imóveis!$S$2-(DATEDIF(Imóveis!$Q$2,Dados!$A865,"m")),0))=0,0,((Imóveis!$N$2/Imóveis!$S$2)+((Imóveis!$N$2-((Imóveis!$S$2-(IF(AND(Dados!$A865&gt;=Imóveis!$Q$2,Dados!$A865&lt;=Imóveis!$T$2),Imóveis!$S$2-(DATEDIF(Imóveis!$Q$2,Dados!$A865,"m")),)))*(Imóveis!$N$2/Imóveis!$S$2)))*Imóveis!$P$2))))*IF(AND(Imóveis!$E$2&gt;0,Dados!$A865&gt;Imóveis!$E$2),0,1)</f>
        <v>0</v>
      </c>
      <c r="J865" s="18">
        <f>IF(Imóveis!$F$3="PRICE",IF(AND(Dados!$A865&gt;=Imóveis!$Q$3,Dados!$A865&lt;=Imóveis!$T$3),Imóveis!$U$3,0),IF((IF(AND(Dados!$A865&gt;=Imóveis!$Q$3,Dados!$A865&lt;=Imóveis!$T$3),Imóveis!$S$3-(DATEDIF(Imóveis!$Q$3,Dados!$A865,"m")),0))=0,0,((Imóveis!$N$3/Imóveis!$S$3)+((Imóveis!$N$3-((Imóveis!$S$3-(IF(AND(Dados!$A865&gt;=Imóveis!$Q$3,Dados!$A865&lt;=Imóveis!$T$3),Imóveis!$S$3-(DATEDIF(Imóveis!$Q$3,Dados!$A865,"m")),)))*(Imóveis!$N$3/Imóveis!$S$3)))*Imóveis!$P$3))))*IF(AND(Imóveis!$E$3&gt;0,Dados!$A865&gt;Imóveis!$E$3),0,1)</f>
        <v>0</v>
      </c>
      <c r="K865" s="18">
        <f>IF(Imóveis!$F$4="PRICE",IF(AND(Dados!$A865&gt;=Imóveis!$Q$4,Dados!$A865&lt;=Imóveis!$T$4),Imóveis!$U$4,0),IF((IF(AND(Dados!$A865&gt;=Imóveis!$Q$4,Dados!$A865&lt;=Imóveis!$T$4),Imóveis!$S$4-(DATEDIF(Imóveis!$Q$4,Dados!$A865,"m")),0))=0,0,((Imóveis!$N$4/Imóveis!$S$4)+((Imóveis!$N$4-((Imóveis!$S$4-(IF(AND(Dados!$A865&gt;=Imóveis!$Q$4,Dados!$A865&lt;=Imóveis!$T$4),Imóveis!$S$4-(DATEDIF(Imóveis!$Q$4,Dados!$A865,"m")),)))*(Imóveis!$N$4/Imóveis!$S$4)))*Imóveis!$P$4))))*IF(AND(Imóveis!$E$4&gt;0,Dados!$A865&gt;Imóveis!$E$4),0,1)</f>
        <v>0</v>
      </c>
      <c r="L865" s="18">
        <f>IF(Imóveis!$F$5="PRICE",IF(AND(Dados!$A865&gt;=Imóveis!$Q$5,Dados!$A865&lt;=Imóveis!$T$5),Imóveis!$U$5,0),IF((IF(AND(Dados!$A865&gt;=Imóveis!$Q$5,Dados!$A865&lt;=Imóveis!$T$5),Imóveis!$S$5-(DATEDIF(Imóveis!$Q$5,Dados!$A865,"m")),0))=0,0,((Imóveis!$N$5/Imóveis!$S$5)+((Imóveis!$N$5-((Imóveis!$S$5-(IF(AND(Dados!$A865 &gt;=Imóveis!$Q$5,Dados!$A865&lt;=Imóveis!$T$5),Imóveis!$S$5-(DATEDIF(Imóveis!$Q$5,Dados!$A865,"m")),)))*(Imóveis!$N$5/Imóveis!$S$5)))*Imóveis!$P$5))))*IF(AND(Imóveis!$E$5&gt;0,Dados!$A865&gt;Imóveis!$E$5),0,1)*Imóveis!$I$5</f>
        <v>0</v>
      </c>
      <c r="M865" s="18">
        <f>IF(Imóveis!$F$6="PRICE",IF(AND(Dados!$A865&gt;=Imóveis!$Q$6,Dados!$A865&lt;=Imóveis!$T$6),Imóveis!$U$6,0),IF((IF(AND(Dados!$A865&gt;=Imóveis!$Q$6,Dados!$A865&lt;=Imóveis!$T$6),Imóveis!$S$6-(DATEDIF(Imóveis!$Q$6,Dados!$A865,"m")),0))=0,0,((Imóveis!$N$6/Imóveis!$S$6)+((Imóveis!$N$6-((Imóveis!$S$6-(IF(AND(Dados!$A865&gt;=Imóveis!$Q$6,Dados!$A865&lt;=Imóveis!$T$6),Imóveis!$S$6-(DATEDIF(Imóveis!$Q$6,Dados!$A865,"m")),)))*(Imóveis!$N$6/Imóveis!$S$6)))*Imóveis!$P$6))))*IF(AND(Imóveis!$E$6&gt;0,Dados!$A865&gt;Imóveis!$E$6),0,1)*Imóveis!$I$6</f>
        <v>0</v>
      </c>
      <c r="N865" s="18">
        <f t="shared" si="109"/>
        <v>0</v>
      </c>
      <c r="O865" s="18">
        <f>SUMIFS(Receitas!$F:$F,Receitas!$J:$J,"&lt;="&amp;$A865,Receitas!$L:$L,"&gt;="&amp;$A865,Receitas!$C:$C,O$1,Receitas!$M:$M,"Mensal")+SUMIFS(Receitas!$F:$F,Receitas!$J:$J,"&lt;="&amp;$A865,Receitas!$L:$L,"&gt;="&amp;$A865,Receitas!$C:$C,O$1,Receitas!$M:$M,$B865)</f>
        <v>0</v>
      </c>
      <c r="P865" s="18">
        <f>SUMIFS(Receitas!$F:$F,Receitas!$J:$J,"&lt;="&amp;$A865,Receitas!$L:$L,"&gt;="&amp;$A865,Receitas!$C:$C,P$1,Receitas!$M:$M,"Mensal")+SUMIFS(Receitas!$F:$F,Receitas!$J:$J,"&lt;="&amp;$A865,Receitas!$L:$L,"&gt;="&amp;$A865,Receitas!$C:$C,P$1,Receitas!$M:$M,$B865)</f>
        <v>0</v>
      </c>
      <c r="Q865" s="18">
        <f>SUMIFS(Receitas!$F:$F,Receitas!$J:$J,"&lt;="&amp;$A865,Receitas!$L:$L,"&gt;="&amp;$A865,Receitas!$C:$C,Q$1,Receitas!$M:$M,"Mensal")+SUMIFS(Receitas!$F:$F,Receitas!$J:$J,"&lt;="&amp;$A865,Receitas!$L:$L,"&gt;="&amp;$A865,Receitas!$C:$C,Q$1,Receitas!$M:$M,$B865)</f>
        <v>0</v>
      </c>
      <c r="R865" s="18" cm="1">
        <f t="array" ref="R865">(IF(AND(Membros!$F$2="Sim",A865&lt;=MAX(Membros!$E$2:$E$5)),Membros!K$2,IF(AND(A865&gt;=Membros!J$2,A865&lt;=MAX(Membros!$E$2:$E$5)),Membros!K$2,0))+IF(AND(Membros!$F$3="Sim",A865&lt;=MAX(Membros!$E$2:$E$5)),Membros!K$3,IF(AND(A865&gt;=Membros!J$3,A865&lt;=MAX(Membros!$E$2:$E$5)),Membros!K$3,0)))*IF(AND(COUNTIFS(Tabela3[Tipo],"Provedor",Tabela3[Simulação Seguro],"Sim")=2,A865&gt;=MAX(IF(Tabela3[Tipo]="Dependente",Tabela3[Expectativa de Vida (Data)]))),0,1)</f>
        <v>0</v>
      </c>
      <c r="S865" s="18">
        <f t="shared" si="110"/>
        <v>0</v>
      </c>
      <c r="U865" s="18">
        <f t="shared" ca="1" si="113"/>
        <v>79371117.509147078</v>
      </c>
      <c r="V865" s="18">
        <f>SUMIF(Imóveis!E:E,Dados!A:A,Imóveis!Z:Z)-SUMIF(Imóveis!E:E,Dados!A:A,Imóveis!Y:Y)</f>
        <v>0</v>
      </c>
      <c r="W865" s="18">
        <f>-SUMIF(Projetos!N:N,A865,Projetos!F:F)</f>
        <v>0</v>
      </c>
      <c r="X865" s="18">
        <f t="shared" si="107"/>
        <v>0</v>
      </c>
      <c r="Y865" s="26">
        <f ca="1">(U865*((Indicadores_Economicos!D$2+1)^(1/12)-1))</f>
        <v>259840.38494727961</v>
      </c>
      <c r="Z865" s="18">
        <f t="shared" ca="1" si="111"/>
        <v>79630957.894094363</v>
      </c>
      <c r="AA865" s="18">
        <f ca="1">Auxiliar_Projetos!E865</f>
        <v>6.5641214241955862E-9</v>
      </c>
      <c r="AB865" s="18">
        <f ca="1">Auxiliar_Projetos!K865</f>
        <v>5.0493241724581374E-9</v>
      </c>
      <c r="AC865" s="18">
        <f ca="1">IF(Z865-AA865-AB865&gt;Investimentos!$C$14,Investimentos!$C$14,IF(Z865-AA865-AB865&lt;Investimentos!$C$14,Z865-AA865-AB865,0))</f>
        <v>300000</v>
      </c>
      <c r="AD865" s="18">
        <f t="shared" ca="1" si="112"/>
        <v>79330957.894094363</v>
      </c>
      <c r="AE865" s="18"/>
    </row>
    <row r="866" spans="1:31" x14ac:dyDescent="0.2">
      <c r="A866" s="4">
        <v>71956</v>
      </c>
      <c r="B866" s="5" t="str">
        <f t="shared" si="108"/>
        <v>janeiro</v>
      </c>
      <c r="C866" s="5" t="str">
        <f t="shared" si="114"/>
        <v>2097</v>
      </c>
      <c r="D866" s="5">
        <f>SUMIFS(Despesas!$F:$F,Despesas!$J:$J,"&lt;="&amp;$A866,Despesas!$L:$L,"&gt;="&amp;$A866,Despesas!$C:$C,D$1,Despesas!$M:$M,"Mensal")+SUMIFS(Despesas!$F:$F,Despesas!$J:$J,"&lt;="&amp;$A866,Despesas!$L:$L,"&gt;="&amp;$A866,Despesas!$C:$C,D$1,Despesas!$M:$M,$B866)</f>
        <v>0</v>
      </c>
      <c r="E866" s="18">
        <f>SUMIFS(Despesas!$F:$F,Despesas!$J:$J,"&lt;="&amp;$A866,Despesas!$L:$L,"&gt;="&amp;$A866,Despesas!$C:$C,E$1,Despesas!$M:$M,"Mensal")+SUMIFS(Despesas!$F:$F,Despesas!$J:$J,"&lt;="&amp;$A866,Despesas!$L:$L,"&gt;="&amp;$A866,Despesas!$C:$C,E$1,Despesas!$M:$M,$B866)</f>
        <v>0</v>
      </c>
      <c r="F866" s="5">
        <f>SUMIFS(Despesas!$F:$F,Despesas!$J:$J,"&lt;="&amp;$A866,Despesas!$L:$L,"&gt;="&amp;$A866,Despesas!$C:$C,F$1,Despesas!$M:$M,"Mensal")+SUMIFS(Despesas!$F:$F,Despesas!$J:$J,"&lt;="&amp;$A866,Despesas!$L:$L,"&gt;="&amp;$A866,Despesas!$C:$C,F$1,Despesas!$M:$M,$B866)</f>
        <v>0</v>
      </c>
      <c r="G866" s="5">
        <f>SUMIFS(Despesas!$F:$F,Despesas!$J:$J,"&lt;="&amp;$A866,Despesas!$L:$L,"&gt;="&amp;$A866,Despesas!$C:$C,G$1,Despesas!$M:$M,"Mensal")+SUMIFS(Despesas!$F:$F,Despesas!$J:$J,"&lt;="&amp;$A866,Despesas!$L:$L,"&gt;="&amp;$A866,Despesas!$C:$C,G$1,Despesas!$M:$M,$B866)</f>
        <v>0</v>
      </c>
      <c r="H866" s="18">
        <f>SUMIFS(Despesas!$F:$F,Despesas!$J:$J,"&lt;="&amp;$A866,Despesas!$L:$L,"&gt;="&amp;$A866,Despesas!$C:$C,H$1,Despesas!$M:$M,"Mensal")+SUMIFS(Despesas!$F:$F,Despesas!$J:$J,"&lt;="&amp;$A866,Despesas!$L:$L,"&gt;="&amp;$A866,Despesas!$C:$C,H$1,Despesas!$M:$M,$B866)</f>
        <v>0</v>
      </c>
      <c r="I866" s="18">
        <f>IF(Imóveis!$F$2="PRICE",IF(AND(Dados!$A866&gt;=Imóveis!$Q$2,Dados!$A866&lt;=Imóveis!$T$2),Imóveis!$U$2,0),IF((IF(AND(Dados!$A866&gt;=Imóveis!$Q$2,Dados!$A866&lt;=Imóveis!$T$2),Imóveis!$S$2-(DATEDIF(Imóveis!$Q$2,Dados!$A866,"m")),0))=0,0,((Imóveis!$N$2/Imóveis!$S$2)+((Imóveis!$N$2-((Imóveis!$S$2-(IF(AND(Dados!$A866&gt;=Imóveis!$Q$2,Dados!$A866&lt;=Imóveis!$T$2),Imóveis!$S$2-(DATEDIF(Imóveis!$Q$2,Dados!$A866,"m")),)))*(Imóveis!$N$2/Imóveis!$S$2)))*Imóveis!$P$2))))*IF(AND(Imóveis!$E$2&gt;0,Dados!$A866&gt;Imóveis!$E$2),0,1)</f>
        <v>0</v>
      </c>
      <c r="J866" s="18">
        <f>IF(Imóveis!$F$3="PRICE",IF(AND(Dados!$A866&gt;=Imóveis!$Q$3,Dados!$A866&lt;=Imóveis!$T$3),Imóveis!$U$3,0),IF((IF(AND(Dados!$A866&gt;=Imóveis!$Q$3,Dados!$A866&lt;=Imóveis!$T$3),Imóveis!$S$3-(DATEDIF(Imóveis!$Q$3,Dados!$A866,"m")),0))=0,0,((Imóveis!$N$3/Imóveis!$S$3)+((Imóveis!$N$3-((Imóveis!$S$3-(IF(AND(Dados!$A866&gt;=Imóveis!$Q$3,Dados!$A866&lt;=Imóveis!$T$3),Imóveis!$S$3-(DATEDIF(Imóveis!$Q$3,Dados!$A866,"m")),)))*(Imóveis!$N$3/Imóveis!$S$3)))*Imóveis!$P$3))))*IF(AND(Imóveis!$E$3&gt;0,Dados!$A866&gt;Imóveis!$E$3),0,1)</f>
        <v>0</v>
      </c>
      <c r="K866" s="18">
        <f>IF(Imóveis!$F$4="PRICE",IF(AND(Dados!$A866&gt;=Imóveis!$Q$4,Dados!$A866&lt;=Imóveis!$T$4),Imóveis!$U$4,0),IF((IF(AND(Dados!$A866&gt;=Imóveis!$Q$4,Dados!$A866&lt;=Imóveis!$T$4),Imóveis!$S$4-(DATEDIF(Imóveis!$Q$4,Dados!$A866,"m")),0))=0,0,((Imóveis!$N$4/Imóveis!$S$4)+((Imóveis!$N$4-((Imóveis!$S$4-(IF(AND(Dados!$A866&gt;=Imóveis!$Q$4,Dados!$A866&lt;=Imóveis!$T$4),Imóveis!$S$4-(DATEDIF(Imóveis!$Q$4,Dados!$A866,"m")),)))*(Imóveis!$N$4/Imóveis!$S$4)))*Imóveis!$P$4))))*IF(AND(Imóveis!$E$4&gt;0,Dados!$A866&gt;Imóveis!$E$4),0,1)</f>
        <v>0</v>
      </c>
      <c r="L866" s="18">
        <f>IF(Imóveis!$F$5="PRICE",IF(AND(Dados!$A866&gt;=Imóveis!$Q$5,Dados!$A866&lt;=Imóveis!$T$5),Imóveis!$U$5,0),IF((IF(AND(Dados!$A866&gt;=Imóveis!$Q$5,Dados!$A866&lt;=Imóveis!$T$5),Imóveis!$S$5-(DATEDIF(Imóveis!$Q$5,Dados!$A866,"m")),0))=0,0,((Imóveis!$N$5/Imóveis!$S$5)+((Imóveis!$N$5-((Imóveis!$S$5-(IF(AND(Dados!$A866 &gt;=Imóveis!$Q$5,Dados!$A866&lt;=Imóveis!$T$5),Imóveis!$S$5-(DATEDIF(Imóveis!$Q$5,Dados!$A866,"m")),)))*(Imóveis!$N$5/Imóveis!$S$5)))*Imóveis!$P$5))))*IF(AND(Imóveis!$E$5&gt;0,Dados!$A866&gt;Imóveis!$E$5),0,1)*Imóveis!$I$5</f>
        <v>0</v>
      </c>
      <c r="M866" s="18">
        <f>IF(Imóveis!$F$6="PRICE",IF(AND(Dados!$A866&gt;=Imóveis!$Q$6,Dados!$A866&lt;=Imóveis!$T$6),Imóveis!$U$6,0),IF((IF(AND(Dados!$A866&gt;=Imóveis!$Q$6,Dados!$A866&lt;=Imóveis!$T$6),Imóveis!$S$6-(DATEDIF(Imóveis!$Q$6,Dados!$A866,"m")),0))=0,0,((Imóveis!$N$6/Imóveis!$S$6)+((Imóveis!$N$6-((Imóveis!$S$6-(IF(AND(Dados!$A866&gt;=Imóveis!$Q$6,Dados!$A866&lt;=Imóveis!$T$6),Imóveis!$S$6-(DATEDIF(Imóveis!$Q$6,Dados!$A866,"m")),)))*(Imóveis!$N$6/Imóveis!$S$6)))*Imóveis!$P$6))))*IF(AND(Imóveis!$E$6&gt;0,Dados!$A866&gt;Imóveis!$E$6),0,1)*Imóveis!$I$6</f>
        <v>0</v>
      </c>
      <c r="N866" s="18">
        <f t="shared" si="109"/>
        <v>0</v>
      </c>
      <c r="O866" s="18">
        <f>SUMIFS(Receitas!$F:$F,Receitas!$J:$J,"&lt;="&amp;$A866,Receitas!$L:$L,"&gt;="&amp;$A866,Receitas!$C:$C,O$1,Receitas!$M:$M,"Mensal")+SUMIFS(Receitas!$F:$F,Receitas!$J:$J,"&lt;="&amp;$A866,Receitas!$L:$L,"&gt;="&amp;$A866,Receitas!$C:$C,O$1,Receitas!$M:$M,$B866)</f>
        <v>0</v>
      </c>
      <c r="P866" s="18">
        <f>SUMIFS(Receitas!$F:$F,Receitas!$J:$J,"&lt;="&amp;$A866,Receitas!$L:$L,"&gt;="&amp;$A866,Receitas!$C:$C,P$1,Receitas!$M:$M,"Mensal")+SUMIFS(Receitas!$F:$F,Receitas!$J:$J,"&lt;="&amp;$A866,Receitas!$L:$L,"&gt;="&amp;$A866,Receitas!$C:$C,P$1,Receitas!$M:$M,$B866)</f>
        <v>0</v>
      </c>
      <c r="Q866" s="18">
        <f>SUMIFS(Receitas!$F:$F,Receitas!$J:$J,"&lt;="&amp;$A866,Receitas!$L:$L,"&gt;="&amp;$A866,Receitas!$C:$C,Q$1,Receitas!$M:$M,"Mensal")+SUMIFS(Receitas!$F:$F,Receitas!$J:$J,"&lt;="&amp;$A866,Receitas!$L:$L,"&gt;="&amp;$A866,Receitas!$C:$C,Q$1,Receitas!$M:$M,$B866)</f>
        <v>0</v>
      </c>
      <c r="R866" s="18" cm="1">
        <f t="array" ref="R866">(IF(AND(Membros!$F$2="Sim",A866&lt;=MAX(Membros!$E$2:$E$5)),Membros!K$2,IF(AND(A866&gt;=Membros!J$2,A866&lt;=MAX(Membros!$E$2:$E$5)),Membros!K$2,0))+IF(AND(Membros!$F$3="Sim",A866&lt;=MAX(Membros!$E$2:$E$5)),Membros!K$3,IF(AND(A866&gt;=Membros!J$3,A866&lt;=MAX(Membros!$E$2:$E$5)),Membros!K$3,0)))*IF(AND(COUNTIFS(Tabela3[Tipo],"Provedor",Tabela3[Simulação Seguro],"Sim")=2,A866&gt;=MAX(IF(Tabela3[Tipo]="Dependente",Tabela3[Expectativa de Vida (Data)]))),0,1)</f>
        <v>0</v>
      </c>
      <c r="S866" s="18">
        <f t="shared" si="110"/>
        <v>0</v>
      </c>
      <c r="U866" s="18">
        <f t="shared" ca="1" si="113"/>
        <v>79630957.894094363</v>
      </c>
      <c r="V866" s="18">
        <f>SUMIF(Imóveis!E:E,Dados!A:A,Imóveis!Z:Z)-SUMIF(Imóveis!E:E,Dados!A:A,Imóveis!Y:Y)</f>
        <v>0</v>
      </c>
      <c r="W866" s="18">
        <f>-SUMIF(Projetos!N:N,A866,Projetos!F:F)</f>
        <v>0</v>
      </c>
      <c r="X866" s="18">
        <f t="shared" si="107"/>
        <v>0</v>
      </c>
      <c r="Y866" s="26">
        <f ca="1">(U866*((Indicadores_Economicos!D$2+1)^(1/12)-1))</f>
        <v>260691.03475250342</v>
      </c>
      <c r="Z866" s="18">
        <f t="shared" ca="1" si="111"/>
        <v>79891648.928846866</v>
      </c>
      <c r="AA866" s="18">
        <f ca="1">Auxiliar_Projetos!E866</f>
        <v>6.5856106496371599E-9</v>
      </c>
      <c r="AB866" s="18">
        <f ca="1">Auxiliar_Projetos!K866</f>
        <v>5.0658543458747324E-9</v>
      </c>
      <c r="AC866" s="18">
        <f ca="1">IF(Z866-AA866-AB866&gt;Investimentos!$C$14,Investimentos!$C$14,IF(Z866-AA866-AB866&lt;Investimentos!$C$14,Z866-AA866-AB866,0))</f>
        <v>300000</v>
      </c>
      <c r="AD866" s="18">
        <f t="shared" ca="1" si="112"/>
        <v>79591648.928846866</v>
      </c>
      <c r="AE866" s="18"/>
    </row>
    <row r="867" spans="1:31" x14ac:dyDescent="0.2">
      <c r="A867" s="4">
        <v>71987</v>
      </c>
      <c r="B867" s="5" t="str">
        <f t="shared" si="108"/>
        <v>fevereiro</v>
      </c>
      <c r="C867" s="5" t="str">
        <f t="shared" si="114"/>
        <v>2097</v>
      </c>
      <c r="D867" s="5">
        <f>SUMIFS(Despesas!$F:$F,Despesas!$J:$J,"&lt;="&amp;$A867,Despesas!$L:$L,"&gt;="&amp;$A867,Despesas!$C:$C,D$1,Despesas!$M:$M,"Mensal")+SUMIFS(Despesas!$F:$F,Despesas!$J:$J,"&lt;="&amp;$A867,Despesas!$L:$L,"&gt;="&amp;$A867,Despesas!$C:$C,D$1,Despesas!$M:$M,$B867)</f>
        <v>0</v>
      </c>
      <c r="E867" s="18">
        <f>SUMIFS(Despesas!$F:$F,Despesas!$J:$J,"&lt;="&amp;$A867,Despesas!$L:$L,"&gt;="&amp;$A867,Despesas!$C:$C,E$1,Despesas!$M:$M,"Mensal")+SUMIFS(Despesas!$F:$F,Despesas!$J:$J,"&lt;="&amp;$A867,Despesas!$L:$L,"&gt;="&amp;$A867,Despesas!$C:$C,E$1,Despesas!$M:$M,$B867)</f>
        <v>0</v>
      </c>
      <c r="F867" s="5">
        <f>SUMIFS(Despesas!$F:$F,Despesas!$J:$J,"&lt;="&amp;$A867,Despesas!$L:$L,"&gt;="&amp;$A867,Despesas!$C:$C,F$1,Despesas!$M:$M,"Mensal")+SUMIFS(Despesas!$F:$F,Despesas!$J:$J,"&lt;="&amp;$A867,Despesas!$L:$L,"&gt;="&amp;$A867,Despesas!$C:$C,F$1,Despesas!$M:$M,$B867)</f>
        <v>0</v>
      </c>
      <c r="G867" s="5">
        <f>SUMIFS(Despesas!$F:$F,Despesas!$J:$J,"&lt;="&amp;$A867,Despesas!$L:$L,"&gt;="&amp;$A867,Despesas!$C:$C,G$1,Despesas!$M:$M,"Mensal")+SUMIFS(Despesas!$F:$F,Despesas!$J:$J,"&lt;="&amp;$A867,Despesas!$L:$L,"&gt;="&amp;$A867,Despesas!$C:$C,G$1,Despesas!$M:$M,$B867)</f>
        <v>0</v>
      </c>
      <c r="H867" s="18">
        <f>SUMIFS(Despesas!$F:$F,Despesas!$J:$J,"&lt;="&amp;$A867,Despesas!$L:$L,"&gt;="&amp;$A867,Despesas!$C:$C,H$1,Despesas!$M:$M,"Mensal")+SUMIFS(Despesas!$F:$F,Despesas!$J:$J,"&lt;="&amp;$A867,Despesas!$L:$L,"&gt;="&amp;$A867,Despesas!$C:$C,H$1,Despesas!$M:$M,$B867)</f>
        <v>0</v>
      </c>
      <c r="I867" s="18">
        <f>IF(Imóveis!$F$2="PRICE",IF(AND(Dados!$A867&gt;=Imóveis!$Q$2,Dados!$A867&lt;=Imóveis!$T$2),Imóveis!$U$2,0),IF((IF(AND(Dados!$A867&gt;=Imóveis!$Q$2,Dados!$A867&lt;=Imóveis!$T$2),Imóveis!$S$2-(DATEDIF(Imóveis!$Q$2,Dados!$A867,"m")),0))=0,0,((Imóveis!$N$2/Imóveis!$S$2)+((Imóveis!$N$2-((Imóveis!$S$2-(IF(AND(Dados!$A867&gt;=Imóveis!$Q$2,Dados!$A867&lt;=Imóveis!$T$2),Imóveis!$S$2-(DATEDIF(Imóveis!$Q$2,Dados!$A867,"m")),)))*(Imóveis!$N$2/Imóveis!$S$2)))*Imóveis!$P$2))))*IF(AND(Imóveis!$E$2&gt;0,Dados!$A867&gt;Imóveis!$E$2),0,1)</f>
        <v>0</v>
      </c>
      <c r="J867" s="18">
        <f>IF(Imóveis!$F$3="PRICE",IF(AND(Dados!$A867&gt;=Imóveis!$Q$3,Dados!$A867&lt;=Imóveis!$T$3),Imóveis!$U$3,0),IF((IF(AND(Dados!$A867&gt;=Imóveis!$Q$3,Dados!$A867&lt;=Imóveis!$T$3),Imóveis!$S$3-(DATEDIF(Imóveis!$Q$3,Dados!$A867,"m")),0))=0,0,((Imóveis!$N$3/Imóveis!$S$3)+((Imóveis!$N$3-((Imóveis!$S$3-(IF(AND(Dados!$A867&gt;=Imóveis!$Q$3,Dados!$A867&lt;=Imóveis!$T$3),Imóveis!$S$3-(DATEDIF(Imóveis!$Q$3,Dados!$A867,"m")),)))*(Imóveis!$N$3/Imóveis!$S$3)))*Imóveis!$P$3))))*IF(AND(Imóveis!$E$3&gt;0,Dados!$A867&gt;Imóveis!$E$3),0,1)</f>
        <v>0</v>
      </c>
      <c r="K867" s="18">
        <f>IF(Imóveis!$F$4="PRICE",IF(AND(Dados!$A867&gt;=Imóveis!$Q$4,Dados!$A867&lt;=Imóveis!$T$4),Imóveis!$U$4,0),IF((IF(AND(Dados!$A867&gt;=Imóveis!$Q$4,Dados!$A867&lt;=Imóveis!$T$4),Imóveis!$S$4-(DATEDIF(Imóveis!$Q$4,Dados!$A867,"m")),0))=0,0,((Imóveis!$N$4/Imóveis!$S$4)+((Imóveis!$N$4-((Imóveis!$S$4-(IF(AND(Dados!$A867&gt;=Imóveis!$Q$4,Dados!$A867&lt;=Imóveis!$T$4),Imóveis!$S$4-(DATEDIF(Imóveis!$Q$4,Dados!$A867,"m")),)))*(Imóveis!$N$4/Imóveis!$S$4)))*Imóveis!$P$4))))*IF(AND(Imóveis!$E$4&gt;0,Dados!$A867&gt;Imóveis!$E$4),0,1)</f>
        <v>0</v>
      </c>
      <c r="L867" s="18">
        <f>IF(Imóveis!$F$5="PRICE",IF(AND(Dados!$A867&gt;=Imóveis!$Q$5,Dados!$A867&lt;=Imóveis!$T$5),Imóveis!$U$5,0),IF((IF(AND(Dados!$A867&gt;=Imóveis!$Q$5,Dados!$A867&lt;=Imóveis!$T$5),Imóveis!$S$5-(DATEDIF(Imóveis!$Q$5,Dados!$A867,"m")),0))=0,0,((Imóveis!$N$5/Imóveis!$S$5)+((Imóveis!$N$5-((Imóveis!$S$5-(IF(AND(Dados!$A867 &gt;=Imóveis!$Q$5,Dados!$A867&lt;=Imóveis!$T$5),Imóveis!$S$5-(DATEDIF(Imóveis!$Q$5,Dados!$A867,"m")),)))*(Imóveis!$N$5/Imóveis!$S$5)))*Imóveis!$P$5))))*IF(AND(Imóveis!$E$5&gt;0,Dados!$A867&gt;Imóveis!$E$5),0,1)*Imóveis!$I$5</f>
        <v>0</v>
      </c>
      <c r="M867" s="18">
        <f>IF(Imóveis!$F$6="PRICE",IF(AND(Dados!$A867&gt;=Imóveis!$Q$6,Dados!$A867&lt;=Imóveis!$T$6),Imóveis!$U$6,0),IF((IF(AND(Dados!$A867&gt;=Imóveis!$Q$6,Dados!$A867&lt;=Imóveis!$T$6),Imóveis!$S$6-(DATEDIF(Imóveis!$Q$6,Dados!$A867,"m")),0))=0,0,((Imóveis!$N$6/Imóveis!$S$6)+((Imóveis!$N$6-((Imóveis!$S$6-(IF(AND(Dados!$A867&gt;=Imóveis!$Q$6,Dados!$A867&lt;=Imóveis!$T$6),Imóveis!$S$6-(DATEDIF(Imóveis!$Q$6,Dados!$A867,"m")),)))*(Imóveis!$N$6/Imóveis!$S$6)))*Imóveis!$P$6))))*IF(AND(Imóveis!$E$6&gt;0,Dados!$A867&gt;Imóveis!$E$6),0,1)*Imóveis!$I$6</f>
        <v>0</v>
      </c>
      <c r="N867" s="18">
        <f t="shared" si="109"/>
        <v>0</v>
      </c>
      <c r="O867" s="18">
        <f>SUMIFS(Receitas!$F:$F,Receitas!$J:$J,"&lt;="&amp;$A867,Receitas!$L:$L,"&gt;="&amp;$A867,Receitas!$C:$C,O$1,Receitas!$M:$M,"Mensal")+SUMIFS(Receitas!$F:$F,Receitas!$J:$J,"&lt;="&amp;$A867,Receitas!$L:$L,"&gt;="&amp;$A867,Receitas!$C:$C,O$1,Receitas!$M:$M,$B867)</f>
        <v>0</v>
      </c>
      <c r="P867" s="18">
        <f>SUMIFS(Receitas!$F:$F,Receitas!$J:$J,"&lt;="&amp;$A867,Receitas!$L:$L,"&gt;="&amp;$A867,Receitas!$C:$C,P$1,Receitas!$M:$M,"Mensal")+SUMIFS(Receitas!$F:$F,Receitas!$J:$J,"&lt;="&amp;$A867,Receitas!$L:$L,"&gt;="&amp;$A867,Receitas!$C:$C,P$1,Receitas!$M:$M,$B867)</f>
        <v>0</v>
      </c>
      <c r="Q867" s="18">
        <f>SUMIFS(Receitas!$F:$F,Receitas!$J:$J,"&lt;="&amp;$A867,Receitas!$L:$L,"&gt;="&amp;$A867,Receitas!$C:$C,Q$1,Receitas!$M:$M,"Mensal")+SUMIFS(Receitas!$F:$F,Receitas!$J:$J,"&lt;="&amp;$A867,Receitas!$L:$L,"&gt;="&amp;$A867,Receitas!$C:$C,Q$1,Receitas!$M:$M,$B867)</f>
        <v>0</v>
      </c>
      <c r="R867" s="18" cm="1">
        <f t="array" ref="R867">(IF(AND(Membros!$F$2="Sim",A867&lt;=MAX(Membros!$E$2:$E$5)),Membros!K$2,IF(AND(A867&gt;=Membros!J$2,A867&lt;=MAX(Membros!$E$2:$E$5)),Membros!K$2,0))+IF(AND(Membros!$F$3="Sim",A867&lt;=MAX(Membros!$E$2:$E$5)),Membros!K$3,IF(AND(A867&gt;=Membros!J$3,A867&lt;=MAX(Membros!$E$2:$E$5)),Membros!K$3,0)))*IF(AND(COUNTIFS(Tabela3[Tipo],"Provedor",Tabela3[Simulação Seguro],"Sim")=2,A867&gt;=MAX(IF(Tabela3[Tipo]="Dependente",Tabela3[Expectativa de Vida (Data)]))),0,1)</f>
        <v>0</v>
      </c>
      <c r="S867" s="18">
        <f t="shared" si="110"/>
        <v>0</v>
      </c>
      <c r="U867" s="18">
        <f t="shared" ca="1" si="113"/>
        <v>79891648.928846866</v>
      </c>
      <c r="V867" s="18">
        <f>SUMIF(Imóveis!E:E,Dados!A:A,Imóveis!Z:Z)-SUMIF(Imóveis!E:E,Dados!A:A,Imóveis!Y:Y)</f>
        <v>0</v>
      </c>
      <c r="W867" s="18">
        <f>-SUMIF(Projetos!N:N,A867,Projetos!F:F)</f>
        <v>0</v>
      </c>
      <c r="X867" s="18">
        <f t="shared" si="107"/>
        <v>0</v>
      </c>
      <c r="Y867" s="26">
        <f ca="1">(U867*((Indicadores_Economicos!D$2+1)^(1/12)-1))</f>
        <v>261544.46936383529</v>
      </c>
      <c r="Z867" s="18">
        <f t="shared" ca="1" si="111"/>
        <v>80153193.398210704</v>
      </c>
      <c r="AA867" s="18">
        <f ca="1">Auxiliar_Projetos!E867</f>
        <v>6.6071702252109502E-9</v>
      </c>
      <c r="AB867" s="18">
        <f ca="1">Auxiliar_Projetos!K867</f>
        <v>5.082438634777648E-9</v>
      </c>
      <c r="AC867" s="18">
        <f ca="1">IF(Z867-AA867-AB867&gt;Investimentos!$C$14,Investimentos!$C$14,IF(Z867-AA867-AB867&lt;Investimentos!$C$14,Z867-AA867-AB867,0))</f>
        <v>300000</v>
      </c>
      <c r="AD867" s="18">
        <f t="shared" ca="1" si="112"/>
        <v>79853193.398210704</v>
      </c>
      <c r="AE867" s="18"/>
    </row>
    <row r="868" spans="1:31" x14ac:dyDescent="0.2">
      <c r="A868" s="4">
        <v>72015</v>
      </c>
      <c r="B868" s="5" t="str">
        <f t="shared" si="108"/>
        <v>março</v>
      </c>
      <c r="C868" s="5" t="str">
        <f t="shared" si="114"/>
        <v>2097</v>
      </c>
      <c r="D868" s="5">
        <f>SUMIFS(Despesas!$F:$F,Despesas!$J:$J,"&lt;="&amp;$A868,Despesas!$L:$L,"&gt;="&amp;$A868,Despesas!$C:$C,D$1,Despesas!$M:$M,"Mensal")+SUMIFS(Despesas!$F:$F,Despesas!$J:$J,"&lt;="&amp;$A868,Despesas!$L:$L,"&gt;="&amp;$A868,Despesas!$C:$C,D$1,Despesas!$M:$M,$B868)</f>
        <v>0</v>
      </c>
      <c r="E868" s="18">
        <f>SUMIFS(Despesas!$F:$F,Despesas!$J:$J,"&lt;="&amp;$A868,Despesas!$L:$L,"&gt;="&amp;$A868,Despesas!$C:$C,E$1,Despesas!$M:$M,"Mensal")+SUMIFS(Despesas!$F:$F,Despesas!$J:$J,"&lt;="&amp;$A868,Despesas!$L:$L,"&gt;="&amp;$A868,Despesas!$C:$C,E$1,Despesas!$M:$M,$B868)</f>
        <v>0</v>
      </c>
      <c r="F868" s="5">
        <f>SUMIFS(Despesas!$F:$F,Despesas!$J:$J,"&lt;="&amp;$A868,Despesas!$L:$L,"&gt;="&amp;$A868,Despesas!$C:$C,F$1,Despesas!$M:$M,"Mensal")+SUMIFS(Despesas!$F:$F,Despesas!$J:$J,"&lt;="&amp;$A868,Despesas!$L:$L,"&gt;="&amp;$A868,Despesas!$C:$C,F$1,Despesas!$M:$M,$B868)</f>
        <v>0</v>
      </c>
      <c r="G868" s="5">
        <f>SUMIFS(Despesas!$F:$F,Despesas!$J:$J,"&lt;="&amp;$A868,Despesas!$L:$L,"&gt;="&amp;$A868,Despesas!$C:$C,G$1,Despesas!$M:$M,"Mensal")+SUMIFS(Despesas!$F:$F,Despesas!$J:$J,"&lt;="&amp;$A868,Despesas!$L:$L,"&gt;="&amp;$A868,Despesas!$C:$C,G$1,Despesas!$M:$M,$B868)</f>
        <v>0</v>
      </c>
      <c r="H868" s="18">
        <f>SUMIFS(Despesas!$F:$F,Despesas!$J:$J,"&lt;="&amp;$A868,Despesas!$L:$L,"&gt;="&amp;$A868,Despesas!$C:$C,H$1,Despesas!$M:$M,"Mensal")+SUMIFS(Despesas!$F:$F,Despesas!$J:$J,"&lt;="&amp;$A868,Despesas!$L:$L,"&gt;="&amp;$A868,Despesas!$C:$C,H$1,Despesas!$M:$M,$B868)</f>
        <v>0</v>
      </c>
      <c r="I868" s="18">
        <f>IF(Imóveis!$F$2="PRICE",IF(AND(Dados!$A868&gt;=Imóveis!$Q$2,Dados!$A868&lt;=Imóveis!$T$2),Imóveis!$U$2,0),IF((IF(AND(Dados!$A868&gt;=Imóveis!$Q$2,Dados!$A868&lt;=Imóveis!$T$2),Imóveis!$S$2-(DATEDIF(Imóveis!$Q$2,Dados!$A868,"m")),0))=0,0,((Imóveis!$N$2/Imóveis!$S$2)+((Imóveis!$N$2-((Imóveis!$S$2-(IF(AND(Dados!$A868&gt;=Imóveis!$Q$2,Dados!$A868&lt;=Imóveis!$T$2),Imóveis!$S$2-(DATEDIF(Imóveis!$Q$2,Dados!$A868,"m")),)))*(Imóveis!$N$2/Imóveis!$S$2)))*Imóveis!$P$2))))*IF(AND(Imóveis!$E$2&gt;0,Dados!$A868&gt;Imóveis!$E$2),0,1)</f>
        <v>0</v>
      </c>
      <c r="J868" s="18">
        <f>IF(Imóveis!$F$3="PRICE",IF(AND(Dados!$A868&gt;=Imóveis!$Q$3,Dados!$A868&lt;=Imóveis!$T$3),Imóveis!$U$3,0),IF((IF(AND(Dados!$A868&gt;=Imóveis!$Q$3,Dados!$A868&lt;=Imóveis!$T$3),Imóveis!$S$3-(DATEDIF(Imóveis!$Q$3,Dados!$A868,"m")),0))=0,0,((Imóveis!$N$3/Imóveis!$S$3)+((Imóveis!$N$3-((Imóveis!$S$3-(IF(AND(Dados!$A868&gt;=Imóveis!$Q$3,Dados!$A868&lt;=Imóveis!$T$3),Imóveis!$S$3-(DATEDIF(Imóveis!$Q$3,Dados!$A868,"m")),)))*(Imóveis!$N$3/Imóveis!$S$3)))*Imóveis!$P$3))))*IF(AND(Imóveis!$E$3&gt;0,Dados!$A868&gt;Imóveis!$E$3),0,1)</f>
        <v>0</v>
      </c>
      <c r="K868" s="18">
        <f>IF(Imóveis!$F$4="PRICE",IF(AND(Dados!$A868&gt;=Imóveis!$Q$4,Dados!$A868&lt;=Imóveis!$T$4),Imóveis!$U$4,0),IF((IF(AND(Dados!$A868&gt;=Imóveis!$Q$4,Dados!$A868&lt;=Imóveis!$T$4),Imóveis!$S$4-(DATEDIF(Imóveis!$Q$4,Dados!$A868,"m")),0))=0,0,((Imóveis!$N$4/Imóveis!$S$4)+((Imóveis!$N$4-((Imóveis!$S$4-(IF(AND(Dados!$A868&gt;=Imóveis!$Q$4,Dados!$A868&lt;=Imóveis!$T$4),Imóveis!$S$4-(DATEDIF(Imóveis!$Q$4,Dados!$A868,"m")),)))*(Imóveis!$N$4/Imóveis!$S$4)))*Imóveis!$P$4))))*IF(AND(Imóveis!$E$4&gt;0,Dados!$A868&gt;Imóveis!$E$4),0,1)</f>
        <v>0</v>
      </c>
      <c r="L868" s="18">
        <f>IF(Imóveis!$F$5="PRICE",IF(AND(Dados!$A868&gt;=Imóveis!$Q$5,Dados!$A868&lt;=Imóveis!$T$5),Imóveis!$U$5,0),IF((IF(AND(Dados!$A868&gt;=Imóveis!$Q$5,Dados!$A868&lt;=Imóveis!$T$5),Imóveis!$S$5-(DATEDIF(Imóveis!$Q$5,Dados!$A868,"m")),0))=0,0,((Imóveis!$N$5/Imóveis!$S$5)+((Imóveis!$N$5-((Imóveis!$S$5-(IF(AND(Dados!$A868 &gt;=Imóveis!$Q$5,Dados!$A868&lt;=Imóveis!$T$5),Imóveis!$S$5-(DATEDIF(Imóveis!$Q$5,Dados!$A868,"m")),)))*(Imóveis!$N$5/Imóveis!$S$5)))*Imóveis!$P$5))))*IF(AND(Imóveis!$E$5&gt;0,Dados!$A868&gt;Imóveis!$E$5),0,1)*Imóveis!$I$5</f>
        <v>0</v>
      </c>
      <c r="M868" s="18">
        <f>IF(Imóveis!$F$6="PRICE",IF(AND(Dados!$A868&gt;=Imóveis!$Q$6,Dados!$A868&lt;=Imóveis!$T$6),Imóveis!$U$6,0),IF((IF(AND(Dados!$A868&gt;=Imóveis!$Q$6,Dados!$A868&lt;=Imóveis!$T$6),Imóveis!$S$6-(DATEDIF(Imóveis!$Q$6,Dados!$A868,"m")),0))=0,0,((Imóveis!$N$6/Imóveis!$S$6)+((Imóveis!$N$6-((Imóveis!$S$6-(IF(AND(Dados!$A868&gt;=Imóveis!$Q$6,Dados!$A868&lt;=Imóveis!$T$6),Imóveis!$S$6-(DATEDIF(Imóveis!$Q$6,Dados!$A868,"m")),)))*(Imóveis!$N$6/Imóveis!$S$6)))*Imóveis!$P$6))))*IF(AND(Imóveis!$E$6&gt;0,Dados!$A868&gt;Imóveis!$E$6),0,1)*Imóveis!$I$6</f>
        <v>0</v>
      </c>
      <c r="N868" s="18">
        <f t="shared" si="109"/>
        <v>0</v>
      </c>
      <c r="O868" s="18">
        <f>SUMIFS(Receitas!$F:$F,Receitas!$J:$J,"&lt;="&amp;$A868,Receitas!$L:$L,"&gt;="&amp;$A868,Receitas!$C:$C,O$1,Receitas!$M:$M,"Mensal")+SUMIFS(Receitas!$F:$F,Receitas!$J:$J,"&lt;="&amp;$A868,Receitas!$L:$L,"&gt;="&amp;$A868,Receitas!$C:$C,O$1,Receitas!$M:$M,$B868)</f>
        <v>0</v>
      </c>
      <c r="P868" s="18">
        <f>SUMIFS(Receitas!$F:$F,Receitas!$J:$J,"&lt;="&amp;$A868,Receitas!$L:$L,"&gt;="&amp;$A868,Receitas!$C:$C,P$1,Receitas!$M:$M,"Mensal")+SUMIFS(Receitas!$F:$F,Receitas!$J:$J,"&lt;="&amp;$A868,Receitas!$L:$L,"&gt;="&amp;$A868,Receitas!$C:$C,P$1,Receitas!$M:$M,$B868)</f>
        <v>0</v>
      </c>
      <c r="Q868" s="18">
        <f>SUMIFS(Receitas!$F:$F,Receitas!$J:$J,"&lt;="&amp;$A868,Receitas!$L:$L,"&gt;="&amp;$A868,Receitas!$C:$C,Q$1,Receitas!$M:$M,"Mensal")+SUMIFS(Receitas!$F:$F,Receitas!$J:$J,"&lt;="&amp;$A868,Receitas!$L:$L,"&gt;="&amp;$A868,Receitas!$C:$C,Q$1,Receitas!$M:$M,$B868)</f>
        <v>0</v>
      </c>
      <c r="R868" s="18" cm="1">
        <f t="array" ref="R868">(IF(AND(Membros!$F$2="Sim",A868&lt;=MAX(Membros!$E$2:$E$5)),Membros!K$2,IF(AND(A868&gt;=Membros!J$2,A868&lt;=MAX(Membros!$E$2:$E$5)),Membros!K$2,0))+IF(AND(Membros!$F$3="Sim",A868&lt;=MAX(Membros!$E$2:$E$5)),Membros!K$3,IF(AND(A868&gt;=Membros!J$3,A868&lt;=MAX(Membros!$E$2:$E$5)),Membros!K$3,0)))*IF(AND(COUNTIFS(Tabela3[Tipo],"Provedor",Tabela3[Simulação Seguro],"Sim")=2,A868&gt;=MAX(IF(Tabela3[Tipo]="Dependente",Tabela3[Expectativa de Vida (Data)]))),0,1)</f>
        <v>0</v>
      </c>
      <c r="S868" s="18">
        <f t="shared" si="110"/>
        <v>0</v>
      </c>
      <c r="U868" s="18">
        <f t="shared" ca="1" si="113"/>
        <v>80153193.398210704</v>
      </c>
      <c r="V868" s="18">
        <f>SUMIF(Imóveis!E:E,Dados!A:A,Imóveis!Z:Z)-SUMIF(Imóveis!E:E,Dados!A:A,Imóveis!Y:Y)</f>
        <v>0</v>
      </c>
      <c r="W868" s="18">
        <f>-SUMIF(Projetos!N:N,A868,Projetos!F:F)</f>
        <v>0</v>
      </c>
      <c r="X868" s="18">
        <f t="shared" si="107"/>
        <v>0</v>
      </c>
      <c r="Y868" s="26">
        <f ca="1">(U868*((Indicadores_Economicos!D$2+1)^(1/12)-1))</f>
        <v>262400.69789800578</v>
      </c>
      <c r="Z868" s="18">
        <f t="shared" ca="1" si="111"/>
        <v>80415594.096108705</v>
      </c>
      <c r="AA868" s="18">
        <f ca="1">Auxiliar_Projetos!E868</f>
        <v>6.6288003812249831E-9</v>
      </c>
      <c r="AB868" s="18">
        <f ca="1">Auxiliar_Projetos!K868</f>
        <v>5.0990772163269047E-9</v>
      </c>
      <c r="AC868" s="18">
        <f ca="1">IF(Z868-AA868-AB868&gt;Investimentos!$C$14,Investimentos!$C$14,IF(Z868-AA868-AB868&lt;Investimentos!$C$14,Z868-AA868-AB868,0))</f>
        <v>300000</v>
      </c>
      <c r="AD868" s="18">
        <f t="shared" ca="1" si="112"/>
        <v>80115594.096108705</v>
      </c>
      <c r="AE868" s="18"/>
    </row>
    <row r="869" spans="1:31" x14ac:dyDescent="0.2">
      <c r="A869" s="4">
        <v>72046</v>
      </c>
      <c r="B869" s="5" t="str">
        <f t="shared" si="108"/>
        <v>abril</v>
      </c>
      <c r="C869" s="5" t="str">
        <f t="shared" si="114"/>
        <v>2097</v>
      </c>
      <c r="D869" s="5">
        <f>SUMIFS(Despesas!$F:$F,Despesas!$J:$J,"&lt;="&amp;$A869,Despesas!$L:$L,"&gt;="&amp;$A869,Despesas!$C:$C,D$1,Despesas!$M:$M,"Mensal")+SUMIFS(Despesas!$F:$F,Despesas!$J:$J,"&lt;="&amp;$A869,Despesas!$L:$L,"&gt;="&amp;$A869,Despesas!$C:$C,D$1,Despesas!$M:$M,$B869)</f>
        <v>0</v>
      </c>
      <c r="E869" s="18">
        <f>SUMIFS(Despesas!$F:$F,Despesas!$J:$J,"&lt;="&amp;$A869,Despesas!$L:$L,"&gt;="&amp;$A869,Despesas!$C:$C,E$1,Despesas!$M:$M,"Mensal")+SUMIFS(Despesas!$F:$F,Despesas!$J:$J,"&lt;="&amp;$A869,Despesas!$L:$L,"&gt;="&amp;$A869,Despesas!$C:$C,E$1,Despesas!$M:$M,$B869)</f>
        <v>0</v>
      </c>
      <c r="F869" s="5">
        <f>SUMIFS(Despesas!$F:$F,Despesas!$J:$J,"&lt;="&amp;$A869,Despesas!$L:$L,"&gt;="&amp;$A869,Despesas!$C:$C,F$1,Despesas!$M:$M,"Mensal")+SUMIFS(Despesas!$F:$F,Despesas!$J:$J,"&lt;="&amp;$A869,Despesas!$L:$L,"&gt;="&amp;$A869,Despesas!$C:$C,F$1,Despesas!$M:$M,$B869)</f>
        <v>0</v>
      </c>
      <c r="G869" s="5">
        <f>SUMIFS(Despesas!$F:$F,Despesas!$J:$J,"&lt;="&amp;$A869,Despesas!$L:$L,"&gt;="&amp;$A869,Despesas!$C:$C,G$1,Despesas!$M:$M,"Mensal")+SUMIFS(Despesas!$F:$F,Despesas!$J:$J,"&lt;="&amp;$A869,Despesas!$L:$L,"&gt;="&amp;$A869,Despesas!$C:$C,G$1,Despesas!$M:$M,$B869)</f>
        <v>0</v>
      </c>
      <c r="H869" s="18">
        <f>SUMIFS(Despesas!$F:$F,Despesas!$J:$J,"&lt;="&amp;$A869,Despesas!$L:$L,"&gt;="&amp;$A869,Despesas!$C:$C,H$1,Despesas!$M:$M,"Mensal")+SUMIFS(Despesas!$F:$F,Despesas!$J:$J,"&lt;="&amp;$A869,Despesas!$L:$L,"&gt;="&amp;$A869,Despesas!$C:$C,H$1,Despesas!$M:$M,$B869)</f>
        <v>0</v>
      </c>
      <c r="I869" s="18">
        <f>IF(Imóveis!$F$2="PRICE",IF(AND(Dados!$A869&gt;=Imóveis!$Q$2,Dados!$A869&lt;=Imóveis!$T$2),Imóveis!$U$2,0),IF((IF(AND(Dados!$A869&gt;=Imóveis!$Q$2,Dados!$A869&lt;=Imóveis!$T$2),Imóveis!$S$2-(DATEDIF(Imóveis!$Q$2,Dados!$A869,"m")),0))=0,0,((Imóveis!$N$2/Imóveis!$S$2)+((Imóveis!$N$2-((Imóveis!$S$2-(IF(AND(Dados!$A869&gt;=Imóveis!$Q$2,Dados!$A869&lt;=Imóveis!$T$2),Imóveis!$S$2-(DATEDIF(Imóveis!$Q$2,Dados!$A869,"m")),)))*(Imóveis!$N$2/Imóveis!$S$2)))*Imóveis!$P$2))))*IF(AND(Imóveis!$E$2&gt;0,Dados!$A869&gt;Imóveis!$E$2),0,1)</f>
        <v>0</v>
      </c>
      <c r="J869" s="18">
        <f>IF(Imóveis!$F$3="PRICE",IF(AND(Dados!$A869&gt;=Imóveis!$Q$3,Dados!$A869&lt;=Imóveis!$T$3),Imóveis!$U$3,0),IF((IF(AND(Dados!$A869&gt;=Imóveis!$Q$3,Dados!$A869&lt;=Imóveis!$T$3),Imóveis!$S$3-(DATEDIF(Imóveis!$Q$3,Dados!$A869,"m")),0))=0,0,((Imóveis!$N$3/Imóveis!$S$3)+((Imóveis!$N$3-((Imóveis!$S$3-(IF(AND(Dados!$A869&gt;=Imóveis!$Q$3,Dados!$A869&lt;=Imóveis!$T$3),Imóveis!$S$3-(DATEDIF(Imóveis!$Q$3,Dados!$A869,"m")),)))*(Imóveis!$N$3/Imóveis!$S$3)))*Imóveis!$P$3))))*IF(AND(Imóveis!$E$3&gt;0,Dados!$A869&gt;Imóveis!$E$3),0,1)</f>
        <v>0</v>
      </c>
      <c r="K869" s="18">
        <f>IF(Imóveis!$F$4="PRICE",IF(AND(Dados!$A869&gt;=Imóveis!$Q$4,Dados!$A869&lt;=Imóveis!$T$4),Imóveis!$U$4,0),IF((IF(AND(Dados!$A869&gt;=Imóveis!$Q$4,Dados!$A869&lt;=Imóveis!$T$4),Imóveis!$S$4-(DATEDIF(Imóveis!$Q$4,Dados!$A869,"m")),0))=0,0,((Imóveis!$N$4/Imóveis!$S$4)+((Imóveis!$N$4-((Imóveis!$S$4-(IF(AND(Dados!$A869&gt;=Imóveis!$Q$4,Dados!$A869&lt;=Imóveis!$T$4),Imóveis!$S$4-(DATEDIF(Imóveis!$Q$4,Dados!$A869,"m")),)))*(Imóveis!$N$4/Imóveis!$S$4)))*Imóveis!$P$4))))*IF(AND(Imóveis!$E$4&gt;0,Dados!$A869&gt;Imóveis!$E$4),0,1)</f>
        <v>0</v>
      </c>
      <c r="L869" s="18">
        <f>IF(Imóveis!$F$5="PRICE",IF(AND(Dados!$A869&gt;=Imóveis!$Q$5,Dados!$A869&lt;=Imóveis!$T$5),Imóveis!$U$5,0),IF((IF(AND(Dados!$A869&gt;=Imóveis!$Q$5,Dados!$A869&lt;=Imóveis!$T$5),Imóveis!$S$5-(DATEDIF(Imóveis!$Q$5,Dados!$A869,"m")),0))=0,0,((Imóveis!$N$5/Imóveis!$S$5)+((Imóveis!$N$5-((Imóveis!$S$5-(IF(AND(Dados!$A869 &gt;=Imóveis!$Q$5,Dados!$A869&lt;=Imóveis!$T$5),Imóveis!$S$5-(DATEDIF(Imóveis!$Q$5,Dados!$A869,"m")),)))*(Imóveis!$N$5/Imóveis!$S$5)))*Imóveis!$P$5))))*IF(AND(Imóveis!$E$5&gt;0,Dados!$A869&gt;Imóveis!$E$5),0,1)*Imóveis!$I$5</f>
        <v>0</v>
      </c>
      <c r="M869" s="18">
        <f>IF(Imóveis!$F$6="PRICE",IF(AND(Dados!$A869&gt;=Imóveis!$Q$6,Dados!$A869&lt;=Imóveis!$T$6),Imóveis!$U$6,0),IF((IF(AND(Dados!$A869&gt;=Imóveis!$Q$6,Dados!$A869&lt;=Imóveis!$T$6),Imóveis!$S$6-(DATEDIF(Imóveis!$Q$6,Dados!$A869,"m")),0))=0,0,((Imóveis!$N$6/Imóveis!$S$6)+((Imóveis!$N$6-((Imóveis!$S$6-(IF(AND(Dados!$A869&gt;=Imóveis!$Q$6,Dados!$A869&lt;=Imóveis!$T$6),Imóveis!$S$6-(DATEDIF(Imóveis!$Q$6,Dados!$A869,"m")),)))*(Imóveis!$N$6/Imóveis!$S$6)))*Imóveis!$P$6))))*IF(AND(Imóveis!$E$6&gt;0,Dados!$A869&gt;Imóveis!$E$6),0,1)*Imóveis!$I$6</f>
        <v>0</v>
      </c>
      <c r="N869" s="18">
        <f t="shared" si="109"/>
        <v>0</v>
      </c>
      <c r="O869" s="18">
        <f>SUMIFS(Receitas!$F:$F,Receitas!$J:$J,"&lt;="&amp;$A869,Receitas!$L:$L,"&gt;="&amp;$A869,Receitas!$C:$C,O$1,Receitas!$M:$M,"Mensal")+SUMIFS(Receitas!$F:$F,Receitas!$J:$J,"&lt;="&amp;$A869,Receitas!$L:$L,"&gt;="&amp;$A869,Receitas!$C:$C,O$1,Receitas!$M:$M,$B869)</f>
        <v>0</v>
      </c>
      <c r="P869" s="18">
        <f>SUMIFS(Receitas!$F:$F,Receitas!$J:$J,"&lt;="&amp;$A869,Receitas!$L:$L,"&gt;="&amp;$A869,Receitas!$C:$C,P$1,Receitas!$M:$M,"Mensal")+SUMIFS(Receitas!$F:$F,Receitas!$J:$J,"&lt;="&amp;$A869,Receitas!$L:$L,"&gt;="&amp;$A869,Receitas!$C:$C,P$1,Receitas!$M:$M,$B869)</f>
        <v>0</v>
      </c>
      <c r="Q869" s="18">
        <f>SUMIFS(Receitas!$F:$F,Receitas!$J:$J,"&lt;="&amp;$A869,Receitas!$L:$L,"&gt;="&amp;$A869,Receitas!$C:$C,Q$1,Receitas!$M:$M,"Mensal")+SUMIFS(Receitas!$F:$F,Receitas!$J:$J,"&lt;="&amp;$A869,Receitas!$L:$L,"&gt;="&amp;$A869,Receitas!$C:$C,Q$1,Receitas!$M:$M,$B869)</f>
        <v>0</v>
      </c>
      <c r="R869" s="18" cm="1">
        <f t="array" ref="R869">(IF(AND(Membros!$F$2="Sim",A869&lt;=MAX(Membros!$E$2:$E$5)),Membros!K$2,IF(AND(A869&gt;=Membros!J$2,A869&lt;=MAX(Membros!$E$2:$E$5)),Membros!K$2,0))+IF(AND(Membros!$F$3="Sim",A869&lt;=MAX(Membros!$E$2:$E$5)),Membros!K$3,IF(AND(A869&gt;=Membros!J$3,A869&lt;=MAX(Membros!$E$2:$E$5)),Membros!K$3,0)))*IF(AND(COUNTIFS(Tabela3[Tipo],"Provedor",Tabela3[Simulação Seguro],"Sim")=2,A869&gt;=MAX(IF(Tabela3[Tipo]="Dependente",Tabela3[Expectativa de Vida (Data)]))),0,1)</f>
        <v>0</v>
      </c>
      <c r="S869" s="18">
        <f t="shared" si="110"/>
        <v>0</v>
      </c>
      <c r="U869" s="18">
        <f t="shared" ca="1" si="113"/>
        <v>80415594.096108705</v>
      </c>
      <c r="V869" s="18">
        <f>SUMIF(Imóveis!E:E,Dados!A:A,Imóveis!Z:Z)-SUMIF(Imóveis!E:E,Dados!A:A,Imóveis!Y:Y)</f>
        <v>0</v>
      </c>
      <c r="W869" s="18">
        <f>-SUMIF(Projetos!N:N,A869,Projetos!F:F)</f>
        <v>0</v>
      </c>
      <c r="X869" s="18">
        <f t="shared" si="107"/>
        <v>0</v>
      </c>
      <c r="Y869" s="26">
        <f ca="1">(U869*((Indicadores_Economicos!D$2+1)^(1/12)-1))</f>
        <v>263259.72950159124</v>
      </c>
      <c r="Z869" s="18">
        <f t="shared" ca="1" si="111"/>
        <v>80678853.825610295</v>
      </c>
      <c r="AA869" s="18">
        <f ca="1">Auxiliar_Projetos!E869</f>
        <v>6.6505013487412546E-9</v>
      </c>
      <c r="AB869" s="18">
        <f ca="1">Auxiliar_Projetos!K869</f>
        <v>5.1157702682624982E-9</v>
      </c>
      <c r="AC869" s="18">
        <f ca="1">IF(Z869-AA869-AB869&gt;Investimentos!$C$14,Investimentos!$C$14,IF(Z869-AA869-AB869&lt;Investimentos!$C$14,Z869-AA869-AB869,0))</f>
        <v>300000</v>
      </c>
      <c r="AD869" s="18">
        <f t="shared" ca="1" si="112"/>
        <v>80378853.825610295</v>
      </c>
      <c r="AE869" s="18"/>
    </row>
    <row r="870" spans="1:31" x14ac:dyDescent="0.2">
      <c r="A870" s="4">
        <v>72076</v>
      </c>
      <c r="B870" s="5" t="str">
        <f t="shared" si="108"/>
        <v>maio</v>
      </c>
      <c r="C870" s="5" t="str">
        <f t="shared" si="114"/>
        <v>2097</v>
      </c>
      <c r="D870" s="5">
        <f>SUMIFS(Despesas!$F:$F,Despesas!$J:$J,"&lt;="&amp;$A870,Despesas!$L:$L,"&gt;="&amp;$A870,Despesas!$C:$C,D$1,Despesas!$M:$M,"Mensal")+SUMIFS(Despesas!$F:$F,Despesas!$J:$J,"&lt;="&amp;$A870,Despesas!$L:$L,"&gt;="&amp;$A870,Despesas!$C:$C,D$1,Despesas!$M:$M,$B870)</f>
        <v>0</v>
      </c>
      <c r="E870" s="18">
        <f>SUMIFS(Despesas!$F:$F,Despesas!$J:$J,"&lt;="&amp;$A870,Despesas!$L:$L,"&gt;="&amp;$A870,Despesas!$C:$C,E$1,Despesas!$M:$M,"Mensal")+SUMIFS(Despesas!$F:$F,Despesas!$J:$J,"&lt;="&amp;$A870,Despesas!$L:$L,"&gt;="&amp;$A870,Despesas!$C:$C,E$1,Despesas!$M:$M,$B870)</f>
        <v>0</v>
      </c>
      <c r="F870" s="5">
        <f>SUMIFS(Despesas!$F:$F,Despesas!$J:$J,"&lt;="&amp;$A870,Despesas!$L:$L,"&gt;="&amp;$A870,Despesas!$C:$C,F$1,Despesas!$M:$M,"Mensal")+SUMIFS(Despesas!$F:$F,Despesas!$J:$J,"&lt;="&amp;$A870,Despesas!$L:$L,"&gt;="&amp;$A870,Despesas!$C:$C,F$1,Despesas!$M:$M,$B870)</f>
        <v>0</v>
      </c>
      <c r="G870" s="5">
        <f>SUMIFS(Despesas!$F:$F,Despesas!$J:$J,"&lt;="&amp;$A870,Despesas!$L:$L,"&gt;="&amp;$A870,Despesas!$C:$C,G$1,Despesas!$M:$M,"Mensal")+SUMIFS(Despesas!$F:$F,Despesas!$J:$J,"&lt;="&amp;$A870,Despesas!$L:$L,"&gt;="&amp;$A870,Despesas!$C:$C,G$1,Despesas!$M:$M,$B870)</f>
        <v>0</v>
      </c>
      <c r="H870" s="18">
        <f>SUMIFS(Despesas!$F:$F,Despesas!$J:$J,"&lt;="&amp;$A870,Despesas!$L:$L,"&gt;="&amp;$A870,Despesas!$C:$C,H$1,Despesas!$M:$M,"Mensal")+SUMIFS(Despesas!$F:$F,Despesas!$J:$J,"&lt;="&amp;$A870,Despesas!$L:$L,"&gt;="&amp;$A870,Despesas!$C:$C,H$1,Despesas!$M:$M,$B870)</f>
        <v>0</v>
      </c>
      <c r="I870" s="18">
        <f>IF(Imóveis!$F$2="PRICE",IF(AND(Dados!$A870&gt;=Imóveis!$Q$2,Dados!$A870&lt;=Imóveis!$T$2),Imóveis!$U$2,0),IF((IF(AND(Dados!$A870&gt;=Imóveis!$Q$2,Dados!$A870&lt;=Imóveis!$T$2),Imóveis!$S$2-(DATEDIF(Imóveis!$Q$2,Dados!$A870,"m")),0))=0,0,((Imóveis!$N$2/Imóveis!$S$2)+((Imóveis!$N$2-((Imóveis!$S$2-(IF(AND(Dados!$A870&gt;=Imóveis!$Q$2,Dados!$A870&lt;=Imóveis!$T$2),Imóveis!$S$2-(DATEDIF(Imóveis!$Q$2,Dados!$A870,"m")),)))*(Imóveis!$N$2/Imóveis!$S$2)))*Imóveis!$P$2))))*IF(AND(Imóveis!$E$2&gt;0,Dados!$A870&gt;Imóveis!$E$2),0,1)</f>
        <v>0</v>
      </c>
      <c r="J870" s="18">
        <f>IF(Imóveis!$F$3="PRICE",IF(AND(Dados!$A870&gt;=Imóveis!$Q$3,Dados!$A870&lt;=Imóveis!$T$3),Imóveis!$U$3,0),IF((IF(AND(Dados!$A870&gt;=Imóveis!$Q$3,Dados!$A870&lt;=Imóveis!$T$3),Imóveis!$S$3-(DATEDIF(Imóveis!$Q$3,Dados!$A870,"m")),0))=0,0,((Imóveis!$N$3/Imóveis!$S$3)+((Imóveis!$N$3-((Imóveis!$S$3-(IF(AND(Dados!$A870&gt;=Imóveis!$Q$3,Dados!$A870&lt;=Imóveis!$T$3),Imóveis!$S$3-(DATEDIF(Imóveis!$Q$3,Dados!$A870,"m")),)))*(Imóveis!$N$3/Imóveis!$S$3)))*Imóveis!$P$3))))*IF(AND(Imóveis!$E$3&gt;0,Dados!$A870&gt;Imóveis!$E$3),0,1)</f>
        <v>0</v>
      </c>
      <c r="K870" s="18">
        <f>IF(Imóveis!$F$4="PRICE",IF(AND(Dados!$A870&gt;=Imóveis!$Q$4,Dados!$A870&lt;=Imóveis!$T$4),Imóveis!$U$4,0),IF((IF(AND(Dados!$A870&gt;=Imóveis!$Q$4,Dados!$A870&lt;=Imóveis!$T$4),Imóveis!$S$4-(DATEDIF(Imóveis!$Q$4,Dados!$A870,"m")),0))=0,0,((Imóveis!$N$4/Imóveis!$S$4)+((Imóveis!$N$4-((Imóveis!$S$4-(IF(AND(Dados!$A870&gt;=Imóveis!$Q$4,Dados!$A870&lt;=Imóveis!$T$4),Imóveis!$S$4-(DATEDIF(Imóveis!$Q$4,Dados!$A870,"m")),)))*(Imóveis!$N$4/Imóveis!$S$4)))*Imóveis!$P$4))))*IF(AND(Imóveis!$E$4&gt;0,Dados!$A870&gt;Imóveis!$E$4),0,1)</f>
        <v>0</v>
      </c>
      <c r="L870" s="18">
        <f>IF(Imóveis!$F$5="PRICE",IF(AND(Dados!$A870&gt;=Imóveis!$Q$5,Dados!$A870&lt;=Imóveis!$T$5),Imóveis!$U$5,0),IF((IF(AND(Dados!$A870&gt;=Imóveis!$Q$5,Dados!$A870&lt;=Imóveis!$T$5),Imóveis!$S$5-(DATEDIF(Imóveis!$Q$5,Dados!$A870,"m")),0))=0,0,((Imóveis!$N$5/Imóveis!$S$5)+((Imóveis!$N$5-((Imóveis!$S$5-(IF(AND(Dados!$A870 &gt;=Imóveis!$Q$5,Dados!$A870&lt;=Imóveis!$T$5),Imóveis!$S$5-(DATEDIF(Imóveis!$Q$5,Dados!$A870,"m")),)))*(Imóveis!$N$5/Imóveis!$S$5)))*Imóveis!$P$5))))*IF(AND(Imóveis!$E$5&gt;0,Dados!$A870&gt;Imóveis!$E$5),0,1)*Imóveis!$I$5</f>
        <v>0</v>
      </c>
      <c r="M870" s="18">
        <f>IF(Imóveis!$F$6="PRICE",IF(AND(Dados!$A870&gt;=Imóveis!$Q$6,Dados!$A870&lt;=Imóveis!$T$6),Imóveis!$U$6,0),IF((IF(AND(Dados!$A870&gt;=Imóveis!$Q$6,Dados!$A870&lt;=Imóveis!$T$6),Imóveis!$S$6-(DATEDIF(Imóveis!$Q$6,Dados!$A870,"m")),0))=0,0,((Imóveis!$N$6/Imóveis!$S$6)+((Imóveis!$N$6-((Imóveis!$S$6-(IF(AND(Dados!$A870&gt;=Imóveis!$Q$6,Dados!$A870&lt;=Imóveis!$T$6),Imóveis!$S$6-(DATEDIF(Imóveis!$Q$6,Dados!$A870,"m")),)))*(Imóveis!$N$6/Imóveis!$S$6)))*Imóveis!$P$6))))*IF(AND(Imóveis!$E$6&gt;0,Dados!$A870&gt;Imóveis!$E$6),0,1)*Imóveis!$I$6</f>
        <v>0</v>
      </c>
      <c r="N870" s="18">
        <f t="shared" si="109"/>
        <v>0</v>
      </c>
      <c r="O870" s="18">
        <f>SUMIFS(Receitas!$F:$F,Receitas!$J:$J,"&lt;="&amp;$A870,Receitas!$L:$L,"&gt;="&amp;$A870,Receitas!$C:$C,O$1,Receitas!$M:$M,"Mensal")+SUMIFS(Receitas!$F:$F,Receitas!$J:$J,"&lt;="&amp;$A870,Receitas!$L:$L,"&gt;="&amp;$A870,Receitas!$C:$C,O$1,Receitas!$M:$M,$B870)</f>
        <v>0</v>
      </c>
      <c r="P870" s="18">
        <f>SUMIFS(Receitas!$F:$F,Receitas!$J:$J,"&lt;="&amp;$A870,Receitas!$L:$L,"&gt;="&amp;$A870,Receitas!$C:$C,P$1,Receitas!$M:$M,"Mensal")+SUMIFS(Receitas!$F:$F,Receitas!$J:$J,"&lt;="&amp;$A870,Receitas!$L:$L,"&gt;="&amp;$A870,Receitas!$C:$C,P$1,Receitas!$M:$M,$B870)</f>
        <v>0</v>
      </c>
      <c r="Q870" s="18">
        <f>SUMIFS(Receitas!$F:$F,Receitas!$J:$J,"&lt;="&amp;$A870,Receitas!$L:$L,"&gt;="&amp;$A870,Receitas!$C:$C,Q$1,Receitas!$M:$M,"Mensal")+SUMIFS(Receitas!$F:$F,Receitas!$J:$J,"&lt;="&amp;$A870,Receitas!$L:$L,"&gt;="&amp;$A870,Receitas!$C:$C,Q$1,Receitas!$M:$M,$B870)</f>
        <v>0</v>
      </c>
      <c r="R870" s="18" cm="1">
        <f t="array" ref="R870">(IF(AND(Membros!$F$2="Sim",A870&lt;=MAX(Membros!$E$2:$E$5)),Membros!K$2,IF(AND(A870&gt;=Membros!J$2,A870&lt;=MAX(Membros!$E$2:$E$5)),Membros!K$2,0))+IF(AND(Membros!$F$3="Sim",A870&lt;=MAX(Membros!$E$2:$E$5)),Membros!K$3,IF(AND(A870&gt;=Membros!J$3,A870&lt;=MAX(Membros!$E$2:$E$5)),Membros!K$3,0)))*IF(AND(COUNTIFS(Tabela3[Tipo],"Provedor",Tabela3[Simulação Seguro],"Sim")=2,A870&gt;=MAX(IF(Tabela3[Tipo]="Dependente",Tabela3[Expectativa de Vida (Data)]))),0,1)</f>
        <v>0</v>
      </c>
      <c r="S870" s="18">
        <f t="shared" si="110"/>
        <v>0</v>
      </c>
      <c r="U870" s="18">
        <f t="shared" ca="1" si="113"/>
        <v>80678853.825610295</v>
      </c>
      <c r="V870" s="18">
        <f>SUMIF(Imóveis!E:E,Dados!A:A,Imóveis!Z:Z)-SUMIF(Imóveis!E:E,Dados!A:A,Imóveis!Y:Y)</f>
        <v>0</v>
      </c>
      <c r="W870" s="18">
        <f>-SUMIF(Projetos!N:N,A870,Projetos!F:F)</f>
        <v>0</v>
      </c>
      <c r="X870" s="18">
        <f t="shared" si="107"/>
        <v>0</v>
      </c>
      <c r="Y870" s="26">
        <f ca="1">(U870*((Indicadores_Economicos!D$2+1)^(1/12)-1))</f>
        <v>264121.5733511115</v>
      </c>
      <c r="Z870" s="18">
        <f t="shared" ca="1" si="111"/>
        <v>80942975.39896141</v>
      </c>
      <c r="AA870" s="18">
        <f ca="1">Auxiliar_Projetos!E870</f>
        <v>6.672273359578196E-9</v>
      </c>
      <c r="AB870" s="18">
        <f ca="1">Auxiliar_Projetos!K870</f>
        <v>5.1325179689062995E-9</v>
      </c>
      <c r="AC870" s="18">
        <f ca="1">IF(Z870-AA870-AB870&gt;Investimentos!$C$14,Investimentos!$C$14,IF(Z870-AA870-AB870&lt;Investimentos!$C$14,Z870-AA870-AB870,0))</f>
        <v>300000</v>
      </c>
      <c r="AD870" s="18">
        <f t="shared" ca="1" si="112"/>
        <v>80642975.39896141</v>
      </c>
      <c r="AE870" s="18"/>
    </row>
    <row r="871" spans="1:31" x14ac:dyDescent="0.2">
      <c r="A871" s="4">
        <v>72107</v>
      </c>
      <c r="B871" s="5" t="str">
        <f t="shared" si="108"/>
        <v>junho</v>
      </c>
      <c r="C871" s="5" t="str">
        <f t="shared" si="114"/>
        <v>2097</v>
      </c>
      <c r="D871" s="5">
        <f>SUMIFS(Despesas!$F:$F,Despesas!$J:$J,"&lt;="&amp;$A871,Despesas!$L:$L,"&gt;="&amp;$A871,Despesas!$C:$C,D$1,Despesas!$M:$M,"Mensal")+SUMIFS(Despesas!$F:$F,Despesas!$J:$J,"&lt;="&amp;$A871,Despesas!$L:$L,"&gt;="&amp;$A871,Despesas!$C:$C,D$1,Despesas!$M:$M,$B871)</f>
        <v>0</v>
      </c>
      <c r="E871" s="18">
        <f>SUMIFS(Despesas!$F:$F,Despesas!$J:$J,"&lt;="&amp;$A871,Despesas!$L:$L,"&gt;="&amp;$A871,Despesas!$C:$C,E$1,Despesas!$M:$M,"Mensal")+SUMIFS(Despesas!$F:$F,Despesas!$J:$J,"&lt;="&amp;$A871,Despesas!$L:$L,"&gt;="&amp;$A871,Despesas!$C:$C,E$1,Despesas!$M:$M,$B871)</f>
        <v>0</v>
      </c>
      <c r="F871" s="5">
        <f>SUMIFS(Despesas!$F:$F,Despesas!$J:$J,"&lt;="&amp;$A871,Despesas!$L:$L,"&gt;="&amp;$A871,Despesas!$C:$C,F$1,Despesas!$M:$M,"Mensal")+SUMIFS(Despesas!$F:$F,Despesas!$J:$J,"&lt;="&amp;$A871,Despesas!$L:$L,"&gt;="&amp;$A871,Despesas!$C:$C,F$1,Despesas!$M:$M,$B871)</f>
        <v>0</v>
      </c>
      <c r="G871" s="5">
        <f>SUMIFS(Despesas!$F:$F,Despesas!$J:$J,"&lt;="&amp;$A871,Despesas!$L:$L,"&gt;="&amp;$A871,Despesas!$C:$C,G$1,Despesas!$M:$M,"Mensal")+SUMIFS(Despesas!$F:$F,Despesas!$J:$J,"&lt;="&amp;$A871,Despesas!$L:$L,"&gt;="&amp;$A871,Despesas!$C:$C,G$1,Despesas!$M:$M,$B871)</f>
        <v>0</v>
      </c>
      <c r="H871" s="18">
        <f>SUMIFS(Despesas!$F:$F,Despesas!$J:$J,"&lt;="&amp;$A871,Despesas!$L:$L,"&gt;="&amp;$A871,Despesas!$C:$C,H$1,Despesas!$M:$M,"Mensal")+SUMIFS(Despesas!$F:$F,Despesas!$J:$J,"&lt;="&amp;$A871,Despesas!$L:$L,"&gt;="&amp;$A871,Despesas!$C:$C,H$1,Despesas!$M:$M,$B871)</f>
        <v>0</v>
      </c>
      <c r="I871" s="18">
        <f>IF(Imóveis!$F$2="PRICE",IF(AND(Dados!$A871&gt;=Imóveis!$Q$2,Dados!$A871&lt;=Imóveis!$T$2),Imóveis!$U$2,0),IF((IF(AND(Dados!$A871&gt;=Imóveis!$Q$2,Dados!$A871&lt;=Imóveis!$T$2),Imóveis!$S$2-(DATEDIF(Imóveis!$Q$2,Dados!$A871,"m")),0))=0,0,((Imóveis!$N$2/Imóveis!$S$2)+((Imóveis!$N$2-((Imóveis!$S$2-(IF(AND(Dados!$A871&gt;=Imóveis!$Q$2,Dados!$A871&lt;=Imóveis!$T$2),Imóveis!$S$2-(DATEDIF(Imóveis!$Q$2,Dados!$A871,"m")),)))*(Imóveis!$N$2/Imóveis!$S$2)))*Imóveis!$P$2))))*IF(AND(Imóveis!$E$2&gt;0,Dados!$A871&gt;Imóveis!$E$2),0,1)</f>
        <v>0</v>
      </c>
      <c r="J871" s="18">
        <f>IF(Imóveis!$F$3="PRICE",IF(AND(Dados!$A871&gt;=Imóveis!$Q$3,Dados!$A871&lt;=Imóveis!$T$3),Imóveis!$U$3,0),IF((IF(AND(Dados!$A871&gt;=Imóveis!$Q$3,Dados!$A871&lt;=Imóveis!$T$3),Imóveis!$S$3-(DATEDIF(Imóveis!$Q$3,Dados!$A871,"m")),0))=0,0,((Imóveis!$N$3/Imóveis!$S$3)+((Imóveis!$N$3-((Imóveis!$S$3-(IF(AND(Dados!$A871&gt;=Imóveis!$Q$3,Dados!$A871&lt;=Imóveis!$T$3),Imóveis!$S$3-(DATEDIF(Imóveis!$Q$3,Dados!$A871,"m")),)))*(Imóveis!$N$3/Imóveis!$S$3)))*Imóveis!$P$3))))*IF(AND(Imóveis!$E$3&gt;0,Dados!$A871&gt;Imóveis!$E$3),0,1)</f>
        <v>0</v>
      </c>
      <c r="K871" s="18">
        <f>IF(Imóveis!$F$4="PRICE",IF(AND(Dados!$A871&gt;=Imóveis!$Q$4,Dados!$A871&lt;=Imóveis!$T$4),Imóveis!$U$4,0),IF((IF(AND(Dados!$A871&gt;=Imóveis!$Q$4,Dados!$A871&lt;=Imóveis!$T$4),Imóveis!$S$4-(DATEDIF(Imóveis!$Q$4,Dados!$A871,"m")),0))=0,0,((Imóveis!$N$4/Imóveis!$S$4)+((Imóveis!$N$4-((Imóveis!$S$4-(IF(AND(Dados!$A871&gt;=Imóveis!$Q$4,Dados!$A871&lt;=Imóveis!$T$4),Imóveis!$S$4-(DATEDIF(Imóveis!$Q$4,Dados!$A871,"m")),)))*(Imóveis!$N$4/Imóveis!$S$4)))*Imóveis!$P$4))))*IF(AND(Imóveis!$E$4&gt;0,Dados!$A871&gt;Imóveis!$E$4),0,1)</f>
        <v>0</v>
      </c>
      <c r="L871" s="18">
        <f>IF(Imóveis!$F$5="PRICE",IF(AND(Dados!$A871&gt;=Imóveis!$Q$5,Dados!$A871&lt;=Imóveis!$T$5),Imóveis!$U$5,0),IF((IF(AND(Dados!$A871&gt;=Imóveis!$Q$5,Dados!$A871&lt;=Imóveis!$T$5),Imóveis!$S$5-(DATEDIF(Imóveis!$Q$5,Dados!$A871,"m")),0))=0,0,((Imóveis!$N$5/Imóveis!$S$5)+((Imóveis!$N$5-((Imóveis!$S$5-(IF(AND(Dados!$A871 &gt;=Imóveis!$Q$5,Dados!$A871&lt;=Imóveis!$T$5),Imóveis!$S$5-(DATEDIF(Imóveis!$Q$5,Dados!$A871,"m")),)))*(Imóveis!$N$5/Imóveis!$S$5)))*Imóveis!$P$5))))*IF(AND(Imóveis!$E$5&gt;0,Dados!$A871&gt;Imóveis!$E$5),0,1)*Imóveis!$I$5</f>
        <v>0</v>
      </c>
      <c r="M871" s="18">
        <f>IF(Imóveis!$F$6="PRICE",IF(AND(Dados!$A871&gt;=Imóveis!$Q$6,Dados!$A871&lt;=Imóveis!$T$6),Imóveis!$U$6,0),IF((IF(AND(Dados!$A871&gt;=Imóveis!$Q$6,Dados!$A871&lt;=Imóveis!$T$6),Imóveis!$S$6-(DATEDIF(Imóveis!$Q$6,Dados!$A871,"m")),0))=0,0,((Imóveis!$N$6/Imóveis!$S$6)+((Imóveis!$N$6-((Imóveis!$S$6-(IF(AND(Dados!$A871&gt;=Imóveis!$Q$6,Dados!$A871&lt;=Imóveis!$T$6),Imóveis!$S$6-(DATEDIF(Imóveis!$Q$6,Dados!$A871,"m")),)))*(Imóveis!$N$6/Imóveis!$S$6)))*Imóveis!$P$6))))*IF(AND(Imóveis!$E$6&gt;0,Dados!$A871&gt;Imóveis!$E$6),0,1)*Imóveis!$I$6</f>
        <v>0</v>
      </c>
      <c r="N871" s="18">
        <f t="shared" si="109"/>
        <v>0</v>
      </c>
      <c r="O871" s="18">
        <f>SUMIFS(Receitas!$F:$F,Receitas!$J:$J,"&lt;="&amp;$A871,Receitas!$L:$L,"&gt;="&amp;$A871,Receitas!$C:$C,O$1,Receitas!$M:$M,"Mensal")+SUMIFS(Receitas!$F:$F,Receitas!$J:$J,"&lt;="&amp;$A871,Receitas!$L:$L,"&gt;="&amp;$A871,Receitas!$C:$C,O$1,Receitas!$M:$M,$B871)</f>
        <v>0</v>
      </c>
      <c r="P871" s="18">
        <f>SUMIFS(Receitas!$F:$F,Receitas!$J:$J,"&lt;="&amp;$A871,Receitas!$L:$L,"&gt;="&amp;$A871,Receitas!$C:$C,P$1,Receitas!$M:$M,"Mensal")+SUMIFS(Receitas!$F:$F,Receitas!$J:$J,"&lt;="&amp;$A871,Receitas!$L:$L,"&gt;="&amp;$A871,Receitas!$C:$C,P$1,Receitas!$M:$M,$B871)</f>
        <v>0</v>
      </c>
      <c r="Q871" s="18">
        <f>SUMIFS(Receitas!$F:$F,Receitas!$J:$J,"&lt;="&amp;$A871,Receitas!$L:$L,"&gt;="&amp;$A871,Receitas!$C:$C,Q$1,Receitas!$M:$M,"Mensal")+SUMIFS(Receitas!$F:$F,Receitas!$J:$J,"&lt;="&amp;$A871,Receitas!$L:$L,"&gt;="&amp;$A871,Receitas!$C:$C,Q$1,Receitas!$M:$M,$B871)</f>
        <v>0</v>
      </c>
      <c r="R871" s="18" cm="1">
        <f t="array" ref="R871">(IF(AND(Membros!$F$2="Sim",A871&lt;=MAX(Membros!$E$2:$E$5)),Membros!K$2,IF(AND(A871&gt;=Membros!J$2,A871&lt;=MAX(Membros!$E$2:$E$5)),Membros!K$2,0))+IF(AND(Membros!$F$3="Sim",A871&lt;=MAX(Membros!$E$2:$E$5)),Membros!K$3,IF(AND(A871&gt;=Membros!J$3,A871&lt;=MAX(Membros!$E$2:$E$5)),Membros!K$3,0)))*IF(AND(COUNTIFS(Tabela3[Tipo],"Provedor",Tabela3[Simulação Seguro],"Sim")=2,A871&gt;=MAX(IF(Tabela3[Tipo]="Dependente",Tabela3[Expectativa de Vida (Data)]))),0,1)</f>
        <v>0</v>
      </c>
      <c r="S871" s="18">
        <f t="shared" si="110"/>
        <v>0</v>
      </c>
      <c r="U871" s="18">
        <f t="shared" ca="1" si="113"/>
        <v>80942975.39896141</v>
      </c>
      <c r="V871" s="18">
        <f>SUMIF(Imóveis!E:E,Dados!A:A,Imóveis!Z:Z)-SUMIF(Imóveis!E:E,Dados!A:A,Imóveis!Y:Y)</f>
        <v>0</v>
      </c>
      <c r="W871" s="18">
        <f>-SUMIF(Projetos!N:N,A871,Projetos!F:F)</f>
        <v>0</v>
      </c>
      <c r="X871" s="18">
        <f t="shared" si="107"/>
        <v>0</v>
      </c>
      <c r="Y871" s="26">
        <f ca="1">(U871*((Indicadores_Economicos!D$2+1)^(1/12)-1))</f>
        <v>264986.23865312804</v>
      </c>
      <c r="Z871" s="18">
        <f t="shared" ca="1" si="111"/>
        <v>81207961.637614533</v>
      </c>
      <c r="AA871" s="18">
        <f ca="1">Auxiliar_Projetos!E871</f>
        <v>6.6941166463131528E-9</v>
      </c>
      <c r="AB871" s="18">
        <f ca="1">Auxiliar_Projetos!K871</f>
        <v>5.1493204971639591E-9</v>
      </c>
      <c r="AC871" s="18">
        <f ca="1">IF(Z871-AA871-AB871&gt;Investimentos!$C$14,Investimentos!$C$14,IF(Z871-AA871-AB871&lt;Investimentos!$C$14,Z871-AA871-AB871,0))</f>
        <v>300000</v>
      </c>
      <c r="AD871" s="18">
        <f t="shared" ca="1" si="112"/>
        <v>80907961.637614533</v>
      </c>
      <c r="AE871" s="18"/>
    </row>
    <row r="872" spans="1:31" x14ac:dyDescent="0.2">
      <c r="A872" s="4">
        <v>72137</v>
      </c>
      <c r="B872" s="5" t="str">
        <f t="shared" si="108"/>
        <v>julho</v>
      </c>
      <c r="C872" s="5" t="str">
        <f t="shared" si="114"/>
        <v>2097</v>
      </c>
      <c r="D872" s="5">
        <f>SUMIFS(Despesas!$F:$F,Despesas!$J:$J,"&lt;="&amp;$A872,Despesas!$L:$L,"&gt;="&amp;$A872,Despesas!$C:$C,D$1,Despesas!$M:$M,"Mensal")+SUMIFS(Despesas!$F:$F,Despesas!$J:$J,"&lt;="&amp;$A872,Despesas!$L:$L,"&gt;="&amp;$A872,Despesas!$C:$C,D$1,Despesas!$M:$M,$B872)</f>
        <v>0</v>
      </c>
      <c r="E872" s="18">
        <f>SUMIFS(Despesas!$F:$F,Despesas!$J:$J,"&lt;="&amp;$A872,Despesas!$L:$L,"&gt;="&amp;$A872,Despesas!$C:$C,E$1,Despesas!$M:$M,"Mensal")+SUMIFS(Despesas!$F:$F,Despesas!$J:$J,"&lt;="&amp;$A872,Despesas!$L:$L,"&gt;="&amp;$A872,Despesas!$C:$C,E$1,Despesas!$M:$M,$B872)</f>
        <v>0</v>
      </c>
      <c r="F872" s="5">
        <f>SUMIFS(Despesas!$F:$F,Despesas!$J:$J,"&lt;="&amp;$A872,Despesas!$L:$L,"&gt;="&amp;$A872,Despesas!$C:$C,F$1,Despesas!$M:$M,"Mensal")+SUMIFS(Despesas!$F:$F,Despesas!$J:$J,"&lt;="&amp;$A872,Despesas!$L:$L,"&gt;="&amp;$A872,Despesas!$C:$C,F$1,Despesas!$M:$M,$B872)</f>
        <v>0</v>
      </c>
      <c r="G872" s="5">
        <f>SUMIFS(Despesas!$F:$F,Despesas!$J:$J,"&lt;="&amp;$A872,Despesas!$L:$L,"&gt;="&amp;$A872,Despesas!$C:$C,G$1,Despesas!$M:$M,"Mensal")+SUMIFS(Despesas!$F:$F,Despesas!$J:$J,"&lt;="&amp;$A872,Despesas!$L:$L,"&gt;="&amp;$A872,Despesas!$C:$C,G$1,Despesas!$M:$M,$B872)</f>
        <v>0</v>
      </c>
      <c r="H872" s="18">
        <f>SUMIFS(Despesas!$F:$F,Despesas!$J:$J,"&lt;="&amp;$A872,Despesas!$L:$L,"&gt;="&amp;$A872,Despesas!$C:$C,H$1,Despesas!$M:$M,"Mensal")+SUMIFS(Despesas!$F:$F,Despesas!$J:$J,"&lt;="&amp;$A872,Despesas!$L:$L,"&gt;="&amp;$A872,Despesas!$C:$C,H$1,Despesas!$M:$M,$B872)</f>
        <v>0</v>
      </c>
      <c r="I872" s="18">
        <f>IF(Imóveis!$F$2="PRICE",IF(AND(Dados!$A872&gt;=Imóveis!$Q$2,Dados!$A872&lt;=Imóveis!$T$2),Imóveis!$U$2,0),IF((IF(AND(Dados!$A872&gt;=Imóveis!$Q$2,Dados!$A872&lt;=Imóveis!$T$2),Imóveis!$S$2-(DATEDIF(Imóveis!$Q$2,Dados!$A872,"m")),0))=0,0,((Imóveis!$N$2/Imóveis!$S$2)+((Imóveis!$N$2-((Imóveis!$S$2-(IF(AND(Dados!$A872&gt;=Imóveis!$Q$2,Dados!$A872&lt;=Imóveis!$T$2),Imóveis!$S$2-(DATEDIF(Imóveis!$Q$2,Dados!$A872,"m")),)))*(Imóveis!$N$2/Imóveis!$S$2)))*Imóveis!$P$2))))*IF(AND(Imóveis!$E$2&gt;0,Dados!$A872&gt;Imóveis!$E$2),0,1)</f>
        <v>0</v>
      </c>
      <c r="J872" s="18">
        <f>IF(Imóveis!$F$3="PRICE",IF(AND(Dados!$A872&gt;=Imóveis!$Q$3,Dados!$A872&lt;=Imóveis!$T$3),Imóveis!$U$3,0),IF((IF(AND(Dados!$A872&gt;=Imóveis!$Q$3,Dados!$A872&lt;=Imóveis!$T$3),Imóveis!$S$3-(DATEDIF(Imóveis!$Q$3,Dados!$A872,"m")),0))=0,0,((Imóveis!$N$3/Imóveis!$S$3)+((Imóveis!$N$3-((Imóveis!$S$3-(IF(AND(Dados!$A872&gt;=Imóveis!$Q$3,Dados!$A872&lt;=Imóveis!$T$3),Imóveis!$S$3-(DATEDIF(Imóveis!$Q$3,Dados!$A872,"m")),)))*(Imóveis!$N$3/Imóveis!$S$3)))*Imóveis!$P$3))))*IF(AND(Imóveis!$E$3&gt;0,Dados!$A872&gt;Imóveis!$E$3),0,1)</f>
        <v>0</v>
      </c>
      <c r="K872" s="18">
        <f>IF(Imóveis!$F$4="PRICE",IF(AND(Dados!$A872&gt;=Imóveis!$Q$4,Dados!$A872&lt;=Imóveis!$T$4),Imóveis!$U$4,0),IF((IF(AND(Dados!$A872&gt;=Imóveis!$Q$4,Dados!$A872&lt;=Imóveis!$T$4),Imóveis!$S$4-(DATEDIF(Imóveis!$Q$4,Dados!$A872,"m")),0))=0,0,((Imóveis!$N$4/Imóveis!$S$4)+((Imóveis!$N$4-((Imóveis!$S$4-(IF(AND(Dados!$A872&gt;=Imóveis!$Q$4,Dados!$A872&lt;=Imóveis!$T$4),Imóveis!$S$4-(DATEDIF(Imóveis!$Q$4,Dados!$A872,"m")),)))*(Imóveis!$N$4/Imóveis!$S$4)))*Imóveis!$P$4))))*IF(AND(Imóveis!$E$4&gt;0,Dados!$A872&gt;Imóveis!$E$4),0,1)</f>
        <v>0</v>
      </c>
      <c r="L872" s="18">
        <f>IF(Imóveis!$F$5="PRICE",IF(AND(Dados!$A872&gt;=Imóveis!$Q$5,Dados!$A872&lt;=Imóveis!$T$5),Imóveis!$U$5,0),IF((IF(AND(Dados!$A872&gt;=Imóveis!$Q$5,Dados!$A872&lt;=Imóveis!$T$5),Imóveis!$S$5-(DATEDIF(Imóveis!$Q$5,Dados!$A872,"m")),0))=0,0,((Imóveis!$N$5/Imóveis!$S$5)+((Imóveis!$N$5-((Imóveis!$S$5-(IF(AND(Dados!$A872 &gt;=Imóveis!$Q$5,Dados!$A872&lt;=Imóveis!$T$5),Imóveis!$S$5-(DATEDIF(Imóveis!$Q$5,Dados!$A872,"m")),)))*(Imóveis!$N$5/Imóveis!$S$5)))*Imóveis!$P$5))))*IF(AND(Imóveis!$E$5&gt;0,Dados!$A872&gt;Imóveis!$E$5),0,1)*Imóveis!$I$5</f>
        <v>0</v>
      </c>
      <c r="M872" s="18">
        <f>IF(Imóveis!$F$6="PRICE",IF(AND(Dados!$A872&gt;=Imóveis!$Q$6,Dados!$A872&lt;=Imóveis!$T$6),Imóveis!$U$6,0),IF((IF(AND(Dados!$A872&gt;=Imóveis!$Q$6,Dados!$A872&lt;=Imóveis!$T$6),Imóveis!$S$6-(DATEDIF(Imóveis!$Q$6,Dados!$A872,"m")),0))=0,0,((Imóveis!$N$6/Imóveis!$S$6)+((Imóveis!$N$6-((Imóveis!$S$6-(IF(AND(Dados!$A872&gt;=Imóveis!$Q$6,Dados!$A872&lt;=Imóveis!$T$6),Imóveis!$S$6-(DATEDIF(Imóveis!$Q$6,Dados!$A872,"m")),)))*(Imóveis!$N$6/Imóveis!$S$6)))*Imóveis!$P$6))))*IF(AND(Imóveis!$E$6&gt;0,Dados!$A872&gt;Imóveis!$E$6),0,1)*Imóveis!$I$6</f>
        <v>0</v>
      </c>
      <c r="N872" s="18">
        <f t="shared" si="109"/>
        <v>0</v>
      </c>
      <c r="O872" s="18">
        <f>SUMIFS(Receitas!$F:$F,Receitas!$J:$J,"&lt;="&amp;$A872,Receitas!$L:$L,"&gt;="&amp;$A872,Receitas!$C:$C,O$1,Receitas!$M:$M,"Mensal")+SUMIFS(Receitas!$F:$F,Receitas!$J:$J,"&lt;="&amp;$A872,Receitas!$L:$L,"&gt;="&amp;$A872,Receitas!$C:$C,O$1,Receitas!$M:$M,$B872)</f>
        <v>0</v>
      </c>
      <c r="P872" s="18">
        <f>SUMIFS(Receitas!$F:$F,Receitas!$J:$J,"&lt;="&amp;$A872,Receitas!$L:$L,"&gt;="&amp;$A872,Receitas!$C:$C,P$1,Receitas!$M:$M,"Mensal")+SUMIFS(Receitas!$F:$F,Receitas!$J:$J,"&lt;="&amp;$A872,Receitas!$L:$L,"&gt;="&amp;$A872,Receitas!$C:$C,P$1,Receitas!$M:$M,$B872)</f>
        <v>0</v>
      </c>
      <c r="Q872" s="18">
        <f>SUMIFS(Receitas!$F:$F,Receitas!$J:$J,"&lt;="&amp;$A872,Receitas!$L:$L,"&gt;="&amp;$A872,Receitas!$C:$C,Q$1,Receitas!$M:$M,"Mensal")+SUMIFS(Receitas!$F:$F,Receitas!$J:$J,"&lt;="&amp;$A872,Receitas!$L:$L,"&gt;="&amp;$A872,Receitas!$C:$C,Q$1,Receitas!$M:$M,$B872)</f>
        <v>0</v>
      </c>
      <c r="R872" s="18" cm="1">
        <f t="array" ref="R872">(IF(AND(Membros!$F$2="Sim",A872&lt;=MAX(Membros!$E$2:$E$5)),Membros!K$2,IF(AND(A872&gt;=Membros!J$2,A872&lt;=MAX(Membros!$E$2:$E$5)),Membros!K$2,0))+IF(AND(Membros!$F$3="Sim",A872&lt;=MAX(Membros!$E$2:$E$5)),Membros!K$3,IF(AND(A872&gt;=Membros!J$3,A872&lt;=MAX(Membros!$E$2:$E$5)),Membros!K$3,0)))*IF(AND(COUNTIFS(Tabela3[Tipo],"Provedor",Tabela3[Simulação Seguro],"Sim")=2,A872&gt;=MAX(IF(Tabela3[Tipo]="Dependente",Tabela3[Expectativa de Vida (Data)]))),0,1)</f>
        <v>0</v>
      </c>
      <c r="S872" s="18">
        <f t="shared" si="110"/>
        <v>0</v>
      </c>
      <c r="U872" s="18">
        <f t="shared" ca="1" si="113"/>
        <v>81207961.637614533</v>
      </c>
      <c r="V872" s="18">
        <f>SUMIF(Imóveis!E:E,Dados!A:A,Imóveis!Z:Z)-SUMIF(Imóveis!E:E,Dados!A:A,Imóveis!Y:Y)</f>
        <v>0</v>
      </c>
      <c r="W872" s="18">
        <f>-SUMIF(Projetos!N:N,A872,Projetos!F:F)</f>
        <v>0</v>
      </c>
      <c r="X872" s="18">
        <f t="shared" si="107"/>
        <v>0</v>
      </c>
      <c r="Y872" s="26">
        <f ca="1">(U872*((Indicadores_Economicos!D$2+1)^(1/12)-1))</f>
        <v>265853.73464434198</v>
      </c>
      <c r="Z872" s="18">
        <f t="shared" ca="1" si="111"/>
        <v>81473815.372258872</v>
      </c>
      <c r="AA872" s="18">
        <f ca="1">Auxiliar_Projetos!E872</f>
        <v>6.7160314422848679E-9</v>
      </c>
      <c r="AB872" s="18">
        <f ca="1">Auxiliar_Projetos!K872</f>
        <v>5.1661780325268173E-9</v>
      </c>
      <c r="AC872" s="18">
        <f ca="1">IF(Z872-AA872-AB872&gt;Investimentos!$C$14,Investimentos!$C$14,IF(Z872-AA872-AB872&lt;Investimentos!$C$14,Z872-AA872-AB872,0))</f>
        <v>300000</v>
      </c>
      <c r="AD872" s="18">
        <f t="shared" ca="1" si="112"/>
        <v>81173815.372258872</v>
      </c>
      <c r="AE872" s="18"/>
    </row>
    <row r="873" spans="1:31" x14ac:dyDescent="0.2">
      <c r="A873" s="4">
        <v>72168</v>
      </c>
      <c r="B873" s="5" t="str">
        <f t="shared" si="108"/>
        <v>agosto</v>
      </c>
      <c r="C873" s="5" t="str">
        <f t="shared" si="114"/>
        <v>2097</v>
      </c>
      <c r="D873" s="5">
        <f>SUMIFS(Despesas!$F:$F,Despesas!$J:$J,"&lt;="&amp;$A873,Despesas!$L:$L,"&gt;="&amp;$A873,Despesas!$C:$C,D$1,Despesas!$M:$M,"Mensal")+SUMIFS(Despesas!$F:$F,Despesas!$J:$J,"&lt;="&amp;$A873,Despesas!$L:$L,"&gt;="&amp;$A873,Despesas!$C:$C,D$1,Despesas!$M:$M,$B873)</f>
        <v>0</v>
      </c>
      <c r="E873" s="18">
        <f>SUMIFS(Despesas!$F:$F,Despesas!$J:$J,"&lt;="&amp;$A873,Despesas!$L:$L,"&gt;="&amp;$A873,Despesas!$C:$C,E$1,Despesas!$M:$M,"Mensal")+SUMIFS(Despesas!$F:$F,Despesas!$J:$J,"&lt;="&amp;$A873,Despesas!$L:$L,"&gt;="&amp;$A873,Despesas!$C:$C,E$1,Despesas!$M:$M,$B873)</f>
        <v>0</v>
      </c>
      <c r="F873" s="5">
        <f>SUMIFS(Despesas!$F:$F,Despesas!$J:$J,"&lt;="&amp;$A873,Despesas!$L:$L,"&gt;="&amp;$A873,Despesas!$C:$C,F$1,Despesas!$M:$M,"Mensal")+SUMIFS(Despesas!$F:$F,Despesas!$J:$J,"&lt;="&amp;$A873,Despesas!$L:$L,"&gt;="&amp;$A873,Despesas!$C:$C,F$1,Despesas!$M:$M,$B873)</f>
        <v>0</v>
      </c>
      <c r="G873" s="5">
        <f>SUMIFS(Despesas!$F:$F,Despesas!$J:$J,"&lt;="&amp;$A873,Despesas!$L:$L,"&gt;="&amp;$A873,Despesas!$C:$C,G$1,Despesas!$M:$M,"Mensal")+SUMIFS(Despesas!$F:$F,Despesas!$J:$J,"&lt;="&amp;$A873,Despesas!$L:$L,"&gt;="&amp;$A873,Despesas!$C:$C,G$1,Despesas!$M:$M,$B873)</f>
        <v>0</v>
      </c>
      <c r="H873" s="18">
        <f>SUMIFS(Despesas!$F:$F,Despesas!$J:$J,"&lt;="&amp;$A873,Despesas!$L:$L,"&gt;="&amp;$A873,Despesas!$C:$C,H$1,Despesas!$M:$M,"Mensal")+SUMIFS(Despesas!$F:$F,Despesas!$J:$J,"&lt;="&amp;$A873,Despesas!$L:$L,"&gt;="&amp;$A873,Despesas!$C:$C,H$1,Despesas!$M:$M,$B873)</f>
        <v>0</v>
      </c>
      <c r="I873" s="18">
        <f>IF(Imóveis!$F$2="PRICE",IF(AND(Dados!$A873&gt;=Imóveis!$Q$2,Dados!$A873&lt;=Imóveis!$T$2),Imóveis!$U$2,0),IF((IF(AND(Dados!$A873&gt;=Imóveis!$Q$2,Dados!$A873&lt;=Imóveis!$T$2),Imóveis!$S$2-(DATEDIF(Imóveis!$Q$2,Dados!$A873,"m")),0))=0,0,((Imóveis!$N$2/Imóveis!$S$2)+((Imóveis!$N$2-((Imóveis!$S$2-(IF(AND(Dados!$A873&gt;=Imóveis!$Q$2,Dados!$A873&lt;=Imóveis!$T$2),Imóveis!$S$2-(DATEDIF(Imóveis!$Q$2,Dados!$A873,"m")),)))*(Imóveis!$N$2/Imóveis!$S$2)))*Imóveis!$P$2))))*IF(AND(Imóveis!$E$2&gt;0,Dados!$A873&gt;Imóveis!$E$2),0,1)</f>
        <v>0</v>
      </c>
      <c r="J873" s="18">
        <f>IF(Imóveis!$F$3="PRICE",IF(AND(Dados!$A873&gt;=Imóveis!$Q$3,Dados!$A873&lt;=Imóveis!$T$3),Imóveis!$U$3,0),IF((IF(AND(Dados!$A873&gt;=Imóveis!$Q$3,Dados!$A873&lt;=Imóveis!$T$3),Imóveis!$S$3-(DATEDIF(Imóveis!$Q$3,Dados!$A873,"m")),0))=0,0,((Imóveis!$N$3/Imóveis!$S$3)+((Imóveis!$N$3-((Imóveis!$S$3-(IF(AND(Dados!$A873&gt;=Imóveis!$Q$3,Dados!$A873&lt;=Imóveis!$T$3),Imóveis!$S$3-(DATEDIF(Imóveis!$Q$3,Dados!$A873,"m")),)))*(Imóveis!$N$3/Imóveis!$S$3)))*Imóveis!$P$3))))*IF(AND(Imóveis!$E$3&gt;0,Dados!$A873&gt;Imóveis!$E$3),0,1)</f>
        <v>0</v>
      </c>
      <c r="K873" s="18">
        <f>IF(Imóveis!$F$4="PRICE",IF(AND(Dados!$A873&gt;=Imóveis!$Q$4,Dados!$A873&lt;=Imóveis!$T$4),Imóveis!$U$4,0),IF((IF(AND(Dados!$A873&gt;=Imóveis!$Q$4,Dados!$A873&lt;=Imóveis!$T$4),Imóveis!$S$4-(DATEDIF(Imóveis!$Q$4,Dados!$A873,"m")),0))=0,0,((Imóveis!$N$4/Imóveis!$S$4)+((Imóveis!$N$4-((Imóveis!$S$4-(IF(AND(Dados!$A873&gt;=Imóveis!$Q$4,Dados!$A873&lt;=Imóveis!$T$4),Imóveis!$S$4-(DATEDIF(Imóveis!$Q$4,Dados!$A873,"m")),)))*(Imóveis!$N$4/Imóveis!$S$4)))*Imóveis!$P$4))))*IF(AND(Imóveis!$E$4&gt;0,Dados!$A873&gt;Imóveis!$E$4),0,1)</f>
        <v>0</v>
      </c>
      <c r="L873" s="18">
        <f>IF(Imóveis!$F$5="PRICE",IF(AND(Dados!$A873&gt;=Imóveis!$Q$5,Dados!$A873&lt;=Imóveis!$T$5),Imóveis!$U$5,0),IF((IF(AND(Dados!$A873&gt;=Imóveis!$Q$5,Dados!$A873&lt;=Imóveis!$T$5),Imóveis!$S$5-(DATEDIF(Imóveis!$Q$5,Dados!$A873,"m")),0))=0,0,((Imóveis!$N$5/Imóveis!$S$5)+((Imóveis!$N$5-((Imóveis!$S$5-(IF(AND(Dados!$A873 &gt;=Imóveis!$Q$5,Dados!$A873&lt;=Imóveis!$T$5),Imóveis!$S$5-(DATEDIF(Imóveis!$Q$5,Dados!$A873,"m")),)))*(Imóveis!$N$5/Imóveis!$S$5)))*Imóveis!$P$5))))*IF(AND(Imóveis!$E$5&gt;0,Dados!$A873&gt;Imóveis!$E$5),0,1)*Imóveis!$I$5</f>
        <v>0</v>
      </c>
      <c r="M873" s="18">
        <f>IF(Imóveis!$F$6="PRICE",IF(AND(Dados!$A873&gt;=Imóveis!$Q$6,Dados!$A873&lt;=Imóveis!$T$6),Imóveis!$U$6,0),IF((IF(AND(Dados!$A873&gt;=Imóveis!$Q$6,Dados!$A873&lt;=Imóveis!$T$6),Imóveis!$S$6-(DATEDIF(Imóveis!$Q$6,Dados!$A873,"m")),0))=0,0,((Imóveis!$N$6/Imóveis!$S$6)+((Imóveis!$N$6-((Imóveis!$S$6-(IF(AND(Dados!$A873&gt;=Imóveis!$Q$6,Dados!$A873&lt;=Imóveis!$T$6),Imóveis!$S$6-(DATEDIF(Imóveis!$Q$6,Dados!$A873,"m")),)))*(Imóveis!$N$6/Imóveis!$S$6)))*Imóveis!$P$6))))*IF(AND(Imóveis!$E$6&gt;0,Dados!$A873&gt;Imóveis!$E$6),0,1)*Imóveis!$I$6</f>
        <v>0</v>
      </c>
      <c r="N873" s="18">
        <f t="shared" si="109"/>
        <v>0</v>
      </c>
      <c r="O873" s="18">
        <f>SUMIFS(Receitas!$F:$F,Receitas!$J:$J,"&lt;="&amp;$A873,Receitas!$L:$L,"&gt;="&amp;$A873,Receitas!$C:$C,O$1,Receitas!$M:$M,"Mensal")+SUMIFS(Receitas!$F:$F,Receitas!$J:$J,"&lt;="&amp;$A873,Receitas!$L:$L,"&gt;="&amp;$A873,Receitas!$C:$C,O$1,Receitas!$M:$M,$B873)</f>
        <v>0</v>
      </c>
      <c r="P873" s="18">
        <f>SUMIFS(Receitas!$F:$F,Receitas!$J:$J,"&lt;="&amp;$A873,Receitas!$L:$L,"&gt;="&amp;$A873,Receitas!$C:$C,P$1,Receitas!$M:$M,"Mensal")+SUMIFS(Receitas!$F:$F,Receitas!$J:$J,"&lt;="&amp;$A873,Receitas!$L:$L,"&gt;="&amp;$A873,Receitas!$C:$C,P$1,Receitas!$M:$M,$B873)</f>
        <v>0</v>
      </c>
      <c r="Q873" s="18">
        <f>SUMIFS(Receitas!$F:$F,Receitas!$J:$J,"&lt;="&amp;$A873,Receitas!$L:$L,"&gt;="&amp;$A873,Receitas!$C:$C,Q$1,Receitas!$M:$M,"Mensal")+SUMIFS(Receitas!$F:$F,Receitas!$J:$J,"&lt;="&amp;$A873,Receitas!$L:$L,"&gt;="&amp;$A873,Receitas!$C:$C,Q$1,Receitas!$M:$M,$B873)</f>
        <v>0</v>
      </c>
      <c r="R873" s="18" cm="1">
        <f t="array" ref="R873">(IF(AND(Membros!$F$2="Sim",A873&lt;=MAX(Membros!$E$2:$E$5)),Membros!K$2,IF(AND(A873&gt;=Membros!J$2,A873&lt;=MAX(Membros!$E$2:$E$5)),Membros!K$2,0))+IF(AND(Membros!$F$3="Sim",A873&lt;=MAX(Membros!$E$2:$E$5)),Membros!K$3,IF(AND(A873&gt;=Membros!J$3,A873&lt;=MAX(Membros!$E$2:$E$5)),Membros!K$3,0)))*IF(AND(COUNTIFS(Tabela3[Tipo],"Provedor",Tabela3[Simulação Seguro],"Sim")=2,A873&gt;=MAX(IF(Tabela3[Tipo]="Dependente",Tabela3[Expectativa de Vida (Data)]))),0,1)</f>
        <v>0</v>
      </c>
      <c r="S873" s="18">
        <f t="shared" si="110"/>
        <v>0</v>
      </c>
      <c r="U873" s="18">
        <f t="shared" ca="1" si="113"/>
        <v>81473815.372258872</v>
      </c>
      <c r="V873" s="18">
        <f>SUMIF(Imóveis!E:E,Dados!A:A,Imóveis!Z:Z)-SUMIF(Imóveis!E:E,Dados!A:A,Imóveis!Y:Y)</f>
        <v>0</v>
      </c>
      <c r="W873" s="18">
        <f>-SUMIF(Projetos!N:N,A873,Projetos!F:F)</f>
        <v>0</v>
      </c>
      <c r="X873" s="18">
        <f t="shared" si="107"/>
        <v>0</v>
      </c>
      <c r="Y873" s="26">
        <f ca="1">(U873*((Indicadores_Economicos!D$2+1)^(1/12)-1))</f>
        <v>266724.07059169334</v>
      </c>
      <c r="Z873" s="18">
        <f t="shared" ca="1" si="111"/>
        <v>81740539.44285056</v>
      </c>
      <c r="AA873" s="18">
        <f ca="1">Auxiliar_Projetos!E873</f>
        <v>6.7380179815959746E-9</v>
      </c>
      <c r="AB873" s="18">
        <f ca="1">Auxiliar_Projetos!K873</f>
        <v>5.1830907550738224E-9</v>
      </c>
      <c r="AC873" s="18">
        <f ca="1">IF(Z873-AA873-AB873&gt;Investimentos!$C$14,Investimentos!$C$14,IF(Z873-AA873-AB873&lt;Investimentos!$C$14,Z873-AA873-AB873,0))</f>
        <v>300000</v>
      </c>
      <c r="AD873" s="18">
        <f t="shared" ca="1" si="112"/>
        <v>81440539.44285056</v>
      </c>
      <c r="AE873" s="18"/>
    </row>
    <row r="874" spans="1:31" x14ac:dyDescent="0.2">
      <c r="A874" s="4">
        <v>72199</v>
      </c>
      <c r="B874" s="5" t="str">
        <f t="shared" si="108"/>
        <v>setembro</v>
      </c>
      <c r="C874" s="5" t="str">
        <f t="shared" si="114"/>
        <v>2097</v>
      </c>
      <c r="D874" s="5">
        <f>SUMIFS(Despesas!$F:$F,Despesas!$J:$J,"&lt;="&amp;$A874,Despesas!$L:$L,"&gt;="&amp;$A874,Despesas!$C:$C,D$1,Despesas!$M:$M,"Mensal")+SUMIFS(Despesas!$F:$F,Despesas!$J:$J,"&lt;="&amp;$A874,Despesas!$L:$L,"&gt;="&amp;$A874,Despesas!$C:$C,D$1,Despesas!$M:$M,$B874)</f>
        <v>0</v>
      </c>
      <c r="E874" s="18">
        <f>SUMIFS(Despesas!$F:$F,Despesas!$J:$J,"&lt;="&amp;$A874,Despesas!$L:$L,"&gt;="&amp;$A874,Despesas!$C:$C,E$1,Despesas!$M:$M,"Mensal")+SUMIFS(Despesas!$F:$F,Despesas!$J:$J,"&lt;="&amp;$A874,Despesas!$L:$L,"&gt;="&amp;$A874,Despesas!$C:$C,E$1,Despesas!$M:$M,$B874)</f>
        <v>0</v>
      </c>
      <c r="F874" s="5">
        <f>SUMIFS(Despesas!$F:$F,Despesas!$J:$J,"&lt;="&amp;$A874,Despesas!$L:$L,"&gt;="&amp;$A874,Despesas!$C:$C,F$1,Despesas!$M:$M,"Mensal")+SUMIFS(Despesas!$F:$F,Despesas!$J:$J,"&lt;="&amp;$A874,Despesas!$L:$L,"&gt;="&amp;$A874,Despesas!$C:$C,F$1,Despesas!$M:$M,$B874)</f>
        <v>0</v>
      </c>
      <c r="G874" s="5">
        <f>SUMIFS(Despesas!$F:$F,Despesas!$J:$J,"&lt;="&amp;$A874,Despesas!$L:$L,"&gt;="&amp;$A874,Despesas!$C:$C,G$1,Despesas!$M:$M,"Mensal")+SUMIFS(Despesas!$F:$F,Despesas!$J:$J,"&lt;="&amp;$A874,Despesas!$L:$L,"&gt;="&amp;$A874,Despesas!$C:$C,G$1,Despesas!$M:$M,$B874)</f>
        <v>0</v>
      </c>
      <c r="H874" s="18">
        <f>SUMIFS(Despesas!$F:$F,Despesas!$J:$J,"&lt;="&amp;$A874,Despesas!$L:$L,"&gt;="&amp;$A874,Despesas!$C:$C,H$1,Despesas!$M:$M,"Mensal")+SUMIFS(Despesas!$F:$F,Despesas!$J:$J,"&lt;="&amp;$A874,Despesas!$L:$L,"&gt;="&amp;$A874,Despesas!$C:$C,H$1,Despesas!$M:$M,$B874)</f>
        <v>0</v>
      </c>
      <c r="I874" s="18">
        <f>IF(Imóveis!$F$2="PRICE",IF(AND(Dados!$A874&gt;=Imóveis!$Q$2,Dados!$A874&lt;=Imóveis!$T$2),Imóveis!$U$2,0),IF((IF(AND(Dados!$A874&gt;=Imóveis!$Q$2,Dados!$A874&lt;=Imóveis!$T$2),Imóveis!$S$2-(DATEDIF(Imóveis!$Q$2,Dados!$A874,"m")),0))=0,0,((Imóveis!$N$2/Imóveis!$S$2)+((Imóveis!$N$2-((Imóveis!$S$2-(IF(AND(Dados!$A874&gt;=Imóveis!$Q$2,Dados!$A874&lt;=Imóveis!$T$2),Imóveis!$S$2-(DATEDIF(Imóveis!$Q$2,Dados!$A874,"m")),)))*(Imóveis!$N$2/Imóveis!$S$2)))*Imóveis!$P$2))))*IF(AND(Imóveis!$E$2&gt;0,Dados!$A874&gt;Imóveis!$E$2),0,1)</f>
        <v>0</v>
      </c>
      <c r="J874" s="18">
        <f>IF(Imóveis!$F$3="PRICE",IF(AND(Dados!$A874&gt;=Imóveis!$Q$3,Dados!$A874&lt;=Imóveis!$T$3),Imóveis!$U$3,0),IF((IF(AND(Dados!$A874&gt;=Imóveis!$Q$3,Dados!$A874&lt;=Imóveis!$T$3),Imóveis!$S$3-(DATEDIF(Imóveis!$Q$3,Dados!$A874,"m")),0))=0,0,((Imóveis!$N$3/Imóveis!$S$3)+((Imóveis!$N$3-((Imóveis!$S$3-(IF(AND(Dados!$A874&gt;=Imóveis!$Q$3,Dados!$A874&lt;=Imóveis!$T$3),Imóveis!$S$3-(DATEDIF(Imóveis!$Q$3,Dados!$A874,"m")),)))*(Imóveis!$N$3/Imóveis!$S$3)))*Imóveis!$P$3))))*IF(AND(Imóveis!$E$3&gt;0,Dados!$A874&gt;Imóveis!$E$3),0,1)</f>
        <v>0</v>
      </c>
      <c r="K874" s="18">
        <f>IF(Imóveis!$F$4="PRICE",IF(AND(Dados!$A874&gt;=Imóveis!$Q$4,Dados!$A874&lt;=Imóveis!$T$4),Imóveis!$U$4,0),IF((IF(AND(Dados!$A874&gt;=Imóveis!$Q$4,Dados!$A874&lt;=Imóveis!$T$4),Imóveis!$S$4-(DATEDIF(Imóveis!$Q$4,Dados!$A874,"m")),0))=0,0,((Imóveis!$N$4/Imóveis!$S$4)+((Imóveis!$N$4-((Imóveis!$S$4-(IF(AND(Dados!$A874&gt;=Imóveis!$Q$4,Dados!$A874&lt;=Imóveis!$T$4),Imóveis!$S$4-(DATEDIF(Imóveis!$Q$4,Dados!$A874,"m")),)))*(Imóveis!$N$4/Imóveis!$S$4)))*Imóveis!$P$4))))*IF(AND(Imóveis!$E$4&gt;0,Dados!$A874&gt;Imóveis!$E$4),0,1)</f>
        <v>0</v>
      </c>
      <c r="L874" s="18">
        <f>IF(Imóveis!$F$5="PRICE",IF(AND(Dados!$A874&gt;=Imóveis!$Q$5,Dados!$A874&lt;=Imóveis!$T$5),Imóveis!$U$5,0),IF((IF(AND(Dados!$A874&gt;=Imóveis!$Q$5,Dados!$A874&lt;=Imóveis!$T$5),Imóveis!$S$5-(DATEDIF(Imóveis!$Q$5,Dados!$A874,"m")),0))=0,0,((Imóveis!$N$5/Imóveis!$S$5)+((Imóveis!$N$5-((Imóveis!$S$5-(IF(AND(Dados!$A874 &gt;=Imóveis!$Q$5,Dados!$A874&lt;=Imóveis!$T$5),Imóveis!$S$5-(DATEDIF(Imóveis!$Q$5,Dados!$A874,"m")),)))*(Imóveis!$N$5/Imóveis!$S$5)))*Imóveis!$P$5))))*IF(AND(Imóveis!$E$5&gt;0,Dados!$A874&gt;Imóveis!$E$5),0,1)*Imóveis!$I$5</f>
        <v>0</v>
      </c>
      <c r="M874" s="18">
        <f>IF(Imóveis!$F$6="PRICE",IF(AND(Dados!$A874&gt;=Imóveis!$Q$6,Dados!$A874&lt;=Imóveis!$T$6),Imóveis!$U$6,0),IF((IF(AND(Dados!$A874&gt;=Imóveis!$Q$6,Dados!$A874&lt;=Imóveis!$T$6),Imóveis!$S$6-(DATEDIF(Imóveis!$Q$6,Dados!$A874,"m")),0))=0,0,((Imóveis!$N$6/Imóveis!$S$6)+((Imóveis!$N$6-((Imóveis!$S$6-(IF(AND(Dados!$A874&gt;=Imóveis!$Q$6,Dados!$A874&lt;=Imóveis!$T$6),Imóveis!$S$6-(DATEDIF(Imóveis!$Q$6,Dados!$A874,"m")),)))*(Imóveis!$N$6/Imóveis!$S$6)))*Imóveis!$P$6))))*IF(AND(Imóveis!$E$6&gt;0,Dados!$A874&gt;Imóveis!$E$6),0,1)*Imóveis!$I$6</f>
        <v>0</v>
      </c>
      <c r="N874" s="18">
        <f t="shared" si="109"/>
        <v>0</v>
      </c>
      <c r="O874" s="18">
        <f>SUMIFS(Receitas!$F:$F,Receitas!$J:$J,"&lt;="&amp;$A874,Receitas!$L:$L,"&gt;="&amp;$A874,Receitas!$C:$C,O$1,Receitas!$M:$M,"Mensal")+SUMIFS(Receitas!$F:$F,Receitas!$J:$J,"&lt;="&amp;$A874,Receitas!$L:$L,"&gt;="&amp;$A874,Receitas!$C:$C,O$1,Receitas!$M:$M,$B874)</f>
        <v>0</v>
      </c>
      <c r="P874" s="18">
        <f>SUMIFS(Receitas!$F:$F,Receitas!$J:$J,"&lt;="&amp;$A874,Receitas!$L:$L,"&gt;="&amp;$A874,Receitas!$C:$C,P$1,Receitas!$M:$M,"Mensal")+SUMIFS(Receitas!$F:$F,Receitas!$J:$J,"&lt;="&amp;$A874,Receitas!$L:$L,"&gt;="&amp;$A874,Receitas!$C:$C,P$1,Receitas!$M:$M,$B874)</f>
        <v>0</v>
      </c>
      <c r="Q874" s="18">
        <f>SUMIFS(Receitas!$F:$F,Receitas!$J:$J,"&lt;="&amp;$A874,Receitas!$L:$L,"&gt;="&amp;$A874,Receitas!$C:$C,Q$1,Receitas!$M:$M,"Mensal")+SUMIFS(Receitas!$F:$F,Receitas!$J:$J,"&lt;="&amp;$A874,Receitas!$L:$L,"&gt;="&amp;$A874,Receitas!$C:$C,Q$1,Receitas!$M:$M,$B874)</f>
        <v>0</v>
      </c>
      <c r="R874" s="18" cm="1">
        <f t="array" ref="R874">(IF(AND(Membros!$F$2="Sim",A874&lt;=MAX(Membros!$E$2:$E$5)),Membros!K$2,IF(AND(A874&gt;=Membros!J$2,A874&lt;=MAX(Membros!$E$2:$E$5)),Membros!K$2,0))+IF(AND(Membros!$F$3="Sim",A874&lt;=MAX(Membros!$E$2:$E$5)),Membros!K$3,IF(AND(A874&gt;=Membros!J$3,A874&lt;=MAX(Membros!$E$2:$E$5)),Membros!K$3,0)))*IF(AND(COUNTIFS(Tabela3[Tipo],"Provedor",Tabela3[Simulação Seguro],"Sim")=2,A874&gt;=MAX(IF(Tabela3[Tipo]="Dependente",Tabela3[Expectativa de Vida (Data)]))),0,1)</f>
        <v>0</v>
      </c>
      <c r="S874" s="18">
        <f t="shared" si="110"/>
        <v>0</v>
      </c>
      <c r="U874" s="18">
        <f t="shared" ca="1" si="113"/>
        <v>81740539.44285056</v>
      </c>
      <c r="V874" s="18">
        <f>SUMIF(Imóveis!E:E,Dados!A:A,Imóveis!Z:Z)-SUMIF(Imóveis!E:E,Dados!A:A,Imóveis!Y:Y)</f>
        <v>0</v>
      </c>
      <c r="W874" s="18">
        <f>-SUMIF(Projetos!N:N,A874,Projetos!F:F)</f>
        <v>0</v>
      </c>
      <c r="X874" s="18">
        <f t="shared" si="107"/>
        <v>0</v>
      </c>
      <c r="Y874" s="26">
        <f ca="1">(U874*((Indicadores_Economicos!D$2+1)^(1/12)-1))</f>
        <v>267597.25579245936</v>
      </c>
      <c r="Z874" s="18">
        <f t="shared" ca="1" si="111"/>
        <v>82008136.698643014</v>
      </c>
      <c r="AA874" s="18">
        <f ca="1">Auxiliar_Projetos!E874</f>
        <v>6.7600764991154968E-9</v>
      </c>
      <c r="AB874" s="18">
        <f ca="1">Auxiliar_Projetos!K874</f>
        <v>5.2000588454734551E-9</v>
      </c>
      <c r="AC874" s="18">
        <f ca="1">IF(Z874-AA874-AB874&gt;Investimentos!$C$14,Investimentos!$C$14,IF(Z874-AA874-AB874&lt;Investimentos!$C$14,Z874-AA874-AB874,0))</f>
        <v>300000</v>
      </c>
      <c r="AD874" s="18">
        <f t="shared" ca="1" si="112"/>
        <v>81708136.698643014</v>
      </c>
      <c r="AE874" s="18"/>
    </row>
    <row r="875" spans="1:31" x14ac:dyDescent="0.2">
      <c r="A875" s="4">
        <v>72229</v>
      </c>
      <c r="B875" s="5" t="str">
        <f t="shared" si="108"/>
        <v>outubro</v>
      </c>
      <c r="C875" s="5" t="str">
        <f t="shared" si="114"/>
        <v>2097</v>
      </c>
      <c r="D875" s="5">
        <f>SUMIFS(Despesas!$F:$F,Despesas!$J:$J,"&lt;="&amp;$A875,Despesas!$L:$L,"&gt;="&amp;$A875,Despesas!$C:$C,D$1,Despesas!$M:$M,"Mensal")+SUMIFS(Despesas!$F:$F,Despesas!$J:$J,"&lt;="&amp;$A875,Despesas!$L:$L,"&gt;="&amp;$A875,Despesas!$C:$C,D$1,Despesas!$M:$M,$B875)</f>
        <v>0</v>
      </c>
      <c r="E875" s="18">
        <f>SUMIFS(Despesas!$F:$F,Despesas!$J:$J,"&lt;="&amp;$A875,Despesas!$L:$L,"&gt;="&amp;$A875,Despesas!$C:$C,E$1,Despesas!$M:$M,"Mensal")+SUMIFS(Despesas!$F:$F,Despesas!$J:$J,"&lt;="&amp;$A875,Despesas!$L:$L,"&gt;="&amp;$A875,Despesas!$C:$C,E$1,Despesas!$M:$M,$B875)</f>
        <v>0</v>
      </c>
      <c r="F875" s="5">
        <f>SUMIFS(Despesas!$F:$F,Despesas!$J:$J,"&lt;="&amp;$A875,Despesas!$L:$L,"&gt;="&amp;$A875,Despesas!$C:$C,F$1,Despesas!$M:$M,"Mensal")+SUMIFS(Despesas!$F:$F,Despesas!$J:$J,"&lt;="&amp;$A875,Despesas!$L:$L,"&gt;="&amp;$A875,Despesas!$C:$C,F$1,Despesas!$M:$M,$B875)</f>
        <v>0</v>
      </c>
      <c r="G875" s="5">
        <f>SUMIFS(Despesas!$F:$F,Despesas!$J:$J,"&lt;="&amp;$A875,Despesas!$L:$L,"&gt;="&amp;$A875,Despesas!$C:$C,G$1,Despesas!$M:$M,"Mensal")+SUMIFS(Despesas!$F:$F,Despesas!$J:$J,"&lt;="&amp;$A875,Despesas!$L:$L,"&gt;="&amp;$A875,Despesas!$C:$C,G$1,Despesas!$M:$M,$B875)</f>
        <v>0</v>
      </c>
      <c r="H875" s="18">
        <f>SUMIFS(Despesas!$F:$F,Despesas!$J:$J,"&lt;="&amp;$A875,Despesas!$L:$L,"&gt;="&amp;$A875,Despesas!$C:$C,H$1,Despesas!$M:$M,"Mensal")+SUMIFS(Despesas!$F:$F,Despesas!$J:$J,"&lt;="&amp;$A875,Despesas!$L:$L,"&gt;="&amp;$A875,Despesas!$C:$C,H$1,Despesas!$M:$M,$B875)</f>
        <v>0</v>
      </c>
      <c r="I875" s="18">
        <f>IF(Imóveis!$F$2="PRICE",IF(AND(Dados!$A875&gt;=Imóveis!$Q$2,Dados!$A875&lt;=Imóveis!$T$2),Imóveis!$U$2,0),IF((IF(AND(Dados!$A875&gt;=Imóveis!$Q$2,Dados!$A875&lt;=Imóveis!$T$2),Imóveis!$S$2-(DATEDIF(Imóveis!$Q$2,Dados!$A875,"m")),0))=0,0,((Imóveis!$N$2/Imóveis!$S$2)+((Imóveis!$N$2-((Imóveis!$S$2-(IF(AND(Dados!$A875&gt;=Imóveis!$Q$2,Dados!$A875&lt;=Imóveis!$T$2),Imóveis!$S$2-(DATEDIF(Imóveis!$Q$2,Dados!$A875,"m")),)))*(Imóveis!$N$2/Imóveis!$S$2)))*Imóveis!$P$2))))*IF(AND(Imóveis!$E$2&gt;0,Dados!$A875&gt;Imóveis!$E$2),0,1)</f>
        <v>0</v>
      </c>
      <c r="J875" s="18">
        <f>IF(Imóveis!$F$3="PRICE",IF(AND(Dados!$A875&gt;=Imóveis!$Q$3,Dados!$A875&lt;=Imóveis!$T$3),Imóveis!$U$3,0),IF((IF(AND(Dados!$A875&gt;=Imóveis!$Q$3,Dados!$A875&lt;=Imóveis!$T$3),Imóveis!$S$3-(DATEDIF(Imóveis!$Q$3,Dados!$A875,"m")),0))=0,0,((Imóveis!$N$3/Imóveis!$S$3)+((Imóveis!$N$3-((Imóveis!$S$3-(IF(AND(Dados!$A875&gt;=Imóveis!$Q$3,Dados!$A875&lt;=Imóveis!$T$3),Imóveis!$S$3-(DATEDIF(Imóveis!$Q$3,Dados!$A875,"m")),)))*(Imóveis!$N$3/Imóveis!$S$3)))*Imóveis!$P$3))))*IF(AND(Imóveis!$E$3&gt;0,Dados!$A875&gt;Imóveis!$E$3),0,1)</f>
        <v>0</v>
      </c>
      <c r="K875" s="18">
        <f>IF(Imóveis!$F$4="PRICE",IF(AND(Dados!$A875&gt;=Imóveis!$Q$4,Dados!$A875&lt;=Imóveis!$T$4),Imóveis!$U$4,0),IF((IF(AND(Dados!$A875&gt;=Imóveis!$Q$4,Dados!$A875&lt;=Imóveis!$T$4),Imóveis!$S$4-(DATEDIF(Imóveis!$Q$4,Dados!$A875,"m")),0))=0,0,((Imóveis!$N$4/Imóveis!$S$4)+((Imóveis!$N$4-((Imóveis!$S$4-(IF(AND(Dados!$A875&gt;=Imóveis!$Q$4,Dados!$A875&lt;=Imóveis!$T$4),Imóveis!$S$4-(DATEDIF(Imóveis!$Q$4,Dados!$A875,"m")),)))*(Imóveis!$N$4/Imóveis!$S$4)))*Imóveis!$P$4))))*IF(AND(Imóveis!$E$4&gt;0,Dados!$A875&gt;Imóveis!$E$4),0,1)</f>
        <v>0</v>
      </c>
      <c r="L875" s="18">
        <f>IF(Imóveis!$F$5="PRICE",IF(AND(Dados!$A875&gt;=Imóveis!$Q$5,Dados!$A875&lt;=Imóveis!$T$5),Imóveis!$U$5,0),IF((IF(AND(Dados!$A875&gt;=Imóveis!$Q$5,Dados!$A875&lt;=Imóveis!$T$5),Imóveis!$S$5-(DATEDIF(Imóveis!$Q$5,Dados!$A875,"m")),0))=0,0,((Imóveis!$N$5/Imóveis!$S$5)+((Imóveis!$N$5-((Imóveis!$S$5-(IF(AND(Dados!$A875 &gt;=Imóveis!$Q$5,Dados!$A875&lt;=Imóveis!$T$5),Imóveis!$S$5-(DATEDIF(Imóveis!$Q$5,Dados!$A875,"m")),)))*(Imóveis!$N$5/Imóveis!$S$5)))*Imóveis!$P$5))))*IF(AND(Imóveis!$E$5&gt;0,Dados!$A875&gt;Imóveis!$E$5),0,1)*Imóveis!$I$5</f>
        <v>0</v>
      </c>
      <c r="M875" s="18">
        <f>IF(Imóveis!$F$6="PRICE",IF(AND(Dados!$A875&gt;=Imóveis!$Q$6,Dados!$A875&lt;=Imóveis!$T$6),Imóveis!$U$6,0),IF((IF(AND(Dados!$A875&gt;=Imóveis!$Q$6,Dados!$A875&lt;=Imóveis!$T$6),Imóveis!$S$6-(DATEDIF(Imóveis!$Q$6,Dados!$A875,"m")),0))=0,0,((Imóveis!$N$6/Imóveis!$S$6)+((Imóveis!$N$6-((Imóveis!$S$6-(IF(AND(Dados!$A875&gt;=Imóveis!$Q$6,Dados!$A875&lt;=Imóveis!$T$6),Imóveis!$S$6-(DATEDIF(Imóveis!$Q$6,Dados!$A875,"m")),)))*(Imóveis!$N$6/Imóveis!$S$6)))*Imóveis!$P$6))))*IF(AND(Imóveis!$E$6&gt;0,Dados!$A875&gt;Imóveis!$E$6),0,1)*Imóveis!$I$6</f>
        <v>0</v>
      </c>
      <c r="N875" s="18">
        <f t="shared" si="109"/>
        <v>0</v>
      </c>
      <c r="O875" s="18">
        <f>SUMIFS(Receitas!$F:$F,Receitas!$J:$J,"&lt;="&amp;$A875,Receitas!$L:$L,"&gt;="&amp;$A875,Receitas!$C:$C,O$1,Receitas!$M:$M,"Mensal")+SUMIFS(Receitas!$F:$F,Receitas!$J:$J,"&lt;="&amp;$A875,Receitas!$L:$L,"&gt;="&amp;$A875,Receitas!$C:$C,O$1,Receitas!$M:$M,$B875)</f>
        <v>0</v>
      </c>
      <c r="P875" s="18">
        <f>SUMIFS(Receitas!$F:$F,Receitas!$J:$J,"&lt;="&amp;$A875,Receitas!$L:$L,"&gt;="&amp;$A875,Receitas!$C:$C,P$1,Receitas!$M:$M,"Mensal")+SUMIFS(Receitas!$F:$F,Receitas!$J:$J,"&lt;="&amp;$A875,Receitas!$L:$L,"&gt;="&amp;$A875,Receitas!$C:$C,P$1,Receitas!$M:$M,$B875)</f>
        <v>0</v>
      </c>
      <c r="Q875" s="18">
        <f>SUMIFS(Receitas!$F:$F,Receitas!$J:$J,"&lt;="&amp;$A875,Receitas!$L:$L,"&gt;="&amp;$A875,Receitas!$C:$C,Q$1,Receitas!$M:$M,"Mensal")+SUMIFS(Receitas!$F:$F,Receitas!$J:$J,"&lt;="&amp;$A875,Receitas!$L:$L,"&gt;="&amp;$A875,Receitas!$C:$C,Q$1,Receitas!$M:$M,$B875)</f>
        <v>0</v>
      </c>
      <c r="R875" s="18" cm="1">
        <f t="array" ref="R875">(IF(AND(Membros!$F$2="Sim",A875&lt;=MAX(Membros!$E$2:$E$5)),Membros!K$2,IF(AND(A875&gt;=Membros!J$2,A875&lt;=MAX(Membros!$E$2:$E$5)),Membros!K$2,0))+IF(AND(Membros!$F$3="Sim",A875&lt;=MAX(Membros!$E$2:$E$5)),Membros!K$3,IF(AND(A875&gt;=Membros!J$3,A875&lt;=MAX(Membros!$E$2:$E$5)),Membros!K$3,0)))*IF(AND(COUNTIFS(Tabela3[Tipo],"Provedor",Tabela3[Simulação Seguro],"Sim")=2,A875&gt;=MAX(IF(Tabela3[Tipo]="Dependente",Tabela3[Expectativa de Vida (Data)]))),0,1)</f>
        <v>0</v>
      </c>
      <c r="S875" s="18">
        <f t="shared" si="110"/>
        <v>0</v>
      </c>
      <c r="U875" s="18">
        <f t="shared" ca="1" si="113"/>
        <v>82008136.698643014</v>
      </c>
      <c r="V875" s="18">
        <f>SUMIF(Imóveis!E:E,Dados!A:A,Imóveis!Z:Z)-SUMIF(Imóveis!E:E,Dados!A:A,Imóveis!Y:Y)</f>
        <v>0</v>
      </c>
      <c r="W875" s="18">
        <f>-SUMIF(Projetos!N:N,A875,Projetos!F:F)</f>
        <v>0</v>
      </c>
      <c r="X875" s="18">
        <f t="shared" si="107"/>
        <v>0</v>
      </c>
      <c r="Y875" s="26">
        <f ca="1">(U875*((Indicadores_Economicos!D$2+1)^(1/12)-1))</f>
        <v>268473.29957435437</v>
      </c>
      <c r="Z875" s="18">
        <f t="shared" ca="1" si="111"/>
        <v>82276609.998217374</v>
      </c>
      <c r="AA875" s="18">
        <f ca="1">Auxiliar_Projetos!E875</f>
        <v>6.7822072304813589E-9</v>
      </c>
      <c r="AB875" s="18">
        <f ca="1">Auxiliar_Projetos!K875</f>
        <v>5.2170824849856573E-9</v>
      </c>
      <c r="AC875" s="18">
        <f ca="1">IF(Z875-AA875-AB875&gt;Investimentos!$C$14,Investimentos!$C$14,IF(Z875-AA875-AB875&lt;Investimentos!$C$14,Z875-AA875-AB875,0))</f>
        <v>300000</v>
      </c>
      <c r="AD875" s="18">
        <f t="shared" ca="1" si="112"/>
        <v>81976609.998217374</v>
      </c>
      <c r="AE875" s="18"/>
    </row>
    <row r="876" spans="1:31" x14ac:dyDescent="0.2">
      <c r="A876" s="4">
        <v>72260</v>
      </c>
      <c r="B876" s="5" t="str">
        <f t="shared" si="108"/>
        <v>novembro</v>
      </c>
      <c r="C876" s="5" t="str">
        <f t="shared" si="114"/>
        <v>2097</v>
      </c>
      <c r="D876" s="5">
        <f>SUMIFS(Despesas!$F:$F,Despesas!$J:$J,"&lt;="&amp;$A876,Despesas!$L:$L,"&gt;="&amp;$A876,Despesas!$C:$C,D$1,Despesas!$M:$M,"Mensal")+SUMIFS(Despesas!$F:$F,Despesas!$J:$J,"&lt;="&amp;$A876,Despesas!$L:$L,"&gt;="&amp;$A876,Despesas!$C:$C,D$1,Despesas!$M:$M,$B876)</f>
        <v>0</v>
      </c>
      <c r="E876" s="18">
        <f>SUMIFS(Despesas!$F:$F,Despesas!$J:$J,"&lt;="&amp;$A876,Despesas!$L:$L,"&gt;="&amp;$A876,Despesas!$C:$C,E$1,Despesas!$M:$M,"Mensal")+SUMIFS(Despesas!$F:$F,Despesas!$J:$J,"&lt;="&amp;$A876,Despesas!$L:$L,"&gt;="&amp;$A876,Despesas!$C:$C,E$1,Despesas!$M:$M,$B876)</f>
        <v>0</v>
      </c>
      <c r="F876" s="5">
        <f>SUMIFS(Despesas!$F:$F,Despesas!$J:$J,"&lt;="&amp;$A876,Despesas!$L:$L,"&gt;="&amp;$A876,Despesas!$C:$C,F$1,Despesas!$M:$M,"Mensal")+SUMIFS(Despesas!$F:$F,Despesas!$J:$J,"&lt;="&amp;$A876,Despesas!$L:$L,"&gt;="&amp;$A876,Despesas!$C:$C,F$1,Despesas!$M:$M,$B876)</f>
        <v>0</v>
      </c>
      <c r="G876" s="5">
        <f>SUMIFS(Despesas!$F:$F,Despesas!$J:$J,"&lt;="&amp;$A876,Despesas!$L:$L,"&gt;="&amp;$A876,Despesas!$C:$C,G$1,Despesas!$M:$M,"Mensal")+SUMIFS(Despesas!$F:$F,Despesas!$J:$J,"&lt;="&amp;$A876,Despesas!$L:$L,"&gt;="&amp;$A876,Despesas!$C:$C,G$1,Despesas!$M:$M,$B876)</f>
        <v>0</v>
      </c>
      <c r="H876" s="18">
        <f>SUMIFS(Despesas!$F:$F,Despesas!$J:$J,"&lt;="&amp;$A876,Despesas!$L:$L,"&gt;="&amp;$A876,Despesas!$C:$C,H$1,Despesas!$M:$M,"Mensal")+SUMIFS(Despesas!$F:$F,Despesas!$J:$J,"&lt;="&amp;$A876,Despesas!$L:$L,"&gt;="&amp;$A876,Despesas!$C:$C,H$1,Despesas!$M:$M,$B876)</f>
        <v>0</v>
      </c>
      <c r="I876" s="18">
        <f>IF(Imóveis!$F$2="PRICE",IF(AND(Dados!$A876&gt;=Imóveis!$Q$2,Dados!$A876&lt;=Imóveis!$T$2),Imóveis!$U$2,0),IF((IF(AND(Dados!$A876&gt;=Imóveis!$Q$2,Dados!$A876&lt;=Imóveis!$T$2),Imóveis!$S$2-(DATEDIF(Imóveis!$Q$2,Dados!$A876,"m")),0))=0,0,((Imóveis!$N$2/Imóveis!$S$2)+((Imóveis!$N$2-((Imóveis!$S$2-(IF(AND(Dados!$A876&gt;=Imóveis!$Q$2,Dados!$A876&lt;=Imóveis!$T$2),Imóveis!$S$2-(DATEDIF(Imóveis!$Q$2,Dados!$A876,"m")),)))*(Imóveis!$N$2/Imóveis!$S$2)))*Imóveis!$P$2))))*IF(AND(Imóveis!$E$2&gt;0,Dados!$A876&gt;Imóveis!$E$2),0,1)</f>
        <v>0</v>
      </c>
      <c r="J876" s="18">
        <f>IF(Imóveis!$F$3="PRICE",IF(AND(Dados!$A876&gt;=Imóveis!$Q$3,Dados!$A876&lt;=Imóveis!$T$3),Imóveis!$U$3,0),IF((IF(AND(Dados!$A876&gt;=Imóveis!$Q$3,Dados!$A876&lt;=Imóveis!$T$3),Imóveis!$S$3-(DATEDIF(Imóveis!$Q$3,Dados!$A876,"m")),0))=0,0,((Imóveis!$N$3/Imóveis!$S$3)+((Imóveis!$N$3-((Imóveis!$S$3-(IF(AND(Dados!$A876&gt;=Imóveis!$Q$3,Dados!$A876&lt;=Imóveis!$T$3),Imóveis!$S$3-(DATEDIF(Imóveis!$Q$3,Dados!$A876,"m")),)))*(Imóveis!$N$3/Imóveis!$S$3)))*Imóveis!$P$3))))*IF(AND(Imóveis!$E$3&gt;0,Dados!$A876&gt;Imóveis!$E$3),0,1)</f>
        <v>0</v>
      </c>
      <c r="K876" s="18">
        <f>IF(Imóveis!$F$4="PRICE",IF(AND(Dados!$A876&gt;=Imóveis!$Q$4,Dados!$A876&lt;=Imóveis!$T$4),Imóveis!$U$4,0),IF((IF(AND(Dados!$A876&gt;=Imóveis!$Q$4,Dados!$A876&lt;=Imóveis!$T$4),Imóveis!$S$4-(DATEDIF(Imóveis!$Q$4,Dados!$A876,"m")),0))=0,0,((Imóveis!$N$4/Imóveis!$S$4)+((Imóveis!$N$4-((Imóveis!$S$4-(IF(AND(Dados!$A876&gt;=Imóveis!$Q$4,Dados!$A876&lt;=Imóveis!$T$4),Imóveis!$S$4-(DATEDIF(Imóveis!$Q$4,Dados!$A876,"m")),)))*(Imóveis!$N$4/Imóveis!$S$4)))*Imóveis!$P$4))))*IF(AND(Imóveis!$E$4&gt;0,Dados!$A876&gt;Imóveis!$E$4),0,1)</f>
        <v>0</v>
      </c>
      <c r="L876" s="18">
        <f>IF(Imóveis!$F$5="PRICE",IF(AND(Dados!$A876&gt;=Imóveis!$Q$5,Dados!$A876&lt;=Imóveis!$T$5),Imóveis!$U$5,0),IF((IF(AND(Dados!$A876&gt;=Imóveis!$Q$5,Dados!$A876&lt;=Imóveis!$T$5),Imóveis!$S$5-(DATEDIF(Imóveis!$Q$5,Dados!$A876,"m")),0))=0,0,((Imóveis!$N$5/Imóveis!$S$5)+((Imóveis!$N$5-((Imóveis!$S$5-(IF(AND(Dados!$A876 &gt;=Imóveis!$Q$5,Dados!$A876&lt;=Imóveis!$T$5),Imóveis!$S$5-(DATEDIF(Imóveis!$Q$5,Dados!$A876,"m")),)))*(Imóveis!$N$5/Imóveis!$S$5)))*Imóveis!$P$5))))*IF(AND(Imóveis!$E$5&gt;0,Dados!$A876&gt;Imóveis!$E$5),0,1)*Imóveis!$I$5</f>
        <v>0</v>
      </c>
      <c r="M876" s="18">
        <f>IF(Imóveis!$F$6="PRICE",IF(AND(Dados!$A876&gt;=Imóveis!$Q$6,Dados!$A876&lt;=Imóveis!$T$6),Imóveis!$U$6,0),IF((IF(AND(Dados!$A876&gt;=Imóveis!$Q$6,Dados!$A876&lt;=Imóveis!$T$6),Imóveis!$S$6-(DATEDIF(Imóveis!$Q$6,Dados!$A876,"m")),0))=0,0,((Imóveis!$N$6/Imóveis!$S$6)+((Imóveis!$N$6-((Imóveis!$S$6-(IF(AND(Dados!$A876&gt;=Imóveis!$Q$6,Dados!$A876&lt;=Imóveis!$T$6),Imóveis!$S$6-(DATEDIF(Imóveis!$Q$6,Dados!$A876,"m")),)))*(Imóveis!$N$6/Imóveis!$S$6)))*Imóveis!$P$6))))*IF(AND(Imóveis!$E$6&gt;0,Dados!$A876&gt;Imóveis!$E$6),0,1)*Imóveis!$I$6</f>
        <v>0</v>
      </c>
      <c r="N876" s="18">
        <f t="shared" si="109"/>
        <v>0</v>
      </c>
      <c r="O876" s="18">
        <f>SUMIFS(Receitas!$F:$F,Receitas!$J:$J,"&lt;="&amp;$A876,Receitas!$L:$L,"&gt;="&amp;$A876,Receitas!$C:$C,O$1,Receitas!$M:$M,"Mensal")+SUMIFS(Receitas!$F:$F,Receitas!$J:$J,"&lt;="&amp;$A876,Receitas!$L:$L,"&gt;="&amp;$A876,Receitas!$C:$C,O$1,Receitas!$M:$M,$B876)</f>
        <v>0</v>
      </c>
      <c r="P876" s="18">
        <f>SUMIFS(Receitas!$F:$F,Receitas!$J:$J,"&lt;="&amp;$A876,Receitas!$L:$L,"&gt;="&amp;$A876,Receitas!$C:$C,P$1,Receitas!$M:$M,"Mensal")+SUMIFS(Receitas!$F:$F,Receitas!$J:$J,"&lt;="&amp;$A876,Receitas!$L:$L,"&gt;="&amp;$A876,Receitas!$C:$C,P$1,Receitas!$M:$M,$B876)</f>
        <v>0</v>
      </c>
      <c r="Q876" s="18">
        <f>SUMIFS(Receitas!$F:$F,Receitas!$J:$J,"&lt;="&amp;$A876,Receitas!$L:$L,"&gt;="&amp;$A876,Receitas!$C:$C,Q$1,Receitas!$M:$M,"Mensal")+SUMIFS(Receitas!$F:$F,Receitas!$J:$J,"&lt;="&amp;$A876,Receitas!$L:$L,"&gt;="&amp;$A876,Receitas!$C:$C,Q$1,Receitas!$M:$M,$B876)</f>
        <v>0</v>
      </c>
      <c r="R876" s="18" cm="1">
        <f t="array" ref="R876">(IF(AND(Membros!$F$2="Sim",A876&lt;=MAX(Membros!$E$2:$E$5)),Membros!K$2,IF(AND(A876&gt;=Membros!J$2,A876&lt;=MAX(Membros!$E$2:$E$5)),Membros!K$2,0))+IF(AND(Membros!$F$3="Sim",A876&lt;=MAX(Membros!$E$2:$E$5)),Membros!K$3,IF(AND(A876&gt;=Membros!J$3,A876&lt;=MAX(Membros!$E$2:$E$5)),Membros!K$3,0)))*IF(AND(COUNTIFS(Tabela3[Tipo],"Provedor",Tabela3[Simulação Seguro],"Sim")=2,A876&gt;=MAX(IF(Tabela3[Tipo]="Dependente",Tabela3[Expectativa de Vida (Data)]))),0,1)</f>
        <v>0</v>
      </c>
      <c r="S876" s="18">
        <f t="shared" si="110"/>
        <v>0</v>
      </c>
      <c r="U876" s="18">
        <f t="shared" ca="1" si="113"/>
        <v>82276609.998217374</v>
      </c>
      <c r="V876" s="18">
        <f>SUMIF(Imóveis!E:E,Dados!A:A,Imóveis!Z:Z)-SUMIF(Imóveis!E:E,Dados!A:A,Imóveis!Y:Y)</f>
        <v>0</v>
      </c>
      <c r="W876" s="18">
        <f>-SUMIF(Projetos!N:N,A876,Projetos!F:F)</f>
        <v>0</v>
      </c>
      <c r="X876" s="18">
        <f t="shared" si="107"/>
        <v>0</v>
      </c>
      <c r="Y876" s="26">
        <f ca="1">(U876*((Indicadores_Economicos!D$2+1)^(1/12)-1))</f>
        <v>269352.21129562915</v>
      </c>
      <c r="Z876" s="18">
        <f t="shared" ca="1" si="111"/>
        <v>82545962.209513009</v>
      </c>
      <c r="AA876" s="18">
        <f ca="1">Auxiliar_Projetos!E876</f>
        <v>6.8044104121029024E-9</v>
      </c>
      <c r="AB876" s="18">
        <f ca="1">Auxiliar_Projetos!K876</f>
        <v>5.2341618554637681E-9</v>
      </c>
      <c r="AC876" s="18">
        <f ca="1">IF(Z876-AA876-AB876&gt;Investimentos!$C$14,Investimentos!$C$14,IF(Z876-AA876-AB876&lt;Investimentos!$C$14,Z876-AA876-AB876,0))</f>
        <v>300000</v>
      </c>
      <c r="AD876" s="18">
        <f t="shared" ca="1" si="112"/>
        <v>82245962.209513009</v>
      </c>
      <c r="AE876" s="18"/>
    </row>
    <row r="877" spans="1:31" x14ac:dyDescent="0.2">
      <c r="A877" s="4">
        <v>72290</v>
      </c>
      <c r="B877" s="5" t="str">
        <f t="shared" si="108"/>
        <v>dezembro</v>
      </c>
      <c r="C877" s="5" t="str">
        <f t="shared" si="114"/>
        <v>2097</v>
      </c>
      <c r="D877" s="5">
        <f>SUMIFS(Despesas!$F:$F,Despesas!$J:$J,"&lt;="&amp;$A877,Despesas!$L:$L,"&gt;="&amp;$A877,Despesas!$C:$C,D$1,Despesas!$M:$M,"Mensal")+SUMIFS(Despesas!$F:$F,Despesas!$J:$J,"&lt;="&amp;$A877,Despesas!$L:$L,"&gt;="&amp;$A877,Despesas!$C:$C,D$1,Despesas!$M:$M,$B877)</f>
        <v>0</v>
      </c>
      <c r="E877" s="18">
        <f>SUMIFS(Despesas!$F:$F,Despesas!$J:$J,"&lt;="&amp;$A877,Despesas!$L:$L,"&gt;="&amp;$A877,Despesas!$C:$C,E$1,Despesas!$M:$M,"Mensal")+SUMIFS(Despesas!$F:$F,Despesas!$J:$J,"&lt;="&amp;$A877,Despesas!$L:$L,"&gt;="&amp;$A877,Despesas!$C:$C,E$1,Despesas!$M:$M,$B877)</f>
        <v>0</v>
      </c>
      <c r="F877" s="5">
        <f>SUMIFS(Despesas!$F:$F,Despesas!$J:$J,"&lt;="&amp;$A877,Despesas!$L:$L,"&gt;="&amp;$A877,Despesas!$C:$C,F$1,Despesas!$M:$M,"Mensal")+SUMIFS(Despesas!$F:$F,Despesas!$J:$J,"&lt;="&amp;$A877,Despesas!$L:$L,"&gt;="&amp;$A877,Despesas!$C:$C,F$1,Despesas!$M:$M,$B877)</f>
        <v>0</v>
      </c>
      <c r="G877" s="5">
        <f>SUMIFS(Despesas!$F:$F,Despesas!$J:$J,"&lt;="&amp;$A877,Despesas!$L:$L,"&gt;="&amp;$A877,Despesas!$C:$C,G$1,Despesas!$M:$M,"Mensal")+SUMIFS(Despesas!$F:$F,Despesas!$J:$J,"&lt;="&amp;$A877,Despesas!$L:$L,"&gt;="&amp;$A877,Despesas!$C:$C,G$1,Despesas!$M:$M,$B877)</f>
        <v>0</v>
      </c>
      <c r="H877" s="18">
        <f>SUMIFS(Despesas!$F:$F,Despesas!$J:$J,"&lt;="&amp;$A877,Despesas!$L:$L,"&gt;="&amp;$A877,Despesas!$C:$C,H$1,Despesas!$M:$M,"Mensal")+SUMIFS(Despesas!$F:$F,Despesas!$J:$J,"&lt;="&amp;$A877,Despesas!$L:$L,"&gt;="&amp;$A877,Despesas!$C:$C,H$1,Despesas!$M:$M,$B877)</f>
        <v>0</v>
      </c>
      <c r="I877" s="18">
        <f>IF(Imóveis!$F$2="PRICE",IF(AND(Dados!$A877&gt;=Imóveis!$Q$2,Dados!$A877&lt;=Imóveis!$T$2),Imóveis!$U$2,0),IF((IF(AND(Dados!$A877&gt;=Imóveis!$Q$2,Dados!$A877&lt;=Imóveis!$T$2),Imóveis!$S$2-(DATEDIF(Imóveis!$Q$2,Dados!$A877,"m")),0))=0,0,((Imóveis!$N$2/Imóveis!$S$2)+((Imóveis!$N$2-((Imóveis!$S$2-(IF(AND(Dados!$A877&gt;=Imóveis!$Q$2,Dados!$A877&lt;=Imóveis!$T$2),Imóveis!$S$2-(DATEDIF(Imóveis!$Q$2,Dados!$A877,"m")),)))*(Imóveis!$N$2/Imóveis!$S$2)))*Imóveis!$P$2))))*IF(AND(Imóveis!$E$2&gt;0,Dados!$A877&gt;Imóveis!$E$2),0,1)</f>
        <v>0</v>
      </c>
      <c r="J877" s="18">
        <f>IF(Imóveis!$F$3="PRICE",IF(AND(Dados!$A877&gt;=Imóveis!$Q$3,Dados!$A877&lt;=Imóveis!$T$3),Imóveis!$U$3,0),IF((IF(AND(Dados!$A877&gt;=Imóveis!$Q$3,Dados!$A877&lt;=Imóveis!$T$3),Imóveis!$S$3-(DATEDIF(Imóveis!$Q$3,Dados!$A877,"m")),0))=0,0,((Imóveis!$N$3/Imóveis!$S$3)+((Imóveis!$N$3-((Imóveis!$S$3-(IF(AND(Dados!$A877&gt;=Imóveis!$Q$3,Dados!$A877&lt;=Imóveis!$T$3),Imóveis!$S$3-(DATEDIF(Imóveis!$Q$3,Dados!$A877,"m")),)))*(Imóveis!$N$3/Imóveis!$S$3)))*Imóveis!$P$3))))*IF(AND(Imóveis!$E$3&gt;0,Dados!$A877&gt;Imóveis!$E$3),0,1)</f>
        <v>0</v>
      </c>
      <c r="K877" s="18">
        <f>IF(Imóveis!$F$4="PRICE",IF(AND(Dados!$A877&gt;=Imóveis!$Q$4,Dados!$A877&lt;=Imóveis!$T$4),Imóveis!$U$4,0),IF((IF(AND(Dados!$A877&gt;=Imóveis!$Q$4,Dados!$A877&lt;=Imóveis!$T$4),Imóveis!$S$4-(DATEDIF(Imóveis!$Q$4,Dados!$A877,"m")),0))=0,0,((Imóveis!$N$4/Imóveis!$S$4)+((Imóveis!$N$4-((Imóveis!$S$4-(IF(AND(Dados!$A877&gt;=Imóveis!$Q$4,Dados!$A877&lt;=Imóveis!$T$4),Imóveis!$S$4-(DATEDIF(Imóveis!$Q$4,Dados!$A877,"m")),)))*(Imóveis!$N$4/Imóveis!$S$4)))*Imóveis!$P$4))))*IF(AND(Imóveis!$E$4&gt;0,Dados!$A877&gt;Imóveis!$E$4),0,1)</f>
        <v>0</v>
      </c>
      <c r="L877" s="18">
        <f>IF(Imóveis!$F$5="PRICE",IF(AND(Dados!$A877&gt;=Imóveis!$Q$5,Dados!$A877&lt;=Imóveis!$T$5),Imóveis!$U$5,0),IF((IF(AND(Dados!$A877&gt;=Imóveis!$Q$5,Dados!$A877&lt;=Imóveis!$T$5),Imóveis!$S$5-(DATEDIF(Imóveis!$Q$5,Dados!$A877,"m")),0))=0,0,((Imóveis!$N$5/Imóveis!$S$5)+((Imóveis!$N$5-((Imóveis!$S$5-(IF(AND(Dados!$A877 &gt;=Imóveis!$Q$5,Dados!$A877&lt;=Imóveis!$T$5),Imóveis!$S$5-(DATEDIF(Imóveis!$Q$5,Dados!$A877,"m")),)))*(Imóveis!$N$5/Imóveis!$S$5)))*Imóveis!$P$5))))*IF(AND(Imóveis!$E$5&gt;0,Dados!$A877&gt;Imóveis!$E$5),0,1)*Imóveis!$I$5</f>
        <v>0</v>
      </c>
      <c r="M877" s="18">
        <f>IF(Imóveis!$F$6="PRICE",IF(AND(Dados!$A877&gt;=Imóveis!$Q$6,Dados!$A877&lt;=Imóveis!$T$6),Imóveis!$U$6,0),IF((IF(AND(Dados!$A877&gt;=Imóveis!$Q$6,Dados!$A877&lt;=Imóveis!$T$6),Imóveis!$S$6-(DATEDIF(Imóveis!$Q$6,Dados!$A877,"m")),0))=0,0,((Imóveis!$N$6/Imóveis!$S$6)+((Imóveis!$N$6-((Imóveis!$S$6-(IF(AND(Dados!$A877&gt;=Imóveis!$Q$6,Dados!$A877&lt;=Imóveis!$T$6),Imóveis!$S$6-(DATEDIF(Imóveis!$Q$6,Dados!$A877,"m")),)))*(Imóveis!$N$6/Imóveis!$S$6)))*Imóveis!$P$6))))*IF(AND(Imóveis!$E$6&gt;0,Dados!$A877&gt;Imóveis!$E$6),0,1)*Imóveis!$I$6</f>
        <v>0</v>
      </c>
      <c r="N877" s="18">
        <f t="shared" si="109"/>
        <v>0</v>
      </c>
      <c r="O877" s="18">
        <f>SUMIFS(Receitas!$F:$F,Receitas!$J:$J,"&lt;="&amp;$A877,Receitas!$L:$L,"&gt;="&amp;$A877,Receitas!$C:$C,O$1,Receitas!$M:$M,"Mensal")+SUMIFS(Receitas!$F:$F,Receitas!$J:$J,"&lt;="&amp;$A877,Receitas!$L:$L,"&gt;="&amp;$A877,Receitas!$C:$C,O$1,Receitas!$M:$M,$B877)</f>
        <v>0</v>
      </c>
      <c r="P877" s="18">
        <f>SUMIFS(Receitas!$F:$F,Receitas!$J:$J,"&lt;="&amp;$A877,Receitas!$L:$L,"&gt;="&amp;$A877,Receitas!$C:$C,P$1,Receitas!$M:$M,"Mensal")+SUMIFS(Receitas!$F:$F,Receitas!$J:$J,"&lt;="&amp;$A877,Receitas!$L:$L,"&gt;="&amp;$A877,Receitas!$C:$C,P$1,Receitas!$M:$M,$B877)</f>
        <v>0</v>
      </c>
      <c r="Q877" s="18">
        <f>SUMIFS(Receitas!$F:$F,Receitas!$J:$J,"&lt;="&amp;$A877,Receitas!$L:$L,"&gt;="&amp;$A877,Receitas!$C:$C,Q$1,Receitas!$M:$M,"Mensal")+SUMIFS(Receitas!$F:$F,Receitas!$J:$J,"&lt;="&amp;$A877,Receitas!$L:$L,"&gt;="&amp;$A877,Receitas!$C:$C,Q$1,Receitas!$M:$M,$B877)</f>
        <v>0</v>
      </c>
      <c r="R877" s="18" cm="1">
        <f t="array" ref="R877">(IF(AND(Membros!$F$2="Sim",A877&lt;=MAX(Membros!$E$2:$E$5)),Membros!K$2,IF(AND(A877&gt;=Membros!J$2,A877&lt;=MAX(Membros!$E$2:$E$5)),Membros!K$2,0))+IF(AND(Membros!$F$3="Sim",A877&lt;=MAX(Membros!$E$2:$E$5)),Membros!K$3,IF(AND(A877&gt;=Membros!J$3,A877&lt;=MAX(Membros!$E$2:$E$5)),Membros!K$3,0)))*IF(AND(COUNTIFS(Tabela3[Tipo],"Provedor",Tabela3[Simulação Seguro],"Sim")=2,A877&gt;=MAX(IF(Tabela3[Tipo]="Dependente",Tabela3[Expectativa de Vida (Data)]))),0,1)</f>
        <v>0</v>
      </c>
      <c r="S877" s="18">
        <f t="shared" si="110"/>
        <v>0</v>
      </c>
      <c r="U877" s="18">
        <f t="shared" ca="1" si="113"/>
        <v>82545962.209513009</v>
      </c>
      <c r="V877" s="18">
        <f>SUMIF(Imóveis!E:E,Dados!A:A,Imóveis!Z:Z)-SUMIF(Imóveis!E:E,Dados!A:A,Imóveis!Y:Y)</f>
        <v>0</v>
      </c>
      <c r="W877" s="18">
        <f>-SUMIF(Projetos!N:N,A877,Projetos!F:F)</f>
        <v>0</v>
      </c>
      <c r="X877" s="18">
        <f t="shared" si="107"/>
        <v>0</v>
      </c>
      <c r="Y877" s="26">
        <f ca="1">(U877*((Indicadores_Economicos!D$2+1)^(1/12)-1))</f>
        <v>270234.00034517096</v>
      </c>
      <c r="Z877" s="18">
        <f t="shared" ca="1" si="111"/>
        <v>82816196.209858179</v>
      </c>
      <c r="AA877" s="18">
        <f ca="1">Auxiliar_Projetos!E877</f>
        <v>6.8266862811634123E-9</v>
      </c>
      <c r="AB877" s="18">
        <f ca="1">Auxiliar_Projetos!K877</f>
        <v>5.2512971393564675E-9</v>
      </c>
      <c r="AC877" s="18">
        <f ca="1">IF(Z877-AA877-AB877&gt;Investimentos!$C$14,Investimentos!$C$14,IF(Z877-AA877-AB877&lt;Investimentos!$C$14,Z877-AA877-AB877,0))</f>
        <v>300000</v>
      </c>
      <c r="AD877" s="18">
        <f t="shared" ca="1" si="112"/>
        <v>82516196.209858179</v>
      </c>
      <c r="AE877" s="18"/>
    </row>
    <row r="878" spans="1:31" x14ac:dyDescent="0.2">
      <c r="A878" s="4">
        <v>72321</v>
      </c>
      <c r="B878" s="5" t="str">
        <f t="shared" si="108"/>
        <v>janeiro</v>
      </c>
      <c r="C878" s="5" t="str">
        <f t="shared" si="114"/>
        <v>2098</v>
      </c>
      <c r="D878" s="5">
        <f>SUMIFS(Despesas!$F:$F,Despesas!$J:$J,"&lt;="&amp;$A878,Despesas!$L:$L,"&gt;="&amp;$A878,Despesas!$C:$C,D$1,Despesas!$M:$M,"Mensal")+SUMIFS(Despesas!$F:$F,Despesas!$J:$J,"&lt;="&amp;$A878,Despesas!$L:$L,"&gt;="&amp;$A878,Despesas!$C:$C,D$1,Despesas!$M:$M,$B878)</f>
        <v>0</v>
      </c>
      <c r="E878" s="18">
        <f>SUMIFS(Despesas!$F:$F,Despesas!$J:$J,"&lt;="&amp;$A878,Despesas!$L:$L,"&gt;="&amp;$A878,Despesas!$C:$C,E$1,Despesas!$M:$M,"Mensal")+SUMIFS(Despesas!$F:$F,Despesas!$J:$J,"&lt;="&amp;$A878,Despesas!$L:$L,"&gt;="&amp;$A878,Despesas!$C:$C,E$1,Despesas!$M:$M,$B878)</f>
        <v>0</v>
      </c>
      <c r="F878" s="5">
        <f>SUMIFS(Despesas!$F:$F,Despesas!$J:$J,"&lt;="&amp;$A878,Despesas!$L:$L,"&gt;="&amp;$A878,Despesas!$C:$C,F$1,Despesas!$M:$M,"Mensal")+SUMIFS(Despesas!$F:$F,Despesas!$J:$J,"&lt;="&amp;$A878,Despesas!$L:$L,"&gt;="&amp;$A878,Despesas!$C:$C,F$1,Despesas!$M:$M,$B878)</f>
        <v>0</v>
      </c>
      <c r="G878" s="5">
        <f>SUMIFS(Despesas!$F:$F,Despesas!$J:$J,"&lt;="&amp;$A878,Despesas!$L:$L,"&gt;="&amp;$A878,Despesas!$C:$C,G$1,Despesas!$M:$M,"Mensal")+SUMIFS(Despesas!$F:$F,Despesas!$J:$J,"&lt;="&amp;$A878,Despesas!$L:$L,"&gt;="&amp;$A878,Despesas!$C:$C,G$1,Despesas!$M:$M,$B878)</f>
        <v>0</v>
      </c>
      <c r="H878" s="18">
        <f>SUMIFS(Despesas!$F:$F,Despesas!$J:$J,"&lt;="&amp;$A878,Despesas!$L:$L,"&gt;="&amp;$A878,Despesas!$C:$C,H$1,Despesas!$M:$M,"Mensal")+SUMIFS(Despesas!$F:$F,Despesas!$J:$J,"&lt;="&amp;$A878,Despesas!$L:$L,"&gt;="&amp;$A878,Despesas!$C:$C,H$1,Despesas!$M:$M,$B878)</f>
        <v>0</v>
      </c>
      <c r="I878" s="18">
        <f>IF(Imóveis!$F$2="PRICE",IF(AND(Dados!$A878&gt;=Imóveis!$Q$2,Dados!$A878&lt;=Imóveis!$T$2),Imóveis!$U$2,0),IF((IF(AND(Dados!$A878&gt;=Imóveis!$Q$2,Dados!$A878&lt;=Imóveis!$T$2),Imóveis!$S$2-(DATEDIF(Imóveis!$Q$2,Dados!$A878,"m")),0))=0,0,((Imóveis!$N$2/Imóveis!$S$2)+((Imóveis!$N$2-((Imóveis!$S$2-(IF(AND(Dados!$A878&gt;=Imóveis!$Q$2,Dados!$A878&lt;=Imóveis!$T$2),Imóveis!$S$2-(DATEDIF(Imóveis!$Q$2,Dados!$A878,"m")),)))*(Imóveis!$N$2/Imóveis!$S$2)))*Imóveis!$P$2))))*IF(AND(Imóveis!$E$2&gt;0,Dados!$A878&gt;Imóveis!$E$2),0,1)</f>
        <v>0</v>
      </c>
      <c r="J878" s="18">
        <f>IF(Imóveis!$F$3="PRICE",IF(AND(Dados!$A878&gt;=Imóveis!$Q$3,Dados!$A878&lt;=Imóveis!$T$3),Imóveis!$U$3,0),IF((IF(AND(Dados!$A878&gt;=Imóveis!$Q$3,Dados!$A878&lt;=Imóveis!$T$3),Imóveis!$S$3-(DATEDIF(Imóveis!$Q$3,Dados!$A878,"m")),0))=0,0,((Imóveis!$N$3/Imóveis!$S$3)+((Imóveis!$N$3-((Imóveis!$S$3-(IF(AND(Dados!$A878&gt;=Imóveis!$Q$3,Dados!$A878&lt;=Imóveis!$T$3),Imóveis!$S$3-(DATEDIF(Imóveis!$Q$3,Dados!$A878,"m")),)))*(Imóveis!$N$3/Imóveis!$S$3)))*Imóveis!$P$3))))*IF(AND(Imóveis!$E$3&gt;0,Dados!$A878&gt;Imóveis!$E$3),0,1)</f>
        <v>0</v>
      </c>
      <c r="K878" s="18">
        <f>IF(Imóveis!$F$4="PRICE",IF(AND(Dados!$A878&gt;=Imóveis!$Q$4,Dados!$A878&lt;=Imóveis!$T$4),Imóveis!$U$4,0),IF((IF(AND(Dados!$A878&gt;=Imóveis!$Q$4,Dados!$A878&lt;=Imóveis!$T$4),Imóveis!$S$4-(DATEDIF(Imóveis!$Q$4,Dados!$A878,"m")),0))=0,0,((Imóveis!$N$4/Imóveis!$S$4)+((Imóveis!$N$4-((Imóveis!$S$4-(IF(AND(Dados!$A878&gt;=Imóveis!$Q$4,Dados!$A878&lt;=Imóveis!$T$4),Imóveis!$S$4-(DATEDIF(Imóveis!$Q$4,Dados!$A878,"m")),)))*(Imóveis!$N$4/Imóveis!$S$4)))*Imóveis!$P$4))))*IF(AND(Imóveis!$E$4&gt;0,Dados!$A878&gt;Imóveis!$E$4),0,1)</f>
        <v>0</v>
      </c>
      <c r="L878" s="18">
        <f>IF(Imóveis!$F$5="PRICE",IF(AND(Dados!$A878&gt;=Imóveis!$Q$5,Dados!$A878&lt;=Imóveis!$T$5),Imóveis!$U$5,0),IF((IF(AND(Dados!$A878&gt;=Imóveis!$Q$5,Dados!$A878&lt;=Imóveis!$T$5),Imóveis!$S$5-(DATEDIF(Imóveis!$Q$5,Dados!$A878,"m")),0))=0,0,((Imóveis!$N$5/Imóveis!$S$5)+((Imóveis!$N$5-((Imóveis!$S$5-(IF(AND(Dados!$A878 &gt;=Imóveis!$Q$5,Dados!$A878&lt;=Imóveis!$T$5),Imóveis!$S$5-(DATEDIF(Imóveis!$Q$5,Dados!$A878,"m")),)))*(Imóveis!$N$5/Imóveis!$S$5)))*Imóveis!$P$5))))*IF(AND(Imóveis!$E$5&gt;0,Dados!$A878&gt;Imóveis!$E$5),0,1)*Imóveis!$I$5</f>
        <v>0</v>
      </c>
      <c r="M878" s="18">
        <f>IF(Imóveis!$F$6="PRICE",IF(AND(Dados!$A878&gt;=Imóveis!$Q$6,Dados!$A878&lt;=Imóveis!$T$6),Imóveis!$U$6,0),IF((IF(AND(Dados!$A878&gt;=Imóveis!$Q$6,Dados!$A878&lt;=Imóveis!$T$6),Imóveis!$S$6-(DATEDIF(Imóveis!$Q$6,Dados!$A878,"m")),0))=0,0,((Imóveis!$N$6/Imóveis!$S$6)+((Imóveis!$N$6-((Imóveis!$S$6-(IF(AND(Dados!$A878&gt;=Imóveis!$Q$6,Dados!$A878&lt;=Imóveis!$T$6),Imóveis!$S$6-(DATEDIF(Imóveis!$Q$6,Dados!$A878,"m")),)))*(Imóveis!$N$6/Imóveis!$S$6)))*Imóveis!$P$6))))*IF(AND(Imóveis!$E$6&gt;0,Dados!$A878&gt;Imóveis!$E$6),0,1)*Imóveis!$I$6</f>
        <v>0</v>
      </c>
      <c r="N878" s="18">
        <f t="shared" si="109"/>
        <v>0</v>
      </c>
      <c r="O878" s="18">
        <f>SUMIFS(Receitas!$F:$F,Receitas!$J:$J,"&lt;="&amp;$A878,Receitas!$L:$L,"&gt;="&amp;$A878,Receitas!$C:$C,O$1,Receitas!$M:$M,"Mensal")+SUMIFS(Receitas!$F:$F,Receitas!$J:$J,"&lt;="&amp;$A878,Receitas!$L:$L,"&gt;="&amp;$A878,Receitas!$C:$C,O$1,Receitas!$M:$M,$B878)</f>
        <v>0</v>
      </c>
      <c r="P878" s="18">
        <f>SUMIFS(Receitas!$F:$F,Receitas!$J:$J,"&lt;="&amp;$A878,Receitas!$L:$L,"&gt;="&amp;$A878,Receitas!$C:$C,P$1,Receitas!$M:$M,"Mensal")+SUMIFS(Receitas!$F:$F,Receitas!$J:$J,"&lt;="&amp;$A878,Receitas!$L:$L,"&gt;="&amp;$A878,Receitas!$C:$C,P$1,Receitas!$M:$M,$B878)</f>
        <v>0</v>
      </c>
      <c r="Q878" s="18">
        <f>SUMIFS(Receitas!$F:$F,Receitas!$J:$J,"&lt;="&amp;$A878,Receitas!$L:$L,"&gt;="&amp;$A878,Receitas!$C:$C,Q$1,Receitas!$M:$M,"Mensal")+SUMIFS(Receitas!$F:$F,Receitas!$J:$J,"&lt;="&amp;$A878,Receitas!$L:$L,"&gt;="&amp;$A878,Receitas!$C:$C,Q$1,Receitas!$M:$M,$B878)</f>
        <v>0</v>
      </c>
      <c r="R878" s="18" cm="1">
        <f t="array" ref="R878">(IF(AND(Membros!$F$2="Sim",A878&lt;=MAX(Membros!$E$2:$E$5)),Membros!K$2,IF(AND(A878&gt;=Membros!J$2,A878&lt;=MAX(Membros!$E$2:$E$5)),Membros!K$2,0))+IF(AND(Membros!$F$3="Sim",A878&lt;=MAX(Membros!$E$2:$E$5)),Membros!K$3,IF(AND(A878&gt;=Membros!J$3,A878&lt;=MAX(Membros!$E$2:$E$5)),Membros!K$3,0)))*IF(AND(COUNTIFS(Tabela3[Tipo],"Provedor",Tabela3[Simulação Seguro],"Sim")=2,A878&gt;=MAX(IF(Tabela3[Tipo]="Dependente",Tabela3[Expectativa de Vida (Data)]))),0,1)</f>
        <v>0</v>
      </c>
      <c r="S878" s="18">
        <f t="shared" si="110"/>
        <v>0</v>
      </c>
      <c r="U878" s="18">
        <f t="shared" ca="1" si="113"/>
        <v>82816196.209858179</v>
      </c>
      <c r="V878" s="18">
        <f>SUMIF(Imóveis!E:E,Dados!A:A,Imóveis!Z:Z)-SUMIF(Imóveis!E:E,Dados!A:A,Imóveis!Y:Y)</f>
        <v>0</v>
      </c>
      <c r="W878" s="18">
        <f>-SUMIF(Projetos!N:N,A878,Projetos!F:F)</f>
        <v>0</v>
      </c>
      <c r="X878" s="18">
        <f t="shared" si="107"/>
        <v>0</v>
      </c>
      <c r="Y878" s="26">
        <f ca="1">(U878*((Indicadores_Economicos!D$2+1)^(1/12)-1))</f>
        <v>271118.67614260368</v>
      </c>
      <c r="Z878" s="18">
        <f t="shared" ca="1" si="111"/>
        <v>83087314.886000782</v>
      </c>
      <c r="AA878" s="18">
        <f ca="1">Auxiliar_Projetos!E878</f>
        <v>6.8490350756226485E-9</v>
      </c>
      <c r="AB878" s="18">
        <f ca="1">Auxiliar_Projetos!K878</f>
        <v>5.2684885197097261E-9</v>
      </c>
      <c r="AC878" s="18">
        <f ca="1">IF(Z878-AA878-AB878&gt;Investimentos!$C$14,Investimentos!$C$14,IF(Z878-AA878-AB878&lt;Investimentos!$C$14,Z878-AA878-AB878,0))</f>
        <v>300000</v>
      </c>
      <c r="AD878" s="18">
        <f t="shared" ca="1" si="112"/>
        <v>82787314.886000782</v>
      </c>
      <c r="AE878" s="18"/>
    </row>
    <row r="879" spans="1:31" x14ac:dyDescent="0.2">
      <c r="A879" s="4">
        <v>72352</v>
      </c>
      <c r="B879" s="5" t="str">
        <f t="shared" si="108"/>
        <v>fevereiro</v>
      </c>
      <c r="C879" s="5" t="str">
        <f t="shared" si="114"/>
        <v>2098</v>
      </c>
      <c r="D879" s="5">
        <f>SUMIFS(Despesas!$F:$F,Despesas!$J:$J,"&lt;="&amp;$A879,Despesas!$L:$L,"&gt;="&amp;$A879,Despesas!$C:$C,D$1,Despesas!$M:$M,"Mensal")+SUMIFS(Despesas!$F:$F,Despesas!$J:$J,"&lt;="&amp;$A879,Despesas!$L:$L,"&gt;="&amp;$A879,Despesas!$C:$C,D$1,Despesas!$M:$M,$B879)</f>
        <v>0</v>
      </c>
      <c r="E879" s="18">
        <f>SUMIFS(Despesas!$F:$F,Despesas!$J:$J,"&lt;="&amp;$A879,Despesas!$L:$L,"&gt;="&amp;$A879,Despesas!$C:$C,E$1,Despesas!$M:$M,"Mensal")+SUMIFS(Despesas!$F:$F,Despesas!$J:$J,"&lt;="&amp;$A879,Despesas!$L:$L,"&gt;="&amp;$A879,Despesas!$C:$C,E$1,Despesas!$M:$M,$B879)</f>
        <v>0</v>
      </c>
      <c r="F879" s="5">
        <f>SUMIFS(Despesas!$F:$F,Despesas!$J:$J,"&lt;="&amp;$A879,Despesas!$L:$L,"&gt;="&amp;$A879,Despesas!$C:$C,F$1,Despesas!$M:$M,"Mensal")+SUMIFS(Despesas!$F:$F,Despesas!$J:$J,"&lt;="&amp;$A879,Despesas!$L:$L,"&gt;="&amp;$A879,Despesas!$C:$C,F$1,Despesas!$M:$M,$B879)</f>
        <v>0</v>
      </c>
      <c r="G879" s="5">
        <f>SUMIFS(Despesas!$F:$F,Despesas!$J:$J,"&lt;="&amp;$A879,Despesas!$L:$L,"&gt;="&amp;$A879,Despesas!$C:$C,G$1,Despesas!$M:$M,"Mensal")+SUMIFS(Despesas!$F:$F,Despesas!$J:$J,"&lt;="&amp;$A879,Despesas!$L:$L,"&gt;="&amp;$A879,Despesas!$C:$C,G$1,Despesas!$M:$M,$B879)</f>
        <v>0</v>
      </c>
      <c r="H879" s="18">
        <f>SUMIFS(Despesas!$F:$F,Despesas!$J:$J,"&lt;="&amp;$A879,Despesas!$L:$L,"&gt;="&amp;$A879,Despesas!$C:$C,H$1,Despesas!$M:$M,"Mensal")+SUMIFS(Despesas!$F:$F,Despesas!$J:$J,"&lt;="&amp;$A879,Despesas!$L:$L,"&gt;="&amp;$A879,Despesas!$C:$C,H$1,Despesas!$M:$M,$B879)</f>
        <v>0</v>
      </c>
      <c r="I879" s="18">
        <f>IF(Imóveis!$F$2="PRICE",IF(AND(Dados!$A879&gt;=Imóveis!$Q$2,Dados!$A879&lt;=Imóveis!$T$2),Imóveis!$U$2,0),IF((IF(AND(Dados!$A879&gt;=Imóveis!$Q$2,Dados!$A879&lt;=Imóveis!$T$2),Imóveis!$S$2-(DATEDIF(Imóveis!$Q$2,Dados!$A879,"m")),0))=0,0,((Imóveis!$N$2/Imóveis!$S$2)+((Imóveis!$N$2-((Imóveis!$S$2-(IF(AND(Dados!$A879&gt;=Imóveis!$Q$2,Dados!$A879&lt;=Imóveis!$T$2),Imóveis!$S$2-(DATEDIF(Imóveis!$Q$2,Dados!$A879,"m")),)))*(Imóveis!$N$2/Imóveis!$S$2)))*Imóveis!$P$2))))*IF(AND(Imóveis!$E$2&gt;0,Dados!$A879&gt;Imóveis!$E$2),0,1)</f>
        <v>0</v>
      </c>
      <c r="J879" s="18">
        <f>IF(Imóveis!$F$3="PRICE",IF(AND(Dados!$A879&gt;=Imóveis!$Q$3,Dados!$A879&lt;=Imóveis!$T$3),Imóveis!$U$3,0),IF((IF(AND(Dados!$A879&gt;=Imóveis!$Q$3,Dados!$A879&lt;=Imóveis!$T$3),Imóveis!$S$3-(DATEDIF(Imóveis!$Q$3,Dados!$A879,"m")),0))=0,0,((Imóveis!$N$3/Imóveis!$S$3)+((Imóveis!$N$3-((Imóveis!$S$3-(IF(AND(Dados!$A879&gt;=Imóveis!$Q$3,Dados!$A879&lt;=Imóveis!$T$3),Imóveis!$S$3-(DATEDIF(Imóveis!$Q$3,Dados!$A879,"m")),)))*(Imóveis!$N$3/Imóveis!$S$3)))*Imóveis!$P$3))))*IF(AND(Imóveis!$E$3&gt;0,Dados!$A879&gt;Imóveis!$E$3),0,1)</f>
        <v>0</v>
      </c>
      <c r="K879" s="18">
        <f>IF(Imóveis!$F$4="PRICE",IF(AND(Dados!$A879&gt;=Imóveis!$Q$4,Dados!$A879&lt;=Imóveis!$T$4),Imóveis!$U$4,0),IF((IF(AND(Dados!$A879&gt;=Imóveis!$Q$4,Dados!$A879&lt;=Imóveis!$T$4),Imóveis!$S$4-(DATEDIF(Imóveis!$Q$4,Dados!$A879,"m")),0))=0,0,((Imóveis!$N$4/Imóveis!$S$4)+((Imóveis!$N$4-((Imóveis!$S$4-(IF(AND(Dados!$A879&gt;=Imóveis!$Q$4,Dados!$A879&lt;=Imóveis!$T$4),Imóveis!$S$4-(DATEDIF(Imóveis!$Q$4,Dados!$A879,"m")),)))*(Imóveis!$N$4/Imóveis!$S$4)))*Imóveis!$P$4))))*IF(AND(Imóveis!$E$4&gt;0,Dados!$A879&gt;Imóveis!$E$4),0,1)</f>
        <v>0</v>
      </c>
      <c r="L879" s="18">
        <f>IF(Imóveis!$F$5="PRICE",IF(AND(Dados!$A879&gt;=Imóveis!$Q$5,Dados!$A879&lt;=Imóveis!$T$5),Imóveis!$U$5,0),IF((IF(AND(Dados!$A879&gt;=Imóveis!$Q$5,Dados!$A879&lt;=Imóveis!$T$5),Imóveis!$S$5-(DATEDIF(Imóveis!$Q$5,Dados!$A879,"m")),0))=0,0,((Imóveis!$N$5/Imóveis!$S$5)+((Imóveis!$N$5-((Imóveis!$S$5-(IF(AND(Dados!$A879 &gt;=Imóveis!$Q$5,Dados!$A879&lt;=Imóveis!$T$5),Imóveis!$S$5-(DATEDIF(Imóveis!$Q$5,Dados!$A879,"m")),)))*(Imóveis!$N$5/Imóveis!$S$5)))*Imóveis!$P$5))))*IF(AND(Imóveis!$E$5&gt;0,Dados!$A879&gt;Imóveis!$E$5),0,1)*Imóveis!$I$5</f>
        <v>0</v>
      </c>
      <c r="M879" s="18">
        <f>IF(Imóveis!$F$6="PRICE",IF(AND(Dados!$A879&gt;=Imóveis!$Q$6,Dados!$A879&lt;=Imóveis!$T$6),Imóveis!$U$6,0),IF((IF(AND(Dados!$A879&gt;=Imóveis!$Q$6,Dados!$A879&lt;=Imóveis!$T$6),Imóveis!$S$6-(DATEDIF(Imóveis!$Q$6,Dados!$A879,"m")),0))=0,0,((Imóveis!$N$6/Imóveis!$S$6)+((Imóveis!$N$6-((Imóveis!$S$6-(IF(AND(Dados!$A879&gt;=Imóveis!$Q$6,Dados!$A879&lt;=Imóveis!$T$6),Imóveis!$S$6-(DATEDIF(Imóveis!$Q$6,Dados!$A879,"m")),)))*(Imóveis!$N$6/Imóveis!$S$6)))*Imóveis!$P$6))))*IF(AND(Imóveis!$E$6&gt;0,Dados!$A879&gt;Imóveis!$E$6),0,1)*Imóveis!$I$6</f>
        <v>0</v>
      </c>
      <c r="N879" s="18">
        <f t="shared" si="109"/>
        <v>0</v>
      </c>
      <c r="O879" s="18">
        <f>SUMIFS(Receitas!$F:$F,Receitas!$J:$J,"&lt;="&amp;$A879,Receitas!$L:$L,"&gt;="&amp;$A879,Receitas!$C:$C,O$1,Receitas!$M:$M,"Mensal")+SUMIFS(Receitas!$F:$F,Receitas!$J:$J,"&lt;="&amp;$A879,Receitas!$L:$L,"&gt;="&amp;$A879,Receitas!$C:$C,O$1,Receitas!$M:$M,$B879)</f>
        <v>0</v>
      </c>
      <c r="P879" s="18">
        <f>SUMIFS(Receitas!$F:$F,Receitas!$J:$J,"&lt;="&amp;$A879,Receitas!$L:$L,"&gt;="&amp;$A879,Receitas!$C:$C,P$1,Receitas!$M:$M,"Mensal")+SUMIFS(Receitas!$F:$F,Receitas!$J:$J,"&lt;="&amp;$A879,Receitas!$L:$L,"&gt;="&amp;$A879,Receitas!$C:$C,P$1,Receitas!$M:$M,$B879)</f>
        <v>0</v>
      </c>
      <c r="Q879" s="18">
        <f>SUMIFS(Receitas!$F:$F,Receitas!$J:$J,"&lt;="&amp;$A879,Receitas!$L:$L,"&gt;="&amp;$A879,Receitas!$C:$C,Q$1,Receitas!$M:$M,"Mensal")+SUMIFS(Receitas!$F:$F,Receitas!$J:$J,"&lt;="&amp;$A879,Receitas!$L:$L,"&gt;="&amp;$A879,Receitas!$C:$C,Q$1,Receitas!$M:$M,$B879)</f>
        <v>0</v>
      </c>
      <c r="R879" s="18" cm="1">
        <f t="array" ref="R879">(IF(AND(Membros!$F$2="Sim",A879&lt;=MAX(Membros!$E$2:$E$5)),Membros!K$2,IF(AND(A879&gt;=Membros!J$2,A879&lt;=MAX(Membros!$E$2:$E$5)),Membros!K$2,0))+IF(AND(Membros!$F$3="Sim",A879&lt;=MAX(Membros!$E$2:$E$5)),Membros!K$3,IF(AND(A879&gt;=Membros!J$3,A879&lt;=MAX(Membros!$E$2:$E$5)),Membros!K$3,0)))*IF(AND(COUNTIFS(Tabela3[Tipo],"Provedor",Tabela3[Simulação Seguro],"Sim")=2,A879&gt;=MAX(IF(Tabela3[Tipo]="Dependente",Tabela3[Expectativa de Vida (Data)]))),0,1)</f>
        <v>0</v>
      </c>
      <c r="S879" s="18">
        <f t="shared" si="110"/>
        <v>0</v>
      </c>
      <c r="U879" s="18">
        <f t="shared" ca="1" si="113"/>
        <v>83087314.886000782</v>
      </c>
      <c r="V879" s="18">
        <f>SUMIF(Imóveis!E:E,Dados!A:A,Imóveis!Z:Z)-SUMIF(Imóveis!E:E,Dados!A:A,Imóveis!Y:Y)</f>
        <v>0</v>
      </c>
      <c r="W879" s="18">
        <f>-SUMIF(Projetos!N:N,A879,Projetos!F:F)</f>
        <v>0</v>
      </c>
      <c r="X879" s="18">
        <f t="shared" si="107"/>
        <v>0</v>
      </c>
      <c r="Y879" s="26">
        <f ca="1">(U879*((Indicadores_Economicos!D$2+1)^(1/12)-1))</f>
        <v>272006.24813838885</v>
      </c>
      <c r="Z879" s="18">
        <f t="shared" ca="1" si="111"/>
        <v>83359321.134139165</v>
      </c>
      <c r="AA879" s="18">
        <f ca="1">Auxiliar_Projetos!E879</f>
        <v>6.87145703421939E-9</v>
      </c>
      <c r="AB879" s="18">
        <f ca="1">Auxiliar_Projetos!K879</f>
        <v>5.285736180168758E-9</v>
      </c>
      <c r="AC879" s="18">
        <f ca="1">IF(Z879-AA879-AB879&gt;Investimentos!$C$14,Investimentos!$C$14,IF(Z879-AA879-AB879&lt;Investimentos!$C$14,Z879-AA879-AB879,0))</f>
        <v>300000</v>
      </c>
      <c r="AD879" s="18">
        <f t="shared" ca="1" si="112"/>
        <v>83059321.134139165</v>
      </c>
      <c r="AE879" s="18"/>
    </row>
    <row r="880" spans="1:31" x14ac:dyDescent="0.2">
      <c r="A880" s="4">
        <v>72380</v>
      </c>
      <c r="B880" s="5" t="str">
        <f t="shared" si="108"/>
        <v>março</v>
      </c>
      <c r="C880" s="5" t="str">
        <f t="shared" si="114"/>
        <v>2098</v>
      </c>
      <c r="D880" s="5">
        <f>SUMIFS(Despesas!$F:$F,Despesas!$J:$J,"&lt;="&amp;$A880,Despesas!$L:$L,"&gt;="&amp;$A880,Despesas!$C:$C,D$1,Despesas!$M:$M,"Mensal")+SUMIFS(Despesas!$F:$F,Despesas!$J:$J,"&lt;="&amp;$A880,Despesas!$L:$L,"&gt;="&amp;$A880,Despesas!$C:$C,D$1,Despesas!$M:$M,$B880)</f>
        <v>0</v>
      </c>
      <c r="E880" s="18">
        <f>SUMIFS(Despesas!$F:$F,Despesas!$J:$J,"&lt;="&amp;$A880,Despesas!$L:$L,"&gt;="&amp;$A880,Despesas!$C:$C,E$1,Despesas!$M:$M,"Mensal")+SUMIFS(Despesas!$F:$F,Despesas!$J:$J,"&lt;="&amp;$A880,Despesas!$L:$L,"&gt;="&amp;$A880,Despesas!$C:$C,E$1,Despesas!$M:$M,$B880)</f>
        <v>0</v>
      </c>
      <c r="F880" s="5">
        <f>SUMIFS(Despesas!$F:$F,Despesas!$J:$J,"&lt;="&amp;$A880,Despesas!$L:$L,"&gt;="&amp;$A880,Despesas!$C:$C,F$1,Despesas!$M:$M,"Mensal")+SUMIFS(Despesas!$F:$F,Despesas!$J:$J,"&lt;="&amp;$A880,Despesas!$L:$L,"&gt;="&amp;$A880,Despesas!$C:$C,F$1,Despesas!$M:$M,$B880)</f>
        <v>0</v>
      </c>
      <c r="G880" s="5">
        <f>SUMIFS(Despesas!$F:$F,Despesas!$J:$J,"&lt;="&amp;$A880,Despesas!$L:$L,"&gt;="&amp;$A880,Despesas!$C:$C,G$1,Despesas!$M:$M,"Mensal")+SUMIFS(Despesas!$F:$F,Despesas!$J:$J,"&lt;="&amp;$A880,Despesas!$L:$L,"&gt;="&amp;$A880,Despesas!$C:$C,G$1,Despesas!$M:$M,$B880)</f>
        <v>0</v>
      </c>
      <c r="H880" s="18">
        <f>SUMIFS(Despesas!$F:$F,Despesas!$J:$J,"&lt;="&amp;$A880,Despesas!$L:$L,"&gt;="&amp;$A880,Despesas!$C:$C,H$1,Despesas!$M:$M,"Mensal")+SUMIFS(Despesas!$F:$F,Despesas!$J:$J,"&lt;="&amp;$A880,Despesas!$L:$L,"&gt;="&amp;$A880,Despesas!$C:$C,H$1,Despesas!$M:$M,$B880)</f>
        <v>0</v>
      </c>
      <c r="I880" s="18">
        <f>IF(Imóveis!$F$2="PRICE",IF(AND(Dados!$A880&gt;=Imóveis!$Q$2,Dados!$A880&lt;=Imóveis!$T$2),Imóveis!$U$2,0),IF((IF(AND(Dados!$A880&gt;=Imóveis!$Q$2,Dados!$A880&lt;=Imóveis!$T$2),Imóveis!$S$2-(DATEDIF(Imóveis!$Q$2,Dados!$A880,"m")),0))=0,0,((Imóveis!$N$2/Imóveis!$S$2)+((Imóveis!$N$2-((Imóveis!$S$2-(IF(AND(Dados!$A880&gt;=Imóveis!$Q$2,Dados!$A880&lt;=Imóveis!$T$2),Imóveis!$S$2-(DATEDIF(Imóveis!$Q$2,Dados!$A880,"m")),)))*(Imóveis!$N$2/Imóveis!$S$2)))*Imóveis!$P$2))))*IF(AND(Imóveis!$E$2&gt;0,Dados!$A880&gt;Imóveis!$E$2),0,1)</f>
        <v>0</v>
      </c>
      <c r="J880" s="18">
        <f>IF(Imóveis!$F$3="PRICE",IF(AND(Dados!$A880&gt;=Imóveis!$Q$3,Dados!$A880&lt;=Imóveis!$T$3),Imóveis!$U$3,0),IF((IF(AND(Dados!$A880&gt;=Imóveis!$Q$3,Dados!$A880&lt;=Imóveis!$T$3),Imóveis!$S$3-(DATEDIF(Imóveis!$Q$3,Dados!$A880,"m")),0))=0,0,((Imóveis!$N$3/Imóveis!$S$3)+((Imóveis!$N$3-((Imóveis!$S$3-(IF(AND(Dados!$A880&gt;=Imóveis!$Q$3,Dados!$A880&lt;=Imóveis!$T$3),Imóveis!$S$3-(DATEDIF(Imóveis!$Q$3,Dados!$A880,"m")),)))*(Imóveis!$N$3/Imóveis!$S$3)))*Imóveis!$P$3))))*IF(AND(Imóveis!$E$3&gt;0,Dados!$A880&gt;Imóveis!$E$3),0,1)</f>
        <v>0</v>
      </c>
      <c r="K880" s="18">
        <f>IF(Imóveis!$F$4="PRICE",IF(AND(Dados!$A880&gt;=Imóveis!$Q$4,Dados!$A880&lt;=Imóveis!$T$4),Imóveis!$U$4,0),IF((IF(AND(Dados!$A880&gt;=Imóveis!$Q$4,Dados!$A880&lt;=Imóveis!$T$4),Imóveis!$S$4-(DATEDIF(Imóveis!$Q$4,Dados!$A880,"m")),0))=0,0,((Imóveis!$N$4/Imóveis!$S$4)+((Imóveis!$N$4-((Imóveis!$S$4-(IF(AND(Dados!$A880&gt;=Imóveis!$Q$4,Dados!$A880&lt;=Imóveis!$T$4),Imóveis!$S$4-(DATEDIF(Imóveis!$Q$4,Dados!$A880,"m")),)))*(Imóveis!$N$4/Imóveis!$S$4)))*Imóveis!$P$4))))*IF(AND(Imóveis!$E$4&gt;0,Dados!$A880&gt;Imóveis!$E$4),0,1)</f>
        <v>0</v>
      </c>
      <c r="L880" s="18">
        <f>IF(Imóveis!$F$5="PRICE",IF(AND(Dados!$A880&gt;=Imóveis!$Q$5,Dados!$A880&lt;=Imóveis!$T$5),Imóveis!$U$5,0),IF((IF(AND(Dados!$A880&gt;=Imóveis!$Q$5,Dados!$A880&lt;=Imóveis!$T$5),Imóveis!$S$5-(DATEDIF(Imóveis!$Q$5,Dados!$A880,"m")),0))=0,0,((Imóveis!$N$5/Imóveis!$S$5)+((Imóveis!$N$5-((Imóveis!$S$5-(IF(AND(Dados!$A880 &gt;=Imóveis!$Q$5,Dados!$A880&lt;=Imóveis!$T$5),Imóveis!$S$5-(DATEDIF(Imóveis!$Q$5,Dados!$A880,"m")),)))*(Imóveis!$N$5/Imóveis!$S$5)))*Imóveis!$P$5))))*IF(AND(Imóveis!$E$5&gt;0,Dados!$A880&gt;Imóveis!$E$5),0,1)*Imóveis!$I$5</f>
        <v>0</v>
      </c>
      <c r="M880" s="18">
        <f>IF(Imóveis!$F$6="PRICE",IF(AND(Dados!$A880&gt;=Imóveis!$Q$6,Dados!$A880&lt;=Imóveis!$T$6),Imóveis!$U$6,0),IF((IF(AND(Dados!$A880&gt;=Imóveis!$Q$6,Dados!$A880&lt;=Imóveis!$T$6),Imóveis!$S$6-(DATEDIF(Imóveis!$Q$6,Dados!$A880,"m")),0))=0,0,((Imóveis!$N$6/Imóveis!$S$6)+((Imóveis!$N$6-((Imóveis!$S$6-(IF(AND(Dados!$A880&gt;=Imóveis!$Q$6,Dados!$A880&lt;=Imóveis!$T$6),Imóveis!$S$6-(DATEDIF(Imóveis!$Q$6,Dados!$A880,"m")),)))*(Imóveis!$N$6/Imóveis!$S$6)))*Imóveis!$P$6))))*IF(AND(Imóveis!$E$6&gt;0,Dados!$A880&gt;Imóveis!$E$6),0,1)*Imóveis!$I$6</f>
        <v>0</v>
      </c>
      <c r="N880" s="18">
        <f t="shared" si="109"/>
        <v>0</v>
      </c>
      <c r="O880" s="18">
        <f>SUMIFS(Receitas!$F:$F,Receitas!$J:$J,"&lt;="&amp;$A880,Receitas!$L:$L,"&gt;="&amp;$A880,Receitas!$C:$C,O$1,Receitas!$M:$M,"Mensal")+SUMIFS(Receitas!$F:$F,Receitas!$J:$J,"&lt;="&amp;$A880,Receitas!$L:$L,"&gt;="&amp;$A880,Receitas!$C:$C,O$1,Receitas!$M:$M,$B880)</f>
        <v>0</v>
      </c>
      <c r="P880" s="18">
        <f>SUMIFS(Receitas!$F:$F,Receitas!$J:$J,"&lt;="&amp;$A880,Receitas!$L:$L,"&gt;="&amp;$A880,Receitas!$C:$C,P$1,Receitas!$M:$M,"Mensal")+SUMIFS(Receitas!$F:$F,Receitas!$J:$J,"&lt;="&amp;$A880,Receitas!$L:$L,"&gt;="&amp;$A880,Receitas!$C:$C,P$1,Receitas!$M:$M,$B880)</f>
        <v>0</v>
      </c>
      <c r="Q880" s="18">
        <f>SUMIFS(Receitas!$F:$F,Receitas!$J:$J,"&lt;="&amp;$A880,Receitas!$L:$L,"&gt;="&amp;$A880,Receitas!$C:$C,Q$1,Receitas!$M:$M,"Mensal")+SUMIFS(Receitas!$F:$F,Receitas!$J:$J,"&lt;="&amp;$A880,Receitas!$L:$L,"&gt;="&amp;$A880,Receitas!$C:$C,Q$1,Receitas!$M:$M,$B880)</f>
        <v>0</v>
      </c>
      <c r="R880" s="18" cm="1">
        <f t="array" ref="R880">(IF(AND(Membros!$F$2="Sim",A880&lt;=MAX(Membros!$E$2:$E$5)),Membros!K$2,IF(AND(A880&gt;=Membros!J$2,A880&lt;=MAX(Membros!$E$2:$E$5)),Membros!K$2,0))+IF(AND(Membros!$F$3="Sim",A880&lt;=MAX(Membros!$E$2:$E$5)),Membros!K$3,IF(AND(A880&gt;=Membros!J$3,A880&lt;=MAX(Membros!$E$2:$E$5)),Membros!K$3,0)))*IF(AND(COUNTIFS(Tabela3[Tipo],"Provedor",Tabela3[Simulação Seguro],"Sim")=2,A880&gt;=MAX(IF(Tabela3[Tipo]="Dependente",Tabela3[Expectativa de Vida (Data)]))),0,1)</f>
        <v>0</v>
      </c>
      <c r="S880" s="18">
        <f t="shared" si="110"/>
        <v>0</v>
      </c>
      <c r="U880" s="18">
        <f t="shared" ca="1" si="113"/>
        <v>83359321.134139165</v>
      </c>
      <c r="V880" s="18">
        <f>SUMIF(Imóveis!E:E,Dados!A:A,Imóveis!Z:Z)-SUMIF(Imóveis!E:E,Dados!A:A,Imóveis!Y:Y)</f>
        <v>0</v>
      </c>
      <c r="W880" s="18">
        <f>-SUMIF(Projetos!N:N,A880,Projetos!F:F)</f>
        <v>0</v>
      </c>
      <c r="X880" s="18">
        <f t="shared" si="107"/>
        <v>0</v>
      </c>
      <c r="Y880" s="26">
        <f ca="1">(U880*((Indicadores_Economicos!D$2+1)^(1/12)-1))</f>
        <v>272896.72581392614</v>
      </c>
      <c r="Z880" s="18">
        <f t="shared" ca="1" si="111"/>
        <v>83632217.859953091</v>
      </c>
      <c r="AA880" s="18">
        <f ca="1">Auxiliar_Projetos!E880</f>
        <v>6.8939523964739848E-9</v>
      </c>
      <c r="AB880" s="18">
        <f ca="1">Auxiliar_Projetos!K880</f>
        <v>5.3030403049799846E-9</v>
      </c>
      <c r="AC880" s="18">
        <f ca="1">IF(Z880-AA880-AB880&gt;Investimentos!$C$14,Investimentos!$C$14,IF(Z880-AA880-AB880&lt;Investimentos!$C$14,Z880-AA880-AB880,0))</f>
        <v>300000</v>
      </c>
      <c r="AD880" s="18">
        <f t="shared" ca="1" si="112"/>
        <v>83332217.859953091</v>
      </c>
      <c r="AE880" s="18"/>
    </row>
    <row r="881" spans="1:31" x14ac:dyDescent="0.2">
      <c r="A881" s="4">
        <v>72411</v>
      </c>
      <c r="B881" s="5" t="str">
        <f t="shared" si="108"/>
        <v>abril</v>
      </c>
      <c r="C881" s="5" t="str">
        <f t="shared" si="114"/>
        <v>2098</v>
      </c>
      <c r="D881" s="5">
        <f>SUMIFS(Despesas!$F:$F,Despesas!$J:$J,"&lt;="&amp;$A881,Despesas!$L:$L,"&gt;="&amp;$A881,Despesas!$C:$C,D$1,Despesas!$M:$M,"Mensal")+SUMIFS(Despesas!$F:$F,Despesas!$J:$J,"&lt;="&amp;$A881,Despesas!$L:$L,"&gt;="&amp;$A881,Despesas!$C:$C,D$1,Despesas!$M:$M,$B881)</f>
        <v>0</v>
      </c>
      <c r="E881" s="18">
        <f>SUMIFS(Despesas!$F:$F,Despesas!$J:$J,"&lt;="&amp;$A881,Despesas!$L:$L,"&gt;="&amp;$A881,Despesas!$C:$C,E$1,Despesas!$M:$M,"Mensal")+SUMIFS(Despesas!$F:$F,Despesas!$J:$J,"&lt;="&amp;$A881,Despesas!$L:$L,"&gt;="&amp;$A881,Despesas!$C:$C,E$1,Despesas!$M:$M,$B881)</f>
        <v>0</v>
      </c>
      <c r="F881" s="5">
        <f>SUMIFS(Despesas!$F:$F,Despesas!$J:$J,"&lt;="&amp;$A881,Despesas!$L:$L,"&gt;="&amp;$A881,Despesas!$C:$C,F$1,Despesas!$M:$M,"Mensal")+SUMIFS(Despesas!$F:$F,Despesas!$J:$J,"&lt;="&amp;$A881,Despesas!$L:$L,"&gt;="&amp;$A881,Despesas!$C:$C,F$1,Despesas!$M:$M,$B881)</f>
        <v>0</v>
      </c>
      <c r="G881" s="5">
        <f>SUMIFS(Despesas!$F:$F,Despesas!$J:$J,"&lt;="&amp;$A881,Despesas!$L:$L,"&gt;="&amp;$A881,Despesas!$C:$C,G$1,Despesas!$M:$M,"Mensal")+SUMIFS(Despesas!$F:$F,Despesas!$J:$J,"&lt;="&amp;$A881,Despesas!$L:$L,"&gt;="&amp;$A881,Despesas!$C:$C,G$1,Despesas!$M:$M,$B881)</f>
        <v>0</v>
      </c>
      <c r="H881" s="18">
        <f>SUMIFS(Despesas!$F:$F,Despesas!$J:$J,"&lt;="&amp;$A881,Despesas!$L:$L,"&gt;="&amp;$A881,Despesas!$C:$C,H$1,Despesas!$M:$M,"Mensal")+SUMIFS(Despesas!$F:$F,Despesas!$J:$J,"&lt;="&amp;$A881,Despesas!$L:$L,"&gt;="&amp;$A881,Despesas!$C:$C,H$1,Despesas!$M:$M,$B881)</f>
        <v>0</v>
      </c>
      <c r="I881" s="18">
        <f>IF(Imóveis!$F$2="PRICE",IF(AND(Dados!$A881&gt;=Imóveis!$Q$2,Dados!$A881&lt;=Imóveis!$T$2),Imóveis!$U$2,0),IF((IF(AND(Dados!$A881&gt;=Imóveis!$Q$2,Dados!$A881&lt;=Imóveis!$T$2),Imóveis!$S$2-(DATEDIF(Imóveis!$Q$2,Dados!$A881,"m")),0))=0,0,((Imóveis!$N$2/Imóveis!$S$2)+((Imóveis!$N$2-((Imóveis!$S$2-(IF(AND(Dados!$A881&gt;=Imóveis!$Q$2,Dados!$A881&lt;=Imóveis!$T$2),Imóveis!$S$2-(DATEDIF(Imóveis!$Q$2,Dados!$A881,"m")),)))*(Imóveis!$N$2/Imóveis!$S$2)))*Imóveis!$P$2))))*IF(AND(Imóveis!$E$2&gt;0,Dados!$A881&gt;Imóveis!$E$2),0,1)</f>
        <v>0</v>
      </c>
      <c r="J881" s="18">
        <f>IF(Imóveis!$F$3="PRICE",IF(AND(Dados!$A881&gt;=Imóveis!$Q$3,Dados!$A881&lt;=Imóveis!$T$3),Imóveis!$U$3,0),IF((IF(AND(Dados!$A881&gt;=Imóveis!$Q$3,Dados!$A881&lt;=Imóveis!$T$3),Imóveis!$S$3-(DATEDIF(Imóveis!$Q$3,Dados!$A881,"m")),0))=0,0,((Imóveis!$N$3/Imóveis!$S$3)+((Imóveis!$N$3-((Imóveis!$S$3-(IF(AND(Dados!$A881&gt;=Imóveis!$Q$3,Dados!$A881&lt;=Imóveis!$T$3),Imóveis!$S$3-(DATEDIF(Imóveis!$Q$3,Dados!$A881,"m")),)))*(Imóveis!$N$3/Imóveis!$S$3)))*Imóveis!$P$3))))*IF(AND(Imóveis!$E$3&gt;0,Dados!$A881&gt;Imóveis!$E$3),0,1)</f>
        <v>0</v>
      </c>
      <c r="K881" s="18">
        <f>IF(Imóveis!$F$4="PRICE",IF(AND(Dados!$A881&gt;=Imóveis!$Q$4,Dados!$A881&lt;=Imóveis!$T$4),Imóveis!$U$4,0),IF((IF(AND(Dados!$A881&gt;=Imóveis!$Q$4,Dados!$A881&lt;=Imóveis!$T$4),Imóveis!$S$4-(DATEDIF(Imóveis!$Q$4,Dados!$A881,"m")),0))=0,0,((Imóveis!$N$4/Imóveis!$S$4)+((Imóveis!$N$4-((Imóveis!$S$4-(IF(AND(Dados!$A881&gt;=Imóveis!$Q$4,Dados!$A881&lt;=Imóveis!$T$4),Imóveis!$S$4-(DATEDIF(Imóveis!$Q$4,Dados!$A881,"m")),)))*(Imóveis!$N$4/Imóveis!$S$4)))*Imóveis!$P$4))))*IF(AND(Imóveis!$E$4&gt;0,Dados!$A881&gt;Imóveis!$E$4),0,1)</f>
        <v>0</v>
      </c>
      <c r="L881" s="18">
        <f>IF(Imóveis!$F$5="PRICE",IF(AND(Dados!$A881&gt;=Imóveis!$Q$5,Dados!$A881&lt;=Imóveis!$T$5),Imóveis!$U$5,0),IF((IF(AND(Dados!$A881&gt;=Imóveis!$Q$5,Dados!$A881&lt;=Imóveis!$T$5),Imóveis!$S$5-(DATEDIF(Imóveis!$Q$5,Dados!$A881,"m")),0))=0,0,((Imóveis!$N$5/Imóveis!$S$5)+((Imóveis!$N$5-((Imóveis!$S$5-(IF(AND(Dados!$A881 &gt;=Imóveis!$Q$5,Dados!$A881&lt;=Imóveis!$T$5),Imóveis!$S$5-(DATEDIF(Imóveis!$Q$5,Dados!$A881,"m")),)))*(Imóveis!$N$5/Imóveis!$S$5)))*Imóveis!$P$5))))*IF(AND(Imóveis!$E$5&gt;0,Dados!$A881&gt;Imóveis!$E$5),0,1)*Imóveis!$I$5</f>
        <v>0</v>
      </c>
      <c r="M881" s="18">
        <f>IF(Imóveis!$F$6="PRICE",IF(AND(Dados!$A881&gt;=Imóveis!$Q$6,Dados!$A881&lt;=Imóveis!$T$6),Imóveis!$U$6,0),IF((IF(AND(Dados!$A881&gt;=Imóveis!$Q$6,Dados!$A881&lt;=Imóveis!$T$6),Imóveis!$S$6-(DATEDIF(Imóveis!$Q$6,Dados!$A881,"m")),0))=0,0,((Imóveis!$N$6/Imóveis!$S$6)+((Imóveis!$N$6-((Imóveis!$S$6-(IF(AND(Dados!$A881&gt;=Imóveis!$Q$6,Dados!$A881&lt;=Imóveis!$T$6),Imóveis!$S$6-(DATEDIF(Imóveis!$Q$6,Dados!$A881,"m")),)))*(Imóveis!$N$6/Imóveis!$S$6)))*Imóveis!$P$6))))*IF(AND(Imóveis!$E$6&gt;0,Dados!$A881&gt;Imóveis!$E$6),0,1)*Imóveis!$I$6</f>
        <v>0</v>
      </c>
      <c r="N881" s="18">
        <f t="shared" si="109"/>
        <v>0</v>
      </c>
      <c r="O881" s="18">
        <f>SUMIFS(Receitas!$F:$F,Receitas!$J:$J,"&lt;="&amp;$A881,Receitas!$L:$L,"&gt;="&amp;$A881,Receitas!$C:$C,O$1,Receitas!$M:$M,"Mensal")+SUMIFS(Receitas!$F:$F,Receitas!$J:$J,"&lt;="&amp;$A881,Receitas!$L:$L,"&gt;="&amp;$A881,Receitas!$C:$C,O$1,Receitas!$M:$M,$B881)</f>
        <v>0</v>
      </c>
      <c r="P881" s="18">
        <f>SUMIFS(Receitas!$F:$F,Receitas!$J:$J,"&lt;="&amp;$A881,Receitas!$L:$L,"&gt;="&amp;$A881,Receitas!$C:$C,P$1,Receitas!$M:$M,"Mensal")+SUMIFS(Receitas!$F:$F,Receitas!$J:$J,"&lt;="&amp;$A881,Receitas!$L:$L,"&gt;="&amp;$A881,Receitas!$C:$C,P$1,Receitas!$M:$M,$B881)</f>
        <v>0</v>
      </c>
      <c r="Q881" s="18">
        <f>SUMIFS(Receitas!$F:$F,Receitas!$J:$J,"&lt;="&amp;$A881,Receitas!$L:$L,"&gt;="&amp;$A881,Receitas!$C:$C,Q$1,Receitas!$M:$M,"Mensal")+SUMIFS(Receitas!$F:$F,Receitas!$J:$J,"&lt;="&amp;$A881,Receitas!$L:$L,"&gt;="&amp;$A881,Receitas!$C:$C,Q$1,Receitas!$M:$M,$B881)</f>
        <v>0</v>
      </c>
      <c r="R881" s="18" cm="1">
        <f t="array" ref="R881">(IF(AND(Membros!$F$2="Sim",A881&lt;=MAX(Membros!$E$2:$E$5)),Membros!K$2,IF(AND(A881&gt;=Membros!J$2,A881&lt;=MAX(Membros!$E$2:$E$5)),Membros!K$2,0))+IF(AND(Membros!$F$3="Sim",A881&lt;=MAX(Membros!$E$2:$E$5)),Membros!K$3,IF(AND(A881&gt;=Membros!J$3,A881&lt;=MAX(Membros!$E$2:$E$5)),Membros!K$3,0)))*IF(AND(COUNTIFS(Tabela3[Tipo],"Provedor",Tabela3[Simulação Seguro],"Sim")=2,A881&gt;=MAX(IF(Tabela3[Tipo]="Dependente",Tabela3[Expectativa de Vida (Data)]))),0,1)</f>
        <v>0</v>
      </c>
      <c r="S881" s="18">
        <f t="shared" si="110"/>
        <v>0</v>
      </c>
      <c r="U881" s="18">
        <f t="shared" ca="1" si="113"/>
        <v>83632217.859953091</v>
      </c>
      <c r="V881" s="18">
        <f>SUMIF(Imóveis!E:E,Dados!A:A,Imóveis!Z:Z)-SUMIF(Imóveis!E:E,Dados!A:A,Imóveis!Y:Y)</f>
        <v>0</v>
      </c>
      <c r="W881" s="18">
        <f>-SUMIF(Projetos!N:N,A881,Projetos!F:F)</f>
        <v>0</v>
      </c>
      <c r="X881" s="18">
        <f t="shared" si="107"/>
        <v>0</v>
      </c>
      <c r="Y881" s="26">
        <f ca="1">(U881*((Indicadores_Economicos!D$2+1)^(1/12)-1))</f>
        <v>273790.11868165497</v>
      </c>
      <c r="Z881" s="18">
        <f t="shared" ca="1" si="111"/>
        <v>83906007.978634745</v>
      </c>
      <c r="AA881" s="18">
        <f ca="1">Auxiliar_Projetos!E881</f>
        <v>6.9165214026909075E-9</v>
      </c>
      <c r="AB881" s="18">
        <f ca="1">Auxiliar_Projetos!K881</f>
        <v>5.3204010789930017E-9</v>
      </c>
      <c r="AC881" s="18">
        <f ca="1">IF(Z881-AA881-AB881&gt;Investimentos!$C$14,Investimentos!$C$14,IF(Z881-AA881-AB881&lt;Investimentos!$C$14,Z881-AA881-AB881,0))</f>
        <v>300000</v>
      </c>
      <c r="AD881" s="18">
        <f t="shared" ca="1" si="112"/>
        <v>83606007.978634745</v>
      </c>
      <c r="AE881" s="18"/>
    </row>
    <row r="882" spans="1:31" x14ac:dyDescent="0.2">
      <c r="A882" s="4">
        <v>72441</v>
      </c>
      <c r="B882" s="5" t="str">
        <f t="shared" si="108"/>
        <v>maio</v>
      </c>
      <c r="C882" s="5" t="str">
        <f t="shared" si="114"/>
        <v>2098</v>
      </c>
      <c r="D882" s="5">
        <f>SUMIFS(Despesas!$F:$F,Despesas!$J:$J,"&lt;="&amp;$A882,Despesas!$L:$L,"&gt;="&amp;$A882,Despesas!$C:$C,D$1,Despesas!$M:$M,"Mensal")+SUMIFS(Despesas!$F:$F,Despesas!$J:$J,"&lt;="&amp;$A882,Despesas!$L:$L,"&gt;="&amp;$A882,Despesas!$C:$C,D$1,Despesas!$M:$M,$B882)</f>
        <v>0</v>
      </c>
      <c r="E882" s="18">
        <f>SUMIFS(Despesas!$F:$F,Despesas!$J:$J,"&lt;="&amp;$A882,Despesas!$L:$L,"&gt;="&amp;$A882,Despesas!$C:$C,E$1,Despesas!$M:$M,"Mensal")+SUMIFS(Despesas!$F:$F,Despesas!$J:$J,"&lt;="&amp;$A882,Despesas!$L:$L,"&gt;="&amp;$A882,Despesas!$C:$C,E$1,Despesas!$M:$M,$B882)</f>
        <v>0</v>
      </c>
      <c r="F882" s="5">
        <f>SUMIFS(Despesas!$F:$F,Despesas!$J:$J,"&lt;="&amp;$A882,Despesas!$L:$L,"&gt;="&amp;$A882,Despesas!$C:$C,F$1,Despesas!$M:$M,"Mensal")+SUMIFS(Despesas!$F:$F,Despesas!$J:$J,"&lt;="&amp;$A882,Despesas!$L:$L,"&gt;="&amp;$A882,Despesas!$C:$C,F$1,Despesas!$M:$M,$B882)</f>
        <v>0</v>
      </c>
      <c r="G882" s="5">
        <f>SUMIFS(Despesas!$F:$F,Despesas!$J:$J,"&lt;="&amp;$A882,Despesas!$L:$L,"&gt;="&amp;$A882,Despesas!$C:$C,G$1,Despesas!$M:$M,"Mensal")+SUMIFS(Despesas!$F:$F,Despesas!$J:$J,"&lt;="&amp;$A882,Despesas!$L:$L,"&gt;="&amp;$A882,Despesas!$C:$C,G$1,Despesas!$M:$M,$B882)</f>
        <v>0</v>
      </c>
      <c r="H882" s="18">
        <f>SUMIFS(Despesas!$F:$F,Despesas!$J:$J,"&lt;="&amp;$A882,Despesas!$L:$L,"&gt;="&amp;$A882,Despesas!$C:$C,H$1,Despesas!$M:$M,"Mensal")+SUMIFS(Despesas!$F:$F,Despesas!$J:$J,"&lt;="&amp;$A882,Despesas!$L:$L,"&gt;="&amp;$A882,Despesas!$C:$C,H$1,Despesas!$M:$M,$B882)</f>
        <v>0</v>
      </c>
      <c r="I882" s="18">
        <f>IF(Imóveis!$F$2="PRICE",IF(AND(Dados!$A882&gt;=Imóveis!$Q$2,Dados!$A882&lt;=Imóveis!$T$2),Imóveis!$U$2,0),IF((IF(AND(Dados!$A882&gt;=Imóveis!$Q$2,Dados!$A882&lt;=Imóveis!$T$2),Imóveis!$S$2-(DATEDIF(Imóveis!$Q$2,Dados!$A882,"m")),0))=0,0,((Imóveis!$N$2/Imóveis!$S$2)+((Imóveis!$N$2-((Imóveis!$S$2-(IF(AND(Dados!$A882&gt;=Imóveis!$Q$2,Dados!$A882&lt;=Imóveis!$T$2),Imóveis!$S$2-(DATEDIF(Imóveis!$Q$2,Dados!$A882,"m")),)))*(Imóveis!$N$2/Imóveis!$S$2)))*Imóveis!$P$2))))*IF(AND(Imóveis!$E$2&gt;0,Dados!$A882&gt;Imóveis!$E$2),0,1)</f>
        <v>0</v>
      </c>
      <c r="J882" s="18">
        <f>IF(Imóveis!$F$3="PRICE",IF(AND(Dados!$A882&gt;=Imóveis!$Q$3,Dados!$A882&lt;=Imóveis!$T$3),Imóveis!$U$3,0),IF((IF(AND(Dados!$A882&gt;=Imóveis!$Q$3,Dados!$A882&lt;=Imóveis!$T$3),Imóveis!$S$3-(DATEDIF(Imóveis!$Q$3,Dados!$A882,"m")),0))=0,0,((Imóveis!$N$3/Imóveis!$S$3)+((Imóveis!$N$3-((Imóveis!$S$3-(IF(AND(Dados!$A882&gt;=Imóveis!$Q$3,Dados!$A882&lt;=Imóveis!$T$3),Imóveis!$S$3-(DATEDIF(Imóveis!$Q$3,Dados!$A882,"m")),)))*(Imóveis!$N$3/Imóveis!$S$3)))*Imóveis!$P$3))))*IF(AND(Imóveis!$E$3&gt;0,Dados!$A882&gt;Imóveis!$E$3),0,1)</f>
        <v>0</v>
      </c>
      <c r="K882" s="18">
        <f>IF(Imóveis!$F$4="PRICE",IF(AND(Dados!$A882&gt;=Imóveis!$Q$4,Dados!$A882&lt;=Imóveis!$T$4),Imóveis!$U$4,0),IF((IF(AND(Dados!$A882&gt;=Imóveis!$Q$4,Dados!$A882&lt;=Imóveis!$T$4),Imóveis!$S$4-(DATEDIF(Imóveis!$Q$4,Dados!$A882,"m")),0))=0,0,((Imóveis!$N$4/Imóveis!$S$4)+((Imóveis!$N$4-((Imóveis!$S$4-(IF(AND(Dados!$A882&gt;=Imóveis!$Q$4,Dados!$A882&lt;=Imóveis!$T$4),Imóveis!$S$4-(DATEDIF(Imóveis!$Q$4,Dados!$A882,"m")),)))*(Imóveis!$N$4/Imóveis!$S$4)))*Imóveis!$P$4))))*IF(AND(Imóveis!$E$4&gt;0,Dados!$A882&gt;Imóveis!$E$4),0,1)</f>
        <v>0</v>
      </c>
      <c r="L882" s="18">
        <f>IF(Imóveis!$F$5="PRICE",IF(AND(Dados!$A882&gt;=Imóveis!$Q$5,Dados!$A882&lt;=Imóveis!$T$5),Imóveis!$U$5,0),IF((IF(AND(Dados!$A882&gt;=Imóveis!$Q$5,Dados!$A882&lt;=Imóveis!$T$5),Imóveis!$S$5-(DATEDIF(Imóveis!$Q$5,Dados!$A882,"m")),0))=0,0,((Imóveis!$N$5/Imóveis!$S$5)+((Imóveis!$N$5-((Imóveis!$S$5-(IF(AND(Dados!$A882 &gt;=Imóveis!$Q$5,Dados!$A882&lt;=Imóveis!$T$5),Imóveis!$S$5-(DATEDIF(Imóveis!$Q$5,Dados!$A882,"m")),)))*(Imóveis!$N$5/Imóveis!$S$5)))*Imóveis!$P$5))))*IF(AND(Imóveis!$E$5&gt;0,Dados!$A882&gt;Imóveis!$E$5),0,1)*Imóveis!$I$5</f>
        <v>0</v>
      </c>
      <c r="M882" s="18">
        <f>IF(Imóveis!$F$6="PRICE",IF(AND(Dados!$A882&gt;=Imóveis!$Q$6,Dados!$A882&lt;=Imóveis!$T$6),Imóveis!$U$6,0),IF((IF(AND(Dados!$A882&gt;=Imóveis!$Q$6,Dados!$A882&lt;=Imóveis!$T$6),Imóveis!$S$6-(DATEDIF(Imóveis!$Q$6,Dados!$A882,"m")),0))=0,0,((Imóveis!$N$6/Imóveis!$S$6)+((Imóveis!$N$6-((Imóveis!$S$6-(IF(AND(Dados!$A882&gt;=Imóveis!$Q$6,Dados!$A882&lt;=Imóveis!$T$6),Imóveis!$S$6-(DATEDIF(Imóveis!$Q$6,Dados!$A882,"m")),)))*(Imóveis!$N$6/Imóveis!$S$6)))*Imóveis!$P$6))))*IF(AND(Imóveis!$E$6&gt;0,Dados!$A882&gt;Imóveis!$E$6),0,1)*Imóveis!$I$6</f>
        <v>0</v>
      </c>
      <c r="N882" s="18">
        <f t="shared" si="109"/>
        <v>0</v>
      </c>
      <c r="O882" s="18">
        <f>SUMIFS(Receitas!$F:$F,Receitas!$J:$J,"&lt;="&amp;$A882,Receitas!$L:$L,"&gt;="&amp;$A882,Receitas!$C:$C,O$1,Receitas!$M:$M,"Mensal")+SUMIFS(Receitas!$F:$F,Receitas!$J:$J,"&lt;="&amp;$A882,Receitas!$L:$L,"&gt;="&amp;$A882,Receitas!$C:$C,O$1,Receitas!$M:$M,$B882)</f>
        <v>0</v>
      </c>
      <c r="P882" s="18">
        <f>SUMIFS(Receitas!$F:$F,Receitas!$J:$J,"&lt;="&amp;$A882,Receitas!$L:$L,"&gt;="&amp;$A882,Receitas!$C:$C,P$1,Receitas!$M:$M,"Mensal")+SUMIFS(Receitas!$F:$F,Receitas!$J:$J,"&lt;="&amp;$A882,Receitas!$L:$L,"&gt;="&amp;$A882,Receitas!$C:$C,P$1,Receitas!$M:$M,$B882)</f>
        <v>0</v>
      </c>
      <c r="Q882" s="18">
        <f>SUMIFS(Receitas!$F:$F,Receitas!$J:$J,"&lt;="&amp;$A882,Receitas!$L:$L,"&gt;="&amp;$A882,Receitas!$C:$C,Q$1,Receitas!$M:$M,"Mensal")+SUMIFS(Receitas!$F:$F,Receitas!$J:$J,"&lt;="&amp;$A882,Receitas!$L:$L,"&gt;="&amp;$A882,Receitas!$C:$C,Q$1,Receitas!$M:$M,$B882)</f>
        <v>0</v>
      </c>
      <c r="R882" s="18" cm="1">
        <f t="array" ref="R882">(IF(AND(Membros!$F$2="Sim",A882&lt;=MAX(Membros!$E$2:$E$5)),Membros!K$2,IF(AND(A882&gt;=Membros!J$2,A882&lt;=MAX(Membros!$E$2:$E$5)),Membros!K$2,0))+IF(AND(Membros!$F$3="Sim",A882&lt;=MAX(Membros!$E$2:$E$5)),Membros!K$3,IF(AND(A882&gt;=Membros!J$3,A882&lt;=MAX(Membros!$E$2:$E$5)),Membros!K$3,0)))*IF(AND(COUNTIFS(Tabela3[Tipo],"Provedor",Tabela3[Simulação Seguro],"Sim")=2,A882&gt;=MAX(IF(Tabela3[Tipo]="Dependente",Tabela3[Expectativa de Vida (Data)]))),0,1)</f>
        <v>0</v>
      </c>
      <c r="S882" s="18">
        <f t="shared" si="110"/>
        <v>0</v>
      </c>
      <c r="U882" s="18">
        <f t="shared" ca="1" si="113"/>
        <v>83906007.978634745</v>
      </c>
      <c r="V882" s="18">
        <f>SUMIF(Imóveis!E:E,Dados!A:A,Imóveis!Z:Z)-SUMIF(Imóveis!E:E,Dados!A:A,Imóveis!Y:Y)</f>
        <v>0</v>
      </c>
      <c r="W882" s="18">
        <f>-SUMIF(Projetos!N:N,A882,Projetos!F:F)</f>
        <v>0</v>
      </c>
      <c r="X882" s="18">
        <f t="shared" si="107"/>
        <v>0</v>
      </c>
      <c r="Y882" s="26">
        <f ca="1">(U882*((Indicadores_Economicos!D$2+1)^(1/12)-1))</f>
        <v>274686.43628515612</v>
      </c>
      <c r="Z882" s="18">
        <f t="shared" ca="1" si="111"/>
        <v>84180694.414919898</v>
      </c>
      <c r="AA882" s="18">
        <f ca="1">Auxiliar_Projetos!E882</f>
        <v>6.9391642939613271E-9</v>
      </c>
      <c r="AB882" s="18">
        <f ca="1">Auxiliar_Projetos!K882</f>
        <v>5.3378186876625553E-9</v>
      </c>
      <c r="AC882" s="18">
        <f ca="1">IF(Z882-AA882-AB882&gt;Investimentos!$C$14,Investimentos!$C$14,IF(Z882-AA882-AB882&lt;Investimentos!$C$14,Z882-AA882-AB882,0))</f>
        <v>300000</v>
      </c>
      <c r="AD882" s="18">
        <f t="shared" ca="1" si="112"/>
        <v>83880694.414919898</v>
      </c>
      <c r="AE882" s="18"/>
    </row>
    <row r="883" spans="1:31" x14ac:dyDescent="0.2">
      <c r="A883" s="4">
        <v>72472</v>
      </c>
      <c r="B883" s="5" t="str">
        <f t="shared" si="108"/>
        <v>junho</v>
      </c>
      <c r="C883" s="5" t="str">
        <f t="shared" si="114"/>
        <v>2098</v>
      </c>
      <c r="D883" s="5">
        <f>SUMIFS(Despesas!$F:$F,Despesas!$J:$J,"&lt;="&amp;$A883,Despesas!$L:$L,"&gt;="&amp;$A883,Despesas!$C:$C,D$1,Despesas!$M:$M,"Mensal")+SUMIFS(Despesas!$F:$F,Despesas!$J:$J,"&lt;="&amp;$A883,Despesas!$L:$L,"&gt;="&amp;$A883,Despesas!$C:$C,D$1,Despesas!$M:$M,$B883)</f>
        <v>0</v>
      </c>
      <c r="E883" s="18">
        <f>SUMIFS(Despesas!$F:$F,Despesas!$J:$J,"&lt;="&amp;$A883,Despesas!$L:$L,"&gt;="&amp;$A883,Despesas!$C:$C,E$1,Despesas!$M:$M,"Mensal")+SUMIFS(Despesas!$F:$F,Despesas!$J:$J,"&lt;="&amp;$A883,Despesas!$L:$L,"&gt;="&amp;$A883,Despesas!$C:$C,E$1,Despesas!$M:$M,$B883)</f>
        <v>0</v>
      </c>
      <c r="F883" s="5">
        <f>SUMIFS(Despesas!$F:$F,Despesas!$J:$J,"&lt;="&amp;$A883,Despesas!$L:$L,"&gt;="&amp;$A883,Despesas!$C:$C,F$1,Despesas!$M:$M,"Mensal")+SUMIFS(Despesas!$F:$F,Despesas!$J:$J,"&lt;="&amp;$A883,Despesas!$L:$L,"&gt;="&amp;$A883,Despesas!$C:$C,F$1,Despesas!$M:$M,$B883)</f>
        <v>0</v>
      </c>
      <c r="G883" s="5">
        <f>SUMIFS(Despesas!$F:$F,Despesas!$J:$J,"&lt;="&amp;$A883,Despesas!$L:$L,"&gt;="&amp;$A883,Despesas!$C:$C,G$1,Despesas!$M:$M,"Mensal")+SUMIFS(Despesas!$F:$F,Despesas!$J:$J,"&lt;="&amp;$A883,Despesas!$L:$L,"&gt;="&amp;$A883,Despesas!$C:$C,G$1,Despesas!$M:$M,$B883)</f>
        <v>0</v>
      </c>
      <c r="H883" s="18">
        <f>SUMIFS(Despesas!$F:$F,Despesas!$J:$J,"&lt;="&amp;$A883,Despesas!$L:$L,"&gt;="&amp;$A883,Despesas!$C:$C,H$1,Despesas!$M:$M,"Mensal")+SUMIFS(Despesas!$F:$F,Despesas!$J:$J,"&lt;="&amp;$A883,Despesas!$L:$L,"&gt;="&amp;$A883,Despesas!$C:$C,H$1,Despesas!$M:$M,$B883)</f>
        <v>0</v>
      </c>
      <c r="I883" s="18">
        <f>IF(Imóveis!$F$2="PRICE",IF(AND(Dados!$A883&gt;=Imóveis!$Q$2,Dados!$A883&lt;=Imóveis!$T$2),Imóveis!$U$2,0),IF((IF(AND(Dados!$A883&gt;=Imóveis!$Q$2,Dados!$A883&lt;=Imóveis!$T$2),Imóveis!$S$2-(DATEDIF(Imóveis!$Q$2,Dados!$A883,"m")),0))=0,0,((Imóveis!$N$2/Imóveis!$S$2)+((Imóveis!$N$2-((Imóveis!$S$2-(IF(AND(Dados!$A883&gt;=Imóveis!$Q$2,Dados!$A883&lt;=Imóveis!$T$2),Imóveis!$S$2-(DATEDIF(Imóveis!$Q$2,Dados!$A883,"m")),)))*(Imóveis!$N$2/Imóveis!$S$2)))*Imóveis!$P$2))))*IF(AND(Imóveis!$E$2&gt;0,Dados!$A883&gt;Imóveis!$E$2),0,1)</f>
        <v>0</v>
      </c>
      <c r="J883" s="18">
        <f>IF(Imóveis!$F$3="PRICE",IF(AND(Dados!$A883&gt;=Imóveis!$Q$3,Dados!$A883&lt;=Imóveis!$T$3),Imóveis!$U$3,0),IF((IF(AND(Dados!$A883&gt;=Imóveis!$Q$3,Dados!$A883&lt;=Imóveis!$T$3),Imóveis!$S$3-(DATEDIF(Imóveis!$Q$3,Dados!$A883,"m")),0))=0,0,((Imóveis!$N$3/Imóveis!$S$3)+((Imóveis!$N$3-((Imóveis!$S$3-(IF(AND(Dados!$A883&gt;=Imóveis!$Q$3,Dados!$A883&lt;=Imóveis!$T$3),Imóveis!$S$3-(DATEDIF(Imóveis!$Q$3,Dados!$A883,"m")),)))*(Imóveis!$N$3/Imóveis!$S$3)))*Imóveis!$P$3))))*IF(AND(Imóveis!$E$3&gt;0,Dados!$A883&gt;Imóveis!$E$3),0,1)</f>
        <v>0</v>
      </c>
      <c r="K883" s="18">
        <f>IF(Imóveis!$F$4="PRICE",IF(AND(Dados!$A883&gt;=Imóveis!$Q$4,Dados!$A883&lt;=Imóveis!$T$4),Imóveis!$U$4,0),IF((IF(AND(Dados!$A883&gt;=Imóveis!$Q$4,Dados!$A883&lt;=Imóveis!$T$4),Imóveis!$S$4-(DATEDIF(Imóveis!$Q$4,Dados!$A883,"m")),0))=0,0,((Imóveis!$N$4/Imóveis!$S$4)+((Imóveis!$N$4-((Imóveis!$S$4-(IF(AND(Dados!$A883&gt;=Imóveis!$Q$4,Dados!$A883&lt;=Imóveis!$T$4),Imóveis!$S$4-(DATEDIF(Imóveis!$Q$4,Dados!$A883,"m")),)))*(Imóveis!$N$4/Imóveis!$S$4)))*Imóveis!$P$4))))*IF(AND(Imóveis!$E$4&gt;0,Dados!$A883&gt;Imóveis!$E$4),0,1)</f>
        <v>0</v>
      </c>
      <c r="L883" s="18">
        <f>IF(Imóveis!$F$5="PRICE",IF(AND(Dados!$A883&gt;=Imóveis!$Q$5,Dados!$A883&lt;=Imóveis!$T$5),Imóveis!$U$5,0),IF((IF(AND(Dados!$A883&gt;=Imóveis!$Q$5,Dados!$A883&lt;=Imóveis!$T$5),Imóveis!$S$5-(DATEDIF(Imóveis!$Q$5,Dados!$A883,"m")),0))=0,0,((Imóveis!$N$5/Imóveis!$S$5)+((Imóveis!$N$5-((Imóveis!$S$5-(IF(AND(Dados!$A883 &gt;=Imóveis!$Q$5,Dados!$A883&lt;=Imóveis!$T$5),Imóveis!$S$5-(DATEDIF(Imóveis!$Q$5,Dados!$A883,"m")),)))*(Imóveis!$N$5/Imóveis!$S$5)))*Imóveis!$P$5))))*IF(AND(Imóveis!$E$5&gt;0,Dados!$A883&gt;Imóveis!$E$5),0,1)*Imóveis!$I$5</f>
        <v>0</v>
      </c>
      <c r="M883" s="18">
        <f>IF(Imóveis!$F$6="PRICE",IF(AND(Dados!$A883&gt;=Imóveis!$Q$6,Dados!$A883&lt;=Imóveis!$T$6),Imóveis!$U$6,0),IF((IF(AND(Dados!$A883&gt;=Imóveis!$Q$6,Dados!$A883&lt;=Imóveis!$T$6),Imóveis!$S$6-(DATEDIF(Imóveis!$Q$6,Dados!$A883,"m")),0))=0,0,((Imóveis!$N$6/Imóveis!$S$6)+((Imóveis!$N$6-((Imóveis!$S$6-(IF(AND(Dados!$A883&gt;=Imóveis!$Q$6,Dados!$A883&lt;=Imóveis!$T$6),Imóveis!$S$6-(DATEDIF(Imóveis!$Q$6,Dados!$A883,"m")),)))*(Imóveis!$N$6/Imóveis!$S$6)))*Imóveis!$P$6))))*IF(AND(Imóveis!$E$6&gt;0,Dados!$A883&gt;Imóveis!$E$6),0,1)*Imóveis!$I$6</f>
        <v>0</v>
      </c>
      <c r="N883" s="18">
        <f t="shared" si="109"/>
        <v>0</v>
      </c>
      <c r="O883" s="18">
        <f>SUMIFS(Receitas!$F:$F,Receitas!$J:$J,"&lt;="&amp;$A883,Receitas!$L:$L,"&gt;="&amp;$A883,Receitas!$C:$C,O$1,Receitas!$M:$M,"Mensal")+SUMIFS(Receitas!$F:$F,Receitas!$J:$J,"&lt;="&amp;$A883,Receitas!$L:$L,"&gt;="&amp;$A883,Receitas!$C:$C,O$1,Receitas!$M:$M,$B883)</f>
        <v>0</v>
      </c>
      <c r="P883" s="18">
        <f>SUMIFS(Receitas!$F:$F,Receitas!$J:$J,"&lt;="&amp;$A883,Receitas!$L:$L,"&gt;="&amp;$A883,Receitas!$C:$C,P$1,Receitas!$M:$M,"Mensal")+SUMIFS(Receitas!$F:$F,Receitas!$J:$J,"&lt;="&amp;$A883,Receitas!$L:$L,"&gt;="&amp;$A883,Receitas!$C:$C,P$1,Receitas!$M:$M,$B883)</f>
        <v>0</v>
      </c>
      <c r="Q883" s="18">
        <f>SUMIFS(Receitas!$F:$F,Receitas!$J:$J,"&lt;="&amp;$A883,Receitas!$L:$L,"&gt;="&amp;$A883,Receitas!$C:$C,Q$1,Receitas!$M:$M,"Mensal")+SUMIFS(Receitas!$F:$F,Receitas!$J:$J,"&lt;="&amp;$A883,Receitas!$L:$L,"&gt;="&amp;$A883,Receitas!$C:$C,Q$1,Receitas!$M:$M,$B883)</f>
        <v>0</v>
      </c>
      <c r="R883" s="18" cm="1">
        <f t="array" ref="R883">(IF(AND(Membros!$F$2="Sim",A883&lt;=MAX(Membros!$E$2:$E$5)),Membros!K$2,IF(AND(A883&gt;=Membros!J$2,A883&lt;=MAX(Membros!$E$2:$E$5)),Membros!K$2,0))+IF(AND(Membros!$F$3="Sim",A883&lt;=MAX(Membros!$E$2:$E$5)),Membros!K$3,IF(AND(A883&gt;=Membros!J$3,A883&lt;=MAX(Membros!$E$2:$E$5)),Membros!K$3,0)))*IF(AND(COUNTIFS(Tabela3[Tipo],"Provedor",Tabela3[Simulação Seguro],"Sim")=2,A883&gt;=MAX(IF(Tabela3[Tipo]="Dependente",Tabela3[Expectativa de Vida (Data)]))),0,1)</f>
        <v>0</v>
      </c>
      <c r="S883" s="18">
        <f t="shared" si="110"/>
        <v>0</v>
      </c>
      <c r="U883" s="18">
        <f t="shared" ca="1" si="113"/>
        <v>84180694.414919898</v>
      </c>
      <c r="V883" s="18">
        <f>SUMIF(Imóveis!E:E,Dados!A:A,Imóveis!Z:Z)-SUMIF(Imóveis!E:E,Dados!A:A,Imóveis!Y:Y)</f>
        <v>0</v>
      </c>
      <c r="W883" s="18">
        <f>-SUMIF(Projetos!N:N,A883,Projetos!F:F)</f>
        <v>0</v>
      </c>
      <c r="X883" s="18">
        <f t="shared" si="107"/>
        <v>0</v>
      </c>
      <c r="Y883" s="26">
        <f ca="1">(U883*((Indicadores_Economicos!D$2+1)^(1/12)-1))</f>
        <v>275585.68819925323</v>
      </c>
      <c r="Z883" s="18">
        <f t="shared" ca="1" si="111"/>
        <v>84456280.10311915</v>
      </c>
      <c r="AA883" s="18">
        <f ca="1">Auxiliar_Projetos!E883</f>
        <v>6.9618813121656827E-9</v>
      </c>
      <c r="AB883" s="18">
        <f ca="1">Auxiliar_Projetos!K883</f>
        <v>5.3552933170505208E-9</v>
      </c>
      <c r="AC883" s="18">
        <f ca="1">IF(Z883-AA883-AB883&gt;Investimentos!$C$14,Investimentos!$C$14,IF(Z883-AA883-AB883&lt;Investimentos!$C$14,Z883-AA883-AB883,0))</f>
        <v>300000</v>
      </c>
      <c r="AD883" s="18">
        <f t="shared" ca="1" si="112"/>
        <v>84156280.10311915</v>
      </c>
      <c r="AE883" s="18"/>
    </row>
    <row r="884" spans="1:31" x14ac:dyDescent="0.2">
      <c r="A884" s="4">
        <v>72502</v>
      </c>
      <c r="B884" s="5" t="str">
        <f t="shared" si="108"/>
        <v>julho</v>
      </c>
      <c r="C884" s="5" t="str">
        <f t="shared" si="114"/>
        <v>2098</v>
      </c>
      <c r="D884" s="5">
        <f>SUMIFS(Despesas!$F:$F,Despesas!$J:$J,"&lt;="&amp;$A884,Despesas!$L:$L,"&gt;="&amp;$A884,Despesas!$C:$C,D$1,Despesas!$M:$M,"Mensal")+SUMIFS(Despesas!$F:$F,Despesas!$J:$J,"&lt;="&amp;$A884,Despesas!$L:$L,"&gt;="&amp;$A884,Despesas!$C:$C,D$1,Despesas!$M:$M,$B884)</f>
        <v>0</v>
      </c>
      <c r="E884" s="18">
        <f>SUMIFS(Despesas!$F:$F,Despesas!$J:$J,"&lt;="&amp;$A884,Despesas!$L:$L,"&gt;="&amp;$A884,Despesas!$C:$C,E$1,Despesas!$M:$M,"Mensal")+SUMIFS(Despesas!$F:$F,Despesas!$J:$J,"&lt;="&amp;$A884,Despesas!$L:$L,"&gt;="&amp;$A884,Despesas!$C:$C,E$1,Despesas!$M:$M,$B884)</f>
        <v>0</v>
      </c>
      <c r="F884" s="5">
        <f>SUMIFS(Despesas!$F:$F,Despesas!$J:$J,"&lt;="&amp;$A884,Despesas!$L:$L,"&gt;="&amp;$A884,Despesas!$C:$C,F$1,Despesas!$M:$M,"Mensal")+SUMIFS(Despesas!$F:$F,Despesas!$J:$J,"&lt;="&amp;$A884,Despesas!$L:$L,"&gt;="&amp;$A884,Despesas!$C:$C,F$1,Despesas!$M:$M,$B884)</f>
        <v>0</v>
      </c>
      <c r="G884" s="5">
        <f>SUMIFS(Despesas!$F:$F,Despesas!$J:$J,"&lt;="&amp;$A884,Despesas!$L:$L,"&gt;="&amp;$A884,Despesas!$C:$C,G$1,Despesas!$M:$M,"Mensal")+SUMIFS(Despesas!$F:$F,Despesas!$J:$J,"&lt;="&amp;$A884,Despesas!$L:$L,"&gt;="&amp;$A884,Despesas!$C:$C,G$1,Despesas!$M:$M,$B884)</f>
        <v>0</v>
      </c>
      <c r="H884" s="18">
        <f>SUMIFS(Despesas!$F:$F,Despesas!$J:$J,"&lt;="&amp;$A884,Despesas!$L:$L,"&gt;="&amp;$A884,Despesas!$C:$C,H$1,Despesas!$M:$M,"Mensal")+SUMIFS(Despesas!$F:$F,Despesas!$J:$J,"&lt;="&amp;$A884,Despesas!$L:$L,"&gt;="&amp;$A884,Despesas!$C:$C,H$1,Despesas!$M:$M,$B884)</f>
        <v>0</v>
      </c>
      <c r="I884" s="18">
        <f>IF(Imóveis!$F$2="PRICE",IF(AND(Dados!$A884&gt;=Imóveis!$Q$2,Dados!$A884&lt;=Imóveis!$T$2),Imóveis!$U$2,0),IF((IF(AND(Dados!$A884&gt;=Imóveis!$Q$2,Dados!$A884&lt;=Imóveis!$T$2),Imóveis!$S$2-(DATEDIF(Imóveis!$Q$2,Dados!$A884,"m")),0))=0,0,((Imóveis!$N$2/Imóveis!$S$2)+((Imóveis!$N$2-((Imóveis!$S$2-(IF(AND(Dados!$A884&gt;=Imóveis!$Q$2,Dados!$A884&lt;=Imóveis!$T$2),Imóveis!$S$2-(DATEDIF(Imóveis!$Q$2,Dados!$A884,"m")),)))*(Imóveis!$N$2/Imóveis!$S$2)))*Imóveis!$P$2))))*IF(AND(Imóveis!$E$2&gt;0,Dados!$A884&gt;Imóveis!$E$2),0,1)</f>
        <v>0</v>
      </c>
      <c r="J884" s="18">
        <f>IF(Imóveis!$F$3="PRICE",IF(AND(Dados!$A884&gt;=Imóveis!$Q$3,Dados!$A884&lt;=Imóveis!$T$3),Imóveis!$U$3,0),IF((IF(AND(Dados!$A884&gt;=Imóveis!$Q$3,Dados!$A884&lt;=Imóveis!$T$3),Imóveis!$S$3-(DATEDIF(Imóveis!$Q$3,Dados!$A884,"m")),0))=0,0,((Imóveis!$N$3/Imóveis!$S$3)+((Imóveis!$N$3-((Imóveis!$S$3-(IF(AND(Dados!$A884&gt;=Imóveis!$Q$3,Dados!$A884&lt;=Imóveis!$T$3),Imóveis!$S$3-(DATEDIF(Imóveis!$Q$3,Dados!$A884,"m")),)))*(Imóveis!$N$3/Imóveis!$S$3)))*Imóveis!$P$3))))*IF(AND(Imóveis!$E$3&gt;0,Dados!$A884&gt;Imóveis!$E$3),0,1)</f>
        <v>0</v>
      </c>
      <c r="K884" s="18">
        <f>IF(Imóveis!$F$4="PRICE",IF(AND(Dados!$A884&gt;=Imóveis!$Q$4,Dados!$A884&lt;=Imóveis!$T$4),Imóveis!$U$4,0),IF((IF(AND(Dados!$A884&gt;=Imóveis!$Q$4,Dados!$A884&lt;=Imóveis!$T$4),Imóveis!$S$4-(DATEDIF(Imóveis!$Q$4,Dados!$A884,"m")),0))=0,0,((Imóveis!$N$4/Imóveis!$S$4)+((Imóveis!$N$4-((Imóveis!$S$4-(IF(AND(Dados!$A884&gt;=Imóveis!$Q$4,Dados!$A884&lt;=Imóveis!$T$4),Imóveis!$S$4-(DATEDIF(Imóveis!$Q$4,Dados!$A884,"m")),)))*(Imóveis!$N$4/Imóveis!$S$4)))*Imóveis!$P$4))))*IF(AND(Imóveis!$E$4&gt;0,Dados!$A884&gt;Imóveis!$E$4),0,1)</f>
        <v>0</v>
      </c>
      <c r="L884" s="18">
        <f>IF(Imóveis!$F$5="PRICE",IF(AND(Dados!$A884&gt;=Imóveis!$Q$5,Dados!$A884&lt;=Imóveis!$T$5),Imóveis!$U$5,0),IF((IF(AND(Dados!$A884&gt;=Imóveis!$Q$5,Dados!$A884&lt;=Imóveis!$T$5),Imóveis!$S$5-(DATEDIF(Imóveis!$Q$5,Dados!$A884,"m")),0))=0,0,((Imóveis!$N$5/Imóveis!$S$5)+((Imóveis!$N$5-((Imóveis!$S$5-(IF(AND(Dados!$A884 &gt;=Imóveis!$Q$5,Dados!$A884&lt;=Imóveis!$T$5),Imóveis!$S$5-(DATEDIF(Imóveis!$Q$5,Dados!$A884,"m")),)))*(Imóveis!$N$5/Imóveis!$S$5)))*Imóveis!$P$5))))*IF(AND(Imóveis!$E$5&gt;0,Dados!$A884&gt;Imóveis!$E$5),0,1)*Imóveis!$I$5</f>
        <v>0</v>
      </c>
      <c r="M884" s="18">
        <f>IF(Imóveis!$F$6="PRICE",IF(AND(Dados!$A884&gt;=Imóveis!$Q$6,Dados!$A884&lt;=Imóveis!$T$6),Imóveis!$U$6,0),IF((IF(AND(Dados!$A884&gt;=Imóveis!$Q$6,Dados!$A884&lt;=Imóveis!$T$6),Imóveis!$S$6-(DATEDIF(Imóveis!$Q$6,Dados!$A884,"m")),0))=0,0,((Imóveis!$N$6/Imóveis!$S$6)+((Imóveis!$N$6-((Imóveis!$S$6-(IF(AND(Dados!$A884&gt;=Imóveis!$Q$6,Dados!$A884&lt;=Imóveis!$T$6),Imóveis!$S$6-(DATEDIF(Imóveis!$Q$6,Dados!$A884,"m")),)))*(Imóveis!$N$6/Imóveis!$S$6)))*Imóveis!$P$6))))*IF(AND(Imóveis!$E$6&gt;0,Dados!$A884&gt;Imóveis!$E$6),0,1)*Imóveis!$I$6</f>
        <v>0</v>
      </c>
      <c r="N884" s="18">
        <f t="shared" si="109"/>
        <v>0</v>
      </c>
      <c r="O884" s="18">
        <f>SUMIFS(Receitas!$F:$F,Receitas!$J:$J,"&lt;="&amp;$A884,Receitas!$L:$L,"&gt;="&amp;$A884,Receitas!$C:$C,O$1,Receitas!$M:$M,"Mensal")+SUMIFS(Receitas!$F:$F,Receitas!$J:$J,"&lt;="&amp;$A884,Receitas!$L:$L,"&gt;="&amp;$A884,Receitas!$C:$C,O$1,Receitas!$M:$M,$B884)</f>
        <v>0</v>
      </c>
      <c r="P884" s="18">
        <f>SUMIFS(Receitas!$F:$F,Receitas!$J:$J,"&lt;="&amp;$A884,Receitas!$L:$L,"&gt;="&amp;$A884,Receitas!$C:$C,P$1,Receitas!$M:$M,"Mensal")+SUMIFS(Receitas!$F:$F,Receitas!$J:$J,"&lt;="&amp;$A884,Receitas!$L:$L,"&gt;="&amp;$A884,Receitas!$C:$C,P$1,Receitas!$M:$M,$B884)</f>
        <v>0</v>
      </c>
      <c r="Q884" s="18">
        <f>SUMIFS(Receitas!$F:$F,Receitas!$J:$J,"&lt;="&amp;$A884,Receitas!$L:$L,"&gt;="&amp;$A884,Receitas!$C:$C,Q$1,Receitas!$M:$M,"Mensal")+SUMIFS(Receitas!$F:$F,Receitas!$J:$J,"&lt;="&amp;$A884,Receitas!$L:$L,"&gt;="&amp;$A884,Receitas!$C:$C,Q$1,Receitas!$M:$M,$B884)</f>
        <v>0</v>
      </c>
      <c r="R884" s="18" cm="1">
        <f t="array" ref="R884">(IF(AND(Membros!$F$2="Sim",A884&lt;=MAX(Membros!$E$2:$E$5)),Membros!K$2,IF(AND(A884&gt;=Membros!J$2,A884&lt;=MAX(Membros!$E$2:$E$5)),Membros!K$2,0))+IF(AND(Membros!$F$3="Sim",A884&lt;=MAX(Membros!$E$2:$E$5)),Membros!K$3,IF(AND(A884&gt;=Membros!J$3,A884&lt;=MAX(Membros!$E$2:$E$5)),Membros!K$3,0)))*IF(AND(COUNTIFS(Tabela3[Tipo],"Provedor",Tabela3[Simulação Seguro],"Sim")=2,A884&gt;=MAX(IF(Tabela3[Tipo]="Dependente",Tabela3[Expectativa de Vida (Data)]))),0,1)</f>
        <v>0</v>
      </c>
      <c r="S884" s="18">
        <f t="shared" si="110"/>
        <v>0</v>
      </c>
      <c r="U884" s="18">
        <f t="shared" ca="1" si="113"/>
        <v>84456280.10311915</v>
      </c>
      <c r="V884" s="18">
        <f>SUMIF(Imóveis!E:E,Dados!A:A,Imóveis!Z:Z)-SUMIF(Imóveis!E:E,Dados!A:A,Imóveis!Y:Y)</f>
        <v>0</v>
      </c>
      <c r="W884" s="18">
        <f>-SUMIF(Projetos!N:N,A884,Projetos!F:F)</f>
        <v>0</v>
      </c>
      <c r="X884" s="18">
        <f t="shared" si="107"/>
        <v>0</v>
      </c>
      <c r="Y884" s="26">
        <f ca="1">(U884*((Indicadores_Economicos!D$2+1)^(1/12)-1))</f>
        <v>276487.88403011579</v>
      </c>
      <c r="Z884" s="18">
        <f t="shared" ca="1" si="111"/>
        <v>84732767.987149268</v>
      </c>
      <c r="AA884" s="18">
        <f ca="1">Auxiliar_Projetos!E884</f>
        <v>6.9846726999762666E-9</v>
      </c>
      <c r="AB884" s="18">
        <f ca="1">Auxiliar_Projetos!K884</f>
        <v>5.3728251538278933E-9</v>
      </c>
      <c r="AC884" s="18">
        <f ca="1">IF(Z884-AA884-AB884&gt;Investimentos!$C$14,Investimentos!$C$14,IF(Z884-AA884-AB884&lt;Investimentos!$C$14,Z884-AA884-AB884,0))</f>
        <v>300000</v>
      </c>
      <c r="AD884" s="18">
        <f t="shared" ca="1" si="112"/>
        <v>84432767.987149268</v>
      </c>
      <c r="AE884" s="18"/>
    </row>
    <row r="885" spans="1:31" x14ac:dyDescent="0.2">
      <c r="A885" s="4">
        <v>72533</v>
      </c>
      <c r="B885" s="5" t="str">
        <f t="shared" si="108"/>
        <v>agosto</v>
      </c>
      <c r="C885" s="5" t="str">
        <f t="shared" si="114"/>
        <v>2098</v>
      </c>
      <c r="D885" s="5">
        <f>SUMIFS(Despesas!$F:$F,Despesas!$J:$J,"&lt;="&amp;$A885,Despesas!$L:$L,"&gt;="&amp;$A885,Despesas!$C:$C,D$1,Despesas!$M:$M,"Mensal")+SUMIFS(Despesas!$F:$F,Despesas!$J:$J,"&lt;="&amp;$A885,Despesas!$L:$L,"&gt;="&amp;$A885,Despesas!$C:$C,D$1,Despesas!$M:$M,$B885)</f>
        <v>0</v>
      </c>
      <c r="E885" s="18">
        <f>SUMIFS(Despesas!$F:$F,Despesas!$J:$J,"&lt;="&amp;$A885,Despesas!$L:$L,"&gt;="&amp;$A885,Despesas!$C:$C,E$1,Despesas!$M:$M,"Mensal")+SUMIFS(Despesas!$F:$F,Despesas!$J:$J,"&lt;="&amp;$A885,Despesas!$L:$L,"&gt;="&amp;$A885,Despesas!$C:$C,E$1,Despesas!$M:$M,$B885)</f>
        <v>0</v>
      </c>
      <c r="F885" s="5">
        <f>SUMIFS(Despesas!$F:$F,Despesas!$J:$J,"&lt;="&amp;$A885,Despesas!$L:$L,"&gt;="&amp;$A885,Despesas!$C:$C,F$1,Despesas!$M:$M,"Mensal")+SUMIFS(Despesas!$F:$F,Despesas!$J:$J,"&lt;="&amp;$A885,Despesas!$L:$L,"&gt;="&amp;$A885,Despesas!$C:$C,F$1,Despesas!$M:$M,$B885)</f>
        <v>0</v>
      </c>
      <c r="G885" s="5">
        <f>SUMIFS(Despesas!$F:$F,Despesas!$J:$J,"&lt;="&amp;$A885,Despesas!$L:$L,"&gt;="&amp;$A885,Despesas!$C:$C,G$1,Despesas!$M:$M,"Mensal")+SUMIFS(Despesas!$F:$F,Despesas!$J:$J,"&lt;="&amp;$A885,Despesas!$L:$L,"&gt;="&amp;$A885,Despesas!$C:$C,G$1,Despesas!$M:$M,$B885)</f>
        <v>0</v>
      </c>
      <c r="H885" s="18">
        <f>SUMIFS(Despesas!$F:$F,Despesas!$J:$J,"&lt;="&amp;$A885,Despesas!$L:$L,"&gt;="&amp;$A885,Despesas!$C:$C,H$1,Despesas!$M:$M,"Mensal")+SUMIFS(Despesas!$F:$F,Despesas!$J:$J,"&lt;="&amp;$A885,Despesas!$L:$L,"&gt;="&amp;$A885,Despesas!$C:$C,H$1,Despesas!$M:$M,$B885)</f>
        <v>0</v>
      </c>
      <c r="I885" s="18">
        <f>IF(Imóveis!$F$2="PRICE",IF(AND(Dados!$A885&gt;=Imóveis!$Q$2,Dados!$A885&lt;=Imóveis!$T$2),Imóveis!$U$2,0),IF((IF(AND(Dados!$A885&gt;=Imóveis!$Q$2,Dados!$A885&lt;=Imóveis!$T$2),Imóveis!$S$2-(DATEDIF(Imóveis!$Q$2,Dados!$A885,"m")),0))=0,0,((Imóveis!$N$2/Imóveis!$S$2)+((Imóveis!$N$2-((Imóveis!$S$2-(IF(AND(Dados!$A885&gt;=Imóveis!$Q$2,Dados!$A885&lt;=Imóveis!$T$2),Imóveis!$S$2-(DATEDIF(Imóveis!$Q$2,Dados!$A885,"m")),)))*(Imóveis!$N$2/Imóveis!$S$2)))*Imóveis!$P$2))))*IF(AND(Imóveis!$E$2&gt;0,Dados!$A885&gt;Imóveis!$E$2),0,1)</f>
        <v>0</v>
      </c>
      <c r="J885" s="18">
        <f>IF(Imóveis!$F$3="PRICE",IF(AND(Dados!$A885&gt;=Imóveis!$Q$3,Dados!$A885&lt;=Imóveis!$T$3),Imóveis!$U$3,0),IF((IF(AND(Dados!$A885&gt;=Imóveis!$Q$3,Dados!$A885&lt;=Imóveis!$T$3),Imóveis!$S$3-(DATEDIF(Imóveis!$Q$3,Dados!$A885,"m")),0))=0,0,((Imóveis!$N$3/Imóveis!$S$3)+((Imóveis!$N$3-((Imóveis!$S$3-(IF(AND(Dados!$A885&gt;=Imóveis!$Q$3,Dados!$A885&lt;=Imóveis!$T$3),Imóveis!$S$3-(DATEDIF(Imóveis!$Q$3,Dados!$A885,"m")),)))*(Imóveis!$N$3/Imóveis!$S$3)))*Imóveis!$P$3))))*IF(AND(Imóveis!$E$3&gt;0,Dados!$A885&gt;Imóveis!$E$3),0,1)</f>
        <v>0</v>
      </c>
      <c r="K885" s="18">
        <f>IF(Imóveis!$F$4="PRICE",IF(AND(Dados!$A885&gt;=Imóveis!$Q$4,Dados!$A885&lt;=Imóveis!$T$4),Imóveis!$U$4,0),IF((IF(AND(Dados!$A885&gt;=Imóveis!$Q$4,Dados!$A885&lt;=Imóveis!$T$4),Imóveis!$S$4-(DATEDIF(Imóveis!$Q$4,Dados!$A885,"m")),0))=0,0,((Imóveis!$N$4/Imóveis!$S$4)+((Imóveis!$N$4-((Imóveis!$S$4-(IF(AND(Dados!$A885&gt;=Imóveis!$Q$4,Dados!$A885&lt;=Imóveis!$T$4),Imóveis!$S$4-(DATEDIF(Imóveis!$Q$4,Dados!$A885,"m")),)))*(Imóveis!$N$4/Imóveis!$S$4)))*Imóveis!$P$4))))*IF(AND(Imóveis!$E$4&gt;0,Dados!$A885&gt;Imóveis!$E$4),0,1)</f>
        <v>0</v>
      </c>
      <c r="L885" s="18">
        <f>IF(Imóveis!$F$5="PRICE",IF(AND(Dados!$A885&gt;=Imóveis!$Q$5,Dados!$A885&lt;=Imóveis!$T$5),Imóveis!$U$5,0),IF((IF(AND(Dados!$A885&gt;=Imóveis!$Q$5,Dados!$A885&lt;=Imóveis!$T$5),Imóveis!$S$5-(DATEDIF(Imóveis!$Q$5,Dados!$A885,"m")),0))=0,0,((Imóveis!$N$5/Imóveis!$S$5)+((Imóveis!$N$5-((Imóveis!$S$5-(IF(AND(Dados!$A885 &gt;=Imóveis!$Q$5,Dados!$A885&lt;=Imóveis!$T$5),Imóveis!$S$5-(DATEDIF(Imóveis!$Q$5,Dados!$A885,"m")),)))*(Imóveis!$N$5/Imóveis!$S$5)))*Imóveis!$P$5))))*IF(AND(Imóveis!$E$5&gt;0,Dados!$A885&gt;Imóveis!$E$5),0,1)*Imóveis!$I$5</f>
        <v>0</v>
      </c>
      <c r="M885" s="18">
        <f>IF(Imóveis!$F$6="PRICE",IF(AND(Dados!$A885&gt;=Imóveis!$Q$6,Dados!$A885&lt;=Imóveis!$T$6),Imóveis!$U$6,0),IF((IF(AND(Dados!$A885&gt;=Imóveis!$Q$6,Dados!$A885&lt;=Imóveis!$T$6),Imóveis!$S$6-(DATEDIF(Imóveis!$Q$6,Dados!$A885,"m")),0))=0,0,((Imóveis!$N$6/Imóveis!$S$6)+((Imóveis!$N$6-((Imóveis!$S$6-(IF(AND(Dados!$A885&gt;=Imóveis!$Q$6,Dados!$A885&lt;=Imóveis!$T$6),Imóveis!$S$6-(DATEDIF(Imóveis!$Q$6,Dados!$A885,"m")),)))*(Imóveis!$N$6/Imóveis!$S$6)))*Imóveis!$P$6))))*IF(AND(Imóveis!$E$6&gt;0,Dados!$A885&gt;Imóveis!$E$6),0,1)*Imóveis!$I$6</f>
        <v>0</v>
      </c>
      <c r="N885" s="18">
        <f t="shared" si="109"/>
        <v>0</v>
      </c>
      <c r="O885" s="18">
        <f>SUMIFS(Receitas!$F:$F,Receitas!$J:$J,"&lt;="&amp;$A885,Receitas!$L:$L,"&gt;="&amp;$A885,Receitas!$C:$C,O$1,Receitas!$M:$M,"Mensal")+SUMIFS(Receitas!$F:$F,Receitas!$J:$J,"&lt;="&amp;$A885,Receitas!$L:$L,"&gt;="&amp;$A885,Receitas!$C:$C,O$1,Receitas!$M:$M,$B885)</f>
        <v>0</v>
      </c>
      <c r="P885" s="18">
        <f>SUMIFS(Receitas!$F:$F,Receitas!$J:$J,"&lt;="&amp;$A885,Receitas!$L:$L,"&gt;="&amp;$A885,Receitas!$C:$C,P$1,Receitas!$M:$M,"Mensal")+SUMIFS(Receitas!$F:$F,Receitas!$J:$J,"&lt;="&amp;$A885,Receitas!$L:$L,"&gt;="&amp;$A885,Receitas!$C:$C,P$1,Receitas!$M:$M,$B885)</f>
        <v>0</v>
      </c>
      <c r="Q885" s="18">
        <f>SUMIFS(Receitas!$F:$F,Receitas!$J:$J,"&lt;="&amp;$A885,Receitas!$L:$L,"&gt;="&amp;$A885,Receitas!$C:$C,Q$1,Receitas!$M:$M,"Mensal")+SUMIFS(Receitas!$F:$F,Receitas!$J:$J,"&lt;="&amp;$A885,Receitas!$L:$L,"&gt;="&amp;$A885,Receitas!$C:$C,Q$1,Receitas!$M:$M,$B885)</f>
        <v>0</v>
      </c>
      <c r="R885" s="18" cm="1">
        <f t="array" ref="R885">(IF(AND(Membros!$F$2="Sim",A885&lt;=MAX(Membros!$E$2:$E$5)),Membros!K$2,IF(AND(A885&gt;=Membros!J$2,A885&lt;=MAX(Membros!$E$2:$E$5)),Membros!K$2,0))+IF(AND(Membros!$F$3="Sim",A885&lt;=MAX(Membros!$E$2:$E$5)),Membros!K$3,IF(AND(A885&gt;=Membros!J$3,A885&lt;=MAX(Membros!$E$2:$E$5)),Membros!K$3,0)))*IF(AND(COUNTIFS(Tabela3[Tipo],"Provedor",Tabela3[Simulação Seguro],"Sim")=2,A885&gt;=MAX(IF(Tabela3[Tipo]="Dependente",Tabela3[Expectativa de Vida (Data)]))),0,1)</f>
        <v>0</v>
      </c>
      <c r="S885" s="18">
        <f t="shared" si="110"/>
        <v>0</v>
      </c>
      <c r="U885" s="18">
        <f t="shared" ca="1" si="113"/>
        <v>84732767.987149268</v>
      </c>
      <c r="V885" s="18">
        <f>SUMIF(Imóveis!E:E,Dados!A:A,Imóveis!Z:Z)-SUMIF(Imóveis!E:E,Dados!A:A,Imóveis!Y:Y)</f>
        <v>0</v>
      </c>
      <c r="W885" s="18">
        <f>-SUMIF(Projetos!N:N,A885,Projetos!F:F)</f>
        <v>0</v>
      </c>
      <c r="X885" s="18">
        <f t="shared" si="107"/>
        <v>0</v>
      </c>
      <c r="Y885" s="26">
        <f ca="1">(U885*((Indicadores_Economicos!D$2+1)^(1/12)-1))</f>
        <v>277393.03341536119</v>
      </c>
      <c r="Z885" s="18">
        <f t="shared" ca="1" si="111"/>
        <v>85010161.020564631</v>
      </c>
      <c r="AA885" s="18">
        <f ca="1">Auxiliar_Projetos!E885</f>
        <v>7.0075387008598178E-9</v>
      </c>
      <c r="AB885" s="18">
        <f ca="1">Auxiliar_Projetos!K885</f>
        <v>5.3904143852767786E-9</v>
      </c>
      <c r="AC885" s="18">
        <f ca="1">IF(Z885-AA885-AB885&gt;Investimentos!$C$14,Investimentos!$C$14,IF(Z885-AA885-AB885&lt;Investimentos!$C$14,Z885-AA885-AB885,0))</f>
        <v>300000</v>
      </c>
      <c r="AD885" s="18">
        <f t="shared" ca="1" si="112"/>
        <v>84710161.020564631</v>
      </c>
      <c r="AE885" s="18"/>
    </row>
    <row r="886" spans="1:31" x14ac:dyDescent="0.2">
      <c r="A886" s="4">
        <v>72564</v>
      </c>
      <c r="B886" s="5" t="str">
        <f t="shared" si="108"/>
        <v>setembro</v>
      </c>
      <c r="C886" s="5" t="str">
        <f t="shared" si="114"/>
        <v>2098</v>
      </c>
      <c r="D886" s="5">
        <f>SUMIFS(Despesas!$F:$F,Despesas!$J:$J,"&lt;="&amp;$A886,Despesas!$L:$L,"&gt;="&amp;$A886,Despesas!$C:$C,D$1,Despesas!$M:$M,"Mensal")+SUMIFS(Despesas!$F:$F,Despesas!$J:$J,"&lt;="&amp;$A886,Despesas!$L:$L,"&gt;="&amp;$A886,Despesas!$C:$C,D$1,Despesas!$M:$M,$B886)</f>
        <v>0</v>
      </c>
      <c r="E886" s="18">
        <f>SUMIFS(Despesas!$F:$F,Despesas!$J:$J,"&lt;="&amp;$A886,Despesas!$L:$L,"&gt;="&amp;$A886,Despesas!$C:$C,E$1,Despesas!$M:$M,"Mensal")+SUMIFS(Despesas!$F:$F,Despesas!$J:$J,"&lt;="&amp;$A886,Despesas!$L:$L,"&gt;="&amp;$A886,Despesas!$C:$C,E$1,Despesas!$M:$M,$B886)</f>
        <v>0</v>
      </c>
      <c r="F886" s="5">
        <f>SUMIFS(Despesas!$F:$F,Despesas!$J:$J,"&lt;="&amp;$A886,Despesas!$L:$L,"&gt;="&amp;$A886,Despesas!$C:$C,F$1,Despesas!$M:$M,"Mensal")+SUMIFS(Despesas!$F:$F,Despesas!$J:$J,"&lt;="&amp;$A886,Despesas!$L:$L,"&gt;="&amp;$A886,Despesas!$C:$C,F$1,Despesas!$M:$M,$B886)</f>
        <v>0</v>
      </c>
      <c r="G886" s="5">
        <f>SUMIFS(Despesas!$F:$F,Despesas!$J:$J,"&lt;="&amp;$A886,Despesas!$L:$L,"&gt;="&amp;$A886,Despesas!$C:$C,G$1,Despesas!$M:$M,"Mensal")+SUMIFS(Despesas!$F:$F,Despesas!$J:$J,"&lt;="&amp;$A886,Despesas!$L:$L,"&gt;="&amp;$A886,Despesas!$C:$C,G$1,Despesas!$M:$M,$B886)</f>
        <v>0</v>
      </c>
      <c r="H886" s="18">
        <f>SUMIFS(Despesas!$F:$F,Despesas!$J:$J,"&lt;="&amp;$A886,Despesas!$L:$L,"&gt;="&amp;$A886,Despesas!$C:$C,H$1,Despesas!$M:$M,"Mensal")+SUMIFS(Despesas!$F:$F,Despesas!$J:$J,"&lt;="&amp;$A886,Despesas!$L:$L,"&gt;="&amp;$A886,Despesas!$C:$C,H$1,Despesas!$M:$M,$B886)</f>
        <v>0</v>
      </c>
      <c r="I886" s="18">
        <f>IF(Imóveis!$F$2="PRICE",IF(AND(Dados!$A886&gt;=Imóveis!$Q$2,Dados!$A886&lt;=Imóveis!$T$2),Imóveis!$U$2,0),IF((IF(AND(Dados!$A886&gt;=Imóveis!$Q$2,Dados!$A886&lt;=Imóveis!$T$2),Imóveis!$S$2-(DATEDIF(Imóveis!$Q$2,Dados!$A886,"m")),0))=0,0,((Imóveis!$N$2/Imóveis!$S$2)+((Imóveis!$N$2-((Imóveis!$S$2-(IF(AND(Dados!$A886&gt;=Imóveis!$Q$2,Dados!$A886&lt;=Imóveis!$T$2),Imóveis!$S$2-(DATEDIF(Imóveis!$Q$2,Dados!$A886,"m")),)))*(Imóveis!$N$2/Imóveis!$S$2)))*Imóveis!$P$2))))*IF(AND(Imóveis!$E$2&gt;0,Dados!$A886&gt;Imóveis!$E$2),0,1)</f>
        <v>0</v>
      </c>
      <c r="J886" s="18">
        <f>IF(Imóveis!$F$3="PRICE",IF(AND(Dados!$A886&gt;=Imóveis!$Q$3,Dados!$A886&lt;=Imóveis!$T$3),Imóveis!$U$3,0),IF((IF(AND(Dados!$A886&gt;=Imóveis!$Q$3,Dados!$A886&lt;=Imóveis!$T$3),Imóveis!$S$3-(DATEDIF(Imóveis!$Q$3,Dados!$A886,"m")),0))=0,0,((Imóveis!$N$3/Imóveis!$S$3)+((Imóveis!$N$3-((Imóveis!$S$3-(IF(AND(Dados!$A886&gt;=Imóveis!$Q$3,Dados!$A886&lt;=Imóveis!$T$3),Imóveis!$S$3-(DATEDIF(Imóveis!$Q$3,Dados!$A886,"m")),)))*(Imóveis!$N$3/Imóveis!$S$3)))*Imóveis!$P$3))))*IF(AND(Imóveis!$E$3&gt;0,Dados!$A886&gt;Imóveis!$E$3),0,1)</f>
        <v>0</v>
      </c>
      <c r="K886" s="18">
        <f>IF(Imóveis!$F$4="PRICE",IF(AND(Dados!$A886&gt;=Imóveis!$Q$4,Dados!$A886&lt;=Imóveis!$T$4),Imóveis!$U$4,0),IF((IF(AND(Dados!$A886&gt;=Imóveis!$Q$4,Dados!$A886&lt;=Imóveis!$T$4),Imóveis!$S$4-(DATEDIF(Imóveis!$Q$4,Dados!$A886,"m")),0))=0,0,((Imóveis!$N$4/Imóveis!$S$4)+((Imóveis!$N$4-((Imóveis!$S$4-(IF(AND(Dados!$A886&gt;=Imóveis!$Q$4,Dados!$A886&lt;=Imóveis!$T$4),Imóveis!$S$4-(DATEDIF(Imóveis!$Q$4,Dados!$A886,"m")),)))*(Imóveis!$N$4/Imóveis!$S$4)))*Imóveis!$P$4))))*IF(AND(Imóveis!$E$4&gt;0,Dados!$A886&gt;Imóveis!$E$4),0,1)</f>
        <v>0</v>
      </c>
      <c r="L886" s="18">
        <f>IF(Imóveis!$F$5="PRICE",IF(AND(Dados!$A886&gt;=Imóveis!$Q$5,Dados!$A886&lt;=Imóveis!$T$5),Imóveis!$U$5,0),IF((IF(AND(Dados!$A886&gt;=Imóveis!$Q$5,Dados!$A886&lt;=Imóveis!$T$5),Imóveis!$S$5-(DATEDIF(Imóveis!$Q$5,Dados!$A886,"m")),0))=0,0,((Imóveis!$N$5/Imóveis!$S$5)+((Imóveis!$N$5-((Imóveis!$S$5-(IF(AND(Dados!$A886 &gt;=Imóveis!$Q$5,Dados!$A886&lt;=Imóveis!$T$5),Imóveis!$S$5-(DATEDIF(Imóveis!$Q$5,Dados!$A886,"m")),)))*(Imóveis!$N$5/Imóveis!$S$5)))*Imóveis!$P$5))))*IF(AND(Imóveis!$E$5&gt;0,Dados!$A886&gt;Imóveis!$E$5),0,1)*Imóveis!$I$5</f>
        <v>0</v>
      </c>
      <c r="M886" s="18">
        <f>IF(Imóveis!$F$6="PRICE",IF(AND(Dados!$A886&gt;=Imóveis!$Q$6,Dados!$A886&lt;=Imóveis!$T$6),Imóveis!$U$6,0),IF((IF(AND(Dados!$A886&gt;=Imóveis!$Q$6,Dados!$A886&lt;=Imóveis!$T$6),Imóveis!$S$6-(DATEDIF(Imóveis!$Q$6,Dados!$A886,"m")),0))=0,0,((Imóveis!$N$6/Imóveis!$S$6)+((Imóveis!$N$6-((Imóveis!$S$6-(IF(AND(Dados!$A886&gt;=Imóveis!$Q$6,Dados!$A886&lt;=Imóveis!$T$6),Imóveis!$S$6-(DATEDIF(Imóveis!$Q$6,Dados!$A886,"m")),)))*(Imóveis!$N$6/Imóveis!$S$6)))*Imóveis!$P$6))))*IF(AND(Imóveis!$E$6&gt;0,Dados!$A886&gt;Imóveis!$E$6),0,1)*Imóveis!$I$6</f>
        <v>0</v>
      </c>
      <c r="N886" s="18">
        <f t="shared" si="109"/>
        <v>0</v>
      </c>
      <c r="O886" s="18">
        <f>SUMIFS(Receitas!$F:$F,Receitas!$J:$J,"&lt;="&amp;$A886,Receitas!$L:$L,"&gt;="&amp;$A886,Receitas!$C:$C,O$1,Receitas!$M:$M,"Mensal")+SUMIFS(Receitas!$F:$F,Receitas!$J:$J,"&lt;="&amp;$A886,Receitas!$L:$L,"&gt;="&amp;$A886,Receitas!$C:$C,O$1,Receitas!$M:$M,$B886)</f>
        <v>0</v>
      </c>
      <c r="P886" s="18">
        <f>SUMIFS(Receitas!$F:$F,Receitas!$J:$J,"&lt;="&amp;$A886,Receitas!$L:$L,"&gt;="&amp;$A886,Receitas!$C:$C,P$1,Receitas!$M:$M,"Mensal")+SUMIFS(Receitas!$F:$F,Receitas!$J:$J,"&lt;="&amp;$A886,Receitas!$L:$L,"&gt;="&amp;$A886,Receitas!$C:$C,P$1,Receitas!$M:$M,$B886)</f>
        <v>0</v>
      </c>
      <c r="Q886" s="18">
        <f>SUMIFS(Receitas!$F:$F,Receitas!$J:$J,"&lt;="&amp;$A886,Receitas!$L:$L,"&gt;="&amp;$A886,Receitas!$C:$C,Q$1,Receitas!$M:$M,"Mensal")+SUMIFS(Receitas!$F:$F,Receitas!$J:$J,"&lt;="&amp;$A886,Receitas!$L:$L,"&gt;="&amp;$A886,Receitas!$C:$C,Q$1,Receitas!$M:$M,$B886)</f>
        <v>0</v>
      </c>
      <c r="R886" s="18" cm="1">
        <f t="array" ref="R886">(IF(AND(Membros!$F$2="Sim",A886&lt;=MAX(Membros!$E$2:$E$5)),Membros!K$2,IF(AND(A886&gt;=Membros!J$2,A886&lt;=MAX(Membros!$E$2:$E$5)),Membros!K$2,0))+IF(AND(Membros!$F$3="Sim",A886&lt;=MAX(Membros!$E$2:$E$5)),Membros!K$3,IF(AND(A886&gt;=Membros!J$3,A886&lt;=MAX(Membros!$E$2:$E$5)),Membros!K$3,0)))*IF(AND(COUNTIFS(Tabela3[Tipo],"Provedor",Tabela3[Simulação Seguro],"Sim")=2,A886&gt;=MAX(IF(Tabela3[Tipo]="Dependente",Tabela3[Expectativa de Vida (Data)]))),0,1)</f>
        <v>0</v>
      </c>
      <c r="S886" s="18">
        <f t="shared" si="110"/>
        <v>0</v>
      </c>
      <c r="U886" s="18">
        <f t="shared" ca="1" si="113"/>
        <v>85010161.020564631</v>
      </c>
      <c r="V886" s="18">
        <f>SUMIF(Imóveis!E:E,Dados!A:A,Imóveis!Z:Z)-SUMIF(Imóveis!E:E,Dados!A:A,Imóveis!Y:Y)</f>
        <v>0</v>
      </c>
      <c r="W886" s="18">
        <f>-SUMIF(Projetos!N:N,A886,Projetos!F:F)</f>
        <v>0</v>
      </c>
      <c r="X886" s="18">
        <f t="shared" si="107"/>
        <v>0</v>
      </c>
      <c r="Y886" s="26">
        <f ca="1">(U886*((Indicadores_Economicos!D$2+1)^(1/12)-1))</f>
        <v>278301.14602415788</v>
      </c>
      <c r="Z886" s="18">
        <f t="shared" ca="1" si="111"/>
        <v>85288462.166588783</v>
      </c>
      <c r="AA886" s="18">
        <f ca="1">Auxiliar_Projetos!E886</f>
        <v>7.030479559080121E-9</v>
      </c>
      <c r="AB886" s="18">
        <f ca="1">Auxiliar_Projetos!K886</f>
        <v>5.4080611992923966E-9</v>
      </c>
      <c r="AC886" s="18">
        <f ca="1">IF(Z886-AA886-AB886&gt;Investimentos!$C$14,Investimentos!$C$14,IF(Z886-AA886-AB886&lt;Investimentos!$C$14,Z886-AA886-AB886,0))</f>
        <v>300000</v>
      </c>
      <c r="AD886" s="18">
        <f t="shared" ca="1" si="112"/>
        <v>84988462.166588783</v>
      </c>
      <c r="AE886" s="18"/>
    </row>
    <row r="887" spans="1:31" x14ac:dyDescent="0.2">
      <c r="A887" s="4">
        <v>72594</v>
      </c>
      <c r="B887" s="5" t="str">
        <f t="shared" si="108"/>
        <v>outubro</v>
      </c>
      <c r="C887" s="5" t="str">
        <f t="shared" si="114"/>
        <v>2098</v>
      </c>
      <c r="D887" s="5">
        <f>SUMIFS(Despesas!$F:$F,Despesas!$J:$J,"&lt;="&amp;$A887,Despesas!$L:$L,"&gt;="&amp;$A887,Despesas!$C:$C,D$1,Despesas!$M:$M,"Mensal")+SUMIFS(Despesas!$F:$F,Despesas!$J:$J,"&lt;="&amp;$A887,Despesas!$L:$L,"&gt;="&amp;$A887,Despesas!$C:$C,D$1,Despesas!$M:$M,$B887)</f>
        <v>0</v>
      </c>
      <c r="E887" s="18">
        <f>SUMIFS(Despesas!$F:$F,Despesas!$J:$J,"&lt;="&amp;$A887,Despesas!$L:$L,"&gt;="&amp;$A887,Despesas!$C:$C,E$1,Despesas!$M:$M,"Mensal")+SUMIFS(Despesas!$F:$F,Despesas!$J:$J,"&lt;="&amp;$A887,Despesas!$L:$L,"&gt;="&amp;$A887,Despesas!$C:$C,E$1,Despesas!$M:$M,$B887)</f>
        <v>0</v>
      </c>
      <c r="F887" s="5">
        <f>SUMIFS(Despesas!$F:$F,Despesas!$J:$J,"&lt;="&amp;$A887,Despesas!$L:$L,"&gt;="&amp;$A887,Despesas!$C:$C,F$1,Despesas!$M:$M,"Mensal")+SUMIFS(Despesas!$F:$F,Despesas!$J:$J,"&lt;="&amp;$A887,Despesas!$L:$L,"&gt;="&amp;$A887,Despesas!$C:$C,F$1,Despesas!$M:$M,$B887)</f>
        <v>0</v>
      </c>
      <c r="G887" s="5">
        <f>SUMIFS(Despesas!$F:$F,Despesas!$J:$J,"&lt;="&amp;$A887,Despesas!$L:$L,"&gt;="&amp;$A887,Despesas!$C:$C,G$1,Despesas!$M:$M,"Mensal")+SUMIFS(Despesas!$F:$F,Despesas!$J:$J,"&lt;="&amp;$A887,Despesas!$L:$L,"&gt;="&amp;$A887,Despesas!$C:$C,G$1,Despesas!$M:$M,$B887)</f>
        <v>0</v>
      </c>
      <c r="H887" s="18">
        <f>SUMIFS(Despesas!$F:$F,Despesas!$J:$J,"&lt;="&amp;$A887,Despesas!$L:$L,"&gt;="&amp;$A887,Despesas!$C:$C,H$1,Despesas!$M:$M,"Mensal")+SUMIFS(Despesas!$F:$F,Despesas!$J:$J,"&lt;="&amp;$A887,Despesas!$L:$L,"&gt;="&amp;$A887,Despesas!$C:$C,H$1,Despesas!$M:$M,$B887)</f>
        <v>0</v>
      </c>
      <c r="I887" s="18">
        <f>IF(Imóveis!$F$2="PRICE",IF(AND(Dados!$A887&gt;=Imóveis!$Q$2,Dados!$A887&lt;=Imóveis!$T$2),Imóveis!$U$2,0),IF((IF(AND(Dados!$A887&gt;=Imóveis!$Q$2,Dados!$A887&lt;=Imóveis!$T$2),Imóveis!$S$2-(DATEDIF(Imóveis!$Q$2,Dados!$A887,"m")),0))=0,0,((Imóveis!$N$2/Imóveis!$S$2)+((Imóveis!$N$2-((Imóveis!$S$2-(IF(AND(Dados!$A887&gt;=Imóveis!$Q$2,Dados!$A887&lt;=Imóveis!$T$2),Imóveis!$S$2-(DATEDIF(Imóveis!$Q$2,Dados!$A887,"m")),)))*(Imóveis!$N$2/Imóveis!$S$2)))*Imóveis!$P$2))))*IF(AND(Imóveis!$E$2&gt;0,Dados!$A887&gt;Imóveis!$E$2),0,1)</f>
        <v>0</v>
      </c>
      <c r="J887" s="18">
        <f>IF(Imóveis!$F$3="PRICE",IF(AND(Dados!$A887&gt;=Imóveis!$Q$3,Dados!$A887&lt;=Imóveis!$T$3),Imóveis!$U$3,0),IF((IF(AND(Dados!$A887&gt;=Imóveis!$Q$3,Dados!$A887&lt;=Imóveis!$T$3),Imóveis!$S$3-(DATEDIF(Imóveis!$Q$3,Dados!$A887,"m")),0))=0,0,((Imóveis!$N$3/Imóveis!$S$3)+((Imóveis!$N$3-((Imóveis!$S$3-(IF(AND(Dados!$A887&gt;=Imóveis!$Q$3,Dados!$A887&lt;=Imóveis!$T$3),Imóveis!$S$3-(DATEDIF(Imóveis!$Q$3,Dados!$A887,"m")),)))*(Imóveis!$N$3/Imóveis!$S$3)))*Imóveis!$P$3))))*IF(AND(Imóveis!$E$3&gt;0,Dados!$A887&gt;Imóveis!$E$3),0,1)</f>
        <v>0</v>
      </c>
      <c r="K887" s="18">
        <f>IF(Imóveis!$F$4="PRICE",IF(AND(Dados!$A887&gt;=Imóveis!$Q$4,Dados!$A887&lt;=Imóveis!$T$4),Imóveis!$U$4,0),IF((IF(AND(Dados!$A887&gt;=Imóveis!$Q$4,Dados!$A887&lt;=Imóveis!$T$4),Imóveis!$S$4-(DATEDIF(Imóveis!$Q$4,Dados!$A887,"m")),0))=0,0,((Imóveis!$N$4/Imóveis!$S$4)+((Imóveis!$N$4-((Imóveis!$S$4-(IF(AND(Dados!$A887&gt;=Imóveis!$Q$4,Dados!$A887&lt;=Imóveis!$T$4),Imóveis!$S$4-(DATEDIF(Imóveis!$Q$4,Dados!$A887,"m")),)))*(Imóveis!$N$4/Imóveis!$S$4)))*Imóveis!$P$4))))*IF(AND(Imóveis!$E$4&gt;0,Dados!$A887&gt;Imóveis!$E$4),0,1)</f>
        <v>0</v>
      </c>
      <c r="L887" s="18">
        <f>IF(Imóveis!$F$5="PRICE",IF(AND(Dados!$A887&gt;=Imóveis!$Q$5,Dados!$A887&lt;=Imóveis!$T$5),Imóveis!$U$5,0),IF((IF(AND(Dados!$A887&gt;=Imóveis!$Q$5,Dados!$A887&lt;=Imóveis!$T$5),Imóveis!$S$5-(DATEDIF(Imóveis!$Q$5,Dados!$A887,"m")),0))=0,0,((Imóveis!$N$5/Imóveis!$S$5)+((Imóveis!$N$5-((Imóveis!$S$5-(IF(AND(Dados!$A887 &gt;=Imóveis!$Q$5,Dados!$A887&lt;=Imóveis!$T$5),Imóveis!$S$5-(DATEDIF(Imóveis!$Q$5,Dados!$A887,"m")),)))*(Imóveis!$N$5/Imóveis!$S$5)))*Imóveis!$P$5))))*IF(AND(Imóveis!$E$5&gt;0,Dados!$A887&gt;Imóveis!$E$5),0,1)*Imóveis!$I$5</f>
        <v>0</v>
      </c>
      <c r="M887" s="18">
        <f>IF(Imóveis!$F$6="PRICE",IF(AND(Dados!$A887&gt;=Imóveis!$Q$6,Dados!$A887&lt;=Imóveis!$T$6),Imóveis!$U$6,0),IF((IF(AND(Dados!$A887&gt;=Imóveis!$Q$6,Dados!$A887&lt;=Imóveis!$T$6),Imóveis!$S$6-(DATEDIF(Imóveis!$Q$6,Dados!$A887,"m")),0))=0,0,((Imóveis!$N$6/Imóveis!$S$6)+((Imóveis!$N$6-((Imóveis!$S$6-(IF(AND(Dados!$A887&gt;=Imóveis!$Q$6,Dados!$A887&lt;=Imóveis!$T$6),Imóveis!$S$6-(DATEDIF(Imóveis!$Q$6,Dados!$A887,"m")),)))*(Imóveis!$N$6/Imóveis!$S$6)))*Imóveis!$P$6))))*IF(AND(Imóveis!$E$6&gt;0,Dados!$A887&gt;Imóveis!$E$6),0,1)*Imóveis!$I$6</f>
        <v>0</v>
      </c>
      <c r="N887" s="18">
        <f t="shared" si="109"/>
        <v>0</v>
      </c>
      <c r="O887" s="18">
        <f>SUMIFS(Receitas!$F:$F,Receitas!$J:$J,"&lt;="&amp;$A887,Receitas!$L:$L,"&gt;="&amp;$A887,Receitas!$C:$C,O$1,Receitas!$M:$M,"Mensal")+SUMIFS(Receitas!$F:$F,Receitas!$J:$J,"&lt;="&amp;$A887,Receitas!$L:$L,"&gt;="&amp;$A887,Receitas!$C:$C,O$1,Receitas!$M:$M,$B887)</f>
        <v>0</v>
      </c>
      <c r="P887" s="18">
        <f>SUMIFS(Receitas!$F:$F,Receitas!$J:$J,"&lt;="&amp;$A887,Receitas!$L:$L,"&gt;="&amp;$A887,Receitas!$C:$C,P$1,Receitas!$M:$M,"Mensal")+SUMIFS(Receitas!$F:$F,Receitas!$J:$J,"&lt;="&amp;$A887,Receitas!$L:$L,"&gt;="&amp;$A887,Receitas!$C:$C,P$1,Receitas!$M:$M,$B887)</f>
        <v>0</v>
      </c>
      <c r="Q887" s="18">
        <f>SUMIFS(Receitas!$F:$F,Receitas!$J:$J,"&lt;="&amp;$A887,Receitas!$L:$L,"&gt;="&amp;$A887,Receitas!$C:$C,Q$1,Receitas!$M:$M,"Mensal")+SUMIFS(Receitas!$F:$F,Receitas!$J:$J,"&lt;="&amp;$A887,Receitas!$L:$L,"&gt;="&amp;$A887,Receitas!$C:$C,Q$1,Receitas!$M:$M,$B887)</f>
        <v>0</v>
      </c>
      <c r="R887" s="18" cm="1">
        <f t="array" ref="R887">(IF(AND(Membros!$F$2="Sim",A887&lt;=MAX(Membros!$E$2:$E$5)),Membros!K$2,IF(AND(A887&gt;=Membros!J$2,A887&lt;=MAX(Membros!$E$2:$E$5)),Membros!K$2,0))+IF(AND(Membros!$F$3="Sim",A887&lt;=MAX(Membros!$E$2:$E$5)),Membros!K$3,IF(AND(A887&gt;=Membros!J$3,A887&lt;=MAX(Membros!$E$2:$E$5)),Membros!K$3,0)))*IF(AND(COUNTIFS(Tabela3[Tipo],"Provedor",Tabela3[Simulação Seguro],"Sim")=2,A887&gt;=MAX(IF(Tabela3[Tipo]="Dependente",Tabela3[Expectativa de Vida (Data)]))),0,1)</f>
        <v>0</v>
      </c>
      <c r="S887" s="18">
        <f t="shared" si="110"/>
        <v>0</v>
      </c>
      <c r="U887" s="18">
        <f t="shared" ca="1" si="113"/>
        <v>85288462.166588783</v>
      </c>
      <c r="V887" s="18">
        <f>SUMIF(Imóveis!E:E,Dados!A:A,Imóveis!Z:Z)-SUMIF(Imóveis!E:E,Dados!A:A,Imóveis!Y:Y)</f>
        <v>0</v>
      </c>
      <c r="W887" s="18">
        <f>-SUMIF(Projetos!N:N,A887,Projetos!F:F)</f>
        <v>0</v>
      </c>
      <c r="X887" s="18">
        <f t="shared" si="107"/>
        <v>0</v>
      </c>
      <c r="Y887" s="26">
        <f ca="1">(U887*((Indicadores_Economicos!D$2+1)^(1/12)-1))</f>
        <v>279212.23155732872</v>
      </c>
      <c r="Z887" s="18">
        <f t="shared" ca="1" si="111"/>
        <v>85567674.398146108</v>
      </c>
      <c r="AA887" s="18">
        <f ca="1">Auxiliar_Projetos!E887</f>
        <v>7.0534955197006177E-9</v>
      </c>
      <c r="AB887" s="18">
        <f ca="1">Auxiliar_Projetos!K887</f>
        <v>5.4257657843850865E-9</v>
      </c>
      <c r="AC887" s="18">
        <f ca="1">IF(Z887-AA887-AB887&gt;Investimentos!$C$14,Investimentos!$C$14,IF(Z887-AA887-AB887&lt;Investimentos!$C$14,Z887-AA887-AB887,0))</f>
        <v>300000</v>
      </c>
      <c r="AD887" s="18">
        <f t="shared" ca="1" si="112"/>
        <v>85267674.398146108</v>
      </c>
      <c r="AE887" s="18"/>
    </row>
    <row r="888" spans="1:31" x14ac:dyDescent="0.2">
      <c r="A888" s="4">
        <v>72625</v>
      </c>
      <c r="B888" s="5" t="str">
        <f t="shared" si="108"/>
        <v>novembro</v>
      </c>
      <c r="C888" s="5" t="str">
        <f t="shared" si="114"/>
        <v>2098</v>
      </c>
      <c r="D888" s="5">
        <f>SUMIFS(Despesas!$F:$F,Despesas!$J:$J,"&lt;="&amp;$A888,Despesas!$L:$L,"&gt;="&amp;$A888,Despesas!$C:$C,D$1,Despesas!$M:$M,"Mensal")+SUMIFS(Despesas!$F:$F,Despesas!$J:$J,"&lt;="&amp;$A888,Despesas!$L:$L,"&gt;="&amp;$A888,Despesas!$C:$C,D$1,Despesas!$M:$M,$B888)</f>
        <v>0</v>
      </c>
      <c r="E888" s="18">
        <f>SUMIFS(Despesas!$F:$F,Despesas!$J:$J,"&lt;="&amp;$A888,Despesas!$L:$L,"&gt;="&amp;$A888,Despesas!$C:$C,E$1,Despesas!$M:$M,"Mensal")+SUMIFS(Despesas!$F:$F,Despesas!$J:$J,"&lt;="&amp;$A888,Despesas!$L:$L,"&gt;="&amp;$A888,Despesas!$C:$C,E$1,Despesas!$M:$M,$B888)</f>
        <v>0</v>
      </c>
      <c r="F888" s="5">
        <f>SUMIFS(Despesas!$F:$F,Despesas!$J:$J,"&lt;="&amp;$A888,Despesas!$L:$L,"&gt;="&amp;$A888,Despesas!$C:$C,F$1,Despesas!$M:$M,"Mensal")+SUMIFS(Despesas!$F:$F,Despesas!$J:$J,"&lt;="&amp;$A888,Despesas!$L:$L,"&gt;="&amp;$A888,Despesas!$C:$C,F$1,Despesas!$M:$M,$B888)</f>
        <v>0</v>
      </c>
      <c r="G888" s="5">
        <f>SUMIFS(Despesas!$F:$F,Despesas!$J:$J,"&lt;="&amp;$A888,Despesas!$L:$L,"&gt;="&amp;$A888,Despesas!$C:$C,G$1,Despesas!$M:$M,"Mensal")+SUMIFS(Despesas!$F:$F,Despesas!$J:$J,"&lt;="&amp;$A888,Despesas!$L:$L,"&gt;="&amp;$A888,Despesas!$C:$C,G$1,Despesas!$M:$M,$B888)</f>
        <v>0</v>
      </c>
      <c r="H888" s="18">
        <f>SUMIFS(Despesas!$F:$F,Despesas!$J:$J,"&lt;="&amp;$A888,Despesas!$L:$L,"&gt;="&amp;$A888,Despesas!$C:$C,H$1,Despesas!$M:$M,"Mensal")+SUMIFS(Despesas!$F:$F,Despesas!$J:$J,"&lt;="&amp;$A888,Despesas!$L:$L,"&gt;="&amp;$A888,Despesas!$C:$C,H$1,Despesas!$M:$M,$B888)</f>
        <v>0</v>
      </c>
      <c r="I888" s="18">
        <f>IF(Imóveis!$F$2="PRICE",IF(AND(Dados!$A888&gt;=Imóveis!$Q$2,Dados!$A888&lt;=Imóveis!$T$2),Imóveis!$U$2,0),IF((IF(AND(Dados!$A888&gt;=Imóveis!$Q$2,Dados!$A888&lt;=Imóveis!$T$2),Imóveis!$S$2-(DATEDIF(Imóveis!$Q$2,Dados!$A888,"m")),0))=0,0,((Imóveis!$N$2/Imóveis!$S$2)+((Imóveis!$N$2-((Imóveis!$S$2-(IF(AND(Dados!$A888&gt;=Imóveis!$Q$2,Dados!$A888&lt;=Imóveis!$T$2),Imóveis!$S$2-(DATEDIF(Imóveis!$Q$2,Dados!$A888,"m")),)))*(Imóveis!$N$2/Imóveis!$S$2)))*Imóveis!$P$2))))*IF(AND(Imóveis!$E$2&gt;0,Dados!$A888&gt;Imóveis!$E$2),0,1)</f>
        <v>0</v>
      </c>
      <c r="J888" s="18">
        <f>IF(Imóveis!$F$3="PRICE",IF(AND(Dados!$A888&gt;=Imóveis!$Q$3,Dados!$A888&lt;=Imóveis!$T$3),Imóveis!$U$3,0),IF((IF(AND(Dados!$A888&gt;=Imóveis!$Q$3,Dados!$A888&lt;=Imóveis!$T$3),Imóveis!$S$3-(DATEDIF(Imóveis!$Q$3,Dados!$A888,"m")),0))=0,0,((Imóveis!$N$3/Imóveis!$S$3)+((Imóveis!$N$3-((Imóveis!$S$3-(IF(AND(Dados!$A888&gt;=Imóveis!$Q$3,Dados!$A888&lt;=Imóveis!$T$3),Imóveis!$S$3-(DATEDIF(Imóveis!$Q$3,Dados!$A888,"m")),)))*(Imóveis!$N$3/Imóveis!$S$3)))*Imóveis!$P$3))))*IF(AND(Imóveis!$E$3&gt;0,Dados!$A888&gt;Imóveis!$E$3),0,1)</f>
        <v>0</v>
      </c>
      <c r="K888" s="18">
        <f>IF(Imóveis!$F$4="PRICE",IF(AND(Dados!$A888&gt;=Imóveis!$Q$4,Dados!$A888&lt;=Imóveis!$T$4),Imóveis!$U$4,0),IF((IF(AND(Dados!$A888&gt;=Imóveis!$Q$4,Dados!$A888&lt;=Imóveis!$T$4),Imóveis!$S$4-(DATEDIF(Imóveis!$Q$4,Dados!$A888,"m")),0))=0,0,((Imóveis!$N$4/Imóveis!$S$4)+((Imóveis!$N$4-((Imóveis!$S$4-(IF(AND(Dados!$A888&gt;=Imóveis!$Q$4,Dados!$A888&lt;=Imóveis!$T$4),Imóveis!$S$4-(DATEDIF(Imóveis!$Q$4,Dados!$A888,"m")),)))*(Imóveis!$N$4/Imóveis!$S$4)))*Imóveis!$P$4))))*IF(AND(Imóveis!$E$4&gt;0,Dados!$A888&gt;Imóveis!$E$4),0,1)</f>
        <v>0</v>
      </c>
      <c r="L888" s="18">
        <f>IF(Imóveis!$F$5="PRICE",IF(AND(Dados!$A888&gt;=Imóveis!$Q$5,Dados!$A888&lt;=Imóveis!$T$5),Imóveis!$U$5,0),IF((IF(AND(Dados!$A888&gt;=Imóveis!$Q$5,Dados!$A888&lt;=Imóveis!$T$5),Imóveis!$S$5-(DATEDIF(Imóveis!$Q$5,Dados!$A888,"m")),0))=0,0,((Imóveis!$N$5/Imóveis!$S$5)+((Imóveis!$N$5-((Imóveis!$S$5-(IF(AND(Dados!$A888 &gt;=Imóveis!$Q$5,Dados!$A888&lt;=Imóveis!$T$5),Imóveis!$S$5-(DATEDIF(Imóveis!$Q$5,Dados!$A888,"m")),)))*(Imóveis!$N$5/Imóveis!$S$5)))*Imóveis!$P$5))))*IF(AND(Imóveis!$E$5&gt;0,Dados!$A888&gt;Imóveis!$E$5),0,1)*Imóveis!$I$5</f>
        <v>0</v>
      </c>
      <c r="M888" s="18">
        <f>IF(Imóveis!$F$6="PRICE",IF(AND(Dados!$A888&gt;=Imóveis!$Q$6,Dados!$A888&lt;=Imóveis!$T$6),Imóveis!$U$6,0),IF((IF(AND(Dados!$A888&gt;=Imóveis!$Q$6,Dados!$A888&lt;=Imóveis!$T$6),Imóveis!$S$6-(DATEDIF(Imóveis!$Q$6,Dados!$A888,"m")),0))=0,0,((Imóveis!$N$6/Imóveis!$S$6)+((Imóveis!$N$6-((Imóveis!$S$6-(IF(AND(Dados!$A888&gt;=Imóveis!$Q$6,Dados!$A888&lt;=Imóveis!$T$6),Imóveis!$S$6-(DATEDIF(Imóveis!$Q$6,Dados!$A888,"m")),)))*(Imóveis!$N$6/Imóveis!$S$6)))*Imóveis!$P$6))))*IF(AND(Imóveis!$E$6&gt;0,Dados!$A888&gt;Imóveis!$E$6),0,1)*Imóveis!$I$6</f>
        <v>0</v>
      </c>
      <c r="N888" s="18">
        <f t="shared" si="109"/>
        <v>0</v>
      </c>
      <c r="O888" s="18">
        <f>SUMIFS(Receitas!$F:$F,Receitas!$J:$J,"&lt;="&amp;$A888,Receitas!$L:$L,"&gt;="&amp;$A888,Receitas!$C:$C,O$1,Receitas!$M:$M,"Mensal")+SUMIFS(Receitas!$F:$F,Receitas!$J:$J,"&lt;="&amp;$A888,Receitas!$L:$L,"&gt;="&amp;$A888,Receitas!$C:$C,O$1,Receitas!$M:$M,$B888)</f>
        <v>0</v>
      </c>
      <c r="P888" s="18">
        <f>SUMIFS(Receitas!$F:$F,Receitas!$J:$J,"&lt;="&amp;$A888,Receitas!$L:$L,"&gt;="&amp;$A888,Receitas!$C:$C,P$1,Receitas!$M:$M,"Mensal")+SUMIFS(Receitas!$F:$F,Receitas!$J:$J,"&lt;="&amp;$A888,Receitas!$L:$L,"&gt;="&amp;$A888,Receitas!$C:$C,P$1,Receitas!$M:$M,$B888)</f>
        <v>0</v>
      </c>
      <c r="Q888" s="18">
        <f>SUMIFS(Receitas!$F:$F,Receitas!$J:$J,"&lt;="&amp;$A888,Receitas!$L:$L,"&gt;="&amp;$A888,Receitas!$C:$C,Q$1,Receitas!$M:$M,"Mensal")+SUMIFS(Receitas!$F:$F,Receitas!$J:$J,"&lt;="&amp;$A888,Receitas!$L:$L,"&gt;="&amp;$A888,Receitas!$C:$C,Q$1,Receitas!$M:$M,$B888)</f>
        <v>0</v>
      </c>
      <c r="R888" s="18" cm="1">
        <f t="array" ref="R888">(IF(AND(Membros!$F$2="Sim",A888&lt;=MAX(Membros!$E$2:$E$5)),Membros!K$2,IF(AND(A888&gt;=Membros!J$2,A888&lt;=MAX(Membros!$E$2:$E$5)),Membros!K$2,0))+IF(AND(Membros!$F$3="Sim",A888&lt;=MAX(Membros!$E$2:$E$5)),Membros!K$3,IF(AND(A888&gt;=Membros!J$3,A888&lt;=MAX(Membros!$E$2:$E$5)),Membros!K$3,0)))*IF(AND(COUNTIFS(Tabela3[Tipo],"Provedor",Tabela3[Simulação Seguro],"Sim")=2,A888&gt;=MAX(IF(Tabela3[Tipo]="Dependente",Tabela3[Expectativa de Vida (Data)]))),0,1)</f>
        <v>0</v>
      </c>
      <c r="S888" s="18">
        <f t="shared" si="110"/>
        <v>0</v>
      </c>
      <c r="U888" s="18">
        <f t="shared" ca="1" si="113"/>
        <v>85567674.398146108</v>
      </c>
      <c r="V888" s="18">
        <f>SUMIF(Imóveis!E:E,Dados!A:A,Imóveis!Z:Z)-SUMIF(Imóveis!E:E,Dados!A:A,Imóveis!Y:Y)</f>
        <v>0</v>
      </c>
      <c r="W888" s="18">
        <f>-SUMIF(Projetos!N:N,A888,Projetos!F:F)</f>
        <v>0</v>
      </c>
      <c r="X888" s="18">
        <f t="shared" si="107"/>
        <v>0</v>
      </c>
      <c r="Y888" s="26">
        <f ca="1">(U888*((Indicadores_Economicos!D$2+1)^(1/12)-1))</f>
        <v>280126.29974745447</v>
      </c>
      <c r="Z888" s="18">
        <f t="shared" ca="1" si="111"/>
        <v>85847800.69789356</v>
      </c>
      <c r="AA888" s="18">
        <f ca="1">Auxiliar_Projetos!E888</f>
        <v>7.0765868285870237E-9</v>
      </c>
      <c r="AB888" s="18">
        <f ca="1">Auxiliar_Projetos!K888</f>
        <v>5.4435283296823216E-9</v>
      </c>
      <c r="AC888" s="18">
        <f ca="1">IF(Z888-AA888-AB888&gt;Investimentos!$C$14,Investimentos!$C$14,IF(Z888-AA888-AB888&lt;Investimentos!$C$14,Z888-AA888-AB888,0))</f>
        <v>300000</v>
      </c>
      <c r="AD888" s="18">
        <f t="shared" ca="1" si="112"/>
        <v>85547800.69789356</v>
      </c>
      <c r="AE888" s="18"/>
    </row>
    <row r="889" spans="1:31" x14ac:dyDescent="0.2">
      <c r="A889" s="4">
        <v>72655</v>
      </c>
      <c r="B889" s="5" t="str">
        <f t="shared" si="108"/>
        <v>dezembro</v>
      </c>
      <c r="C889" s="5" t="str">
        <f t="shared" si="114"/>
        <v>2098</v>
      </c>
      <c r="D889" s="5">
        <f>SUMIFS(Despesas!$F:$F,Despesas!$J:$J,"&lt;="&amp;$A889,Despesas!$L:$L,"&gt;="&amp;$A889,Despesas!$C:$C,D$1,Despesas!$M:$M,"Mensal")+SUMIFS(Despesas!$F:$F,Despesas!$J:$J,"&lt;="&amp;$A889,Despesas!$L:$L,"&gt;="&amp;$A889,Despesas!$C:$C,D$1,Despesas!$M:$M,$B889)</f>
        <v>0</v>
      </c>
      <c r="E889" s="18">
        <f>SUMIFS(Despesas!$F:$F,Despesas!$J:$J,"&lt;="&amp;$A889,Despesas!$L:$L,"&gt;="&amp;$A889,Despesas!$C:$C,E$1,Despesas!$M:$M,"Mensal")+SUMIFS(Despesas!$F:$F,Despesas!$J:$J,"&lt;="&amp;$A889,Despesas!$L:$L,"&gt;="&amp;$A889,Despesas!$C:$C,E$1,Despesas!$M:$M,$B889)</f>
        <v>0</v>
      </c>
      <c r="F889" s="5">
        <f>SUMIFS(Despesas!$F:$F,Despesas!$J:$J,"&lt;="&amp;$A889,Despesas!$L:$L,"&gt;="&amp;$A889,Despesas!$C:$C,F$1,Despesas!$M:$M,"Mensal")+SUMIFS(Despesas!$F:$F,Despesas!$J:$J,"&lt;="&amp;$A889,Despesas!$L:$L,"&gt;="&amp;$A889,Despesas!$C:$C,F$1,Despesas!$M:$M,$B889)</f>
        <v>0</v>
      </c>
      <c r="G889" s="5">
        <f>SUMIFS(Despesas!$F:$F,Despesas!$J:$J,"&lt;="&amp;$A889,Despesas!$L:$L,"&gt;="&amp;$A889,Despesas!$C:$C,G$1,Despesas!$M:$M,"Mensal")+SUMIFS(Despesas!$F:$F,Despesas!$J:$J,"&lt;="&amp;$A889,Despesas!$L:$L,"&gt;="&amp;$A889,Despesas!$C:$C,G$1,Despesas!$M:$M,$B889)</f>
        <v>0</v>
      </c>
      <c r="H889" s="18">
        <f>SUMIFS(Despesas!$F:$F,Despesas!$J:$J,"&lt;="&amp;$A889,Despesas!$L:$L,"&gt;="&amp;$A889,Despesas!$C:$C,H$1,Despesas!$M:$M,"Mensal")+SUMIFS(Despesas!$F:$F,Despesas!$J:$J,"&lt;="&amp;$A889,Despesas!$L:$L,"&gt;="&amp;$A889,Despesas!$C:$C,H$1,Despesas!$M:$M,$B889)</f>
        <v>0</v>
      </c>
      <c r="I889" s="18">
        <f>IF(Imóveis!$F$2="PRICE",IF(AND(Dados!$A889&gt;=Imóveis!$Q$2,Dados!$A889&lt;=Imóveis!$T$2),Imóveis!$U$2,0),IF((IF(AND(Dados!$A889&gt;=Imóveis!$Q$2,Dados!$A889&lt;=Imóveis!$T$2),Imóveis!$S$2-(DATEDIF(Imóveis!$Q$2,Dados!$A889,"m")),0))=0,0,((Imóveis!$N$2/Imóveis!$S$2)+((Imóveis!$N$2-((Imóveis!$S$2-(IF(AND(Dados!$A889&gt;=Imóveis!$Q$2,Dados!$A889&lt;=Imóveis!$T$2),Imóveis!$S$2-(DATEDIF(Imóveis!$Q$2,Dados!$A889,"m")),)))*(Imóveis!$N$2/Imóveis!$S$2)))*Imóveis!$P$2))))*IF(AND(Imóveis!$E$2&gt;0,Dados!$A889&gt;Imóveis!$E$2),0,1)</f>
        <v>0</v>
      </c>
      <c r="J889" s="18">
        <f>IF(Imóveis!$F$3="PRICE",IF(AND(Dados!$A889&gt;=Imóveis!$Q$3,Dados!$A889&lt;=Imóveis!$T$3),Imóveis!$U$3,0),IF((IF(AND(Dados!$A889&gt;=Imóveis!$Q$3,Dados!$A889&lt;=Imóveis!$T$3),Imóveis!$S$3-(DATEDIF(Imóveis!$Q$3,Dados!$A889,"m")),0))=0,0,((Imóveis!$N$3/Imóveis!$S$3)+((Imóveis!$N$3-((Imóveis!$S$3-(IF(AND(Dados!$A889&gt;=Imóveis!$Q$3,Dados!$A889&lt;=Imóveis!$T$3),Imóveis!$S$3-(DATEDIF(Imóveis!$Q$3,Dados!$A889,"m")),)))*(Imóveis!$N$3/Imóveis!$S$3)))*Imóveis!$P$3))))*IF(AND(Imóveis!$E$3&gt;0,Dados!$A889&gt;Imóveis!$E$3),0,1)</f>
        <v>0</v>
      </c>
      <c r="K889" s="18">
        <f>IF(Imóveis!$F$4="PRICE",IF(AND(Dados!$A889&gt;=Imóveis!$Q$4,Dados!$A889&lt;=Imóveis!$T$4),Imóveis!$U$4,0),IF((IF(AND(Dados!$A889&gt;=Imóveis!$Q$4,Dados!$A889&lt;=Imóveis!$T$4),Imóveis!$S$4-(DATEDIF(Imóveis!$Q$4,Dados!$A889,"m")),0))=0,0,((Imóveis!$N$4/Imóveis!$S$4)+((Imóveis!$N$4-((Imóveis!$S$4-(IF(AND(Dados!$A889&gt;=Imóveis!$Q$4,Dados!$A889&lt;=Imóveis!$T$4),Imóveis!$S$4-(DATEDIF(Imóveis!$Q$4,Dados!$A889,"m")),)))*(Imóveis!$N$4/Imóveis!$S$4)))*Imóveis!$P$4))))*IF(AND(Imóveis!$E$4&gt;0,Dados!$A889&gt;Imóveis!$E$4),0,1)</f>
        <v>0</v>
      </c>
      <c r="L889" s="18">
        <f>IF(Imóveis!$F$5="PRICE",IF(AND(Dados!$A889&gt;=Imóveis!$Q$5,Dados!$A889&lt;=Imóveis!$T$5),Imóveis!$U$5,0),IF((IF(AND(Dados!$A889&gt;=Imóveis!$Q$5,Dados!$A889&lt;=Imóveis!$T$5),Imóveis!$S$5-(DATEDIF(Imóveis!$Q$5,Dados!$A889,"m")),0))=0,0,((Imóveis!$N$5/Imóveis!$S$5)+((Imóveis!$N$5-((Imóveis!$S$5-(IF(AND(Dados!$A889 &gt;=Imóveis!$Q$5,Dados!$A889&lt;=Imóveis!$T$5),Imóveis!$S$5-(DATEDIF(Imóveis!$Q$5,Dados!$A889,"m")),)))*(Imóveis!$N$5/Imóveis!$S$5)))*Imóveis!$P$5))))*IF(AND(Imóveis!$E$5&gt;0,Dados!$A889&gt;Imóveis!$E$5),0,1)*Imóveis!$I$5</f>
        <v>0</v>
      </c>
      <c r="M889" s="18">
        <f>IF(Imóveis!$F$6="PRICE",IF(AND(Dados!$A889&gt;=Imóveis!$Q$6,Dados!$A889&lt;=Imóveis!$T$6),Imóveis!$U$6,0),IF((IF(AND(Dados!$A889&gt;=Imóveis!$Q$6,Dados!$A889&lt;=Imóveis!$T$6),Imóveis!$S$6-(DATEDIF(Imóveis!$Q$6,Dados!$A889,"m")),0))=0,0,((Imóveis!$N$6/Imóveis!$S$6)+((Imóveis!$N$6-((Imóveis!$S$6-(IF(AND(Dados!$A889&gt;=Imóveis!$Q$6,Dados!$A889&lt;=Imóveis!$T$6),Imóveis!$S$6-(DATEDIF(Imóveis!$Q$6,Dados!$A889,"m")),)))*(Imóveis!$N$6/Imóveis!$S$6)))*Imóveis!$P$6))))*IF(AND(Imóveis!$E$6&gt;0,Dados!$A889&gt;Imóveis!$E$6),0,1)*Imóveis!$I$6</f>
        <v>0</v>
      </c>
      <c r="N889" s="18">
        <f t="shared" si="109"/>
        <v>0</v>
      </c>
      <c r="O889" s="18">
        <f>SUMIFS(Receitas!$F:$F,Receitas!$J:$J,"&lt;="&amp;$A889,Receitas!$L:$L,"&gt;="&amp;$A889,Receitas!$C:$C,O$1,Receitas!$M:$M,"Mensal")+SUMIFS(Receitas!$F:$F,Receitas!$J:$J,"&lt;="&amp;$A889,Receitas!$L:$L,"&gt;="&amp;$A889,Receitas!$C:$C,O$1,Receitas!$M:$M,$B889)</f>
        <v>0</v>
      </c>
      <c r="P889" s="18">
        <f>SUMIFS(Receitas!$F:$F,Receitas!$J:$J,"&lt;="&amp;$A889,Receitas!$L:$L,"&gt;="&amp;$A889,Receitas!$C:$C,P$1,Receitas!$M:$M,"Mensal")+SUMIFS(Receitas!$F:$F,Receitas!$J:$J,"&lt;="&amp;$A889,Receitas!$L:$L,"&gt;="&amp;$A889,Receitas!$C:$C,P$1,Receitas!$M:$M,$B889)</f>
        <v>0</v>
      </c>
      <c r="Q889" s="18">
        <f>SUMIFS(Receitas!$F:$F,Receitas!$J:$J,"&lt;="&amp;$A889,Receitas!$L:$L,"&gt;="&amp;$A889,Receitas!$C:$C,Q$1,Receitas!$M:$M,"Mensal")+SUMIFS(Receitas!$F:$F,Receitas!$J:$J,"&lt;="&amp;$A889,Receitas!$L:$L,"&gt;="&amp;$A889,Receitas!$C:$C,Q$1,Receitas!$M:$M,$B889)</f>
        <v>0</v>
      </c>
      <c r="R889" s="18" cm="1">
        <f t="array" ref="R889">(IF(AND(Membros!$F$2="Sim",A889&lt;=MAX(Membros!$E$2:$E$5)),Membros!K$2,IF(AND(A889&gt;=Membros!J$2,A889&lt;=MAX(Membros!$E$2:$E$5)),Membros!K$2,0))+IF(AND(Membros!$F$3="Sim",A889&lt;=MAX(Membros!$E$2:$E$5)),Membros!K$3,IF(AND(A889&gt;=Membros!J$3,A889&lt;=MAX(Membros!$E$2:$E$5)),Membros!K$3,0)))*IF(AND(COUNTIFS(Tabela3[Tipo],"Provedor",Tabela3[Simulação Seguro],"Sim")=2,A889&gt;=MAX(IF(Tabela3[Tipo]="Dependente",Tabela3[Expectativa de Vida (Data)]))),0,1)</f>
        <v>0</v>
      </c>
      <c r="S889" s="18">
        <f t="shared" si="110"/>
        <v>0</v>
      </c>
      <c r="U889" s="18">
        <f t="shared" ca="1" si="113"/>
        <v>85847800.69789356</v>
      </c>
      <c r="V889" s="18">
        <f>SUMIF(Imóveis!E:E,Dados!A:A,Imóveis!Z:Z)-SUMIF(Imóveis!E:E,Dados!A:A,Imóveis!Y:Y)</f>
        <v>0</v>
      </c>
      <c r="W889" s="18">
        <f>-SUMIF(Projetos!N:N,A889,Projetos!F:F)</f>
        <v>0</v>
      </c>
      <c r="X889" s="18">
        <f t="shared" si="107"/>
        <v>0</v>
      </c>
      <c r="Y889" s="26">
        <f ca="1">(U889*((Indicadores_Economicos!D$2+1)^(1/12)-1))</f>
        <v>281043.36035897786</v>
      </c>
      <c r="Z889" s="18">
        <f t="shared" ca="1" si="111"/>
        <v>86128844.058252543</v>
      </c>
      <c r="AA889" s="18">
        <f ca="1">Auxiliar_Projetos!E889</f>
        <v>7.0997537324099538E-9</v>
      </c>
      <c r="AB889" s="18">
        <f ca="1">Auxiliar_Projetos!K889</f>
        <v>5.4613490249307295E-9</v>
      </c>
      <c r="AC889" s="18">
        <f ca="1">IF(Z889-AA889-AB889&gt;Investimentos!$C$14,Investimentos!$C$14,IF(Z889-AA889-AB889&lt;Investimentos!$C$14,Z889-AA889-AB889,0))</f>
        <v>300000</v>
      </c>
      <c r="AD889" s="18">
        <f t="shared" ca="1" si="112"/>
        <v>85828844.058252543</v>
      </c>
      <c r="AE889" s="18"/>
    </row>
    <row r="890" spans="1:31" x14ac:dyDescent="0.2">
      <c r="A890" s="4">
        <v>72686</v>
      </c>
      <c r="B890" s="5" t="str">
        <f t="shared" si="108"/>
        <v>janeiro</v>
      </c>
      <c r="C890" s="5" t="str">
        <f t="shared" si="114"/>
        <v>2099</v>
      </c>
      <c r="D890" s="5">
        <f>SUMIFS(Despesas!$F:$F,Despesas!$J:$J,"&lt;="&amp;$A890,Despesas!$L:$L,"&gt;="&amp;$A890,Despesas!$C:$C,D$1,Despesas!$M:$M,"Mensal")+SUMIFS(Despesas!$F:$F,Despesas!$J:$J,"&lt;="&amp;$A890,Despesas!$L:$L,"&gt;="&amp;$A890,Despesas!$C:$C,D$1,Despesas!$M:$M,$B890)</f>
        <v>0</v>
      </c>
      <c r="E890" s="18">
        <f>SUMIFS(Despesas!$F:$F,Despesas!$J:$J,"&lt;="&amp;$A890,Despesas!$L:$L,"&gt;="&amp;$A890,Despesas!$C:$C,E$1,Despesas!$M:$M,"Mensal")+SUMIFS(Despesas!$F:$F,Despesas!$J:$J,"&lt;="&amp;$A890,Despesas!$L:$L,"&gt;="&amp;$A890,Despesas!$C:$C,E$1,Despesas!$M:$M,$B890)</f>
        <v>0</v>
      </c>
      <c r="F890" s="5">
        <f>SUMIFS(Despesas!$F:$F,Despesas!$J:$J,"&lt;="&amp;$A890,Despesas!$L:$L,"&gt;="&amp;$A890,Despesas!$C:$C,F$1,Despesas!$M:$M,"Mensal")+SUMIFS(Despesas!$F:$F,Despesas!$J:$J,"&lt;="&amp;$A890,Despesas!$L:$L,"&gt;="&amp;$A890,Despesas!$C:$C,F$1,Despesas!$M:$M,$B890)</f>
        <v>0</v>
      </c>
      <c r="G890" s="5">
        <f>SUMIFS(Despesas!$F:$F,Despesas!$J:$J,"&lt;="&amp;$A890,Despesas!$L:$L,"&gt;="&amp;$A890,Despesas!$C:$C,G$1,Despesas!$M:$M,"Mensal")+SUMIFS(Despesas!$F:$F,Despesas!$J:$J,"&lt;="&amp;$A890,Despesas!$L:$L,"&gt;="&amp;$A890,Despesas!$C:$C,G$1,Despesas!$M:$M,$B890)</f>
        <v>0</v>
      </c>
      <c r="H890" s="18">
        <f>SUMIFS(Despesas!$F:$F,Despesas!$J:$J,"&lt;="&amp;$A890,Despesas!$L:$L,"&gt;="&amp;$A890,Despesas!$C:$C,H$1,Despesas!$M:$M,"Mensal")+SUMIFS(Despesas!$F:$F,Despesas!$J:$J,"&lt;="&amp;$A890,Despesas!$L:$L,"&gt;="&amp;$A890,Despesas!$C:$C,H$1,Despesas!$M:$M,$B890)</f>
        <v>0</v>
      </c>
      <c r="I890" s="18">
        <f>IF(Imóveis!$F$2="PRICE",IF(AND(Dados!$A890&gt;=Imóveis!$Q$2,Dados!$A890&lt;=Imóveis!$T$2),Imóveis!$U$2,0),IF((IF(AND(Dados!$A890&gt;=Imóveis!$Q$2,Dados!$A890&lt;=Imóveis!$T$2),Imóveis!$S$2-(DATEDIF(Imóveis!$Q$2,Dados!$A890,"m")),0))=0,0,((Imóveis!$N$2/Imóveis!$S$2)+((Imóveis!$N$2-((Imóveis!$S$2-(IF(AND(Dados!$A890&gt;=Imóveis!$Q$2,Dados!$A890&lt;=Imóveis!$T$2),Imóveis!$S$2-(DATEDIF(Imóveis!$Q$2,Dados!$A890,"m")),)))*(Imóveis!$N$2/Imóveis!$S$2)))*Imóveis!$P$2))))*IF(AND(Imóveis!$E$2&gt;0,Dados!$A890&gt;Imóveis!$E$2),0,1)</f>
        <v>0</v>
      </c>
      <c r="J890" s="18">
        <f>IF(Imóveis!$F$3="PRICE",IF(AND(Dados!$A890&gt;=Imóveis!$Q$3,Dados!$A890&lt;=Imóveis!$T$3),Imóveis!$U$3,0),IF((IF(AND(Dados!$A890&gt;=Imóveis!$Q$3,Dados!$A890&lt;=Imóveis!$T$3),Imóveis!$S$3-(DATEDIF(Imóveis!$Q$3,Dados!$A890,"m")),0))=0,0,((Imóveis!$N$3/Imóveis!$S$3)+((Imóveis!$N$3-((Imóveis!$S$3-(IF(AND(Dados!$A890&gt;=Imóveis!$Q$3,Dados!$A890&lt;=Imóveis!$T$3),Imóveis!$S$3-(DATEDIF(Imóveis!$Q$3,Dados!$A890,"m")),)))*(Imóveis!$N$3/Imóveis!$S$3)))*Imóveis!$P$3))))*IF(AND(Imóveis!$E$3&gt;0,Dados!$A890&gt;Imóveis!$E$3),0,1)</f>
        <v>0</v>
      </c>
      <c r="K890" s="18">
        <f>IF(Imóveis!$F$4="PRICE",IF(AND(Dados!$A890&gt;=Imóveis!$Q$4,Dados!$A890&lt;=Imóveis!$T$4),Imóveis!$U$4,0),IF((IF(AND(Dados!$A890&gt;=Imóveis!$Q$4,Dados!$A890&lt;=Imóveis!$T$4),Imóveis!$S$4-(DATEDIF(Imóveis!$Q$4,Dados!$A890,"m")),0))=0,0,((Imóveis!$N$4/Imóveis!$S$4)+((Imóveis!$N$4-((Imóveis!$S$4-(IF(AND(Dados!$A890&gt;=Imóveis!$Q$4,Dados!$A890&lt;=Imóveis!$T$4),Imóveis!$S$4-(DATEDIF(Imóveis!$Q$4,Dados!$A890,"m")),)))*(Imóveis!$N$4/Imóveis!$S$4)))*Imóveis!$P$4))))*IF(AND(Imóveis!$E$4&gt;0,Dados!$A890&gt;Imóveis!$E$4),0,1)</f>
        <v>0</v>
      </c>
      <c r="L890" s="18">
        <f>IF(Imóveis!$F$5="PRICE",IF(AND(Dados!$A890&gt;=Imóveis!$Q$5,Dados!$A890&lt;=Imóveis!$T$5),Imóveis!$U$5,0),IF((IF(AND(Dados!$A890&gt;=Imóveis!$Q$5,Dados!$A890&lt;=Imóveis!$T$5),Imóveis!$S$5-(DATEDIF(Imóveis!$Q$5,Dados!$A890,"m")),0))=0,0,((Imóveis!$N$5/Imóveis!$S$5)+((Imóveis!$N$5-((Imóveis!$S$5-(IF(AND(Dados!$A890 &gt;=Imóveis!$Q$5,Dados!$A890&lt;=Imóveis!$T$5),Imóveis!$S$5-(DATEDIF(Imóveis!$Q$5,Dados!$A890,"m")),)))*(Imóveis!$N$5/Imóveis!$S$5)))*Imóveis!$P$5))))*IF(AND(Imóveis!$E$5&gt;0,Dados!$A890&gt;Imóveis!$E$5),0,1)*Imóveis!$I$5</f>
        <v>0</v>
      </c>
      <c r="M890" s="18">
        <f>IF(Imóveis!$F$6="PRICE",IF(AND(Dados!$A890&gt;=Imóveis!$Q$6,Dados!$A890&lt;=Imóveis!$T$6),Imóveis!$U$6,0),IF((IF(AND(Dados!$A890&gt;=Imóveis!$Q$6,Dados!$A890&lt;=Imóveis!$T$6),Imóveis!$S$6-(DATEDIF(Imóveis!$Q$6,Dados!$A890,"m")),0))=0,0,((Imóveis!$N$6/Imóveis!$S$6)+((Imóveis!$N$6-((Imóveis!$S$6-(IF(AND(Dados!$A890&gt;=Imóveis!$Q$6,Dados!$A890&lt;=Imóveis!$T$6),Imóveis!$S$6-(DATEDIF(Imóveis!$Q$6,Dados!$A890,"m")),)))*(Imóveis!$N$6/Imóveis!$S$6)))*Imóveis!$P$6))))*IF(AND(Imóveis!$E$6&gt;0,Dados!$A890&gt;Imóveis!$E$6),0,1)*Imóveis!$I$6</f>
        <v>0</v>
      </c>
      <c r="N890" s="18">
        <f t="shared" si="109"/>
        <v>0</v>
      </c>
      <c r="O890" s="18">
        <f>SUMIFS(Receitas!$F:$F,Receitas!$J:$J,"&lt;="&amp;$A890,Receitas!$L:$L,"&gt;="&amp;$A890,Receitas!$C:$C,O$1,Receitas!$M:$M,"Mensal")+SUMIFS(Receitas!$F:$F,Receitas!$J:$J,"&lt;="&amp;$A890,Receitas!$L:$L,"&gt;="&amp;$A890,Receitas!$C:$C,O$1,Receitas!$M:$M,$B890)</f>
        <v>0</v>
      </c>
      <c r="P890" s="18">
        <f>SUMIFS(Receitas!$F:$F,Receitas!$J:$J,"&lt;="&amp;$A890,Receitas!$L:$L,"&gt;="&amp;$A890,Receitas!$C:$C,P$1,Receitas!$M:$M,"Mensal")+SUMIFS(Receitas!$F:$F,Receitas!$J:$J,"&lt;="&amp;$A890,Receitas!$L:$L,"&gt;="&amp;$A890,Receitas!$C:$C,P$1,Receitas!$M:$M,$B890)</f>
        <v>0</v>
      </c>
      <c r="Q890" s="18">
        <f>SUMIFS(Receitas!$F:$F,Receitas!$J:$J,"&lt;="&amp;$A890,Receitas!$L:$L,"&gt;="&amp;$A890,Receitas!$C:$C,Q$1,Receitas!$M:$M,"Mensal")+SUMIFS(Receitas!$F:$F,Receitas!$J:$J,"&lt;="&amp;$A890,Receitas!$L:$L,"&gt;="&amp;$A890,Receitas!$C:$C,Q$1,Receitas!$M:$M,$B890)</f>
        <v>0</v>
      </c>
      <c r="R890" s="18" cm="1">
        <f t="array" ref="R890">(IF(AND(Membros!$F$2="Sim",A890&lt;=MAX(Membros!$E$2:$E$5)),Membros!K$2,IF(AND(A890&gt;=Membros!J$2,A890&lt;=MAX(Membros!$E$2:$E$5)),Membros!K$2,0))+IF(AND(Membros!$F$3="Sim",A890&lt;=MAX(Membros!$E$2:$E$5)),Membros!K$3,IF(AND(A890&gt;=Membros!J$3,A890&lt;=MAX(Membros!$E$2:$E$5)),Membros!K$3,0)))*IF(AND(COUNTIFS(Tabela3[Tipo],"Provedor",Tabela3[Simulação Seguro],"Sim")=2,A890&gt;=MAX(IF(Tabela3[Tipo]="Dependente",Tabela3[Expectativa de Vida (Data)]))),0,1)</f>
        <v>0</v>
      </c>
      <c r="S890" s="18">
        <f t="shared" si="110"/>
        <v>0</v>
      </c>
      <c r="U890" s="18">
        <f t="shared" ca="1" si="113"/>
        <v>86128844.058252543</v>
      </c>
      <c r="V890" s="18">
        <f>SUMIF(Imóveis!E:E,Dados!A:A,Imóveis!Z:Z)-SUMIF(Imóveis!E:E,Dados!A:A,Imóveis!Y:Y)</f>
        <v>0</v>
      </c>
      <c r="W890" s="18">
        <f>-SUMIF(Projetos!N:N,A890,Projetos!F:F)</f>
        <v>0</v>
      </c>
      <c r="X890" s="18">
        <f t="shared" si="107"/>
        <v>0</v>
      </c>
      <c r="Y890" s="26">
        <f ca="1">(U890*((Indicadores_Economicos!D$2+1)^(1/12)-1))</f>
        <v>281963.42318830796</v>
      </c>
      <c r="Z890" s="18">
        <f t="shared" ca="1" si="111"/>
        <v>86410807.481440857</v>
      </c>
      <c r="AA890" s="18">
        <f ca="1">Auxiliar_Projetos!E890</f>
        <v>7.1229964786475592E-9</v>
      </c>
      <c r="AB890" s="18">
        <f ca="1">Auxiliar_Projetos!K890</f>
        <v>5.4792280604981186E-9</v>
      </c>
      <c r="AC890" s="18">
        <f ca="1">IF(Z890-AA890-AB890&gt;Investimentos!$C$14,Investimentos!$C$14,IF(Z890-AA890-AB890&lt;Investimentos!$C$14,Z890-AA890-AB890,0))</f>
        <v>300000</v>
      </c>
      <c r="AD890" s="18">
        <f t="shared" ca="1" si="112"/>
        <v>86110807.481440857</v>
      </c>
      <c r="AE890" s="18"/>
    </row>
    <row r="891" spans="1:31" x14ac:dyDescent="0.2">
      <c r="A891" s="4">
        <v>72717</v>
      </c>
      <c r="B891" s="5" t="str">
        <f t="shared" si="108"/>
        <v>fevereiro</v>
      </c>
      <c r="C891" s="5" t="str">
        <f t="shared" si="114"/>
        <v>2099</v>
      </c>
      <c r="D891" s="5">
        <f>SUMIFS(Despesas!$F:$F,Despesas!$J:$J,"&lt;="&amp;$A891,Despesas!$L:$L,"&gt;="&amp;$A891,Despesas!$C:$C,D$1,Despesas!$M:$M,"Mensal")+SUMIFS(Despesas!$F:$F,Despesas!$J:$J,"&lt;="&amp;$A891,Despesas!$L:$L,"&gt;="&amp;$A891,Despesas!$C:$C,D$1,Despesas!$M:$M,$B891)</f>
        <v>0</v>
      </c>
      <c r="E891" s="18">
        <f>SUMIFS(Despesas!$F:$F,Despesas!$J:$J,"&lt;="&amp;$A891,Despesas!$L:$L,"&gt;="&amp;$A891,Despesas!$C:$C,E$1,Despesas!$M:$M,"Mensal")+SUMIFS(Despesas!$F:$F,Despesas!$J:$J,"&lt;="&amp;$A891,Despesas!$L:$L,"&gt;="&amp;$A891,Despesas!$C:$C,E$1,Despesas!$M:$M,$B891)</f>
        <v>0</v>
      </c>
      <c r="F891" s="5">
        <f>SUMIFS(Despesas!$F:$F,Despesas!$J:$J,"&lt;="&amp;$A891,Despesas!$L:$L,"&gt;="&amp;$A891,Despesas!$C:$C,F$1,Despesas!$M:$M,"Mensal")+SUMIFS(Despesas!$F:$F,Despesas!$J:$J,"&lt;="&amp;$A891,Despesas!$L:$L,"&gt;="&amp;$A891,Despesas!$C:$C,F$1,Despesas!$M:$M,$B891)</f>
        <v>0</v>
      </c>
      <c r="G891" s="5">
        <f>SUMIFS(Despesas!$F:$F,Despesas!$J:$J,"&lt;="&amp;$A891,Despesas!$L:$L,"&gt;="&amp;$A891,Despesas!$C:$C,G$1,Despesas!$M:$M,"Mensal")+SUMIFS(Despesas!$F:$F,Despesas!$J:$J,"&lt;="&amp;$A891,Despesas!$L:$L,"&gt;="&amp;$A891,Despesas!$C:$C,G$1,Despesas!$M:$M,$B891)</f>
        <v>0</v>
      </c>
      <c r="H891" s="18">
        <f>SUMIFS(Despesas!$F:$F,Despesas!$J:$J,"&lt;="&amp;$A891,Despesas!$L:$L,"&gt;="&amp;$A891,Despesas!$C:$C,H$1,Despesas!$M:$M,"Mensal")+SUMIFS(Despesas!$F:$F,Despesas!$J:$J,"&lt;="&amp;$A891,Despesas!$L:$L,"&gt;="&amp;$A891,Despesas!$C:$C,H$1,Despesas!$M:$M,$B891)</f>
        <v>0</v>
      </c>
      <c r="I891" s="18">
        <f>IF(Imóveis!$F$2="PRICE",IF(AND(Dados!$A891&gt;=Imóveis!$Q$2,Dados!$A891&lt;=Imóveis!$T$2),Imóveis!$U$2,0),IF((IF(AND(Dados!$A891&gt;=Imóveis!$Q$2,Dados!$A891&lt;=Imóveis!$T$2),Imóveis!$S$2-(DATEDIF(Imóveis!$Q$2,Dados!$A891,"m")),0))=0,0,((Imóveis!$N$2/Imóveis!$S$2)+((Imóveis!$N$2-((Imóveis!$S$2-(IF(AND(Dados!$A891&gt;=Imóveis!$Q$2,Dados!$A891&lt;=Imóveis!$T$2),Imóveis!$S$2-(DATEDIF(Imóveis!$Q$2,Dados!$A891,"m")),)))*(Imóveis!$N$2/Imóveis!$S$2)))*Imóveis!$P$2))))*IF(AND(Imóveis!$E$2&gt;0,Dados!$A891&gt;Imóveis!$E$2),0,1)</f>
        <v>0</v>
      </c>
      <c r="J891" s="18">
        <f>IF(Imóveis!$F$3="PRICE",IF(AND(Dados!$A891&gt;=Imóveis!$Q$3,Dados!$A891&lt;=Imóveis!$T$3),Imóveis!$U$3,0),IF((IF(AND(Dados!$A891&gt;=Imóveis!$Q$3,Dados!$A891&lt;=Imóveis!$T$3),Imóveis!$S$3-(DATEDIF(Imóveis!$Q$3,Dados!$A891,"m")),0))=0,0,((Imóveis!$N$3/Imóveis!$S$3)+((Imóveis!$N$3-((Imóveis!$S$3-(IF(AND(Dados!$A891&gt;=Imóveis!$Q$3,Dados!$A891&lt;=Imóveis!$T$3),Imóveis!$S$3-(DATEDIF(Imóveis!$Q$3,Dados!$A891,"m")),)))*(Imóveis!$N$3/Imóveis!$S$3)))*Imóveis!$P$3))))*IF(AND(Imóveis!$E$3&gt;0,Dados!$A891&gt;Imóveis!$E$3),0,1)</f>
        <v>0</v>
      </c>
      <c r="K891" s="18">
        <f>IF(Imóveis!$F$4="PRICE",IF(AND(Dados!$A891&gt;=Imóveis!$Q$4,Dados!$A891&lt;=Imóveis!$T$4),Imóveis!$U$4,0),IF((IF(AND(Dados!$A891&gt;=Imóveis!$Q$4,Dados!$A891&lt;=Imóveis!$T$4),Imóveis!$S$4-(DATEDIF(Imóveis!$Q$4,Dados!$A891,"m")),0))=0,0,((Imóveis!$N$4/Imóveis!$S$4)+((Imóveis!$N$4-((Imóveis!$S$4-(IF(AND(Dados!$A891&gt;=Imóveis!$Q$4,Dados!$A891&lt;=Imóveis!$T$4),Imóveis!$S$4-(DATEDIF(Imóveis!$Q$4,Dados!$A891,"m")),)))*(Imóveis!$N$4/Imóveis!$S$4)))*Imóveis!$P$4))))*IF(AND(Imóveis!$E$4&gt;0,Dados!$A891&gt;Imóveis!$E$4),0,1)</f>
        <v>0</v>
      </c>
      <c r="L891" s="18">
        <f>IF(Imóveis!$F$5="PRICE",IF(AND(Dados!$A891&gt;=Imóveis!$Q$5,Dados!$A891&lt;=Imóveis!$T$5),Imóveis!$U$5,0),IF((IF(AND(Dados!$A891&gt;=Imóveis!$Q$5,Dados!$A891&lt;=Imóveis!$T$5),Imóveis!$S$5-(DATEDIF(Imóveis!$Q$5,Dados!$A891,"m")),0))=0,0,((Imóveis!$N$5/Imóveis!$S$5)+((Imóveis!$N$5-((Imóveis!$S$5-(IF(AND(Dados!$A891 &gt;=Imóveis!$Q$5,Dados!$A891&lt;=Imóveis!$T$5),Imóveis!$S$5-(DATEDIF(Imóveis!$Q$5,Dados!$A891,"m")),)))*(Imóveis!$N$5/Imóveis!$S$5)))*Imóveis!$P$5))))*IF(AND(Imóveis!$E$5&gt;0,Dados!$A891&gt;Imóveis!$E$5),0,1)*Imóveis!$I$5</f>
        <v>0</v>
      </c>
      <c r="M891" s="18">
        <f>IF(Imóveis!$F$6="PRICE",IF(AND(Dados!$A891&gt;=Imóveis!$Q$6,Dados!$A891&lt;=Imóveis!$T$6),Imóveis!$U$6,0),IF((IF(AND(Dados!$A891&gt;=Imóveis!$Q$6,Dados!$A891&lt;=Imóveis!$T$6),Imóveis!$S$6-(DATEDIF(Imóveis!$Q$6,Dados!$A891,"m")),0))=0,0,((Imóveis!$N$6/Imóveis!$S$6)+((Imóveis!$N$6-((Imóveis!$S$6-(IF(AND(Dados!$A891&gt;=Imóveis!$Q$6,Dados!$A891&lt;=Imóveis!$T$6),Imóveis!$S$6-(DATEDIF(Imóveis!$Q$6,Dados!$A891,"m")),)))*(Imóveis!$N$6/Imóveis!$S$6)))*Imóveis!$P$6))))*IF(AND(Imóveis!$E$6&gt;0,Dados!$A891&gt;Imóveis!$E$6),0,1)*Imóveis!$I$6</f>
        <v>0</v>
      </c>
      <c r="N891" s="18">
        <f t="shared" si="109"/>
        <v>0</v>
      </c>
      <c r="O891" s="18">
        <f>SUMIFS(Receitas!$F:$F,Receitas!$J:$J,"&lt;="&amp;$A891,Receitas!$L:$L,"&gt;="&amp;$A891,Receitas!$C:$C,O$1,Receitas!$M:$M,"Mensal")+SUMIFS(Receitas!$F:$F,Receitas!$J:$J,"&lt;="&amp;$A891,Receitas!$L:$L,"&gt;="&amp;$A891,Receitas!$C:$C,O$1,Receitas!$M:$M,$B891)</f>
        <v>0</v>
      </c>
      <c r="P891" s="18">
        <f>SUMIFS(Receitas!$F:$F,Receitas!$J:$J,"&lt;="&amp;$A891,Receitas!$L:$L,"&gt;="&amp;$A891,Receitas!$C:$C,P$1,Receitas!$M:$M,"Mensal")+SUMIFS(Receitas!$F:$F,Receitas!$J:$J,"&lt;="&amp;$A891,Receitas!$L:$L,"&gt;="&amp;$A891,Receitas!$C:$C,P$1,Receitas!$M:$M,$B891)</f>
        <v>0</v>
      </c>
      <c r="Q891" s="18">
        <f>SUMIFS(Receitas!$F:$F,Receitas!$J:$J,"&lt;="&amp;$A891,Receitas!$L:$L,"&gt;="&amp;$A891,Receitas!$C:$C,Q$1,Receitas!$M:$M,"Mensal")+SUMIFS(Receitas!$F:$F,Receitas!$J:$J,"&lt;="&amp;$A891,Receitas!$L:$L,"&gt;="&amp;$A891,Receitas!$C:$C,Q$1,Receitas!$M:$M,$B891)</f>
        <v>0</v>
      </c>
      <c r="R891" s="18" cm="1">
        <f t="array" ref="R891">(IF(AND(Membros!$F$2="Sim",A891&lt;=MAX(Membros!$E$2:$E$5)),Membros!K$2,IF(AND(A891&gt;=Membros!J$2,A891&lt;=MAX(Membros!$E$2:$E$5)),Membros!K$2,0))+IF(AND(Membros!$F$3="Sim",A891&lt;=MAX(Membros!$E$2:$E$5)),Membros!K$3,IF(AND(A891&gt;=Membros!J$3,A891&lt;=MAX(Membros!$E$2:$E$5)),Membros!K$3,0)))*IF(AND(COUNTIFS(Tabela3[Tipo],"Provedor",Tabela3[Simulação Seguro],"Sim")=2,A891&gt;=MAX(IF(Tabela3[Tipo]="Dependente",Tabela3[Expectativa de Vida (Data)]))),0,1)</f>
        <v>0</v>
      </c>
      <c r="S891" s="18">
        <f t="shared" si="110"/>
        <v>0</v>
      </c>
      <c r="U891" s="18">
        <f t="shared" ca="1" si="113"/>
        <v>86410807.481440857</v>
      </c>
      <c r="V891" s="18">
        <f>SUMIF(Imóveis!E:E,Dados!A:A,Imóveis!Z:Z)-SUMIF(Imóveis!E:E,Dados!A:A,Imóveis!Y:Y)</f>
        <v>0</v>
      </c>
      <c r="W891" s="18">
        <f>-SUMIF(Projetos!N:N,A891,Projetos!F:F)</f>
        <v>0</v>
      </c>
      <c r="X891" s="18">
        <f t="shared" si="107"/>
        <v>0</v>
      </c>
      <c r="Y891" s="26">
        <f ca="1">(U891*((Indicadores_Economicos!D$2+1)^(1/12)-1))</f>
        <v>282886.49806392455</v>
      </c>
      <c r="Z891" s="18">
        <f t="shared" ca="1" si="111"/>
        <v>86693693.979504779</v>
      </c>
      <c r="AA891" s="18">
        <f ca="1">Auxiliar_Projetos!E891</f>
        <v>7.1463153155881702E-9</v>
      </c>
      <c r="AB891" s="18">
        <f ca="1">Auxiliar_Projetos!K891</f>
        <v>5.497165627375512E-9</v>
      </c>
      <c r="AC891" s="18">
        <f ca="1">IF(Z891-AA891-AB891&gt;Investimentos!$C$14,Investimentos!$C$14,IF(Z891-AA891-AB891&lt;Investimentos!$C$14,Z891-AA891-AB891,0))</f>
        <v>300000</v>
      </c>
      <c r="AD891" s="18">
        <f t="shared" ca="1" si="112"/>
        <v>86393693.979504779</v>
      </c>
      <c r="AE891" s="18"/>
    </row>
    <row r="892" spans="1:31" x14ac:dyDescent="0.2">
      <c r="A892" s="4">
        <v>72745</v>
      </c>
      <c r="B892" s="5" t="str">
        <f t="shared" si="108"/>
        <v>março</v>
      </c>
      <c r="C892" s="5" t="str">
        <f t="shared" si="114"/>
        <v>2099</v>
      </c>
      <c r="D892" s="5">
        <f>SUMIFS(Despesas!$F:$F,Despesas!$J:$J,"&lt;="&amp;$A892,Despesas!$L:$L,"&gt;="&amp;$A892,Despesas!$C:$C,D$1,Despesas!$M:$M,"Mensal")+SUMIFS(Despesas!$F:$F,Despesas!$J:$J,"&lt;="&amp;$A892,Despesas!$L:$L,"&gt;="&amp;$A892,Despesas!$C:$C,D$1,Despesas!$M:$M,$B892)</f>
        <v>0</v>
      </c>
      <c r="E892" s="18">
        <f>SUMIFS(Despesas!$F:$F,Despesas!$J:$J,"&lt;="&amp;$A892,Despesas!$L:$L,"&gt;="&amp;$A892,Despesas!$C:$C,E$1,Despesas!$M:$M,"Mensal")+SUMIFS(Despesas!$F:$F,Despesas!$J:$J,"&lt;="&amp;$A892,Despesas!$L:$L,"&gt;="&amp;$A892,Despesas!$C:$C,E$1,Despesas!$M:$M,$B892)</f>
        <v>0</v>
      </c>
      <c r="F892" s="5">
        <f>SUMIFS(Despesas!$F:$F,Despesas!$J:$J,"&lt;="&amp;$A892,Despesas!$L:$L,"&gt;="&amp;$A892,Despesas!$C:$C,F$1,Despesas!$M:$M,"Mensal")+SUMIFS(Despesas!$F:$F,Despesas!$J:$J,"&lt;="&amp;$A892,Despesas!$L:$L,"&gt;="&amp;$A892,Despesas!$C:$C,F$1,Despesas!$M:$M,$B892)</f>
        <v>0</v>
      </c>
      <c r="G892" s="5">
        <f>SUMIFS(Despesas!$F:$F,Despesas!$J:$J,"&lt;="&amp;$A892,Despesas!$L:$L,"&gt;="&amp;$A892,Despesas!$C:$C,G$1,Despesas!$M:$M,"Mensal")+SUMIFS(Despesas!$F:$F,Despesas!$J:$J,"&lt;="&amp;$A892,Despesas!$L:$L,"&gt;="&amp;$A892,Despesas!$C:$C,G$1,Despesas!$M:$M,$B892)</f>
        <v>0</v>
      </c>
      <c r="H892" s="18">
        <f>SUMIFS(Despesas!$F:$F,Despesas!$J:$J,"&lt;="&amp;$A892,Despesas!$L:$L,"&gt;="&amp;$A892,Despesas!$C:$C,H$1,Despesas!$M:$M,"Mensal")+SUMIFS(Despesas!$F:$F,Despesas!$J:$J,"&lt;="&amp;$A892,Despesas!$L:$L,"&gt;="&amp;$A892,Despesas!$C:$C,H$1,Despesas!$M:$M,$B892)</f>
        <v>0</v>
      </c>
      <c r="I892" s="18">
        <f>IF(Imóveis!$F$2="PRICE",IF(AND(Dados!$A892&gt;=Imóveis!$Q$2,Dados!$A892&lt;=Imóveis!$T$2),Imóveis!$U$2,0),IF((IF(AND(Dados!$A892&gt;=Imóveis!$Q$2,Dados!$A892&lt;=Imóveis!$T$2),Imóveis!$S$2-(DATEDIF(Imóveis!$Q$2,Dados!$A892,"m")),0))=0,0,((Imóveis!$N$2/Imóveis!$S$2)+((Imóveis!$N$2-((Imóveis!$S$2-(IF(AND(Dados!$A892&gt;=Imóveis!$Q$2,Dados!$A892&lt;=Imóveis!$T$2),Imóveis!$S$2-(DATEDIF(Imóveis!$Q$2,Dados!$A892,"m")),)))*(Imóveis!$N$2/Imóveis!$S$2)))*Imóveis!$P$2))))*IF(AND(Imóveis!$E$2&gt;0,Dados!$A892&gt;Imóveis!$E$2),0,1)</f>
        <v>0</v>
      </c>
      <c r="J892" s="18">
        <f>IF(Imóveis!$F$3="PRICE",IF(AND(Dados!$A892&gt;=Imóveis!$Q$3,Dados!$A892&lt;=Imóveis!$T$3),Imóveis!$U$3,0),IF((IF(AND(Dados!$A892&gt;=Imóveis!$Q$3,Dados!$A892&lt;=Imóveis!$T$3),Imóveis!$S$3-(DATEDIF(Imóveis!$Q$3,Dados!$A892,"m")),0))=0,0,((Imóveis!$N$3/Imóveis!$S$3)+((Imóveis!$N$3-((Imóveis!$S$3-(IF(AND(Dados!$A892&gt;=Imóveis!$Q$3,Dados!$A892&lt;=Imóveis!$T$3),Imóveis!$S$3-(DATEDIF(Imóveis!$Q$3,Dados!$A892,"m")),)))*(Imóveis!$N$3/Imóveis!$S$3)))*Imóveis!$P$3))))*IF(AND(Imóveis!$E$3&gt;0,Dados!$A892&gt;Imóveis!$E$3),0,1)</f>
        <v>0</v>
      </c>
      <c r="K892" s="18">
        <f>IF(Imóveis!$F$4="PRICE",IF(AND(Dados!$A892&gt;=Imóveis!$Q$4,Dados!$A892&lt;=Imóveis!$T$4),Imóveis!$U$4,0),IF((IF(AND(Dados!$A892&gt;=Imóveis!$Q$4,Dados!$A892&lt;=Imóveis!$T$4),Imóveis!$S$4-(DATEDIF(Imóveis!$Q$4,Dados!$A892,"m")),0))=0,0,((Imóveis!$N$4/Imóveis!$S$4)+((Imóveis!$N$4-((Imóveis!$S$4-(IF(AND(Dados!$A892&gt;=Imóveis!$Q$4,Dados!$A892&lt;=Imóveis!$T$4),Imóveis!$S$4-(DATEDIF(Imóveis!$Q$4,Dados!$A892,"m")),)))*(Imóveis!$N$4/Imóveis!$S$4)))*Imóveis!$P$4))))*IF(AND(Imóveis!$E$4&gt;0,Dados!$A892&gt;Imóveis!$E$4),0,1)</f>
        <v>0</v>
      </c>
      <c r="L892" s="18">
        <f>IF(Imóveis!$F$5="PRICE",IF(AND(Dados!$A892&gt;=Imóveis!$Q$5,Dados!$A892&lt;=Imóveis!$T$5),Imóveis!$U$5,0),IF((IF(AND(Dados!$A892&gt;=Imóveis!$Q$5,Dados!$A892&lt;=Imóveis!$T$5),Imóveis!$S$5-(DATEDIF(Imóveis!$Q$5,Dados!$A892,"m")),0))=0,0,((Imóveis!$N$5/Imóveis!$S$5)+((Imóveis!$N$5-((Imóveis!$S$5-(IF(AND(Dados!$A892 &gt;=Imóveis!$Q$5,Dados!$A892&lt;=Imóveis!$T$5),Imóveis!$S$5-(DATEDIF(Imóveis!$Q$5,Dados!$A892,"m")),)))*(Imóveis!$N$5/Imóveis!$S$5)))*Imóveis!$P$5))))*IF(AND(Imóveis!$E$5&gt;0,Dados!$A892&gt;Imóveis!$E$5),0,1)*Imóveis!$I$5</f>
        <v>0</v>
      </c>
      <c r="M892" s="18">
        <f>IF(Imóveis!$F$6="PRICE",IF(AND(Dados!$A892&gt;=Imóveis!$Q$6,Dados!$A892&lt;=Imóveis!$T$6),Imóveis!$U$6,0),IF((IF(AND(Dados!$A892&gt;=Imóveis!$Q$6,Dados!$A892&lt;=Imóveis!$T$6),Imóveis!$S$6-(DATEDIF(Imóveis!$Q$6,Dados!$A892,"m")),0))=0,0,((Imóveis!$N$6/Imóveis!$S$6)+((Imóveis!$N$6-((Imóveis!$S$6-(IF(AND(Dados!$A892&gt;=Imóveis!$Q$6,Dados!$A892&lt;=Imóveis!$T$6),Imóveis!$S$6-(DATEDIF(Imóveis!$Q$6,Dados!$A892,"m")),)))*(Imóveis!$N$6/Imóveis!$S$6)))*Imóveis!$P$6))))*IF(AND(Imóveis!$E$6&gt;0,Dados!$A892&gt;Imóveis!$E$6),0,1)*Imóveis!$I$6</f>
        <v>0</v>
      </c>
      <c r="N892" s="18">
        <f t="shared" si="109"/>
        <v>0</v>
      </c>
      <c r="O892" s="18">
        <f>SUMIFS(Receitas!$F:$F,Receitas!$J:$J,"&lt;="&amp;$A892,Receitas!$L:$L,"&gt;="&amp;$A892,Receitas!$C:$C,O$1,Receitas!$M:$M,"Mensal")+SUMIFS(Receitas!$F:$F,Receitas!$J:$J,"&lt;="&amp;$A892,Receitas!$L:$L,"&gt;="&amp;$A892,Receitas!$C:$C,O$1,Receitas!$M:$M,$B892)</f>
        <v>0</v>
      </c>
      <c r="P892" s="18">
        <f>SUMIFS(Receitas!$F:$F,Receitas!$J:$J,"&lt;="&amp;$A892,Receitas!$L:$L,"&gt;="&amp;$A892,Receitas!$C:$C,P$1,Receitas!$M:$M,"Mensal")+SUMIFS(Receitas!$F:$F,Receitas!$J:$J,"&lt;="&amp;$A892,Receitas!$L:$L,"&gt;="&amp;$A892,Receitas!$C:$C,P$1,Receitas!$M:$M,$B892)</f>
        <v>0</v>
      </c>
      <c r="Q892" s="18">
        <f>SUMIFS(Receitas!$F:$F,Receitas!$J:$J,"&lt;="&amp;$A892,Receitas!$L:$L,"&gt;="&amp;$A892,Receitas!$C:$C,Q$1,Receitas!$M:$M,"Mensal")+SUMIFS(Receitas!$F:$F,Receitas!$J:$J,"&lt;="&amp;$A892,Receitas!$L:$L,"&gt;="&amp;$A892,Receitas!$C:$C,Q$1,Receitas!$M:$M,$B892)</f>
        <v>0</v>
      </c>
      <c r="R892" s="18" cm="1">
        <f t="array" ref="R892">(IF(AND(Membros!$F$2="Sim",A892&lt;=MAX(Membros!$E$2:$E$5)),Membros!K$2,IF(AND(A892&gt;=Membros!J$2,A892&lt;=MAX(Membros!$E$2:$E$5)),Membros!K$2,0))+IF(AND(Membros!$F$3="Sim",A892&lt;=MAX(Membros!$E$2:$E$5)),Membros!K$3,IF(AND(A892&gt;=Membros!J$3,A892&lt;=MAX(Membros!$E$2:$E$5)),Membros!K$3,0)))*IF(AND(COUNTIFS(Tabela3[Tipo],"Provedor",Tabela3[Simulação Seguro],"Sim")=2,A892&gt;=MAX(IF(Tabela3[Tipo]="Dependente",Tabela3[Expectativa de Vida (Data)]))),0,1)</f>
        <v>0</v>
      </c>
      <c r="S892" s="18">
        <f t="shared" si="110"/>
        <v>0</v>
      </c>
      <c r="U892" s="18">
        <f t="shared" ca="1" si="113"/>
        <v>86693693.979504779</v>
      </c>
      <c r="V892" s="18">
        <f>SUMIF(Imóveis!E:E,Dados!A:A,Imóveis!Z:Z)-SUMIF(Imóveis!E:E,Dados!A:A,Imóveis!Y:Y)</f>
        <v>0</v>
      </c>
      <c r="W892" s="18">
        <f>-SUMIF(Projetos!N:N,A892,Projetos!F:F)</f>
        <v>0</v>
      </c>
      <c r="X892" s="18">
        <f t="shared" si="107"/>
        <v>0</v>
      </c>
      <c r="Y892" s="26">
        <f ca="1">(U892*((Indicadores_Economicos!D$2+1)^(1/12)-1))</f>
        <v>283812.59484648332</v>
      </c>
      <c r="Z892" s="18">
        <f t="shared" ca="1" si="111"/>
        <v>86977506.574351266</v>
      </c>
      <c r="AA892" s="18">
        <f ca="1">Auxiliar_Projetos!E892</f>
        <v>7.1697104923329483E-9</v>
      </c>
      <c r="AB892" s="18">
        <f ca="1">Auxiliar_Projetos!K892</f>
        <v>5.5151619171791876E-9</v>
      </c>
      <c r="AC892" s="18">
        <f ca="1">IF(Z892-AA892-AB892&gt;Investimentos!$C$14,Investimentos!$C$14,IF(Z892-AA892-AB892&lt;Investimentos!$C$14,Z892-AA892-AB892,0))</f>
        <v>300000</v>
      </c>
      <c r="AD892" s="18">
        <f t="shared" ca="1" si="112"/>
        <v>86677506.574351266</v>
      </c>
      <c r="AE892" s="18"/>
    </row>
    <row r="893" spans="1:31" x14ac:dyDescent="0.2">
      <c r="A893" s="4">
        <v>72776</v>
      </c>
      <c r="B893" s="5" t="str">
        <f t="shared" si="108"/>
        <v>abril</v>
      </c>
      <c r="C893" s="5" t="str">
        <f t="shared" si="114"/>
        <v>2099</v>
      </c>
      <c r="D893" s="5">
        <f>SUMIFS(Despesas!$F:$F,Despesas!$J:$J,"&lt;="&amp;$A893,Despesas!$L:$L,"&gt;="&amp;$A893,Despesas!$C:$C,D$1,Despesas!$M:$M,"Mensal")+SUMIFS(Despesas!$F:$F,Despesas!$J:$J,"&lt;="&amp;$A893,Despesas!$L:$L,"&gt;="&amp;$A893,Despesas!$C:$C,D$1,Despesas!$M:$M,$B893)</f>
        <v>0</v>
      </c>
      <c r="E893" s="18">
        <f>SUMIFS(Despesas!$F:$F,Despesas!$J:$J,"&lt;="&amp;$A893,Despesas!$L:$L,"&gt;="&amp;$A893,Despesas!$C:$C,E$1,Despesas!$M:$M,"Mensal")+SUMIFS(Despesas!$F:$F,Despesas!$J:$J,"&lt;="&amp;$A893,Despesas!$L:$L,"&gt;="&amp;$A893,Despesas!$C:$C,E$1,Despesas!$M:$M,$B893)</f>
        <v>0</v>
      </c>
      <c r="F893" s="5">
        <f>SUMIFS(Despesas!$F:$F,Despesas!$J:$J,"&lt;="&amp;$A893,Despesas!$L:$L,"&gt;="&amp;$A893,Despesas!$C:$C,F$1,Despesas!$M:$M,"Mensal")+SUMIFS(Despesas!$F:$F,Despesas!$J:$J,"&lt;="&amp;$A893,Despesas!$L:$L,"&gt;="&amp;$A893,Despesas!$C:$C,F$1,Despesas!$M:$M,$B893)</f>
        <v>0</v>
      </c>
      <c r="G893" s="5">
        <f>SUMIFS(Despesas!$F:$F,Despesas!$J:$J,"&lt;="&amp;$A893,Despesas!$L:$L,"&gt;="&amp;$A893,Despesas!$C:$C,G$1,Despesas!$M:$M,"Mensal")+SUMIFS(Despesas!$F:$F,Despesas!$J:$J,"&lt;="&amp;$A893,Despesas!$L:$L,"&gt;="&amp;$A893,Despesas!$C:$C,G$1,Despesas!$M:$M,$B893)</f>
        <v>0</v>
      </c>
      <c r="H893" s="18">
        <f>SUMIFS(Despesas!$F:$F,Despesas!$J:$J,"&lt;="&amp;$A893,Despesas!$L:$L,"&gt;="&amp;$A893,Despesas!$C:$C,H$1,Despesas!$M:$M,"Mensal")+SUMIFS(Despesas!$F:$F,Despesas!$J:$J,"&lt;="&amp;$A893,Despesas!$L:$L,"&gt;="&amp;$A893,Despesas!$C:$C,H$1,Despesas!$M:$M,$B893)</f>
        <v>0</v>
      </c>
      <c r="I893" s="18">
        <f>IF(Imóveis!$F$2="PRICE",IF(AND(Dados!$A893&gt;=Imóveis!$Q$2,Dados!$A893&lt;=Imóveis!$T$2),Imóveis!$U$2,0),IF((IF(AND(Dados!$A893&gt;=Imóveis!$Q$2,Dados!$A893&lt;=Imóveis!$T$2),Imóveis!$S$2-(DATEDIF(Imóveis!$Q$2,Dados!$A893,"m")),0))=0,0,((Imóveis!$N$2/Imóveis!$S$2)+((Imóveis!$N$2-((Imóveis!$S$2-(IF(AND(Dados!$A893&gt;=Imóveis!$Q$2,Dados!$A893&lt;=Imóveis!$T$2),Imóveis!$S$2-(DATEDIF(Imóveis!$Q$2,Dados!$A893,"m")),)))*(Imóveis!$N$2/Imóveis!$S$2)))*Imóveis!$P$2))))*IF(AND(Imóveis!$E$2&gt;0,Dados!$A893&gt;Imóveis!$E$2),0,1)</f>
        <v>0</v>
      </c>
      <c r="J893" s="18">
        <f>IF(Imóveis!$F$3="PRICE",IF(AND(Dados!$A893&gt;=Imóveis!$Q$3,Dados!$A893&lt;=Imóveis!$T$3),Imóveis!$U$3,0),IF((IF(AND(Dados!$A893&gt;=Imóveis!$Q$3,Dados!$A893&lt;=Imóveis!$T$3),Imóveis!$S$3-(DATEDIF(Imóveis!$Q$3,Dados!$A893,"m")),0))=0,0,((Imóveis!$N$3/Imóveis!$S$3)+((Imóveis!$N$3-((Imóveis!$S$3-(IF(AND(Dados!$A893&gt;=Imóveis!$Q$3,Dados!$A893&lt;=Imóveis!$T$3),Imóveis!$S$3-(DATEDIF(Imóveis!$Q$3,Dados!$A893,"m")),)))*(Imóveis!$N$3/Imóveis!$S$3)))*Imóveis!$P$3))))*IF(AND(Imóveis!$E$3&gt;0,Dados!$A893&gt;Imóveis!$E$3),0,1)</f>
        <v>0</v>
      </c>
      <c r="K893" s="18">
        <f>IF(Imóveis!$F$4="PRICE",IF(AND(Dados!$A893&gt;=Imóveis!$Q$4,Dados!$A893&lt;=Imóveis!$T$4),Imóveis!$U$4,0),IF((IF(AND(Dados!$A893&gt;=Imóveis!$Q$4,Dados!$A893&lt;=Imóveis!$T$4),Imóveis!$S$4-(DATEDIF(Imóveis!$Q$4,Dados!$A893,"m")),0))=0,0,((Imóveis!$N$4/Imóveis!$S$4)+((Imóveis!$N$4-((Imóveis!$S$4-(IF(AND(Dados!$A893&gt;=Imóveis!$Q$4,Dados!$A893&lt;=Imóveis!$T$4),Imóveis!$S$4-(DATEDIF(Imóveis!$Q$4,Dados!$A893,"m")),)))*(Imóveis!$N$4/Imóveis!$S$4)))*Imóveis!$P$4))))*IF(AND(Imóveis!$E$4&gt;0,Dados!$A893&gt;Imóveis!$E$4),0,1)</f>
        <v>0</v>
      </c>
      <c r="L893" s="18">
        <f>IF(Imóveis!$F$5="PRICE",IF(AND(Dados!$A893&gt;=Imóveis!$Q$5,Dados!$A893&lt;=Imóveis!$T$5),Imóveis!$U$5,0),IF((IF(AND(Dados!$A893&gt;=Imóveis!$Q$5,Dados!$A893&lt;=Imóveis!$T$5),Imóveis!$S$5-(DATEDIF(Imóveis!$Q$5,Dados!$A893,"m")),0))=0,0,((Imóveis!$N$5/Imóveis!$S$5)+((Imóveis!$N$5-((Imóveis!$S$5-(IF(AND(Dados!$A893 &gt;=Imóveis!$Q$5,Dados!$A893&lt;=Imóveis!$T$5),Imóveis!$S$5-(DATEDIF(Imóveis!$Q$5,Dados!$A893,"m")),)))*(Imóveis!$N$5/Imóveis!$S$5)))*Imóveis!$P$5))))*IF(AND(Imóveis!$E$5&gt;0,Dados!$A893&gt;Imóveis!$E$5),0,1)*Imóveis!$I$5</f>
        <v>0</v>
      </c>
      <c r="M893" s="18">
        <f>IF(Imóveis!$F$6="PRICE",IF(AND(Dados!$A893&gt;=Imóveis!$Q$6,Dados!$A893&lt;=Imóveis!$T$6),Imóveis!$U$6,0),IF((IF(AND(Dados!$A893&gt;=Imóveis!$Q$6,Dados!$A893&lt;=Imóveis!$T$6),Imóveis!$S$6-(DATEDIF(Imóveis!$Q$6,Dados!$A893,"m")),0))=0,0,((Imóveis!$N$6/Imóveis!$S$6)+((Imóveis!$N$6-((Imóveis!$S$6-(IF(AND(Dados!$A893&gt;=Imóveis!$Q$6,Dados!$A893&lt;=Imóveis!$T$6),Imóveis!$S$6-(DATEDIF(Imóveis!$Q$6,Dados!$A893,"m")),)))*(Imóveis!$N$6/Imóveis!$S$6)))*Imóveis!$P$6))))*IF(AND(Imóveis!$E$6&gt;0,Dados!$A893&gt;Imóveis!$E$6),0,1)*Imóveis!$I$6</f>
        <v>0</v>
      </c>
      <c r="N893" s="18">
        <f t="shared" si="109"/>
        <v>0</v>
      </c>
      <c r="O893" s="18">
        <f>SUMIFS(Receitas!$F:$F,Receitas!$J:$J,"&lt;="&amp;$A893,Receitas!$L:$L,"&gt;="&amp;$A893,Receitas!$C:$C,O$1,Receitas!$M:$M,"Mensal")+SUMIFS(Receitas!$F:$F,Receitas!$J:$J,"&lt;="&amp;$A893,Receitas!$L:$L,"&gt;="&amp;$A893,Receitas!$C:$C,O$1,Receitas!$M:$M,$B893)</f>
        <v>0</v>
      </c>
      <c r="P893" s="18">
        <f>SUMIFS(Receitas!$F:$F,Receitas!$J:$J,"&lt;="&amp;$A893,Receitas!$L:$L,"&gt;="&amp;$A893,Receitas!$C:$C,P$1,Receitas!$M:$M,"Mensal")+SUMIFS(Receitas!$F:$F,Receitas!$J:$J,"&lt;="&amp;$A893,Receitas!$L:$L,"&gt;="&amp;$A893,Receitas!$C:$C,P$1,Receitas!$M:$M,$B893)</f>
        <v>0</v>
      </c>
      <c r="Q893" s="18">
        <f>SUMIFS(Receitas!$F:$F,Receitas!$J:$J,"&lt;="&amp;$A893,Receitas!$L:$L,"&gt;="&amp;$A893,Receitas!$C:$C,Q$1,Receitas!$M:$M,"Mensal")+SUMIFS(Receitas!$F:$F,Receitas!$J:$J,"&lt;="&amp;$A893,Receitas!$L:$L,"&gt;="&amp;$A893,Receitas!$C:$C,Q$1,Receitas!$M:$M,$B893)</f>
        <v>0</v>
      </c>
      <c r="R893" s="18" cm="1">
        <f t="array" ref="R893">(IF(AND(Membros!$F$2="Sim",A893&lt;=MAX(Membros!$E$2:$E$5)),Membros!K$2,IF(AND(A893&gt;=Membros!J$2,A893&lt;=MAX(Membros!$E$2:$E$5)),Membros!K$2,0))+IF(AND(Membros!$F$3="Sim",A893&lt;=MAX(Membros!$E$2:$E$5)),Membros!K$3,IF(AND(A893&gt;=Membros!J$3,A893&lt;=MAX(Membros!$E$2:$E$5)),Membros!K$3,0)))*IF(AND(COUNTIFS(Tabela3[Tipo],"Provedor",Tabela3[Simulação Seguro],"Sim")=2,A893&gt;=MAX(IF(Tabela3[Tipo]="Dependente",Tabela3[Expectativa de Vida (Data)]))),0,1)</f>
        <v>0</v>
      </c>
      <c r="S893" s="18">
        <f t="shared" si="110"/>
        <v>0</v>
      </c>
      <c r="U893" s="18">
        <f t="shared" ca="1" si="113"/>
        <v>86977506.574351266</v>
      </c>
      <c r="V893" s="18">
        <f>SUMIF(Imóveis!E:E,Dados!A:A,Imóveis!Z:Z)-SUMIF(Imóveis!E:E,Dados!A:A,Imóveis!Y:Y)</f>
        <v>0</v>
      </c>
      <c r="W893" s="18">
        <f>-SUMIF(Projetos!N:N,A893,Projetos!F:F)</f>
        <v>0</v>
      </c>
      <c r="X893" s="18">
        <f t="shared" si="107"/>
        <v>0</v>
      </c>
      <c r="Y893" s="26">
        <f ca="1">(U893*((Indicadores_Economicos!D$2+1)^(1/12)-1))</f>
        <v>284741.72342892137</v>
      </c>
      <c r="Z893" s="18">
        <f t="shared" ca="1" si="111"/>
        <v>87262248.297780186</v>
      </c>
      <c r="AA893" s="18">
        <f ca="1">Auxiliar_Projetos!E893</f>
        <v>7.1931822587985478E-9</v>
      </c>
      <c r="AB893" s="18">
        <f ca="1">Auxiliar_Projetos!K893</f>
        <v>5.5332171221527252E-9</v>
      </c>
      <c r="AC893" s="18">
        <f ca="1">IF(Z893-AA893-AB893&gt;Investimentos!$C$14,Investimentos!$C$14,IF(Z893-AA893-AB893&lt;Investimentos!$C$14,Z893-AA893-AB893,0))</f>
        <v>300000</v>
      </c>
      <c r="AD893" s="18">
        <f t="shared" ca="1" si="112"/>
        <v>86962248.297780186</v>
      </c>
      <c r="AE893" s="18"/>
    </row>
    <row r="894" spans="1:31" x14ac:dyDescent="0.2">
      <c r="A894" s="4">
        <v>72806</v>
      </c>
      <c r="B894" s="5" t="str">
        <f t="shared" si="108"/>
        <v>maio</v>
      </c>
      <c r="C894" s="5" t="str">
        <f t="shared" si="114"/>
        <v>2099</v>
      </c>
      <c r="D894" s="5">
        <f>SUMIFS(Despesas!$F:$F,Despesas!$J:$J,"&lt;="&amp;$A894,Despesas!$L:$L,"&gt;="&amp;$A894,Despesas!$C:$C,D$1,Despesas!$M:$M,"Mensal")+SUMIFS(Despesas!$F:$F,Despesas!$J:$J,"&lt;="&amp;$A894,Despesas!$L:$L,"&gt;="&amp;$A894,Despesas!$C:$C,D$1,Despesas!$M:$M,$B894)</f>
        <v>0</v>
      </c>
      <c r="E894" s="18">
        <f>SUMIFS(Despesas!$F:$F,Despesas!$J:$J,"&lt;="&amp;$A894,Despesas!$L:$L,"&gt;="&amp;$A894,Despesas!$C:$C,E$1,Despesas!$M:$M,"Mensal")+SUMIFS(Despesas!$F:$F,Despesas!$J:$J,"&lt;="&amp;$A894,Despesas!$L:$L,"&gt;="&amp;$A894,Despesas!$C:$C,E$1,Despesas!$M:$M,$B894)</f>
        <v>0</v>
      </c>
      <c r="F894" s="5">
        <f>SUMIFS(Despesas!$F:$F,Despesas!$J:$J,"&lt;="&amp;$A894,Despesas!$L:$L,"&gt;="&amp;$A894,Despesas!$C:$C,F$1,Despesas!$M:$M,"Mensal")+SUMIFS(Despesas!$F:$F,Despesas!$J:$J,"&lt;="&amp;$A894,Despesas!$L:$L,"&gt;="&amp;$A894,Despesas!$C:$C,F$1,Despesas!$M:$M,$B894)</f>
        <v>0</v>
      </c>
      <c r="G894" s="5">
        <f>SUMIFS(Despesas!$F:$F,Despesas!$J:$J,"&lt;="&amp;$A894,Despesas!$L:$L,"&gt;="&amp;$A894,Despesas!$C:$C,G$1,Despesas!$M:$M,"Mensal")+SUMIFS(Despesas!$F:$F,Despesas!$J:$J,"&lt;="&amp;$A894,Despesas!$L:$L,"&gt;="&amp;$A894,Despesas!$C:$C,G$1,Despesas!$M:$M,$B894)</f>
        <v>0</v>
      </c>
      <c r="H894" s="18">
        <f>SUMIFS(Despesas!$F:$F,Despesas!$J:$J,"&lt;="&amp;$A894,Despesas!$L:$L,"&gt;="&amp;$A894,Despesas!$C:$C,H$1,Despesas!$M:$M,"Mensal")+SUMIFS(Despesas!$F:$F,Despesas!$J:$J,"&lt;="&amp;$A894,Despesas!$L:$L,"&gt;="&amp;$A894,Despesas!$C:$C,H$1,Despesas!$M:$M,$B894)</f>
        <v>0</v>
      </c>
      <c r="I894" s="18">
        <f>IF(Imóveis!$F$2="PRICE",IF(AND(Dados!$A894&gt;=Imóveis!$Q$2,Dados!$A894&lt;=Imóveis!$T$2),Imóveis!$U$2,0),IF((IF(AND(Dados!$A894&gt;=Imóveis!$Q$2,Dados!$A894&lt;=Imóveis!$T$2),Imóveis!$S$2-(DATEDIF(Imóveis!$Q$2,Dados!$A894,"m")),0))=0,0,((Imóveis!$N$2/Imóveis!$S$2)+((Imóveis!$N$2-((Imóveis!$S$2-(IF(AND(Dados!$A894&gt;=Imóveis!$Q$2,Dados!$A894&lt;=Imóveis!$T$2),Imóveis!$S$2-(DATEDIF(Imóveis!$Q$2,Dados!$A894,"m")),)))*(Imóveis!$N$2/Imóveis!$S$2)))*Imóveis!$P$2))))*IF(AND(Imóveis!$E$2&gt;0,Dados!$A894&gt;Imóveis!$E$2),0,1)</f>
        <v>0</v>
      </c>
      <c r="J894" s="18">
        <f>IF(Imóveis!$F$3="PRICE",IF(AND(Dados!$A894&gt;=Imóveis!$Q$3,Dados!$A894&lt;=Imóveis!$T$3),Imóveis!$U$3,0),IF((IF(AND(Dados!$A894&gt;=Imóveis!$Q$3,Dados!$A894&lt;=Imóveis!$T$3),Imóveis!$S$3-(DATEDIF(Imóveis!$Q$3,Dados!$A894,"m")),0))=0,0,((Imóveis!$N$3/Imóveis!$S$3)+((Imóveis!$N$3-((Imóveis!$S$3-(IF(AND(Dados!$A894&gt;=Imóveis!$Q$3,Dados!$A894&lt;=Imóveis!$T$3),Imóveis!$S$3-(DATEDIF(Imóveis!$Q$3,Dados!$A894,"m")),)))*(Imóveis!$N$3/Imóveis!$S$3)))*Imóveis!$P$3))))*IF(AND(Imóveis!$E$3&gt;0,Dados!$A894&gt;Imóveis!$E$3),0,1)</f>
        <v>0</v>
      </c>
      <c r="K894" s="18">
        <f>IF(Imóveis!$F$4="PRICE",IF(AND(Dados!$A894&gt;=Imóveis!$Q$4,Dados!$A894&lt;=Imóveis!$T$4),Imóveis!$U$4,0),IF((IF(AND(Dados!$A894&gt;=Imóveis!$Q$4,Dados!$A894&lt;=Imóveis!$T$4),Imóveis!$S$4-(DATEDIF(Imóveis!$Q$4,Dados!$A894,"m")),0))=0,0,((Imóveis!$N$4/Imóveis!$S$4)+((Imóveis!$N$4-((Imóveis!$S$4-(IF(AND(Dados!$A894&gt;=Imóveis!$Q$4,Dados!$A894&lt;=Imóveis!$T$4),Imóveis!$S$4-(DATEDIF(Imóveis!$Q$4,Dados!$A894,"m")),)))*(Imóveis!$N$4/Imóveis!$S$4)))*Imóveis!$P$4))))*IF(AND(Imóveis!$E$4&gt;0,Dados!$A894&gt;Imóveis!$E$4),0,1)</f>
        <v>0</v>
      </c>
      <c r="L894" s="18">
        <f>IF(Imóveis!$F$5="PRICE",IF(AND(Dados!$A894&gt;=Imóveis!$Q$5,Dados!$A894&lt;=Imóveis!$T$5),Imóveis!$U$5,0),IF((IF(AND(Dados!$A894&gt;=Imóveis!$Q$5,Dados!$A894&lt;=Imóveis!$T$5),Imóveis!$S$5-(DATEDIF(Imóveis!$Q$5,Dados!$A894,"m")),0))=0,0,((Imóveis!$N$5/Imóveis!$S$5)+((Imóveis!$N$5-((Imóveis!$S$5-(IF(AND(Dados!$A894 &gt;=Imóveis!$Q$5,Dados!$A894&lt;=Imóveis!$T$5),Imóveis!$S$5-(DATEDIF(Imóveis!$Q$5,Dados!$A894,"m")),)))*(Imóveis!$N$5/Imóveis!$S$5)))*Imóveis!$P$5))))*IF(AND(Imóveis!$E$5&gt;0,Dados!$A894&gt;Imóveis!$E$5),0,1)*Imóveis!$I$5</f>
        <v>0</v>
      </c>
      <c r="M894" s="18">
        <f>IF(Imóveis!$F$6="PRICE",IF(AND(Dados!$A894&gt;=Imóveis!$Q$6,Dados!$A894&lt;=Imóveis!$T$6),Imóveis!$U$6,0),IF((IF(AND(Dados!$A894&gt;=Imóveis!$Q$6,Dados!$A894&lt;=Imóveis!$T$6),Imóveis!$S$6-(DATEDIF(Imóveis!$Q$6,Dados!$A894,"m")),0))=0,0,((Imóveis!$N$6/Imóveis!$S$6)+((Imóveis!$N$6-((Imóveis!$S$6-(IF(AND(Dados!$A894&gt;=Imóveis!$Q$6,Dados!$A894&lt;=Imóveis!$T$6),Imóveis!$S$6-(DATEDIF(Imóveis!$Q$6,Dados!$A894,"m")),)))*(Imóveis!$N$6/Imóveis!$S$6)))*Imóveis!$P$6))))*IF(AND(Imóveis!$E$6&gt;0,Dados!$A894&gt;Imóveis!$E$6),0,1)*Imóveis!$I$6</f>
        <v>0</v>
      </c>
      <c r="N894" s="18">
        <f t="shared" si="109"/>
        <v>0</v>
      </c>
      <c r="O894" s="18">
        <f>SUMIFS(Receitas!$F:$F,Receitas!$J:$J,"&lt;="&amp;$A894,Receitas!$L:$L,"&gt;="&amp;$A894,Receitas!$C:$C,O$1,Receitas!$M:$M,"Mensal")+SUMIFS(Receitas!$F:$F,Receitas!$J:$J,"&lt;="&amp;$A894,Receitas!$L:$L,"&gt;="&amp;$A894,Receitas!$C:$C,O$1,Receitas!$M:$M,$B894)</f>
        <v>0</v>
      </c>
      <c r="P894" s="18">
        <f>SUMIFS(Receitas!$F:$F,Receitas!$J:$J,"&lt;="&amp;$A894,Receitas!$L:$L,"&gt;="&amp;$A894,Receitas!$C:$C,P$1,Receitas!$M:$M,"Mensal")+SUMIFS(Receitas!$F:$F,Receitas!$J:$J,"&lt;="&amp;$A894,Receitas!$L:$L,"&gt;="&amp;$A894,Receitas!$C:$C,P$1,Receitas!$M:$M,$B894)</f>
        <v>0</v>
      </c>
      <c r="Q894" s="18">
        <f>SUMIFS(Receitas!$F:$F,Receitas!$J:$J,"&lt;="&amp;$A894,Receitas!$L:$L,"&gt;="&amp;$A894,Receitas!$C:$C,Q$1,Receitas!$M:$M,"Mensal")+SUMIFS(Receitas!$F:$F,Receitas!$J:$J,"&lt;="&amp;$A894,Receitas!$L:$L,"&gt;="&amp;$A894,Receitas!$C:$C,Q$1,Receitas!$M:$M,$B894)</f>
        <v>0</v>
      </c>
      <c r="R894" s="18" cm="1">
        <f t="array" ref="R894">(IF(AND(Membros!$F$2="Sim",A894&lt;=MAX(Membros!$E$2:$E$5)),Membros!K$2,IF(AND(A894&gt;=Membros!J$2,A894&lt;=MAX(Membros!$E$2:$E$5)),Membros!K$2,0))+IF(AND(Membros!$F$3="Sim",A894&lt;=MAX(Membros!$E$2:$E$5)),Membros!K$3,IF(AND(A894&gt;=Membros!J$3,A894&lt;=MAX(Membros!$E$2:$E$5)),Membros!K$3,0)))*IF(AND(COUNTIFS(Tabela3[Tipo],"Provedor",Tabela3[Simulação Seguro],"Sim")=2,A894&gt;=MAX(IF(Tabela3[Tipo]="Dependente",Tabela3[Expectativa de Vida (Data)]))),0,1)</f>
        <v>0</v>
      </c>
      <c r="S894" s="18">
        <f t="shared" si="110"/>
        <v>0</v>
      </c>
      <c r="U894" s="18">
        <f t="shared" ca="1" si="113"/>
        <v>87262248.297780186</v>
      </c>
      <c r="V894" s="18">
        <f>SUMIF(Imóveis!E:E,Dados!A:A,Imóveis!Z:Z)-SUMIF(Imóveis!E:E,Dados!A:A,Imóveis!Y:Y)</f>
        <v>0</v>
      </c>
      <c r="W894" s="18">
        <f>-SUMIF(Projetos!N:N,A894,Projetos!F:F)</f>
        <v>0</v>
      </c>
      <c r="X894" s="18">
        <f t="shared" si="107"/>
        <v>0</v>
      </c>
      <c r="Y894" s="26">
        <f ca="1">(U894*((Indicadores_Economicos!D$2+1)^(1/12)-1))</f>
        <v>285673.89373656252</v>
      </c>
      <c r="Z894" s="18">
        <f t="shared" ca="1" si="111"/>
        <v>87547922.191516742</v>
      </c>
      <c r="AA894" s="18">
        <f ca="1">Auxiliar_Projetos!E894</f>
        <v>7.2167308657197838E-9</v>
      </c>
      <c r="AB894" s="18">
        <f ca="1">Auxiliar_Projetos!K894</f>
        <v>5.5513314351690604E-9</v>
      </c>
      <c r="AC894" s="18">
        <f ca="1">IF(Z894-AA894-AB894&gt;Investimentos!$C$14,Investimentos!$C$14,IF(Z894-AA894-AB894&lt;Investimentos!$C$14,Z894-AA894-AB894,0))</f>
        <v>300000</v>
      </c>
      <c r="AD894" s="18">
        <f t="shared" ca="1" si="112"/>
        <v>87247922.191516742</v>
      </c>
      <c r="AE894" s="18"/>
    </row>
    <row r="895" spans="1:31" x14ac:dyDescent="0.2">
      <c r="A895" s="4">
        <v>72837</v>
      </c>
      <c r="B895" s="5" t="str">
        <f t="shared" si="108"/>
        <v>junho</v>
      </c>
      <c r="C895" s="5" t="str">
        <f t="shared" si="114"/>
        <v>2099</v>
      </c>
      <c r="D895" s="5">
        <f>SUMIFS(Despesas!$F:$F,Despesas!$J:$J,"&lt;="&amp;$A895,Despesas!$L:$L,"&gt;="&amp;$A895,Despesas!$C:$C,D$1,Despesas!$M:$M,"Mensal")+SUMIFS(Despesas!$F:$F,Despesas!$J:$J,"&lt;="&amp;$A895,Despesas!$L:$L,"&gt;="&amp;$A895,Despesas!$C:$C,D$1,Despesas!$M:$M,$B895)</f>
        <v>0</v>
      </c>
      <c r="E895" s="18">
        <f>SUMIFS(Despesas!$F:$F,Despesas!$J:$J,"&lt;="&amp;$A895,Despesas!$L:$L,"&gt;="&amp;$A895,Despesas!$C:$C,E$1,Despesas!$M:$M,"Mensal")+SUMIFS(Despesas!$F:$F,Despesas!$J:$J,"&lt;="&amp;$A895,Despesas!$L:$L,"&gt;="&amp;$A895,Despesas!$C:$C,E$1,Despesas!$M:$M,$B895)</f>
        <v>0</v>
      </c>
      <c r="F895" s="5">
        <f>SUMIFS(Despesas!$F:$F,Despesas!$J:$J,"&lt;="&amp;$A895,Despesas!$L:$L,"&gt;="&amp;$A895,Despesas!$C:$C,F$1,Despesas!$M:$M,"Mensal")+SUMIFS(Despesas!$F:$F,Despesas!$J:$J,"&lt;="&amp;$A895,Despesas!$L:$L,"&gt;="&amp;$A895,Despesas!$C:$C,F$1,Despesas!$M:$M,$B895)</f>
        <v>0</v>
      </c>
      <c r="G895" s="5">
        <f>SUMIFS(Despesas!$F:$F,Despesas!$J:$J,"&lt;="&amp;$A895,Despesas!$L:$L,"&gt;="&amp;$A895,Despesas!$C:$C,G$1,Despesas!$M:$M,"Mensal")+SUMIFS(Despesas!$F:$F,Despesas!$J:$J,"&lt;="&amp;$A895,Despesas!$L:$L,"&gt;="&amp;$A895,Despesas!$C:$C,G$1,Despesas!$M:$M,$B895)</f>
        <v>0</v>
      </c>
      <c r="H895" s="18">
        <f>SUMIFS(Despesas!$F:$F,Despesas!$J:$J,"&lt;="&amp;$A895,Despesas!$L:$L,"&gt;="&amp;$A895,Despesas!$C:$C,H$1,Despesas!$M:$M,"Mensal")+SUMIFS(Despesas!$F:$F,Despesas!$J:$J,"&lt;="&amp;$A895,Despesas!$L:$L,"&gt;="&amp;$A895,Despesas!$C:$C,H$1,Despesas!$M:$M,$B895)</f>
        <v>0</v>
      </c>
      <c r="I895" s="18">
        <f>IF(Imóveis!$F$2="PRICE",IF(AND(Dados!$A895&gt;=Imóveis!$Q$2,Dados!$A895&lt;=Imóveis!$T$2),Imóveis!$U$2,0),IF((IF(AND(Dados!$A895&gt;=Imóveis!$Q$2,Dados!$A895&lt;=Imóveis!$T$2),Imóveis!$S$2-(DATEDIF(Imóveis!$Q$2,Dados!$A895,"m")),0))=0,0,((Imóveis!$N$2/Imóveis!$S$2)+((Imóveis!$N$2-((Imóveis!$S$2-(IF(AND(Dados!$A895&gt;=Imóveis!$Q$2,Dados!$A895&lt;=Imóveis!$T$2),Imóveis!$S$2-(DATEDIF(Imóveis!$Q$2,Dados!$A895,"m")),)))*(Imóveis!$N$2/Imóveis!$S$2)))*Imóveis!$P$2))))*IF(AND(Imóveis!$E$2&gt;0,Dados!$A895&gt;Imóveis!$E$2),0,1)</f>
        <v>0</v>
      </c>
      <c r="J895" s="18">
        <f>IF(Imóveis!$F$3="PRICE",IF(AND(Dados!$A895&gt;=Imóveis!$Q$3,Dados!$A895&lt;=Imóveis!$T$3),Imóveis!$U$3,0),IF((IF(AND(Dados!$A895&gt;=Imóveis!$Q$3,Dados!$A895&lt;=Imóveis!$T$3),Imóveis!$S$3-(DATEDIF(Imóveis!$Q$3,Dados!$A895,"m")),0))=0,0,((Imóveis!$N$3/Imóveis!$S$3)+((Imóveis!$N$3-((Imóveis!$S$3-(IF(AND(Dados!$A895&gt;=Imóveis!$Q$3,Dados!$A895&lt;=Imóveis!$T$3),Imóveis!$S$3-(DATEDIF(Imóveis!$Q$3,Dados!$A895,"m")),)))*(Imóveis!$N$3/Imóveis!$S$3)))*Imóveis!$P$3))))*IF(AND(Imóveis!$E$3&gt;0,Dados!$A895&gt;Imóveis!$E$3),0,1)</f>
        <v>0</v>
      </c>
      <c r="K895" s="18">
        <f>IF(Imóveis!$F$4="PRICE",IF(AND(Dados!$A895&gt;=Imóveis!$Q$4,Dados!$A895&lt;=Imóveis!$T$4),Imóveis!$U$4,0),IF((IF(AND(Dados!$A895&gt;=Imóveis!$Q$4,Dados!$A895&lt;=Imóveis!$T$4),Imóveis!$S$4-(DATEDIF(Imóveis!$Q$4,Dados!$A895,"m")),0))=0,0,((Imóveis!$N$4/Imóveis!$S$4)+((Imóveis!$N$4-((Imóveis!$S$4-(IF(AND(Dados!$A895&gt;=Imóveis!$Q$4,Dados!$A895&lt;=Imóveis!$T$4),Imóveis!$S$4-(DATEDIF(Imóveis!$Q$4,Dados!$A895,"m")),)))*(Imóveis!$N$4/Imóveis!$S$4)))*Imóveis!$P$4))))*IF(AND(Imóveis!$E$4&gt;0,Dados!$A895&gt;Imóveis!$E$4),0,1)</f>
        <v>0</v>
      </c>
      <c r="L895" s="18">
        <f>IF(Imóveis!$F$5="PRICE",IF(AND(Dados!$A895&gt;=Imóveis!$Q$5,Dados!$A895&lt;=Imóveis!$T$5),Imóveis!$U$5,0),IF((IF(AND(Dados!$A895&gt;=Imóveis!$Q$5,Dados!$A895&lt;=Imóveis!$T$5),Imóveis!$S$5-(DATEDIF(Imóveis!$Q$5,Dados!$A895,"m")),0))=0,0,((Imóveis!$N$5/Imóveis!$S$5)+((Imóveis!$N$5-((Imóveis!$S$5-(IF(AND(Dados!$A895 &gt;=Imóveis!$Q$5,Dados!$A895&lt;=Imóveis!$T$5),Imóveis!$S$5-(DATEDIF(Imóveis!$Q$5,Dados!$A895,"m")),)))*(Imóveis!$N$5/Imóveis!$S$5)))*Imóveis!$P$5))))*IF(AND(Imóveis!$E$5&gt;0,Dados!$A895&gt;Imóveis!$E$5),0,1)*Imóveis!$I$5</f>
        <v>0</v>
      </c>
      <c r="M895" s="18">
        <f>IF(Imóveis!$F$6="PRICE",IF(AND(Dados!$A895&gt;=Imóveis!$Q$6,Dados!$A895&lt;=Imóveis!$T$6),Imóveis!$U$6,0),IF((IF(AND(Dados!$A895&gt;=Imóveis!$Q$6,Dados!$A895&lt;=Imóveis!$T$6),Imóveis!$S$6-(DATEDIF(Imóveis!$Q$6,Dados!$A895,"m")),0))=0,0,((Imóveis!$N$6/Imóveis!$S$6)+((Imóveis!$N$6-((Imóveis!$S$6-(IF(AND(Dados!$A895&gt;=Imóveis!$Q$6,Dados!$A895&lt;=Imóveis!$T$6),Imóveis!$S$6-(DATEDIF(Imóveis!$Q$6,Dados!$A895,"m")),)))*(Imóveis!$N$6/Imóveis!$S$6)))*Imóveis!$P$6))))*IF(AND(Imóveis!$E$6&gt;0,Dados!$A895&gt;Imóveis!$E$6),0,1)*Imóveis!$I$6</f>
        <v>0</v>
      </c>
      <c r="N895" s="18">
        <f t="shared" si="109"/>
        <v>0</v>
      </c>
      <c r="O895" s="18">
        <f>SUMIFS(Receitas!$F:$F,Receitas!$J:$J,"&lt;="&amp;$A895,Receitas!$L:$L,"&gt;="&amp;$A895,Receitas!$C:$C,O$1,Receitas!$M:$M,"Mensal")+SUMIFS(Receitas!$F:$F,Receitas!$J:$J,"&lt;="&amp;$A895,Receitas!$L:$L,"&gt;="&amp;$A895,Receitas!$C:$C,O$1,Receitas!$M:$M,$B895)</f>
        <v>0</v>
      </c>
      <c r="P895" s="18">
        <f>SUMIFS(Receitas!$F:$F,Receitas!$J:$J,"&lt;="&amp;$A895,Receitas!$L:$L,"&gt;="&amp;$A895,Receitas!$C:$C,P$1,Receitas!$M:$M,"Mensal")+SUMIFS(Receitas!$F:$F,Receitas!$J:$J,"&lt;="&amp;$A895,Receitas!$L:$L,"&gt;="&amp;$A895,Receitas!$C:$C,P$1,Receitas!$M:$M,$B895)</f>
        <v>0</v>
      </c>
      <c r="Q895" s="18">
        <f>SUMIFS(Receitas!$F:$F,Receitas!$J:$J,"&lt;="&amp;$A895,Receitas!$L:$L,"&gt;="&amp;$A895,Receitas!$C:$C,Q$1,Receitas!$M:$M,"Mensal")+SUMIFS(Receitas!$F:$F,Receitas!$J:$J,"&lt;="&amp;$A895,Receitas!$L:$L,"&gt;="&amp;$A895,Receitas!$C:$C,Q$1,Receitas!$M:$M,$B895)</f>
        <v>0</v>
      </c>
      <c r="R895" s="18" cm="1">
        <f t="array" ref="R895">(IF(AND(Membros!$F$2="Sim",A895&lt;=MAX(Membros!$E$2:$E$5)),Membros!K$2,IF(AND(A895&gt;=Membros!J$2,A895&lt;=MAX(Membros!$E$2:$E$5)),Membros!K$2,0))+IF(AND(Membros!$F$3="Sim",A895&lt;=MAX(Membros!$E$2:$E$5)),Membros!K$3,IF(AND(A895&gt;=Membros!J$3,A895&lt;=MAX(Membros!$E$2:$E$5)),Membros!K$3,0)))*IF(AND(COUNTIFS(Tabela3[Tipo],"Provedor",Tabela3[Simulação Seguro],"Sim")=2,A895&gt;=MAX(IF(Tabela3[Tipo]="Dependente",Tabela3[Expectativa de Vida (Data)]))),0,1)</f>
        <v>0</v>
      </c>
      <c r="S895" s="18">
        <f t="shared" si="110"/>
        <v>0</v>
      </c>
      <c r="U895" s="18">
        <f t="shared" ca="1" si="113"/>
        <v>87547922.191516742</v>
      </c>
      <c r="V895" s="18">
        <f>SUMIF(Imóveis!E:E,Dados!A:A,Imóveis!Z:Z)-SUMIF(Imóveis!E:E,Dados!A:A,Imóveis!Y:Y)</f>
        <v>0</v>
      </c>
      <c r="W895" s="18">
        <f>-SUMIF(Projetos!N:N,A895,Projetos!F:F)</f>
        <v>0</v>
      </c>
      <c r="X895" s="18">
        <f t="shared" si="107"/>
        <v>0</v>
      </c>
      <c r="Y895" s="26">
        <f ca="1">(U895*((Indicadores_Economicos!D$2+1)^(1/12)-1))</f>
        <v>286609.11572722351</v>
      </c>
      <c r="Z895" s="18">
        <f t="shared" ca="1" si="111"/>
        <v>87834531.307243973</v>
      </c>
      <c r="AA895" s="18">
        <f ca="1">Auxiliar_Projetos!E895</f>
        <v>7.2403565646523136E-9</v>
      </c>
      <c r="AB895" s="18">
        <f ca="1">Auxiliar_Projetos!K895</f>
        <v>5.569505049732545E-9</v>
      </c>
      <c r="AC895" s="18">
        <f ca="1">IF(Z895-AA895-AB895&gt;Investimentos!$C$14,Investimentos!$C$14,IF(Z895-AA895-AB895&lt;Investimentos!$C$14,Z895-AA895-AB895,0))</f>
        <v>300000</v>
      </c>
      <c r="AD895" s="18">
        <f t="shared" ca="1" si="112"/>
        <v>87534531.307243973</v>
      </c>
      <c r="AE895" s="18"/>
    </row>
    <row r="896" spans="1:31" x14ac:dyDescent="0.2">
      <c r="A896" s="4">
        <v>72867</v>
      </c>
      <c r="B896" s="5" t="str">
        <f t="shared" si="108"/>
        <v>julho</v>
      </c>
      <c r="C896" s="5" t="str">
        <f t="shared" si="114"/>
        <v>2099</v>
      </c>
      <c r="D896" s="5">
        <f>SUMIFS(Despesas!$F:$F,Despesas!$J:$J,"&lt;="&amp;$A896,Despesas!$L:$L,"&gt;="&amp;$A896,Despesas!$C:$C,D$1,Despesas!$M:$M,"Mensal")+SUMIFS(Despesas!$F:$F,Despesas!$J:$J,"&lt;="&amp;$A896,Despesas!$L:$L,"&gt;="&amp;$A896,Despesas!$C:$C,D$1,Despesas!$M:$M,$B896)</f>
        <v>0</v>
      </c>
      <c r="E896" s="18">
        <f>SUMIFS(Despesas!$F:$F,Despesas!$J:$J,"&lt;="&amp;$A896,Despesas!$L:$L,"&gt;="&amp;$A896,Despesas!$C:$C,E$1,Despesas!$M:$M,"Mensal")+SUMIFS(Despesas!$F:$F,Despesas!$J:$J,"&lt;="&amp;$A896,Despesas!$L:$L,"&gt;="&amp;$A896,Despesas!$C:$C,E$1,Despesas!$M:$M,$B896)</f>
        <v>0</v>
      </c>
      <c r="F896" s="5">
        <f>SUMIFS(Despesas!$F:$F,Despesas!$J:$J,"&lt;="&amp;$A896,Despesas!$L:$L,"&gt;="&amp;$A896,Despesas!$C:$C,F$1,Despesas!$M:$M,"Mensal")+SUMIFS(Despesas!$F:$F,Despesas!$J:$J,"&lt;="&amp;$A896,Despesas!$L:$L,"&gt;="&amp;$A896,Despesas!$C:$C,F$1,Despesas!$M:$M,$B896)</f>
        <v>0</v>
      </c>
      <c r="G896" s="5">
        <f>SUMIFS(Despesas!$F:$F,Despesas!$J:$J,"&lt;="&amp;$A896,Despesas!$L:$L,"&gt;="&amp;$A896,Despesas!$C:$C,G$1,Despesas!$M:$M,"Mensal")+SUMIFS(Despesas!$F:$F,Despesas!$J:$J,"&lt;="&amp;$A896,Despesas!$L:$L,"&gt;="&amp;$A896,Despesas!$C:$C,G$1,Despesas!$M:$M,$B896)</f>
        <v>0</v>
      </c>
      <c r="H896" s="18">
        <f>SUMIFS(Despesas!$F:$F,Despesas!$J:$J,"&lt;="&amp;$A896,Despesas!$L:$L,"&gt;="&amp;$A896,Despesas!$C:$C,H$1,Despesas!$M:$M,"Mensal")+SUMIFS(Despesas!$F:$F,Despesas!$J:$J,"&lt;="&amp;$A896,Despesas!$L:$L,"&gt;="&amp;$A896,Despesas!$C:$C,H$1,Despesas!$M:$M,$B896)</f>
        <v>0</v>
      </c>
      <c r="I896" s="18">
        <f>IF(Imóveis!$F$2="PRICE",IF(AND(Dados!$A896&gt;=Imóveis!$Q$2,Dados!$A896&lt;=Imóveis!$T$2),Imóveis!$U$2,0),IF((IF(AND(Dados!$A896&gt;=Imóveis!$Q$2,Dados!$A896&lt;=Imóveis!$T$2),Imóveis!$S$2-(DATEDIF(Imóveis!$Q$2,Dados!$A896,"m")),0))=0,0,((Imóveis!$N$2/Imóveis!$S$2)+((Imóveis!$N$2-((Imóveis!$S$2-(IF(AND(Dados!$A896&gt;=Imóveis!$Q$2,Dados!$A896&lt;=Imóveis!$T$2),Imóveis!$S$2-(DATEDIF(Imóveis!$Q$2,Dados!$A896,"m")),)))*(Imóveis!$N$2/Imóveis!$S$2)))*Imóveis!$P$2))))*IF(AND(Imóveis!$E$2&gt;0,Dados!$A896&gt;Imóveis!$E$2),0,1)</f>
        <v>0</v>
      </c>
      <c r="J896" s="18">
        <f>IF(Imóveis!$F$3="PRICE",IF(AND(Dados!$A896&gt;=Imóveis!$Q$3,Dados!$A896&lt;=Imóveis!$T$3),Imóveis!$U$3,0),IF((IF(AND(Dados!$A896&gt;=Imóveis!$Q$3,Dados!$A896&lt;=Imóveis!$T$3),Imóveis!$S$3-(DATEDIF(Imóveis!$Q$3,Dados!$A896,"m")),0))=0,0,((Imóveis!$N$3/Imóveis!$S$3)+((Imóveis!$N$3-((Imóveis!$S$3-(IF(AND(Dados!$A896&gt;=Imóveis!$Q$3,Dados!$A896&lt;=Imóveis!$T$3),Imóveis!$S$3-(DATEDIF(Imóveis!$Q$3,Dados!$A896,"m")),)))*(Imóveis!$N$3/Imóveis!$S$3)))*Imóveis!$P$3))))*IF(AND(Imóveis!$E$3&gt;0,Dados!$A896&gt;Imóveis!$E$3),0,1)</f>
        <v>0</v>
      </c>
      <c r="K896" s="18">
        <f>IF(Imóveis!$F$4="PRICE",IF(AND(Dados!$A896&gt;=Imóveis!$Q$4,Dados!$A896&lt;=Imóveis!$T$4),Imóveis!$U$4,0),IF((IF(AND(Dados!$A896&gt;=Imóveis!$Q$4,Dados!$A896&lt;=Imóveis!$T$4),Imóveis!$S$4-(DATEDIF(Imóveis!$Q$4,Dados!$A896,"m")),0))=0,0,((Imóveis!$N$4/Imóveis!$S$4)+((Imóveis!$N$4-((Imóveis!$S$4-(IF(AND(Dados!$A896&gt;=Imóveis!$Q$4,Dados!$A896&lt;=Imóveis!$T$4),Imóveis!$S$4-(DATEDIF(Imóveis!$Q$4,Dados!$A896,"m")),)))*(Imóveis!$N$4/Imóveis!$S$4)))*Imóveis!$P$4))))*IF(AND(Imóveis!$E$4&gt;0,Dados!$A896&gt;Imóveis!$E$4),0,1)</f>
        <v>0</v>
      </c>
      <c r="L896" s="18">
        <f>IF(Imóveis!$F$5="PRICE",IF(AND(Dados!$A896&gt;=Imóveis!$Q$5,Dados!$A896&lt;=Imóveis!$T$5),Imóveis!$U$5,0),IF((IF(AND(Dados!$A896&gt;=Imóveis!$Q$5,Dados!$A896&lt;=Imóveis!$T$5),Imóveis!$S$5-(DATEDIF(Imóveis!$Q$5,Dados!$A896,"m")),0))=0,0,((Imóveis!$N$5/Imóveis!$S$5)+((Imóveis!$N$5-((Imóveis!$S$5-(IF(AND(Dados!$A896 &gt;=Imóveis!$Q$5,Dados!$A896&lt;=Imóveis!$T$5),Imóveis!$S$5-(DATEDIF(Imóveis!$Q$5,Dados!$A896,"m")),)))*(Imóveis!$N$5/Imóveis!$S$5)))*Imóveis!$P$5))))*IF(AND(Imóveis!$E$5&gt;0,Dados!$A896&gt;Imóveis!$E$5),0,1)*Imóveis!$I$5</f>
        <v>0</v>
      </c>
      <c r="M896" s="18">
        <f>IF(Imóveis!$F$6="PRICE",IF(AND(Dados!$A896&gt;=Imóveis!$Q$6,Dados!$A896&lt;=Imóveis!$T$6),Imóveis!$U$6,0),IF((IF(AND(Dados!$A896&gt;=Imóveis!$Q$6,Dados!$A896&lt;=Imóveis!$T$6),Imóveis!$S$6-(DATEDIF(Imóveis!$Q$6,Dados!$A896,"m")),0))=0,0,((Imóveis!$N$6/Imóveis!$S$6)+((Imóveis!$N$6-((Imóveis!$S$6-(IF(AND(Dados!$A896&gt;=Imóveis!$Q$6,Dados!$A896&lt;=Imóveis!$T$6),Imóveis!$S$6-(DATEDIF(Imóveis!$Q$6,Dados!$A896,"m")),)))*(Imóveis!$N$6/Imóveis!$S$6)))*Imóveis!$P$6))))*IF(AND(Imóveis!$E$6&gt;0,Dados!$A896&gt;Imóveis!$E$6),0,1)*Imóveis!$I$6</f>
        <v>0</v>
      </c>
      <c r="N896" s="18">
        <f t="shared" si="109"/>
        <v>0</v>
      </c>
      <c r="O896" s="18">
        <f>SUMIFS(Receitas!$F:$F,Receitas!$J:$J,"&lt;="&amp;$A896,Receitas!$L:$L,"&gt;="&amp;$A896,Receitas!$C:$C,O$1,Receitas!$M:$M,"Mensal")+SUMIFS(Receitas!$F:$F,Receitas!$J:$J,"&lt;="&amp;$A896,Receitas!$L:$L,"&gt;="&amp;$A896,Receitas!$C:$C,O$1,Receitas!$M:$M,$B896)</f>
        <v>0</v>
      </c>
      <c r="P896" s="18">
        <f>SUMIFS(Receitas!$F:$F,Receitas!$J:$J,"&lt;="&amp;$A896,Receitas!$L:$L,"&gt;="&amp;$A896,Receitas!$C:$C,P$1,Receitas!$M:$M,"Mensal")+SUMIFS(Receitas!$F:$F,Receitas!$J:$J,"&lt;="&amp;$A896,Receitas!$L:$L,"&gt;="&amp;$A896,Receitas!$C:$C,P$1,Receitas!$M:$M,$B896)</f>
        <v>0</v>
      </c>
      <c r="Q896" s="18">
        <f>SUMIFS(Receitas!$F:$F,Receitas!$J:$J,"&lt;="&amp;$A896,Receitas!$L:$L,"&gt;="&amp;$A896,Receitas!$C:$C,Q$1,Receitas!$M:$M,"Mensal")+SUMIFS(Receitas!$F:$F,Receitas!$J:$J,"&lt;="&amp;$A896,Receitas!$L:$L,"&gt;="&amp;$A896,Receitas!$C:$C,Q$1,Receitas!$M:$M,$B896)</f>
        <v>0</v>
      </c>
      <c r="R896" s="18" cm="1">
        <f t="array" ref="R896">(IF(AND(Membros!$F$2="Sim",A896&lt;=MAX(Membros!$E$2:$E$5)),Membros!K$2,IF(AND(A896&gt;=Membros!J$2,A896&lt;=MAX(Membros!$E$2:$E$5)),Membros!K$2,0))+IF(AND(Membros!$F$3="Sim",A896&lt;=MAX(Membros!$E$2:$E$5)),Membros!K$3,IF(AND(A896&gt;=Membros!J$3,A896&lt;=MAX(Membros!$E$2:$E$5)),Membros!K$3,0)))*IF(AND(COUNTIFS(Tabela3[Tipo],"Provedor",Tabela3[Simulação Seguro],"Sim")=2,A896&gt;=MAX(IF(Tabela3[Tipo]="Dependente",Tabela3[Expectativa de Vida (Data)]))),0,1)</f>
        <v>0</v>
      </c>
      <c r="S896" s="18">
        <f t="shared" si="110"/>
        <v>0</v>
      </c>
      <c r="U896" s="18">
        <f t="shared" ca="1" si="113"/>
        <v>87834531.307243973</v>
      </c>
      <c r="V896" s="18">
        <f>SUMIF(Imóveis!E:E,Dados!A:A,Imóveis!Z:Z)-SUMIF(Imóveis!E:E,Dados!A:A,Imóveis!Y:Y)</f>
        <v>0</v>
      </c>
      <c r="W896" s="18">
        <f>-SUMIF(Projetos!N:N,A896,Projetos!F:F)</f>
        <v>0</v>
      </c>
      <c r="X896" s="18">
        <f t="shared" si="107"/>
        <v>0</v>
      </c>
      <c r="Y896" s="26">
        <f ca="1">(U896*((Indicadores_Economicos!D$2+1)^(1/12)-1))</f>
        <v>287547.39939132059</v>
      </c>
      <c r="Z896" s="18">
        <f t="shared" ca="1" si="111"/>
        <v>88122078.706635296</v>
      </c>
      <c r="AA896" s="18">
        <f ca="1">Auxiliar_Projetos!E896</f>
        <v>7.2640596079753211E-9</v>
      </c>
      <c r="AB896" s="18">
        <f ca="1">Auxiliar_Projetos!K896</f>
        <v>5.5877381599810121E-9</v>
      </c>
      <c r="AC896" s="18">
        <f ca="1">IF(Z896-AA896-AB896&gt;Investimentos!$C$14,Investimentos!$C$14,IF(Z896-AA896-AB896&lt;Investimentos!$C$14,Z896-AA896-AB896,0))</f>
        <v>300000</v>
      </c>
      <c r="AD896" s="18">
        <f t="shared" ca="1" si="112"/>
        <v>87822078.706635296</v>
      </c>
      <c r="AE896" s="18"/>
    </row>
    <row r="897" spans="1:31" x14ac:dyDescent="0.2">
      <c r="A897" s="4">
        <v>72898</v>
      </c>
      <c r="B897" s="5" t="str">
        <f t="shared" si="108"/>
        <v>agosto</v>
      </c>
      <c r="C897" s="5" t="str">
        <f t="shared" si="114"/>
        <v>2099</v>
      </c>
      <c r="D897" s="5">
        <f>SUMIFS(Despesas!$F:$F,Despesas!$J:$J,"&lt;="&amp;$A897,Despesas!$L:$L,"&gt;="&amp;$A897,Despesas!$C:$C,D$1,Despesas!$M:$M,"Mensal")+SUMIFS(Despesas!$F:$F,Despesas!$J:$J,"&lt;="&amp;$A897,Despesas!$L:$L,"&gt;="&amp;$A897,Despesas!$C:$C,D$1,Despesas!$M:$M,$B897)</f>
        <v>0</v>
      </c>
      <c r="E897" s="18">
        <f>SUMIFS(Despesas!$F:$F,Despesas!$J:$J,"&lt;="&amp;$A897,Despesas!$L:$L,"&gt;="&amp;$A897,Despesas!$C:$C,E$1,Despesas!$M:$M,"Mensal")+SUMIFS(Despesas!$F:$F,Despesas!$J:$J,"&lt;="&amp;$A897,Despesas!$L:$L,"&gt;="&amp;$A897,Despesas!$C:$C,E$1,Despesas!$M:$M,$B897)</f>
        <v>0</v>
      </c>
      <c r="F897" s="5">
        <f>SUMIFS(Despesas!$F:$F,Despesas!$J:$J,"&lt;="&amp;$A897,Despesas!$L:$L,"&gt;="&amp;$A897,Despesas!$C:$C,F$1,Despesas!$M:$M,"Mensal")+SUMIFS(Despesas!$F:$F,Despesas!$J:$J,"&lt;="&amp;$A897,Despesas!$L:$L,"&gt;="&amp;$A897,Despesas!$C:$C,F$1,Despesas!$M:$M,$B897)</f>
        <v>0</v>
      </c>
      <c r="G897" s="5">
        <f>SUMIFS(Despesas!$F:$F,Despesas!$J:$J,"&lt;="&amp;$A897,Despesas!$L:$L,"&gt;="&amp;$A897,Despesas!$C:$C,G$1,Despesas!$M:$M,"Mensal")+SUMIFS(Despesas!$F:$F,Despesas!$J:$J,"&lt;="&amp;$A897,Despesas!$L:$L,"&gt;="&amp;$A897,Despesas!$C:$C,G$1,Despesas!$M:$M,$B897)</f>
        <v>0</v>
      </c>
      <c r="H897" s="18">
        <f>SUMIFS(Despesas!$F:$F,Despesas!$J:$J,"&lt;="&amp;$A897,Despesas!$L:$L,"&gt;="&amp;$A897,Despesas!$C:$C,H$1,Despesas!$M:$M,"Mensal")+SUMIFS(Despesas!$F:$F,Despesas!$J:$J,"&lt;="&amp;$A897,Despesas!$L:$L,"&gt;="&amp;$A897,Despesas!$C:$C,H$1,Despesas!$M:$M,$B897)</f>
        <v>0</v>
      </c>
      <c r="I897" s="18">
        <f>IF(Imóveis!$F$2="PRICE",IF(AND(Dados!$A897&gt;=Imóveis!$Q$2,Dados!$A897&lt;=Imóveis!$T$2),Imóveis!$U$2,0),IF((IF(AND(Dados!$A897&gt;=Imóveis!$Q$2,Dados!$A897&lt;=Imóveis!$T$2),Imóveis!$S$2-(DATEDIF(Imóveis!$Q$2,Dados!$A897,"m")),0))=0,0,((Imóveis!$N$2/Imóveis!$S$2)+((Imóveis!$N$2-((Imóveis!$S$2-(IF(AND(Dados!$A897&gt;=Imóveis!$Q$2,Dados!$A897&lt;=Imóveis!$T$2),Imóveis!$S$2-(DATEDIF(Imóveis!$Q$2,Dados!$A897,"m")),)))*(Imóveis!$N$2/Imóveis!$S$2)))*Imóveis!$P$2))))*IF(AND(Imóveis!$E$2&gt;0,Dados!$A897&gt;Imóveis!$E$2),0,1)</f>
        <v>0</v>
      </c>
      <c r="J897" s="18">
        <f>IF(Imóveis!$F$3="PRICE",IF(AND(Dados!$A897&gt;=Imóveis!$Q$3,Dados!$A897&lt;=Imóveis!$T$3),Imóveis!$U$3,0),IF((IF(AND(Dados!$A897&gt;=Imóveis!$Q$3,Dados!$A897&lt;=Imóveis!$T$3),Imóveis!$S$3-(DATEDIF(Imóveis!$Q$3,Dados!$A897,"m")),0))=0,0,((Imóveis!$N$3/Imóveis!$S$3)+((Imóveis!$N$3-((Imóveis!$S$3-(IF(AND(Dados!$A897&gt;=Imóveis!$Q$3,Dados!$A897&lt;=Imóveis!$T$3),Imóveis!$S$3-(DATEDIF(Imóveis!$Q$3,Dados!$A897,"m")),)))*(Imóveis!$N$3/Imóveis!$S$3)))*Imóveis!$P$3))))*IF(AND(Imóveis!$E$3&gt;0,Dados!$A897&gt;Imóveis!$E$3),0,1)</f>
        <v>0</v>
      </c>
      <c r="K897" s="18">
        <f>IF(Imóveis!$F$4="PRICE",IF(AND(Dados!$A897&gt;=Imóveis!$Q$4,Dados!$A897&lt;=Imóveis!$T$4),Imóveis!$U$4,0),IF((IF(AND(Dados!$A897&gt;=Imóveis!$Q$4,Dados!$A897&lt;=Imóveis!$T$4),Imóveis!$S$4-(DATEDIF(Imóveis!$Q$4,Dados!$A897,"m")),0))=0,0,((Imóveis!$N$4/Imóveis!$S$4)+((Imóveis!$N$4-((Imóveis!$S$4-(IF(AND(Dados!$A897&gt;=Imóveis!$Q$4,Dados!$A897&lt;=Imóveis!$T$4),Imóveis!$S$4-(DATEDIF(Imóveis!$Q$4,Dados!$A897,"m")),)))*(Imóveis!$N$4/Imóveis!$S$4)))*Imóveis!$P$4))))*IF(AND(Imóveis!$E$4&gt;0,Dados!$A897&gt;Imóveis!$E$4),0,1)</f>
        <v>0</v>
      </c>
      <c r="L897" s="18">
        <f>IF(Imóveis!$F$5="PRICE",IF(AND(Dados!$A897&gt;=Imóveis!$Q$5,Dados!$A897&lt;=Imóveis!$T$5),Imóveis!$U$5,0),IF((IF(AND(Dados!$A897&gt;=Imóveis!$Q$5,Dados!$A897&lt;=Imóveis!$T$5),Imóveis!$S$5-(DATEDIF(Imóveis!$Q$5,Dados!$A897,"m")),0))=0,0,((Imóveis!$N$5/Imóveis!$S$5)+((Imóveis!$N$5-((Imóveis!$S$5-(IF(AND(Dados!$A897 &gt;=Imóveis!$Q$5,Dados!$A897&lt;=Imóveis!$T$5),Imóveis!$S$5-(DATEDIF(Imóveis!$Q$5,Dados!$A897,"m")),)))*(Imóveis!$N$5/Imóveis!$S$5)))*Imóveis!$P$5))))*IF(AND(Imóveis!$E$5&gt;0,Dados!$A897&gt;Imóveis!$E$5),0,1)*Imóveis!$I$5</f>
        <v>0</v>
      </c>
      <c r="M897" s="18">
        <f>IF(Imóveis!$F$6="PRICE",IF(AND(Dados!$A897&gt;=Imóveis!$Q$6,Dados!$A897&lt;=Imóveis!$T$6),Imóveis!$U$6,0),IF((IF(AND(Dados!$A897&gt;=Imóveis!$Q$6,Dados!$A897&lt;=Imóveis!$T$6),Imóveis!$S$6-(DATEDIF(Imóveis!$Q$6,Dados!$A897,"m")),0))=0,0,((Imóveis!$N$6/Imóveis!$S$6)+((Imóveis!$N$6-((Imóveis!$S$6-(IF(AND(Dados!$A897&gt;=Imóveis!$Q$6,Dados!$A897&lt;=Imóveis!$T$6),Imóveis!$S$6-(DATEDIF(Imóveis!$Q$6,Dados!$A897,"m")),)))*(Imóveis!$N$6/Imóveis!$S$6)))*Imóveis!$P$6))))*IF(AND(Imóveis!$E$6&gt;0,Dados!$A897&gt;Imóveis!$E$6),0,1)*Imóveis!$I$6</f>
        <v>0</v>
      </c>
      <c r="N897" s="18">
        <f t="shared" si="109"/>
        <v>0</v>
      </c>
      <c r="O897" s="18">
        <f>SUMIFS(Receitas!$F:$F,Receitas!$J:$J,"&lt;="&amp;$A897,Receitas!$L:$L,"&gt;="&amp;$A897,Receitas!$C:$C,O$1,Receitas!$M:$M,"Mensal")+SUMIFS(Receitas!$F:$F,Receitas!$J:$J,"&lt;="&amp;$A897,Receitas!$L:$L,"&gt;="&amp;$A897,Receitas!$C:$C,O$1,Receitas!$M:$M,$B897)</f>
        <v>0</v>
      </c>
      <c r="P897" s="18">
        <f>SUMIFS(Receitas!$F:$F,Receitas!$J:$J,"&lt;="&amp;$A897,Receitas!$L:$L,"&gt;="&amp;$A897,Receitas!$C:$C,P$1,Receitas!$M:$M,"Mensal")+SUMIFS(Receitas!$F:$F,Receitas!$J:$J,"&lt;="&amp;$A897,Receitas!$L:$L,"&gt;="&amp;$A897,Receitas!$C:$C,P$1,Receitas!$M:$M,$B897)</f>
        <v>0</v>
      </c>
      <c r="Q897" s="18">
        <f>SUMIFS(Receitas!$F:$F,Receitas!$J:$J,"&lt;="&amp;$A897,Receitas!$L:$L,"&gt;="&amp;$A897,Receitas!$C:$C,Q$1,Receitas!$M:$M,"Mensal")+SUMIFS(Receitas!$F:$F,Receitas!$J:$J,"&lt;="&amp;$A897,Receitas!$L:$L,"&gt;="&amp;$A897,Receitas!$C:$C,Q$1,Receitas!$M:$M,$B897)</f>
        <v>0</v>
      </c>
      <c r="R897" s="18" cm="1">
        <f t="array" ref="R897">(IF(AND(Membros!$F$2="Sim",A897&lt;=MAX(Membros!$E$2:$E$5)),Membros!K$2,IF(AND(A897&gt;=Membros!J$2,A897&lt;=MAX(Membros!$E$2:$E$5)),Membros!K$2,0))+IF(AND(Membros!$F$3="Sim",A897&lt;=MAX(Membros!$E$2:$E$5)),Membros!K$3,IF(AND(A897&gt;=Membros!J$3,A897&lt;=MAX(Membros!$E$2:$E$5)),Membros!K$3,0)))*IF(AND(COUNTIFS(Tabela3[Tipo],"Provedor",Tabela3[Simulação Seguro],"Sim")=2,A897&gt;=MAX(IF(Tabela3[Tipo]="Dependente",Tabela3[Expectativa de Vida (Data)]))),0,1)</f>
        <v>0</v>
      </c>
      <c r="S897" s="18">
        <f t="shared" si="110"/>
        <v>0</v>
      </c>
      <c r="U897" s="18">
        <f t="shared" ca="1" si="113"/>
        <v>88122078.706635296</v>
      </c>
      <c r="V897" s="18">
        <f>SUMIF(Imóveis!E:E,Dados!A:A,Imóveis!Z:Z)-SUMIF(Imóveis!E:E,Dados!A:A,Imóveis!Y:Y)</f>
        <v>0</v>
      </c>
      <c r="W897" s="18">
        <f>-SUMIF(Projetos!N:N,A897,Projetos!F:F)</f>
        <v>0</v>
      </c>
      <c r="X897" s="18">
        <f t="shared" si="107"/>
        <v>0</v>
      </c>
      <c r="Y897" s="26">
        <f ca="1">(U897*((Indicadores_Economicos!D$2+1)^(1/12)-1))</f>
        <v>288488.75475197582</v>
      </c>
      <c r="Z897" s="18">
        <f t="shared" ca="1" si="111"/>
        <v>88410567.461387277</v>
      </c>
      <c r="AA897" s="18">
        <f ca="1">Auxiliar_Projetos!E897</f>
        <v>7.2878402488942142E-9</v>
      </c>
      <c r="AB897" s="18">
        <f ca="1">Auxiliar_Projetos!K897</f>
        <v>5.6060309606878533E-9</v>
      </c>
      <c r="AC897" s="18">
        <f ca="1">IF(Z897-AA897-AB897&gt;Investimentos!$C$14,Investimentos!$C$14,IF(Z897-AA897-AB897&lt;Investimentos!$C$14,Z897-AA897-AB897,0))</f>
        <v>300000</v>
      </c>
      <c r="AD897" s="18">
        <f t="shared" ca="1" si="112"/>
        <v>88110567.461387277</v>
      </c>
      <c r="AE897" s="18"/>
    </row>
    <row r="898" spans="1:31" x14ac:dyDescent="0.2">
      <c r="A898" s="4">
        <v>72929</v>
      </c>
      <c r="B898" s="5" t="str">
        <f t="shared" si="108"/>
        <v>setembro</v>
      </c>
      <c r="C898" s="5" t="str">
        <f t="shared" si="114"/>
        <v>2099</v>
      </c>
      <c r="D898" s="5">
        <f>SUMIFS(Despesas!$F:$F,Despesas!$J:$J,"&lt;="&amp;$A898,Despesas!$L:$L,"&gt;="&amp;$A898,Despesas!$C:$C,D$1,Despesas!$M:$M,"Mensal")+SUMIFS(Despesas!$F:$F,Despesas!$J:$J,"&lt;="&amp;$A898,Despesas!$L:$L,"&gt;="&amp;$A898,Despesas!$C:$C,D$1,Despesas!$M:$M,$B898)</f>
        <v>0</v>
      </c>
      <c r="E898" s="18">
        <f>SUMIFS(Despesas!$F:$F,Despesas!$J:$J,"&lt;="&amp;$A898,Despesas!$L:$L,"&gt;="&amp;$A898,Despesas!$C:$C,E$1,Despesas!$M:$M,"Mensal")+SUMIFS(Despesas!$F:$F,Despesas!$J:$J,"&lt;="&amp;$A898,Despesas!$L:$L,"&gt;="&amp;$A898,Despesas!$C:$C,E$1,Despesas!$M:$M,$B898)</f>
        <v>0</v>
      </c>
      <c r="F898" s="5">
        <f>SUMIFS(Despesas!$F:$F,Despesas!$J:$J,"&lt;="&amp;$A898,Despesas!$L:$L,"&gt;="&amp;$A898,Despesas!$C:$C,F$1,Despesas!$M:$M,"Mensal")+SUMIFS(Despesas!$F:$F,Despesas!$J:$J,"&lt;="&amp;$A898,Despesas!$L:$L,"&gt;="&amp;$A898,Despesas!$C:$C,F$1,Despesas!$M:$M,$B898)</f>
        <v>0</v>
      </c>
      <c r="G898" s="5">
        <f>SUMIFS(Despesas!$F:$F,Despesas!$J:$J,"&lt;="&amp;$A898,Despesas!$L:$L,"&gt;="&amp;$A898,Despesas!$C:$C,G$1,Despesas!$M:$M,"Mensal")+SUMIFS(Despesas!$F:$F,Despesas!$J:$J,"&lt;="&amp;$A898,Despesas!$L:$L,"&gt;="&amp;$A898,Despesas!$C:$C,G$1,Despesas!$M:$M,$B898)</f>
        <v>0</v>
      </c>
      <c r="H898" s="18">
        <f>SUMIFS(Despesas!$F:$F,Despesas!$J:$J,"&lt;="&amp;$A898,Despesas!$L:$L,"&gt;="&amp;$A898,Despesas!$C:$C,H$1,Despesas!$M:$M,"Mensal")+SUMIFS(Despesas!$F:$F,Despesas!$J:$J,"&lt;="&amp;$A898,Despesas!$L:$L,"&gt;="&amp;$A898,Despesas!$C:$C,H$1,Despesas!$M:$M,$B898)</f>
        <v>0</v>
      </c>
      <c r="I898" s="18">
        <f>IF(Imóveis!$F$2="PRICE",IF(AND(Dados!$A898&gt;=Imóveis!$Q$2,Dados!$A898&lt;=Imóveis!$T$2),Imóveis!$U$2,0),IF((IF(AND(Dados!$A898&gt;=Imóveis!$Q$2,Dados!$A898&lt;=Imóveis!$T$2),Imóveis!$S$2-(DATEDIF(Imóveis!$Q$2,Dados!$A898,"m")),0))=0,0,((Imóveis!$N$2/Imóveis!$S$2)+((Imóveis!$N$2-((Imóveis!$S$2-(IF(AND(Dados!$A898&gt;=Imóveis!$Q$2,Dados!$A898&lt;=Imóveis!$T$2),Imóveis!$S$2-(DATEDIF(Imóveis!$Q$2,Dados!$A898,"m")),)))*(Imóveis!$N$2/Imóveis!$S$2)))*Imóveis!$P$2))))*IF(AND(Imóveis!$E$2&gt;0,Dados!$A898&gt;Imóveis!$E$2),0,1)</f>
        <v>0</v>
      </c>
      <c r="J898" s="18">
        <f>IF(Imóveis!$F$3="PRICE",IF(AND(Dados!$A898&gt;=Imóveis!$Q$3,Dados!$A898&lt;=Imóveis!$T$3),Imóveis!$U$3,0),IF((IF(AND(Dados!$A898&gt;=Imóveis!$Q$3,Dados!$A898&lt;=Imóveis!$T$3),Imóveis!$S$3-(DATEDIF(Imóveis!$Q$3,Dados!$A898,"m")),0))=0,0,((Imóveis!$N$3/Imóveis!$S$3)+((Imóveis!$N$3-((Imóveis!$S$3-(IF(AND(Dados!$A898&gt;=Imóveis!$Q$3,Dados!$A898&lt;=Imóveis!$T$3),Imóveis!$S$3-(DATEDIF(Imóveis!$Q$3,Dados!$A898,"m")),)))*(Imóveis!$N$3/Imóveis!$S$3)))*Imóveis!$P$3))))*IF(AND(Imóveis!$E$3&gt;0,Dados!$A898&gt;Imóveis!$E$3),0,1)</f>
        <v>0</v>
      </c>
      <c r="K898" s="18">
        <f>IF(Imóveis!$F$4="PRICE",IF(AND(Dados!$A898&gt;=Imóveis!$Q$4,Dados!$A898&lt;=Imóveis!$T$4),Imóveis!$U$4,0),IF((IF(AND(Dados!$A898&gt;=Imóveis!$Q$4,Dados!$A898&lt;=Imóveis!$T$4),Imóveis!$S$4-(DATEDIF(Imóveis!$Q$4,Dados!$A898,"m")),0))=0,0,((Imóveis!$N$4/Imóveis!$S$4)+((Imóveis!$N$4-((Imóveis!$S$4-(IF(AND(Dados!$A898&gt;=Imóveis!$Q$4,Dados!$A898&lt;=Imóveis!$T$4),Imóveis!$S$4-(DATEDIF(Imóveis!$Q$4,Dados!$A898,"m")),)))*(Imóveis!$N$4/Imóveis!$S$4)))*Imóveis!$P$4))))*IF(AND(Imóveis!$E$4&gt;0,Dados!$A898&gt;Imóveis!$E$4),0,1)</f>
        <v>0</v>
      </c>
      <c r="L898" s="18">
        <f>IF(Imóveis!$F$5="PRICE",IF(AND(Dados!$A898&gt;=Imóveis!$Q$5,Dados!$A898&lt;=Imóveis!$T$5),Imóveis!$U$5,0),IF((IF(AND(Dados!$A898&gt;=Imóveis!$Q$5,Dados!$A898&lt;=Imóveis!$T$5),Imóveis!$S$5-(DATEDIF(Imóveis!$Q$5,Dados!$A898,"m")),0))=0,0,((Imóveis!$N$5/Imóveis!$S$5)+((Imóveis!$N$5-((Imóveis!$S$5-(IF(AND(Dados!$A898 &gt;=Imóveis!$Q$5,Dados!$A898&lt;=Imóveis!$T$5),Imóveis!$S$5-(DATEDIF(Imóveis!$Q$5,Dados!$A898,"m")),)))*(Imóveis!$N$5/Imóveis!$S$5)))*Imóveis!$P$5))))*IF(AND(Imóveis!$E$5&gt;0,Dados!$A898&gt;Imóveis!$E$5),0,1)*Imóveis!$I$5</f>
        <v>0</v>
      </c>
      <c r="M898" s="18">
        <f>IF(Imóveis!$F$6="PRICE",IF(AND(Dados!$A898&gt;=Imóveis!$Q$6,Dados!$A898&lt;=Imóveis!$T$6),Imóveis!$U$6,0),IF((IF(AND(Dados!$A898&gt;=Imóveis!$Q$6,Dados!$A898&lt;=Imóveis!$T$6),Imóveis!$S$6-(DATEDIF(Imóveis!$Q$6,Dados!$A898,"m")),0))=0,0,((Imóveis!$N$6/Imóveis!$S$6)+((Imóveis!$N$6-((Imóveis!$S$6-(IF(AND(Dados!$A898&gt;=Imóveis!$Q$6,Dados!$A898&lt;=Imóveis!$T$6),Imóveis!$S$6-(DATEDIF(Imóveis!$Q$6,Dados!$A898,"m")),)))*(Imóveis!$N$6/Imóveis!$S$6)))*Imóveis!$P$6))))*IF(AND(Imóveis!$E$6&gt;0,Dados!$A898&gt;Imóveis!$E$6),0,1)*Imóveis!$I$6</f>
        <v>0</v>
      </c>
      <c r="N898" s="18">
        <f t="shared" si="109"/>
        <v>0</v>
      </c>
      <c r="O898" s="18">
        <f>SUMIFS(Receitas!$F:$F,Receitas!$J:$J,"&lt;="&amp;$A898,Receitas!$L:$L,"&gt;="&amp;$A898,Receitas!$C:$C,O$1,Receitas!$M:$M,"Mensal")+SUMIFS(Receitas!$F:$F,Receitas!$J:$J,"&lt;="&amp;$A898,Receitas!$L:$L,"&gt;="&amp;$A898,Receitas!$C:$C,O$1,Receitas!$M:$M,$B898)</f>
        <v>0</v>
      </c>
      <c r="P898" s="18">
        <f>SUMIFS(Receitas!$F:$F,Receitas!$J:$J,"&lt;="&amp;$A898,Receitas!$L:$L,"&gt;="&amp;$A898,Receitas!$C:$C,P$1,Receitas!$M:$M,"Mensal")+SUMIFS(Receitas!$F:$F,Receitas!$J:$J,"&lt;="&amp;$A898,Receitas!$L:$L,"&gt;="&amp;$A898,Receitas!$C:$C,P$1,Receitas!$M:$M,$B898)</f>
        <v>0</v>
      </c>
      <c r="Q898" s="18">
        <f>SUMIFS(Receitas!$F:$F,Receitas!$J:$J,"&lt;="&amp;$A898,Receitas!$L:$L,"&gt;="&amp;$A898,Receitas!$C:$C,Q$1,Receitas!$M:$M,"Mensal")+SUMIFS(Receitas!$F:$F,Receitas!$J:$J,"&lt;="&amp;$A898,Receitas!$L:$L,"&gt;="&amp;$A898,Receitas!$C:$C,Q$1,Receitas!$M:$M,$B898)</f>
        <v>0</v>
      </c>
      <c r="R898" s="18" cm="1">
        <f t="array" ref="R898">(IF(AND(Membros!$F$2="Sim",A898&lt;=MAX(Membros!$E$2:$E$5)),Membros!K$2,IF(AND(A898&gt;=Membros!J$2,A898&lt;=MAX(Membros!$E$2:$E$5)),Membros!K$2,0))+IF(AND(Membros!$F$3="Sim",A898&lt;=MAX(Membros!$E$2:$E$5)),Membros!K$3,IF(AND(A898&gt;=Membros!J$3,A898&lt;=MAX(Membros!$E$2:$E$5)),Membros!K$3,0)))*IF(AND(COUNTIFS(Tabela3[Tipo],"Provedor",Tabela3[Simulação Seguro],"Sim")=2,A898&gt;=MAX(IF(Tabela3[Tipo]="Dependente",Tabela3[Expectativa de Vida (Data)]))),0,1)</f>
        <v>0</v>
      </c>
      <c r="S898" s="18">
        <f t="shared" si="110"/>
        <v>0</v>
      </c>
      <c r="U898" s="18">
        <f t="shared" ca="1" si="113"/>
        <v>88410567.461387277</v>
      </c>
      <c r="V898" s="18">
        <f>SUMIF(Imóveis!E:E,Dados!A:A,Imóveis!Z:Z)-SUMIF(Imóveis!E:E,Dados!A:A,Imóveis!Y:Y)</f>
        <v>0</v>
      </c>
      <c r="W898" s="18">
        <f>-SUMIF(Projetos!N:N,A898,Projetos!F:F)</f>
        <v>0</v>
      </c>
      <c r="X898" s="18">
        <f t="shared" ref="X898:X961" si="115">(S898-N898)</f>
        <v>0</v>
      </c>
      <c r="Y898" s="26">
        <f ca="1">(U898*((Indicadores_Economicos!D$2+1)^(1/12)-1))</f>
        <v>289433.19186512439</v>
      </c>
      <c r="Z898" s="18">
        <f t="shared" ca="1" si="111"/>
        <v>88700000.653252408</v>
      </c>
      <c r="AA898" s="18">
        <f ca="1">Auxiliar_Projetos!E898</f>
        <v>7.3116987414433297E-9</v>
      </c>
      <c r="AB898" s="18">
        <f ca="1">Auxiliar_Projetos!K898</f>
        <v>5.6243836472640963E-9</v>
      </c>
      <c r="AC898" s="18">
        <f ca="1">IF(Z898-AA898-AB898&gt;Investimentos!$C$14,Investimentos!$C$14,IF(Z898-AA898-AB898&lt;Investimentos!$C$14,Z898-AA898-AB898,0))</f>
        <v>300000</v>
      </c>
      <c r="AD898" s="18">
        <f t="shared" ca="1" si="112"/>
        <v>88400000.653252408</v>
      </c>
      <c r="AE898" s="18"/>
    </row>
    <row r="899" spans="1:31" x14ac:dyDescent="0.2">
      <c r="A899" s="4">
        <v>72959</v>
      </c>
      <c r="B899" s="5" t="str">
        <f t="shared" ref="B899:B962" si="116">TEXT(A899,"MMMM")</f>
        <v>outubro</v>
      </c>
      <c r="C899" s="5" t="str">
        <f t="shared" si="114"/>
        <v>2099</v>
      </c>
      <c r="D899" s="5">
        <f>SUMIFS(Despesas!$F:$F,Despesas!$J:$J,"&lt;="&amp;$A899,Despesas!$L:$L,"&gt;="&amp;$A899,Despesas!$C:$C,D$1,Despesas!$M:$M,"Mensal")+SUMIFS(Despesas!$F:$F,Despesas!$J:$J,"&lt;="&amp;$A899,Despesas!$L:$L,"&gt;="&amp;$A899,Despesas!$C:$C,D$1,Despesas!$M:$M,$B899)</f>
        <v>0</v>
      </c>
      <c r="E899" s="18">
        <f>SUMIFS(Despesas!$F:$F,Despesas!$J:$J,"&lt;="&amp;$A899,Despesas!$L:$L,"&gt;="&amp;$A899,Despesas!$C:$C,E$1,Despesas!$M:$M,"Mensal")+SUMIFS(Despesas!$F:$F,Despesas!$J:$J,"&lt;="&amp;$A899,Despesas!$L:$L,"&gt;="&amp;$A899,Despesas!$C:$C,E$1,Despesas!$M:$M,$B899)</f>
        <v>0</v>
      </c>
      <c r="F899" s="5">
        <f>SUMIFS(Despesas!$F:$F,Despesas!$J:$J,"&lt;="&amp;$A899,Despesas!$L:$L,"&gt;="&amp;$A899,Despesas!$C:$C,F$1,Despesas!$M:$M,"Mensal")+SUMIFS(Despesas!$F:$F,Despesas!$J:$J,"&lt;="&amp;$A899,Despesas!$L:$L,"&gt;="&amp;$A899,Despesas!$C:$C,F$1,Despesas!$M:$M,$B899)</f>
        <v>0</v>
      </c>
      <c r="G899" s="5">
        <f>SUMIFS(Despesas!$F:$F,Despesas!$J:$J,"&lt;="&amp;$A899,Despesas!$L:$L,"&gt;="&amp;$A899,Despesas!$C:$C,G$1,Despesas!$M:$M,"Mensal")+SUMIFS(Despesas!$F:$F,Despesas!$J:$J,"&lt;="&amp;$A899,Despesas!$L:$L,"&gt;="&amp;$A899,Despesas!$C:$C,G$1,Despesas!$M:$M,$B899)</f>
        <v>0</v>
      </c>
      <c r="H899" s="18">
        <f>SUMIFS(Despesas!$F:$F,Despesas!$J:$J,"&lt;="&amp;$A899,Despesas!$L:$L,"&gt;="&amp;$A899,Despesas!$C:$C,H$1,Despesas!$M:$M,"Mensal")+SUMIFS(Despesas!$F:$F,Despesas!$J:$J,"&lt;="&amp;$A899,Despesas!$L:$L,"&gt;="&amp;$A899,Despesas!$C:$C,H$1,Despesas!$M:$M,$B899)</f>
        <v>0</v>
      </c>
      <c r="I899" s="18">
        <f>IF(Imóveis!$F$2="PRICE",IF(AND(Dados!$A899&gt;=Imóveis!$Q$2,Dados!$A899&lt;=Imóveis!$T$2),Imóveis!$U$2,0),IF((IF(AND(Dados!$A899&gt;=Imóveis!$Q$2,Dados!$A899&lt;=Imóveis!$T$2),Imóveis!$S$2-(DATEDIF(Imóveis!$Q$2,Dados!$A899,"m")),0))=0,0,((Imóveis!$N$2/Imóveis!$S$2)+((Imóveis!$N$2-((Imóveis!$S$2-(IF(AND(Dados!$A899&gt;=Imóveis!$Q$2,Dados!$A899&lt;=Imóveis!$T$2),Imóveis!$S$2-(DATEDIF(Imóveis!$Q$2,Dados!$A899,"m")),)))*(Imóveis!$N$2/Imóveis!$S$2)))*Imóveis!$P$2))))*IF(AND(Imóveis!$E$2&gt;0,Dados!$A899&gt;Imóveis!$E$2),0,1)</f>
        <v>0</v>
      </c>
      <c r="J899" s="18">
        <f>IF(Imóveis!$F$3="PRICE",IF(AND(Dados!$A899&gt;=Imóveis!$Q$3,Dados!$A899&lt;=Imóveis!$T$3),Imóveis!$U$3,0),IF((IF(AND(Dados!$A899&gt;=Imóveis!$Q$3,Dados!$A899&lt;=Imóveis!$T$3),Imóveis!$S$3-(DATEDIF(Imóveis!$Q$3,Dados!$A899,"m")),0))=0,0,((Imóveis!$N$3/Imóveis!$S$3)+((Imóveis!$N$3-((Imóveis!$S$3-(IF(AND(Dados!$A899&gt;=Imóveis!$Q$3,Dados!$A899&lt;=Imóveis!$T$3),Imóveis!$S$3-(DATEDIF(Imóveis!$Q$3,Dados!$A899,"m")),)))*(Imóveis!$N$3/Imóveis!$S$3)))*Imóveis!$P$3))))*IF(AND(Imóveis!$E$3&gt;0,Dados!$A899&gt;Imóveis!$E$3),0,1)</f>
        <v>0</v>
      </c>
      <c r="K899" s="18">
        <f>IF(Imóveis!$F$4="PRICE",IF(AND(Dados!$A899&gt;=Imóveis!$Q$4,Dados!$A899&lt;=Imóveis!$T$4),Imóveis!$U$4,0),IF((IF(AND(Dados!$A899&gt;=Imóveis!$Q$4,Dados!$A899&lt;=Imóveis!$T$4),Imóveis!$S$4-(DATEDIF(Imóveis!$Q$4,Dados!$A899,"m")),0))=0,0,((Imóveis!$N$4/Imóveis!$S$4)+((Imóveis!$N$4-((Imóveis!$S$4-(IF(AND(Dados!$A899&gt;=Imóveis!$Q$4,Dados!$A899&lt;=Imóveis!$T$4),Imóveis!$S$4-(DATEDIF(Imóveis!$Q$4,Dados!$A899,"m")),)))*(Imóveis!$N$4/Imóveis!$S$4)))*Imóveis!$P$4))))*IF(AND(Imóveis!$E$4&gt;0,Dados!$A899&gt;Imóveis!$E$4),0,1)</f>
        <v>0</v>
      </c>
      <c r="L899" s="18">
        <f>IF(Imóveis!$F$5="PRICE",IF(AND(Dados!$A899&gt;=Imóveis!$Q$5,Dados!$A899&lt;=Imóveis!$T$5),Imóveis!$U$5,0),IF((IF(AND(Dados!$A899&gt;=Imóveis!$Q$5,Dados!$A899&lt;=Imóveis!$T$5),Imóveis!$S$5-(DATEDIF(Imóveis!$Q$5,Dados!$A899,"m")),0))=0,0,((Imóveis!$N$5/Imóveis!$S$5)+((Imóveis!$N$5-((Imóveis!$S$5-(IF(AND(Dados!$A899 &gt;=Imóveis!$Q$5,Dados!$A899&lt;=Imóveis!$T$5),Imóveis!$S$5-(DATEDIF(Imóveis!$Q$5,Dados!$A899,"m")),)))*(Imóveis!$N$5/Imóveis!$S$5)))*Imóveis!$P$5))))*IF(AND(Imóveis!$E$5&gt;0,Dados!$A899&gt;Imóveis!$E$5),0,1)*Imóveis!$I$5</f>
        <v>0</v>
      </c>
      <c r="M899" s="18">
        <f>IF(Imóveis!$F$6="PRICE",IF(AND(Dados!$A899&gt;=Imóveis!$Q$6,Dados!$A899&lt;=Imóveis!$T$6),Imóveis!$U$6,0),IF((IF(AND(Dados!$A899&gt;=Imóveis!$Q$6,Dados!$A899&lt;=Imóveis!$T$6),Imóveis!$S$6-(DATEDIF(Imóveis!$Q$6,Dados!$A899,"m")),0))=0,0,((Imóveis!$N$6/Imóveis!$S$6)+((Imóveis!$N$6-((Imóveis!$S$6-(IF(AND(Dados!$A899&gt;=Imóveis!$Q$6,Dados!$A899&lt;=Imóveis!$T$6),Imóveis!$S$6-(DATEDIF(Imóveis!$Q$6,Dados!$A899,"m")),)))*(Imóveis!$N$6/Imóveis!$S$6)))*Imóveis!$P$6))))*IF(AND(Imóveis!$E$6&gt;0,Dados!$A899&gt;Imóveis!$E$6),0,1)*Imóveis!$I$6</f>
        <v>0</v>
      </c>
      <c r="N899" s="18">
        <f t="shared" ref="N899:N962" si="117">SUM(D899:M899)</f>
        <v>0</v>
      </c>
      <c r="O899" s="18">
        <f>SUMIFS(Receitas!$F:$F,Receitas!$J:$J,"&lt;="&amp;$A899,Receitas!$L:$L,"&gt;="&amp;$A899,Receitas!$C:$C,O$1,Receitas!$M:$M,"Mensal")+SUMIFS(Receitas!$F:$F,Receitas!$J:$J,"&lt;="&amp;$A899,Receitas!$L:$L,"&gt;="&amp;$A899,Receitas!$C:$C,O$1,Receitas!$M:$M,$B899)</f>
        <v>0</v>
      </c>
      <c r="P899" s="18">
        <f>SUMIFS(Receitas!$F:$F,Receitas!$J:$J,"&lt;="&amp;$A899,Receitas!$L:$L,"&gt;="&amp;$A899,Receitas!$C:$C,P$1,Receitas!$M:$M,"Mensal")+SUMIFS(Receitas!$F:$F,Receitas!$J:$J,"&lt;="&amp;$A899,Receitas!$L:$L,"&gt;="&amp;$A899,Receitas!$C:$C,P$1,Receitas!$M:$M,$B899)</f>
        <v>0</v>
      </c>
      <c r="Q899" s="18">
        <f>SUMIFS(Receitas!$F:$F,Receitas!$J:$J,"&lt;="&amp;$A899,Receitas!$L:$L,"&gt;="&amp;$A899,Receitas!$C:$C,Q$1,Receitas!$M:$M,"Mensal")+SUMIFS(Receitas!$F:$F,Receitas!$J:$J,"&lt;="&amp;$A899,Receitas!$L:$L,"&gt;="&amp;$A899,Receitas!$C:$C,Q$1,Receitas!$M:$M,$B899)</f>
        <v>0</v>
      </c>
      <c r="R899" s="18" cm="1">
        <f t="array" ref="R899">(IF(AND(Membros!$F$2="Sim",A899&lt;=MAX(Membros!$E$2:$E$5)),Membros!K$2,IF(AND(A899&gt;=Membros!J$2,A899&lt;=MAX(Membros!$E$2:$E$5)),Membros!K$2,0))+IF(AND(Membros!$F$3="Sim",A899&lt;=MAX(Membros!$E$2:$E$5)),Membros!K$3,IF(AND(A899&gt;=Membros!J$3,A899&lt;=MAX(Membros!$E$2:$E$5)),Membros!K$3,0)))*IF(AND(COUNTIFS(Tabela3[Tipo],"Provedor",Tabela3[Simulação Seguro],"Sim")=2,A899&gt;=MAX(IF(Tabela3[Tipo]="Dependente",Tabela3[Expectativa de Vida (Data)]))),0,1)</f>
        <v>0</v>
      </c>
      <c r="S899" s="18">
        <f t="shared" ref="S899:S962" si="118">O899+P899+Q899+R899</f>
        <v>0</v>
      </c>
      <c r="U899" s="18">
        <f t="shared" ca="1" si="113"/>
        <v>88700000.653252408</v>
      </c>
      <c r="V899" s="18">
        <f>SUMIF(Imóveis!E:E,Dados!A:A,Imóveis!Z:Z)-SUMIF(Imóveis!E:E,Dados!A:A,Imóveis!Y:Y)</f>
        <v>0</v>
      </c>
      <c r="W899" s="18">
        <f>-SUMIF(Projetos!N:N,A899,Projetos!F:F)</f>
        <v>0</v>
      </c>
      <c r="X899" s="18">
        <f t="shared" si="115"/>
        <v>0</v>
      </c>
      <c r="Y899" s="26">
        <f ca="1">(U899*((Indicadores_Economicos!D$2+1)^(1/12)-1))</f>
        <v>290380.7208196221</v>
      </c>
      <c r="Z899" s="18">
        <f t="shared" ref="Z899:Z962" ca="1" si="119">U899+V899+W899+X899+Y899</f>
        <v>88990381.37407203</v>
      </c>
      <c r="AA899" s="18">
        <f ca="1">Auxiliar_Projetos!E899</f>
        <v>7.3356353404886462E-9</v>
      </c>
      <c r="AB899" s="18">
        <f ca="1">Auxiliar_Projetos!K899</f>
        <v>5.642796415760494E-9</v>
      </c>
      <c r="AC899" s="18">
        <f ca="1">IF(Z899-AA899-AB899&gt;Investimentos!$C$14,Investimentos!$C$14,IF(Z899-AA899-AB899&lt;Investimentos!$C$14,Z899-AA899-AB899,0))</f>
        <v>300000</v>
      </c>
      <c r="AD899" s="18">
        <f t="shared" ref="AD899:AD962" ca="1" si="120">Z899-AA899-AB899-AC899</f>
        <v>88690381.37407203</v>
      </c>
      <c r="AE899" s="18"/>
    </row>
    <row r="900" spans="1:31" x14ac:dyDescent="0.2">
      <c r="A900" s="4">
        <v>72990</v>
      </c>
      <c r="B900" s="5" t="str">
        <f t="shared" si="116"/>
        <v>novembro</v>
      </c>
      <c r="C900" s="5" t="str">
        <f t="shared" si="114"/>
        <v>2099</v>
      </c>
      <c r="D900" s="5">
        <f>SUMIFS(Despesas!$F:$F,Despesas!$J:$J,"&lt;="&amp;$A900,Despesas!$L:$L,"&gt;="&amp;$A900,Despesas!$C:$C,D$1,Despesas!$M:$M,"Mensal")+SUMIFS(Despesas!$F:$F,Despesas!$J:$J,"&lt;="&amp;$A900,Despesas!$L:$L,"&gt;="&amp;$A900,Despesas!$C:$C,D$1,Despesas!$M:$M,$B900)</f>
        <v>0</v>
      </c>
      <c r="E900" s="18">
        <f>SUMIFS(Despesas!$F:$F,Despesas!$J:$J,"&lt;="&amp;$A900,Despesas!$L:$L,"&gt;="&amp;$A900,Despesas!$C:$C,E$1,Despesas!$M:$M,"Mensal")+SUMIFS(Despesas!$F:$F,Despesas!$J:$J,"&lt;="&amp;$A900,Despesas!$L:$L,"&gt;="&amp;$A900,Despesas!$C:$C,E$1,Despesas!$M:$M,$B900)</f>
        <v>0</v>
      </c>
      <c r="F900" s="5">
        <f>SUMIFS(Despesas!$F:$F,Despesas!$J:$J,"&lt;="&amp;$A900,Despesas!$L:$L,"&gt;="&amp;$A900,Despesas!$C:$C,F$1,Despesas!$M:$M,"Mensal")+SUMIFS(Despesas!$F:$F,Despesas!$J:$J,"&lt;="&amp;$A900,Despesas!$L:$L,"&gt;="&amp;$A900,Despesas!$C:$C,F$1,Despesas!$M:$M,$B900)</f>
        <v>0</v>
      </c>
      <c r="G900" s="5">
        <f>SUMIFS(Despesas!$F:$F,Despesas!$J:$J,"&lt;="&amp;$A900,Despesas!$L:$L,"&gt;="&amp;$A900,Despesas!$C:$C,G$1,Despesas!$M:$M,"Mensal")+SUMIFS(Despesas!$F:$F,Despesas!$J:$J,"&lt;="&amp;$A900,Despesas!$L:$L,"&gt;="&amp;$A900,Despesas!$C:$C,G$1,Despesas!$M:$M,$B900)</f>
        <v>0</v>
      </c>
      <c r="H900" s="18">
        <f>SUMIFS(Despesas!$F:$F,Despesas!$J:$J,"&lt;="&amp;$A900,Despesas!$L:$L,"&gt;="&amp;$A900,Despesas!$C:$C,H$1,Despesas!$M:$M,"Mensal")+SUMIFS(Despesas!$F:$F,Despesas!$J:$J,"&lt;="&amp;$A900,Despesas!$L:$L,"&gt;="&amp;$A900,Despesas!$C:$C,H$1,Despesas!$M:$M,$B900)</f>
        <v>0</v>
      </c>
      <c r="I900" s="18">
        <f>IF(Imóveis!$F$2="PRICE",IF(AND(Dados!$A900&gt;=Imóveis!$Q$2,Dados!$A900&lt;=Imóveis!$T$2),Imóveis!$U$2,0),IF((IF(AND(Dados!$A900&gt;=Imóveis!$Q$2,Dados!$A900&lt;=Imóveis!$T$2),Imóveis!$S$2-(DATEDIF(Imóveis!$Q$2,Dados!$A900,"m")),0))=0,0,((Imóveis!$N$2/Imóveis!$S$2)+((Imóveis!$N$2-((Imóveis!$S$2-(IF(AND(Dados!$A900&gt;=Imóveis!$Q$2,Dados!$A900&lt;=Imóveis!$T$2),Imóveis!$S$2-(DATEDIF(Imóveis!$Q$2,Dados!$A900,"m")),)))*(Imóveis!$N$2/Imóveis!$S$2)))*Imóveis!$P$2))))*IF(AND(Imóveis!$E$2&gt;0,Dados!$A900&gt;Imóveis!$E$2),0,1)</f>
        <v>0</v>
      </c>
      <c r="J900" s="18">
        <f>IF(Imóveis!$F$3="PRICE",IF(AND(Dados!$A900&gt;=Imóveis!$Q$3,Dados!$A900&lt;=Imóveis!$T$3),Imóveis!$U$3,0),IF((IF(AND(Dados!$A900&gt;=Imóveis!$Q$3,Dados!$A900&lt;=Imóveis!$T$3),Imóveis!$S$3-(DATEDIF(Imóveis!$Q$3,Dados!$A900,"m")),0))=0,0,((Imóveis!$N$3/Imóveis!$S$3)+((Imóveis!$N$3-((Imóveis!$S$3-(IF(AND(Dados!$A900&gt;=Imóveis!$Q$3,Dados!$A900&lt;=Imóveis!$T$3),Imóveis!$S$3-(DATEDIF(Imóveis!$Q$3,Dados!$A900,"m")),)))*(Imóveis!$N$3/Imóveis!$S$3)))*Imóveis!$P$3))))*IF(AND(Imóveis!$E$3&gt;0,Dados!$A900&gt;Imóveis!$E$3),0,1)</f>
        <v>0</v>
      </c>
      <c r="K900" s="18">
        <f>IF(Imóveis!$F$4="PRICE",IF(AND(Dados!$A900&gt;=Imóveis!$Q$4,Dados!$A900&lt;=Imóveis!$T$4),Imóveis!$U$4,0),IF((IF(AND(Dados!$A900&gt;=Imóveis!$Q$4,Dados!$A900&lt;=Imóveis!$T$4),Imóveis!$S$4-(DATEDIF(Imóveis!$Q$4,Dados!$A900,"m")),0))=0,0,((Imóveis!$N$4/Imóveis!$S$4)+((Imóveis!$N$4-((Imóveis!$S$4-(IF(AND(Dados!$A900&gt;=Imóveis!$Q$4,Dados!$A900&lt;=Imóveis!$T$4),Imóveis!$S$4-(DATEDIF(Imóveis!$Q$4,Dados!$A900,"m")),)))*(Imóveis!$N$4/Imóveis!$S$4)))*Imóveis!$P$4))))*IF(AND(Imóveis!$E$4&gt;0,Dados!$A900&gt;Imóveis!$E$4),0,1)</f>
        <v>0</v>
      </c>
      <c r="L900" s="18">
        <f>IF(Imóveis!$F$5="PRICE",IF(AND(Dados!$A900&gt;=Imóveis!$Q$5,Dados!$A900&lt;=Imóveis!$T$5),Imóveis!$U$5,0),IF((IF(AND(Dados!$A900&gt;=Imóveis!$Q$5,Dados!$A900&lt;=Imóveis!$T$5),Imóveis!$S$5-(DATEDIF(Imóveis!$Q$5,Dados!$A900,"m")),0))=0,0,((Imóveis!$N$5/Imóveis!$S$5)+((Imóveis!$N$5-((Imóveis!$S$5-(IF(AND(Dados!$A900 &gt;=Imóveis!$Q$5,Dados!$A900&lt;=Imóveis!$T$5),Imóveis!$S$5-(DATEDIF(Imóveis!$Q$5,Dados!$A900,"m")),)))*(Imóveis!$N$5/Imóveis!$S$5)))*Imóveis!$P$5))))*IF(AND(Imóveis!$E$5&gt;0,Dados!$A900&gt;Imóveis!$E$5),0,1)*Imóveis!$I$5</f>
        <v>0</v>
      </c>
      <c r="M900" s="18">
        <f>IF(Imóveis!$F$6="PRICE",IF(AND(Dados!$A900&gt;=Imóveis!$Q$6,Dados!$A900&lt;=Imóveis!$T$6),Imóveis!$U$6,0),IF((IF(AND(Dados!$A900&gt;=Imóveis!$Q$6,Dados!$A900&lt;=Imóveis!$T$6),Imóveis!$S$6-(DATEDIF(Imóveis!$Q$6,Dados!$A900,"m")),0))=0,0,((Imóveis!$N$6/Imóveis!$S$6)+((Imóveis!$N$6-((Imóveis!$S$6-(IF(AND(Dados!$A900&gt;=Imóveis!$Q$6,Dados!$A900&lt;=Imóveis!$T$6),Imóveis!$S$6-(DATEDIF(Imóveis!$Q$6,Dados!$A900,"m")),)))*(Imóveis!$N$6/Imóveis!$S$6)))*Imóveis!$P$6))))*IF(AND(Imóveis!$E$6&gt;0,Dados!$A900&gt;Imóveis!$E$6),0,1)*Imóveis!$I$6</f>
        <v>0</v>
      </c>
      <c r="N900" s="18">
        <f t="shared" si="117"/>
        <v>0</v>
      </c>
      <c r="O900" s="18">
        <f>SUMIFS(Receitas!$F:$F,Receitas!$J:$J,"&lt;="&amp;$A900,Receitas!$L:$L,"&gt;="&amp;$A900,Receitas!$C:$C,O$1,Receitas!$M:$M,"Mensal")+SUMIFS(Receitas!$F:$F,Receitas!$J:$J,"&lt;="&amp;$A900,Receitas!$L:$L,"&gt;="&amp;$A900,Receitas!$C:$C,O$1,Receitas!$M:$M,$B900)</f>
        <v>0</v>
      </c>
      <c r="P900" s="18">
        <f>SUMIFS(Receitas!$F:$F,Receitas!$J:$J,"&lt;="&amp;$A900,Receitas!$L:$L,"&gt;="&amp;$A900,Receitas!$C:$C,P$1,Receitas!$M:$M,"Mensal")+SUMIFS(Receitas!$F:$F,Receitas!$J:$J,"&lt;="&amp;$A900,Receitas!$L:$L,"&gt;="&amp;$A900,Receitas!$C:$C,P$1,Receitas!$M:$M,$B900)</f>
        <v>0</v>
      </c>
      <c r="Q900" s="18">
        <f>SUMIFS(Receitas!$F:$F,Receitas!$J:$J,"&lt;="&amp;$A900,Receitas!$L:$L,"&gt;="&amp;$A900,Receitas!$C:$C,Q$1,Receitas!$M:$M,"Mensal")+SUMIFS(Receitas!$F:$F,Receitas!$J:$J,"&lt;="&amp;$A900,Receitas!$L:$L,"&gt;="&amp;$A900,Receitas!$C:$C,Q$1,Receitas!$M:$M,$B900)</f>
        <v>0</v>
      </c>
      <c r="R900" s="18" cm="1">
        <f t="array" ref="R900">(IF(AND(Membros!$F$2="Sim",A900&lt;=MAX(Membros!$E$2:$E$5)),Membros!K$2,IF(AND(A900&gt;=Membros!J$2,A900&lt;=MAX(Membros!$E$2:$E$5)),Membros!K$2,0))+IF(AND(Membros!$F$3="Sim",A900&lt;=MAX(Membros!$E$2:$E$5)),Membros!K$3,IF(AND(A900&gt;=Membros!J$3,A900&lt;=MAX(Membros!$E$2:$E$5)),Membros!K$3,0)))*IF(AND(COUNTIFS(Tabela3[Tipo],"Provedor",Tabela3[Simulação Seguro],"Sim")=2,A900&gt;=MAX(IF(Tabela3[Tipo]="Dependente",Tabela3[Expectativa de Vida (Data)]))),0,1)</f>
        <v>0</v>
      </c>
      <c r="S900" s="18">
        <f t="shared" si="118"/>
        <v>0</v>
      </c>
      <c r="U900" s="18">
        <f t="shared" ref="U900:U963" ca="1" si="121">Z899</f>
        <v>88990381.37407203</v>
      </c>
      <c r="V900" s="18">
        <f>SUMIF(Imóveis!E:E,Dados!A:A,Imóveis!Z:Z)-SUMIF(Imóveis!E:E,Dados!A:A,Imóveis!Y:Y)</f>
        <v>0</v>
      </c>
      <c r="W900" s="18">
        <f>-SUMIF(Projetos!N:N,A900,Projetos!F:F)</f>
        <v>0</v>
      </c>
      <c r="X900" s="18">
        <f t="shared" si="115"/>
        <v>0</v>
      </c>
      <c r="Y900" s="26">
        <f ca="1">(U900*((Indicadores_Economicos!D$2+1)^(1/12)-1))</f>
        <v>291331.3517373529</v>
      </c>
      <c r="Z900" s="18">
        <f t="shared" ca="1" si="119"/>
        <v>89281712.72580938</v>
      </c>
      <c r="AA900" s="18">
        <f ca="1">Auxiliar_Projetos!E900</f>
        <v>7.3596503017305086E-9</v>
      </c>
      <c r="AB900" s="18">
        <f ca="1">Auxiliar_Projetos!K900</f>
        <v>5.6612694628696185E-9</v>
      </c>
      <c r="AC900" s="18">
        <f ca="1">IF(Z900-AA900-AB900&gt;Investimentos!$C$14,Investimentos!$C$14,IF(Z900-AA900-AB900&lt;Investimentos!$C$14,Z900-AA900-AB900,0))</f>
        <v>300000</v>
      </c>
      <c r="AD900" s="18">
        <f t="shared" ca="1" si="120"/>
        <v>88981712.72580938</v>
      </c>
      <c r="AE900" s="18"/>
    </row>
    <row r="901" spans="1:31" x14ac:dyDescent="0.2">
      <c r="A901" s="4">
        <v>73020</v>
      </c>
      <c r="B901" s="5" t="str">
        <f t="shared" si="116"/>
        <v>dezembro</v>
      </c>
      <c r="C901" s="5" t="str">
        <f t="shared" si="114"/>
        <v>2099</v>
      </c>
      <c r="D901" s="5">
        <f>SUMIFS(Despesas!$F:$F,Despesas!$J:$J,"&lt;="&amp;$A901,Despesas!$L:$L,"&gt;="&amp;$A901,Despesas!$C:$C,D$1,Despesas!$M:$M,"Mensal")+SUMIFS(Despesas!$F:$F,Despesas!$J:$J,"&lt;="&amp;$A901,Despesas!$L:$L,"&gt;="&amp;$A901,Despesas!$C:$C,D$1,Despesas!$M:$M,$B901)</f>
        <v>0</v>
      </c>
      <c r="E901" s="18">
        <f>SUMIFS(Despesas!$F:$F,Despesas!$J:$J,"&lt;="&amp;$A901,Despesas!$L:$L,"&gt;="&amp;$A901,Despesas!$C:$C,E$1,Despesas!$M:$M,"Mensal")+SUMIFS(Despesas!$F:$F,Despesas!$J:$J,"&lt;="&amp;$A901,Despesas!$L:$L,"&gt;="&amp;$A901,Despesas!$C:$C,E$1,Despesas!$M:$M,$B901)</f>
        <v>0</v>
      </c>
      <c r="F901" s="5">
        <f>SUMIFS(Despesas!$F:$F,Despesas!$J:$J,"&lt;="&amp;$A901,Despesas!$L:$L,"&gt;="&amp;$A901,Despesas!$C:$C,F$1,Despesas!$M:$M,"Mensal")+SUMIFS(Despesas!$F:$F,Despesas!$J:$J,"&lt;="&amp;$A901,Despesas!$L:$L,"&gt;="&amp;$A901,Despesas!$C:$C,F$1,Despesas!$M:$M,$B901)</f>
        <v>0</v>
      </c>
      <c r="G901" s="5">
        <f>SUMIFS(Despesas!$F:$F,Despesas!$J:$J,"&lt;="&amp;$A901,Despesas!$L:$L,"&gt;="&amp;$A901,Despesas!$C:$C,G$1,Despesas!$M:$M,"Mensal")+SUMIFS(Despesas!$F:$F,Despesas!$J:$J,"&lt;="&amp;$A901,Despesas!$L:$L,"&gt;="&amp;$A901,Despesas!$C:$C,G$1,Despesas!$M:$M,$B901)</f>
        <v>0</v>
      </c>
      <c r="H901" s="18">
        <f>SUMIFS(Despesas!$F:$F,Despesas!$J:$J,"&lt;="&amp;$A901,Despesas!$L:$L,"&gt;="&amp;$A901,Despesas!$C:$C,H$1,Despesas!$M:$M,"Mensal")+SUMIFS(Despesas!$F:$F,Despesas!$J:$J,"&lt;="&amp;$A901,Despesas!$L:$L,"&gt;="&amp;$A901,Despesas!$C:$C,H$1,Despesas!$M:$M,$B901)</f>
        <v>0</v>
      </c>
      <c r="I901" s="18">
        <f>IF(Imóveis!$F$2="PRICE",IF(AND(Dados!$A901&gt;=Imóveis!$Q$2,Dados!$A901&lt;=Imóveis!$T$2),Imóveis!$U$2,0),IF((IF(AND(Dados!$A901&gt;=Imóveis!$Q$2,Dados!$A901&lt;=Imóveis!$T$2),Imóveis!$S$2-(DATEDIF(Imóveis!$Q$2,Dados!$A901,"m")),0))=0,0,((Imóveis!$N$2/Imóveis!$S$2)+((Imóveis!$N$2-((Imóveis!$S$2-(IF(AND(Dados!$A901&gt;=Imóveis!$Q$2,Dados!$A901&lt;=Imóveis!$T$2),Imóveis!$S$2-(DATEDIF(Imóveis!$Q$2,Dados!$A901,"m")),)))*(Imóveis!$N$2/Imóveis!$S$2)))*Imóveis!$P$2))))*IF(AND(Imóveis!$E$2&gt;0,Dados!$A901&gt;Imóveis!$E$2),0,1)</f>
        <v>0</v>
      </c>
      <c r="J901" s="18">
        <f>IF(Imóveis!$F$3="PRICE",IF(AND(Dados!$A901&gt;=Imóveis!$Q$3,Dados!$A901&lt;=Imóveis!$T$3),Imóveis!$U$3,0),IF((IF(AND(Dados!$A901&gt;=Imóveis!$Q$3,Dados!$A901&lt;=Imóveis!$T$3),Imóveis!$S$3-(DATEDIF(Imóveis!$Q$3,Dados!$A901,"m")),0))=0,0,((Imóveis!$N$3/Imóveis!$S$3)+((Imóveis!$N$3-((Imóveis!$S$3-(IF(AND(Dados!$A901&gt;=Imóveis!$Q$3,Dados!$A901&lt;=Imóveis!$T$3),Imóveis!$S$3-(DATEDIF(Imóveis!$Q$3,Dados!$A901,"m")),)))*(Imóveis!$N$3/Imóveis!$S$3)))*Imóveis!$P$3))))*IF(AND(Imóveis!$E$3&gt;0,Dados!$A901&gt;Imóveis!$E$3),0,1)</f>
        <v>0</v>
      </c>
      <c r="K901" s="18">
        <f>IF(Imóveis!$F$4="PRICE",IF(AND(Dados!$A901&gt;=Imóveis!$Q$4,Dados!$A901&lt;=Imóveis!$T$4),Imóveis!$U$4,0),IF((IF(AND(Dados!$A901&gt;=Imóveis!$Q$4,Dados!$A901&lt;=Imóveis!$T$4),Imóveis!$S$4-(DATEDIF(Imóveis!$Q$4,Dados!$A901,"m")),0))=0,0,((Imóveis!$N$4/Imóveis!$S$4)+((Imóveis!$N$4-((Imóveis!$S$4-(IF(AND(Dados!$A901&gt;=Imóveis!$Q$4,Dados!$A901&lt;=Imóveis!$T$4),Imóveis!$S$4-(DATEDIF(Imóveis!$Q$4,Dados!$A901,"m")),)))*(Imóveis!$N$4/Imóveis!$S$4)))*Imóveis!$P$4))))*IF(AND(Imóveis!$E$4&gt;0,Dados!$A901&gt;Imóveis!$E$4),0,1)</f>
        <v>0</v>
      </c>
      <c r="L901" s="18">
        <f>IF(Imóveis!$F$5="PRICE",IF(AND(Dados!$A901&gt;=Imóveis!$Q$5,Dados!$A901&lt;=Imóveis!$T$5),Imóveis!$U$5,0),IF((IF(AND(Dados!$A901&gt;=Imóveis!$Q$5,Dados!$A901&lt;=Imóveis!$T$5),Imóveis!$S$5-(DATEDIF(Imóveis!$Q$5,Dados!$A901,"m")),0))=0,0,((Imóveis!$N$5/Imóveis!$S$5)+((Imóveis!$N$5-((Imóveis!$S$5-(IF(AND(Dados!$A901 &gt;=Imóveis!$Q$5,Dados!$A901&lt;=Imóveis!$T$5),Imóveis!$S$5-(DATEDIF(Imóveis!$Q$5,Dados!$A901,"m")),)))*(Imóveis!$N$5/Imóveis!$S$5)))*Imóveis!$P$5))))*IF(AND(Imóveis!$E$5&gt;0,Dados!$A901&gt;Imóveis!$E$5),0,1)*Imóveis!$I$5</f>
        <v>0</v>
      </c>
      <c r="M901" s="18">
        <f>IF(Imóveis!$F$6="PRICE",IF(AND(Dados!$A901&gt;=Imóveis!$Q$6,Dados!$A901&lt;=Imóveis!$T$6),Imóveis!$U$6,0),IF((IF(AND(Dados!$A901&gt;=Imóveis!$Q$6,Dados!$A901&lt;=Imóveis!$T$6),Imóveis!$S$6-(DATEDIF(Imóveis!$Q$6,Dados!$A901,"m")),0))=0,0,((Imóveis!$N$6/Imóveis!$S$6)+((Imóveis!$N$6-((Imóveis!$S$6-(IF(AND(Dados!$A901&gt;=Imóveis!$Q$6,Dados!$A901&lt;=Imóveis!$T$6),Imóveis!$S$6-(DATEDIF(Imóveis!$Q$6,Dados!$A901,"m")),)))*(Imóveis!$N$6/Imóveis!$S$6)))*Imóveis!$P$6))))*IF(AND(Imóveis!$E$6&gt;0,Dados!$A901&gt;Imóveis!$E$6),0,1)*Imóveis!$I$6</f>
        <v>0</v>
      </c>
      <c r="N901" s="18">
        <f t="shared" si="117"/>
        <v>0</v>
      </c>
      <c r="O901" s="18">
        <f>SUMIFS(Receitas!$F:$F,Receitas!$J:$J,"&lt;="&amp;$A901,Receitas!$L:$L,"&gt;="&amp;$A901,Receitas!$C:$C,O$1,Receitas!$M:$M,"Mensal")+SUMIFS(Receitas!$F:$F,Receitas!$J:$J,"&lt;="&amp;$A901,Receitas!$L:$L,"&gt;="&amp;$A901,Receitas!$C:$C,O$1,Receitas!$M:$M,$B901)</f>
        <v>0</v>
      </c>
      <c r="P901" s="18">
        <f>SUMIFS(Receitas!$F:$F,Receitas!$J:$J,"&lt;="&amp;$A901,Receitas!$L:$L,"&gt;="&amp;$A901,Receitas!$C:$C,P$1,Receitas!$M:$M,"Mensal")+SUMIFS(Receitas!$F:$F,Receitas!$J:$J,"&lt;="&amp;$A901,Receitas!$L:$L,"&gt;="&amp;$A901,Receitas!$C:$C,P$1,Receitas!$M:$M,$B901)</f>
        <v>0</v>
      </c>
      <c r="Q901" s="18">
        <f>SUMIFS(Receitas!$F:$F,Receitas!$J:$J,"&lt;="&amp;$A901,Receitas!$L:$L,"&gt;="&amp;$A901,Receitas!$C:$C,Q$1,Receitas!$M:$M,"Mensal")+SUMIFS(Receitas!$F:$F,Receitas!$J:$J,"&lt;="&amp;$A901,Receitas!$L:$L,"&gt;="&amp;$A901,Receitas!$C:$C,Q$1,Receitas!$M:$M,$B901)</f>
        <v>0</v>
      </c>
      <c r="R901" s="18" cm="1">
        <f t="array" ref="R901">(IF(AND(Membros!$F$2="Sim",A901&lt;=MAX(Membros!$E$2:$E$5)),Membros!K$2,IF(AND(A901&gt;=Membros!J$2,A901&lt;=MAX(Membros!$E$2:$E$5)),Membros!K$2,0))+IF(AND(Membros!$F$3="Sim",A901&lt;=MAX(Membros!$E$2:$E$5)),Membros!K$3,IF(AND(A901&gt;=Membros!J$3,A901&lt;=MAX(Membros!$E$2:$E$5)),Membros!K$3,0)))*IF(AND(COUNTIFS(Tabela3[Tipo],"Provedor",Tabela3[Simulação Seguro],"Sim")=2,A901&gt;=MAX(IF(Tabela3[Tipo]="Dependente",Tabela3[Expectativa de Vida (Data)]))),0,1)</f>
        <v>0</v>
      </c>
      <c r="S901" s="18">
        <f t="shared" si="118"/>
        <v>0</v>
      </c>
      <c r="U901" s="18">
        <f t="shared" ca="1" si="121"/>
        <v>89281712.72580938</v>
      </c>
      <c r="V901" s="18">
        <f>SUMIF(Imóveis!E:E,Dados!A:A,Imóveis!Z:Z)-SUMIF(Imóveis!E:E,Dados!A:A,Imóveis!Y:Y)</f>
        <v>0</v>
      </c>
      <c r="W901" s="18">
        <f>-SUMIF(Projetos!N:N,A901,Projetos!F:F)</f>
        <v>0</v>
      </c>
      <c r="X901" s="18">
        <f t="shared" si="115"/>
        <v>0</v>
      </c>
      <c r="Y901" s="26">
        <f ca="1">(U901*((Indicadores_Economicos!D$2+1)^(1/12)-1))</f>
        <v>292285.09477333724</v>
      </c>
      <c r="Z901" s="18">
        <f t="shared" ca="1" si="119"/>
        <v>89573997.820582718</v>
      </c>
      <c r="AA901" s="18">
        <f ca="1">Auxiliar_Projetos!E901</f>
        <v>7.383743881706356E-9</v>
      </c>
      <c r="AB901" s="18">
        <f ca="1">Auxiliar_Projetos!K901</f>
        <v>5.6798029859279624E-9</v>
      </c>
      <c r="AC901" s="18">
        <f ca="1">IF(Z901-AA901-AB901&gt;Investimentos!$C$14,Investimentos!$C$14,IF(Z901-AA901-AB901&lt;Investimentos!$C$14,Z901-AA901-AB901,0))</f>
        <v>300000</v>
      </c>
      <c r="AD901" s="18">
        <f t="shared" ca="1" si="120"/>
        <v>89273997.820582718</v>
      </c>
      <c r="AE901" s="18"/>
    </row>
    <row r="902" spans="1:31" x14ac:dyDescent="0.2">
      <c r="A902" s="4">
        <v>73051</v>
      </c>
      <c r="B902" s="5" t="str">
        <f t="shared" si="116"/>
        <v>janeiro</v>
      </c>
      <c r="C902" s="5" t="str">
        <f t="shared" si="114"/>
        <v>2100</v>
      </c>
      <c r="D902" s="5">
        <f>SUMIFS(Despesas!$F:$F,Despesas!$J:$J,"&lt;="&amp;$A902,Despesas!$L:$L,"&gt;="&amp;$A902,Despesas!$C:$C,D$1,Despesas!$M:$M,"Mensal")+SUMIFS(Despesas!$F:$F,Despesas!$J:$J,"&lt;="&amp;$A902,Despesas!$L:$L,"&gt;="&amp;$A902,Despesas!$C:$C,D$1,Despesas!$M:$M,$B902)</f>
        <v>0</v>
      </c>
      <c r="E902" s="18">
        <f>SUMIFS(Despesas!$F:$F,Despesas!$J:$J,"&lt;="&amp;$A902,Despesas!$L:$L,"&gt;="&amp;$A902,Despesas!$C:$C,E$1,Despesas!$M:$M,"Mensal")+SUMIFS(Despesas!$F:$F,Despesas!$J:$J,"&lt;="&amp;$A902,Despesas!$L:$L,"&gt;="&amp;$A902,Despesas!$C:$C,E$1,Despesas!$M:$M,$B902)</f>
        <v>0</v>
      </c>
      <c r="F902" s="5">
        <f>SUMIFS(Despesas!$F:$F,Despesas!$J:$J,"&lt;="&amp;$A902,Despesas!$L:$L,"&gt;="&amp;$A902,Despesas!$C:$C,F$1,Despesas!$M:$M,"Mensal")+SUMIFS(Despesas!$F:$F,Despesas!$J:$J,"&lt;="&amp;$A902,Despesas!$L:$L,"&gt;="&amp;$A902,Despesas!$C:$C,F$1,Despesas!$M:$M,$B902)</f>
        <v>0</v>
      </c>
      <c r="G902" s="5">
        <f>SUMIFS(Despesas!$F:$F,Despesas!$J:$J,"&lt;="&amp;$A902,Despesas!$L:$L,"&gt;="&amp;$A902,Despesas!$C:$C,G$1,Despesas!$M:$M,"Mensal")+SUMIFS(Despesas!$F:$F,Despesas!$J:$J,"&lt;="&amp;$A902,Despesas!$L:$L,"&gt;="&amp;$A902,Despesas!$C:$C,G$1,Despesas!$M:$M,$B902)</f>
        <v>0</v>
      </c>
      <c r="H902" s="18">
        <f>SUMIFS(Despesas!$F:$F,Despesas!$J:$J,"&lt;="&amp;$A902,Despesas!$L:$L,"&gt;="&amp;$A902,Despesas!$C:$C,H$1,Despesas!$M:$M,"Mensal")+SUMIFS(Despesas!$F:$F,Despesas!$J:$J,"&lt;="&amp;$A902,Despesas!$L:$L,"&gt;="&amp;$A902,Despesas!$C:$C,H$1,Despesas!$M:$M,$B902)</f>
        <v>0</v>
      </c>
      <c r="I902" s="18">
        <f>IF(Imóveis!$F$2="PRICE",IF(AND(Dados!$A902&gt;=Imóveis!$Q$2,Dados!$A902&lt;=Imóveis!$T$2),Imóveis!$U$2,0),IF((IF(AND(Dados!$A902&gt;=Imóveis!$Q$2,Dados!$A902&lt;=Imóveis!$T$2),Imóveis!$S$2-(DATEDIF(Imóveis!$Q$2,Dados!$A902,"m")),0))=0,0,((Imóveis!$N$2/Imóveis!$S$2)+((Imóveis!$N$2-((Imóveis!$S$2-(IF(AND(Dados!$A902&gt;=Imóveis!$Q$2,Dados!$A902&lt;=Imóveis!$T$2),Imóveis!$S$2-(DATEDIF(Imóveis!$Q$2,Dados!$A902,"m")),)))*(Imóveis!$N$2/Imóveis!$S$2)))*Imóveis!$P$2))))*IF(AND(Imóveis!$E$2&gt;0,Dados!$A902&gt;Imóveis!$E$2),0,1)</f>
        <v>0</v>
      </c>
      <c r="J902" s="18">
        <f>IF(Imóveis!$F$3="PRICE",IF(AND(Dados!$A902&gt;=Imóveis!$Q$3,Dados!$A902&lt;=Imóveis!$T$3),Imóveis!$U$3,0),IF((IF(AND(Dados!$A902&gt;=Imóveis!$Q$3,Dados!$A902&lt;=Imóveis!$T$3),Imóveis!$S$3-(DATEDIF(Imóveis!$Q$3,Dados!$A902,"m")),0))=0,0,((Imóveis!$N$3/Imóveis!$S$3)+((Imóveis!$N$3-((Imóveis!$S$3-(IF(AND(Dados!$A902&gt;=Imóveis!$Q$3,Dados!$A902&lt;=Imóveis!$T$3),Imóveis!$S$3-(DATEDIF(Imóveis!$Q$3,Dados!$A902,"m")),)))*(Imóveis!$N$3/Imóveis!$S$3)))*Imóveis!$P$3))))*IF(AND(Imóveis!$E$3&gt;0,Dados!$A902&gt;Imóveis!$E$3),0,1)</f>
        <v>0</v>
      </c>
      <c r="K902" s="18">
        <f>IF(Imóveis!$F$4="PRICE",IF(AND(Dados!$A902&gt;=Imóveis!$Q$4,Dados!$A902&lt;=Imóveis!$T$4),Imóveis!$U$4,0),IF((IF(AND(Dados!$A902&gt;=Imóveis!$Q$4,Dados!$A902&lt;=Imóveis!$T$4),Imóveis!$S$4-(DATEDIF(Imóveis!$Q$4,Dados!$A902,"m")),0))=0,0,((Imóveis!$N$4/Imóveis!$S$4)+((Imóveis!$N$4-((Imóveis!$S$4-(IF(AND(Dados!$A902&gt;=Imóveis!$Q$4,Dados!$A902&lt;=Imóveis!$T$4),Imóveis!$S$4-(DATEDIF(Imóveis!$Q$4,Dados!$A902,"m")),)))*(Imóveis!$N$4/Imóveis!$S$4)))*Imóveis!$P$4))))*IF(AND(Imóveis!$E$4&gt;0,Dados!$A902&gt;Imóveis!$E$4),0,1)</f>
        <v>0</v>
      </c>
      <c r="L902" s="18">
        <f>IF(Imóveis!$F$5="PRICE",IF(AND(Dados!$A902&gt;=Imóveis!$Q$5,Dados!$A902&lt;=Imóveis!$T$5),Imóveis!$U$5,0),IF((IF(AND(Dados!$A902&gt;=Imóveis!$Q$5,Dados!$A902&lt;=Imóveis!$T$5),Imóveis!$S$5-(DATEDIF(Imóveis!$Q$5,Dados!$A902,"m")),0))=0,0,((Imóveis!$N$5/Imóveis!$S$5)+((Imóveis!$N$5-((Imóveis!$S$5-(IF(AND(Dados!$A902 &gt;=Imóveis!$Q$5,Dados!$A902&lt;=Imóveis!$T$5),Imóveis!$S$5-(DATEDIF(Imóveis!$Q$5,Dados!$A902,"m")),)))*(Imóveis!$N$5/Imóveis!$S$5)))*Imóveis!$P$5))))*IF(AND(Imóveis!$E$5&gt;0,Dados!$A902&gt;Imóveis!$E$5),0,1)*Imóveis!$I$5</f>
        <v>0</v>
      </c>
      <c r="M902" s="18">
        <f>IF(Imóveis!$F$6="PRICE",IF(AND(Dados!$A902&gt;=Imóveis!$Q$6,Dados!$A902&lt;=Imóveis!$T$6),Imóveis!$U$6,0),IF((IF(AND(Dados!$A902&gt;=Imóveis!$Q$6,Dados!$A902&lt;=Imóveis!$T$6),Imóveis!$S$6-(DATEDIF(Imóveis!$Q$6,Dados!$A902,"m")),0))=0,0,((Imóveis!$N$6/Imóveis!$S$6)+((Imóveis!$N$6-((Imóveis!$S$6-(IF(AND(Dados!$A902&gt;=Imóveis!$Q$6,Dados!$A902&lt;=Imóveis!$T$6),Imóveis!$S$6-(DATEDIF(Imóveis!$Q$6,Dados!$A902,"m")),)))*(Imóveis!$N$6/Imóveis!$S$6)))*Imóveis!$P$6))))*IF(AND(Imóveis!$E$6&gt;0,Dados!$A902&gt;Imóveis!$E$6),0,1)*Imóveis!$I$6</f>
        <v>0</v>
      </c>
      <c r="N902" s="18">
        <f t="shared" si="117"/>
        <v>0</v>
      </c>
      <c r="O902" s="18">
        <f>SUMIFS(Receitas!$F:$F,Receitas!$J:$J,"&lt;="&amp;$A902,Receitas!$L:$L,"&gt;="&amp;$A902,Receitas!$C:$C,O$1,Receitas!$M:$M,"Mensal")+SUMIFS(Receitas!$F:$F,Receitas!$J:$J,"&lt;="&amp;$A902,Receitas!$L:$L,"&gt;="&amp;$A902,Receitas!$C:$C,O$1,Receitas!$M:$M,$B902)</f>
        <v>0</v>
      </c>
      <c r="P902" s="18">
        <f>SUMIFS(Receitas!$F:$F,Receitas!$J:$J,"&lt;="&amp;$A902,Receitas!$L:$L,"&gt;="&amp;$A902,Receitas!$C:$C,P$1,Receitas!$M:$M,"Mensal")+SUMIFS(Receitas!$F:$F,Receitas!$J:$J,"&lt;="&amp;$A902,Receitas!$L:$L,"&gt;="&amp;$A902,Receitas!$C:$C,P$1,Receitas!$M:$M,$B902)</f>
        <v>0</v>
      </c>
      <c r="Q902" s="18">
        <f>SUMIFS(Receitas!$F:$F,Receitas!$J:$J,"&lt;="&amp;$A902,Receitas!$L:$L,"&gt;="&amp;$A902,Receitas!$C:$C,Q$1,Receitas!$M:$M,"Mensal")+SUMIFS(Receitas!$F:$F,Receitas!$J:$J,"&lt;="&amp;$A902,Receitas!$L:$L,"&gt;="&amp;$A902,Receitas!$C:$C,Q$1,Receitas!$M:$M,$B902)</f>
        <v>0</v>
      </c>
      <c r="R902" s="18" cm="1">
        <f t="array" ref="R902">(IF(AND(Membros!$F$2="Sim",A902&lt;=MAX(Membros!$E$2:$E$5)),Membros!K$2,IF(AND(A902&gt;=Membros!J$2,A902&lt;=MAX(Membros!$E$2:$E$5)),Membros!K$2,0))+IF(AND(Membros!$F$3="Sim",A902&lt;=MAX(Membros!$E$2:$E$5)),Membros!K$3,IF(AND(A902&gt;=Membros!J$3,A902&lt;=MAX(Membros!$E$2:$E$5)),Membros!K$3,0)))*IF(AND(COUNTIFS(Tabela3[Tipo],"Provedor",Tabela3[Simulação Seguro],"Sim")=2,A902&gt;=MAX(IF(Tabela3[Tipo]="Dependente",Tabela3[Expectativa de Vida (Data)]))),0,1)</f>
        <v>0</v>
      </c>
      <c r="S902" s="18">
        <f t="shared" si="118"/>
        <v>0</v>
      </c>
      <c r="U902" s="18">
        <f t="shared" ca="1" si="121"/>
        <v>89573997.820582718</v>
      </c>
      <c r="V902" s="18">
        <f>SUMIF(Imóveis!E:E,Dados!A:A,Imóveis!Z:Z)-SUMIF(Imóveis!E:E,Dados!A:A,Imóveis!Y:Y)</f>
        <v>0</v>
      </c>
      <c r="W902" s="18">
        <f>-SUMIF(Projetos!N:N,A902,Projetos!F:F)</f>
        <v>0</v>
      </c>
      <c r="X902" s="18">
        <f t="shared" si="115"/>
        <v>0</v>
      </c>
      <c r="Y902" s="26">
        <f ca="1">(U902*((Indicadores_Economicos!D$2+1)^(1/12)-1))</f>
        <v>293241.96011584048</v>
      </c>
      <c r="Z902" s="18">
        <f t="shared" ca="1" si="119"/>
        <v>89867239.780698553</v>
      </c>
      <c r="AA902" s="18">
        <f ca="1">Auxiliar_Projetos!E902</f>
        <v>7.407916337793466E-9</v>
      </c>
      <c r="AB902" s="18">
        <f ca="1">Auxiliar_Projetos!K902</f>
        <v>5.6983971829180471E-9</v>
      </c>
      <c r="AC902" s="18">
        <f ca="1">IF(Z902-AA902-AB902&gt;Investimentos!$C$14,Investimentos!$C$14,IF(Z902-AA902-AB902&lt;Investimentos!$C$14,Z902-AA902-AB902,0))</f>
        <v>300000</v>
      </c>
      <c r="AD902" s="18">
        <f t="shared" ca="1" si="120"/>
        <v>89567239.780698553</v>
      </c>
      <c r="AE902" s="18"/>
    </row>
    <row r="903" spans="1:31" x14ac:dyDescent="0.2">
      <c r="A903" s="4">
        <v>73082</v>
      </c>
      <c r="B903" s="5" t="str">
        <f t="shared" si="116"/>
        <v>fevereiro</v>
      </c>
      <c r="C903" s="5" t="str">
        <f t="shared" si="114"/>
        <v>2100</v>
      </c>
      <c r="D903" s="5">
        <f>SUMIFS(Despesas!$F:$F,Despesas!$J:$J,"&lt;="&amp;$A903,Despesas!$L:$L,"&gt;="&amp;$A903,Despesas!$C:$C,D$1,Despesas!$M:$M,"Mensal")+SUMIFS(Despesas!$F:$F,Despesas!$J:$J,"&lt;="&amp;$A903,Despesas!$L:$L,"&gt;="&amp;$A903,Despesas!$C:$C,D$1,Despesas!$M:$M,$B903)</f>
        <v>0</v>
      </c>
      <c r="E903" s="18">
        <f>SUMIFS(Despesas!$F:$F,Despesas!$J:$J,"&lt;="&amp;$A903,Despesas!$L:$L,"&gt;="&amp;$A903,Despesas!$C:$C,E$1,Despesas!$M:$M,"Mensal")+SUMIFS(Despesas!$F:$F,Despesas!$J:$J,"&lt;="&amp;$A903,Despesas!$L:$L,"&gt;="&amp;$A903,Despesas!$C:$C,E$1,Despesas!$M:$M,$B903)</f>
        <v>0</v>
      </c>
      <c r="F903" s="5">
        <f>SUMIFS(Despesas!$F:$F,Despesas!$J:$J,"&lt;="&amp;$A903,Despesas!$L:$L,"&gt;="&amp;$A903,Despesas!$C:$C,F$1,Despesas!$M:$M,"Mensal")+SUMIFS(Despesas!$F:$F,Despesas!$J:$J,"&lt;="&amp;$A903,Despesas!$L:$L,"&gt;="&amp;$A903,Despesas!$C:$C,F$1,Despesas!$M:$M,$B903)</f>
        <v>0</v>
      </c>
      <c r="G903" s="5">
        <f>SUMIFS(Despesas!$F:$F,Despesas!$J:$J,"&lt;="&amp;$A903,Despesas!$L:$L,"&gt;="&amp;$A903,Despesas!$C:$C,G$1,Despesas!$M:$M,"Mensal")+SUMIFS(Despesas!$F:$F,Despesas!$J:$J,"&lt;="&amp;$A903,Despesas!$L:$L,"&gt;="&amp;$A903,Despesas!$C:$C,G$1,Despesas!$M:$M,$B903)</f>
        <v>0</v>
      </c>
      <c r="H903" s="18">
        <f>SUMIFS(Despesas!$F:$F,Despesas!$J:$J,"&lt;="&amp;$A903,Despesas!$L:$L,"&gt;="&amp;$A903,Despesas!$C:$C,H$1,Despesas!$M:$M,"Mensal")+SUMIFS(Despesas!$F:$F,Despesas!$J:$J,"&lt;="&amp;$A903,Despesas!$L:$L,"&gt;="&amp;$A903,Despesas!$C:$C,H$1,Despesas!$M:$M,$B903)</f>
        <v>0</v>
      </c>
      <c r="I903" s="18">
        <f>IF(Imóveis!$F$2="PRICE",IF(AND(Dados!$A903&gt;=Imóveis!$Q$2,Dados!$A903&lt;=Imóveis!$T$2),Imóveis!$U$2,0),IF((IF(AND(Dados!$A903&gt;=Imóveis!$Q$2,Dados!$A903&lt;=Imóveis!$T$2),Imóveis!$S$2-(DATEDIF(Imóveis!$Q$2,Dados!$A903,"m")),0))=0,0,((Imóveis!$N$2/Imóveis!$S$2)+((Imóveis!$N$2-((Imóveis!$S$2-(IF(AND(Dados!$A903&gt;=Imóveis!$Q$2,Dados!$A903&lt;=Imóveis!$T$2),Imóveis!$S$2-(DATEDIF(Imóveis!$Q$2,Dados!$A903,"m")),)))*(Imóveis!$N$2/Imóveis!$S$2)))*Imóveis!$P$2))))*IF(AND(Imóveis!$E$2&gt;0,Dados!$A903&gt;Imóveis!$E$2),0,1)</f>
        <v>0</v>
      </c>
      <c r="J903" s="18">
        <f>IF(Imóveis!$F$3="PRICE",IF(AND(Dados!$A903&gt;=Imóveis!$Q$3,Dados!$A903&lt;=Imóveis!$T$3),Imóveis!$U$3,0),IF((IF(AND(Dados!$A903&gt;=Imóveis!$Q$3,Dados!$A903&lt;=Imóveis!$T$3),Imóveis!$S$3-(DATEDIF(Imóveis!$Q$3,Dados!$A903,"m")),0))=0,0,((Imóveis!$N$3/Imóveis!$S$3)+((Imóveis!$N$3-((Imóveis!$S$3-(IF(AND(Dados!$A903&gt;=Imóveis!$Q$3,Dados!$A903&lt;=Imóveis!$T$3),Imóveis!$S$3-(DATEDIF(Imóveis!$Q$3,Dados!$A903,"m")),)))*(Imóveis!$N$3/Imóveis!$S$3)))*Imóveis!$P$3))))*IF(AND(Imóveis!$E$3&gt;0,Dados!$A903&gt;Imóveis!$E$3),0,1)</f>
        <v>0</v>
      </c>
      <c r="K903" s="18">
        <f>IF(Imóveis!$F$4="PRICE",IF(AND(Dados!$A903&gt;=Imóveis!$Q$4,Dados!$A903&lt;=Imóveis!$T$4),Imóveis!$U$4,0),IF((IF(AND(Dados!$A903&gt;=Imóveis!$Q$4,Dados!$A903&lt;=Imóveis!$T$4),Imóveis!$S$4-(DATEDIF(Imóveis!$Q$4,Dados!$A903,"m")),0))=0,0,((Imóveis!$N$4/Imóveis!$S$4)+((Imóveis!$N$4-((Imóveis!$S$4-(IF(AND(Dados!$A903&gt;=Imóveis!$Q$4,Dados!$A903&lt;=Imóveis!$T$4),Imóveis!$S$4-(DATEDIF(Imóveis!$Q$4,Dados!$A903,"m")),)))*(Imóveis!$N$4/Imóveis!$S$4)))*Imóveis!$P$4))))*IF(AND(Imóveis!$E$4&gt;0,Dados!$A903&gt;Imóveis!$E$4),0,1)</f>
        <v>0</v>
      </c>
      <c r="L903" s="18">
        <f>IF(Imóveis!$F$5="PRICE",IF(AND(Dados!$A903&gt;=Imóveis!$Q$5,Dados!$A903&lt;=Imóveis!$T$5),Imóveis!$U$5,0),IF((IF(AND(Dados!$A903&gt;=Imóveis!$Q$5,Dados!$A903&lt;=Imóveis!$T$5),Imóveis!$S$5-(DATEDIF(Imóveis!$Q$5,Dados!$A903,"m")),0))=0,0,((Imóveis!$N$5/Imóveis!$S$5)+((Imóveis!$N$5-((Imóveis!$S$5-(IF(AND(Dados!$A903 &gt;=Imóveis!$Q$5,Dados!$A903&lt;=Imóveis!$T$5),Imóveis!$S$5-(DATEDIF(Imóveis!$Q$5,Dados!$A903,"m")),)))*(Imóveis!$N$5/Imóveis!$S$5)))*Imóveis!$P$5))))*IF(AND(Imóveis!$E$5&gt;0,Dados!$A903&gt;Imóveis!$E$5),0,1)*Imóveis!$I$5</f>
        <v>0</v>
      </c>
      <c r="M903" s="18">
        <f>IF(Imóveis!$F$6="PRICE",IF(AND(Dados!$A903&gt;=Imóveis!$Q$6,Dados!$A903&lt;=Imóveis!$T$6),Imóveis!$U$6,0),IF((IF(AND(Dados!$A903&gt;=Imóveis!$Q$6,Dados!$A903&lt;=Imóveis!$T$6),Imóveis!$S$6-(DATEDIF(Imóveis!$Q$6,Dados!$A903,"m")),0))=0,0,((Imóveis!$N$6/Imóveis!$S$6)+((Imóveis!$N$6-((Imóveis!$S$6-(IF(AND(Dados!$A903&gt;=Imóveis!$Q$6,Dados!$A903&lt;=Imóveis!$T$6),Imóveis!$S$6-(DATEDIF(Imóveis!$Q$6,Dados!$A903,"m")),)))*(Imóveis!$N$6/Imóveis!$S$6)))*Imóveis!$P$6))))*IF(AND(Imóveis!$E$6&gt;0,Dados!$A903&gt;Imóveis!$E$6),0,1)*Imóveis!$I$6</f>
        <v>0</v>
      </c>
      <c r="N903" s="18">
        <f t="shared" si="117"/>
        <v>0</v>
      </c>
      <c r="O903" s="18">
        <f>SUMIFS(Receitas!$F:$F,Receitas!$J:$J,"&lt;="&amp;$A903,Receitas!$L:$L,"&gt;="&amp;$A903,Receitas!$C:$C,O$1,Receitas!$M:$M,"Mensal")+SUMIFS(Receitas!$F:$F,Receitas!$J:$J,"&lt;="&amp;$A903,Receitas!$L:$L,"&gt;="&amp;$A903,Receitas!$C:$C,O$1,Receitas!$M:$M,$B903)</f>
        <v>0</v>
      </c>
      <c r="P903" s="18">
        <f>SUMIFS(Receitas!$F:$F,Receitas!$J:$J,"&lt;="&amp;$A903,Receitas!$L:$L,"&gt;="&amp;$A903,Receitas!$C:$C,P$1,Receitas!$M:$M,"Mensal")+SUMIFS(Receitas!$F:$F,Receitas!$J:$J,"&lt;="&amp;$A903,Receitas!$L:$L,"&gt;="&amp;$A903,Receitas!$C:$C,P$1,Receitas!$M:$M,$B903)</f>
        <v>0</v>
      </c>
      <c r="Q903" s="18">
        <f>SUMIFS(Receitas!$F:$F,Receitas!$J:$J,"&lt;="&amp;$A903,Receitas!$L:$L,"&gt;="&amp;$A903,Receitas!$C:$C,Q$1,Receitas!$M:$M,"Mensal")+SUMIFS(Receitas!$F:$F,Receitas!$J:$J,"&lt;="&amp;$A903,Receitas!$L:$L,"&gt;="&amp;$A903,Receitas!$C:$C,Q$1,Receitas!$M:$M,$B903)</f>
        <v>0</v>
      </c>
      <c r="R903" s="18" cm="1">
        <f t="array" ref="R903">(IF(AND(Membros!$F$2="Sim",A903&lt;=MAX(Membros!$E$2:$E$5)),Membros!K$2,IF(AND(A903&gt;=Membros!J$2,A903&lt;=MAX(Membros!$E$2:$E$5)),Membros!K$2,0))+IF(AND(Membros!$F$3="Sim",A903&lt;=MAX(Membros!$E$2:$E$5)),Membros!K$3,IF(AND(A903&gt;=Membros!J$3,A903&lt;=MAX(Membros!$E$2:$E$5)),Membros!K$3,0)))*IF(AND(COUNTIFS(Tabela3[Tipo],"Provedor",Tabela3[Simulação Seguro],"Sim")=2,A903&gt;=MAX(IF(Tabela3[Tipo]="Dependente",Tabela3[Expectativa de Vida (Data)]))),0,1)</f>
        <v>0</v>
      </c>
      <c r="S903" s="18">
        <f t="shared" si="118"/>
        <v>0</v>
      </c>
      <c r="U903" s="18">
        <f t="shared" ca="1" si="121"/>
        <v>89867239.780698553</v>
      </c>
      <c r="V903" s="18">
        <f>SUMIF(Imóveis!E:E,Dados!A:A,Imóveis!Z:Z)-SUMIF(Imóveis!E:E,Dados!A:A,Imóveis!Y:Y)</f>
        <v>0</v>
      </c>
      <c r="W903" s="18">
        <f>-SUMIF(Projetos!N:N,A903,Projetos!F:F)</f>
        <v>0</v>
      </c>
      <c r="X903" s="18">
        <f t="shared" si="115"/>
        <v>0</v>
      </c>
      <c r="Y903" s="26">
        <f ca="1">(U903*((Indicadores_Economicos!D$2+1)^(1/12)-1))</f>
        <v>294201.95798648172</v>
      </c>
      <c r="Z903" s="18">
        <f t="shared" ca="1" si="119"/>
        <v>90161441.738685042</v>
      </c>
      <c r="AA903" s="18">
        <f ca="1">Auxiliar_Projetos!E903</f>
        <v>7.4321679282117018E-9</v>
      </c>
      <c r="AB903" s="18">
        <f ca="1">Auxiliar_Projetos!K903</f>
        <v>5.7170522524705363E-9</v>
      </c>
      <c r="AC903" s="18">
        <f ca="1">IF(Z903-AA903-AB903&gt;Investimentos!$C$14,Investimentos!$C$14,IF(Z903-AA903-AB903&lt;Investimentos!$C$14,Z903-AA903-AB903,0))</f>
        <v>300000</v>
      </c>
      <c r="AD903" s="18">
        <f t="shared" ca="1" si="120"/>
        <v>89861441.738685042</v>
      </c>
      <c r="AE903" s="18"/>
    </row>
    <row r="904" spans="1:31" x14ac:dyDescent="0.2">
      <c r="A904" s="4">
        <v>73110</v>
      </c>
      <c r="B904" s="5" t="str">
        <f t="shared" si="116"/>
        <v>março</v>
      </c>
      <c r="C904" s="5" t="str">
        <f t="shared" si="114"/>
        <v>2100</v>
      </c>
      <c r="D904" s="5">
        <f>SUMIFS(Despesas!$F:$F,Despesas!$J:$J,"&lt;="&amp;$A904,Despesas!$L:$L,"&gt;="&amp;$A904,Despesas!$C:$C,D$1,Despesas!$M:$M,"Mensal")+SUMIFS(Despesas!$F:$F,Despesas!$J:$J,"&lt;="&amp;$A904,Despesas!$L:$L,"&gt;="&amp;$A904,Despesas!$C:$C,D$1,Despesas!$M:$M,$B904)</f>
        <v>0</v>
      </c>
      <c r="E904" s="18">
        <f>SUMIFS(Despesas!$F:$F,Despesas!$J:$J,"&lt;="&amp;$A904,Despesas!$L:$L,"&gt;="&amp;$A904,Despesas!$C:$C,E$1,Despesas!$M:$M,"Mensal")+SUMIFS(Despesas!$F:$F,Despesas!$J:$J,"&lt;="&amp;$A904,Despesas!$L:$L,"&gt;="&amp;$A904,Despesas!$C:$C,E$1,Despesas!$M:$M,$B904)</f>
        <v>0</v>
      </c>
      <c r="F904" s="5">
        <f>SUMIFS(Despesas!$F:$F,Despesas!$J:$J,"&lt;="&amp;$A904,Despesas!$L:$L,"&gt;="&amp;$A904,Despesas!$C:$C,F$1,Despesas!$M:$M,"Mensal")+SUMIFS(Despesas!$F:$F,Despesas!$J:$J,"&lt;="&amp;$A904,Despesas!$L:$L,"&gt;="&amp;$A904,Despesas!$C:$C,F$1,Despesas!$M:$M,$B904)</f>
        <v>0</v>
      </c>
      <c r="G904" s="5">
        <f>SUMIFS(Despesas!$F:$F,Despesas!$J:$J,"&lt;="&amp;$A904,Despesas!$L:$L,"&gt;="&amp;$A904,Despesas!$C:$C,G$1,Despesas!$M:$M,"Mensal")+SUMIFS(Despesas!$F:$F,Despesas!$J:$J,"&lt;="&amp;$A904,Despesas!$L:$L,"&gt;="&amp;$A904,Despesas!$C:$C,G$1,Despesas!$M:$M,$B904)</f>
        <v>0</v>
      </c>
      <c r="H904" s="18">
        <f>SUMIFS(Despesas!$F:$F,Despesas!$J:$J,"&lt;="&amp;$A904,Despesas!$L:$L,"&gt;="&amp;$A904,Despesas!$C:$C,H$1,Despesas!$M:$M,"Mensal")+SUMIFS(Despesas!$F:$F,Despesas!$J:$J,"&lt;="&amp;$A904,Despesas!$L:$L,"&gt;="&amp;$A904,Despesas!$C:$C,H$1,Despesas!$M:$M,$B904)</f>
        <v>0</v>
      </c>
      <c r="I904" s="18">
        <f>IF(Imóveis!$F$2="PRICE",IF(AND(Dados!$A904&gt;=Imóveis!$Q$2,Dados!$A904&lt;=Imóveis!$T$2),Imóveis!$U$2,0),IF((IF(AND(Dados!$A904&gt;=Imóveis!$Q$2,Dados!$A904&lt;=Imóveis!$T$2),Imóveis!$S$2-(DATEDIF(Imóveis!$Q$2,Dados!$A904,"m")),0))=0,0,((Imóveis!$N$2/Imóveis!$S$2)+((Imóveis!$N$2-((Imóveis!$S$2-(IF(AND(Dados!$A904&gt;=Imóveis!$Q$2,Dados!$A904&lt;=Imóveis!$T$2),Imóveis!$S$2-(DATEDIF(Imóveis!$Q$2,Dados!$A904,"m")),)))*(Imóveis!$N$2/Imóveis!$S$2)))*Imóveis!$P$2))))*IF(AND(Imóveis!$E$2&gt;0,Dados!$A904&gt;Imóveis!$E$2),0,1)</f>
        <v>0</v>
      </c>
      <c r="J904" s="18">
        <f>IF(Imóveis!$F$3="PRICE",IF(AND(Dados!$A904&gt;=Imóveis!$Q$3,Dados!$A904&lt;=Imóveis!$T$3),Imóveis!$U$3,0),IF((IF(AND(Dados!$A904&gt;=Imóveis!$Q$3,Dados!$A904&lt;=Imóveis!$T$3),Imóveis!$S$3-(DATEDIF(Imóveis!$Q$3,Dados!$A904,"m")),0))=0,0,((Imóveis!$N$3/Imóveis!$S$3)+((Imóveis!$N$3-((Imóveis!$S$3-(IF(AND(Dados!$A904&gt;=Imóveis!$Q$3,Dados!$A904&lt;=Imóveis!$T$3),Imóveis!$S$3-(DATEDIF(Imóveis!$Q$3,Dados!$A904,"m")),)))*(Imóveis!$N$3/Imóveis!$S$3)))*Imóveis!$P$3))))*IF(AND(Imóveis!$E$3&gt;0,Dados!$A904&gt;Imóveis!$E$3),0,1)</f>
        <v>0</v>
      </c>
      <c r="K904" s="18">
        <f>IF(Imóveis!$F$4="PRICE",IF(AND(Dados!$A904&gt;=Imóveis!$Q$4,Dados!$A904&lt;=Imóveis!$T$4),Imóveis!$U$4,0),IF((IF(AND(Dados!$A904&gt;=Imóveis!$Q$4,Dados!$A904&lt;=Imóveis!$T$4),Imóveis!$S$4-(DATEDIF(Imóveis!$Q$4,Dados!$A904,"m")),0))=0,0,((Imóveis!$N$4/Imóveis!$S$4)+((Imóveis!$N$4-((Imóveis!$S$4-(IF(AND(Dados!$A904&gt;=Imóveis!$Q$4,Dados!$A904&lt;=Imóveis!$T$4),Imóveis!$S$4-(DATEDIF(Imóveis!$Q$4,Dados!$A904,"m")),)))*(Imóveis!$N$4/Imóveis!$S$4)))*Imóveis!$P$4))))*IF(AND(Imóveis!$E$4&gt;0,Dados!$A904&gt;Imóveis!$E$4),0,1)</f>
        <v>0</v>
      </c>
      <c r="L904" s="18">
        <f>IF(Imóveis!$F$5="PRICE",IF(AND(Dados!$A904&gt;=Imóveis!$Q$5,Dados!$A904&lt;=Imóveis!$T$5),Imóveis!$U$5,0),IF((IF(AND(Dados!$A904&gt;=Imóveis!$Q$5,Dados!$A904&lt;=Imóveis!$T$5),Imóveis!$S$5-(DATEDIF(Imóveis!$Q$5,Dados!$A904,"m")),0))=0,0,((Imóveis!$N$5/Imóveis!$S$5)+((Imóveis!$N$5-((Imóveis!$S$5-(IF(AND(Dados!$A904 &gt;=Imóveis!$Q$5,Dados!$A904&lt;=Imóveis!$T$5),Imóveis!$S$5-(DATEDIF(Imóveis!$Q$5,Dados!$A904,"m")),)))*(Imóveis!$N$5/Imóveis!$S$5)))*Imóveis!$P$5))))*IF(AND(Imóveis!$E$5&gt;0,Dados!$A904&gt;Imóveis!$E$5),0,1)*Imóveis!$I$5</f>
        <v>0</v>
      </c>
      <c r="M904" s="18">
        <f>IF(Imóveis!$F$6="PRICE",IF(AND(Dados!$A904&gt;=Imóveis!$Q$6,Dados!$A904&lt;=Imóveis!$T$6),Imóveis!$U$6,0),IF((IF(AND(Dados!$A904&gt;=Imóveis!$Q$6,Dados!$A904&lt;=Imóveis!$T$6),Imóveis!$S$6-(DATEDIF(Imóveis!$Q$6,Dados!$A904,"m")),0))=0,0,((Imóveis!$N$6/Imóveis!$S$6)+((Imóveis!$N$6-((Imóveis!$S$6-(IF(AND(Dados!$A904&gt;=Imóveis!$Q$6,Dados!$A904&lt;=Imóveis!$T$6),Imóveis!$S$6-(DATEDIF(Imóveis!$Q$6,Dados!$A904,"m")),)))*(Imóveis!$N$6/Imóveis!$S$6)))*Imóveis!$P$6))))*IF(AND(Imóveis!$E$6&gt;0,Dados!$A904&gt;Imóveis!$E$6),0,1)*Imóveis!$I$6</f>
        <v>0</v>
      </c>
      <c r="N904" s="18">
        <f t="shared" si="117"/>
        <v>0</v>
      </c>
      <c r="O904" s="18">
        <f>SUMIFS(Receitas!$F:$F,Receitas!$J:$J,"&lt;="&amp;$A904,Receitas!$L:$L,"&gt;="&amp;$A904,Receitas!$C:$C,O$1,Receitas!$M:$M,"Mensal")+SUMIFS(Receitas!$F:$F,Receitas!$J:$J,"&lt;="&amp;$A904,Receitas!$L:$L,"&gt;="&amp;$A904,Receitas!$C:$C,O$1,Receitas!$M:$M,$B904)</f>
        <v>0</v>
      </c>
      <c r="P904" s="18">
        <f>SUMIFS(Receitas!$F:$F,Receitas!$J:$J,"&lt;="&amp;$A904,Receitas!$L:$L,"&gt;="&amp;$A904,Receitas!$C:$C,P$1,Receitas!$M:$M,"Mensal")+SUMIFS(Receitas!$F:$F,Receitas!$J:$J,"&lt;="&amp;$A904,Receitas!$L:$L,"&gt;="&amp;$A904,Receitas!$C:$C,P$1,Receitas!$M:$M,$B904)</f>
        <v>0</v>
      </c>
      <c r="Q904" s="18">
        <f>SUMIFS(Receitas!$F:$F,Receitas!$J:$J,"&lt;="&amp;$A904,Receitas!$L:$L,"&gt;="&amp;$A904,Receitas!$C:$C,Q$1,Receitas!$M:$M,"Mensal")+SUMIFS(Receitas!$F:$F,Receitas!$J:$J,"&lt;="&amp;$A904,Receitas!$L:$L,"&gt;="&amp;$A904,Receitas!$C:$C,Q$1,Receitas!$M:$M,$B904)</f>
        <v>0</v>
      </c>
      <c r="R904" s="18" cm="1">
        <f t="array" ref="R904">(IF(AND(Membros!$F$2="Sim",A904&lt;=MAX(Membros!$E$2:$E$5)),Membros!K$2,IF(AND(A904&gt;=Membros!J$2,A904&lt;=MAX(Membros!$E$2:$E$5)),Membros!K$2,0))+IF(AND(Membros!$F$3="Sim",A904&lt;=MAX(Membros!$E$2:$E$5)),Membros!K$3,IF(AND(A904&gt;=Membros!J$3,A904&lt;=MAX(Membros!$E$2:$E$5)),Membros!K$3,0)))*IF(AND(COUNTIFS(Tabela3[Tipo],"Provedor",Tabela3[Simulação Seguro],"Sim")=2,A904&gt;=MAX(IF(Tabela3[Tipo]="Dependente",Tabela3[Expectativa de Vida (Data)]))),0,1)</f>
        <v>0</v>
      </c>
      <c r="S904" s="18">
        <f t="shared" si="118"/>
        <v>0</v>
      </c>
      <c r="U904" s="18">
        <f t="shared" ca="1" si="121"/>
        <v>90161441.738685042</v>
      </c>
      <c r="V904" s="18">
        <f>SUMIF(Imóveis!E:E,Dados!A:A,Imóveis!Z:Z)-SUMIF(Imóveis!E:E,Dados!A:A,Imóveis!Y:Y)</f>
        <v>0</v>
      </c>
      <c r="W904" s="18">
        <f>-SUMIF(Projetos!N:N,A904,Projetos!F:F)</f>
        <v>0</v>
      </c>
      <c r="X904" s="18">
        <f t="shared" si="115"/>
        <v>0</v>
      </c>
      <c r="Y904" s="26">
        <f ca="1">(U904*((Indicadores_Economicos!D$2+1)^(1/12)-1))</f>
        <v>295165.09864034288</v>
      </c>
      <c r="Z904" s="18">
        <f t="shared" ca="1" si="119"/>
        <v>90456606.837325379</v>
      </c>
      <c r="AA904" s="18">
        <f ca="1">Auxiliar_Projetos!E904</f>
        <v>7.4564989120262707E-9</v>
      </c>
      <c r="AB904" s="18">
        <f ca="1">Auxiliar_Projetos!K904</f>
        <v>5.7357683938663588E-9</v>
      </c>
      <c r="AC904" s="18">
        <f ca="1">IF(Z904-AA904-AB904&gt;Investimentos!$C$14,Investimentos!$C$14,IF(Z904-AA904-AB904&lt;Investimentos!$C$14,Z904-AA904-AB904,0))</f>
        <v>300000</v>
      </c>
      <c r="AD904" s="18">
        <f t="shared" ca="1" si="120"/>
        <v>90156606.837325364</v>
      </c>
      <c r="AE904" s="18"/>
    </row>
    <row r="905" spans="1:31" x14ac:dyDescent="0.2">
      <c r="A905" s="4">
        <v>73141</v>
      </c>
      <c r="B905" s="5" t="str">
        <f t="shared" si="116"/>
        <v>abril</v>
      </c>
      <c r="C905" s="5" t="str">
        <f t="shared" si="114"/>
        <v>2100</v>
      </c>
      <c r="D905" s="5">
        <f>SUMIFS(Despesas!$F:$F,Despesas!$J:$J,"&lt;="&amp;$A905,Despesas!$L:$L,"&gt;="&amp;$A905,Despesas!$C:$C,D$1,Despesas!$M:$M,"Mensal")+SUMIFS(Despesas!$F:$F,Despesas!$J:$J,"&lt;="&amp;$A905,Despesas!$L:$L,"&gt;="&amp;$A905,Despesas!$C:$C,D$1,Despesas!$M:$M,$B905)</f>
        <v>0</v>
      </c>
      <c r="E905" s="18">
        <f>SUMIFS(Despesas!$F:$F,Despesas!$J:$J,"&lt;="&amp;$A905,Despesas!$L:$L,"&gt;="&amp;$A905,Despesas!$C:$C,E$1,Despesas!$M:$M,"Mensal")+SUMIFS(Despesas!$F:$F,Despesas!$J:$J,"&lt;="&amp;$A905,Despesas!$L:$L,"&gt;="&amp;$A905,Despesas!$C:$C,E$1,Despesas!$M:$M,$B905)</f>
        <v>0</v>
      </c>
      <c r="F905" s="5">
        <f>SUMIFS(Despesas!$F:$F,Despesas!$J:$J,"&lt;="&amp;$A905,Despesas!$L:$L,"&gt;="&amp;$A905,Despesas!$C:$C,F$1,Despesas!$M:$M,"Mensal")+SUMIFS(Despesas!$F:$F,Despesas!$J:$J,"&lt;="&amp;$A905,Despesas!$L:$L,"&gt;="&amp;$A905,Despesas!$C:$C,F$1,Despesas!$M:$M,$B905)</f>
        <v>0</v>
      </c>
      <c r="G905" s="5">
        <f>SUMIFS(Despesas!$F:$F,Despesas!$J:$J,"&lt;="&amp;$A905,Despesas!$L:$L,"&gt;="&amp;$A905,Despesas!$C:$C,G$1,Despesas!$M:$M,"Mensal")+SUMIFS(Despesas!$F:$F,Despesas!$J:$J,"&lt;="&amp;$A905,Despesas!$L:$L,"&gt;="&amp;$A905,Despesas!$C:$C,G$1,Despesas!$M:$M,$B905)</f>
        <v>0</v>
      </c>
      <c r="H905" s="18">
        <f>SUMIFS(Despesas!$F:$F,Despesas!$J:$J,"&lt;="&amp;$A905,Despesas!$L:$L,"&gt;="&amp;$A905,Despesas!$C:$C,H$1,Despesas!$M:$M,"Mensal")+SUMIFS(Despesas!$F:$F,Despesas!$J:$J,"&lt;="&amp;$A905,Despesas!$L:$L,"&gt;="&amp;$A905,Despesas!$C:$C,H$1,Despesas!$M:$M,$B905)</f>
        <v>0</v>
      </c>
      <c r="I905" s="18">
        <f>IF(Imóveis!$F$2="PRICE",IF(AND(Dados!$A905&gt;=Imóveis!$Q$2,Dados!$A905&lt;=Imóveis!$T$2),Imóveis!$U$2,0),IF((IF(AND(Dados!$A905&gt;=Imóveis!$Q$2,Dados!$A905&lt;=Imóveis!$T$2),Imóveis!$S$2-(DATEDIF(Imóveis!$Q$2,Dados!$A905,"m")),0))=0,0,((Imóveis!$N$2/Imóveis!$S$2)+((Imóveis!$N$2-((Imóveis!$S$2-(IF(AND(Dados!$A905&gt;=Imóveis!$Q$2,Dados!$A905&lt;=Imóveis!$T$2),Imóveis!$S$2-(DATEDIF(Imóveis!$Q$2,Dados!$A905,"m")),)))*(Imóveis!$N$2/Imóveis!$S$2)))*Imóveis!$P$2))))*IF(AND(Imóveis!$E$2&gt;0,Dados!$A905&gt;Imóveis!$E$2),0,1)</f>
        <v>0</v>
      </c>
      <c r="J905" s="18">
        <f>IF(Imóveis!$F$3="PRICE",IF(AND(Dados!$A905&gt;=Imóveis!$Q$3,Dados!$A905&lt;=Imóveis!$T$3),Imóveis!$U$3,0),IF((IF(AND(Dados!$A905&gt;=Imóveis!$Q$3,Dados!$A905&lt;=Imóveis!$T$3),Imóveis!$S$3-(DATEDIF(Imóveis!$Q$3,Dados!$A905,"m")),0))=0,0,((Imóveis!$N$3/Imóveis!$S$3)+((Imóveis!$N$3-((Imóveis!$S$3-(IF(AND(Dados!$A905&gt;=Imóveis!$Q$3,Dados!$A905&lt;=Imóveis!$T$3),Imóveis!$S$3-(DATEDIF(Imóveis!$Q$3,Dados!$A905,"m")),)))*(Imóveis!$N$3/Imóveis!$S$3)))*Imóveis!$P$3))))*IF(AND(Imóveis!$E$3&gt;0,Dados!$A905&gt;Imóveis!$E$3),0,1)</f>
        <v>0</v>
      </c>
      <c r="K905" s="18">
        <f>IF(Imóveis!$F$4="PRICE",IF(AND(Dados!$A905&gt;=Imóveis!$Q$4,Dados!$A905&lt;=Imóveis!$T$4),Imóveis!$U$4,0),IF((IF(AND(Dados!$A905&gt;=Imóveis!$Q$4,Dados!$A905&lt;=Imóveis!$T$4),Imóveis!$S$4-(DATEDIF(Imóveis!$Q$4,Dados!$A905,"m")),0))=0,0,((Imóveis!$N$4/Imóveis!$S$4)+((Imóveis!$N$4-((Imóveis!$S$4-(IF(AND(Dados!$A905&gt;=Imóveis!$Q$4,Dados!$A905&lt;=Imóveis!$T$4),Imóveis!$S$4-(DATEDIF(Imóveis!$Q$4,Dados!$A905,"m")),)))*(Imóveis!$N$4/Imóveis!$S$4)))*Imóveis!$P$4))))*IF(AND(Imóveis!$E$4&gt;0,Dados!$A905&gt;Imóveis!$E$4),0,1)</f>
        <v>0</v>
      </c>
      <c r="L905" s="18">
        <f>IF(Imóveis!$F$5="PRICE",IF(AND(Dados!$A905&gt;=Imóveis!$Q$5,Dados!$A905&lt;=Imóveis!$T$5),Imóveis!$U$5,0),IF((IF(AND(Dados!$A905&gt;=Imóveis!$Q$5,Dados!$A905&lt;=Imóveis!$T$5),Imóveis!$S$5-(DATEDIF(Imóveis!$Q$5,Dados!$A905,"m")),0))=0,0,((Imóveis!$N$5/Imóveis!$S$5)+((Imóveis!$N$5-((Imóveis!$S$5-(IF(AND(Dados!$A905 &gt;=Imóveis!$Q$5,Dados!$A905&lt;=Imóveis!$T$5),Imóveis!$S$5-(DATEDIF(Imóveis!$Q$5,Dados!$A905,"m")),)))*(Imóveis!$N$5/Imóveis!$S$5)))*Imóveis!$P$5))))*IF(AND(Imóveis!$E$5&gt;0,Dados!$A905&gt;Imóveis!$E$5),0,1)*Imóveis!$I$5</f>
        <v>0</v>
      </c>
      <c r="M905" s="18">
        <f>IF(Imóveis!$F$6="PRICE",IF(AND(Dados!$A905&gt;=Imóveis!$Q$6,Dados!$A905&lt;=Imóveis!$T$6),Imóveis!$U$6,0),IF((IF(AND(Dados!$A905&gt;=Imóveis!$Q$6,Dados!$A905&lt;=Imóveis!$T$6),Imóveis!$S$6-(DATEDIF(Imóveis!$Q$6,Dados!$A905,"m")),0))=0,0,((Imóveis!$N$6/Imóveis!$S$6)+((Imóveis!$N$6-((Imóveis!$S$6-(IF(AND(Dados!$A905&gt;=Imóveis!$Q$6,Dados!$A905&lt;=Imóveis!$T$6),Imóveis!$S$6-(DATEDIF(Imóveis!$Q$6,Dados!$A905,"m")),)))*(Imóveis!$N$6/Imóveis!$S$6)))*Imóveis!$P$6))))*IF(AND(Imóveis!$E$6&gt;0,Dados!$A905&gt;Imóveis!$E$6),0,1)*Imóveis!$I$6</f>
        <v>0</v>
      </c>
      <c r="N905" s="18">
        <f t="shared" si="117"/>
        <v>0</v>
      </c>
      <c r="O905" s="18">
        <f>SUMIFS(Receitas!$F:$F,Receitas!$J:$J,"&lt;="&amp;$A905,Receitas!$L:$L,"&gt;="&amp;$A905,Receitas!$C:$C,O$1,Receitas!$M:$M,"Mensal")+SUMIFS(Receitas!$F:$F,Receitas!$J:$J,"&lt;="&amp;$A905,Receitas!$L:$L,"&gt;="&amp;$A905,Receitas!$C:$C,O$1,Receitas!$M:$M,$B905)</f>
        <v>0</v>
      </c>
      <c r="P905" s="18">
        <f>SUMIFS(Receitas!$F:$F,Receitas!$J:$J,"&lt;="&amp;$A905,Receitas!$L:$L,"&gt;="&amp;$A905,Receitas!$C:$C,P$1,Receitas!$M:$M,"Mensal")+SUMIFS(Receitas!$F:$F,Receitas!$J:$J,"&lt;="&amp;$A905,Receitas!$L:$L,"&gt;="&amp;$A905,Receitas!$C:$C,P$1,Receitas!$M:$M,$B905)</f>
        <v>0</v>
      </c>
      <c r="Q905" s="18">
        <f>SUMIFS(Receitas!$F:$F,Receitas!$J:$J,"&lt;="&amp;$A905,Receitas!$L:$L,"&gt;="&amp;$A905,Receitas!$C:$C,Q$1,Receitas!$M:$M,"Mensal")+SUMIFS(Receitas!$F:$F,Receitas!$J:$J,"&lt;="&amp;$A905,Receitas!$L:$L,"&gt;="&amp;$A905,Receitas!$C:$C,Q$1,Receitas!$M:$M,$B905)</f>
        <v>0</v>
      </c>
      <c r="R905" s="18" cm="1">
        <f t="array" ref="R905">(IF(AND(Membros!$F$2="Sim",A905&lt;=MAX(Membros!$E$2:$E$5)),Membros!K$2,IF(AND(A905&gt;=Membros!J$2,A905&lt;=MAX(Membros!$E$2:$E$5)),Membros!K$2,0))+IF(AND(Membros!$F$3="Sim",A905&lt;=MAX(Membros!$E$2:$E$5)),Membros!K$3,IF(AND(A905&gt;=Membros!J$3,A905&lt;=MAX(Membros!$E$2:$E$5)),Membros!K$3,0)))*IF(AND(COUNTIFS(Tabela3[Tipo],"Provedor",Tabela3[Simulação Seguro],"Sim")=2,A905&gt;=MAX(IF(Tabela3[Tipo]="Dependente",Tabela3[Expectativa de Vida (Data)]))),0,1)</f>
        <v>0</v>
      </c>
      <c r="S905" s="18">
        <f t="shared" si="118"/>
        <v>0</v>
      </c>
      <c r="U905" s="18">
        <f t="shared" ca="1" si="121"/>
        <v>90456606.837325379</v>
      </c>
      <c r="V905" s="18">
        <f>SUMIF(Imóveis!E:E,Dados!A:A,Imóveis!Z:Z)-SUMIF(Imóveis!E:E,Dados!A:A,Imóveis!Y:Y)</f>
        <v>0</v>
      </c>
      <c r="W905" s="18">
        <f>-SUMIF(Projetos!N:N,A905,Projetos!F:F)</f>
        <v>0</v>
      </c>
      <c r="X905" s="18">
        <f t="shared" si="115"/>
        <v>0</v>
      </c>
      <c r="Y905" s="26">
        <f ca="1">(U905*((Indicadores_Economicos!D$2+1)^(1/12)-1))</f>
        <v>296131.39236607845</v>
      </c>
      <c r="Z905" s="18">
        <f t="shared" ca="1" si="119"/>
        <v>90752738.229691461</v>
      </c>
      <c r="AA905" s="18">
        <f ca="1">Auxiliar_Projetos!E905</f>
        <v>7.4809095491504932E-9</v>
      </c>
      <c r="AB905" s="18">
        <f ca="1">Auxiliar_Projetos!K905</f>
        <v>5.7545458070388381E-9</v>
      </c>
      <c r="AC905" s="18">
        <f ca="1">IF(Z905-AA905-AB905&gt;Investimentos!$C$14,Investimentos!$C$14,IF(Z905-AA905-AB905&lt;Investimentos!$C$14,Z905-AA905-AB905,0))</f>
        <v>300000</v>
      </c>
      <c r="AD905" s="18">
        <f t="shared" ca="1" si="120"/>
        <v>90452738.229691446</v>
      </c>
      <c r="AE905" s="18"/>
    </row>
    <row r="906" spans="1:31" x14ac:dyDescent="0.2">
      <c r="A906" s="4">
        <v>73171</v>
      </c>
      <c r="B906" s="5" t="str">
        <f t="shared" si="116"/>
        <v>maio</v>
      </c>
      <c r="C906" s="5" t="str">
        <f t="shared" si="114"/>
        <v>2100</v>
      </c>
      <c r="D906" s="5">
        <f>SUMIFS(Despesas!$F:$F,Despesas!$J:$J,"&lt;="&amp;$A906,Despesas!$L:$L,"&gt;="&amp;$A906,Despesas!$C:$C,D$1,Despesas!$M:$M,"Mensal")+SUMIFS(Despesas!$F:$F,Despesas!$J:$J,"&lt;="&amp;$A906,Despesas!$L:$L,"&gt;="&amp;$A906,Despesas!$C:$C,D$1,Despesas!$M:$M,$B906)</f>
        <v>0</v>
      </c>
      <c r="E906" s="18">
        <f>SUMIFS(Despesas!$F:$F,Despesas!$J:$J,"&lt;="&amp;$A906,Despesas!$L:$L,"&gt;="&amp;$A906,Despesas!$C:$C,E$1,Despesas!$M:$M,"Mensal")+SUMIFS(Despesas!$F:$F,Despesas!$J:$J,"&lt;="&amp;$A906,Despesas!$L:$L,"&gt;="&amp;$A906,Despesas!$C:$C,E$1,Despesas!$M:$M,$B906)</f>
        <v>0</v>
      </c>
      <c r="F906" s="5">
        <f>SUMIFS(Despesas!$F:$F,Despesas!$J:$J,"&lt;="&amp;$A906,Despesas!$L:$L,"&gt;="&amp;$A906,Despesas!$C:$C,F$1,Despesas!$M:$M,"Mensal")+SUMIFS(Despesas!$F:$F,Despesas!$J:$J,"&lt;="&amp;$A906,Despesas!$L:$L,"&gt;="&amp;$A906,Despesas!$C:$C,F$1,Despesas!$M:$M,$B906)</f>
        <v>0</v>
      </c>
      <c r="G906" s="5">
        <f>SUMIFS(Despesas!$F:$F,Despesas!$J:$J,"&lt;="&amp;$A906,Despesas!$L:$L,"&gt;="&amp;$A906,Despesas!$C:$C,G$1,Despesas!$M:$M,"Mensal")+SUMIFS(Despesas!$F:$F,Despesas!$J:$J,"&lt;="&amp;$A906,Despesas!$L:$L,"&gt;="&amp;$A906,Despesas!$C:$C,G$1,Despesas!$M:$M,$B906)</f>
        <v>0</v>
      </c>
      <c r="H906" s="18">
        <f>SUMIFS(Despesas!$F:$F,Despesas!$J:$J,"&lt;="&amp;$A906,Despesas!$L:$L,"&gt;="&amp;$A906,Despesas!$C:$C,H$1,Despesas!$M:$M,"Mensal")+SUMIFS(Despesas!$F:$F,Despesas!$J:$J,"&lt;="&amp;$A906,Despesas!$L:$L,"&gt;="&amp;$A906,Despesas!$C:$C,H$1,Despesas!$M:$M,$B906)</f>
        <v>0</v>
      </c>
      <c r="I906" s="18">
        <f>IF(Imóveis!$F$2="PRICE",IF(AND(Dados!$A906&gt;=Imóveis!$Q$2,Dados!$A906&lt;=Imóveis!$T$2),Imóveis!$U$2,0),IF((IF(AND(Dados!$A906&gt;=Imóveis!$Q$2,Dados!$A906&lt;=Imóveis!$T$2),Imóveis!$S$2-(DATEDIF(Imóveis!$Q$2,Dados!$A906,"m")),0))=0,0,((Imóveis!$N$2/Imóveis!$S$2)+((Imóveis!$N$2-((Imóveis!$S$2-(IF(AND(Dados!$A906&gt;=Imóveis!$Q$2,Dados!$A906&lt;=Imóveis!$T$2),Imóveis!$S$2-(DATEDIF(Imóveis!$Q$2,Dados!$A906,"m")),)))*(Imóveis!$N$2/Imóveis!$S$2)))*Imóveis!$P$2))))*IF(AND(Imóveis!$E$2&gt;0,Dados!$A906&gt;Imóveis!$E$2),0,1)</f>
        <v>0</v>
      </c>
      <c r="J906" s="18">
        <f>IF(Imóveis!$F$3="PRICE",IF(AND(Dados!$A906&gt;=Imóveis!$Q$3,Dados!$A906&lt;=Imóveis!$T$3),Imóveis!$U$3,0),IF((IF(AND(Dados!$A906&gt;=Imóveis!$Q$3,Dados!$A906&lt;=Imóveis!$T$3),Imóveis!$S$3-(DATEDIF(Imóveis!$Q$3,Dados!$A906,"m")),0))=0,0,((Imóveis!$N$3/Imóveis!$S$3)+((Imóveis!$N$3-((Imóveis!$S$3-(IF(AND(Dados!$A906&gt;=Imóveis!$Q$3,Dados!$A906&lt;=Imóveis!$T$3),Imóveis!$S$3-(DATEDIF(Imóveis!$Q$3,Dados!$A906,"m")),)))*(Imóveis!$N$3/Imóveis!$S$3)))*Imóveis!$P$3))))*IF(AND(Imóveis!$E$3&gt;0,Dados!$A906&gt;Imóveis!$E$3),0,1)</f>
        <v>0</v>
      </c>
      <c r="K906" s="18">
        <f>IF(Imóveis!$F$4="PRICE",IF(AND(Dados!$A906&gt;=Imóveis!$Q$4,Dados!$A906&lt;=Imóveis!$T$4),Imóveis!$U$4,0),IF((IF(AND(Dados!$A906&gt;=Imóveis!$Q$4,Dados!$A906&lt;=Imóveis!$T$4),Imóveis!$S$4-(DATEDIF(Imóveis!$Q$4,Dados!$A906,"m")),0))=0,0,((Imóveis!$N$4/Imóveis!$S$4)+((Imóveis!$N$4-((Imóveis!$S$4-(IF(AND(Dados!$A906&gt;=Imóveis!$Q$4,Dados!$A906&lt;=Imóveis!$T$4),Imóveis!$S$4-(DATEDIF(Imóveis!$Q$4,Dados!$A906,"m")),)))*(Imóveis!$N$4/Imóveis!$S$4)))*Imóveis!$P$4))))*IF(AND(Imóveis!$E$4&gt;0,Dados!$A906&gt;Imóveis!$E$4),0,1)</f>
        <v>0</v>
      </c>
      <c r="L906" s="18">
        <f>IF(Imóveis!$F$5="PRICE",IF(AND(Dados!$A906&gt;=Imóveis!$Q$5,Dados!$A906&lt;=Imóveis!$T$5),Imóveis!$U$5,0),IF((IF(AND(Dados!$A906&gt;=Imóveis!$Q$5,Dados!$A906&lt;=Imóveis!$T$5),Imóveis!$S$5-(DATEDIF(Imóveis!$Q$5,Dados!$A906,"m")),0))=0,0,((Imóveis!$N$5/Imóveis!$S$5)+((Imóveis!$N$5-((Imóveis!$S$5-(IF(AND(Dados!$A906 &gt;=Imóveis!$Q$5,Dados!$A906&lt;=Imóveis!$T$5),Imóveis!$S$5-(DATEDIF(Imóveis!$Q$5,Dados!$A906,"m")),)))*(Imóveis!$N$5/Imóveis!$S$5)))*Imóveis!$P$5))))*IF(AND(Imóveis!$E$5&gt;0,Dados!$A906&gt;Imóveis!$E$5),0,1)*Imóveis!$I$5</f>
        <v>0</v>
      </c>
      <c r="M906" s="18">
        <f>IF(Imóveis!$F$6="PRICE",IF(AND(Dados!$A906&gt;=Imóveis!$Q$6,Dados!$A906&lt;=Imóveis!$T$6),Imóveis!$U$6,0),IF((IF(AND(Dados!$A906&gt;=Imóveis!$Q$6,Dados!$A906&lt;=Imóveis!$T$6),Imóveis!$S$6-(DATEDIF(Imóveis!$Q$6,Dados!$A906,"m")),0))=0,0,((Imóveis!$N$6/Imóveis!$S$6)+((Imóveis!$N$6-((Imóveis!$S$6-(IF(AND(Dados!$A906&gt;=Imóveis!$Q$6,Dados!$A906&lt;=Imóveis!$T$6),Imóveis!$S$6-(DATEDIF(Imóveis!$Q$6,Dados!$A906,"m")),)))*(Imóveis!$N$6/Imóveis!$S$6)))*Imóveis!$P$6))))*IF(AND(Imóveis!$E$6&gt;0,Dados!$A906&gt;Imóveis!$E$6),0,1)*Imóveis!$I$6</f>
        <v>0</v>
      </c>
      <c r="N906" s="18">
        <f t="shared" si="117"/>
        <v>0</v>
      </c>
      <c r="O906" s="18">
        <f>SUMIFS(Receitas!$F:$F,Receitas!$J:$J,"&lt;="&amp;$A906,Receitas!$L:$L,"&gt;="&amp;$A906,Receitas!$C:$C,O$1,Receitas!$M:$M,"Mensal")+SUMIFS(Receitas!$F:$F,Receitas!$J:$J,"&lt;="&amp;$A906,Receitas!$L:$L,"&gt;="&amp;$A906,Receitas!$C:$C,O$1,Receitas!$M:$M,$B906)</f>
        <v>0</v>
      </c>
      <c r="P906" s="18">
        <f>SUMIFS(Receitas!$F:$F,Receitas!$J:$J,"&lt;="&amp;$A906,Receitas!$L:$L,"&gt;="&amp;$A906,Receitas!$C:$C,P$1,Receitas!$M:$M,"Mensal")+SUMIFS(Receitas!$F:$F,Receitas!$J:$J,"&lt;="&amp;$A906,Receitas!$L:$L,"&gt;="&amp;$A906,Receitas!$C:$C,P$1,Receitas!$M:$M,$B906)</f>
        <v>0</v>
      </c>
      <c r="Q906" s="18">
        <f>SUMIFS(Receitas!$F:$F,Receitas!$J:$J,"&lt;="&amp;$A906,Receitas!$L:$L,"&gt;="&amp;$A906,Receitas!$C:$C,Q$1,Receitas!$M:$M,"Mensal")+SUMIFS(Receitas!$F:$F,Receitas!$J:$J,"&lt;="&amp;$A906,Receitas!$L:$L,"&gt;="&amp;$A906,Receitas!$C:$C,Q$1,Receitas!$M:$M,$B906)</f>
        <v>0</v>
      </c>
      <c r="R906" s="18" cm="1">
        <f t="array" ref="R906">(IF(AND(Membros!$F$2="Sim",A906&lt;=MAX(Membros!$E$2:$E$5)),Membros!K$2,IF(AND(A906&gt;=Membros!J$2,A906&lt;=MAX(Membros!$E$2:$E$5)),Membros!K$2,0))+IF(AND(Membros!$F$3="Sim",A906&lt;=MAX(Membros!$E$2:$E$5)),Membros!K$3,IF(AND(A906&gt;=Membros!J$3,A906&lt;=MAX(Membros!$E$2:$E$5)),Membros!K$3,0)))*IF(AND(COUNTIFS(Tabela3[Tipo],"Provedor",Tabela3[Simulação Seguro],"Sim")=2,A906&gt;=MAX(IF(Tabela3[Tipo]="Dependente",Tabela3[Expectativa de Vida (Data)]))),0,1)</f>
        <v>0</v>
      </c>
      <c r="S906" s="18">
        <f t="shared" si="118"/>
        <v>0</v>
      </c>
      <c r="U906" s="18">
        <f t="shared" ca="1" si="121"/>
        <v>90752738.229691461</v>
      </c>
      <c r="V906" s="18">
        <f>SUMIF(Imóveis!E:E,Dados!A:A,Imóveis!Z:Z)-SUMIF(Imóveis!E:E,Dados!A:A,Imóveis!Y:Y)</f>
        <v>0</v>
      </c>
      <c r="W906" s="18">
        <f>-SUMIF(Projetos!N:N,A906,Projetos!F:F)</f>
        <v>0</v>
      </c>
      <c r="X906" s="18">
        <f t="shared" si="115"/>
        <v>0</v>
      </c>
      <c r="Y906" s="26">
        <f ca="1">(U906*((Indicadores_Economicos!D$2+1)^(1/12)-1))</f>
        <v>297100.84948602522</v>
      </c>
      <c r="Z906" s="18">
        <f t="shared" ca="1" si="119"/>
        <v>91049839.079177484</v>
      </c>
      <c r="AA906" s="18">
        <f ca="1">Auxiliar_Projetos!E906</f>
        <v>7.5054001003485791E-9</v>
      </c>
      <c r="AB906" s="18">
        <f ca="1">Auxiliar_Projetos!K906</f>
        <v>5.7733846925758274E-9</v>
      </c>
      <c r="AC906" s="18">
        <f ca="1">IF(Z906-AA906-AB906&gt;Investimentos!$C$14,Investimentos!$C$14,IF(Z906-AA906-AB906&lt;Investimentos!$C$14,Z906-AA906-AB906,0))</f>
        <v>300000</v>
      </c>
      <c r="AD906" s="18">
        <f t="shared" ca="1" si="120"/>
        <v>90749839.079177469</v>
      </c>
      <c r="AE906" s="18"/>
    </row>
    <row r="907" spans="1:31" x14ac:dyDescent="0.2">
      <c r="A907" s="4">
        <v>73202</v>
      </c>
      <c r="B907" s="5" t="str">
        <f t="shared" si="116"/>
        <v>junho</v>
      </c>
      <c r="C907" s="5" t="str">
        <f t="shared" si="114"/>
        <v>2100</v>
      </c>
      <c r="D907" s="5">
        <f>SUMIFS(Despesas!$F:$F,Despesas!$J:$J,"&lt;="&amp;$A907,Despesas!$L:$L,"&gt;="&amp;$A907,Despesas!$C:$C,D$1,Despesas!$M:$M,"Mensal")+SUMIFS(Despesas!$F:$F,Despesas!$J:$J,"&lt;="&amp;$A907,Despesas!$L:$L,"&gt;="&amp;$A907,Despesas!$C:$C,D$1,Despesas!$M:$M,$B907)</f>
        <v>0</v>
      </c>
      <c r="E907" s="18">
        <f>SUMIFS(Despesas!$F:$F,Despesas!$J:$J,"&lt;="&amp;$A907,Despesas!$L:$L,"&gt;="&amp;$A907,Despesas!$C:$C,E$1,Despesas!$M:$M,"Mensal")+SUMIFS(Despesas!$F:$F,Despesas!$J:$J,"&lt;="&amp;$A907,Despesas!$L:$L,"&gt;="&amp;$A907,Despesas!$C:$C,E$1,Despesas!$M:$M,$B907)</f>
        <v>0</v>
      </c>
      <c r="F907" s="5">
        <f>SUMIFS(Despesas!$F:$F,Despesas!$J:$J,"&lt;="&amp;$A907,Despesas!$L:$L,"&gt;="&amp;$A907,Despesas!$C:$C,F$1,Despesas!$M:$M,"Mensal")+SUMIFS(Despesas!$F:$F,Despesas!$J:$J,"&lt;="&amp;$A907,Despesas!$L:$L,"&gt;="&amp;$A907,Despesas!$C:$C,F$1,Despesas!$M:$M,$B907)</f>
        <v>0</v>
      </c>
      <c r="G907" s="5">
        <f>SUMIFS(Despesas!$F:$F,Despesas!$J:$J,"&lt;="&amp;$A907,Despesas!$L:$L,"&gt;="&amp;$A907,Despesas!$C:$C,G$1,Despesas!$M:$M,"Mensal")+SUMIFS(Despesas!$F:$F,Despesas!$J:$J,"&lt;="&amp;$A907,Despesas!$L:$L,"&gt;="&amp;$A907,Despesas!$C:$C,G$1,Despesas!$M:$M,$B907)</f>
        <v>0</v>
      </c>
      <c r="H907" s="18">
        <f>SUMIFS(Despesas!$F:$F,Despesas!$J:$J,"&lt;="&amp;$A907,Despesas!$L:$L,"&gt;="&amp;$A907,Despesas!$C:$C,H$1,Despesas!$M:$M,"Mensal")+SUMIFS(Despesas!$F:$F,Despesas!$J:$J,"&lt;="&amp;$A907,Despesas!$L:$L,"&gt;="&amp;$A907,Despesas!$C:$C,H$1,Despesas!$M:$M,$B907)</f>
        <v>0</v>
      </c>
      <c r="I907" s="18">
        <f>IF(Imóveis!$F$2="PRICE",IF(AND(Dados!$A907&gt;=Imóveis!$Q$2,Dados!$A907&lt;=Imóveis!$T$2),Imóveis!$U$2,0),IF((IF(AND(Dados!$A907&gt;=Imóveis!$Q$2,Dados!$A907&lt;=Imóveis!$T$2),Imóveis!$S$2-(DATEDIF(Imóveis!$Q$2,Dados!$A907,"m")),0))=0,0,((Imóveis!$N$2/Imóveis!$S$2)+((Imóveis!$N$2-((Imóveis!$S$2-(IF(AND(Dados!$A907&gt;=Imóveis!$Q$2,Dados!$A907&lt;=Imóveis!$T$2),Imóveis!$S$2-(DATEDIF(Imóveis!$Q$2,Dados!$A907,"m")),)))*(Imóveis!$N$2/Imóveis!$S$2)))*Imóveis!$P$2))))*IF(AND(Imóveis!$E$2&gt;0,Dados!$A907&gt;Imóveis!$E$2),0,1)</f>
        <v>0</v>
      </c>
      <c r="J907" s="18">
        <f>IF(Imóveis!$F$3="PRICE",IF(AND(Dados!$A907&gt;=Imóveis!$Q$3,Dados!$A907&lt;=Imóveis!$T$3),Imóveis!$U$3,0),IF((IF(AND(Dados!$A907&gt;=Imóveis!$Q$3,Dados!$A907&lt;=Imóveis!$T$3),Imóveis!$S$3-(DATEDIF(Imóveis!$Q$3,Dados!$A907,"m")),0))=0,0,((Imóveis!$N$3/Imóveis!$S$3)+((Imóveis!$N$3-((Imóveis!$S$3-(IF(AND(Dados!$A907&gt;=Imóveis!$Q$3,Dados!$A907&lt;=Imóveis!$T$3),Imóveis!$S$3-(DATEDIF(Imóveis!$Q$3,Dados!$A907,"m")),)))*(Imóveis!$N$3/Imóveis!$S$3)))*Imóveis!$P$3))))*IF(AND(Imóveis!$E$3&gt;0,Dados!$A907&gt;Imóveis!$E$3),0,1)</f>
        <v>0</v>
      </c>
      <c r="K907" s="18">
        <f>IF(Imóveis!$F$4="PRICE",IF(AND(Dados!$A907&gt;=Imóveis!$Q$4,Dados!$A907&lt;=Imóveis!$T$4),Imóveis!$U$4,0),IF((IF(AND(Dados!$A907&gt;=Imóveis!$Q$4,Dados!$A907&lt;=Imóveis!$T$4),Imóveis!$S$4-(DATEDIF(Imóveis!$Q$4,Dados!$A907,"m")),0))=0,0,((Imóveis!$N$4/Imóveis!$S$4)+((Imóveis!$N$4-((Imóveis!$S$4-(IF(AND(Dados!$A907&gt;=Imóveis!$Q$4,Dados!$A907&lt;=Imóveis!$T$4),Imóveis!$S$4-(DATEDIF(Imóveis!$Q$4,Dados!$A907,"m")),)))*(Imóveis!$N$4/Imóveis!$S$4)))*Imóveis!$P$4))))*IF(AND(Imóveis!$E$4&gt;0,Dados!$A907&gt;Imóveis!$E$4),0,1)</f>
        <v>0</v>
      </c>
      <c r="L907" s="18">
        <f>IF(Imóveis!$F$5="PRICE",IF(AND(Dados!$A907&gt;=Imóveis!$Q$5,Dados!$A907&lt;=Imóveis!$T$5),Imóveis!$U$5,0),IF((IF(AND(Dados!$A907&gt;=Imóveis!$Q$5,Dados!$A907&lt;=Imóveis!$T$5),Imóveis!$S$5-(DATEDIF(Imóveis!$Q$5,Dados!$A907,"m")),0))=0,0,((Imóveis!$N$5/Imóveis!$S$5)+((Imóveis!$N$5-((Imóveis!$S$5-(IF(AND(Dados!$A907 &gt;=Imóveis!$Q$5,Dados!$A907&lt;=Imóveis!$T$5),Imóveis!$S$5-(DATEDIF(Imóveis!$Q$5,Dados!$A907,"m")),)))*(Imóveis!$N$5/Imóveis!$S$5)))*Imóveis!$P$5))))*IF(AND(Imóveis!$E$5&gt;0,Dados!$A907&gt;Imóveis!$E$5),0,1)*Imóveis!$I$5</f>
        <v>0</v>
      </c>
      <c r="M907" s="18">
        <f>IF(Imóveis!$F$6="PRICE",IF(AND(Dados!$A907&gt;=Imóveis!$Q$6,Dados!$A907&lt;=Imóveis!$T$6),Imóveis!$U$6,0),IF((IF(AND(Dados!$A907&gt;=Imóveis!$Q$6,Dados!$A907&lt;=Imóveis!$T$6),Imóveis!$S$6-(DATEDIF(Imóveis!$Q$6,Dados!$A907,"m")),0))=0,0,((Imóveis!$N$6/Imóveis!$S$6)+((Imóveis!$N$6-((Imóveis!$S$6-(IF(AND(Dados!$A907&gt;=Imóveis!$Q$6,Dados!$A907&lt;=Imóveis!$T$6),Imóveis!$S$6-(DATEDIF(Imóveis!$Q$6,Dados!$A907,"m")),)))*(Imóveis!$N$6/Imóveis!$S$6)))*Imóveis!$P$6))))*IF(AND(Imóveis!$E$6&gt;0,Dados!$A907&gt;Imóveis!$E$6),0,1)*Imóveis!$I$6</f>
        <v>0</v>
      </c>
      <c r="N907" s="18">
        <f t="shared" si="117"/>
        <v>0</v>
      </c>
      <c r="O907" s="18">
        <f>SUMIFS(Receitas!$F:$F,Receitas!$J:$J,"&lt;="&amp;$A907,Receitas!$L:$L,"&gt;="&amp;$A907,Receitas!$C:$C,O$1,Receitas!$M:$M,"Mensal")+SUMIFS(Receitas!$F:$F,Receitas!$J:$J,"&lt;="&amp;$A907,Receitas!$L:$L,"&gt;="&amp;$A907,Receitas!$C:$C,O$1,Receitas!$M:$M,$B907)</f>
        <v>0</v>
      </c>
      <c r="P907" s="18">
        <f>SUMIFS(Receitas!$F:$F,Receitas!$J:$J,"&lt;="&amp;$A907,Receitas!$L:$L,"&gt;="&amp;$A907,Receitas!$C:$C,P$1,Receitas!$M:$M,"Mensal")+SUMIFS(Receitas!$F:$F,Receitas!$J:$J,"&lt;="&amp;$A907,Receitas!$L:$L,"&gt;="&amp;$A907,Receitas!$C:$C,P$1,Receitas!$M:$M,$B907)</f>
        <v>0</v>
      </c>
      <c r="Q907" s="18">
        <f>SUMIFS(Receitas!$F:$F,Receitas!$J:$J,"&lt;="&amp;$A907,Receitas!$L:$L,"&gt;="&amp;$A907,Receitas!$C:$C,Q$1,Receitas!$M:$M,"Mensal")+SUMIFS(Receitas!$F:$F,Receitas!$J:$J,"&lt;="&amp;$A907,Receitas!$L:$L,"&gt;="&amp;$A907,Receitas!$C:$C,Q$1,Receitas!$M:$M,$B907)</f>
        <v>0</v>
      </c>
      <c r="R907" s="18" cm="1">
        <f t="array" ref="R907">(IF(AND(Membros!$F$2="Sim",A907&lt;=MAX(Membros!$E$2:$E$5)),Membros!K$2,IF(AND(A907&gt;=Membros!J$2,A907&lt;=MAX(Membros!$E$2:$E$5)),Membros!K$2,0))+IF(AND(Membros!$F$3="Sim",A907&lt;=MAX(Membros!$E$2:$E$5)),Membros!K$3,IF(AND(A907&gt;=Membros!J$3,A907&lt;=MAX(Membros!$E$2:$E$5)),Membros!K$3,0)))*IF(AND(COUNTIFS(Tabela3[Tipo],"Provedor",Tabela3[Simulação Seguro],"Sim")=2,A907&gt;=MAX(IF(Tabela3[Tipo]="Dependente",Tabela3[Expectativa de Vida (Data)]))),0,1)</f>
        <v>0</v>
      </c>
      <c r="S907" s="18">
        <f t="shared" si="118"/>
        <v>0</v>
      </c>
      <c r="U907" s="18">
        <f t="shared" ca="1" si="121"/>
        <v>91049839.079177484</v>
      </c>
      <c r="V907" s="18">
        <f>SUMIF(Imóveis!E:E,Dados!A:A,Imóveis!Z:Z)-SUMIF(Imóveis!E:E,Dados!A:A,Imóveis!Y:Y)</f>
        <v>0</v>
      </c>
      <c r="W907" s="18">
        <f>-SUMIF(Projetos!N:N,A907,Projetos!F:F)</f>
        <v>0</v>
      </c>
      <c r="X907" s="18">
        <f t="shared" si="115"/>
        <v>0</v>
      </c>
      <c r="Y907" s="26">
        <f ca="1">(U907*((Indicadores_Economicos!D$2+1)^(1/12)-1))</f>
        <v>298073.48035631271</v>
      </c>
      <c r="Z907" s="18">
        <f t="shared" ca="1" si="119"/>
        <v>91347912.55953379</v>
      </c>
      <c r="AA907" s="18">
        <f ca="1">Auxiliar_Projetos!E907</f>
        <v>7.5299708272384099E-9</v>
      </c>
      <c r="AB907" s="18">
        <f ca="1">Auxiliar_Projetos!K907</f>
        <v>5.7922852517218515E-9</v>
      </c>
      <c r="AC907" s="18">
        <f ca="1">IF(Z907-AA907-AB907&gt;Investimentos!$C$14,Investimentos!$C$14,IF(Z907-AA907-AB907&lt;Investimentos!$C$14,Z907-AA907-AB907,0))</f>
        <v>300000</v>
      </c>
      <c r="AD907" s="18">
        <f t="shared" ca="1" si="120"/>
        <v>91047912.559533775</v>
      </c>
      <c r="AE907" s="18"/>
    </row>
    <row r="908" spans="1:31" x14ac:dyDescent="0.2">
      <c r="A908" s="4">
        <v>73232</v>
      </c>
      <c r="B908" s="5" t="str">
        <f t="shared" si="116"/>
        <v>julho</v>
      </c>
      <c r="C908" s="5" t="str">
        <f t="shared" si="114"/>
        <v>2100</v>
      </c>
      <c r="D908" s="5">
        <f>SUMIFS(Despesas!$F:$F,Despesas!$J:$J,"&lt;="&amp;$A908,Despesas!$L:$L,"&gt;="&amp;$A908,Despesas!$C:$C,D$1,Despesas!$M:$M,"Mensal")+SUMIFS(Despesas!$F:$F,Despesas!$J:$J,"&lt;="&amp;$A908,Despesas!$L:$L,"&gt;="&amp;$A908,Despesas!$C:$C,D$1,Despesas!$M:$M,$B908)</f>
        <v>0</v>
      </c>
      <c r="E908" s="18">
        <f>SUMIFS(Despesas!$F:$F,Despesas!$J:$J,"&lt;="&amp;$A908,Despesas!$L:$L,"&gt;="&amp;$A908,Despesas!$C:$C,E$1,Despesas!$M:$M,"Mensal")+SUMIFS(Despesas!$F:$F,Despesas!$J:$J,"&lt;="&amp;$A908,Despesas!$L:$L,"&gt;="&amp;$A908,Despesas!$C:$C,E$1,Despesas!$M:$M,$B908)</f>
        <v>0</v>
      </c>
      <c r="F908" s="5">
        <f>SUMIFS(Despesas!$F:$F,Despesas!$J:$J,"&lt;="&amp;$A908,Despesas!$L:$L,"&gt;="&amp;$A908,Despesas!$C:$C,F$1,Despesas!$M:$M,"Mensal")+SUMIFS(Despesas!$F:$F,Despesas!$J:$J,"&lt;="&amp;$A908,Despesas!$L:$L,"&gt;="&amp;$A908,Despesas!$C:$C,F$1,Despesas!$M:$M,$B908)</f>
        <v>0</v>
      </c>
      <c r="G908" s="5">
        <f>SUMIFS(Despesas!$F:$F,Despesas!$J:$J,"&lt;="&amp;$A908,Despesas!$L:$L,"&gt;="&amp;$A908,Despesas!$C:$C,G$1,Despesas!$M:$M,"Mensal")+SUMIFS(Despesas!$F:$F,Despesas!$J:$J,"&lt;="&amp;$A908,Despesas!$L:$L,"&gt;="&amp;$A908,Despesas!$C:$C,G$1,Despesas!$M:$M,$B908)</f>
        <v>0</v>
      </c>
      <c r="H908" s="18">
        <f>SUMIFS(Despesas!$F:$F,Despesas!$J:$J,"&lt;="&amp;$A908,Despesas!$L:$L,"&gt;="&amp;$A908,Despesas!$C:$C,H$1,Despesas!$M:$M,"Mensal")+SUMIFS(Despesas!$F:$F,Despesas!$J:$J,"&lt;="&amp;$A908,Despesas!$L:$L,"&gt;="&amp;$A908,Despesas!$C:$C,H$1,Despesas!$M:$M,$B908)</f>
        <v>0</v>
      </c>
      <c r="I908" s="18">
        <f>IF(Imóveis!$F$2="PRICE",IF(AND(Dados!$A908&gt;=Imóveis!$Q$2,Dados!$A908&lt;=Imóveis!$T$2),Imóveis!$U$2,0),IF((IF(AND(Dados!$A908&gt;=Imóveis!$Q$2,Dados!$A908&lt;=Imóveis!$T$2),Imóveis!$S$2-(DATEDIF(Imóveis!$Q$2,Dados!$A908,"m")),0))=0,0,((Imóveis!$N$2/Imóveis!$S$2)+((Imóveis!$N$2-((Imóveis!$S$2-(IF(AND(Dados!$A908&gt;=Imóveis!$Q$2,Dados!$A908&lt;=Imóveis!$T$2),Imóveis!$S$2-(DATEDIF(Imóveis!$Q$2,Dados!$A908,"m")),)))*(Imóveis!$N$2/Imóveis!$S$2)))*Imóveis!$P$2))))*IF(AND(Imóveis!$E$2&gt;0,Dados!$A908&gt;Imóveis!$E$2),0,1)</f>
        <v>0</v>
      </c>
      <c r="J908" s="18">
        <f>IF(Imóveis!$F$3="PRICE",IF(AND(Dados!$A908&gt;=Imóveis!$Q$3,Dados!$A908&lt;=Imóveis!$T$3),Imóveis!$U$3,0),IF((IF(AND(Dados!$A908&gt;=Imóveis!$Q$3,Dados!$A908&lt;=Imóveis!$T$3),Imóveis!$S$3-(DATEDIF(Imóveis!$Q$3,Dados!$A908,"m")),0))=0,0,((Imóveis!$N$3/Imóveis!$S$3)+((Imóveis!$N$3-((Imóveis!$S$3-(IF(AND(Dados!$A908&gt;=Imóveis!$Q$3,Dados!$A908&lt;=Imóveis!$T$3),Imóveis!$S$3-(DATEDIF(Imóveis!$Q$3,Dados!$A908,"m")),)))*(Imóveis!$N$3/Imóveis!$S$3)))*Imóveis!$P$3))))*IF(AND(Imóveis!$E$3&gt;0,Dados!$A908&gt;Imóveis!$E$3),0,1)</f>
        <v>0</v>
      </c>
      <c r="K908" s="18">
        <f>IF(Imóveis!$F$4="PRICE",IF(AND(Dados!$A908&gt;=Imóveis!$Q$4,Dados!$A908&lt;=Imóveis!$T$4),Imóveis!$U$4,0),IF((IF(AND(Dados!$A908&gt;=Imóveis!$Q$4,Dados!$A908&lt;=Imóveis!$T$4),Imóveis!$S$4-(DATEDIF(Imóveis!$Q$4,Dados!$A908,"m")),0))=0,0,((Imóveis!$N$4/Imóveis!$S$4)+((Imóveis!$N$4-((Imóveis!$S$4-(IF(AND(Dados!$A908&gt;=Imóveis!$Q$4,Dados!$A908&lt;=Imóveis!$T$4),Imóveis!$S$4-(DATEDIF(Imóveis!$Q$4,Dados!$A908,"m")),)))*(Imóveis!$N$4/Imóveis!$S$4)))*Imóveis!$P$4))))*IF(AND(Imóveis!$E$4&gt;0,Dados!$A908&gt;Imóveis!$E$4),0,1)</f>
        <v>0</v>
      </c>
      <c r="L908" s="18">
        <f>IF(Imóveis!$F$5="PRICE",IF(AND(Dados!$A908&gt;=Imóveis!$Q$5,Dados!$A908&lt;=Imóveis!$T$5),Imóveis!$U$5,0),IF((IF(AND(Dados!$A908&gt;=Imóveis!$Q$5,Dados!$A908&lt;=Imóveis!$T$5),Imóveis!$S$5-(DATEDIF(Imóveis!$Q$5,Dados!$A908,"m")),0))=0,0,((Imóveis!$N$5/Imóveis!$S$5)+((Imóveis!$N$5-((Imóveis!$S$5-(IF(AND(Dados!$A908 &gt;=Imóveis!$Q$5,Dados!$A908&lt;=Imóveis!$T$5),Imóveis!$S$5-(DATEDIF(Imóveis!$Q$5,Dados!$A908,"m")),)))*(Imóveis!$N$5/Imóveis!$S$5)))*Imóveis!$P$5))))*IF(AND(Imóveis!$E$5&gt;0,Dados!$A908&gt;Imóveis!$E$5),0,1)*Imóveis!$I$5</f>
        <v>0</v>
      </c>
      <c r="M908" s="18">
        <f>IF(Imóveis!$F$6="PRICE",IF(AND(Dados!$A908&gt;=Imóveis!$Q$6,Dados!$A908&lt;=Imóveis!$T$6),Imóveis!$U$6,0),IF((IF(AND(Dados!$A908&gt;=Imóveis!$Q$6,Dados!$A908&lt;=Imóveis!$T$6),Imóveis!$S$6-(DATEDIF(Imóveis!$Q$6,Dados!$A908,"m")),0))=0,0,((Imóveis!$N$6/Imóveis!$S$6)+((Imóveis!$N$6-((Imóveis!$S$6-(IF(AND(Dados!$A908&gt;=Imóveis!$Q$6,Dados!$A908&lt;=Imóveis!$T$6),Imóveis!$S$6-(DATEDIF(Imóveis!$Q$6,Dados!$A908,"m")),)))*(Imóveis!$N$6/Imóveis!$S$6)))*Imóveis!$P$6))))*IF(AND(Imóveis!$E$6&gt;0,Dados!$A908&gt;Imóveis!$E$6),0,1)*Imóveis!$I$6</f>
        <v>0</v>
      </c>
      <c r="N908" s="18">
        <f t="shared" si="117"/>
        <v>0</v>
      </c>
      <c r="O908" s="18">
        <f>SUMIFS(Receitas!$F:$F,Receitas!$J:$J,"&lt;="&amp;$A908,Receitas!$L:$L,"&gt;="&amp;$A908,Receitas!$C:$C,O$1,Receitas!$M:$M,"Mensal")+SUMIFS(Receitas!$F:$F,Receitas!$J:$J,"&lt;="&amp;$A908,Receitas!$L:$L,"&gt;="&amp;$A908,Receitas!$C:$C,O$1,Receitas!$M:$M,$B908)</f>
        <v>0</v>
      </c>
      <c r="P908" s="18">
        <f>SUMIFS(Receitas!$F:$F,Receitas!$J:$J,"&lt;="&amp;$A908,Receitas!$L:$L,"&gt;="&amp;$A908,Receitas!$C:$C,P$1,Receitas!$M:$M,"Mensal")+SUMIFS(Receitas!$F:$F,Receitas!$J:$J,"&lt;="&amp;$A908,Receitas!$L:$L,"&gt;="&amp;$A908,Receitas!$C:$C,P$1,Receitas!$M:$M,$B908)</f>
        <v>0</v>
      </c>
      <c r="Q908" s="18">
        <f>SUMIFS(Receitas!$F:$F,Receitas!$J:$J,"&lt;="&amp;$A908,Receitas!$L:$L,"&gt;="&amp;$A908,Receitas!$C:$C,Q$1,Receitas!$M:$M,"Mensal")+SUMIFS(Receitas!$F:$F,Receitas!$J:$J,"&lt;="&amp;$A908,Receitas!$L:$L,"&gt;="&amp;$A908,Receitas!$C:$C,Q$1,Receitas!$M:$M,$B908)</f>
        <v>0</v>
      </c>
      <c r="R908" s="18" cm="1">
        <f t="array" ref="R908">(IF(AND(Membros!$F$2="Sim",A908&lt;=MAX(Membros!$E$2:$E$5)),Membros!K$2,IF(AND(A908&gt;=Membros!J$2,A908&lt;=MAX(Membros!$E$2:$E$5)),Membros!K$2,0))+IF(AND(Membros!$F$3="Sim",A908&lt;=MAX(Membros!$E$2:$E$5)),Membros!K$3,IF(AND(A908&gt;=Membros!J$3,A908&lt;=MAX(Membros!$E$2:$E$5)),Membros!K$3,0)))*IF(AND(COUNTIFS(Tabela3[Tipo],"Provedor",Tabela3[Simulação Seguro],"Sim")=2,A908&gt;=MAX(IF(Tabela3[Tipo]="Dependente",Tabela3[Expectativa de Vida (Data)]))),0,1)</f>
        <v>0</v>
      </c>
      <c r="S908" s="18">
        <f t="shared" si="118"/>
        <v>0</v>
      </c>
      <c r="U908" s="18">
        <f t="shared" ca="1" si="121"/>
        <v>91347912.55953379</v>
      </c>
      <c r="V908" s="18">
        <f>SUMIF(Imóveis!E:E,Dados!A:A,Imóveis!Z:Z)-SUMIF(Imóveis!E:E,Dados!A:A,Imóveis!Y:Y)</f>
        <v>0</v>
      </c>
      <c r="W908" s="18">
        <f>-SUMIF(Projetos!N:N,A908,Projetos!F:F)</f>
        <v>0</v>
      </c>
      <c r="X908" s="18">
        <f t="shared" si="115"/>
        <v>0</v>
      </c>
      <c r="Y908" s="26">
        <f ca="1">(U908*((Indicadores_Economicos!D$2+1)^(1/12)-1))</f>
        <v>299049.29536697362</v>
      </c>
      <c r="Z908" s="18">
        <f t="shared" ca="1" si="119"/>
        <v>91646961.854900762</v>
      </c>
      <c r="AA908" s="18">
        <f ca="1">Auxiliar_Projetos!E908</f>
        <v>7.5546219922943369E-9</v>
      </c>
      <c r="AB908" s="18">
        <f ca="1">Auxiliar_Projetos!K908</f>
        <v>5.8112476863802572E-9</v>
      </c>
      <c r="AC908" s="18">
        <f ca="1">IF(Z908-AA908-AB908&gt;Investimentos!$C$14,Investimentos!$C$14,IF(Z908-AA908-AB908&lt;Investimentos!$C$14,Z908-AA908-AB908,0))</f>
        <v>300000</v>
      </c>
      <c r="AD908" s="18">
        <f t="shared" ca="1" si="120"/>
        <v>91346961.854900748</v>
      </c>
      <c r="AE908" s="18"/>
    </row>
    <row r="909" spans="1:31" x14ac:dyDescent="0.2">
      <c r="A909" s="4">
        <v>73263</v>
      </c>
      <c r="B909" s="5" t="str">
        <f t="shared" si="116"/>
        <v>agosto</v>
      </c>
      <c r="C909" s="5" t="str">
        <f t="shared" si="114"/>
        <v>2100</v>
      </c>
      <c r="D909" s="5">
        <f>SUMIFS(Despesas!$F:$F,Despesas!$J:$J,"&lt;="&amp;$A909,Despesas!$L:$L,"&gt;="&amp;$A909,Despesas!$C:$C,D$1,Despesas!$M:$M,"Mensal")+SUMIFS(Despesas!$F:$F,Despesas!$J:$J,"&lt;="&amp;$A909,Despesas!$L:$L,"&gt;="&amp;$A909,Despesas!$C:$C,D$1,Despesas!$M:$M,$B909)</f>
        <v>0</v>
      </c>
      <c r="E909" s="18">
        <f>SUMIFS(Despesas!$F:$F,Despesas!$J:$J,"&lt;="&amp;$A909,Despesas!$L:$L,"&gt;="&amp;$A909,Despesas!$C:$C,E$1,Despesas!$M:$M,"Mensal")+SUMIFS(Despesas!$F:$F,Despesas!$J:$J,"&lt;="&amp;$A909,Despesas!$L:$L,"&gt;="&amp;$A909,Despesas!$C:$C,E$1,Despesas!$M:$M,$B909)</f>
        <v>0</v>
      </c>
      <c r="F909" s="5">
        <f>SUMIFS(Despesas!$F:$F,Despesas!$J:$J,"&lt;="&amp;$A909,Despesas!$L:$L,"&gt;="&amp;$A909,Despesas!$C:$C,F$1,Despesas!$M:$M,"Mensal")+SUMIFS(Despesas!$F:$F,Despesas!$J:$J,"&lt;="&amp;$A909,Despesas!$L:$L,"&gt;="&amp;$A909,Despesas!$C:$C,F$1,Despesas!$M:$M,$B909)</f>
        <v>0</v>
      </c>
      <c r="G909" s="5">
        <f>SUMIFS(Despesas!$F:$F,Despesas!$J:$J,"&lt;="&amp;$A909,Despesas!$L:$L,"&gt;="&amp;$A909,Despesas!$C:$C,G$1,Despesas!$M:$M,"Mensal")+SUMIFS(Despesas!$F:$F,Despesas!$J:$J,"&lt;="&amp;$A909,Despesas!$L:$L,"&gt;="&amp;$A909,Despesas!$C:$C,G$1,Despesas!$M:$M,$B909)</f>
        <v>0</v>
      </c>
      <c r="H909" s="18">
        <f>SUMIFS(Despesas!$F:$F,Despesas!$J:$J,"&lt;="&amp;$A909,Despesas!$L:$L,"&gt;="&amp;$A909,Despesas!$C:$C,H$1,Despesas!$M:$M,"Mensal")+SUMIFS(Despesas!$F:$F,Despesas!$J:$J,"&lt;="&amp;$A909,Despesas!$L:$L,"&gt;="&amp;$A909,Despesas!$C:$C,H$1,Despesas!$M:$M,$B909)</f>
        <v>0</v>
      </c>
      <c r="I909" s="18">
        <f>IF(Imóveis!$F$2="PRICE",IF(AND(Dados!$A909&gt;=Imóveis!$Q$2,Dados!$A909&lt;=Imóveis!$T$2),Imóveis!$U$2,0),IF((IF(AND(Dados!$A909&gt;=Imóveis!$Q$2,Dados!$A909&lt;=Imóveis!$T$2),Imóveis!$S$2-(DATEDIF(Imóveis!$Q$2,Dados!$A909,"m")),0))=0,0,((Imóveis!$N$2/Imóveis!$S$2)+((Imóveis!$N$2-((Imóveis!$S$2-(IF(AND(Dados!$A909&gt;=Imóveis!$Q$2,Dados!$A909&lt;=Imóveis!$T$2),Imóveis!$S$2-(DATEDIF(Imóveis!$Q$2,Dados!$A909,"m")),)))*(Imóveis!$N$2/Imóveis!$S$2)))*Imóveis!$P$2))))*IF(AND(Imóveis!$E$2&gt;0,Dados!$A909&gt;Imóveis!$E$2),0,1)</f>
        <v>0</v>
      </c>
      <c r="J909" s="18">
        <f>IF(Imóveis!$F$3="PRICE",IF(AND(Dados!$A909&gt;=Imóveis!$Q$3,Dados!$A909&lt;=Imóveis!$T$3),Imóveis!$U$3,0),IF((IF(AND(Dados!$A909&gt;=Imóveis!$Q$3,Dados!$A909&lt;=Imóveis!$T$3),Imóveis!$S$3-(DATEDIF(Imóveis!$Q$3,Dados!$A909,"m")),0))=0,0,((Imóveis!$N$3/Imóveis!$S$3)+((Imóveis!$N$3-((Imóveis!$S$3-(IF(AND(Dados!$A909&gt;=Imóveis!$Q$3,Dados!$A909&lt;=Imóveis!$T$3),Imóveis!$S$3-(DATEDIF(Imóveis!$Q$3,Dados!$A909,"m")),)))*(Imóveis!$N$3/Imóveis!$S$3)))*Imóveis!$P$3))))*IF(AND(Imóveis!$E$3&gt;0,Dados!$A909&gt;Imóveis!$E$3),0,1)</f>
        <v>0</v>
      </c>
      <c r="K909" s="18">
        <f>IF(Imóveis!$F$4="PRICE",IF(AND(Dados!$A909&gt;=Imóveis!$Q$4,Dados!$A909&lt;=Imóveis!$T$4),Imóveis!$U$4,0),IF((IF(AND(Dados!$A909&gt;=Imóveis!$Q$4,Dados!$A909&lt;=Imóveis!$T$4),Imóveis!$S$4-(DATEDIF(Imóveis!$Q$4,Dados!$A909,"m")),0))=0,0,((Imóveis!$N$4/Imóveis!$S$4)+((Imóveis!$N$4-((Imóveis!$S$4-(IF(AND(Dados!$A909&gt;=Imóveis!$Q$4,Dados!$A909&lt;=Imóveis!$T$4),Imóveis!$S$4-(DATEDIF(Imóveis!$Q$4,Dados!$A909,"m")),)))*(Imóveis!$N$4/Imóveis!$S$4)))*Imóveis!$P$4))))*IF(AND(Imóveis!$E$4&gt;0,Dados!$A909&gt;Imóveis!$E$4),0,1)</f>
        <v>0</v>
      </c>
      <c r="L909" s="18">
        <f>IF(Imóveis!$F$5="PRICE",IF(AND(Dados!$A909&gt;=Imóveis!$Q$5,Dados!$A909&lt;=Imóveis!$T$5),Imóveis!$U$5,0),IF((IF(AND(Dados!$A909&gt;=Imóveis!$Q$5,Dados!$A909&lt;=Imóveis!$T$5),Imóveis!$S$5-(DATEDIF(Imóveis!$Q$5,Dados!$A909,"m")),0))=0,0,((Imóveis!$N$5/Imóveis!$S$5)+((Imóveis!$N$5-((Imóveis!$S$5-(IF(AND(Dados!$A909 &gt;=Imóveis!$Q$5,Dados!$A909&lt;=Imóveis!$T$5),Imóveis!$S$5-(DATEDIF(Imóveis!$Q$5,Dados!$A909,"m")),)))*(Imóveis!$N$5/Imóveis!$S$5)))*Imóveis!$P$5))))*IF(AND(Imóveis!$E$5&gt;0,Dados!$A909&gt;Imóveis!$E$5),0,1)*Imóveis!$I$5</f>
        <v>0</v>
      </c>
      <c r="M909" s="18">
        <f>IF(Imóveis!$F$6="PRICE",IF(AND(Dados!$A909&gt;=Imóveis!$Q$6,Dados!$A909&lt;=Imóveis!$T$6),Imóveis!$U$6,0),IF((IF(AND(Dados!$A909&gt;=Imóveis!$Q$6,Dados!$A909&lt;=Imóveis!$T$6),Imóveis!$S$6-(DATEDIF(Imóveis!$Q$6,Dados!$A909,"m")),0))=0,0,((Imóveis!$N$6/Imóveis!$S$6)+((Imóveis!$N$6-((Imóveis!$S$6-(IF(AND(Dados!$A909&gt;=Imóveis!$Q$6,Dados!$A909&lt;=Imóveis!$T$6),Imóveis!$S$6-(DATEDIF(Imóveis!$Q$6,Dados!$A909,"m")),)))*(Imóveis!$N$6/Imóveis!$S$6)))*Imóveis!$P$6))))*IF(AND(Imóveis!$E$6&gt;0,Dados!$A909&gt;Imóveis!$E$6),0,1)*Imóveis!$I$6</f>
        <v>0</v>
      </c>
      <c r="N909" s="18">
        <f t="shared" si="117"/>
        <v>0</v>
      </c>
      <c r="O909" s="18">
        <f>SUMIFS(Receitas!$F:$F,Receitas!$J:$J,"&lt;="&amp;$A909,Receitas!$L:$L,"&gt;="&amp;$A909,Receitas!$C:$C,O$1,Receitas!$M:$M,"Mensal")+SUMIFS(Receitas!$F:$F,Receitas!$J:$J,"&lt;="&amp;$A909,Receitas!$L:$L,"&gt;="&amp;$A909,Receitas!$C:$C,O$1,Receitas!$M:$M,$B909)</f>
        <v>0</v>
      </c>
      <c r="P909" s="18">
        <f>SUMIFS(Receitas!$F:$F,Receitas!$J:$J,"&lt;="&amp;$A909,Receitas!$L:$L,"&gt;="&amp;$A909,Receitas!$C:$C,P$1,Receitas!$M:$M,"Mensal")+SUMIFS(Receitas!$F:$F,Receitas!$J:$J,"&lt;="&amp;$A909,Receitas!$L:$L,"&gt;="&amp;$A909,Receitas!$C:$C,P$1,Receitas!$M:$M,$B909)</f>
        <v>0</v>
      </c>
      <c r="Q909" s="18">
        <f>SUMIFS(Receitas!$F:$F,Receitas!$J:$J,"&lt;="&amp;$A909,Receitas!$L:$L,"&gt;="&amp;$A909,Receitas!$C:$C,Q$1,Receitas!$M:$M,"Mensal")+SUMIFS(Receitas!$F:$F,Receitas!$J:$J,"&lt;="&amp;$A909,Receitas!$L:$L,"&gt;="&amp;$A909,Receitas!$C:$C,Q$1,Receitas!$M:$M,$B909)</f>
        <v>0</v>
      </c>
      <c r="R909" s="18" cm="1">
        <f t="array" ref="R909">(IF(AND(Membros!$F$2="Sim",A909&lt;=MAX(Membros!$E$2:$E$5)),Membros!K$2,IF(AND(A909&gt;=Membros!J$2,A909&lt;=MAX(Membros!$E$2:$E$5)),Membros!K$2,0))+IF(AND(Membros!$F$3="Sim",A909&lt;=MAX(Membros!$E$2:$E$5)),Membros!K$3,IF(AND(A909&gt;=Membros!J$3,A909&lt;=MAX(Membros!$E$2:$E$5)),Membros!K$3,0)))*IF(AND(COUNTIFS(Tabela3[Tipo],"Provedor",Tabela3[Simulação Seguro],"Sim")=2,A909&gt;=MAX(IF(Tabela3[Tipo]="Dependente",Tabela3[Expectativa de Vida (Data)]))),0,1)</f>
        <v>0</v>
      </c>
      <c r="S909" s="18">
        <f t="shared" si="118"/>
        <v>0</v>
      </c>
      <c r="U909" s="18">
        <f t="shared" ca="1" si="121"/>
        <v>91646961.854900762</v>
      </c>
      <c r="V909" s="18">
        <f>SUMIF(Imóveis!E:E,Dados!A:A,Imóveis!Z:Z)-SUMIF(Imóveis!E:E,Dados!A:A,Imóveis!Y:Y)</f>
        <v>0</v>
      </c>
      <c r="W909" s="18">
        <f>-SUMIF(Projetos!N:N,A909,Projetos!F:F)</f>
        <v>0</v>
      </c>
      <c r="X909" s="18">
        <f t="shared" si="115"/>
        <v>0</v>
      </c>
      <c r="Y909" s="26">
        <f ca="1">(U909*((Indicadores_Economicos!D$2+1)^(1/12)-1))</f>
        <v>300028.30494205502</v>
      </c>
      <c r="Z909" s="18">
        <f t="shared" ca="1" si="119"/>
        <v>91946990.159842819</v>
      </c>
      <c r="AA909" s="18">
        <f ca="1">Auxiliar_Projetos!E909</f>
        <v>7.5793538588499862E-9</v>
      </c>
      <c r="AB909" s="18">
        <f ca="1">Auxiliar_Projetos!K909</f>
        <v>5.8302721991153715E-9</v>
      </c>
      <c r="AC909" s="18">
        <f ca="1">IF(Z909-AA909-AB909&gt;Investimentos!$C$14,Investimentos!$C$14,IF(Z909-AA909-AB909&lt;Investimentos!$C$14,Z909-AA909-AB909,0))</f>
        <v>300000</v>
      </c>
      <c r="AD909" s="18">
        <f t="shared" ca="1" si="120"/>
        <v>91646990.159842804</v>
      </c>
      <c r="AE909" s="18"/>
    </row>
    <row r="910" spans="1:31" x14ac:dyDescent="0.2">
      <c r="A910" s="4">
        <v>73294</v>
      </c>
      <c r="B910" s="5" t="str">
        <f t="shared" si="116"/>
        <v>setembro</v>
      </c>
      <c r="C910" s="5" t="str">
        <f t="shared" si="114"/>
        <v>2100</v>
      </c>
      <c r="D910" s="5">
        <f>SUMIFS(Despesas!$F:$F,Despesas!$J:$J,"&lt;="&amp;$A910,Despesas!$L:$L,"&gt;="&amp;$A910,Despesas!$C:$C,D$1,Despesas!$M:$M,"Mensal")+SUMIFS(Despesas!$F:$F,Despesas!$J:$J,"&lt;="&amp;$A910,Despesas!$L:$L,"&gt;="&amp;$A910,Despesas!$C:$C,D$1,Despesas!$M:$M,$B910)</f>
        <v>0</v>
      </c>
      <c r="E910" s="18">
        <f>SUMIFS(Despesas!$F:$F,Despesas!$J:$J,"&lt;="&amp;$A910,Despesas!$L:$L,"&gt;="&amp;$A910,Despesas!$C:$C,E$1,Despesas!$M:$M,"Mensal")+SUMIFS(Despesas!$F:$F,Despesas!$J:$J,"&lt;="&amp;$A910,Despesas!$L:$L,"&gt;="&amp;$A910,Despesas!$C:$C,E$1,Despesas!$M:$M,$B910)</f>
        <v>0</v>
      </c>
      <c r="F910" s="5">
        <f>SUMIFS(Despesas!$F:$F,Despesas!$J:$J,"&lt;="&amp;$A910,Despesas!$L:$L,"&gt;="&amp;$A910,Despesas!$C:$C,F$1,Despesas!$M:$M,"Mensal")+SUMIFS(Despesas!$F:$F,Despesas!$J:$J,"&lt;="&amp;$A910,Despesas!$L:$L,"&gt;="&amp;$A910,Despesas!$C:$C,F$1,Despesas!$M:$M,$B910)</f>
        <v>0</v>
      </c>
      <c r="G910" s="5">
        <f>SUMIFS(Despesas!$F:$F,Despesas!$J:$J,"&lt;="&amp;$A910,Despesas!$L:$L,"&gt;="&amp;$A910,Despesas!$C:$C,G$1,Despesas!$M:$M,"Mensal")+SUMIFS(Despesas!$F:$F,Despesas!$J:$J,"&lt;="&amp;$A910,Despesas!$L:$L,"&gt;="&amp;$A910,Despesas!$C:$C,G$1,Despesas!$M:$M,$B910)</f>
        <v>0</v>
      </c>
      <c r="H910" s="18">
        <f>SUMIFS(Despesas!$F:$F,Despesas!$J:$J,"&lt;="&amp;$A910,Despesas!$L:$L,"&gt;="&amp;$A910,Despesas!$C:$C,H$1,Despesas!$M:$M,"Mensal")+SUMIFS(Despesas!$F:$F,Despesas!$J:$J,"&lt;="&amp;$A910,Despesas!$L:$L,"&gt;="&amp;$A910,Despesas!$C:$C,H$1,Despesas!$M:$M,$B910)</f>
        <v>0</v>
      </c>
      <c r="I910" s="18">
        <f>IF(Imóveis!$F$2="PRICE",IF(AND(Dados!$A910&gt;=Imóveis!$Q$2,Dados!$A910&lt;=Imóveis!$T$2),Imóveis!$U$2,0),IF((IF(AND(Dados!$A910&gt;=Imóveis!$Q$2,Dados!$A910&lt;=Imóveis!$T$2),Imóveis!$S$2-(DATEDIF(Imóveis!$Q$2,Dados!$A910,"m")),0))=0,0,((Imóveis!$N$2/Imóveis!$S$2)+((Imóveis!$N$2-((Imóveis!$S$2-(IF(AND(Dados!$A910&gt;=Imóveis!$Q$2,Dados!$A910&lt;=Imóveis!$T$2),Imóveis!$S$2-(DATEDIF(Imóveis!$Q$2,Dados!$A910,"m")),)))*(Imóveis!$N$2/Imóveis!$S$2)))*Imóveis!$P$2))))*IF(AND(Imóveis!$E$2&gt;0,Dados!$A910&gt;Imóveis!$E$2),0,1)</f>
        <v>0</v>
      </c>
      <c r="J910" s="18">
        <f>IF(Imóveis!$F$3="PRICE",IF(AND(Dados!$A910&gt;=Imóveis!$Q$3,Dados!$A910&lt;=Imóveis!$T$3),Imóveis!$U$3,0),IF((IF(AND(Dados!$A910&gt;=Imóveis!$Q$3,Dados!$A910&lt;=Imóveis!$T$3),Imóveis!$S$3-(DATEDIF(Imóveis!$Q$3,Dados!$A910,"m")),0))=0,0,((Imóveis!$N$3/Imóveis!$S$3)+((Imóveis!$N$3-((Imóveis!$S$3-(IF(AND(Dados!$A910&gt;=Imóveis!$Q$3,Dados!$A910&lt;=Imóveis!$T$3),Imóveis!$S$3-(DATEDIF(Imóveis!$Q$3,Dados!$A910,"m")),)))*(Imóveis!$N$3/Imóveis!$S$3)))*Imóveis!$P$3))))*IF(AND(Imóveis!$E$3&gt;0,Dados!$A910&gt;Imóveis!$E$3),0,1)</f>
        <v>0</v>
      </c>
      <c r="K910" s="18">
        <f>IF(Imóveis!$F$4="PRICE",IF(AND(Dados!$A910&gt;=Imóveis!$Q$4,Dados!$A910&lt;=Imóveis!$T$4),Imóveis!$U$4,0),IF((IF(AND(Dados!$A910&gt;=Imóveis!$Q$4,Dados!$A910&lt;=Imóveis!$T$4),Imóveis!$S$4-(DATEDIF(Imóveis!$Q$4,Dados!$A910,"m")),0))=0,0,((Imóveis!$N$4/Imóveis!$S$4)+((Imóveis!$N$4-((Imóveis!$S$4-(IF(AND(Dados!$A910&gt;=Imóveis!$Q$4,Dados!$A910&lt;=Imóveis!$T$4),Imóveis!$S$4-(DATEDIF(Imóveis!$Q$4,Dados!$A910,"m")),)))*(Imóveis!$N$4/Imóveis!$S$4)))*Imóveis!$P$4))))*IF(AND(Imóveis!$E$4&gt;0,Dados!$A910&gt;Imóveis!$E$4),0,1)</f>
        <v>0</v>
      </c>
      <c r="L910" s="18">
        <f>IF(Imóveis!$F$5="PRICE",IF(AND(Dados!$A910&gt;=Imóveis!$Q$5,Dados!$A910&lt;=Imóveis!$T$5),Imóveis!$U$5,0),IF((IF(AND(Dados!$A910&gt;=Imóveis!$Q$5,Dados!$A910&lt;=Imóveis!$T$5),Imóveis!$S$5-(DATEDIF(Imóveis!$Q$5,Dados!$A910,"m")),0))=0,0,((Imóveis!$N$5/Imóveis!$S$5)+((Imóveis!$N$5-((Imóveis!$S$5-(IF(AND(Dados!$A910 &gt;=Imóveis!$Q$5,Dados!$A910&lt;=Imóveis!$T$5),Imóveis!$S$5-(DATEDIF(Imóveis!$Q$5,Dados!$A910,"m")),)))*(Imóveis!$N$5/Imóveis!$S$5)))*Imóveis!$P$5))))*IF(AND(Imóveis!$E$5&gt;0,Dados!$A910&gt;Imóveis!$E$5),0,1)*Imóveis!$I$5</f>
        <v>0</v>
      </c>
      <c r="M910" s="18">
        <f>IF(Imóveis!$F$6="PRICE",IF(AND(Dados!$A910&gt;=Imóveis!$Q$6,Dados!$A910&lt;=Imóveis!$T$6),Imóveis!$U$6,0),IF((IF(AND(Dados!$A910&gt;=Imóveis!$Q$6,Dados!$A910&lt;=Imóveis!$T$6),Imóveis!$S$6-(DATEDIF(Imóveis!$Q$6,Dados!$A910,"m")),0))=0,0,((Imóveis!$N$6/Imóveis!$S$6)+((Imóveis!$N$6-((Imóveis!$S$6-(IF(AND(Dados!$A910&gt;=Imóveis!$Q$6,Dados!$A910&lt;=Imóveis!$T$6),Imóveis!$S$6-(DATEDIF(Imóveis!$Q$6,Dados!$A910,"m")),)))*(Imóveis!$N$6/Imóveis!$S$6)))*Imóveis!$P$6))))*IF(AND(Imóveis!$E$6&gt;0,Dados!$A910&gt;Imóveis!$E$6),0,1)*Imóveis!$I$6</f>
        <v>0</v>
      </c>
      <c r="N910" s="18">
        <f t="shared" si="117"/>
        <v>0</v>
      </c>
      <c r="O910" s="18">
        <f>SUMIFS(Receitas!$F:$F,Receitas!$J:$J,"&lt;="&amp;$A910,Receitas!$L:$L,"&gt;="&amp;$A910,Receitas!$C:$C,O$1,Receitas!$M:$M,"Mensal")+SUMIFS(Receitas!$F:$F,Receitas!$J:$J,"&lt;="&amp;$A910,Receitas!$L:$L,"&gt;="&amp;$A910,Receitas!$C:$C,O$1,Receitas!$M:$M,$B910)</f>
        <v>0</v>
      </c>
      <c r="P910" s="18">
        <f>SUMIFS(Receitas!$F:$F,Receitas!$J:$J,"&lt;="&amp;$A910,Receitas!$L:$L,"&gt;="&amp;$A910,Receitas!$C:$C,P$1,Receitas!$M:$M,"Mensal")+SUMIFS(Receitas!$F:$F,Receitas!$J:$J,"&lt;="&amp;$A910,Receitas!$L:$L,"&gt;="&amp;$A910,Receitas!$C:$C,P$1,Receitas!$M:$M,$B910)</f>
        <v>0</v>
      </c>
      <c r="Q910" s="18">
        <f>SUMIFS(Receitas!$F:$F,Receitas!$J:$J,"&lt;="&amp;$A910,Receitas!$L:$L,"&gt;="&amp;$A910,Receitas!$C:$C,Q$1,Receitas!$M:$M,"Mensal")+SUMIFS(Receitas!$F:$F,Receitas!$J:$J,"&lt;="&amp;$A910,Receitas!$L:$L,"&gt;="&amp;$A910,Receitas!$C:$C,Q$1,Receitas!$M:$M,$B910)</f>
        <v>0</v>
      </c>
      <c r="R910" s="18" cm="1">
        <f t="array" ref="R910">(IF(AND(Membros!$F$2="Sim",A910&lt;=MAX(Membros!$E$2:$E$5)),Membros!K$2,IF(AND(A910&gt;=Membros!J$2,A910&lt;=MAX(Membros!$E$2:$E$5)),Membros!K$2,0))+IF(AND(Membros!$F$3="Sim",A910&lt;=MAX(Membros!$E$2:$E$5)),Membros!K$3,IF(AND(A910&gt;=Membros!J$3,A910&lt;=MAX(Membros!$E$2:$E$5)),Membros!K$3,0)))*IF(AND(COUNTIFS(Tabela3[Tipo],"Provedor",Tabela3[Simulação Seguro],"Sim")=2,A910&gt;=MAX(IF(Tabela3[Tipo]="Dependente",Tabela3[Expectativa de Vida (Data)]))),0,1)</f>
        <v>0</v>
      </c>
      <c r="S910" s="18">
        <f t="shared" si="118"/>
        <v>0</v>
      </c>
      <c r="U910" s="18">
        <f t="shared" ca="1" si="121"/>
        <v>91946990.159842819</v>
      </c>
      <c r="V910" s="18">
        <f>SUMIF(Imóveis!E:E,Dados!A:A,Imóveis!Z:Z)-SUMIF(Imóveis!E:E,Dados!A:A,Imóveis!Y:Y)</f>
        <v>0</v>
      </c>
      <c r="W910" s="18">
        <f>-SUMIF(Projetos!N:N,A910,Projetos!F:F)</f>
        <v>0</v>
      </c>
      <c r="X910" s="18">
        <f t="shared" si="115"/>
        <v>0</v>
      </c>
      <c r="Y910" s="26">
        <f ca="1">(U910*((Indicadores_Economicos!D$2+1)^(1/12)-1))</f>
        <v>301010.51953972958</v>
      </c>
      <c r="Z910" s="18">
        <f t="shared" ca="1" si="119"/>
        <v>92248000.679382548</v>
      </c>
      <c r="AA910" s="18">
        <f ca="1">Auxiliar_Projetos!E910</f>
        <v>7.6041666911010669E-9</v>
      </c>
      <c r="AB910" s="18">
        <f ca="1">Auxiliar_Projetos!K910</f>
        <v>5.8493589931546638E-9</v>
      </c>
      <c r="AC910" s="18">
        <f ca="1">IF(Z910-AA910-AB910&gt;Investimentos!$C$14,Investimentos!$C$14,IF(Z910-AA910-AB910&lt;Investimentos!$C$14,Z910-AA910-AB910,0))</f>
        <v>300000</v>
      </c>
      <c r="AD910" s="18">
        <f t="shared" ca="1" si="120"/>
        <v>91948000.679382533</v>
      </c>
      <c r="AE910" s="18"/>
    </row>
    <row r="911" spans="1:31" x14ac:dyDescent="0.2">
      <c r="A911" s="4">
        <v>73324</v>
      </c>
      <c r="B911" s="5" t="str">
        <f t="shared" si="116"/>
        <v>outubro</v>
      </c>
      <c r="C911" s="5" t="str">
        <f t="shared" si="114"/>
        <v>2100</v>
      </c>
      <c r="D911" s="5">
        <f>SUMIFS(Despesas!$F:$F,Despesas!$J:$J,"&lt;="&amp;$A911,Despesas!$L:$L,"&gt;="&amp;$A911,Despesas!$C:$C,D$1,Despesas!$M:$M,"Mensal")+SUMIFS(Despesas!$F:$F,Despesas!$J:$J,"&lt;="&amp;$A911,Despesas!$L:$L,"&gt;="&amp;$A911,Despesas!$C:$C,D$1,Despesas!$M:$M,$B911)</f>
        <v>0</v>
      </c>
      <c r="E911" s="18">
        <f>SUMIFS(Despesas!$F:$F,Despesas!$J:$J,"&lt;="&amp;$A911,Despesas!$L:$L,"&gt;="&amp;$A911,Despesas!$C:$C,E$1,Despesas!$M:$M,"Mensal")+SUMIFS(Despesas!$F:$F,Despesas!$J:$J,"&lt;="&amp;$A911,Despesas!$L:$L,"&gt;="&amp;$A911,Despesas!$C:$C,E$1,Despesas!$M:$M,$B911)</f>
        <v>0</v>
      </c>
      <c r="F911" s="5">
        <f>SUMIFS(Despesas!$F:$F,Despesas!$J:$J,"&lt;="&amp;$A911,Despesas!$L:$L,"&gt;="&amp;$A911,Despesas!$C:$C,F$1,Despesas!$M:$M,"Mensal")+SUMIFS(Despesas!$F:$F,Despesas!$J:$J,"&lt;="&amp;$A911,Despesas!$L:$L,"&gt;="&amp;$A911,Despesas!$C:$C,F$1,Despesas!$M:$M,$B911)</f>
        <v>0</v>
      </c>
      <c r="G911" s="5">
        <f>SUMIFS(Despesas!$F:$F,Despesas!$J:$J,"&lt;="&amp;$A911,Despesas!$L:$L,"&gt;="&amp;$A911,Despesas!$C:$C,G$1,Despesas!$M:$M,"Mensal")+SUMIFS(Despesas!$F:$F,Despesas!$J:$J,"&lt;="&amp;$A911,Despesas!$L:$L,"&gt;="&amp;$A911,Despesas!$C:$C,G$1,Despesas!$M:$M,$B911)</f>
        <v>0</v>
      </c>
      <c r="H911" s="18">
        <f>SUMIFS(Despesas!$F:$F,Despesas!$J:$J,"&lt;="&amp;$A911,Despesas!$L:$L,"&gt;="&amp;$A911,Despesas!$C:$C,H$1,Despesas!$M:$M,"Mensal")+SUMIFS(Despesas!$F:$F,Despesas!$J:$J,"&lt;="&amp;$A911,Despesas!$L:$L,"&gt;="&amp;$A911,Despesas!$C:$C,H$1,Despesas!$M:$M,$B911)</f>
        <v>0</v>
      </c>
      <c r="I911" s="18">
        <f>IF(Imóveis!$F$2="PRICE",IF(AND(Dados!$A911&gt;=Imóveis!$Q$2,Dados!$A911&lt;=Imóveis!$T$2),Imóveis!$U$2,0),IF((IF(AND(Dados!$A911&gt;=Imóveis!$Q$2,Dados!$A911&lt;=Imóveis!$T$2),Imóveis!$S$2-(DATEDIF(Imóveis!$Q$2,Dados!$A911,"m")),0))=0,0,((Imóveis!$N$2/Imóveis!$S$2)+((Imóveis!$N$2-((Imóveis!$S$2-(IF(AND(Dados!$A911&gt;=Imóveis!$Q$2,Dados!$A911&lt;=Imóveis!$T$2),Imóveis!$S$2-(DATEDIF(Imóveis!$Q$2,Dados!$A911,"m")),)))*(Imóveis!$N$2/Imóveis!$S$2)))*Imóveis!$P$2))))*IF(AND(Imóveis!$E$2&gt;0,Dados!$A911&gt;Imóveis!$E$2),0,1)</f>
        <v>0</v>
      </c>
      <c r="J911" s="18">
        <f>IF(Imóveis!$F$3="PRICE",IF(AND(Dados!$A911&gt;=Imóveis!$Q$3,Dados!$A911&lt;=Imóveis!$T$3),Imóveis!$U$3,0),IF((IF(AND(Dados!$A911&gt;=Imóveis!$Q$3,Dados!$A911&lt;=Imóveis!$T$3),Imóveis!$S$3-(DATEDIF(Imóveis!$Q$3,Dados!$A911,"m")),0))=0,0,((Imóveis!$N$3/Imóveis!$S$3)+((Imóveis!$N$3-((Imóveis!$S$3-(IF(AND(Dados!$A911&gt;=Imóveis!$Q$3,Dados!$A911&lt;=Imóveis!$T$3),Imóveis!$S$3-(DATEDIF(Imóveis!$Q$3,Dados!$A911,"m")),)))*(Imóveis!$N$3/Imóveis!$S$3)))*Imóveis!$P$3))))*IF(AND(Imóveis!$E$3&gt;0,Dados!$A911&gt;Imóveis!$E$3),0,1)</f>
        <v>0</v>
      </c>
      <c r="K911" s="18">
        <f>IF(Imóveis!$F$4="PRICE",IF(AND(Dados!$A911&gt;=Imóveis!$Q$4,Dados!$A911&lt;=Imóveis!$T$4),Imóveis!$U$4,0),IF((IF(AND(Dados!$A911&gt;=Imóveis!$Q$4,Dados!$A911&lt;=Imóveis!$T$4),Imóveis!$S$4-(DATEDIF(Imóveis!$Q$4,Dados!$A911,"m")),0))=0,0,((Imóveis!$N$4/Imóveis!$S$4)+((Imóveis!$N$4-((Imóveis!$S$4-(IF(AND(Dados!$A911&gt;=Imóveis!$Q$4,Dados!$A911&lt;=Imóveis!$T$4),Imóveis!$S$4-(DATEDIF(Imóveis!$Q$4,Dados!$A911,"m")),)))*(Imóveis!$N$4/Imóveis!$S$4)))*Imóveis!$P$4))))*IF(AND(Imóveis!$E$4&gt;0,Dados!$A911&gt;Imóveis!$E$4),0,1)</f>
        <v>0</v>
      </c>
      <c r="L911" s="18">
        <f>IF(Imóveis!$F$5="PRICE",IF(AND(Dados!$A911&gt;=Imóveis!$Q$5,Dados!$A911&lt;=Imóveis!$T$5),Imóveis!$U$5,0),IF((IF(AND(Dados!$A911&gt;=Imóveis!$Q$5,Dados!$A911&lt;=Imóveis!$T$5),Imóveis!$S$5-(DATEDIF(Imóveis!$Q$5,Dados!$A911,"m")),0))=0,0,((Imóveis!$N$5/Imóveis!$S$5)+((Imóveis!$N$5-((Imóveis!$S$5-(IF(AND(Dados!$A911 &gt;=Imóveis!$Q$5,Dados!$A911&lt;=Imóveis!$T$5),Imóveis!$S$5-(DATEDIF(Imóveis!$Q$5,Dados!$A911,"m")),)))*(Imóveis!$N$5/Imóveis!$S$5)))*Imóveis!$P$5))))*IF(AND(Imóveis!$E$5&gt;0,Dados!$A911&gt;Imóveis!$E$5),0,1)*Imóveis!$I$5</f>
        <v>0</v>
      </c>
      <c r="M911" s="18">
        <f>IF(Imóveis!$F$6="PRICE",IF(AND(Dados!$A911&gt;=Imóveis!$Q$6,Dados!$A911&lt;=Imóveis!$T$6),Imóveis!$U$6,0),IF((IF(AND(Dados!$A911&gt;=Imóveis!$Q$6,Dados!$A911&lt;=Imóveis!$T$6),Imóveis!$S$6-(DATEDIF(Imóveis!$Q$6,Dados!$A911,"m")),0))=0,0,((Imóveis!$N$6/Imóveis!$S$6)+((Imóveis!$N$6-((Imóveis!$S$6-(IF(AND(Dados!$A911&gt;=Imóveis!$Q$6,Dados!$A911&lt;=Imóveis!$T$6),Imóveis!$S$6-(DATEDIF(Imóveis!$Q$6,Dados!$A911,"m")),)))*(Imóveis!$N$6/Imóveis!$S$6)))*Imóveis!$P$6))))*IF(AND(Imóveis!$E$6&gt;0,Dados!$A911&gt;Imóveis!$E$6),0,1)*Imóveis!$I$6</f>
        <v>0</v>
      </c>
      <c r="N911" s="18">
        <f t="shared" si="117"/>
        <v>0</v>
      </c>
      <c r="O911" s="18">
        <f>SUMIFS(Receitas!$F:$F,Receitas!$J:$J,"&lt;="&amp;$A911,Receitas!$L:$L,"&gt;="&amp;$A911,Receitas!$C:$C,O$1,Receitas!$M:$M,"Mensal")+SUMIFS(Receitas!$F:$F,Receitas!$J:$J,"&lt;="&amp;$A911,Receitas!$L:$L,"&gt;="&amp;$A911,Receitas!$C:$C,O$1,Receitas!$M:$M,$B911)</f>
        <v>0</v>
      </c>
      <c r="P911" s="18">
        <f>SUMIFS(Receitas!$F:$F,Receitas!$J:$J,"&lt;="&amp;$A911,Receitas!$L:$L,"&gt;="&amp;$A911,Receitas!$C:$C,P$1,Receitas!$M:$M,"Mensal")+SUMIFS(Receitas!$F:$F,Receitas!$J:$J,"&lt;="&amp;$A911,Receitas!$L:$L,"&gt;="&amp;$A911,Receitas!$C:$C,P$1,Receitas!$M:$M,$B911)</f>
        <v>0</v>
      </c>
      <c r="Q911" s="18">
        <f>SUMIFS(Receitas!$F:$F,Receitas!$J:$J,"&lt;="&amp;$A911,Receitas!$L:$L,"&gt;="&amp;$A911,Receitas!$C:$C,Q$1,Receitas!$M:$M,"Mensal")+SUMIFS(Receitas!$F:$F,Receitas!$J:$J,"&lt;="&amp;$A911,Receitas!$L:$L,"&gt;="&amp;$A911,Receitas!$C:$C,Q$1,Receitas!$M:$M,$B911)</f>
        <v>0</v>
      </c>
      <c r="R911" s="18" cm="1">
        <f t="array" ref="R911">(IF(AND(Membros!$F$2="Sim",A911&lt;=MAX(Membros!$E$2:$E$5)),Membros!K$2,IF(AND(A911&gt;=Membros!J$2,A911&lt;=MAX(Membros!$E$2:$E$5)),Membros!K$2,0))+IF(AND(Membros!$F$3="Sim",A911&lt;=MAX(Membros!$E$2:$E$5)),Membros!K$3,IF(AND(A911&gt;=Membros!J$3,A911&lt;=MAX(Membros!$E$2:$E$5)),Membros!K$3,0)))*IF(AND(COUNTIFS(Tabela3[Tipo],"Provedor",Tabela3[Simulação Seguro],"Sim")=2,A911&gt;=MAX(IF(Tabela3[Tipo]="Dependente",Tabela3[Expectativa de Vida (Data)]))),0,1)</f>
        <v>0</v>
      </c>
      <c r="S911" s="18">
        <f t="shared" si="118"/>
        <v>0</v>
      </c>
      <c r="U911" s="18">
        <f t="shared" ca="1" si="121"/>
        <v>92248000.679382548</v>
      </c>
      <c r="V911" s="18">
        <f>SUMIF(Imóveis!E:E,Dados!A:A,Imóveis!Z:Z)-SUMIF(Imóveis!E:E,Dados!A:A,Imóveis!Y:Y)</f>
        <v>0</v>
      </c>
      <c r="W911" s="18">
        <f>-SUMIF(Projetos!N:N,A911,Projetos!F:F)</f>
        <v>0</v>
      </c>
      <c r="X911" s="18">
        <f t="shared" si="115"/>
        <v>0</v>
      </c>
      <c r="Y911" s="26">
        <f ca="1">(U911*((Indicadores_Economicos!D$2+1)^(1/12)-1))</f>
        <v>301995.94965240714</v>
      </c>
      <c r="Z911" s="18">
        <f t="shared" ca="1" si="119"/>
        <v>92549996.629034951</v>
      </c>
      <c r="AA911" s="18">
        <f ca="1">Auxiliar_Projetos!E911</f>
        <v>7.6290607541081962E-9</v>
      </c>
      <c r="AB911" s="18">
        <f ca="1">Auxiliar_Projetos!K911</f>
        <v>5.8685082723909172E-9</v>
      </c>
      <c r="AC911" s="18">
        <f ca="1">IF(Z911-AA911-AB911&gt;Investimentos!$C$14,Investimentos!$C$14,IF(Z911-AA911-AB911&lt;Investimentos!$C$14,Z911-AA911-AB911,0))</f>
        <v>300000</v>
      </c>
      <c r="AD911" s="18">
        <f t="shared" ca="1" si="120"/>
        <v>92249996.629034936</v>
      </c>
      <c r="AE911" s="18"/>
    </row>
    <row r="912" spans="1:31" x14ac:dyDescent="0.2">
      <c r="A912" s="4">
        <v>73355</v>
      </c>
      <c r="B912" s="5" t="str">
        <f t="shared" si="116"/>
        <v>novembro</v>
      </c>
      <c r="C912" s="5" t="str">
        <f t="shared" si="114"/>
        <v>2100</v>
      </c>
      <c r="D912" s="5">
        <f>SUMIFS(Despesas!$F:$F,Despesas!$J:$J,"&lt;="&amp;$A912,Despesas!$L:$L,"&gt;="&amp;$A912,Despesas!$C:$C,D$1,Despesas!$M:$M,"Mensal")+SUMIFS(Despesas!$F:$F,Despesas!$J:$J,"&lt;="&amp;$A912,Despesas!$L:$L,"&gt;="&amp;$A912,Despesas!$C:$C,D$1,Despesas!$M:$M,$B912)</f>
        <v>0</v>
      </c>
      <c r="E912" s="18">
        <f>SUMIFS(Despesas!$F:$F,Despesas!$J:$J,"&lt;="&amp;$A912,Despesas!$L:$L,"&gt;="&amp;$A912,Despesas!$C:$C,E$1,Despesas!$M:$M,"Mensal")+SUMIFS(Despesas!$F:$F,Despesas!$J:$J,"&lt;="&amp;$A912,Despesas!$L:$L,"&gt;="&amp;$A912,Despesas!$C:$C,E$1,Despesas!$M:$M,$B912)</f>
        <v>0</v>
      </c>
      <c r="F912" s="5">
        <f>SUMIFS(Despesas!$F:$F,Despesas!$J:$J,"&lt;="&amp;$A912,Despesas!$L:$L,"&gt;="&amp;$A912,Despesas!$C:$C,F$1,Despesas!$M:$M,"Mensal")+SUMIFS(Despesas!$F:$F,Despesas!$J:$J,"&lt;="&amp;$A912,Despesas!$L:$L,"&gt;="&amp;$A912,Despesas!$C:$C,F$1,Despesas!$M:$M,$B912)</f>
        <v>0</v>
      </c>
      <c r="G912" s="5">
        <f>SUMIFS(Despesas!$F:$F,Despesas!$J:$J,"&lt;="&amp;$A912,Despesas!$L:$L,"&gt;="&amp;$A912,Despesas!$C:$C,G$1,Despesas!$M:$M,"Mensal")+SUMIFS(Despesas!$F:$F,Despesas!$J:$J,"&lt;="&amp;$A912,Despesas!$L:$L,"&gt;="&amp;$A912,Despesas!$C:$C,G$1,Despesas!$M:$M,$B912)</f>
        <v>0</v>
      </c>
      <c r="H912" s="18">
        <f>SUMIFS(Despesas!$F:$F,Despesas!$J:$J,"&lt;="&amp;$A912,Despesas!$L:$L,"&gt;="&amp;$A912,Despesas!$C:$C,H$1,Despesas!$M:$M,"Mensal")+SUMIFS(Despesas!$F:$F,Despesas!$J:$J,"&lt;="&amp;$A912,Despesas!$L:$L,"&gt;="&amp;$A912,Despesas!$C:$C,H$1,Despesas!$M:$M,$B912)</f>
        <v>0</v>
      </c>
      <c r="I912" s="18">
        <f>IF(Imóveis!$F$2="PRICE",IF(AND(Dados!$A912&gt;=Imóveis!$Q$2,Dados!$A912&lt;=Imóveis!$T$2),Imóveis!$U$2,0),IF((IF(AND(Dados!$A912&gt;=Imóveis!$Q$2,Dados!$A912&lt;=Imóveis!$T$2),Imóveis!$S$2-(DATEDIF(Imóveis!$Q$2,Dados!$A912,"m")),0))=0,0,((Imóveis!$N$2/Imóveis!$S$2)+((Imóveis!$N$2-((Imóveis!$S$2-(IF(AND(Dados!$A912&gt;=Imóveis!$Q$2,Dados!$A912&lt;=Imóveis!$T$2),Imóveis!$S$2-(DATEDIF(Imóveis!$Q$2,Dados!$A912,"m")),)))*(Imóveis!$N$2/Imóveis!$S$2)))*Imóveis!$P$2))))*IF(AND(Imóveis!$E$2&gt;0,Dados!$A912&gt;Imóveis!$E$2),0,1)</f>
        <v>0</v>
      </c>
      <c r="J912" s="18">
        <f>IF(Imóveis!$F$3="PRICE",IF(AND(Dados!$A912&gt;=Imóveis!$Q$3,Dados!$A912&lt;=Imóveis!$T$3),Imóveis!$U$3,0),IF((IF(AND(Dados!$A912&gt;=Imóveis!$Q$3,Dados!$A912&lt;=Imóveis!$T$3),Imóveis!$S$3-(DATEDIF(Imóveis!$Q$3,Dados!$A912,"m")),0))=0,0,((Imóveis!$N$3/Imóveis!$S$3)+((Imóveis!$N$3-((Imóveis!$S$3-(IF(AND(Dados!$A912&gt;=Imóveis!$Q$3,Dados!$A912&lt;=Imóveis!$T$3),Imóveis!$S$3-(DATEDIF(Imóveis!$Q$3,Dados!$A912,"m")),)))*(Imóveis!$N$3/Imóveis!$S$3)))*Imóveis!$P$3))))*IF(AND(Imóveis!$E$3&gt;0,Dados!$A912&gt;Imóveis!$E$3),0,1)</f>
        <v>0</v>
      </c>
      <c r="K912" s="18">
        <f>IF(Imóveis!$F$4="PRICE",IF(AND(Dados!$A912&gt;=Imóveis!$Q$4,Dados!$A912&lt;=Imóveis!$T$4),Imóveis!$U$4,0),IF((IF(AND(Dados!$A912&gt;=Imóveis!$Q$4,Dados!$A912&lt;=Imóveis!$T$4),Imóveis!$S$4-(DATEDIF(Imóveis!$Q$4,Dados!$A912,"m")),0))=0,0,((Imóveis!$N$4/Imóveis!$S$4)+((Imóveis!$N$4-((Imóveis!$S$4-(IF(AND(Dados!$A912&gt;=Imóveis!$Q$4,Dados!$A912&lt;=Imóveis!$T$4),Imóveis!$S$4-(DATEDIF(Imóveis!$Q$4,Dados!$A912,"m")),)))*(Imóveis!$N$4/Imóveis!$S$4)))*Imóveis!$P$4))))*IF(AND(Imóveis!$E$4&gt;0,Dados!$A912&gt;Imóveis!$E$4),0,1)</f>
        <v>0</v>
      </c>
      <c r="L912" s="18">
        <f>IF(Imóveis!$F$5="PRICE",IF(AND(Dados!$A912&gt;=Imóveis!$Q$5,Dados!$A912&lt;=Imóveis!$T$5),Imóveis!$U$5,0),IF((IF(AND(Dados!$A912&gt;=Imóveis!$Q$5,Dados!$A912&lt;=Imóveis!$T$5),Imóveis!$S$5-(DATEDIF(Imóveis!$Q$5,Dados!$A912,"m")),0))=0,0,((Imóveis!$N$5/Imóveis!$S$5)+((Imóveis!$N$5-((Imóveis!$S$5-(IF(AND(Dados!$A912 &gt;=Imóveis!$Q$5,Dados!$A912&lt;=Imóveis!$T$5),Imóveis!$S$5-(DATEDIF(Imóveis!$Q$5,Dados!$A912,"m")),)))*(Imóveis!$N$5/Imóveis!$S$5)))*Imóveis!$P$5))))*IF(AND(Imóveis!$E$5&gt;0,Dados!$A912&gt;Imóveis!$E$5),0,1)*Imóveis!$I$5</f>
        <v>0</v>
      </c>
      <c r="M912" s="18">
        <f>IF(Imóveis!$F$6="PRICE",IF(AND(Dados!$A912&gt;=Imóveis!$Q$6,Dados!$A912&lt;=Imóveis!$T$6),Imóveis!$U$6,0),IF((IF(AND(Dados!$A912&gt;=Imóveis!$Q$6,Dados!$A912&lt;=Imóveis!$T$6),Imóveis!$S$6-(DATEDIF(Imóveis!$Q$6,Dados!$A912,"m")),0))=0,0,((Imóveis!$N$6/Imóveis!$S$6)+((Imóveis!$N$6-((Imóveis!$S$6-(IF(AND(Dados!$A912&gt;=Imóveis!$Q$6,Dados!$A912&lt;=Imóveis!$T$6),Imóveis!$S$6-(DATEDIF(Imóveis!$Q$6,Dados!$A912,"m")),)))*(Imóveis!$N$6/Imóveis!$S$6)))*Imóveis!$P$6))))*IF(AND(Imóveis!$E$6&gt;0,Dados!$A912&gt;Imóveis!$E$6),0,1)*Imóveis!$I$6</f>
        <v>0</v>
      </c>
      <c r="N912" s="18">
        <f t="shared" si="117"/>
        <v>0</v>
      </c>
      <c r="O912" s="18">
        <f>SUMIFS(Receitas!$F:$F,Receitas!$J:$J,"&lt;="&amp;$A912,Receitas!$L:$L,"&gt;="&amp;$A912,Receitas!$C:$C,O$1,Receitas!$M:$M,"Mensal")+SUMIFS(Receitas!$F:$F,Receitas!$J:$J,"&lt;="&amp;$A912,Receitas!$L:$L,"&gt;="&amp;$A912,Receitas!$C:$C,O$1,Receitas!$M:$M,$B912)</f>
        <v>0</v>
      </c>
      <c r="P912" s="18">
        <f>SUMIFS(Receitas!$F:$F,Receitas!$J:$J,"&lt;="&amp;$A912,Receitas!$L:$L,"&gt;="&amp;$A912,Receitas!$C:$C,P$1,Receitas!$M:$M,"Mensal")+SUMIFS(Receitas!$F:$F,Receitas!$J:$J,"&lt;="&amp;$A912,Receitas!$L:$L,"&gt;="&amp;$A912,Receitas!$C:$C,P$1,Receitas!$M:$M,$B912)</f>
        <v>0</v>
      </c>
      <c r="Q912" s="18">
        <f>SUMIFS(Receitas!$F:$F,Receitas!$J:$J,"&lt;="&amp;$A912,Receitas!$L:$L,"&gt;="&amp;$A912,Receitas!$C:$C,Q$1,Receitas!$M:$M,"Mensal")+SUMIFS(Receitas!$F:$F,Receitas!$J:$J,"&lt;="&amp;$A912,Receitas!$L:$L,"&gt;="&amp;$A912,Receitas!$C:$C,Q$1,Receitas!$M:$M,$B912)</f>
        <v>0</v>
      </c>
      <c r="R912" s="18" cm="1">
        <f t="array" ref="R912">(IF(AND(Membros!$F$2="Sim",A912&lt;=MAX(Membros!$E$2:$E$5)),Membros!K$2,IF(AND(A912&gt;=Membros!J$2,A912&lt;=MAX(Membros!$E$2:$E$5)),Membros!K$2,0))+IF(AND(Membros!$F$3="Sim",A912&lt;=MAX(Membros!$E$2:$E$5)),Membros!K$3,IF(AND(A912&gt;=Membros!J$3,A912&lt;=MAX(Membros!$E$2:$E$5)),Membros!K$3,0)))*IF(AND(COUNTIFS(Tabela3[Tipo],"Provedor",Tabela3[Simulação Seguro],"Sim")=2,A912&gt;=MAX(IF(Tabela3[Tipo]="Dependente",Tabela3[Expectativa de Vida (Data)]))),0,1)</f>
        <v>0</v>
      </c>
      <c r="S912" s="18">
        <f t="shared" si="118"/>
        <v>0</v>
      </c>
      <c r="U912" s="18">
        <f t="shared" ca="1" si="121"/>
        <v>92549996.629034951</v>
      </c>
      <c r="V912" s="18">
        <f>SUMIF(Imóveis!E:E,Dados!A:A,Imóveis!Z:Z)-SUMIF(Imóveis!E:E,Dados!A:A,Imóveis!Y:Y)</f>
        <v>0</v>
      </c>
      <c r="W912" s="18">
        <f>-SUMIF(Projetos!N:N,A912,Projetos!F:F)</f>
        <v>0</v>
      </c>
      <c r="X912" s="18">
        <f t="shared" si="115"/>
        <v>0</v>
      </c>
      <c r="Y912" s="26">
        <f ca="1">(U912*((Indicadores_Economicos!D$2+1)^(1/12)-1))</f>
        <v>302984.60580684716</v>
      </c>
      <c r="Z912" s="18">
        <f t="shared" ca="1" si="119"/>
        <v>92852981.234841794</v>
      </c>
      <c r="AA912" s="18">
        <f ca="1">Auxiliar_Projetos!E912</f>
        <v>7.654036313799732E-9</v>
      </c>
      <c r="AB912" s="18">
        <f ca="1">Auxiliar_Projetos!K912</f>
        <v>5.8877202413844065E-9</v>
      </c>
      <c r="AC912" s="18">
        <f ca="1">IF(Z912-AA912-AB912&gt;Investimentos!$C$14,Investimentos!$C$14,IF(Z912-AA912-AB912&lt;Investimentos!$C$14,Z912-AA912-AB912,0))</f>
        <v>300000</v>
      </c>
      <c r="AD912" s="18">
        <f t="shared" ca="1" si="120"/>
        <v>92552981.234841779</v>
      </c>
      <c r="AE912" s="18"/>
    </row>
    <row r="913" spans="1:31" x14ac:dyDescent="0.2">
      <c r="A913" s="4">
        <v>73385</v>
      </c>
      <c r="B913" s="5" t="str">
        <f t="shared" si="116"/>
        <v>dezembro</v>
      </c>
      <c r="C913" s="5" t="str">
        <f t="shared" si="114"/>
        <v>2100</v>
      </c>
      <c r="D913" s="5">
        <f>SUMIFS(Despesas!$F:$F,Despesas!$J:$J,"&lt;="&amp;$A913,Despesas!$L:$L,"&gt;="&amp;$A913,Despesas!$C:$C,D$1,Despesas!$M:$M,"Mensal")+SUMIFS(Despesas!$F:$F,Despesas!$J:$J,"&lt;="&amp;$A913,Despesas!$L:$L,"&gt;="&amp;$A913,Despesas!$C:$C,D$1,Despesas!$M:$M,$B913)</f>
        <v>0</v>
      </c>
      <c r="E913" s="18">
        <f>SUMIFS(Despesas!$F:$F,Despesas!$J:$J,"&lt;="&amp;$A913,Despesas!$L:$L,"&gt;="&amp;$A913,Despesas!$C:$C,E$1,Despesas!$M:$M,"Mensal")+SUMIFS(Despesas!$F:$F,Despesas!$J:$J,"&lt;="&amp;$A913,Despesas!$L:$L,"&gt;="&amp;$A913,Despesas!$C:$C,E$1,Despesas!$M:$M,$B913)</f>
        <v>0</v>
      </c>
      <c r="F913" s="5">
        <f>SUMIFS(Despesas!$F:$F,Despesas!$J:$J,"&lt;="&amp;$A913,Despesas!$L:$L,"&gt;="&amp;$A913,Despesas!$C:$C,F$1,Despesas!$M:$M,"Mensal")+SUMIFS(Despesas!$F:$F,Despesas!$J:$J,"&lt;="&amp;$A913,Despesas!$L:$L,"&gt;="&amp;$A913,Despesas!$C:$C,F$1,Despesas!$M:$M,$B913)</f>
        <v>0</v>
      </c>
      <c r="G913" s="5">
        <f>SUMIFS(Despesas!$F:$F,Despesas!$J:$J,"&lt;="&amp;$A913,Despesas!$L:$L,"&gt;="&amp;$A913,Despesas!$C:$C,G$1,Despesas!$M:$M,"Mensal")+SUMIFS(Despesas!$F:$F,Despesas!$J:$J,"&lt;="&amp;$A913,Despesas!$L:$L,"&gt;="&amp;$A913,Despesas!$C:$C,G$1,Despesas!$M:$M,$B913)</f>
        <v>0</v>
      </c>
      <c r="H913" s="18">
        <f>SUMIFS(Despesas!$F:$F,Despesas!$J:$J,"&lt;="&amp;$A913,Despesas!$L:$L,"&gt;="&amp;$A913,Despesas!$C:$C,H$1,Despesas!$M:$M,"Mensal")+SUMIFS(Despesas!$F:$F,Despesas!$J:$J,"&lt;="&amp;$A913,Despesas!$L:$L,"&gt;="&amp;$A913,Despesas!$C:$C,H$1,Despesas!$M:$M,$B913)</f>
        <v>0</v>
      </c>
      <c r="I913" s="18">
        <f>IF(Imóveis!$F$2="PRICE",IF(AND(Dados!$A913&gt;=Imóveis!$Q$2,Dados!$A913&lt;=Imóveis!$T$2),Imóveis!$U$2,0),IF((IF(AND(Dados!$A913&gt;=Imóveis!$Q$2,Dados!$A913&lt;=Imóveis!$T$2),Imóveis!$S$2-(DATEDIF(Imóveis!$Q$2,Dados!$A913,"m")),0))=0,0,((Imóveis!$N$2/Imóveis!$S$2)+((Imóveis!$N$2-((Imóveis!$S$2-(IF(AND(Dados!$A913&gt;=Imóveis!$Q$2,Dados!$A913&lt;=Imóveis!$T$2),Imóveis!$S$2-(DATEDIF(Imóveis!$Q$2,Dados!$A913,"m")),)))*(Imóveis!$N$2/Imóveis!$S$2)))*Imóveis!$P$2))))*IF(AND(Imóveis!$E$2&gt;0,Dados!$A913&gt;Imóveis!$E$2),0,1)</f>
        <v>0</v>
      </c>
      <c r="J913" s="18">
        <f>IF(Imóveis!$F$3="PRICE",IF(AND(Dados!$A913&gt;=Imóveis!$Q$3,Dados!$A913&lt;=Imóveis!$T$3),Imóveis!$U$3,0),IF((IF(AND(Dados!$A913&gt;=Imóveis!$Q$3,Dados!$A913&lt;=Imóveis!$T$3),Imóveis!$S$3-(DATEDIF(Imóveis!$Q$3,Dados!$A913,"m")),0))=0,0,((Imóveis!$N$3/Imóveis!$S$3)+((Imóveis!$N$3-((Imóveis!$S$3-(IF(AND(Dados!$A913&gt;=Imóveis!$Q$3,Dados!$A913&lt;=Imóveis!$T$3),Imóveis!$S$3-(DATEDIF(Imóveis!$Q$3,Dados!$A913,"m")),)))*(Imóveis!$N$3/Imóveis!$S$3)))*Imóveis!$P$3))))*IF(AND(Imóveis!$E$3&gt;0,Dados!$A913&gt;Imóveis!$E$3),0,1)</f>
        <v>0</v>
      </c>
      <c r="K913" s="18">
        <f>IF(Imóveis!$F$4="PRICE",IF(AND(Dados!$A913&gt;=Imóveis!$Q$4,Dados!$A913&lt;=Imóveis!$T$4),Imóveis!$U$4,0),IF((IF(AND(Dados!$A913&gt;=Imóveis!$Q$4,Dados!$A913&lt;=Imóveis!$T$4),Imóveis!$S$4-(DATEDIF(Imóveis!$Q$4,Dados!$A913,"m")),0))=0,0,((Imóveis!$N$4/Imóveis!$S$4)+((Imóveis!$N$4-((Imóveis!$S$4-(IF(AND(Dados!$A913&gt;=Imóveis!$Q$4,Dados!$A913&lt;=Imóveis!$T$4),Imóveis!$S$4-(DATEDIF(Imóveis!$Q$4,Dados!$A913,"m")),)))*(Imóveis!$N$4/Imóveis!$S$4)))*Imóveis!$P$4))))*IF(AND(Imóveis!$E$4&gt;0,Dados!$A913&gt;Imóveis!$E$4),0,1)</f>
        <v>0</v>
      </c>
      <c r="L913" s="18">
        <f>IF(Imóveis!$F$5="PRICE",IF(AND(Dados!$A913&gt;=Imóveis!$Q$5,Dados!$A913&lt;=Imóveis!$T$5),Imóveis!$U$5,0),IF((IF(AND(Dados!$A913&gt;=Imóveis!$Q$5,Dados!$A913&lt;=Imóveis!$T$5),Imóveis!$S$5-(DATEDIF(Imóveis!$Q$5,Dados!$A913,"m")),0))=0,0,((Imóveis!$N$5/Imóveis!$S$5)+((Imóveis!$N$5-((Imóveis!$S$5-(IF(AND(Dados!$A913 &gt;=Imóveis!$Q$5,Dados!$A913&lt;=Imóveis!$T$5),Imóveis!$S$5-(DATEDIF(Imóveis!$Q$5,Dados!$A913,"m")),)))*(Imóveis!$N$5/Imóveis!$S$5)))*Imóveis!$P$5))))*IF(AND(Imóveis!$E$5&gt;0,Dados!$A913&gt;Imóveis!$E$5),0,1)*Imóveis!$I$5</f>
        <v>0</v>
      </c>
      <c r="M913" s="18">
        <f>IF(Imóveis!$F$6="PRICE",IF(AND(Dados!$A913&gt;=Imóveis!$Q$6,Dados!$A913&lt;=Imóveis!$T$6),Imóveis!$U$6,0),IF((IF(AND(Dados!$A913&gt;=Imóveis!$Q$6,Dados!$A913&lt;=Imóveis!$T$6),Imóveis!$S$6-(DATEDIF(Imóveis!$Q$6,Dados!$A913,"m")),0))=0,0,((Imóveis!$N$6/Imóveis!$S$6)+((Imóveis!$N$6-((Imóveis!$S$6-(IF(AND(Dados!$A913&gt;=Imóveis!$Q$6,Dados!$A913&lt;=Imóveis!$T$6),Imóveis!$S$6-(DATEDIF(Imóveis!$Q$6,Dados!$A913,"m")),)))*(Imóveis!$N$6/Imóveis!$S$6)))*Imóveis!$P$6))))*IF(AND(Imóveis!$E$6&gt;0,Dados!$A913&gt;Imóveis!$E$6),0,1)*Imóveis!$I$6</f>
        <v>0</v>
      </c>
      <c r="N913" s="18">
        <f t="shared" si="117"/>
        <v>0</v>
      </c>
      <c r="O913" s="18">
        <f>SUMIFS(Receitas!$F:$F,Receitas!$J:$J,"&lt;="&amp;$A913,Receitas!$L:$L,"&gt;="&amp;$A913,Receitas!$C:$C,O$1,Receitas!$M:$M,"Mensal")+SUMIFS(Receitas!$F:$F,Receitas!$J:$J,"&lt;="&amp;$A913,Receitas!$L:$L,"&gt;="&amp;$A913,Receitas!$C:$C,O$1,Receitas!$M:$M,$B913)</f>
        <v>0</v>
      </c>
      <c r="P913" s="18">
        <f>SUMIFS(Receitas!$F:$F,Receitas!$J:$J,"&lt;="&amp;$A913,Receitas!$L:$L,"&gt;="&amp;$A913,Receitas!$C:$C,P$1,Receitas!$M:$M,"Mensal")+SUMIFS(Receitas!$F:$F,Receitas!$J:$J,"&lt;="&amp;$A913,Receitas!$L:$L,"&gt;="&amp;$A913,Receitas!$C:$C,P$1,Receitas!$M:$M,$B913)</f>
        <v>0</v>
      </c>
      <c r="Q913" s="18">
        <f>SUMIFS(Receitas!$F:$F,Receitas!$J:$J,"&lt;="&amp;$A913,Receitas!$L:$L,"&gt;="&amp;$A913,Receitas!$C:$C,Q$1,Receitas!$M:$M,"Mensal")+SUMIFS(Receitas!$F:$F,Receitas!$J:$J,"&lt;="&amp;$A913,Receitas!$L:$L,"&gt;="&amp;$A913,Receitas!$C:$C,Q$1,Receitas!$M:$M,$B913)</f>
        <v>0</v>
      </c>
      <c r="R913" s="18" cm="1">
        <f t="array" ref="R913">(IF(AND(Membros!$F$2="Sim",A913&lt;=MAX(Membros!$E$2:$E$5)),Membros!K$2,IF(AND(A913&gt;=Membros!J$2,A913&lt;=MAX(Membros!$E$2:$E$5)),Membros!K$2,0))+IF(AND(Membros!$F$3="Sim",A913&lt;=MAX(Membros!$E$2:$E$5)),Membros!K$3,IF(AND(A913&gt;=Membros!J$3,A913&lt;=MAX(Membros!$E$2:$E$5)),Membros!K$3,0)))*IF(AND(COUNTIFS(Tabela3[Tipo],"Provedor",Tabela3[Simulação Seguro],"Sim")=2,A913&gt;=MAX(IF(Tabela3[Tipo]="Dependente",Tabela3[Expectativa de Vida (Data)]))),0,1)</f>
        <v>0</v>
      </c>
      <c r="S913" s="18">
        <f t="shared" si="118"/>
        <v>0</v>
      </c>
      <c r="U913" s="18">
        <f t="shared" ca="1" si="121"/>
        <v>92852981.234841794</v>
      </c>
      <c r="V913" s="18">
        <f>SUMIF(Imóveis!E:E,Dados!A:A,Imóveis!Z:Z)-SUMIF(Imóveis!E:E,Dados!A:A,Imóveis!Y:Y)</f>
        <v>0</v>
      </c>
      <c r="W913" s="18">
        <f>-SUMIF(Projetos!N:N,A913,Projetos!F:F)</f>
        <v>0</v>
      </c>
      <c r="X913" s="18">
        <f t="shared" si="115"/>
        <v>0</v>
      </c>
      <c r="Y913" s="26">
        <f ca="1">(U913*((Indicadores_Economicos!D$2+1)^(1/12)-1))</f>
        <v>303976.49856427085</v>
      </c>
      <c r="Z913" s="18">
        <f t="shared" ca="1" si="119"/>
        <v>93156957.733406067</v>
      </c>
      <c r="AA913" s="18">
        <f ca="1">Auxiliar_Projetos!E913</f>
        <v>7.6790936369746133E-9</v>
      </c>
      <c r="AB913" s="18">
        <f ca="1">Auxiliar_Projetos!K913</f>
        <v>5.9069951053650848E-9</v>
      </c>
      <c r="AC913" s="18">
        <f ca="1">IF(Z913-AA913-AB913&gt;Investimentos!$C$14,Investimentos!$C$14,IF(Z913-AA913-AB913&lt;Investimentos!$C$14,Z913-AA913-AB913,0))</f>
        <v>300000</v>
      </c>
      <c r="AD913" s="18">
        <f t="shared" ca="1" si="120"/>
        <v>92856957.733406052</v>
      </c>
      <c r="AE913" s="18"/>
    </row>
    <row r="914" spans="1:31" x14ac:dyDescent="0.2">
      <c r="A914" s="4">
        <v>73416</v>
      </c>
      <c r="B914" s="5" t="str">
        <f t="shared" si="116"/>
        <v>janeiro</v>
      </c>
      <c r="C914" s="5" t="str">
        <f t="shared" si="114"/>
        <v>2101</v>
      </c>
      <c r="D914" s="5">
        <f>SUMIFS(Despesas!$F:$F,Despesas!$J:$J,"&lt;="&amp;$A914,Despesas!$L:$L,"&gt;="&amp;$A914,Despesas!$C:$C,D$1,Despesas!$M:$M,"Mensal")+SUMIFS(Despesas!$F:$F,Despesas!$J:$J,"&lt;="&amp;$A914,Despesas!$L:$L,"&gt;="&amp;$A914,Despesas!$C:$C,D$1,Despesas!$M:$M,$B914)</f>
        <v>0</v>
      </c>
      <c r="E914" s="18">
        <f>SUMIFS(Despesas!$F:$F,Despesas!$J:$J,"&lt;="&amp;$A914,Despesas!$L:$L,"&gt;="&amp;$A914,Despesas!$C:$C,E$1,Despesas!$M:$M,"Mensal")+SUMIFS(Despesas!$F:$F,Despesas!$J:$J,"&lt;="&amp;$A914,Despesas!$L:$L,"&gt;="&amp;$A914,Despesas!$C:$C,E$1,Despesas!$M:$M,$B914)</f>
        <v>0</v>
      </c>
      <c r="F914" s="5">
        <f>SUMIFS(Despesas!$F:$F,Despesas!$J:$J,"&lt;="&amp;$A914,Despesas!$L:$L,"&gt;="&amp;$A914,Despesas!$C:$C,F$1,Despesas!$M:$M,"Mensal")+SUMIFS(Despesas!$F:$F,Despesas!$J:$J,"&lt;="&amp;$A914,Despesas!$L:$L,"&gt;="&amp;$A914,Despesas!$C:$C,F$1,Despesas!$M:$M,$B914)</f>
        <v>0</v>
      </c>
      <c r="G914" s="5">
        <f>SUMIFS(Despesas!$F:$F,Despesas!$J:$J,"&lt;="&amp;$A914,Despesas!$L:$L,"&gt;="&amp;$A914,Despesas!$C:$C,G$1,Despesas!$M:$M,"Mensal")+SUMIFS(Despesas!$F:$F,Despesas!$J:$J,"&lt;="&amp;$A914,Despesas!$L:$L,"&gt;="&amp;$A914,Despesas!$C:$C,G$1,Despesas!$M:$M,$B914)</f>
        <v>0</v>
      </c>
      <c r="H914" s="18">
        <f>SUMIFS(Despesas!$F:$F,Despesas!$J:$J,"&lt;="&amp;$A914,Despesas!$L:$L,"&gt;="&amp;$A914,Despesas!$C:$C,H$1,Despesas!$M:$M,"Mensal")+SUMIFS(Despesas!$F:$F,Despesas!$J:$J,"&lt;="&amp;$A914,Despesas!$L:$L,"&gt;="&amp;$A914,Despesas!$C:$C,H$1,Despesas!$M:$M,$B914)</f>
        <v>0</v>
      </c>
      <c r="I914" s="18">
        <f>IF(Imóveis!$F$2="PRICE",IF(AND(Dados!$A914&gt;=Imóveis!$Q$2,Dados!$A914&lt;=Imóveis!$T$2),Imóveis!$U$2,0),IF((IF(AND(Dados!$A914&gt;=Imóveis!$Q$2,Dados!$A914&lt;=Imóveis!$T$2),Imóveis!$S$2-(DATEDIF(Imóveis!$Q$2,Dados!$A914,"m")),0))=0,0,((Imóveis!$N$2/Imóveis!$S$2)+((Imóveis!$N$2-((Imóveis!$S$2-(IF(AND(Dados!$A914&gt;=Imóveis!$Q$2,Dados!$A914&lt;=Imóveis!$T$2),Imóveis!$S$2-(DATEDIF(Imóveis!$Q$2,Dados!$A914,"m")),)))*(Imóveis!$N$2/Imóveis!$S$2)))*Imóveis!$P$2))))*IF(AND(Imóveis!$E$2&gt;0,Dados!$A914&gt;Imóveis!$E$2),0,1)</f>
        <v>0</v>
      </c>
      <c r="J914" s="18">
        <f>IF(Imóveis!$F$3="PRICE",IF(AND(Dados!$A914&gt;=Imóveis!$Q$3,Dados!$A914&lt;=Imóveis!$T$3),Imóveis!$U$3,0),IF((IF(AND(Dados!$A914&gt;=Imóveis!$Q$3,Dados!$A914&lt;=Imóveis!$T$3),Imóveis!$S$3-(DATEDIF(Imóveis!$Q$3,Dados!$A914,"m")),0))=0,0,((Imóveis!$N$3/Imóveis!$S$3)+((Imóveis!$N$3-((Imóveis!$S$3-(IF(AND(Dados!$A914&gt;=Imóveis!$Q$3,Dados!$A914&lt;=Imóveis!$T$3),Imóveis!$S$3-(DATEDIF(Imóveis!$Q$3,Dados!$A914,"m")),)))*(Imóveis!$N$3/Imóveis!$S$3)))*Imóveis!$P$3))))*IF(AND(Imóveis!$E$3&gt;0,Dados!$A914&gt;Imóveis!$E$3),0,1)</f>
        <v>0</v>
      </c>
      <c r="K914" s="18">
        <f>IF(Imóveis!$F$4="PRICE",IF(AND(Dados!$A914&gt;=Imóveis!$Q$4,Dados!$A914&lt;=Imóveis!$T$4),Imóveis!$U$4,0),IF((IF(AND(Dados!$A914&gt;=Imóveis!$Q$4,Dados!$A914&lt;=Imóveis!$T$4),Imóveis!$S$4-(DATEDIF(Imóveis!$Q$4,Dados!$A914,"m")),0))=0,0,((Imóveis!$N$4/Imóveis!$S$4)+((Imóveis!$N$4-((Imóveis!$S$4-(IF(AND(Dados!$A914&gt;=Imóveis!$Q$4,Dados!$A914&lt;=Imóveis!$T$4),Imóveis!$S$4-(DATEDIF(Imóveis!$Q$4,Dados!$A914,"m")),)))*(Imóveis!$N$4/Imóveis!$S$4)))*Imóveis!$P$4))))*IF(AND(Imóveis!$E$4&gt;0,Dados!$A914&gt;Imóveis!$E$4),0,1)</f>
        <v>0</v>
      </c>
      <c r="L914" s="18">
        <f>IF(Imóveis!$F$5="PRICE",IF(AND(Dados!$A914&gt;=Imóveis!$Q$5,Dados!$A914&lt;=Imóveis!$T$5),Imóveis!$U$5,0),IF((IF(AND(Dados!$A914&gt;=Imóveis!$Q$5,Dados!$A914&lt;=Imóveis!$T$5),Imóveis!$S$5-(DATEDIF(Imóveis!$Q$5,Dados!$A914,"m")),0))=0,0,((Imóveis!$N$5/Imóveis!$S$5)+((Imóveis!$N$5-((Imóveis!$S$5-(IF(AND(Dados!$A914 &gt;=Imóveis!$Q$5,Dados!$A914&lt;=Imóveis!$T$5),Imóveis!$S$5-(DATEDIF(Imóveis!$Q$5,Dados!$A914,"m")),)))*(Imóveis!$N$5/Imóveis!$S$5)))*Imóveis!$P$5))))*IF(AND(Imóveis!$E$5&gt;0,Dados!$A914&gt;Imóveis!$E$5),0,1)*Imóveis!$I$5</f>
        <v>0</v>
      </c>
      <c r="M914" s="18">
        <f>IF(Imóveis!$F$6="PRICE",IF(AND(Dados!$A914&gt;=Imóveis!$Q$6,Dados!$A914&lt;=Imóveis!$T$6),Imóveis!$U$6,0),IF((IF(AND(Dados!$A914&gt;=Imóveis!$Q$6,Dados!$A914&lt;=Imóveis!$T$6),Imóveis!$S$6-(DATEDIF(Imóveis!$Q$6,Dados!$A914,"m")),0))=0,0,((Imóveis!$N$6/Imóveis!$S$6)+((Imóveis!$N$6-((Imóveis!$S$6-(IF(AND(Dados!$A914&gt;=Imóveis!$Q$6,Dados!$A914&lt;=Imóveis!$T$6),Imóveis!$S$6-(DATEDIF(Imóveis!$Q$6,Dados!$A914,"m")),)))*(Imóveis!$N$6/Imóveis!$S$6)))*Imóveis!$P$6))))*IF(AND(Imóveis!$E$6&gt;0,Dados!$A914&gt;Imóveis!$E$6),0,1)*Imóveis!$I$6</f>
        <v>0</v>
      </c>
      <c r="N914" s="18">
        <f t="shared" si="117"/>
        <v>0</v>
      </c>
      <c r="O914" s="18">
        <f>SUMIFS(Receitas!$F:$F,Receitas!$J:$J,"&lt;="&amp;$A914,Receitas!$L:$L,"&gt;="&amp;$A914,Receitas!$C:$C,O$1,Receitas!$M:$M,"Mensal")+SUMIFS(Receitas!$F:$F,Receitas!$J:$J,"&lt;="&amp;$A914,Receitas!$L:$L,"&gt;="&amp;$A914,Receitas!$C:$C,O$1,Receitas!$M:$M,$B914)</f>
        <v>0</v>
      </c>
      <c r="P914" s="18">
        <f>SUMIFS(Receitas!$F:$F,Receitas!$J:$J,"&lt;="&amp;$A914,Receitas!$L:$L,"&gt;="&amp;$A914,Receitas!$C:$C,P$1,Receitas!$M:$M,"Mensal")+SUMIFS(Receitas!$F:$F,Receitas!$J:$J,"&lt;="&amp;$A914,Receitas!$L:$L,"&gt;="&amp;$A914,Receitas!$C:$C,P$1,Receitas!$M:$M,$B914)</f>
        <v>0</v>
      </c>
      <c r="Q914" s="18">
        <f>SUMIFS(Receitas!$F:$F,Receitas!$J:$J,"&lt;="&amp;$A914,Receitas!$L:$L,"&gt;="&amp;$A914,Receitas!$C:$C,Q$1,Receitas!$M:$M,"Mensal")+SUMIFS(Receitas!$F:$F,Receitas!$J:$J,"&lt;="&amp;$A914,Receitas!$L:$L,"&gt;="&amp;$A914,Receitas!$C:$C,Q$1,Receitas!$M:$M,$B914)</f>
        <v>0</v>
      </c>
      <c r="R914" s="18" cm="1">
        <f t="array" ref="R914">(IF(AND(Membros!$F$2="Sim",A914&lt;=MAX(Membros!$E$2:$E$5)),Membros!K$2,IF(AND(A914&gt;=Membros!J$2,A914&lt;=MAX(Membros!$E$2:$E$5)),Membros!K$2,0))+IF(AND(Membros!$F$3="Sim",A914&lt;=MAX(Membros!$E$2:$E$5)),Membros!K$3,IF(AND(A914&gt;=Membros!J$3,A914&lt;=MAX(Membros!$E$2:$E$5)),Membros!K$3,0)))*IF(AND(COUNTIFS(Tabela3[Tipo],"Provedor",Tabela3[Simulação Seguro],"Sim")=2,A914&gt;=MAX(IF(Tabela3[Tipo]="Dependente",Tabela3[Expectativa de Vida (Data)]))),0,1)</f>
        <v>0</v>
      </c>
      <c r="S914" s="18">
        <f t="shared" si="118"/>
        <v>0</v>
      </c>
      <c r="U914" s="18">
        <f t="shared" ca="1" si="121"/>
        <v>93156957.733406067</v>
      </c>
      <c r="V914" s="18">
        <f>SUMIF(Imóveis!E:E,Dados!A:A,Imóveis!Z:Z)-SUMIF(Imóveis!E:E,Dados!A:A,Imóveis!Y:Y)</f>
        <v>0</v>
      </c>
      <c r="W914" s="18">
        <f>-SUMIF(Projetos!N:N,A914,Projetos!F:F)</f>
        <v>0</v>
      </c>
      <c r="X914" s="18">
        <f t="shared" si="115"/>
        <v>0</v>
      </c>
      <c r="Y914" s="26">
        <f ca="1">(U914*((Indicadores_Economicos!D$2+1)^(1/12)-1))</f>
        <v>304971.63852047425</v>
      </c>
      <c r="Z914" s="18">
        <f t="shared" ca="1" si="119"/>
        <v>93461929.371926546</v>
      </c>
      <c r="AA914" s="18">
        <f ca="1">Auxiliar_Projetos!E914</f>
        <v>7.7042329913052073E-9</v>
      </c>
      <c r="AB914" s="18">
        <f ca="1">Auxiliar_Projetos!K914</f>
        <v>5.9263330702347724E-9</v>
      </c>
      <c r="AC914" s="18">
        <f ca="1">IF(Z914-AA914-AB914&gt;Investimentos!$C$14,Investimentos!$C$14,IF(Z914-AA914-AB914&lt;Investimentos!$C$14,Z914-AA914-AB914,0))</f>
        <v>300000</v>
      </c>
      <c r="AD914" s="18">
        <f t="shared" ca="1" si="120"/>
        <v>93161929.371926531</v>
      </c>
      <c r="AE914" s="18"/>
    </row>
    <row r="915" spans="1:31" x14ac:dyDescent="0.2">
      <c r="A915" s="4">
        <v>73447</v>
      </c>
      <c r="B915" s="5" t="str">
        <f t="shared" si="116"/>
        <v>fevereiro</v>
      </c>
      <c r="C915" s="5" t="str">
        <f t="shared" si="114"/>
        <v>2101</v>
      </c>
      <c r="D915" s="5">
        <f>SUMIFS(Despesas!$F:$F,Despesas!$J:$J,"&lt;="&amp;$A915,Despesas!$L:$L,"&gt;="&amp;$A915,Despesas!$C:$C,D$1,Despesas!$M:$M,"Mensal")+SUMIFS(Despesas!$F:$F,Despesas!$J:$J,"&lt;="&amp;$A915,Despesas!$L:$L,"&gt;="&amp;$A915,Despesas!$C:$C,D$1,Despesas!$M:$M,$B915)</f>
        <v>0</v>
      </c>
      <c r="E915" s="18">
        <f>SUMIFS(Despesas!$F:$F,Despesas!$J:$J,"&lt;="&amp;$A915,Despesas!$L:$L,"&gt;="&amp;$A915,Despesas!$C:$C,E$1,Despesas!$M:$M,"Mensal")+SUMIFS(Despesas!$F:$F,Despesas!$J:$J,"&lt;="&amp;$A915,Despesas!$L:$L,"&gt;="&amp;$A915,Despesas!$C:$C,E$1,Despesas!$M:$M,$B915)</f>
        <v>0</v>
      </c>
      <c r="F915" s="5">
        <f>SUMIFS(Despesas!$F:$F,Despesas!$J:$J,"&lt;="&amp;$A915,Despesas!$L:$L,"&gt;="&amp;$A915,Despesas!$C:$C,F$1,Despesas!$M:$M,"Mensal")+SUMIFS(Despesas!$F:$F,Despesas!$J:$J,"&lt;="&amp;$A915,Despesas!$L:$L,"&gt;="&amp;$A915,Despesas!$C:$C,F$1,Despesas!$M:$M,$B915)</f>
        <v>0</v>
      </c>
      <c r="G915" s="5">
        <f>SUMIFS(Despesas!$F:$F,Despesas!$J:$J,"&lt;="&amp;$A915,Despesas!$L:$L,"&gt;="&amp;$A915,Despesas!$C:$C,G$1,Despesas!$M:$M,"Mensal")+SUMIFS(Despesas!$F:$F,Despesas!$J:$J,"&lt;="&amp;$A915,Despesas!$L:$L,"&gt;="&amp;$A915,Despesas!$C:$C,G$1,Despesas!$M:$M,$B915)</f>
        <v>0</v>
      </c>
      <c r="H915" s="18">
        <f>SUMIFS(Despesas!$F:$F,Despesas!$J:$J,"&lt;="&amp;$A915,Despesas!$L:$L,"&gt;="&amp;$A915,Despesas!$C:$C,H$1,Despesas!$M:$M,"Mensal")+SUMIFS(Despesas!$F:$F,Despesas!$J:$J,"&lt;="&amp;$A915,Despesas!$L:$L,"&gt;="&amp;$A915,Despesas!$C:$C,H$1,Despesas!$M:$M,$B915)</f>
        <v>0</v>
      </c>
      <c r="I915" s="18">
        <f>IF(Imóveis!$F$2="PRICE",IF(AND(Dados!$A915&gt;=Imóveis!$Q$2,Dados!$A915&lt;=Imóveis!$T$2),Imóveis!$U$2,0),IF((IF(AND(Dados!$A915&gt;=Imóveis!$Q$2,Dados!$A915&lt;=Imóveis!$T$2),Imóveis!$S$2-(DATEDIF(Imóveis!$Q$2,Dados!$A915,"m")),0))=0,0,((Imóveis!$N$2/Imóveis!$S$2)+((Imóveis!$N$2-((Imóveis!$S$2-(IF(AND(Dados!$A915&gt;=Imóveis!$Q$2,Dados!$A915&lt;=Imóveis!$T$2),Imóveis!$S$2-(DATEDIF(Imóveis!$Q$2,Dados!$A915,"m")),)))*(Imóveis!$N$2/Imóveis!$S$2)))*Imóveis!$P$2))))*IF(AND(Imóveis!$E$2&gt;0,Dados!$A915&gt;Imóveis!$E$2),0,1)</f>
        <v>0</v>
      </c>
      <c r="J915" s="18">
        <f>IF(Imóveis!$F$3="PRICE",IF(AND(Dados!$A915&gt;=Imóveis!$Q$3,Dados!$A915&lt;=Imóveis!$T$3),Imóveis!$U$3,0),IF((IF(AND(Dados!$A915&gt;=Imóveis!$Q$3,Dados!$A915&lt;=Imóveis!$T$3),Imóveis!$S$3-(DATEDIF(Imóveis!$Q$3,Dados!$A915,"m")),0))=0,0,((Imóveis!$N$3/Imóveis!$S$3)+((Imóveis!$N$3-((Imóveis!$S$3-(IF(AND(Dados!$A915&gt;=Imóveis!$Q$3,Dados!$A915&lt;=Imóveis!$T$3),Imóveis!$S$3-(DATEDIF(Imóveis!$Q$3,Dados!$A915,"m")),)))*(Imóveis!$N$3/Imóveis!$S$3)))*Imóveis!$P$3))))*IF(AND(Imóveis!$E$3&gt;0,Dados!$A915&gt;Imóveis!$E$3),0,1)</f>
        <v>0</v>
      </c>
      <c r="K915" s="18">
        <f>IF(Imóveis!$F$4="PRICE",IF(AND(Dados!$A915&gt;=Imóveis!$Q$4,Dados!$A915&lt;=Imóveis!$T$4),Imóveis!$U$4,0),IF((IF(AND(Dados!$A915&gt;=Imóveis!$Q$4,Dados!$A915&lt;=Imóveis!$T$4),Imóveis!$S$4-(DATEDIF(Imóveis!$Q$4,Dados!$A915,"m")),0))=0,0,((Imóveis!$N$4/Imóveis!$S$4)+((Imóveis!$N$4-((Imóveis!$S$4-(IF(AND(Dados!$A915&gt;=Imóveis!$Q$4,Dados!$A915&lt;=Imóveis!$T$4),Imóveis!$S$4-(DATEDIF(Imóveis!$Q$4,Dados!$A915,"m")),)))*(Imóveis!$N$4/Imóveis!$S$4)))*Imóveis!$P$4))))*IF(AND(Imóveis!$E$4&gt;0,Dados!$A915&gt;Imóveis!$E$4),0,1)</f>
        <v>0</v>
      </c>
      <c r="L915" s="18">
        <f>IF(Imóveis!$F$5="PRICE",IF(AND(Dados!$A915&gt;=Imóveis!$Q$5,Dados!$A915&lt;=Imóveis!$T$5),Imóveis!$U$5,0),IF((IF(AND(Dados!$A915&gt;=Imóveis!$Q$5,Dados!$A915&lt;=Imóveis!$T$5),Imóveis!$S$5-(DATEDIF(Imóveis!$Q$5,Dados!$A915,"m")),0))=0,0,((Imóveis!$N$5/Imóveis!$S$5)+((Imóveis!$N$5-((Imóveis!$S$5-(IF(AND(Dados!$A915 &gt;=Imóveis!$Q$5,Dados!$A915&lt;=Imóveis!$T$5),Imóveis!$S$5-(DATEDIF(Imóveis!$Q$5,Dados!$A915,"m")),)))*(Imóveis!$N$5/Imóveis!$S$5)))*Imóveis!$P$5))))*IF(AND(Imóveis!$E$5&gt;0,Dados!$A915&gt;Imóveis!$E$5),0,1)*Imóveis!$I$5</f>
        <v>0</v>
      </c>
      <c r="M915" s="18">
        <f>IF(Imóveis!$F$6="PRICE",IF(AND(Dados!$A915&gt;=Imóveis!$Q$6,Dados!$A915&lt;=Imóveis!$T$6),Imóveis!$U$6,0),IF((IF(AND(Dados!$A915&gt;=Imóveis!$Q$6,Dados!$A915&lt;=Imóveis!$T$6),Imóveis!$S$6-(DATEDIF(Imóveis!$Q$6,Dados!$A915,"m")),0))=0,0,((Imóveis!$N$6/Imóveis!$S$6)+((Imóveis!$N$6-((Imóveis!$S$6-(IF(AND(Dados!$A915&gt;=Imóveis!$Q$6,Dados!$A915&lt;=Imóveis!$T$6),Imóveis!$S$6-(DATEDIF(Imóveis!$Q$6,Dados!$A915,"m")),)))*(Imóveis!$N$6/Imóveis!$S$6)))*Imóveis!$P$6))))*IF(AND(Imóveis!$E$6&gt;0,Dados!$A915&gt;Imóveis!$E$6),0,1)*Imóveis!$I$6</f>
        <v>0</v>
      </c>
      <c r="N915" s="18">
        <f t="shared" si="117"/>
        <v>0</v>
      </c>
      <c r="O915" s="18">
        <f>SUMIFS(Receitas!$F:$F,Receitas!$J:$J,"&lt;="&amp;$A915,Receitas!$L:$L,"&gt;="&amp;$A915,Receitas!$C:$C,O$1,Receitas!$M:$M,"Mensal")+SUMIFS(Receitas!$F:$F,Receitas!$J:$J,"&lt;="&amp;$A915,Receitas!$L:$L,"&gt;="&amp;$A915,Receitas!$C:$C,O$1,Receitas!$M:$M,$B915)</f>
        <v>0</v>
      </c>
      <c r="P915" s="18">
        <f>SUMIFS(Receitas!$F:$F,Receitas!$J:$J,"&lt;="&amp;$A915,Receitas!$L:$L,"&gt;="&amp;$A915,Receitas!$C:$C,P$1,Receitas!$M:$M,"Mensal")+SUMIFS(Receitas!$F:$F,Receitas!$J:$J,"&lt;="&amp;$A915,Receitas!$L:$L,"&gt;="&amp;$A915,Receitas!$C:$C,P$1,Receitas!$M:$M,$B915)</f>
        <v>0</v>
      </c>
      <c r="Q915" s="18">
        <f>SUMIFS(Receitas!$F:$F,Receitas!$J:$J,"&lt;="&amp;$A915,Receitas!$L:$L,"&gt;="&amp;$A915,Receitas!$C:$C,Q$1,Receitas!$M:$M,"Mensal")+SUMIFS(Receitas!$F:$F,Receitas!$J:$J,"&lt;="&amp;$A915,Receitas!$L:$L,"&gt;="&amp;$A915,Receitas!$C:$C,Q$1,Receitas!$M:$M,$B915)</f>
        <v>0</v>
      </c>
      <c r="R915" s="18" cm="1">
        <f t="array" ref="R915">(IF(AND(Membros!$F$2="Sim",A915&lt;=MAX(Membros!$E$2:$E$5)),Membros!K$2,IF(AND(A915&gt;=Membros!J$2,A915&lt;=MAX(Membros!$E$2:$E$5)),Membros!K$2,0))+IF(AND(Membros!$F$3="Sim",A915&lt;=MAX(Membros!$E$2:$E$5)),Membros!K$3,IF(AND(A915&gt;=Membros!J$3,A915&lt;=MAX(Membros!$E$2:$E$5)),Membros!K$3,0)))*IF(AND(COUNTIFS(Tabela3[Tipo],"Provedor",Tabela3[Simulação Seguro],"Sim")=2,A915&gt;=MAX(IF(Tabela3[Tipo]="Dependente",Tabela3[Expectativa de Vida (Data)]))),0,1)</f>
        <v>0</v>
      </c>
      <c r="S915" s="18">
        <f t="shared" si="118"/>
        <v>0</v>
      </c>
      <c r="U915" s="18">
        <f t="shared" ca="1" si="121"/>
        <v>93461929.371926546</v>
      </c>
      <c r="V915" s="18">
        <f>SUMIF(Imóveis!E:E,Dados!A:A,Imóveis!Z:Z)-SUMIF(Imóveis!E:E,Dados!A:A,Imóveis!Y:Y)</f>
        <v>0</v>
      </c>
      <c r="W915" s="18">
        <f>-SUMIF(Projetos!N:N,A915,Projetos!F:F)</f>
        <v>0</v>
      </c>
      <c r="X915" s="18">
        <f t="shared" si="115"/>
        <v>0</v>
      </c>
      <c r="Y915" s="26">
        <f ca="1">(U915*((Indicadores_Economicos!D$2+1)^(1/12)-1))</f>
        <v>305970.03630594112</v>
      </c>
      <c r="Z915" s="18">
        <f t="shared" ca="1" si="119"/>
        <v>93767899.40823248</v>
      </c>
      <c r="AA915" s="18">
        <f ca="1">Auxiliar_Projetos!E915</f>
        <v>7.7294546453401718E-9</v>
      </c>
      <c r="AB915" s="18">
        <f ca="1">Auxiliar_Projetos!K915</f>
        <v>5.9457343425693609E-9</v>
      </c>
      <c r="AC915" s="18">
        <f ca="1">IF(Z915-AA915-AB915&gt;Investimentos!$C$14,Investimentos!$C$14,IF(Z915-AA915-AB915&lt;Investimentos!$C$14,Z915-AA915-AB915,0))</f>
        <v>300000</v>
      </c>
      <c r="AD915" s="18">
        <f t="shared" ca="1" si="120"/>
        <v>93467899.408232465</v>
      </c>
      <c r="AE915" s="18"/>
    </row>
    <row r="916" spans="1:31" x14ac:dyDescent="0.2">
      <c r="A916" s="4">
        <v>73475</v>
      </c>
      <c r="B916" s="5" t="str">
        <f t="shared" si="116"/>
        <v>março</v>
      </c>
      <c r="C916" s="5" t="str">
        <f t="shared" si="114"/>
        <v>2101</v>
      </c>
      <c r="D916" s="5">
        <f>SUMIFS(Despesas!$F:$F,Despesas!$J:$J,"&lt;="&amp;$A916,Despesas!$L:$L,"&gt;="&amp;$A916,Despesas!$C:$C,D$1,Despesas!$M:$M,"Mensal")+SUMIFS(Despesas!$F:$F,Despesas!$J:$J,"&lt;="&amp;$A916,Despesas!$L:$L,"&gt;="&amp;$A916,Despesas!$C:$C,D$1,Despesas!$M:$M,$B916)</f>
        <v>0</v>
      </c>
      <c r="E916" s="18">
        <f>SUMIFS(Despesas!$F:$F,Despesas!$J:$J,"&lt;="&amp;$A916,Despesas!$L:$L,"&gt;="&amp;$A916,Despesas!$C:$C,E$1,Despesas!$M:$M,"Mensal")+SUMIFS(Despesas!$F:$F,Despesas!$J:$J,"&lt;="&amp;$A916,Despesas!$L:$L,"&gt;="&amp;$A916,Despesas!$C:$C,E$1,Despesas!$M:$M,$B916)</f>
        <v>0</v>
      </c>
      <c r="F916" s="5">
        <f>SUMIFS(Despesas!$F:$F,Despesas!$J:$J,"&lt;="&amp;$A916,Despesas!$L:$L,"&gt;="&amp;$A916,Despesas!$C:$C,F$1,Despesas!$M:$M,"Mensal")+SUMIFS(Despesas!$F:$F,Despesas!$J:$J,"&lt;="&amp;$A916,Despesas!$L:$L,"&gt;="&amp;$A916,Despesas!$C:$C,F$1,Despesas!$M:$M,$B916)</f>
        <v>0</v>
      </c>
      <c r="G916" s="5">
        <f>SUMIFS(Despesas!$F:$F,Despesas!$J:$J,"&lt;="&amp;$A916,Despesas!$L:$L,"&gt;="&amp;$A916,Despesas!$C:$C,G$1,Despesas!$M:$M,"Mensal")+SUMIFS(Despesas!$F:$F,Despesas!$J:$J,"&lt;="&amp;$A916,Despesas!$L:$L,"&gt;="&amp;$A916,Despesas!$C:$C,G$1,Despesas!$M:$M,$B916)</f>
        <v>0</v>
      </c>
      <c r="H916" s="18">
        <f>SUMIFS(Despesas!$F:$F,Despesas!$J:$J,"&lt;="&amp;$A916,Despesas!$L:$L,"&gt;="&amp;$A916,Despesas!$C:$C,H$1,Despesas!$M:$M,"Mensal")+SUMIFS(Despesas!$F:$F,Despesas!$J:$J,"&lt;="&amp;$A916,Despesas!$L:$L,"&gt;="&amp;$A916,Despesas!$C:$C,H$1,Despesas!$M:$M,$B916)</f>
        <v>0</v>
      </c>
      <c r="I916" s="18">
        <f>IF(Imóveis!$F$2="PRICE",IF(AND(Dados!$A916&gt;=Imóveis!$Q$2,Dados!$A916&lt;=Imóveis!$T$2),Imóveis!$U$2,0),IF((IF(AND(Dados!$A916&gt;=Imóveis!$Q$2,Dados!$A916&lt;=Imóveis!$T$2),Imóveis!$S$2-(DATEDIF(Imóveis!$Q$2,Dados!$A916,"m")),0))=0,0,((Imóveis!$N$2/Imóveis!$S$2)+((Imóveis!$N$2-((Imóveis!$S$2-(IF(AND(Dados!$A916&gt;=Imóveis!$Q$2,Dados!$A916&lt;=Imóveis!$T$2),Imóveis!$S$2-(DATEDIF(Imóveis!$Q$2,Dados!$A916,"m")),)))*(Imóveis!$N$2/Imóveis!$S$2)))*Imóveis!$P$2))))*IF(AND(Imóveis!$E$2&gt;0,Dados!$A916&gt;Imóveis!$E$2),0,1)</f>
        <v>0</v>
      </c>
      <c r="J916" s="18">
        <f>IF(Imóveis!$F$3="PRICE",IF(AND(Dados!$A916&gt;=Imóveis!$Q$3,Dados!$A916&lt;=Imóveis!$T$3),Imóveis!$U$3,0),IF((IF(AND(Dados!$A916&gt;=Imóveis!$Q$3,Dados!$A916&lt;=Imóveis!$T$3),Imóveis!$S$3-(DATEDIF(Imóveis!$Q$3,Dados!$A916,"m")),0))=0,0,((Imóveis!$N$3/Imóveis!$S$3)+((Imóveis!$N$3-((Imóveis!$S$3-(IF(AND(Dados!$A916&gt;=Imóveis!$Q$3,Dados!$A916&lt;=Imóveis!$T$3),Imóveis!$S$3-(DATEDIF(Imóveis!$Q$3,Dados!$A916,"m")),)))*(Imóveis!$N$3/Imóveis!$S$3)))*Imóveis!$P$3))))*IF(AND(Imóveis!$E$3&gt;0,Dados!$A916&gt;Imóveis!$E$3),0,1)</f>
        <v>0</v>
      </c>
      <c r="K916" s="18">
        <f>IF(Imóveis!$F$4="PRICE",IF(AND(Dados!$A916&gt;=Imóveis!$Q$4,Dados!$A916&lt;=Imóveis!$T$4),Imóveis!$U$4,0),IF((IF(AND(Dados!$A916&gt;=Imóveis!$Q$4,Dados!$A916&lt;=Imóveis!$T$4),Imóveis!$S$4-(DATEDIF(Imóveis!$Q$4,Dados!$A916,"m")),0))=0,0,((Imóveis!$N$4/Imóveis!$S$4)+((Imóveis!$N$4-((Imóveis!$S$4-(IF(AND(Dados!$A916&gt;=Imóveis!$Q$4,Dados!$A916&lt;=Imóveis!$T$4),Imóveis!$S$4-(DATEDIF(Imóveis!$Q$4,Dados!$A916,"m")),)))*(Imóveis!$N$4/Imóveis!$S$4)))*Imóveis!$P$4))))*IF(AND(Imóveis!$E$4&gt;0,Dados!$A916&gt;Imóveis!$E$4),0,1)</f>
        <v>0</v>
      </c>
      <c r="L916" s="18">
        <f>IF(Imóveis!$F$5="PRICE",IF(AND(Dados!$A916&gt;=Imóveis!$Q$5,Dados!$A916&lt;=Imóveis!$T$5),Imóveis!$U$5,0),IF((IF(AND(Dados!$A916&gt;=Imóveis!$Q$5,Dados!$A916&lt;=Imóveis!$T$5),Imóveis!$S$5-(DATEDIF(Imóveis!$Q$5,Dados!$A916,"m")),0))=0,0,((Imóveis!$N$5/Imóveis!$S$5)+((Imóveis!$N$5-((Imóveis!$S$5-(IF(AND(Dados!$A916 &gt;=Imóveis!$Q$5,Dados!$A916&lt;=Imóveis!$T$5),Imóveis!$S$5-(DATEDIF(Imóveis!$Q$5,Dados!$A916,"m")),)))*(Imóveis!$N$5/Imóveis!$S$5)))*Imóveis!$P$5))))*IF(AND(Imóveis!$E$5&gt;0,Dados!$A916&gt;Imóveis!$E$5),0,1)*Imóveis!$I$5</f>
        <v>0</v>
      </c>
      <c r="M916" s="18">
        <f>IF(Imóveis!$F$6="PRICE",IF(AND(Dados!$A916&gt;=Imóveis!$Q$6,Dados!$A916&lt;=Imóveis!$T$6),Imóveis!$U$6,0),IF((IF(AND(Dados!$A916&gt;=Imóveis!$Q$6,Dados!$A916&lt;=Imóveis!$T$6),Imóveis!$S$6-(DATEDIF(Imóveis!$Q$6,Dados!$A916,"m")),0))=0,0,((Imóveis!$N$6/Imóveis!$S$6)+((Imóveis!$N$6-((Imóveis!$S$6-(IF(AND(Dados!$A916&gt;=Imóveis!$Q$6,Dados!$A916&lt;=Imóveis!$T$6),Imóveis!$S$6-(DATEDIF(Imóveis!$Q$6,Dados!$A916,"m")),)))*(Imóveis!$N$6/Imóveis!$S$6)))*Imóveis!$P$6))))*IF(AND(Imóveis!$E$6&gt;0,Dados!$A916&gt;Imóveis!$E$6),0,1)*Imóveis!$I$6</f>
        <v>0</v>
      </c>
      <c r="N916" s="18">
        <f t="shared" si="117"/>
        <v>0</v>
      </c>
      <c r="O916" s="18">
        <f>SUMIFS(Receitas!$F:$F,Receitas!$J:$J,"&lt;="&amp;$A916,Receitas!$L:$L,"&gt;="&amp;$A916,Receitas!$C:$C,O$1,Receitas!$M:$M,"Mensal")+SUMIFS(Receitas!$F:$F,Receitas!$J:$J,"&lt;="&amp;$A916,Receitas!$L:$L,"&gt;="&amp;$A916,Receitas!$C:$C,O$1,Receitas!$M:$M,$B916)</f>
        <v>0</v>
      </c>
      <c r="P916" s="18">
        <f>SUMIFS(Receitas!$F:$F,Receitas!$J:$J,"&lt;="&amp;$A916,Receitas!$L:$L,"&gt;="&amp;$A916,Receitas!$C:$C,P$1,Receitas!$M:$M,"Mensal")+SUMIFS(Receitas!$F:$F,Receitas!$J:$J,"&lt;="&amp;$A916,Receitas!$L:$L,"&gt;="&amp;$A916,Receitas!$C:$C,P$1,Receitas!$M:$M,$B916)</f>
        <v>0</v>
      </c>
      <c r="Q916" s="18">
        <f>SUMIFS(Receitas!$F:$F,Receitas!$J:$J,"&lt;="&amp;$A916,Receitas!$L:$L,"&gt;="&amp;$A916,Receitas!$C:$C,Q$1,Receitas!$M:$M,"Mensal")+SUMIFS(Receitas!$F:$F,Receitas!$J:$J,"&lt;="&amp;$A916,Receitas!$L:$L,"&gt;="&amp;$A916,Receitas!$C:$C,Q$1,Receitas!$M:$M,$B916)</f>
        <v>0</v>
      </c>
      <c r="R916" s="18" cm="1">
        <f t="array" ref="R916">(IF(AND(Membros!$F$2="Sim",A916&lt;=MAX(Membros!$E$2:$E$5)),Membros!K$2,IF(AND(A916&gt;=Membros!J$2,A916&lt;=MAX(Membros!$E$2:$E$5)),Membros!K$2,0))+IF(AND(Membros!$F$3="Sim",A916&lt;=MAX(Membros!$E$2:$E$5)),Membros!K$3,IF(AND(A916&gt;=Membros!J$3,A916&lt;=MAX(Membros!$E$2:$E$5)),Membros!K$3,0)))*IF(AND(COUNTIFS(Tabela3[Tipo],"Provedor",Tabela3[Simulação Seguro],"Sim")=2,A916&gt;=MAX(IF(Tabela3[Tipo]="Dependente",Tabela3[Expectativa de Vida (Data)]))),0,1)</f>
        <v>0</v>
      </c>
      <c r="S916" s="18">
        <f t="shared" si="118"/>
        <v>0</v>
      </c>
      <c r="U916" s="18">
        <f t="shared" ca="1" si="121"/>
        <v>93767899.40823248</v>
      </c>
      <c r="V916" s="18">
        <f>SUMIF(Imóveis!E:E,Dados!A:A,Imóveis!Z:Z)-SUMIF(Imóveis!E:E,Dados!A:A,Imóveis!Y:Y)</f>
        <v>0</v>
      </c>
      <c r="W916" s="18">
        <f>-SUMIF(Projetos!N:N,A916,Projetos!F:F)</f>
        <v>0</v>
      </c>
      <c r="X916" s="18">
        <f t="shared" si="115"/>
        <v>0</v>
      </c>
      <c r="Y916" s="26">
        <f ca="1">(U916*((Indicadores_Economicos!D$2+1)^(1/12)-1))</f>
        <v>306971.70258595672</v>
      </c>
      <c r="Z916" s="18">
        <f t="shared" ca="1" si="119"/>
        <v>94074871.110818431</v>
      </c>
      <c r="AA916" s="18">
        <f ca="1">Auxiliar_Projetos!E916</f>
        <v>7.7547588685073248E-9</v>
      </c>
      <c r="AB916" s="18">
        <f ca="1">Auxiliar_Projetos!K916</f>
        <v>5.9651991296210165E-9</v>
      </c>
      <c r="AC916" s="18">
        <f ca="1">IF(Z916-AA916-AB916&gt;Investimentos!$C$14,Investimentos!$C$14,IF(Z916-AA916-AB916&lt;Investimentos!$C$14,Z916-AA916-AB916,0))</f>
        <v>300000</v>
      </c>
      <c r="AD916" s="18">
        <f t="shared" ca="1" si="120"/>
        <v>93774871.110818416</v>
      </c>
      <c r="AE916" s="18"/>
    </row>
    <row r="917" spans="1:31" x14ac:dyDescent="0.2">
      <c r="A917" s="4">
        <v>73506</v>
      </c>
      <c r="B917" s="5" t="str">
        <f t="shared" si="116"/>
        <v>abril</v>
      </c>
      <c r="C917" s="5" t="str">
        <f t="shared" si="114"/>
        <v>2101</v>
      </c>
      <c r="D917" s="5">
        <f>SUMIFS(Despesas!$F:$F,Despesas!$J:$J,"&lt;="&amp;$A917,Despesas!$L:$L,"&gt;="&amp;$A917,Despesas!$C:$C,D$1,Despesas!$M:$M,"Mensal")+SUMIFS(Despesas!$F:$F,Despesas!$J:$J,"&lt;="&amp;$A917,Despesas!$L:$L,"&gt;="&amp;$A917,Despesas!$C:$C,D$1,Despesas!$M:$M,$B917)</f>
        <v>0</v>
      </c>
      <c r="E917" s="18">
        <f>SUMIFS(Despesas!$F:$F,Despesas!$J:$J,"&lt;="&amp;$A917,Despesas!$L:$L,"&gt;="&amp;$A917,Despesas!$C:$C,E$1,Despesas!$M:$M,"Mensal")+SUMIFS(Despesas!$F:$F,Despesas!$J:$J,"&lt;="&amp;$A917,Despesas!$L:$L,"&gt;="&amp;$A917,Despesas!$C:$C,E$1,Despesas!$M:$M,$B917)</f>
        <v>0</v>
      </c>
      <c r="F917" s="5">
        <f>SUMIFS(Despesas!$F:$F,Despesas!$J:$J,"&lt;="&amp;$A917,Despesas!$L:$L,"&gt;="&amp;$A917,Despesas!$C:$C,F$1,Despesas!$M:$M,"Mensal")+SUMIFS(Despesas!$F:$F,Despesas!$J:$J,"&lt;="&amp;$A917,Despesas!$L:$L,"&gt;="&amp;$A917,Despesas!$C:$C,F$1,Despesas!$M:$M,$B917)</f>
        <v>0</v>
      </c>
      <c r="G917" s="5">
        <f>SUMIFS(Despesas!$F:$F,Despesas!$J:$J,"&lt;="&amp;$A917,Despesas!$L:$L,"&gt;="&amp;$A917,Despesas!$C:$C,G$1,Despesas!$M:$M,"Mensal")+SUMIFS(Despesas!$F:$F,Despesas!$J:$J,"&lt;="&amp;$A917,Despesas!$L:$L,"&gt;="&amp;$A917,Despesas!$C:$C,G$1,Despesas!$M:$M,$B917)</f>
        <v>0</v>
      </c>
      <c r="H917" s="18">
        <f>SUMIFS(Despesas!$F:$F,Despesas!$J:$J,"&lt;="&amp;$A917,Despesas!$L:$L,"&gt;="&amp;$A917,Despesas!$C:$C,H$1,Despesas!$M:$M,"Mensal")+SUMIFS(Despesas!$F:$F,Despesas!$J:$J,"&lt;="&amp;$A917,Despesas!$L:$L,"&gt;="&amp;$A917,Despesas!$C:$C,H$1,Despesas!$M:$M,$B917)</f>
        <v>0</v>
      </c>
      <c r="I917" s="18">
        <f>IF(Imóveis!$F$2="PRICE",IF(AND(Dados!$A917&gt;=Imóveis!$Q$2,Dados!$A917&lt;=Imóveis!$T$2),Imóveis!$U$2,0),IF((IF(AND(Dados!$A917&gt;=Imóveis!$Q$2,Dados!$A917&lt;=Imóveis!$T$2),Imóveis!$S$2-(DATEDIF(Imóveis!$Q$2,Dados!$A917,"m")),0))=0,0,((Imóveis!$N$2/Imóveis!$S$2)+((Imóveis!$N$2-((Imóveis!$S$2-(IF(AND(Dados!$A917&gt;=Imóveis!$Q$2,Dados!$A917&lt;=Imóveis!$T$2),Imóveis!$S$2-(DATEDIF(Imóveis!$Q$2,Dados!$A917,"m")),)))*(Imóveis!$N$2/Imóveis!$S$2)))*Imóveis!$P$2))))*IF(AND(Imóveis!$E$2&gt;0,Dados!$A917&gt;Imóveis!$E$2),0,1)</f>
        <v>0</v>
      </c>
      <c r="J917" s="18">
        <f>IF(Imóveis!$F$3="PRICE",IF(AND(Dados!$A917&gt;=Imóveis!$Q$3,Dados!$A917&lt;=Imóveis!$T$3),Imóveis!$U$3,0),IF((IF(AND(Dados!$A917&gt;=Imóveis!$Q$3,Dados!$A917&lt;=Imóveis!$T$3),Imóveis!$S$3-(DATEDIF(Imóveis!$Q$3,Dados!$A917,"m")),0))=0,0,((Imóveis!$N$3/Imóveis!$S$3)+((Imóveis!$N$3-((Imóveis!$S$3-(IF(AND(Dados!$A917&gt;=Imóveis!$Q$3,Dados!$A917&lt;=Imóveis!$T$3),Imóveis!$S$3-(DATEDIF(Imóveis!$Q$3,Dados!$A917,"m")),)))*(Imóveis!$N$3/Imóveis!$S$3)))*Imóveis!$P$3))))*IF(AND(Imóveis!$E$3&gt;0,Dados!$A917&gt;Imóveis!$E$3),0,1)</f>
        <v>0</v>
      </c>
      <c r="K917" s="18">
        <f>IF(Imóveis!$F$4="PRICE",IF(AND(Dados!$A917&gt;=Imóveis!$Q$4,Dados!$A917&lt;=Imóveis!$T$4),Imóveis!$U$4,0),IF((IF(AND(Dados!$A917&gt;=Imóveis!$Q$4,Dados!$A917&lt;=Imóveis!$T$4),Imóveis!$S$4-(DATEDIF(Imóveis!$Q$4,Dados!$A917,"m")),0))=0,0,((Imóveis!$N$4/Imóveis!$S$4)+((Imóveis!$N$4-((Imóveis!$S$4-(IF(AND(Dados!$A917&gt;=Imóveis!$Q$4,Dados!$A917&lt;=Imóveis!$T$4),Imóveis!$S$4-(DATEDIF(Imóveis!$Q$4,Dados!$A917,"m")),)))*(Imóveis!$N$4/Imóveis!$S$4)))*Imóveis!$P$4))))*IF(AND(Imóveis!$E$4&gt;0,Dados!$A917&gt;Imóveis!$E$4),0,1)</f>
        <v>0</v>
      </c>
      <c r="L917" s="18">
        <f>IF(Imóveis!$F$5="PRICE",IF(AND(Dados!$A917&gt;=Imóveis!$Q$5,Dados!$A917&lt;=Imóveis!$T$5),Imóveis!$U$5,0),IF((IF(AND(Dados!$A917&gt;=Imóveis!$Q$5,Dados!$A917&lt;=Imóveis!$T$5),Imóveis!$S$5-(DATEDIF(Imóveis!$Q$5,Dados!$A917,"m")),0))=0,0,((Imóveis!$N$5/Imóveis!$S$5)+((Imóveis!$N$5-((Imóveis!$S$5-(IF(AND(Dados!$A917 &gt;=Imóveis!$Q$5,Dados!$A917&lt;=Imóveis!$T$5),Imóveis!$S$5-(DATEDIF(Imóveis!$Q$5,Dados!$A917,"m")),)))*(Imóveis!$N$5/Imóveis!$S$5)))*Imóveis!$P$5))))*IF(AND(Imóveis!$E$5&gt;0,Dados!$A917&gt;Imóveis!$E$5),0,1)*Imóveis!$I$5</f>
        <v>0</v>
      </c>
      <c r="M917" s="18">
        <f>IF(Imóveis!$F$6="PRICE",IF(AND(Dados!$A917&gt;=Imóveis!$Q$6,Dados!$A917&lt;=Imóveis!$T$6),Imóveis!$U$6,0),IF((IF(AND(Dados!$A917&gt;=Imóveis!$Q$6,Dados!$A917&lt;=Imóveis!$T$6),Imóveis!$S$6-(DATEDIF(Imóveis!$Q$6,Dados!$A917,"m")),0))=0,0,((Imóveis!$N$6/Imóveis!$S$6)+((Imóveis!$N$6-((Imóveis!$S$6-(IF(AND(Dados!$A917&gt;=Imóveis!$Q$6,Dados!$A917&lt;=Imóveis!$T$6),Imóveis!$S$6-(DATEDIF(Imóveis!$Q$6,Dados!$A917,"m")),)))*(Imóveis!$N$6/Imóveis!$S$6)))*Imóveis!$P$6))))*IF(AND(Imóveis!$E$6&gt;0,Dados!$A917&gt;Imóveis!$E$6),0,1)*Imóveis!$I$6</f>
        <v>0</v>
      </c>
      <c r="N917" s="18">
        <f t="shared" si="117"/>
        <v>0</v>
      </c>
      <c r="O917" s="18">
        <f>SUMIFS(Receitas!$F:$F,Receitas!$J:$J,"&lt;="&amp;$A917,Receitas!$L:$L,"&gt;="&amp;$A917,Receitas!$C:$C,O$1,Receitas!$M:$M,"Mensal")+SUMIFS(Receitas!$F:$F,Receitas!$J:$J,"&lt;="&amp;$A917,Receitas!$L:$L,"&gt;="&amp;$A917,Receitas!$C:$C,O$1,Receitas!$M:$M,$B917)</f>
        <v>0</v>
      </c>
      <c r="P917" s="18">
        <f>SUMIFS(Receitas!$F:$F,Receitas!$J:$J,"&lt;="&amp;$A917,Receitas!$L:$L,"&gt;="&amp;$A917,Receitas!$C:$C,P$1,Receitas!$M:$M,"Mensal")+SUMIFS(Receitas!$F:$F,Receitas!$J:$J,"&lt;="&amp;$A917,Receitas!$L:$L,"&gt;="&amp;$A917,Receitas!$C:$C,P$1,Receitas!$M:$M,$B917)</f>
        <v>0</v>
      </c>
      <c r="Q917" s="18">
        <f>SUMIFS(Receitas!$F:$F,Receitas!$J:$J,"&lt;="&amp;$A917,Receitas!$L:$L,"&gt;="&amp;$A917,Receitas!$C:$C,Q$1,Receitas!$M:$M,"Mensal")+SUMIFS(Receitas!$F:$F,Receitas!$J:$J,"&lt;="&amp;$A917,Receitas!$L:$L,"&gt;="&amp;$A917,Receitas!$C:$C,Q$1,Receitas!$M:$M,$B917)</f>
        <v>0</v>
      </c>
      <c r="R917" s="18" cm="1">
        <f t="array" ref="R917">(IF(AND(Membros!$F$2="Sim",A917&lt;=MAX(Membros!$E$2:$E$5)),Membros!K$2,IF(AND(A917&gt;=Membros!J$2,A917&lt;=MAX(Membros!$E$2:$E$5)),Membros!K$2,0))+IF(AND(Membros!$F$3="Sim",A917&lt;=MAX(Membros!$E$2:$E$5)),Membros!K$3,IF(AND(A917&gt;=Membros!J$3,A917&lt;=MAX(Membros!$E$2:$E$5)),Membros!K$3,0)))*IF(AND(COUNTIFS(Tabela3[Tipo],"Provedor",Tabela3[Simulação Seguro],"Sim")=2,A917&gt;=MAX(IF(Tabela3[Tipo]="Dependente",Tabela3[Expectativa de Vida (Data)]))),0,1)</f>
        <v>0</v>
      </c>
      <c r="S917" s="18">
        <f t="shared" si="118"/>
        <v>0</v>
      </c>
      <c r="U917" s="18">
        <f t="shared" ca="1" si="121"/>
        <v>94074871.110818431</v>
      </c>
      <c r="V917" s="18">
        <f>SUMIF(Imóveis!E:E,Dados!A:A,Imóveis!Z:Z)-SUMIF(Imóveis!E:E,Dados!A:A,Imóveis!Y:Y)</f>
        <v>0</v>
      </c>
      <c r="W917" s="18">
        <f>-SUMIF(Projetos!N:N,A917,Projetos!F:F)</f>
        <v>0</v>
      </c>
      <c r="X917" s="18">
        <f t="shared" si="115"/>
        <v>0</v>
      </c>
      <c r="Y917" s="26">
        <f ca="1">(U917*((Indicadores_Economicos!D$2+1)^(1/12)-1))</f>
        <v>307976.64806072169</v>
      </c>
      <c r="Z917" s="18">
        <f t="shared" ca="1" si="119"/>
        <v>94382847.758879155</v>
      </c>
      <c r="AA917" s="18">
        <f ca="1">Auxiliar_Projetos!E917</f>
        <v>7.7801459311165174E-9</v>
      </c>
      <c r="AB917" s="18">
        <f ca="1">Auxiliar_Projetos!K917</f>
        <v>5.9847276393203955E-9</v>
      </c>
      <c r="AC917" s="18">
        <f ca="1">IF(Z917-AA917-AB917&gt;Investimentos!$C$14,Investimentos!$C$14,IF(Z917-AA917-AB917&lt;Investimentos!$C$14,Z917-AA917-AB917,0))</f>
        <v>300000</v>
      </c>
      <c r="AD917" s="18">
        <f t="shared" ca="1" si="120"/>
        <v>94082847.75887914</v>
      </c>
      <c r="AE917" s="18"/>
    </row>
    <row r="918" spans="1:31" x14ac:dyDescent="0.2">
      <c r="A918" s="4">
        <v>73536</v>
      </c>
      <c r="B918" s="5" t="str">
        <f t="shared" si="116"/>
        <v>maio</v>
      </c>
      <c r="C918" s="5" t="str">
        <f t="shared" si="114"/>
        <v>2101</v>
      </c>
      <c r="D918" s="5">
        <f>SUMIFS(Despesas!$F:$F,Despesas!$J:$J,"&lt;="&amp;$A918,Despesas!$L:$L,"&gt;="&amp;$A918,Despesas!$C:$C,D$1,Despesas!$M:$M,"Mensal")+SUMIFS(Despesas!$F:$F,Despesas!$J:$J,"&lt;="&amp;$A918,Despesas!$L:$L,"&gt;="&amp;$A918,Despesas!$C:$C,D$1,Despesas!$M:$M,$B918)</f>
        <v>0</v>
      </c>
      <c r="E918" s="18">
        <f>SUMIFS(Despesas!$F:$F,Despesas!$J:$J,"&lt;="&amp;$A918,Despesas!$L:$L,"&gt;="&amp;$A918,Despesas!$C:$C,E$1,Despesas!$M:$M,"Mensal")+SUMIFS(Despesas!$F:$F,Despesas!$J:$J,"&lt;="&amp;$A918,Despesas!$L:$L,"&gt;="&amp;$A918,Despesas!$C:$C,E$1,Despesas!$M:$M,$B918)</f>
        <v>0</v>
      </c>
      <c r="F918" s="5">
        <f>SUMIFS(Despesas!$F:$F,Despesas!$J:$J,"&lt;="&amp;$A918,Despesas!$L:$L,"&gt;="&amp;$A918,Despesas!$C:$C,F$1,Despesas!$M:$M,"Mensal")+SUMIFS(Despesas!$F:$F,Despesas!$J:$J,"&lt;="&amp;$A918,Despesas!$L:$L,"&gt;="&amp;$A918,Despesas!$C:$C,F$1,Despesas!$M:$M,$B918)</f>
        <v>0</v>
      </c>
      <c r="G918" s="5">
        <f>SUMIFS(Despesas!$F:$F,Despesas!$J:$J,"&lt;="&amp;$A918,Despesas!$L:$L,"&gt;="&amp;$A918,Despesas!$C:$C,G$1,Despesas!$M:$M,"Mensal")+SUMIFS(Despesas!$F:$F,Despesas!$J:$J,"&lt;="&amp;$A918,Despesas!$L:$L,"&gt;="&amp;$A918,Despesas!$C:$C,G$1,Despesas!$M:$M,$B918)</f>
        <v>0</v>
      </c>
      <c r="H918" s="18">
        <f>SUMIFS(Despesas!$F:$F,Despesas!$J:$J,"&lt;="&amp;$A918,Despesas!$L:$L,"&gt;="&amp;$A918,Despesas!$C:$C,H$1,Despesas!$M:$M,"Mensal")+SUMIFS(Despesas!$F:$F,Despesas!$J:$J,"&lt;="&amp;$A918,Despesas!$L:$L,"&gt;="&amp;$A918,Despesas!$C:$C,H$1,Despesas!$M:$M,$B918)</f>
        <v>0</v>
      </c>
      <c r="I918" s="18">
        <f>IF(Imóveis!$F$2="PRICE",IF(AND(Dados!$A918&gt;=Imóveis!$Q$2,Dados!$A918&lt;=Imóveis!$T$2),Imóveis!$U$2,0),IF((IF(AND(Dados!$A918&gt;=Imóveis!$Q$2,Dados!$A918&lt;=Imóveis!$T$2),Imóveis!$S$2-(DATEDIF(Imóveis!$Q$2,Dados!$A918,"m")),0))=0,0,((Imóveis!$N$2/Imóveis!$S$2)+((Imóveis!$N$2-((Imóveis!$S$2-(IF(AND(Dados!$A918&gt;=Imóveis!$Q$2,Dados!$A918&lt;=Imóveis!$T$2),Imóveis!$S$2-(DATEDIF(Imóveis!$Q$2,Dados!$A918,"m")),)))*(Imóveis!$N$2/Imóveis!$S$2)))*Imóveis!$P$2))))*IF(AND(Imóveis!$E$2&gt;0,Dados!$A918&gt;Imóveis!$E$2),0,1)</f>
        <v>0</v>
      </c>
      <c r="J918" s="18">
        <f>IF(Imóveis!$F$3="PRICE",IF(AND(Dados!$A918&gt;=Imóveis!$Q$3,Dados!$A918&lt;=Imóveis!$T$3),Imóveis!$U$3,0),IF((IF(AND(Dados!$A918&gt;=Imóveis!$Q$3,Dados!$A918&lt;=Imóveis!$T$3),Imóveis!$S$3-(DATEDIF(Imóveis!$Q$3,Dados!$A918,"m")),0))=0,0,((Imóveis!$N$3/Imóveis!$S$3)+((Imóveis!$N$3-((Imóveis!$S$3-(IF(AND(Dados!$A918&gt;=Imóveis!$Q$3,Dados!$A918&lt;=Imóveis!$T$3),Imóveis!$S$3-(DATEDIF(Imóveis!$Q$3,Dados!$A918,"m")),)))*(Imóveis!$N$3/Imóveis!$S$3)))*Imóveis!$P$3))))*IF(AND(Imóveis!$E$3&gt;0,Dados!$A918&gt;Imóveis!$E$3),0,1)</f>
        <v>0</v>
      </c>
      <c r="K918" s="18">
        <f>IF(Imóveis!$F$4="PRICE",IF(AND(Dados!$A918&gt;=Imóveis!$Q$4,Dados!$A918&lt;=Imóveis!$T$4),Imóveis!$U$4,0),IF((IF(AND(Dados!$A918&gt;=Imóveis!$Q$4,Dados!$A918&lt;=Imóveis!$T$4),Imóveis!$S$4-(DATEDIF(Imóveis!$Q$4,Dados!$A918,"m")),0))=0,0,((Imóveis!$N$4/Imóveis!$S$4)+((Imóveis!$N$4-((Imóveis!$S$4-(IF(AND(Dados!$A918&gt;=Imóveis!$Q$4,Dados!$A918&lt;=Imóveis!$T$4),Imóveis!$S$4-(DATEDIF(Imóveis!$Q$4,Dados!$A918,"m")),)))*(Imóveis!$N$4/Imóveis!$S$4)))*Imóveis!$P$4))))*IF(AND(Imóveis!$E$4&gt;0,Dados!$A918&gt;Imóveis!$E$4),0,1)</f>
        <v>0</v>
      </c>
      <c r="L918" s="18">
        <f>IF(Imóveis!$F$5="PRICE",IF(AND(Dados!$A918&gt;=Imóveis!$Q$5,Dados!$A918&lt;=Imóveis!$T$5),Imóveis!$U$5,0),IF((IF(AND(Dados!$A918&gt;=Imóveis!$Q$5,Dados!$A918&lt;=Imóveis!$T$5),Imóveis!$S$5-(DATEDIF(Imóveis!$Q$5,Dados!$A918,"m")),0))=0,0,((Imóveis!$N$5/Imóveis!$S$5)+((Imóveis!$N$5-((Imóveis!$S$5-(IF(AND(Dados!$A918 &gt;=Imóveis!$Q$5,Dados!$A918&lt;=Imóveis!$T$5),Imóveis!$S$5-(DATEDIF(Imóveis!$Q$5,Dados!$A918,"m")),)))*(Imóveis!$N$5/Imóveis!$S$5)))*Imóveis!$P$5))))*IF(AND(Imóveis!$E$5&gt;0,Dados!$A918&gt;Imóveis!$E$5),0,1)*Imóveis!$I$5</f>
        <v>0</v>
      </c>
      <c r="M918" s="18">
        <f>IF(Imóveis!$F$6="PRICE",IF(AND(Dados!$A918&gt;=Imóveis!$Q$6,Dados!$A918&lt;=Imóveis!$T$6),Imóveis!$U$6,0),IF((IF(AND(Dados!$A918&gt;=Imóveis!$Q$6,Dados!$A918&lt;=Imóveis!$T$6),Imóveis!$S$6-(DATEDIF(Imóveis!$Q$6,Dados!$A918,"m")),0))=0,0,((Imóveis!$N$6/Imóveis!$S$6)+((Imóveis!$N$6-((Imóveis!$S$6-(IF(AND(Dados!$A918&gt;=Imóveis!$Q$6,Dados!$A918&lt;=Imóveis!$T$6),Imóveis!$S$6-(DATEDIF(Imóveis!$Q$6,Dados!$A918,"m")),)))*(Imóveis!$N$6/Imóveis!$S$6)))*Imóveis!$P$6))))*IF(AND(Imóveis!$E$6&gt;0,Dados!$A918&gt;Imóveis!$E$6),0,1)*Imóveis!$I$6</f>
        <v>0</v>
      </c>
      <c r="N918" s="18">
        <f t="shared" si="117"/>
        <v>0</v>
      </c>
      <c r="O918" s="18">
        <f>SUMIFS(Receitas!$F:$F,Receitas!$J:$J,"&lt;="&amp;$A918,Receitas!$L:$L,"&gt;="&amp;$A918,Receitas!$C:$C,O$1,Receitas!$M:$M,"Mensal")+SUMIFS(Receitas!$F:$F,Receitas!$J:$J,"&lt;="&amp;$A918,Receitas!$L:$L,"&gt;="&amp;$A918,Receitas!$C:$C,O$1,Receitas!$M:$M,$B918)</f>
        <v>0</v>
      </c>
      <c r="P918" s="18">
        <f>SUMIFS(Receitas!$F:$F,Receitas!$J:$J,"&lt;="&amp;$A918,Receitas!$L:$L,"&gt;="&amp;$A918,Receitas!$C:$C,P$1,Receitas!$M:$M,"Mensal")+SUMIFS(Receitas!$F:$F,Receitas!$J:$J,"&lt;="&amp;$A918,Receitas!$L:$L,"&gt;="&amp;$A918,Receitas!$C:$C,P$1,Receitas!$M:$M,$B918)</f>
        <v>0</v>
      </c>
      <c r="Q918" s="18">
        <f>SUMIFS(Receitas!$F:$F,Receitas!$J:$J,"&lt;="&amp;$A918,Receitas!$L:$L,"&gt;="&amp;$A918,Receitas!$C:$C,Q$1,Receitas!$M:$M,"Mensal")+SUMIFS(Receitas!$F:$F,Receitas!$J:$J,"&lt;="&amp;$A918,Receitas!$L:$L,"&gt;="&amp;$A918,Receitas!$C:$C,Q$1,Receitas!$M:$M,$B918)</f>
        <v>0</v>
      </c>
      <c r="R918" s="18" cm="1">
        <f t="array" ref="R918">(IF(AND(Membros!$F$2="Sim",A918&lt;=MAX(Membros!$E$2:$E$5)),Membros!K$2,IF(AND(A918&gt;=Membros!J$2,A918&lt;=MAX(Membros!$E$2:$E$5)),Membros!K$2,0))+IF(AND(Membros!$F$3="Sim",A918&lt;=MAX(Membros!$E$2:$E$5)),Membros!K$3,IF(AND(A918&gt;=Membros!J$3,A918&lt;=MAX(Membros!$E$2:$E$5)),Membros!K$3,0)))*IF(AND(COUNTIFS(Tabela3[Tipo],"Provedor",Tabela3[Simulação Seguro],"Sim")=2,A918&gt;=MAX(IF(Tabela3[Tipo]="Dependente",Tabela3[Expectativa de Vida (Data)]))),0,1)</f>
        <v>0</v>
      </c>
      <c r="S918" s="18">
        <f t="shared" si="118"/>
        <v>0</v>
      </c>
      <c r="U918" s="18">
        <f t="shared" ca="1" si="121"/>
        <v>94382847.758879155</v>
      </c>
      <c r="V918" s="18">
        <f>SUMIF(Imóveis!E:E,Dados!A:A,Imóveis!Z:Z)-SUMIF(Imóveis!E:E,Dados!A:A,Imóveis!Y:Y)</f>
        <v>0</v>
      </c>
      <c r="W918" s="18">
        <f>-SUMIF(Projetos!N:N,A918,Projetos!F:F)</f>
        <v>0</v>
      </c>
      <c r="X918" s="18">
        <f t="shared" si="115"/>
        <v>0</v>
      </c>
      <c r="Y918" s="26">
        <f ca="1">(U918*((Indicadores_Economicos!D$2+1)^(1/12)-1))</f>
        <v>308984.88346546632</v>
      </c>
      <c r="Z918" s="18">
        <f t="shared" ca="1" si="119"/>
        <v>94691832.642344624</v>
      </c>
      <c r="AA918" s="18">
        <f ca="1">Auxiliar_Projetos!E918</f>
        <v>7.8056161043625263E-9</v>
      </c>
      <c r="AB918" s="18">
        <f ca="1">Auxiliar_Projetos!K918</f>
        <v>6.0043200802788642E-9</v>
      </c>
      <c r="AC918" s="18">
        <f ca="1">IF(Z918-AA918-AB918&gt;Investimentos!$C$14,Investimentos!$C$14,IF(Z918-AA918-AB918&lt;Investimentos!$C$14,Z918-AA918-AB918,0))</f>
        <v>300000</v>
      </c>
      <c r="AD918" s="18">
        <f t="shared" ca="1" si="120"/>
        <v>94391832.642344609</v>
      </c>
      <c r="AE918" s="18"/>
    </row>
    <row r="919" spans="1:31" x14ac:dyDescent="0.2">
      <c r="A919" s="4">
        <v>73567</v>
      </c>
      <c r="B919" s="5" t="str">
        <f t="shared" si="116"/>
        <v>junho</v>
      </c>
      <c r="C919" s="5" t="str">
        <f t="shared" si="114"/>
        <v>2101</v>
      </c>
      <c r="D919" s="5">
        <f>SUMIFS(Despesas!$F:$F,Despesas!$J:$J,"&lt;="&amp;$A919,Despesas!$L:$L,"&gt;="&amp;$A919,Despesas!$C:$C,D$1,Despesas!$M:$M,"Mensal")+SUMIFS(Despesas!$F:$F,Despesas!$J:$J,"&lt;="&amp;$A919,Despesas!$L:$L,"&gt;="&amp;$A919,Despesas!$C:$C,D$1,Despesas!$M:$M,$B919)</f>
        <v>0</v>
      </c>
      <c r="E919" s="18">
        <f>SUMIFS(Despesas!$F:$F,Despesas!$J:$J,"&lt;="&amp;$A919,Despesas!$L:$L,"&gt;="&amp;$A919,Despesas!$C:$C,E$1,Despesas!$M:$M,"Mensal")+SUMIFS(Despesas!$F:$F,Despesas!$J:$J,"&lt;="&amp;$A919,Despesas!$L:$L,"&gt;="&amp;$A919,Despesas!$C:$C,E$1,Despesas!$M:$M,$B919)</f>
        <v>0</v>
      </c>
      <c r="F919" s="5">
        <f>SUMIFS(Despesas!$F:$F,Despesas!$J:$J,"&lt;="&amp;$A919,Despesas!$L:$L,"&gt;="&amp;$A919,Despesas!$C:$C,F$1,Despesas!$M:$M,"Mensal")+SUMIFS(Despesas!$F:$F,Despesas!$J:$J,"&lt;="&amp;$A919,Despesas!$L:$L,"&gt;="&amp;$A919,Despesas!$C:$C,F$1,Despesas!$M:$M,$B919)</f>
        <v>0</v>
      </c>
      <c r="G919" s="5">
        <f>SUMIFS(Despesas!$F:$F,Despesas!$J:$J,"&lt;="&amp;$A919,Despesas!$L:$L,"&gt;="&amp;$A919,Despesas!$C:$C,G$1,Despesas!$M:$M,"Mensal")+SUMIFS(Despesas!$F:$F,Despesas!$J:$J,"&lt;="&amp;$A919,Despesas!$L:$L,"&gt;="&amp;$A919,Despesas!$C:$C,G$1,Despesas!$M:$M,$B919)</f>
        <v>0</v>
      </c>
      <c r="H919" s="18">
        <f>SUMIFS(Despesas!$F:$F,Despesas!$J:$J,"&lt;="&amp;$A919,Despesas!$L:$L,"&gt;="&amp;$A919,Despesas!$C:$C,H$1,Despesas!$M:$M,"Mensal")+SUMIFS(Despesas!$F:$F,Despesas!$J:$J,"&lt;="&amp;$A919,Despesas!$L:$L,"&gt;="&amp;$A919,Despesas!$C:$C,H$1,Despesas!$M:$M,$B919)</f>
        <v>0</v>
      </c>
      <c r="I919" s="18">
        <f>IF(Imóveis!$F$2="PRICE",IF(AND(Dados!$A919&gt;=Imóveis!$Q$2,Dados!$A919&lt;=Imóveis!$T$2),Imóveis!$U$2,0),IF((IF(AND(Dados!$A919&gt;=Imóveis!$Q$2,Dados!$A919&lt;=Imóveis!$T$2),Imóveis!$S$2-(DATEDIF(Imóveis!$Q$2,Dados!$A919,"m")),0))=0,0,((Imóveis!$N$2/Imóveis!$S$2)+((Imóveis!$N$2-((Imóveis!$S$2-(IF(AND(Dados!$A919&gt;=Imóveis!$Q$2,Dados!$A919&lt;=Imóveis!$T$2),Imóveis!$S$2-(DATEDIF(Imóveis!$Q$2,Dados!$A919,"m")),)))*(Imóveis!$N$2/Imóveis!$S$2)))*Imóveis!$P$2))))*IF(AND(Imóveis!$E$2&gt;0,Dados!$A919&gt;Imóveis!$E$2),0,1)</f>
        <v>0</v>
      </c>
      <c r="J919" s="18">
        <f>IF(Imóveis!$F$3="PRICE",IF(AND(Dados!$A919&gt;=Imóveis!$Q$3,Dados!$A919&lt;=Imóveis!$T$3),Imóveis!$U$3,0),IF((IF(AND(Dados!$A919&gt;=Imóveis!$Q$3,Dados!$A919&lt;=Imóveis!$T$3),Imóveis!$S$3-(DATEDIF(Imóveis!$Q$3,Dados!$A919,"m")),0))=0,0,((Imóveis!$N$3/Imóveis!$S$3)+((Imóveis!$N$3-((Imóveis!$S$3-(IF(AND(Dados!$A919&gt;=Imóveis!$Q$3,Dados!$A919&lt;=Imóveis!$T$3),Imóveis!$S$3-(DATEDIF(Imóveis!$Q$3,Dados!$A919,"m")),)))*(Imóveis!$N$3/Imóveis!$S$3)))*Imóveis!$P$3))))*IF(AND(Imóveis!$E$3&gt;0,Dados!$A919&gt;Imóveis!$E$3),0,1)</f>
        <v>0</v>
      </c>
      <c r="K919" s="18">
        <f>IF(Imóveis!$F$4="PRICE",IF(AND(Dados!$A919&gt;=Imóveis!$Q$4,Dados!$A919&lt;=Imóveis!$T$4),Imóveis!$U$4,0),IF((IF(AND(Dados!$A919&gt;=Imóveis!$Q$4,Dados!$A919&lt;=Imóveis!$T$4),Imóveis!$S$4-(DATEDIF(Imóveis!$Q$4,Dados!$A919,"m")),0))=0,0,((Imóveis!$N$4/Imóveis!$S$4)+((Imóveis!$N$4-((Imóveis!$S$4-(IF(AND(Dados!$A919&gt;=Imóveis!$Q$4,Dados!$A919&lt;=Imóveis!$T$4),Imóveis!$S$4-(DATEDIF(Imóveis!$Q$4,Dados!$A919,"m")),)))*(Imóveis!$N$4/Imóveis!$S$4)))*Imóveis!$P$4))))*IF(AND(Imóveis!$E$4&gt;0,Dados!$A919&gt;Imóveis!$E$4),0,1)</f>
        <v>0</v>
      </c>
      <c r="L919" s="18">
        <f>IF(Imóveis!$F$5="PRICE",IF(AND(Dados!$A919&gt;=Imóveis!$Q$5,Dados!$A919&lt;=Imóveis!$T$5),Imóveis!$U$5,0),IF((IF(AND(Dados!$A919&gt;=Imóveis!$Q$5,Dados!$A919&lt;=Imóveis!$T$5),Imóveis!$S$5-(DATEDIF(Imóveis!$Q$5,Dados!$A919,"m")),0))=0,0,((Imóveis!$N$5/Imóveis!$S$5)+((Imóveis!$N$5-((Imóveis!$S$5-(IF(AND(Dados!$A919 &gt;=Imóveis!$Q$5,Dados!$A919&lt;=Imóveis!$T$5),Imóveis!$S$5-(DATEDIF(Imóveis!$Q$5,Dados!$A919,"m")),)))*(Imóveis!$N$5/Imóveis!$S$5)))*Imóveis!$P$5))))*IF(AND(Imóveis!$E$5&gt;0,Dados!$A919&gt;Imóveis!$E$5),0,1)*Imóveis!$I$5</f>
        <v>0</v>
      </c>
      <c r="M919" s="18">
        <f>IF(Imóveis!$F$6="PRICE",IF(AND(Dados!$A919&gt;=Imóveis!$Q$6,Dados!$A919&lt;=Imóveis!$T$6),Imóveis!$U$6,0),IF((IF(AND(Dados!$A919&gt;=Imóveis!$Q$6,Dados!$A919&lt;=Imóveis!$T$6),Imóveis!$S$6-(DATEDIF(Imóveis!$Q$6,Dados!$A919,"m")),0))=0,0,((Imóveis!$N$6/Imóveis!$S$6)+((Imóveis!$N$6-((Imóveis!$S$6-(IF(AND(Dados!$A919&gt;=Imóveis!$Q$6,Dados!$A919&lt;=Imóveis!$T$6),Imóveis!$S$6-(DATEDIF(Imóveis!$Q$6,Dados!$A919,"m")),)))*(Imóveis!$N$6/Imóveis!$S$6)))*Imóveis!$P$6))))*IF(AND(Imóveis!$E$6&gt;0,Dados!$A919&gt;Imóveis!$E$6),0,1)*Imóveis!$I$6</f>
        <v>0</v>
      </c>
      <c r="N919" s="18">
        <f t="shared" si="117"/>
        <v>0</v>
      </c>
      <c r="O919" s="18">
        <f>SUMIFS(Receitas!$F:$F,Receitas!$J:$J,"&lt;="&amp;$A919,Receitas!$L:$L,"&gt;="&amp;$A919,Receitas!$C:$C,O$1,Receitas!$M:$M,"Mensal")+SUMIFS(Receitas!$F:$F,Receitas!$J:$J,"&lt;="&amp;$A919,Receitas!$L:$L,"&gt;="&amp;$A919,Receitas!$C:$C,O$1,Receitas!$M:$M,$B919)</f>
        <v>0</v>
      </c>
      <c r="P919" s="18">
        <f>SUMIFS(Receitas!$F:$F,Receitas!$J:$J,"&lt;="&amp;$A919,Receitas!$L:$L,"&gt;="&amp;$A919,Receitas!$C:$C,P$1,Receitas!$M:$M,"Mensal")+SUMIFS(Receitas!$F:$F,Receitas!$J:$J,"&lt;="&amp;$A919,Receitas!$L:$L,"&gt;="&amp;$A919,Receitas!$C:$C,P$1,Receitas!$M:$M,$B919)</f>
        <v>0</v>
      </c>
      <c r="Q919" s="18">
        <f>SUMIFS(Receitas!$F:$F,Receitas!$J:$J,"&lt;="&amp;$A919,Receitas!$L:$L,"&gt;="&amp;$A919,Receitas!$C:$C,Q$1,Receitas!$M:$M,"Mensal")+SUMIFS(Receitas!$F:$F,Receitas!$J:$J,"&lt;="&amp;$A919,Receitas!$L:$L,"&gt;="&amp;$A919,Receitas!$C:$C,Q$1,Receitas!$M:$M,$B919)</f>
        <v>0</v>
      </c>
      <c r="R919" s="18" cm="1">
        <f t="array" ref="R919">(IF(AND(Membros!$F$2="Sim",A919&lt;=MAX(Membros!$E$2:$E$5)),Membros!K$2,IF(AND(A919&gt;=Membros!J$2,A919&lt;=MAX(Membros!$E$2:$E$5)),Membros!K$2,0))+IF(AND(Membros!$F$3="Sim",A919&lt;=MAX(Membros!$E$2:$E$5)),Membros!K$3,IF(AND(A919&gt;=Membros!J$3,A919&lt;=MAX(Membros!$E$2:$E$5)),Membros!K$3,0)))*IF(AND(COUNTIFS(Tabela3[Tipo],"Provedor",Tabela3[Simulação Seguro],"Sim")=2,A919&gt;=MAX(IF(Tabela3[Tipo]="Dependente",Tabela3[Expectativa de Vida (Data)]))),0,1)</f>
        <v>0</v>
      </c>
      <c r="S919" s="18">
        <f t="shared" si="118"/>
        <v>0</v>
      </c>
      <c r="U919" s="18">
        <f t="shared" ca="1" si="121"/>
        <v>94691832.642344624</v>
      </c>
      <c r="V919" s="18">
        <f>SUMIF(Imóveis!E:E,Dados!A:A,Imóveis!Z:Z)-SUMIF(Imóveis!E:E,Dados!A:A,Imóveis!Y:Y)</f>
        <v>0</v>
      </c>
      <c r="W919" s="18">
        <f>-SUMIF(Projetos!N:N,A919,Projetos!F:F)</f>
        <v>0</v>
      </c>
      <c r="X919" s="18">
        <f t="shared" si="115"/>
        <v>0</v>
      </c>
      <c r="Y919" s="26">
        <f ca="1">(U919*((Indicadores_Economicos!D$2+1)^(1/12)-1))</f>
        <v>309996.41957056534</v>
      </c>
      <c r="Z919" s="18">
        <f t="shared" ca="1" si="119"/>
        <v>95001829.061915189</v>
      </c>
      <c r="AA919" s="18">
        <f ca="1">Auxiliar_Projetos!E919</f>
        <v>7.8311696603279499E-9</v>
      </c>
      <c r="AB919" s="18">
        <f ca="1">Auxiliar_Projetos!K919</f>
        <v>6.0239766617907291E-9</v>
      </c>
      <c r="AC919" s="18">
        <f ca="1">IF(Z919-AA919-AB919&gt;Investimentos!$C$14,Investimentos!$C$14,IF(Z919-AA919-AB919&lt;Investimentos!$C$14,Z919-AA919-AB919,0))</f>
        <v>300000</v>
      </c>
      <c r="AD919" s="18">
        <f t="shared" ca="1" si="120"/>
        <v>94701829.061915174</v>
      </c>
      <c r="AE919" s="18"/>
    </row>
    <row r="920" spans="1:31" x14ac:dyDescent="0.2">
      <c r="A920" s="4">
        <v>73597</v>
      </c>
      <c r="B920" s="5" t="str">
        <f t="shared" si="116"/>
        <v>julho</v>
      </c>
      <c r="C920" s="5" t="str">
        <f t="shared" ref="C920:C983" si="122">TEXT(A920,"AAAA")</f>
        <v>2101</v>
      </c>
      <c r="D920" s="5">
        <f>SUMIFS(Despesas!$F:$F,Despesas!$J:$J,"&lt;="&amp;$A920,Despesas!$L:$L,"&gt;="&amp;$A920,Despesas!$C:$C,D$1,Despesas!$M:$M,"Mensal")+SUMIFS(Despesas!$F:$F,Despesas!$J:$J,"&lt;="&amp;$A920,Despesas!$L:$L,"&gt;="&amp;$A920,Despesas!$C:$C,D$1,Despesas!$M:$M,$B920)</f>
        <v>0</v>
      </c>
      <c r="E920" s="18">
        <f>SUMIFS(Despesas!$F:$F,Despesas!$J:$J,"&lt;="&amp;$A920,Despesas!$L:$L,"&gt;="&amp;$A920,Despesas!$C:$C,E$1,Despesas!$M:$M,"Mensal")+SUMIFS(Despesas!$F:$F,Despesas!$J:$J,"&lt;="&amp;$A920,Despesas!$L:$L,"&gt;="&amp;$A920,Despesas!$C:$C,E$1,Despesas!$M:$M,$B920)</f>
        <v>0</v>
      </c>
      <c r="F920" s="5">
        <f>SUMIFS(Despesas!$F:$F,Despesas!$J:$J,"&lt;="&amp;$A920,Despesas!$L:$L,"&gt;="&amp;$A920,Despesas!$C:$C,F$1,Despesas!$M:$M,"Mensal")+SUMIFS(Despesas!$F:$F,Despesas!$J:$J,"&lt;="&amp;$A920,Despesas!$L:$L,"&gt;="&amp;$A920,Despesas!$C:$C,F$1,Despesas!$M:$M,$B920)</f>
        <v>0</v>
      </c>
      <c r="G920" s="5">
        <f>SUMIFS(Despesas!$F:$F,Despesas!$J:$J,"&lt;="&amp;$A920,Despesas!$L:$L,"&gt;="&amp;$A920,Despesas!$C:$C,G$1,Despesas!$M:$M,"Mensal")+SUMIFS(Despesas!$F:$F,Despesas!$J:$J,"&lt;="&amp;$A920,Despesas!$L:$L,"&gt;="&amp;$A920,Despesas!$C:$C,G$1,Despesas!$M:$M,$B920)</f>
        <v>0</v>
      </c>
      <c r="H920" s="18">
        <f>SUMIFS(Despesas!$F:$F,Despesas!$J:$J,"&lt;="&amp;$A920,Despesas!$L:$L,"&gt;="&amp;$A920,Despesas!$C:$C,H$1,Despesas!$M:$M,"Mensal")+SUMIFS(Despesas!$F:$F,Despesas!$J:$J,"&lt;="&amp;$A920,Despesas!$L:$L,"&gt;="&amp;$A920,Despesas!$C:$C,H$1,Despesas!$M:$M,$B920)</f>
        <v>0</v>
      </c>
      <c r="I920" s="18">
        <f>IF(Imóveis!$F$2="PRICE",IF(AND(Dados!$A920&gt;=Imóveis!$Q$2,Dados!$A920&lt;=Imóveis!$T$2),Imóveis!$U$2,0),IF((IF(AND(Dados!$A920&gt;=Imóveis!$Q$2,Dados!$A920&lt;=Imóveis!$T$2),Imóveis!$S$2-(DATEDIF(Imóveis!$Q$2,Dados!$A920,"m")),0))=0,0,((Imóveis!$N$2/Imóveis!$S$2)+((Imóveis!$N$2-((Imóveis!$S$2-(IF(AND(Dados!$A920&gt;=Imóveis!$Q$2,Dados!$A920&lt;=Imóveis!$T$2),Imóveis!$S$2-(DATEDIF(Imóveis!$Q$2,Dados!$A920,"m")),)))*(Imóveis!$N$2/Imóveis!$S$2)))*Imóveis!$P$2))))*IF(AND(Imóveis!$E$2&gt;0,Dados!$A920&gt;Imóveis!$E$2),0,1)</f>
        <v>0</v>
      </c>
      <c r="J920" s="18">
        <f>IF(Imóveis!$F$3="PRICE",IF(AND(Dados!$A920&gt;=Imóveis!$Q$3,Dados!$A920&lt;=Imóveis!$T$3),Imóveis!$U$3,0),IF((IF(AND(Dados!$A920&gt;=Imóveis!$Q$3,Dados!$A920&lt;=Imóveis!$T$3),Imóveis!$S$3-(DATEDIF(Imóveis!$Q$3,Dados!$A920,"m")),0))=0,0,((Imóveis!$N$3/Imóveis!$S$3)+((Imóveis!$N$3-((Imóveis!$S$3-(IF(AND(Dados!$A920&gt;=Imóveis!$Q$3,Dados!$A920&lt;=Imóveis!$T$3),Imóveis!$S$3-(DATEDIF(Imóveis!$Q$3,Dados!$A920,"m")),)))*(Imóveis!$N$3/Imóveis!$S$3)))*Imóveis!$P$3))))*IF(AND(Imóveis!$E$3&gt;0,Dados!$A920&gt;Imóveis!$E$3),0,1)</f>
        <v>0</v>
      </c>
      <c r="K920" s="18">
        <f>IF(Imóveis!$F$4="PRICE",IF(AND(Dados!$A920&gt;=Imóveis!$Q$4,Dados!$A920&lt;=Imóveis!$T$4),Imóveis!$U$4,0),IF((IF(AND(Dados!$A920&gt;=Imóveis!$Q$4,Dados!$A920&lt;=Imóveis!$T$4),Imóveis!$S$4-(DATEDIF(Imóveis!$Q$4,Dados!$A920,"m")),0))=0,0,((Imóveis!$N$4/Imóveis!$S$4)+((Imóveis!$N$4-((Imóveis!$S$4-(IF(AND(Dados!$A920&gt;=Imóveis!$Q$4,Dados!$A920&lt;=Imóveis!$T$4),Imóveis!$S$4-(DATEDIF(Imóveis!$Q$4,Dados!$A920,"m")),)))*(Imóveis!$N$4/Imóveis!$S$4)))*Imóveis!$P$4))))*IF(AND(Imóveis!$E$4&gt;0,Dados!$A920&gt;Imóveis!$E$4),0,1)</f>
        <v>0</v>
      </c>
      <c r="L920" s="18">
        <f>IF(Imóveis!$F$5="PRICE",IF(AND(Dados!$A920&gt;=Imóveis!$Q$5,Dados!$A920&lt;=Imóveis!$T$5),Imóveis!$U$5,0),IF((IF(AND(Dados!$A920&gt;=Imóveis!$Q$5,Dados!$A920&lt;=Imóveis!$T$5),Imóveis!$S$5-(DATEDIF(Imóveis!$Q$5,Dados!$A920,"m")),0))=0,0,((Imóveis!$N$5/Imóveis!$S$5)+((Imóveis!$N$5-((Imóveis!$S$5-(IF(AND(Dados!$A920 &gt;=Imóveis!$Q$5,Dados!$A920&lt;=Imóveis!$T$5),Imóveis!$S$5-(DATEDIF(Imóveis!$Q$5,Dados!$A920,"m")),)))*(Imóveis!$N$5/Imóveis!$S$5)))*Imóveis!$P$5))))*IF(AND(Imóveis!$E$5&gt;0,Dados!$A920&gt;Imóveis!$E$5),0,1)*Imóveis!$I$5</f>
        <v>0</v>
      </c>
      <c r="M920" s="18">
        <f>IF(Imóveis!$F$6="PRICE",IF(AND(Dados!$A920&gt;=Imóveis!$Q$6,Dados!$A920&lt;=Imóveis!$T$6),Imóveis!$U$6,0),IF((IF(AND(Dados!$A920&gt;=Imóveis!$Q$6,Dados!$A920&lt;=Imóveis!$T$6),Imóveis!$S$6-(DATEDIF(Imóveis!$Q$6,Dados!$A920,"m")),0))=0,0,((Imóveis!$N$6/Imóveis!$S$6)+((Imóveis!$N$6-((Imóveis!$S$6-(IF(AND(Dados!$A920&gt;=Imóveis!$Q$6,Dados!$A920&lt;=Imóveis!$T$6),Imóveis!$S$6-(DATEDIF(Imóveis!$Q$6,Dados!$A920,"m")),)))*(Imóveis!$N$6/Imóveis!$S$6)))*Imóveis!$P$6))))*IF(AND(Imóveis!$E$6&gt;0,Dados!$A920&gt;Imóveis!$E$6),0,1)*Imóveis!$I$6</f>
        <v>0</v>
      </c>
      <c r="N920" s="18">
        <f t="shared" si="117"/>
        <v>0</v>
      </c>
      <c r="O920" s="18">
        <f>SUMIFS(Receitas!$F:$F,Receitas!$J:$J,"&lt;="&amp;$A920,Receitas!$L:$L,"&gt;="&amp;$A920,Receitas!$C:$C,O$1,Receitas!$M:$M,"Mensal")+SUMIFS(Receitas!$F:$F,Receitas!$J:$J,"&lt;="&amp;$A920,Receitas!$L:$L,"&gt;="&amp;$A920,Receitas!$C:$C,O$1,Receitas!$M:$M,$B920)</f>
        <v>0</v>
      </c>
      <c r="P920" s="18">
        <f>SUMIFS(Receitas!$F:$F,Receitas!$J:$J,"&lt;="&amp;$A920,Receitas!$L:$L,"&gt;="&amp;$A920,Receitas!$C:$C,P$1,Receitas!$M:$M,"Mensal")+SUMIFS(Receitas!$F:$F,Receitas!$J:$J,"&lt;="&amp;$A920,Receitas!$L:$L,"&gt;="&amp;$A920,Receitas!$C:$C,P$1,Receitas!$M:$M,$B920)</f>
        <v>0</v>
      </c>
      <c r="Q920" s="18">
        <f>SUMIFS(Receitas!$F:$F,Receitas!$J:$J,"&lt;="&amp;$A920,Receitas!$L:$L,"&gt;="&amp;$A920,Receitas!$C:$C,Q$1,Receitas!$M:$M,"Mensal")+SUMIFS(Receitas!$F:$F,Receitas!$J:$J,"&lt;="&amp;$A920,Receitas!$L:$L,"&gt;="&amp;$A920,Receitas!$C:$C,Q$1,Receitas!$M:$M,$B920)</f>
        <v>0</v>
      </c>
      <c r="R920" s="18" cm="1">
        <f t="array" ref="R920">(IF(AND(Membros!$F$2="Sim",A920&lt;=MAX(Membros!$E$2:$E$5)),Membros!K$2,IF(AND(A920&gt;=Membros!J$2,A920&lt;=MAX(Membros!$E$2:$E$5)),Membros!K$2,0))+IF(AND(Membros!$F$3="Sim",A920&lt;=MAX(Membros!$E$2:$E$5)),Membros!K$3,IF(AND(A920&gt;=Membros!J$3,A920&lt;=MAX(Membros!$E$2:$E$5)),Membros!K$3,0)))*IF(AND(COUNTIFS(Tabela3[Tipo],"Provedor",Tabela3[Simulação Seguro],"Sim")=2,A920&gt;=MAX(IF(Tabela3[Tipo]="Dependente",Tabela3[Expectativa de Vida (Data)]))),0,1)</f>
        <v>0</v>
      </c>
      <c r="S920" s="18">
        <f t="shared" si="118"/>
        <v>0</v>
      </c>
      <c r="U920" s="18">
        <f t="shared" ca="1" si="121"/>
        <v>95001829.061915189</v>
      </c>
      <c r="V920" s="18">
        <f>SUMIF(Imóveis!E:E,Dados!A:A,Imóveis!Z:Z)-SUMIF(Imóveis!E:E,Dados!A:A,Imóveis!Y:Y)</f>
        <v>0</v>
      </c>
      <c r="W920" s="18">
        <f>-SUMIF(Projetos!N:N,A920,Projetos!F:F)</f>
        <v>0</v>
      </c>
      <c r="X920" s="18">
        <f t="shared" si="115"/>
        <v>0</v>
      </c>
      <c r="Y920" s="26">
        <f ca="1">(U920*((Indicadores_Economicos!D$2+1)^(1/12)-1))</f>
        <v>311011.26718165271</v>
      </c>
      <c r="Z920" s="18">
        <f t="shared" ca="1" si="119"/>
        <v>95312840.329096839</v>
      </c>
      <c r="AA920" s="18">
        <f ca="1">Auxiliar_Projetos!E920</f>
        <v>7.8568068719861142E-9</v>
      </c>
      <c r="AB920" s="18">
        <f ca="1">Auxiliar_Projetos!K920</f>
        <v>6.043697593835471E-9</v>
      </c>
      <c r="AC920" s="18">
        <f ca="1">IF(Z920-AA920-AB920&gt;Investimentos!$C$14,Investimentos!$C$14,IF(Z920-AA920-AB920&lt;Investimentos!$C$14,Z920-AA920-AB920,0))</f>
        <v>300000</v>
      </c>
      <c r="AD920" s="18">
        <f t="shared" ca="1" si="120"/>
        <v>95012840.329096824</v>
      </c>
      <c r="AE920" s="18"/>
    </row>
    <row r="921" spans="1:31" x14ac:dyDescent="0.2">
      <c r="A921" s="4">
        <v>73628</v>
      </c>
      <c r="B921" s="5" t="str">
        <f t="shared" si="116"/>
        <v>agosto</v>
      </c>
      <c r="C921" s="5" t="str">
        <f t="shared" si="122"/>
        <v>2101</v>
      </c>
      <c r="D921" s="5">
        <f>SUMIFS(Despesas!$F:$F,Despesas!$J:$J,"&lt;="&amp;$A921,Despesas!$L:$L,"&gt;="&amp;$A921,Despesas!$C:$C,D$1,Despesas!$M:$M,"Mensal")+SUMIFS(Despesas!$F:$F,Despesas!$J:$J,"&lt;="&amp;$A921,Despesas!$L:$L,"&gt;="&amp;$A921,Despesas!$C:$C,D$1,Despesas!$M:$M,$B921)</f>
        <v>0</v>
      </c>
      <c r="E921" s="18">
        <f>SUMIFS(Despesas!$F:$F,Despesas!$J:$J,"&lt;="&amp;$A921,Despesas!$L:$L,"&gt;="&amp;$A921,Despesas!$C:$C,E$1,Despesas!$M:$M,"Mensal")+SUMIFS(Despesas!$F:$F,Despesas!$J:$J,"&lt;="&amp;$A921,Despesas!$L:$L,"&gt;="&amp;$A921,Despesas!$C:$C,E$1,Despesas!$M:$M,$B921)</f>
        <v>0</v>
      </c>
      <c r="F921" s="5">
        <f>SUMIFS(Despesas!$F:$F,Despesas!$J:$J,"&lt;="&amp;$A921,Despesas!$L:$L,"&gt;="&amp;$A921,Despesas!$C:$C,F$1,Despesas!$M:$M,"Mensal")+SUMIFS(Despesas!$F:$F,Despesas!$J:$J,"&lt;="&amp;$A921,Despesas!$L:$L,"&gt;="&amp;$A921,Despesas!$C:$C,F$1,Despesas!$M:$M,$B921)</f>
        <v>0</v>
      </c>
      <c r="G921" s="5">
        <f>SUMIFS(Despesas!$F:$F,Despesas!$J:$J,"&lt;="&amp;$A921,Despesas!$L:$L,"&gt;="&amp;$A921,Despesas!$C:$C,G$1,Despesas!$M:$M,"Mensal")+SUMIFS(Despesas!$F:$F,Despesas!$J:$J,"&lt;="&amp;$A921,Despesas!$L:$L,"&gt;="&amp;$A921,Despesas!$C:$C,G$1,Despesas!$M:$M,$B921)</f>
        <v>0</v>
      </c>
      <c r="H921" s="18">
        <f>SUMIFS(Despesas!$F:$F,Despesas!$J:$J,"&lt;="&amp;$A921,Despesas!$L:$L,"&gt;="&amp;$A921,Despesas!$C:$C,H$1,Despesas!$M:$M,"Mensal")+SUMIFS(Despesas!$F:$F,Despesas!$J:$J,"&lt;="&amp;$A921,Despesas!$L:$L,"&gt;="&amp;$A921,Despesas!$C:$C,H$1,Despesas!$M:$M,$B921)</f>
        <v>0</v>
      </c>
      <c r="I921" s="18">
        <f>IF(Imóveis!$F$2="PRICE",IF(AND(Dados!$A921&gt;=Imóveis!$Q$2,Dados!$A921&lt;=Imóveis!$T$2),Imóveis!$U$2,0),IF((IF(AND(Dados!$A921&gt;=Imóveis!$Q$2,Dados!$A921&lt;=Imóveis!$T$2),Imóveis!$S$2-(DATEDIF(Imóveis!$Q$2,Dados!$A921,"m")),0))=0,0,((Imóveis!$N$2/Imóveis!$S$2)+((Imóveis!$N$2-((Imóveis!$S$2-(IF(AND(Dados!$A921&gt;=Imóveis!$Q$2,Dados!$A921&lt;=Imóveis!$T$2),Imóveis!$S$2-(DATEDIF(Imóveis!$Q$2,Dados!$A921,"m")),)))*(Imóveis!$N$2/Imóveis!$S$2)))*Imóveis!$P$2))))*IF(AND(Imóveis!$E$2&gt;0,Dados!$A921&gt;Imóveis!$E$2),0,1)</f>
        <v>0</v>
      </c>
      <c r="J921" s="18">
        <f>IF(Imóveis!$F$3="PRICE",IF(AND(Dados!$A921&gt;=Imóveis!$Q$3,Dados!$A921&lt;=Imóveis!$T$3),Imóveis!$U$3,0),IF((IF(AND(Dados!$A921&gt;=Imóveis!$Q$3,Dados!$A921&lt;=Imóveis!$T$3),Imóveis!$S$3-(DATEDIF(Imóveis!$Q$3,Dados!$A921,"m")),0))=0,0,((Imóveis!$N$3/Imóveis!$S$3)+((Imóveis!$N$3-((Imóveis!$S$3-(IF(AND(Dados!$A921&gt;=Imóveis!$Q$3,Dados!$A921&lt;=Imóveis!$T$3),Imóveis!$S$3-(DATEDIF(Imóveis!$Q$3,Dados!$A921,"m")),)))*(Imóveis!$N$3/Imóveis!$S$3)))*Imóveis!$P$3))))*IF(AND(Imóveis!$E$3&gt;0,Dados!$A921&gt;Imóveis!$E$3),0,1)</f>
        <v>0</v>
      </c>
      <c r="K921" s="18">
        <f>IF(Imóveis!$F$4="PRICE",IF(AND(Dados!$A921&gt;=Imóveis!$Q$4,Dados!$A921&lt;=Imóveis!$T$4),Imóveis!$U$4,0),IF((IF(AND(Dados!$A921&gt;=Imóveis!$Q$4,Dados!$A921&lt;=Imóveis!$T$4),Imóveis!$S$4-(DATEDIF(Imóveis!$Q$4,Dados!$A921,"m")),0))=0,0,((Imóveis!$N$4/Imóveis!$S$4)+((Imóveis!$N$4-((Imóveis!$S$4-(IF(AND(Dados!$A921&gt;=Imóveis!$Q$4,Dados!$A921&lt;=Imóveis!$T$4),Imóveis!$S$4-(DATEDIF(Imóveis!$Q$4,Dados!$A921,"m")),)))*(Imóveis!$N$4/Imóveis!$S$4)))*Imóveis!$P$4))))*IF(AND(Imóveis!$E$4&gt;0,Dados!$A921&gt;Imóveis!$E$4),0,1)</f>
        <v>0</v>
      </c>
      <c r="L921" s="18">
        <f>IF(Imóveis!$F$5="PRICE",IF(AND(Dados!$A921&gt;=Imóveis!$Q$5,Dados!$A921&lt;=Imóveis!$T$5),Imóveis!$U$5,0),IF((IF(AND(Dados!$A921&gt;=Imóveis!$Q$5,Dados!$A921&lt;=Imóveis!$T$5),Imóveis!$S$5-(DATEDIF(Imóveis!$Q$5,Dados!$A921,"m")),0))=0,0,((Imóveis!$N$5/Imóveis!$S$5)+((Imóveis!$N$5-((Imóveis!$S$5-(IF(AND(Dados!$A921 &gt;=Imóveis!$Q$5,Dados!$A921&lt;=Imóveis!$T$5),Imóveis!$S$5-(DATEDIF(Imóveis!$Q$5,Dados!$A921,"m")),)))*(Imóveis!$N$5/Imóveis!$S$5)))*Imóveis!$P$5))))*IF(AND(Imóveis!$E$5&gt;0,Dados!$A921&gt;Imóveis!$E$5),0,1)*Imóveis!$I$5</f>
        <v>0</v>
      </c>
      <c r="M921" s="18">
        <f>IF(Imóveis!$F$6="PRICE",IF(AND(Dados!$A921&gt;=Imóveis!$Q$6,Dados!$A921&lt;=Imóveis!$T$6),Imóveis!$U$6,0),IF((IF(AND(Dados!$A921&gt;=Imóveis!$Q$6,Dados!$A921&lt;=Imóveis!$T$6),Imóveis!$S$6-(DATEDIF(Imóveis!$Q$6,Dados!$A921,"m")),0))=0,0,((Imóveis!$N$6/Imóveis!$S$6)+((Imóveis!$N$6-((Imóveis!$S$6-(IF(AND(Dados!$A921&gt;=Imóveis!$Q$6,Dados!$A921&lt;=Imóveis!$T$6),Imóveis!$S$6-(DATEDIF(Imóveis!$Q$6,Dados!$A921,"m")),)))*(Imóveis!$N$6/Imóveis!$S$6)))*Imóveis!$P$6))))*IF(AND(Imóveis!$E$6&gt;0,Dados!$A921&gt;Imóveis!$E$6),0,1)*Imóveis!$I$6</f>
        <v>0</v>
      </c>
      <c r="N921" s="18">
        <f t="shared" si="117"/>
        <v>0</v>
      </c>
      <c r="O921" s="18">
        <f>SUMIFS(Receitas!$F:$F,Receitas!$J:$J,"&lt;="&amp;$A921,Receitas!$L:$L,"&gt;="&amp;$A921,Receitas!$C:$C,O$1,Receitas!$M:$M,"Mensal")+SUMIFS(Receitas!$F:$F,Receitas!$J:$J,"&lt;="&amp;$A921,Receitas!$L:$L,"&gt;="&amp;$A921,Receitas!$C:$C,O$1,Receitas!$M:$M,$B921)</f>
        <v>0</v>
      </c>
      <c r="P921" s="18">
        <f>SUMIFS(Receitas!$F:$F,Receitas!$J:$J,"&lt;="&amp;$A921,Receitas!$L:$L,"&gt;="&amp;$A921,Receitas!$C:$C,P$1,Receitas!$M:$M,"Mensal")+SUMIFS(Receitas!$F:$F,Receitas!$J:$J,"&lt;="&amp;$A921,Receitas!$L:$L,"&gt;="&amp;$A921,Receitas!$C:$C,P$1,Receitas!$M:$M,$B921)</f>
        <v>0</v>
      </c>
      <c r="Q921" s="18">
        <f>SUMIFS(Receitas!$F:$F,Receitas!$J:$J,"&lt;="&amp;$A921,Receitas!$L:$L,"&gt;="&amp;$A921,Receitas!$C:$C,Q$1,Receitas!$M:$M,"Mensal")+SUMIFS(Receitas!$F:$F,Receitas!$J:$J,"&lt;="&amp;$A921,Receitas!$L:$L,"&gt;="&amp;$A921,Receitas!$C:$C,Q$1,Receitas!$M:$M,$B921)</f>
        <v>0</v>
      </c>
      <c r="R921" s="18" cm="1">
        <f t="array" ref="R921">(IF(AND(Membros!$F$2="Sim",A921&lt;=MAX(Membros!$E$2:$E$5)),Membros!K$2,IF(AND(A921&gt;=Membros!J$2,A921&lt;=MAX(Membros!$E$2:$E$5)),Membros!K$2,0))+IF(AND(Membros!$F$3="Sim",A921&lt;=MAX(Membros!$E$2:$E$5)),Membros!K$3,IF(AND(A921&gt;=Membros!J$3,A921&lt;=MAX(Membros!$E$2:$E$5)),Membros!K$3,0)))*IF(AND(COUNTIFS(Tabela3[Tipo],"Provedor",Tabela3[Simulação Seguro],"Sim")=2,A921&gt;=MAX(IF(Tabela3[Tipo]="Dependente",Tabela3[Expectativa de Vida (Data)]))),0,1)</f>
        <v>0</v>
      </c>
      <c r="S921" s="18">
        <f t="shared" si="118"/>
        <v>0</v>
      </c>
      <c r="U921" s="18">
        <f t="shared" ca="1" si="121"/>
        <v>95312840.329096839</v>
      </c>
      <c r="V921" s="18">
        <f>SUMIF(Imóveis!E:E,Dados!A:A,Imóveis!Z:Z)-SUMIF(Imóveis!E:E,Dados!A:A,Imóveis!Y:Y)</f>
        <v>0</v>
      </c>
      <c r="W921" s="18">
        <f>-SUMIF(Projetos!N:N,A921,Projetos!F:F)</f>
        <v>0</v>
      </c>
      <c r="X921" s="18">
        <f t="shared" si="115"/>
        <v>0</v>
      </c>
      <c r="Y921" s="26">
        <f ca="1">(U921*((Indicadores_Economicos!D$2+1)^(1/12)-1))</f>
        <v>312029.43713973742</v>
      </c>
      <c r="Z921" s="18">
        <f t="shared" ca="1" si="119"/>
        <v>95624869.766236573</v>
      </c>
      <c r="AA921" s="18">
        <f ca="1">Auxiliar_Projetos!E921</f>
        <v>7.8825280132039883E-9</v>
      </c>
      <c r="AB921" s="18">
        <f ca="1">Auxiliar_Projetos!K921</f>
        <v>6.0634830870799901E-9</v>
      </c>
      <c r="AC921" s="18">
        <f ca="1">IF(Z921-AA921-AB921&gt;Investimentos!$C$14,Investimentos!$C$14,IF(Z921-AA921-AB921&lt;Investimentos!$C$14,Z921-AA921-AB921,0))</f>
        <v>300000</v>
      </c>
      <c r="AD921" s="18">
        <f t="shared" ca="1" si="120"/>
        <v>95324869.766236559</v>
      </c>
      <c r="AE921" s="18"/>
    </row>
    <row r="922" spans="1:31" x14ac:dyDescent="0.2">
      <c r="A922" s="4">
        <v>73659</v>
      </c>
      <c r="B922" s="5" t="str">
        <f t="shared" si="116"/>
        <v>setembro</v>
      </c>
      <c r="C922" s="5" t="str">
        <f t="shared" si="122"/>
        <v>2101</v>
      </c>
      <c r="D922" s="5">
        <f>SUMIFS(Despesas!$F:$F,Despesas!$J:$J,"&lt;="&amp;$A922,Despesas!$L:$L,"&gt;="&amp;$A922,Despesas!$C:$C,D$1,Despesas!$M:$M,"Mensal")+SUMIFS(Despesas!$F:$F,Despesas!$J:$J,"&lt;="&amp;$A922,Despesas!$L:$L,"&gt;="&amp;$A922,Despesas!$C:$C,D$1,Despesas!$M:$M,$B922)</f>
        <v>0</v>
      </c>
      <c r="E922" s="18">
        <f>SUMIFS(Despesas!$F:$F,Despesas!$J:$J,"&lt;="&amp;$A922,Despesas!$L:$L,"&gt;="&amp;$A922,Despesas!$C:$C,E$1,Despesas!$M:$M,"Mensal")+SUMIFS(Despesas!$F:$F,Despesas!$J:$J,"&lt;="&amp;$A922,Despesas!$L:$L,"&gt;="&amp;$A922,Despesas!$C:$C,E$1,Despesas!$M:$M,$B922)</f>
        <v>0</v>
      </c>
      <c r="F922" s="5">
        <f>SUMIFS(Despesas!$F:$F,Despesas!$J:$J,"&lt;="&amp;$A922,Despesas!$L:$L,"&gt;="&amp;$A922,Despesas!$C:$C,F$1,Despesas!$M:$M,"Mensal")+SUMIFS(Despesas!$F:$F,Despesas!$J:$J,"&lt;="&amp;$A922,Despesas!$L:$L,"&gt;="&amp;$A922,Despesas!$C:$C,F$1,Despesas!$M:$M,$B922)</f>
        <v>0</v>
      </c>
      <c r="G922" s="5">
        <f>SUMIFS(Despesas!$F:$F,Despesas!$J:$J,"&lt;="&amp;$A922,Despesas!$L:$L,"&gt;="&amp;$A922,Despesas!$C:$C,G$1,Despesas!$M:$M,"Mensal")+SUMIFS(Despesas!$F:$F,Despesas!$J:$J,"&lt;="&amp;$A922,Despesas!$L:$L,"&gt;="&amp;$A922,Despesas!$C:$C,G$1,Despesas!$M:$M,$B922)</f>
        <v>0</v>
      </c>
      <c r="H922" s="18">
        <f>SUMIFS(Despesas!$F:$F,Despesas!$J:$J,"&lt;="&amp;$A922,Despesas!$L:$L,"&gt;="&amp;$A922,Despesas!$C:$C,H$1,Despesas!$M:$M,"Mensal")+SUMIFS(Despesas!$F:$F,Despesas!$J:$J,"&lt;="&amp;$A922,Despesas!$L:$L,"&gt;="&amp;$A922,Despesas!$C:$C,H$1,Despesas!$M:$M,$B922)</f>
        <v>0</v>
      </c>
      <c r="I922" s="18">
        <f>IF(Imóveis!$F$2="PRICE",IF(AND(Dados!$A922&gt;=Imóveis!$Q$2,Dados!$A922&lt;=Imóveis!$T$2),Imóveis!$U$2,0),IF((IF(AND(Dados!$A922&gt;=Imóveis!$Q$2,Dados!$A922&lt;=Imóveis!$T$2),Imóveis!$S$2-(DATEDIF(Imóveis!$Q$2,Dados!$A922,"m")),0))=0,0,((Imóveis!$N$2/Imóveis!$S$2)+((Imóveis!$N$2-((Imóveis!$S$2-(IF(AND(Dados!$A922&gt;=Imóveis!$Q$2,Dados!$A922&lt;=Imóveis!$T$2),Imóveis!$S$2-(DATEDIF(Imóveis!$Q$2,Dados!$A922,"m")),)))*(Imóveis!$N$2/Imóveis!$S$2)))*Imóveis!$P$2))))*IF(AND(Imóveis!$E$2&gt;0,Dados!$A922&gt;Imóveis!$E$2),0,1)</f>
        <v>0</v>
      </c>
      <c r="J922" s="18">
        <f>IF(Imóveis!$F$3="PRICE",IF(AND(Dados!$A922&gt;=Imóveis!$Q$3,Dados!$A922&lt;=Imóveis!$T$3),Imóveis!$U$3,0),IF((IF(AND(Dados!$A922&gt;=Imóveis!$Q$3,Dados!$A922&lt;=Imóveis!$T$3),Imóveis!$S$3-(DATEDIF(Imóveis!$Q$3,Dados!$A922,"m")),0))=0,0,((Imóveis!$N$3/Imóveis!$S$3)+((Imóveis!$N$3-((Imóveis!$S$3-(IF(AND(Dados!$A922&gt;=Imóveis!$Q$3,Dados!$A922&lt;=Imóveis!$T$3),Imóveis!$S$3-(DATEDIF(Imóveis!$Q$3,Dados!$A922,"m")),)))*(Imóveis!$N$3/Imóveis!$S$3)))*Imóveis!$P$3))))*IF(AND(Imóveis!$E$3&gt;0,Dados!$A922&gt;Imóveis!$E$3),0,1)</f>
        <v>0</v>
      </c>
      <c r="K922" s="18">
        <f>IF(Imóveis!$F$4="PRICE",IF(AND(Dados!$A922&gt;=Imóveis!$Q$4,Dados!$A922&lt;=Imóveis!$T$4),Imóveis!$U$4,0),IF((IF(AND(Dados!$A922&gt;=Imóveis!$Q$4,Dados!$A922&lt;=Imóveis!$T$4),Imóveis!$S$4-(DATEDIF(Imóveis!$Q$4,Dados!$A922,"m")),0))=0,0,((Imóveis!$N$4/Imóveis!$S$4)+((Imóveis!$N$4-((Imóveis!$S$4-(IF(AND(Dados!$A922&gt;=Imóveis!$Q$4,Dados!$A922&lt;=Imóveis!$T$4),Imóveis!$S$4-(DATEDIF(Imóveis!$Q$4,Dados!$A922,"m")),)))*(Imóveis!$N$4/Imóveis!$S$4)))*Imóveis!$P$4))))*IF(AND(Imóveis!$E$4&gt;0,Dados!$A922&gt;Imóveis!$E$4),0,1)</f>
        <v>0</v>
      </c>
      <c r="L922" s="18">
        <f>IF(Imóveis!$F$5="PRICE",IF(AND(Dados!$A922&gt;=Imóveis!$Q$5,Dados!$A922&lt;=Imóveis!$T$5),Imóveis!$U$5,0),IF((IF(AND(Dados!$A922&gt;=Imóveis!$Q$5,Dados!$A922&lt;=Imóveis!$T$5),Imóveis!$S$5-(DATEDIF(Imóveis!$Q$5,Dados!$A922,"m")),0))=0,0,((Imóveis!$N$5/Imóveis!$S$5)+((Imóveis!$N$5-((Imóveis!$S$5-(IF(AND(Dados!$A922 &gt;=Imóveis!$Q$5,Dados!$A922&lt;=Imóveis!$T$5),Imóveis!$S$5-(DATEDIF(Imóveis!$Q$5,Dados!$A922,"m")),)))*(Imóveis!$N$5/Imóveis!$S$5)))*Imóveis!$P$5))))*IF(AND(Imóveis!$E$5&gt;0,Dados!$A922&gt;Imóveis!$E$5),0,1)*Imóveis!$I$5</f>
        <v>0</v>
      </c>
      <c r="M922" s="18">
        <f>IF(Imóveis!$F$6="PRICE",IF(AND(Dados!$A922&gt;=Imóveis!$Q$6,Dados!$A922&lt;=Imóveis!$T$6),Imóveis!$U$6,0),IF((IF(AND(Dados!$A922&gt;=Imóveis!$Q$6,Dados!$A922&lt;=Imóveis!$T$6),Imóveis!$S$6-(DATEDIF(Imóveis!$Q$6,Dados!$A922,"m")),0))=0,0,((Imóveis!$N$6/Imóveis!$S$6)+((Imóveis!$N$6-((Imóveis!$S$6-(IF(AND(Dados!$A922&gt;=Imóveis!$Q$6,Dados!$A922&lt;=Imóveis!$T$6),Imóveis!$S$6-(DATEDIF(Imóveis!$Q$6,Dados!$A922,"m")),)))*(Imóveis!$N$6/Imóveis!$S$6)))*Imóveis!$P$6))))*IF(AND(Imóveis!$E$6&gt;0,Dados!$A922&gt;Imóveis!$E$6),0,1)*Imóveis!$I$6</f>
        <v>0</v>
      </c>
      <c r="N922" s="18">
        <f t="shared" si="117"/>
        <v>0</v>
      </c>
      <c r="O922" s="18">
        <f>SUMIFS(Receitas!$F:$F,Receitas!$J:$J,"&lt;="&amp;$A922,Receitas!$L:$L,"&gt;="&amp;$A922,Receitas!$C:$C,O$1,Receitas!$M:$M,"Mensal")+SUMIFS(Receitas!$F:$F,Receitas!$J:$J,"&lt;="&amp;$A922,Receitas!$L:$L,"&gt;="&amp;$A922,Receitas!$C:$C,O$1,Receitas!$M:$M,$B922)</f>
        <v>0</v>
      </c>
      <c r="P922" s="18">
        <f>SUMIFS(Receitas!$F:$F,Receitas!$J:$J,"&lt;="&amp;$A922,Receitas!$L:$L,"&gt;="&amp;$A922,Receitas!$C:$C,P$1,Receitas!$M:$M,"Mensal")+SUMIFS(Receitas!$F:$F,Receitas!$J:$J,"&lt;="&amp;$A922,Receitas!$L:$L,"&gt;="&amp;$A922,Receitas!$C:$C,P$1,Receitas!$M:$M,$B922)</f>
        <v>0</v>
      </c>
      <c r="Q922" s="18">
        <f>SUMIFS(Receitas!$F:$F,Receitas!$J:$J,"&lt;="&amp;$A922,Receitas!$L:$L,"&gt;="&amp;$A922,Receitas!$C:$C,Q$1,Receitas!$M:$M,"Mensal")+SUMIFS(Receitas!$F:$F,Receitas!$J:$J,"&lt;="&amp;$A922,Receitas!$L:$L,"&gt;="&amp;$A922,Receitas!$C:$C,Q$1,Receitas!$M:$M,$B922)</f>
        <v>0</v>
      </c>
      <c r="R922" s="18" cm="1">
        <f t="array" ref="R922">(IF(AND(Membros!$F$2="Sim",A922&lt;=MAX(Membros!$E$2:$E$5)),Membros!K$2,IF(AND(A922&gt;=Membros!J$2,A922&lt;=MAX(Membros!$E$2:$E$5)),Membros!K$2,0))+IF(AND(Membros!$F$3="Sim",A922&lt;=MAX(Membros!$E$2:$E$5)),Membros!K$3,IF(AND(A922&gt;=Membros!J$3,A922&lt;=MAX(Membros!$E$2:$E$5)),Membros!K$3,0)))*IF(AND(COUNTIFS(Tabela3[Tipo],"Provedor",Tabela3[Simulação Seguro],"Sim")=2,A922&gt;=MAX(IF(Tabela3[Tipo]="Dependente",Tabela3[Expectativa de Vida (Data)]))),0,1)</f>
        <v>0</v>
      </c>
      <c r="S922" s="18">
        <f t="shared" si="118"/>
        <v>0</v>
      </c>
      <c r="U922" s="18">
        <f t="shared" ca="1" si="121"/>
        <v>95624869.766236573</v>
      </c>
      <c r="V922" s="18">
        <f>SUMIF(Imóveis!E:E,Dados!A:A,Imóveis!Z:Z)-SUMIF(Imóveis!E:E,Dados!A:A,Imóveis!Y:Y)</f>
        <v>0</v>
      </c>
      <c r="W922" s="18">
        <f>-SUMIF(Projetos!N:N,A922,Projetos!F:F)</f>
        <v>0</v>
      </c>
      <c r="X922" s="18">
        <f t="shared" si="115"/>
        <v>0</v>
      </c>
      <c r="Y922" s="26">
        <f ca="1">(U922*((Indicadores_Economicos!D$2+1)^(1/12)-1))</f>
        <v>313050.94032131886</v>
      </c>
      <c r="Z922" s="18">
        <f t="shared" ca="1" si="119"/>
        <v>95937920.7065579</v>
      </c>
      <c r="AA922" s="18">
        <f ca="1">Auxiliar_Projetos!E922</f>
        <v>7.9083333587451122E-9</v>
      </c>
      <c r="AB922" s="18">
        <f ca="1">Auxiliar_Projetos!K922</f>
        <v>6.0833333528808543E-9</v>
      </c>
      <c r="AC922" s="18">
        <f ca="1">IF(Z922-AA922-AB922&gt;Investimentos!$C$14,Investimentos!$C$14,IF(Z922-AA922-AB922&lt;Investimentos!$C$14,Z922-AA922-AB922,0))</f>
        <v>300000</v>
      </c>
      <c r="AD922" s="18">
        <f t="shared" ca="1" si="120"/>
        <v>95637920.706557885</v>
      </c>
      <c r="AE922" s="18"/>
    </row>
    <row r="923" spans="1:31" x14ac:dyDescent="0.2">
      <c r="A923" s="4">
        <v>73689</v>
      </c>
      <c r="B923" s="5" t="str">
        <f t="shared" si="116"/>
        <v>outubro</v>
      </c>
      <c r="C923" s="5" t="str">
        <f t="shared" si="122"/>
        <v>2101</v>
      </c>
      <c r="D923" s="5">
        <f>SUMIFS(Despesas!$F:$F,Despesas!$J:$J,"&lt;="&amp;$A923,Despesas!$L:$L,"&gt;="&amp;$A923,Despesas!$C:$C,D$1,Despesas!$M:$M,"Mensal")+SUMIFS(Despesas!$F:$F,Despesas!$J:$J,"&lt;="&amp;$A923,Despesas!$L:$L,"&gt;="&amp;$A923,Despesas!$C:$C,D$1,Despesas!$M:$M,$B923)</f>
        <v>0</v>
      </c>
      <c r="E923" s="18">
        <f>SUMIFS(Despesas!$F:$F,Despesas!$J:$J,"&lt;="&amp;$A923,Despesas!$L:$L,"&gt;="&amp;$A923,Despesas!$C:$C,E$1,Despesas!$M:$M,"Mensal")+SUMIFS(Despesas!$F:$F,Despesas!$J:$J,"&lt;="&amp;$A923,Despesas!$L:$L,"&gt;="&amp;$A923,Despesas!$C:$C,E$1,Despesas!$M:$M,$B923)</f>
        <v>0</v>
      </c>
      <c r="F923" s="5">
        <f>SUMIFS(Despesas!$F:$F,Despesas!$J:$J,"&lt;="&amp;$A923,Despesas!$L:$L,"&gt;="&amp;$A923,Despesas!$C:$C,F$1,Despesas!$M:$M,"Mensal")+SUMIFS(Despesas!$F:$F,Despesas!$J:$J,"&lt;="&amp;$A923,Despesas!$L:$L,"&gt;="&amp;$A923,Despesas!$C:$C,F$1,Despesas!$M:$M,$B923)</f>
        <v>0</v>
      </c>
      <c r="G923" s="5">
        <f>SUMIFS(Despesas!$F:$F,Despesas!$J:$J,"&lt;="&amp;$A923,Despesas!$L:$L,"&gt;="&amp;$A923,Despesas!$C:$C,G$1,Despesas!$M:$M,"Mensal")+SUMIFS(Despesas!$F:$F,Despesas!$J:$J,"&lt;="&amp;$A923,Despesas!$L:$L,"&gt;="&amp;$A923,Despesas!$C:$C,G$1,Despesas!$M:$M,$B923)</f>
        <v>0</v>
      </c>
      <c r="H923" s="18">
        <f>SUMIFS(Despesas!$F:$F,Despesas!$J:$J,"&lt;="&amp;$A923,Despesas!$L:$L,"&gt;="&amp;$A923,Despesas!$C:$C,H$1,Despesas!$M:$M,"Mensal")+SUMIFS(Despesas!$F:$F,Despesas!$J:$J,"&lt;="&amp;$A923,Despesas!$L:$L,"&gt;="&amp;$A923,Despesas!$C:$C,H$1,Despesas!$M:$M,$B923)</f>
        <v>0</v>
      </c>
      <c r="I923" s="18">
        <f>IF(Imóveis!$F$2="PRICE",IF(AND(Dados!$A923&gt;=Imóveis!$Q$2,Dados!$A923&lt;=Imóveis!$T$2),Imóveis!$U$2,0),IF((IF(AND(Dados!$A923&gt;=Imóveis!$Q$2,Dados!$A923&lt;=Imóveis!$T$2),Imóveis!$S$2-(DATEDIF(Imóveis!$Q$2,Dados!$A923,"m")),0))=0,0,((Imóveis!$N$2/Imóveis!$S$2)+((Imóveis!$N$2-((Imóveis!$S$2-(IF(AND(Dados!$A923&gt;=Imóveis!$Q$2,Dados!$A923&lt;=Imóveis!$T$2),Imóveis!$S$2-(DATEDIF(Imóveis!$Q$2,Dados!$A923,"m")),)))*(Imóveis!$N$2/Imóveis!$S$2)))*Imóveis!$P$2))))*IF(AND(Imóveis!$E$2&gt;0,Dados!$A923&gt;Imóveis!$E$2),0,1)</f>
        <v>0</v>
      </c>
      <c r="J923" s="18">
        <f>IF(Imóveis!$F$3="PRICE",IF(AND(Dados!$A923&gt;=Imóveis!$Q$3,Dados!$A923&lt;=Imóveis!$T$3),Imóveis!$U$3,0),IF((IF(AND(Dados!$A923&gt;=Imóveis!$Q$3,Dados!$A923&lt;=Imóveis!$T$3),Imóveis!$S$3-(DATEDIF(Imóveis!$Q$3,Dados!$A923,"m")),0))=0,0,((Imóveis!$N$3/Imóveis!$S$3)+((Imóveis!$N$3-((Imóveis!$S$3-(IF(AND(Dados!$A923&gt;=Imóveis!$Q$3,Dados!$A923&lt;=Imóveis!$T$3),Imóveis!$S$3-(DATEDIF(Imóveis!$Q$3,Dados!$A923,"m")),)))*(Imóveis!$N$3/Imóveis!$S$3)))*Imóveis!$P$3))))*IF(AND(Imóveis!$E$3&gt;0,Dados!$A923&gt;Imóveis!$E$3),0,1)</f>
        <v>0</v>
      </c>
      <c r="K923" s="18">
        <f>IF(Imóveis!$F$4="PRICE",IF(AND(Dados!$A923&gt;=Imóveis!$Q$4,Dados!$A923&lt;=Imóveis!$T$4),Imóveis!$U$4,0),IF((IF(AND(Dados!$A923&gt;=Imóveis!$Q$4,Dados!$A923&lt;=Imóveis!$T$4),Imóveis!$S$4-(DATEDIF(Imóveis!$Q$4,Dados!$A923,"m")),0))=0,0,((Imóveis!$N$4/Imóveis!$S$4)+((Imóveis!$N$4-((Imóveis!$S$4-(IF(AND(Dados!$A923&gt;=Imóveis!$Q$4,Dados!$A923&lt;=Imóveis!$T$4),Imóveis!$S$4-(DATEDIF(Imóveis!$Q$4,Dados!$A923,"m")),)))*(Imóveis!$N$4/Imóveis!$S$4)))*Imóveis!$P$4))))*IF(AND(Imóveis!$E$4&gt;0,Dados!$A923&gt;Imóveis!$E$4),0,1)</f>
        <v>0</v>
      </c>
      <c r="L923" s="18">
        <f>IF(Imóveis!$F$5="PRICE",IF(AND(Dados!$A923&gt;=Imóveis!$Q$5,Dados!$A923&lt;=Imóveis!$T$5),Imóveis!$U$5,0),IF((IF(AND(Dados!$A923&gt;=Imóveis!$Q$5,Dados!$A923&lt;=Imóveis!$T$5),Imóveis!$S$5-(DATEDIF(Imóveis!$Q$5,Dados!$A923,"m")),0))=0,0,((Imóveis!$N$5/Imóveis!$S$5)+((Imóveis!$N$5-((Imóveis!$S$5-(IF(AND(Dados!$A923 &gt;=Imóveis!$Q$5,Dados!$A923&lt;=Imóveis!$T$5),Imóveis!$S$5-(DATEDIF(Imóveis!$Q$5,Dados!$A923,"m")),)))*(Imóveis!$N$5/Imóveis!$S$5)))*Imóveis!$P$5))))*IF(AND(Imóveis!$E$5&gt;0,Dados!$A923&gt;Imóveis!$E$5),0,1)*Imóveis!$I$5</f>
        <v>0</v>
      </c>
      <c r="M923" s="18">
        <f>IF(Imóveis!$F$6="PRICE",IF(AND(Dados!$A923&gt;=Imóveis!$Q$6,Dados!$A923&lt;=Imóveis!$T$6),Imóveis!$U$6,0),IF((IF(AND(Dados!$A923&gt;=Imóveis!$Q$6,Dados!$A923&lt;=Imóveis!$T$6),Imóveis!$S$6-(DATEDIF(Imóveis!$Q$6,Dados!$A923,"m")),0))=0,0,((Imóveis!$N$6/Imóveis!$S$6)+((Imóveis!$N$6-((Imóveis!$S$6-(IF(AND(Dados!$A923&gt;=Imóveis!$Q$6,Dados!$A923&lt;=Imóveis!$T$6),Imóveis!$S$6-(DATEDIF(Imóveis!$Q$6,Dados!$A923,"m")),)))*(Imóveis!$N$6/Imóveis!$S$6)))*Imóveis!$P$6))))*IF(AND(Imóveis!$E$6&gt;0,Dados!$A923&gt;Imóveis!$E$6),0,1)*Imóveis!$I$6</f>
        <v>0</v>
      </c>
      <c r="N923" s="18">
        <f t="shared" si="117"/>
        <v>0</v>
      </c>
      <c r="O923" s="18">
        <f>SUMIFS(Receitas!$F:$F,Receitas!$J:$J,"&lt;="&amp;$A923,Receitas!$L:$L,"&gt;="&amp;$A923,Receitas!$C:$C,O$1,Receitas!$M:$M,"Mensal")+SUMIFS(Receitas!$F:$F,Receitas!$J:$J,"&lt;="&amp;$A923,Receitas!$L:$L,"&gt;="&amp;$A923,Receitas!$C:$C,O$1,Receitas!$M:$M,$B923)</f>
        <v>0</v>
      </c>
      <c r="P923" s="18">
        <f>SUMIFS(Receitas!$F:$F,Receitas!$J:$J,"&lt;="&amp;$A923,Receitas!$L:$L,"&gt;="&amp;$A923,Receitas!$C:$C,P$1,Receitas!$M:$M,"Mensal")+SUMIFS(Receitas!$F:$F,Receitas!$J:$J,"&lt;="&amp;$A923,Receitas!$L:$L,"&gt;="&amp;$A923,Receitas!$C:$C,P$1,Receitas!$M:$M,$B923)</f>
        <v>0</v>
      </c>
      <c r="Q923" s="18">
        <f>SUMIFS(Receitas!$F:$F,Receitas!$J:$J,"&lt;="&amp;$A923,Receitas!$L:$L,"&gt;="&amp;$A923,Receitas!$C:$C,Q$1,Receitas!$M:$M,"Mensal")+SUMIFS(Receitas!$F:$F,Receitas!$J:$J,"&lt;="&amp;$A923,Receitas!$L:$L,"&gt;="&amp;$A923,Receitas!$C:$C,Q$1,Receitas!$M:$M,$B923)</f>
        <v>0</v>
      </c>
      <c r="R923" s="18" cm="1">
        <f t="array" ref="R923">(IF(AND(Membros!$F$2="Sim",A923&lt;=MAX(Membros!$E$2:$E$5)),Membros!K$2,IF(AND(A923&gt;=Membros!J$2,A923&lt;=MAX(Membros!$E$2:$E$5)),Membros!K$2,0))+IF(AND(Membros!$F$3="Sim",A923&lt;=MAX(Membros!$E$2:$E$5)),Membros!K$3,IF(AND(A923&gt;=Membros!J$3,A923&lt;=MAX(Membros!$E$2:$E$5)),Membros!K$3,0)))*IF(AND(COUNTIFS(Tabela3[Tipo],"Provedor",Tabela3[Simulação Seguro],"Sim")=2,A923&gt;=MAX(IF(Tabela3[Tipo]="Dependente",Tabela3[Expectativa de Vida (Data)]))),0,1)</f>
        <v>0</v>
      </c>
      <c r="S923" s="18">
        <f t="shared" si="118"/>
        <v>0</v>
      </c>
      <c r="U923" s="18">
        <f t="shared" ca="1" si="121"/>
        <v>95937920.7065579</v>
      </c>
      <c r="V923" s="18">
        <f>SUMIF(Imóveis!E:E,Dados!A:A,Imóveis!Z:Z)-SUMIF(Imóveis!E:E,Dados!A:A,Imóveis!Y:Y)</f>
        <v>0</v>
      </c>
      <c r="W923" s="18">
        <f>-SUMIF(Projetos!N:N,A923,Projetos!F:F)</f>
        <v>0</v>
      </c>
      <c r="X923" s="18">
        <f t="shared" si="115"/>
        <v>0</v>
      </c>
      <c r="Y923" s="26">
        <f ca="1">(U923*((Indicadores_Economicos!D$2+1)^(1/12)-1))</f>
        <v>314075.78763850359</v>
      </c>
      <c r="Z923" s="18">
        <f t="shared" ca="1" si="119"/>
        <v>96251996.4941964</v>
      </c>
      <c r="AA923" s="18">
        <f ca="1">Auxiliar_Projetos!E923</f>
        <v>7.9342231842725273E-9</v>
      </c>
      <c r="AB923" s="18">
        <f ca="1">Auxiliar_Projetos!K923</f>
        <v>6.1032486032865581E-9</v>
      </c>
      <c r="AC923" s="18">
        <f ca="1">IF(Z923-AA923-AB923&gt;Investimentos!$C$14,Investimentos!$C$14,IF(Z923-AA923-AB923&lt;Investimentos!$C$14,Z923-AA923-AB923,0))</f>
        <v>300000</v>
      </c>
      <c r="AD923" s="18">
        <f t="shared" ca="1" si="120"/>
        <v>95951996.494196385</v>
      </c>
      <c r="AE923" s="18"/>
    </row>
    <row r="924" spans="1:31" x14ac:dyDescent="0.2">
      <c r="A924" s="4">
        <v>73720</v>
      </c>
      <c r="B924" s="5" t="str">
        <f t="shared" si="116"/>
        <v>novembro</v>
      </c>
      <c r="C924" s="5" t="str">
        <f t="shared" si="122"/>
        <v>2101</v>
      </c>
      <c r="D924" s="5">
        <f>SUMIFS(Despesas!$F:$F,Despesas!$J:$J,"&lt;="&amp;$A924,Despesas!$L:$L,"&gt;="&amp;$A924,Despesas!$C:$C,D$1,Despesas!$M:$M,"Mensal")+SUMIFS(Despesas!$F:$F,Despesas!$J:$J,"&lt;="&amp;$A924,Despesas!$L:$L,"&gt;="&amp;$A924,Despesas!$C:$C,D$1,Despesas!$M:$M,$B924)</f>
        <v>0</v>
      </c>
      <c r="E924" s="18">
        <f>SUMIFS(Despesas!$F:$F,Despesas!$J:$J,"&lt;="&amp;$A924,Despesas!$L:$L,"&gt;="&amp;$A924,Despesas!$C:$C,E$1,Despesas!$M:$M,"Mensal")+SUMIFS(Despesas!$F:$F,Despesas!$J:$J,"&lt;="&amp;$A924,Despesas!$L:$L,"&gt;="&amp;$A924,Despesas!$C:$C,E$1,Despesas!$M:$M,$B924)</f>
        <v>0</v>
      </c>
      <c r="F924" s="5">
        <f>SUMIFS(Despesas!$F:$F,Despesas!$J:$J,"&lt;="&amp;$A924,Despesas!$L:$L,"&gt;="&amp;$A924,Despesas!$C:$C,F$1,Despesas!$M:$M,"Mensal")+SUMIFS(Despesas!$F:$F,Despesas!$J:$J,"&lt;="&amp;$A924,Despesas!$L:$L,"&gt;="&amp;$A924,Despesas!$C:$C,F$1,Despesas!$M:$M,$B924)</f>
        <v>0</v>
      </c>
      <c r="G924" s="5">
        <f>SUMIFS(Despesas!$F:$F,Despesas!$J:$J,"&lt;="&amp;$A924,Despesas!$L:$L,"&gt;="&amp;$A924,Despesas!$C:$C,G$1,Despesas!$M:$M,"Mensal")+SUMIFS(Despesas!$F:$F,Despesas!$J:$J,"&lt;="&amp;$A924,Despesas!$L:$L,"&gt;="&amp;$A924,Despesas!$C:$C,G$1,Despesas!$M:$M,$B924)</f>
        <v>0</v>
      </c>
      <c r="H924" s="18">
        <f>SUMIFS(Despesas!$F:$F,Despesas!$J:$J,"&lt;="&amp;$A924,Despesas!$L:$L,"&gt;="&amp;$A924,Despesas!$C:$C,H$1,Despesas!$M:$M,"Mensal")+SUMIFS(Despesas!$F:$F,Despesas!$J:$J,"&lt;="&amp;$A924,Despesas!$L:$L,"&gt;="&amp;$A924,Despesas!$C:$C,H$1,Despesas!$M:$M,$B924)</f>
        <v>0</v>
      </c>
      <c r="I924" s="18">
        <f>IF(Imóveis!$F$2="PRICE",IF(AND(Dados!$A924&gt;=Imóveis!$Q$2,Dados!$A924&lt;=Imóveis!$T$2),Imóveis!$U$2,0),IF((IF(AND(Dados!$A924&gt;=Imóveis!$Q$2,Dados!$A924&lt;=Imóveis!$T$2),Imóveis!$S$2-(DATEDIF(Imóveis!$Q$2,Dados!$A924,"m")),0))=0,0,((Imóveis!$N$2/Imóveis!$S$2)+((Imóveis!$N$2-((Imóveis!$S$2-(IF(AND(Dados!$A924&gt;=Imóveis!$Q$2,Dados!$A924&lt;=Imóveis!$T$2),Imóveis!$S$2-(DATEDIF(Imóveis!$Q$2,Dados!$A924,"m")),)))*(Imóveis!$N$2/Imóveis!$S$2)))*Imóveis!$P$2))))*IF(AND(Imóveis!$E$2&gt;0,Dados!$A924&gt;Imóveis!$E$2),0,1)</f>
        <v>0</v>
      </c>
      <c r="J924" s="18">
        <f>IF(Imóveis!$F$3="PRICE",IF(AND(Dados!$A924&gt;=Imóveis!$Q$3,Dados!$A924&lt;=Imóveis!$T$3),Imóveis!$U$3,0),IF((IF(AND(Dados!$A924&gt;=Imóveis!$Q$3,Dados!$A924&lt;=Imóveis!$T$3),Imóveis!$S$3-(DATEDIF(Imóveis!$Q$3,Dados!$A924,"m")),0))=0,0,((Imóveis!$N$3/Imóveis!$S$3)+((Imóveis!$N$3-((Imóveis!$S$3-(IF(AND(Dados!$A924&gt;=Imóveis!$Q$3,Dados!$A924&lt;=Imóveis!$T$3),Imóveis!$S$3-(DATEDIF(Imóveis!$Q$3,Dados!$A924,"m")),)))*(Imóveis!$N$3/Imóveis!$S$3)))*Imóveis!$P$3))))*IF(AND(Imóveis!$E$3&gt;0,Dados!$A924&gt;Imóveis!$E$3),0,1)</f>
        <v>0</v>
      </c>
      <c r="K924" s="18">
        <f>IF(Imóveis!$F$4="PRICE",IF(AND(Dados!$A924&gt;=Imóveis!$Q$4,Dados!$A924&lt;=Imóveis!$T$4),Imóveis!$U$4,0),IF((IF(AND(Dados!$A924&gt;=Imóveis!$Q$4,Dados!$A924&lt;=Imóveis!$T$4),Imóveis!$S$4-(DATEDIF(Imóveis!$Q$4,Dados!$A924,"m")),0))=0,0,((Imóveis!$N$4/Imóveis!$S$4)+((Imóveis!$N$4-((Imóveis!$S$4-(IF(AND(Dados!$A924&gt;=Imóveis!$Q$4,Dados!$A924&lt;=Imóveis!$T$4),Imóveis!$S$4-(DATEDIF(Imóveis!$Q$4,Dados!$A924,"m")),)))*(Imóveis!$N$4/Imóveis!$S$4)))*Imóveis!$P$4))))*IF(AND(Imóveis!$E$4&gt;0,Dados!$A924&gt;Imóveis!$E$4),0,1)</f>
        <v>0</v>
      </c>
      <c r="L924" s="18">
        <f>IF(Imóveis!$F$5="PRICE",IF(AND(Dados!$A924&gt;=Imóveis!$Q$5,Dados!$A924&lt;=Imóveis!$T$5),Imóveis!$U$5,0),IF((IF(AND(Dados!$A924&gt;=Imóveis!$Q$5,Dados!$A924&lt;=Imóveis!$T$5),Imóveis!$S$5-(DATEDIF(Imóveis!$Q$5,Dados!$A924,"m")),0))=0,0,((Imóveis!$N$5/Imóveis!$S$5)+((Imóveis!$N$5-((Imóveis!$S$5-(IF(AND(Dados!$A924 &gt;=Imóveis!$Q$5,Dados!$A924&lt;=Imóveis!$T$5),Imóveis!$S$5-(DATEDIF(Imóveis!$Q$5,Dados!$A924,"m")),)))*(Imóveis!$N$5/Imóveis!$S$5)))*Imóveis!$P$5))))*IF(AND(Imóveis!$E$5&gt;0,Dados!$A924&gt;Imóveis!$E$5),0,1)*Imóveis!$I$5</f>
        <v>0</v>
      </c>
      <c r="M924" s="18">
        <f>IF(Imóveis!$F$6="PRICE",IF(AND(Dados!$A924&gt;=Imóveis!$Q$6,Dados!$A924&lt;=Imóveis!$T$6),Imóveis!$U$6,0),IF((IF(AND(Dados!$A924&gt;=Imóveis!$Q$6,Dados!$A924&lt;=Imóveis!$T$6),Imóveis!$S$6-(DATEDIF(Imóveis!$Q$6,Dados!$A924,"m")),0))=0,0,((Imóveis!$N$6/Imóveis!$S$6)+((Imóveis!$N$6-((Imóveis!$S$6-(IF(AND(Dados!$A924&gt;=Imóveis!$Q$6,Dados!$A924&lt;=Imóveis!$T$6),Imóveis!$S$6-(DATEDIF(Imóveis!$Q$6,Dados!$A924,"m")),)))*(Imóveis!$N$6/Imóveis!$S$6)))*Imóveis!$P$6))))*IF(AND(Imóveis!$E$6&gt;0,Dados!$A924&gt;Imóveis!$E$6),0,1)*Imóveis!$I$6</f>
        <v>0</v>
      </c>
      <c r="N924" s="18">
        <f t="shared" si="117"/>
        <v>0</v>
      </c>
      <c r="O924" s="18">
        <f>SUMIFS(Receitas!$F:$F,Receitas!$J:$J,"&lt;="&amp;$A924,Receitas!$L:$L,"&gt;="&amp;$A924,Receitas!$C:$C,O$1,Receitas!$M:$M,"Mensal")+SUMIFS(Receitas!$F:$F,Receitas!$J:$J,"&lt;="&amp;$A924,Receitas!$L:$L,"&gt;="&amp;$A924,Receitas!$C:$C,O$1,Receitas!$M:$M,$B924)</f>
        <v>0</v>
      </c>
      <c r="P924" s="18">
        <f>SUMIFS(Receitas!$F:$F,Receitas!$J:$J,"&lt;="&amp;$A924,Receitas!$L:$L,"&gt;="&amp;$A924,Receitas!$C:$C,P$1,Receitas!$M:$M,"Mensal")+SUMIFS(Receitas!$F:$F,Receitas!$J:$J,"&lt;="&amp;$A924,Receitas!$L:$L,"&gt;="&amp;$A924,Receitas!$C:$C,P$1,Receitas!$M:$M,$B924)</f>
        <v>0</v>
      </c>
      <c r="Q924" s="18">
        <f>SUMIFS(Receitas!$F:$F,Receitas!$J:$J,"&lt;="&amp;$A924,Receitas!$L:$L,"&gt;="&amp;$A924,Receitas!$C:$C,Q$1,Receitas!$M:$M,"Mensal")+SUMIFS(Receitas!$F:$F,Receitas!$J:$J,"&lt;="&amp;$A924,Receitas!$L:$L,"&gt;="&amp;$A924,Receitas!$C:$C,Q$1,Receitas!$M:$M,$B924)</f>
        <v>0</v>
      </c>
      <c r="R924" s="18" cm="1">
        <f t="array" ref="R924">(IF(AND(Membros!$F$2="Sim",A924&lt;=MAX(Membros!$E$2:$E$5)),Membros!K$2,IF(AND(A924&gt;=Membros!J$2,A924&lt;=MAX(Membros!$E$2:$E$5)),Membros!K$2,0))+IF(AND(Membros!$F$3="Sim",A924&lt;=MAX(Membros!$E$2:$E$5)),Membros!K$3,IF(AND(A924&gt;=Membros!J$3,A924&lt;=MAX(Membros!$E$2:$E$5)),Membros!K$3,0)))*IF(AND(COUNTIFS(Tabela3[Tipo],"Provedor",Tabela3[Simulação Seguro],"Sim")=2,A924&gt;=MAX(IF(Tabela3[Tipo]="Dependente",Tabela3[Expectativa de Vida (Data)]))),0,1)</f>
        <v>0</v>
      </c>
      <c r="S924" s="18">
        <f t="shared" si="118"/>
        <v>0</v>
      </c>
      <c r="U924" s="18">
        <f t="shared" ca="1" si="121"/>
        <v>96251996.4941964</v>
      </c>
      <c r="V924" s="18">
        <f>SUMIF(Imóveis!E:E,Dados!A:A,Imóveis!Z:Z)-SUMIF(Imóveis!E:E,Dados!A:A,Imóveis!Y:Y)</f>
        <v>0</v>
      </c>
      <c r="W924" s="18">
        <f>-SUMIF(Projetos!N:N,A924,Projetos!F:F)</f>
        <v>0</v>
      </c>
      <c r="X924" s="18">
        <f t="shared" si="115"/>
        <v>0</v>
      </c>
      <c r="Y924" s="26">
        <f ca="1">(U924*((Indicadores_Economicos!D$2+1)^(1/12)-1))</f>
        <v>315103.99003912118</v>
      </c>
      <c r="Z924" s="18">
        <f t="shared" ca="1" si="119"/>
        <v>96567100.484235525</v>
      </c>
      <c r="AA924" s="18">
        <f ca="1">Auxiliar_Projetos!E924</f>
        <v>7.9601977663517254E-9</v>
      </c>
      <c r="AB924" s="18">
        <f ca="1">Auxiliar_Projetos!K924</f>
        <v>6.1232290510397874E-9</v>
      </c>
      <c r="AC924" s="18">
        <f ca="1">IF(Z924-AA924-AB924&gt;Investimentos!$C$14,Investimentos!$C$14,IF(Z924-AA924-AB924&lt;Investimentos!$C$14,Z924-AA924-AB924,0))</f>
        <v>300000</v>
      </c>
      <c r="AD924" s="18">
        <f t="shared" ca="1" si="120"/>
        <v>96267100.48423551</v>
      </c>
      <c r="AE924" s="18"/>
    </row>
    <row r="925" spans="1:31" x14ac:dyDescent="0.2">
      <c r="A925" s="4">
        <v>73750</v>
      </c>
      <c r="B925" s="5" t="str">
        <f t="shared" si="116"/>
        <v>dezembro</v>
      </c>
      <c r="C925" s="5" t="str">
        <f t="shared" si="122"/>
        <v>2101</v>
      </c>
      <c r="D925" s="5">
        <f>SUMIFS(Despesas!$F:$F,Despesas!$J:$J,"&lt;="&amp;$A925,Despesas!$L:$L,"&gt;="&amp;$A925,Despesas!$C:$C,D$1,Despesas!$M:$M,"Mensal")+SUMIFS(Despesas!$F:$F,Despesas!$J:$J,"&lt;="&amp;$A925,Despesas!$L:$L,"&gt;="&amp;$A925,Despesas!$C:$C,D$1,Despesas!$M:$M,$B925)</f>
        <v>0</v>
      </c>
      <c r="E925" s="18">
        <f>SUMIFS(Despesas!$F:$F,Despesas!$J:$J,"&lt;="&amp;$A925,Despesas!$L:$L,"&gt;="&amp;$A925,Despesas!$C:$C,E$1,Despesas!$M:$M,"Mensal")+SUMIFS(Despesas!$F:$F,Despesas!$J:$J,"&lt;="&amp;$A925,Despesas!$L:$L,"&gt;="&amp;$A925,Despesas!$C:$C,E$1,Despesas!$M:$M,$B925)</f>
        <v>0</v>
      </c>
      <c r="F925" s="5">
        <f>SUMIFS(Despesas!$F:$F,Despesas!$J:$J,"&lt;="&amp;$A925,Despesas!$L:$L,"&gt;="&amp;$A925,Despesas!$C:$C,F$1,Despesas!$M:$M,"Mensal")+SUMIFS(Despesas!$F:$F,Despesas!$J:$J,"&lt;="&amp;$A925,Despesas!$L:$L,"&gt;="&amp;$A925,Despesas!$C:$C,F$1,Despesas!$M:$M,$B925)</f>
        <v>0</v>
      </c>
      <c r="G925" s="5">
        <f>SUMIFS(Despesas!$F:$F,Despesas!$J:$J,"&lt;="&amp;$A925,Despesas!$L:$L,"&gt;="&amp;$A925,Despesas!$C:$C,G$1,Despesas!$M:$M,"Mensal")+SUMIFS(Despesas!$F:$F,Despesas!$J:$J,"&lt;="&amp;$A925,Despesas!$L:$L,"&gt;="&amp;$A925,Despesas!$C:$C,G$1,Despesas!$M:$M,$B925)</f>
        <v>0</v>
      </c>
      <c r="H925" s="18">
        <f>SUMIFS(Despesas!$F:$F,Despesas!$J:$J,"&lt;="&amp;$A925,Despesas!$L:$L,"&gt;="&amp;$A925,Despesas!$C:$C,H$1,Despesas!$M:$M,"Mensal")+SUMIFS(Despesas!$F:$F,Despesas!$J:$J,"&lt;="&amp;$A925,Despesas!$L:$L,"&gt;="&amp;$A925,Despesas!$C:$C,H$1,Despesas!$M:$M,$B925)</f>
        <v>0</v>
      </c>
      <c r="I925" s="18">
        <f>IF(Imóveis!$F$2="PRICE",IF(AND(Dados!$A925&gt;=Imóveis!$Q$2,Dados!$A925&lt;=Imóveis!$T$2),Imóveis!$U$2,0),IF((IF(AND(Dados!$A925&gt;=Imóveis!$Q$2,Dados!$A925&lt;=Imóveis!$T$2),Imóveis!$S$2-(DATEDIF(Imóveis!$Q$2,Dados!$A925,"m")),0))=0,0,((Imóveis!$N$2/Imóveis!$S$2)+((Imóveis!$N$2-((Imóveis!$S$2-(IF(AND(Dados!$A925&gt;=Imóveis!$Q$2,Dados!$A925&lt;=Imóveis!$T$2),Imóveis!$S$2-(DATEDIF(Imóveis!$Q$2,Dados!$A925,"m")),)))*(Imóveis!$N$2/Imóveis!$S$2)))*Imóveis!$P$2))))*IF(AND(Imóveis!$E$2&gt;0,Dados!$A925&gt;Imóveis!$E$2),0,1)</f>
        <v>0</v>
      </c>
      <c r="J925" s="18">
        <f>IF(Imóveis!$F$3="PRICE",IF(AND(Dados!$A925&gt;=Imóveis!$Q$3,Dados!$A925&lt;=Imóveis!$T$3),Imóveis!$U$3,0),IF((IF(AND(Dados!$A925&gt;=Imóveis!$Q$3,Dados!$A925&lt;=Imóveis!$T$3),Imóveis!$S$3-(DATEDIF(Imóveis!$Q$3,Dados!$A925,"m")),0))=0,0,((Imóveis!$N$3/Imóveis!$S$3)+((Imóveis!$N$3-((Imóveis!$S$3-(IF(AND(Dados!$A925&gt;=Imóveis!$Q$3,Dados!$A925&lt;=Imóveis!$T$3),Imóveis!$S$3-(DATEDIF(Imóveis!$Q$3,Dados!$A925,"m")),)))*(Imóveis!$N$3/Imóveis!$S$3)))*Imóveis!$P$3))))*IF(AND(Imóveis!$E$3&gt;0,Dados!$A925&gt;Imóveis!$E$3),0,1)</f>
        <v>0</v>
      </c>
      <c r="K925" s="18">
        <f>IF(Imóveis!$F$4="PRICE",IF(AND(Dados!$A925&gt;=Imóveis!$Q$4,Dados!$A925&lt;=Imóveis!$T$4),Imóveis!$U$4,0),IF((IF(AND(Dados!$A925&gt;=Imóveis!$Q$4,Dados!$A925&lt;=Imóveis!$T$4),Imóveis!$S$4-(DATEDIF(Imóveis!$Q$4,Dados!$A925,"m")),0))=0,0,((Imóveis!$N$4/Imóveis!$S$4)+((Imóveis!$N$4-((Imóveis!$S$4-(IF(AND(Dados!$A925&gt;=Imóveis!$Q$4,Dados!$A925&lt;=Imóveis!$T$4),Imóveis!$S$4-(DATEDIF(Imóveis!$Q$4,Dados!$A925,"m")),)))*(Imóveis!$N$4/Imóveis!$S$4)))*Imóveis!$P$4))))*IF(AND(Imóveis!$E$4&gt;0,Dados!$A925&gt;Imóveis!$E$4),0,1)</f>
        <v>0</v>
      </c>
      <c r="L925" s="18">
        <f>IF(Imóveis!$F$5="PRICE",IF(AND(Dados!$A925&gt;=Imóveis!$Q$5,Dados!$A925&lt;=Imóveis!$T$5),Imóveis!$U$5,0),IF((IF(AND(Dados!$A925&gt;=Imóveis!$Q$5,Dados!$A925&lt;=Imóveis!$T$5),Imóveis!$S$5-(DATEDIF(Imóveis!$Q$5,Dados!$A925,"m")),0))=0,0,((Imóveis!$N$5/Imóveis!$S$5)+((Imóveis!$N$5-((Imóveis!$S$5-(IF(AND(Dados!$A925 &gt;=Imóveis!$Q$5,Dados!$A925&lt;=Imóveis!$T$5),Imóveis!$S$5-(DATEDIF(Imóveis!$Q$5,Dados!$A925,"m")),)))*(Imóveis!$N$5/Imóveis!$S$5)))*Imóveis!$P$5))))*IF(AND(Imóveis!$E$5&gt;0,Dados!$A925&gt;Imóveis!$E$5),0,1)*Imóveis!$I$5</f>
        <v>0</v>
      </c>
      <c r="M925" s="18">
        <f>IF(Imóveis!$F$6="PRICE",IF(AND(Dados!$A925&gt;=Imóveis!$Q$6,Dados!$A925&lt;=Imóveis!$T$6),Imóveis!$U$6,0),IF((IF(AND(Dados!$A925&gt;=Imóveis!$Q$6,Dados!$A925&lt;=Imóveis!$T$6),Imóveis!$S$6-(DATEDIF(Imóveis!$Q$6,Dados!$A925,"m")),0))=0,0,((Imóveis!$N$6/Imóveis!$S$6)+((Imóveis!$N$6-((Imóveis!$S$6-(IF(AND(Dados!$A925&gt;=Imóveis!$Q$6,Dados!$A925&lt;=Imóveis!$T$6),Imóveis!$S$6-(DATEDIF(Imóveis!$Q$6,Dados!$A925,"m")),)))*(Imóveis!$N$6/Imóveis!$S$6)))*Imóveis!$P$6))))*IF(AND(Imóveis!$E$6&gt;0,Dados!$A925&gt;Imóveis!$E$6),0,1)*Imóveis!$I$6</f>
        <v>0</v>
      </c>
      <c r="N925" s="18">
        <f t="shared" si="117"/>
        <v>0</v>
      </c>
      <c r="O925" s="18">
        <f>SUMIFS(Receitas!$F:$F,Receitas!$J:$J,"&lt;="&amp;$A925,Receitas!$L:$L,"&gt;="&amp;$A925,Receitas!$C:$C,O$1,Receitas!$M:$M,"Mensal")+SUMIFS(Receitas!$F:$F,Receitas!$J:$J,"&lt;="&amp;$A925,Receitas!$L:$L,"&gt;="&amp;$A925,Receitas!$C:$C,O$1,Receitas!$M:$M,$B925)</f>
        <v>0</v>
      </c>
      <c r="P925" s="18">
        <f>SUMIFS(Receitas!$F:$F,Receitas!$J:$J,"&lt;="&amp;$A925,Receitas!$L:$L,"&gt;="&amp;$A925,Receitas!$C:$C,P$1,Receitas!$M:$M,"Mensal")+SUMIFS(Receitas!$F:$F,Receitas!$J:$J,"&lt;="&amp;$A925,Receitas!$L:$L,"&gt;="&amp;$A925,Receitas!$C:$C,P$1,Receitas!$M:$M,$B925)</f>
        <v>0</v>
      </c>
      <c r="Q925" s="18">
        <f>SUMIFS(Receitas!$F:$F,Receitas!$J:$J,"&lt;="&amp;$A925,Receitas!$L:$L,"&gt;="&amp;$A925,Receitas!$C:$C,Q$1,Receitas!$M:$M,"Mensal")+SUMIFS(Receitas!$F:$F,Receitas!$J:$J,"&lt;="&amp;$A925,Receitas!$L:$L,"&gt;="&amp;$A925,Receitas!$C:$C,Q$1,Receitas!$M:$M,$B925)</f>
        <v>0</v>
      </c>
      <c r="R925" s="18" cm="1">
        <f t="array" ref="R925">(IF(AND(Membros!$F$2="Sim",A925&lt;=MAX(Membros!$E$2:$E$5)),Membros!K$2,IF(AND(A925&gt;=Membros!J$2,A925&lt;=MAX(Membros!$E$2:$E$5)),Membros!K$2,0))+IF(AND(Membros!$F$3="Sim",A925&lt;=MAX(Membros!$E$2:$E$5)),Membros!K$3,IF(AND(A925&gt;=Membros!J$3,A925&lt;=MAX(Membros!$E$2:$E$5)),Membros!K$3,0)))*IF(AND(COUNTIFS(Tabela3[Tipo],"Provedor",Tabela3[Simulação Seguro],"Sim")=2,A925&gt;=MAX(IF(Tabela3[Tipo]="Dependente",Tabela3[Expectativa de Vida (Data)]))),0,1)</f>
        <v>0</v>
      </c>
      <c r="S925" s="18">
        <f t="shared" si="118"/>
        <v>0</v>
      </c>
      <c r="U925" s="18">
        <f t="shared" ca="1" si="121"/>
        <v>96567100.484235525</v>
      </c>
      <c r="V925" s="18">
        <f>SUMIF(Imóveis!E:E,Dados!A:A,Imóveis!Z:Z)-SUMIF(Imóveis!E:E,Dados!A:A,Imóveis!Y:Y)</f>
        <v>0</v>
      </c>
      <c r="W925" s="18">
        <f>-SUMIF(Projetos!N:N,A925,Projetos!F:F)</f>
        <v>0</v>
      </c>
      <c r="X925" s="18">
        <f t="shared" si="115"/>
        <v>0</v>
      </c>
      <c r="Y925" s="26">
        <f ca="1">(U925*((Indicadores_Economicos!D$2+1)^(1/12)-1))</f>
        <v>316135.55850684189</v>
      </c>
      <c r="Z925" s="18">
        <f t="shared" ca="1" si="119"/>
        <v>96883236.042742372</v>
      </c>
      <c r="AA925" s="18">
        <f ca="1">Auxiliar_Projetos!E925</f>
        <v>7.9862573824536022E-9</v>
      </c>
      <c r="AB925" s="18">
        <f ca="1">Auxiliar_Projetos!K925</f>
        <v>6.1432749095796928E-9</v>
      </c>
      <c r="AC925" s="18">
        <f ca="1">IF(Z925-AA925-AB925&gt;Investimentos!$C$14,Investimentos!$C$14,IF(Z925-AA925-AB925&lt;Investimentos!$C$14,Z925-AA925-AB925,0))</f>
        <v>300000</v>
      </c>
      <c r="AD925" s="18">
        <f t="shared" ca="1" si="120"/>
        <v>96583236.042742357</v>
      </c>
      <c r="AE925" s="18"/>
    </row>
    <row r="926" spans="1:31" x14ac:dyDescent="0.2">
      <c r="A926" s="4">
        <v>73781</v>
      </c>
      <c r="B926" s="5" t="str">
        <f t="shared" si="116"/>
        <v>janeiro</v>
      </c>
      <c r="C926" s="5" t="str">
        <f t="shared" si="122"/>
        <v>2102</v>
      </c>
      <c r="D926" s="5">
        <f>SUMIFS(Despesas!$F:$F,Despesas!$J:$J,"&lt;="&amp;$A926,Despesas!$L:$L,"&gt;="&amp;$A926,Despesas!$C:$C,D$1,Despesas!$M:$M,"Mensal")+SUMIFS(Despesas!$F:$F,Despesas!$J:$J,"&lt;="&amp;$A926,Despesas!$L:$L,"&gt;="&amp;$A926,Despesas!$C:$C,D$1,Despesas!$M:$M,$B926)</f>
        <v>0</v>
      </c>
      <c r="E926" s="18">
        <f>SUMIFS(Despesas!$F:$F,Despesas!$J:$J,"&lt;="&amp;$A926,Despesas!$L:$L,"&gt;="&amp;$A926,Despesas!$C:$C,E$1,Despesas!$M:$M,"Mensal")+SUMIFS(Despesas!$F:$F,Despesas!$J:$J,"&lt;="&amp;$A926,Despesas!$L:$L,"&gt;="&amp;$A926,Despesas!$C:$C,E$1,Despesas!$M:$M,$B926)</f>
        <v>0</v>
      </c>
      <c r="F926" s="5">
        <f>SUMIFS(Despesas!$F:$F,Despesas!$J:$J,"&lt;="&amp;$A926,Despesas!$L:$L,"&gt;="&amp;$A926,Despesas!$C:$C,F$1,Despesas!$M:$M,"Mensal")+SUMIFS(Despesas!$F:$F,Despesas!$J:$J,"&lt;="&amp;$A926,Despesas!$L:$L,"&gt;="&amp;$A926,Despesas!$C:$C,F$1,Despesas!$M:$M,$B926)</f>
        <v>0</v>
      </c>
      <c r="G926" s="5">
        <f>SUMIFS(Despesas!$F:$F,Despesas!$J:$J,"&lt;="&amp;$A926,Despesas!$L:$L,"&gt;="&amp;$A926,Despesas!$C:$C,G$1,Despesas!$M:$M,"Mensal")+SUMIFS(Despesas!$F:$F,Despesas!$J:$J,"&lt;="&amp;$A926,Despesas!$L:$L,"&gt;="&amp;$A926,Despesas!$C:$C,G$1,Despesas!$M:$M,$B926)</f>
        <v>0</v>
      </c>
      <c r="H926" s="18">
        <f>SUMIFS(Despesas!$F:$F,Despesas!$J:$J,"&lt;="&amp;$A926,Despesas!$L:$L,"&gt;="&amp;$A926,Despesas!$C:$C,H$1,Despesas!$M:$M,"Mensal")+SUMIFS(Despesas!$F:$F,Despesas!$J:$J,"&lt;="&amp;$A926,Despesas!$L:$L,"&gt;="&amp;$A926,Despesas!$C:$C,H$1,Despesas!$M:$M,$B926)</f>
        <v>0</v>
      </c>
      <c r="I926" s="18">
        <f>IF(Imóveis!$F$2="PRICE",IF(AND(Dados!$A926&gt;=Imóveis!$Q$2,Dados!$A926&lt;=Imóveis!$T$2),Imóveis!$U$2,0),IF((IF(AND(Dados!$A926&gt;=Imóveis!$Q$2,Dados!$A926&lt;=Imóveis!$T$2),Imóveis!$S$2-(DATEDIF(Imóveis!$Q$2,Dados!$A926,"m")),0))=0,0,((Imóveis!$N$2/Imóveis!$S$2)+((Imóveis!$N$2-((Imóveis!$S$2-(IF(AND(Dados!$A926&gt;=Imóveis!$Q$2,Dados!$A926&lt;=Imóveis!$T$2),Imóveis!$S$2-(DATEDIF(Imóveis!$Q$2,Dados!$A926,"m")),)))*(Imóveis!$N$2/Imóveis!$S$2)))*Imóveis!$P$2))))*IF(AND(Imóveis!$E$2&gt;0,Dados!$A926&gt;Imóveis!$E$2),0,1)</f>
        <v>0</v>
      </c>
      <c r="J926" s="18">
        <f>IF(Imóveis!$F$3="PRICE",IF(AND(Dados!$A926&gt;=Imóveis!$Q$3,Dados!$A926&lt;=Imóveis!$T$3),Imóveis!$U$3,0),IF((IF(AND(Dados!$A926&gt;=Imóveis!$Q$3,Dados!$A926&lt;=Imóveis!$T$3),Imóveis!$S$3-(DATEDIF(Imóveis!$Q$3,Dados!$A926,"m")),0))=0,0,((Imóveis!$N$3/Imóveis!$S$3)+((Imóveis!$N$3-((Imóveis!$S$3-(IF(AND(Dados!$A926&gt;=Imóveis!$Q$3,Dados!$A926&lt;=Imóveis!$T$3),Imóveis!$S$3-(DATEDIF(Imóveis!$Q$3,Dados!$A926,"m")),)))*(Imóveis!$N$3/Imóveis!$S$3)))*Imóveis!$P$3))))*IF(AND(Imóveis!$E$3&gt;0,Dados!$A926&gt;Imóveis!$E$3),0,1)</f>
        <v>0</v>
      </c>
      <c r="K926" s="18">
        <f>IF(Imóveis!$F$4="PRICE",IF(AND(Dados!$A926&gt;=Imóveis!$Q$4,Dados!$A926&lt;=Imóveis!$T$4),Imóveis!$U$4,0),IF((IF(AND(Dados!$A926&gt;=Imóveis!$Q$4,Dados!$A926&lt;=Imóveis!$T$4),Imóveis!$S$4-(DATEDIF(Imóveis!$Q$4,Dados!$A926,"m")),0))=0,0,((Imóveis!$N$4/Imóveis!$S$4)+((Imóveis!$N$4-((Imóveis!$S$4-(IF(AND(Dados!$A926&gt;=Imóveis!$Q$4,Dados!$A926&lt;=Imóveis!$T$4),Imóveis!$S$4-(DATEDIF(Imóveis!$Q$4,Dados!$A926,"m")),)))*(Imóveis!$N$4/Imóveis!$S$4)))*Imóveis!$P$4))))*IF(AND(Imóveis!$E$4&gt;0,Dados!$A926&gt;Imóveis!$E$4),0,1)</f>
        <v>0</v>
      </c>
      <c r="L926" s="18">
        <f>IF(Imóveis!$F$5="PRICE",IF(AND(Dados!$A926&gt;=Imóveis!$Q$5,Dados!$A926&lt;=Imóveis!$T$5),Imóveis!$U$5,0),IF((IF(AND(Dados!$A926&gt;=Imóveis!$Q$5,Dados!$A926&lt;=Imóveis!$T$5),Imóveis!$S$5-(DATEDIF(Imóveis!$Q$5,Dados!$A926,"m")),0))=0,0,((Imóveis!$N$5/Imóveis!$S$5)+((Imóveis!$N$5-((Imóveis!$S$5-(IF(AND(Dados!$A926 &gt;=Imóveis!$Q$5,Dados!$A926&lt;=Imóveis!$T$5),Imóveis!$S$5-(DATEDIF(Imóveis!$Q$5,Dados!$A926,"m")),)))*(Imóveis!$N$5/Imóveis!$S$5)))*Imóveis!$P$5))))*IF(AND(Imóveis!$E$5&gt;0,Dados!$A926&gt;Imóveis!$E$5),0,1)*Imóveis!$I$5</f>
        <v>0</v>
      </c>
      <c r="M926" s="18">
        <f>IF(Imóveis!$F$6="PRICE",IF(AND(Dados!$A926&gt;=Imóveis!$Q$6,Dados!$A926&lt;=Imóveis!$T$6),Imóveis!$U$6,0),IF((IF(AND(Dados!$A926&gt;=Imóveis!$Q$6,Dados!$A926&lt;=Imóveis!$T$6),Imóveis!$S$6-(DATEDIF(Imóveis!$Q$6,Dados!$A926,"m")),0))=0,0,((Imóveis!$N$6/Imóveis!$S$6)+((Imóveis!$N$6-((Imóveis!$S$6-(IF(AND(Dados!$A926&gt;=Imóveis!$Q$6,Dados!$A926&lt;=Imóveis!$T$6),Imóveis!$S$6-(DATEDIF(Imóveis!$Q$6,Dados!$A926,"m")),)))*(Imóveis!$N$6/Imóveis!$S$6)))*Imóveis!$P$6))))*IF(AND(Imóveis!$E$6&gt;0,Dados!$A926&gt;Imóveis!$E$6),0,1)*Imóveis!$I$6</f>
        <v>0</v>
      </c>
      <c r="N926" s="18">
        <f t="shared" si="117"/>
        <v>0</v>
      </c>
      <c r="O926" s="18">
        <f>SUMIFS(Receitas!$F:$F,Receitas!$J:$J,"&lt;="&amp;$A926,Receitas!$L:$L,"&gt;="&amp;$A926,Receitas!$C:$C,O$1,Receitas!$M:$M,"Mensal")+SUMIFS(Receitas!$F:$F,Receitas!$J:$J,"&lt;="&amp;$A926,Receitas!$L:$L,"&gt;="&amp;$A926,Receitas!$C:$C,O$1,Receitas!$M:$M,$B926)</f>
        <v>0</v>
      </c>
      <c r="P926" s="18">
        <f>SUMIFS(Receitas!$F:$F,Receitas!$J:$J,"&lt;="&amp;$A926,Receitas!$L:$L,"&gt;="&amp;$A926,Receitas!$C:$C,P$1,Receitas!$M:$M,"Mensal")+SUMIFS(Receitas!$F:$F,Receitas!$J:$J,"&lt;="&amp;$A926,Receitas!$L:$L,"&gt;="&amp;$A926,Receitas!$C:$C,P$1,Receitas!$M:$M,$B926)</f>
        <v>0</v>
      </c>
      <c r="Q926" s="18">
        <f>SUMIFS(Receitas!$F:$F,Receitas!$J:$J,"&lt;="&amp;$A926,Receitas!$L:$L,"&gt;="&amp;$A926,Receitas!$C:$C,Q$1,Receitas!$M:$M,"Mensal")+SUMIFS(Receitas!$F:$F,Receitas!$J:$J,"&lt;="&amp;$A926,Receitas!$L:$L,"&gt;="&amp;$A926,Receitas!$C:$C,Q$1,Receitas!$M:$M,$B926)</f>
        <v>0</v>
      </c>
      <c r="R926" s="18" cm="1">
        <f t="array" ref="R926">(IF(AND(Membros!$F$2="Sim",A926&lt;=MAX(Membros!$E$2:$E$5)),Membros!K$2,IF(AND(A926&gt;=Membros!J$2,A926&lt;=MAX(Membros!$E$2:$E$5)),Membros!K$2,0))+IF(AND(Membros!$F$3="Sim",A926&lt;=MAX(Membros!$E$2:$E$5)),Membros!K$3,IF(AND(A926&gt;=Membros!J$3,A926&lt;=MAX(Membros!$E$2:$E$5)),Membros!K$3,0)))*IF(AND(COUNTIFS(Tabela3[Tipo],"Provedor",Tabela3[Simulação Seguro],"Sim")=2,A926&gt;=MAX(IF(Tabela3[Tipo]="Dependente",Tabela3[Expectativa de Vida (Data)]))),0,1)</f>
        <v>0</v>
      </c>
      <c r="S926" s="18">
        <f t="shared" si="118"/>
        <v>0</v>
      </c>
      <c r="U926" s="18">
        <f t="shared" ca="1" si="121"/>
        <v>96883236.042742372</v>
      </c>
      <c r="V926" s="18">
        <f>SUMIF(Imóveis!E:E,Dados!A:A,Imóveis!Z:Z)-SUMIF(Imóveis!E:E,Dados!A:A,Imóveis!Y:Y)</f>
        <v>0</v>
      </c>
      <c r="W926" s="18">
        <f>-SUMIF(Projetos!N:N,A926,Projetos!F:F)</f>
        <v>0</v>
      </c>
      <c r="X926" s="18">
        <f t="shared" si="115"/>
        <v>0</v>
      </c>
      <c r="Y926" s="26">
        <f ca="1">(U926*((Indicadores_Economicos!D$2+1)^(1/12)-1))</f>
        <v>317170.50406129344</v>
      </c>
      <c r="Z926" s="18">
        <f t="shared" ca="1" si="119"/>
        <v>97200406.546803668</v>
      </c>
      <c r="AA926" s="18">
        <f ca="1">Auxiliar_Projetos!E926</f>
        <v>8.0124023109574201E-9</v>
      </c>
      <c r="AB926" s="18">
        <f ca="1">Auxiliar_Projetos!K926</f>
        <v>6.1633863930441682E-9</v>
      </c>
      <c r="AC926" s="18">
        <f ca="1">IF(Z926-AA926-AB926&gt;Investimentos!$C$14,Investimentos!$C$14,IF(Z926-AA926-AB926&lt;Investimentos!$C$14,Z926-AA926-AB926,0))</f>
        <v>300000</v>
      </c>
      <c r="AD926" s="18">
        <f t="shared" ca="1" si="120"/>
        <v>96900406.546803653</v>
      </c>
      <c r="AE926" s="18"/>
    </row>
    <row r="927" spans="1:31" x14ac:dyDescent="0.2">
      <c r="A927" s="4">
        <v>73812</v>
      </c>
      <c r="B927" s="5" t="str">
        <f t="shared" si="116"/>
        <v>fevereiro</v>
      </c>
      <c r="C927" s="5" t="str">
        <f t="shared" si="122"/>
        <v>2102</v>
      </c>
      <c r="D927" s="5">
        <f>SUMIFS(Despesas!$F:$F,Despesas!$J:$J,"&lt;="&amp;$A927,Despesas!$L:$L,"&gt;="&amp;$A927,Despesas!$C:$C,D$1,Despesas!$M:$M,"Mensal")+SUMIFS(Despesas!$F:$F,Despesas!$J:$J,"&lt;="&amp;$A927,Despesas!$L:$L,"&gt;="&amp;$A927,Despesas!$C:$C,D$1,Despesas!$M:$M,$B927)</f>
        <v>0</v>
      </c>
      <c r="E927" s="18">
        <f>SUMIFS(Despesas!$F:$F,Despesas!$J:$J,"&lt;="&amp;$A927,Despesas!$L:$L,"&gt;="&amp;$A927,Despesas!$C:$C,E$1,Despesas!$M:$M,"Mensal")+SUMIFS(Despesas!$F:$F,Despesas!$J:$J,"&lt;="&amp;$A927,Despesas!$L:$L,"&gt;="&amp;$A927,Despesas!$C:$C,E$1,Despesas!$M:$M,$B927)</f>
        <v>0</v>
      </c>
      <c r="F927" s="5">
        <f>SUMIFS(Despesas!$F:$F,Despesas!$J:$J,"&lt;="&amp;$A927,Despesas!$L:$L,"&gt;="&amp;$A927,Despesas!$C:$C,F$1,Despesas!$M:$M,"Mensal")+SUMIFS(Despesas!$F:$F,Despesas!$J:$J,"&lt;="&amp;$A927,Despesas!$L:$L,"&gt;="&amp;$A927,Despesas!$C:$C,F$1,Despesas!$M:$M,$B927)</f>
        <v>0</v>
      </c>
      <c r="G927" s="5">
        <f>SUMIFS(Despesas!$F:$F,Despesas!$J:$J,"&lt;="&amp;$A927,Despesas!$L:$L,"&gt;="&amp;$A927,Despesas!$C:$C,G$1,Despesas!$M:$M,"Mensal")+SUMIFS(Despesas!$F:$F,Despesas!$J:$J,"&lt;="&amp;$A927,Despesas!$L:$L,"&gt;="&amp;$A927,Despesas!$C:$C,G$1,Despesas!$M:$M,$B927)</f>
        <v>0</v>
      </c>
      <c r="H927" s="18">
        <f>SUMIFS(Despesas!$F:$F,Despesas!$J:$J,"&lt;="&amp;$A927,Despesas!$L:$L,"&gt;="&amp;$A927,Despesas!$C:$C,H$1,Despesas!$M:$M,"Mensal")+SUMIFS(Despesas!$F:$F,Despesas!$J:$J,"&lt;="&amp;$A927,Despesas!$L:$L,"&gt;="&amp;$A927,Despesas!$C:$C,H$1,Despesas!$M:$M,$B927)</f>
        <v>0</v>
      </c>
      <c r="I927" s="18">
        <f>IF(Imóveis!$F$2="PRICE",IF(AND(Dados!$A927&gt;=Imóveis!$Q$2,Dados!$A927&lt;=Imóveis!$T$2),Imóveis!$U$2,0),IF((IF(AND(Dados!$A927&gt;=Imóveis!$Q$2,Dados!$A927&lt;=Imóveis!$T$2),Imóveis!$S$2-(DATEDIF(Imóveis!$Q$2,Dados!$A927,"m")),0))=0,0,((Imóveis!$N$2/Imóveis!$S$2)+((Imóveis!$N$2-((Imóveis!$S$2-(IF(AND(Dados!$A927&gt;=Imóveis!$Q$2,Dados!$A927&lt;=Imóveis!$T$2),Imóveis!$S$2-(DATEDIF(Imóveis!$Q$2,Dados!$A927,"m")),)))*(Imóveis!$N$2/Imóveis!$S$2)))*Imóveis!$P$2))))*IF(AND(Imóveis!$E$2&gt;0,Dados!$A927&gt;Imóveis!$E$2),0,1)</f>
        <v>0</v>
      </c>
      <c r="J927" s="18">
        <f>IF(Imóveis!$F$3="PRICE",IF(AND(Dados!$A927&gt;=Imóveis!$Q$3,Dados!$A927&lt;=Imóveis!$T$3),Imóveis!$U$3,0),IF((IF(AND(Dados!$A927&gt;=Imóveis!$Q$3,Dados!$A927&lt;=Imóveis!$T$3),Imóveis!$S$3-(DATEDIF(Imóveis!$Q$3,Dados!$A927,"m")),0))=0,0,((Imóveis!$N$3/Imóveis!$S$3)+((Imóveis!$N$3-((Imóveis!$S$3-(IF(AND(Dados!$A927&gt;=Imóveis!$Q$3,Dados!$A927&lt;=Imóveis!$T$3),Imóveis!$S$3-(DATEDIF(Imóveis!$Q$3,Dados!$A927,"m")),)))*(Imóveis!$N$3/Imóveis!$S$3)))*Imóveis!$P$3))))*IF(AND(Imóveis!$E$3&gt;0,Dados!$A927&gt;Imóveis!$E$3),0,1)</f>
        <v>0</v>
      </c>
      <c r="K927" s="18">
        <f>IF(Imóveis!$F$4="PRICE",IF(AND(Dados!$A927&gt;=Imóveis!$Q$4,Dados!$A927&lt;=Imóveis!$T$4),Imóveis!$U$4,0),IF((IF(AND(Dados!$A927&gt;=Imóveis!$Q$4,Dados!$A927&lt;=Imóveis!$T$4),Imóveis!$S$4-(DATEDIF(Imóveis!$Q$4,Dados!$A927,"m")),0))=0,0,((Imóveis!$N$4/Imóveis!$S$4)+((Imóveis!$N$4-((Imóveis!$S$4-(IF(AND(Dados!$A927&gt;=Imóveis!$Q$4,Dados!$A927&lt;=Imóveis!$T$4),Imóveis!$S$4-(DATEDIF(Imóveis!$Q$4,Dados!$A927,"m")),)))*(Imóveis!$N$4/Imóveis!$S$4)))*Imóveis!$P$4))))*IF(AND(Imóveis!$E$4&gt;0,Dados!$A927&gt;Imóveis!$E$4),0,1)</f>
        <v>0</v>
      </c>
      <c r="L927" s="18">
        <f>IF(Imóveis!$F$5="PRICE",IF(AND(Dados!$A927&gt;=Imóveis!$Q$5,Dados!$A927&lt;=Imóveis!$T$5),Imóveis!$U$5,0),IF((IF(AND(Dados!$A927&gt;=Imóveis!$Q$5,Dados!$A927&lt;=Imóveis!$T$5),Imóveis!$S$5-(DATEDIF(Imóveis!$Q$5,Dados!$A927,"m")),0))=0,0,((Imóveis!$N$5/Imóveis!$S$5)+((Imóveis!$N$5-((Imóveis!$S$5-(IF(AND(Dados!$A927 &gt;=Imóveis!$Q$5,Dados!$A927&lt;=Imóveis!$T$5),Imóveis!$S$5-(DATEDIF(Imóveis!$Q$5,Dados!$A927,"m")),)))*(Imóveis!$N$5/Imóveis!$S$5)))*Imóveis!$P$5))))*IF(AND(Imóveis!$E$5&gt;0,Dados!$A927&gt;Imóveis!$E$5),0,1)*Imóveis!$I$5</f>
        <v>0</v>
      </c>
      <c r="M927" s="18">
        <f>IF(Imóveis!$F$6="PRICE",IF(AND(Dados!$A927&gt;=Imóveis!$Q$6,Dados!$A927&lt;=Imóveis!$T$6),Imóveis!$U$6,0),IF((IF(AND(Dados!$A927&gt;=Imóveis!$Q$6,Dados!$A927&lt;=Imóveis!$T$6),Imóveis!$S$6-(DATEDIF(Imóveis!$Q$6,Dados!$A927,"m")),0))=0,0,((Imóveis!$N$6/Imóveis!$S$6)+((Imóveis!$N$6-((Imóveis!$S$6-(IF(AND(Dados!$A927&gt;=Imóveis!$Q$6,Dados!$A927&lt;=Imóveis!$T$6),Imóveis!$S$6-(DATEDIF(Imóveis!$Q$6,Dados!$A927,"m")),)))*(Imóveis!$N$6/Imóveis!$S$6)))*Imóveis!$P$6))))*IF(AND(Imóveis!$E$6&gt;0,Dados!$A927&gt;Imóveis!$E$6),0,1)*Imóveis!$I$6</f>
        <v>0</v>
      </c>
      <c r="N927" s="18">
        <f t="shared" si="117"/>
        <v>0</v>
      </c>
      <c r="O927" s="18">
        <f>SUMIFS(Receitas!$F:$F,Receitas!$J:$J,"&lt;="&amp;$A927,Receitas!$L:$L,"&gt;="&amp;$A927,Receitas!$C:$C,O$1,Receitas!$M:$M,"Mensal")+SUMIFS(Receitas!$F:$F,Receitas!$J:$J,"&lt;="&amp;$A927,Receitas!$L:$L,"&gt;="&amp;$A927,Receitas!$C:$C,O$1,Receitas!$M:$M,$B927)</f>
        <v>0</v>
      </c>
      <c r="P927" s="18">
        <f>SUMIFS(Receitas!$F:$F,Receitas!$J:$J,"&lt;="&amp;$A927,Receitas!$L:$L,"&gt;="&amp;$A927,Receitas!$C:$C,P$1,Receitas!$M:$M,"Mensal")+SUMIFS(Receitas!$F:$F,Receitas!$J:$J,"&lt;="&amp;$A927,Receitas!$L:$L,"&gt;="&amp;$A927,Receitas!$C:$C,P$1,Receitas!$M:$M,$B927)</f>
        <v>0</v>
      </c>
      <c r="Q927" s="18">
        <f>SUMIFS(Receitas!$F:$F,Receitas!$J:$J,"&lt;="&amp;$A927,Receitas!$L:$L,"&gt;="&amp;$A927,Receitas!$C:$C,Q$1,Receitas!$M:$M,"Mensal")+SUMIFS(Receitas!$F:$F,Receitas!$J:$J,"&lt;="&amp;$A927,Receitas!$L:$L,"&gt;="&amp;$A927,Receitas!$C:$C,Q$1,Receitas!$M:$M,$B927)</f>
        <v>0</v>
      </c>
      <c r="R927" s="18" cm="1">
        <f t="array" ref="R927">(IF(AND(Membros!$F$2="Sim",A927&lt;=MAX(Membros!$E$2:$E$5)),Membros!K$2,IF(AND(A927&gt;=Membros!J$2,A927&lt;=MAX(Membros!$E$2:$E$5)),Membros!K$2,0))+IF(AND(Membros!$F$3="Sim",A927&lt;=MAX(Membros!$E$2:$E$5)),Membros!K$3,IF(AND(A927&gt;=Membros!J$3,A927&lt;=MAX(Membros!$E$2:$E$5)),Membros!K$3,0)))*IF(AND(COUNTIFS(Tabela3[Tipo],"Provedor",Tabela3[Simulação Seguro],"Sim")=2,A927&gt;=MAX(IF(Tabela3[Tipo]="Dependente",Tabela3[Expectativa de Vida (Data)]))),0,1)</f>
        <v>0</v>
      </c>
      <c r="S927" s="18">
        <f t="shared" si="118"/>
        <v>0</v>
      </c>
      <c r="U927" s="18">
        <f t="shared" ca="1" si="121"/>
        <v>97200406.546803668</v>
      </c>
      <c r="V927" s="18">
        <f>SUMIF(Imóveis!E:E,Dados!A:A,Imóveis!Z:Z)-SUMIF(Imóveis!E:E,Dados!A:A,Imóveis!Y:Y)</f>
        <v>0</v>
      </c>
      <c r="W927" s="18">
        <f>-SUMIF(Projetos!N:N,A927,Projetos!F:F)</f>
        <v>0</v>
      </c>
      <c r="X927" s="18">
        <f t="shared" si="115"/>
        <v>0</v>
      </c>
      <c r="Y927" s="26">
        <f ca="1">(U927*((Indicadores_Economicos!D$2+1)^(1/12)-1))</f>
        <v>318208.837758179</v>
      </c>
      <c r="Z927" s="18">
        <f t="shared" ca="1" si="119"/>
        <v>97518615.384561852</v>
      </c>
      <c r="AA927" s="18">
        <f ca="1">Auxiliar_Projetos!E927</f>
        <v>8.0386328311537846E-9</v>
      </c>
      <c r="AB927" s="18">
        <f ca="1">Auxiliar_Projetos!K927</f>
        <v>6.1835637162721407E-9</v>
      </c>
      <c r="AC927" s="18">
        <f ca="1">IF(Z927-AA927-AB927&gt;Investimentos!$C$14,Investimentos!$C$14,IF(Z927-AA927-AB927&lt;Investimentos!$C$14,Z927-AA927-AB927,0))</f>
        <v>300000</v>
      </c>
      <c r="AD927" s="18">
        <f t="shared" ca="1" si="120"/>
        <v>97218615.384561837</v>
      </c>
      <c r="AE927" s="18"/>
    </row>
    <row r="928" spans="1:31" x14ac:dyDescent="0.2">
      <c r="A928" s="4">
        <v>73840</v>
      </c>
      <c r="B928" s="5" t="str">
        <f t="shared" si="116"/>
        <v>março</v>
      </c>
      <c r="C928" s="5" t="str">
        <f t="shared" si="122"/>
        <v>2102</v>
      </c>
      <c r="D928" s="5">
        <f>SUMIFS(Despesas!$F:$F,Despesas!$J:$J,"&lt;="&amp;$A928,Despesas!$L:$L,"&gt;="&amp;$A928,Despesas!$C:$C,D$1,Despesas!$M:$M,"Mensal")+SUMIFS(Despesas!$F:$F,Despesas!$J:$J,"&lt;="&amp;$A928,Despesas!$L:$L,"&gt;="&amp;$A928,Despesas!$C:$C,D$1,Despesas!$M:$M,$B928)</f>
        <v>0</v>
      </c>
      <c r="E928" s="18">
        <f>SUMIFS(Despesas!$F:$F,Despesas!$J:$J,"&lt;="&amp;$A928,Despesas!$L:$L,"&gt;="&amp;$A928,Despesas!$C:$C,E$1,Despesas!$M:$M,"Mensal")+SUMIFS(Despesas!$F:$F,Despesas!$J:$J,"&lt;="&amp;$A928,Despesas!$L:$L,"&gt;="&amp;$A928,Despesas!$C:$C,E$1,Despesas!$M:$M,$B928)</f>
        <v>0</v>
      </c>
      <c r="F928" s="5">
        <f>SUMIFS(Despesas!$F:$F,Despesas!$J:$J,"&lt;="&amp;$A928,Despesas!$L:$L,"&gt;="&amp;$A928,Despesas!$C:$C,F$1,Despesas!$M:$M,"Mensal")+SUMIFS(Despesas!$F:$F,Despesas!$J:$J,"&lt;="&amp;$A928,Despesas!$L:$L,"&gt;="&amp;$A928,Despesas!$C:$C,F$1,Despesas!$M:$M,$B928)</f>
        <v>0</v>
      </c>
      <c r="G928" s="5">
        <f>SUMIFS(Despesas!$F:$F,Despesas!$J:$J,"&lt;="&amp;$A928,Despesas!$L:$L,"&gt;="&amp;$A928,Despesas!$C:$C,G$1,Despesas!$M:$M,"Mensal")+SUMIFS(Despesas!$F:$F,Despesas!$J:$J,"&lt;="&amp;$A928,Despesas!$L:$L,"&gt;="&amp;$A928,Despesas!$C:$C,G$1,Despesas!$M:$M,$B928)</f>
        <v>0</v>
      </c>
      <c r="H928" s="18">
        <f>SUMIFS(Despesas!$F:$F,Despesas!$J:$J,"&lt;="&amp;$A928,Despesas!$L:$L,"&gt;="&amp;$A928,Despesas!$C:$C,H$1,Despesas!$M:$M,"Mensal")+SUMIFS(Despesas!$F:$F,Despesas!$J:$J,"&lt;="&amp;$A928,Despesas!$L:$L,"&gt;="&amp;$A928,Despesas!$C:$C,H$1,Despesas!$M:$M,$B928)</f>
        <v>0</v>
      </c>
      <c r="I928" s="18">
        <f>IF(Imóveis!$F$2="PRICE",IF(AND(Dados!$A928&gt;=Imóveis!$Q$2,Dados!$A928&lt;=Imóveis!$T$2),Imóveis!$U$2,0),IF((IF(AND(Dados!$A928&gt;=Imóveis!$Q$2,Dados!$A928&lt;=Imóveis!$T$2),Imóveis!$S$2-(DATEDIF(Imóveis!$Q$2,Dados!$A928,"m")),0))=0,0,((Imóveis!$N$2/Imóveis!$S$2)+((Imóveis!$N$2-((Imóveis!$S$2-(IF(AND(Dados!$A928&gt;=Imóveis!$Q$2,Dados!$A928&lt;=Imóveis!$T$2),Imóveis!$S$2-(DATEDIF(Imóveis!$Q$2,Dados!$A928,"m")),)))*(Imóveis!$N$2/Imóveis!$S$2)))*Imóveis!$P$2))))*IF(AND(Imóveis!$E$2&gt;0,Dados!$A928&gt;Imóveis!$E$2),0,1)</f>
        <v>0</v>
      </c>
      <c r="J928" s="18">
        <f>IF(Imóveis!$F$3="PRICE",IF(AND(Dados!$A928&gt;=Imóveis!$Q$3,Dados!$A928&lt;=Imóveis!$T$3),Imóveis!$U$3,0),IF((IF(AND(Dados!$A928&gt;=Imóveis!$Q$3,Dados!$A928&lt;=Imóveis!$T$3),Imóveis!$S$3-(DATEDIF(Imóveis!$Q$3,Dados!$A928,"m")),0))=0,0,((Imóveis!$N$3/Imóveis!$S$3)+((Imóveis!$N$3-((Imóveis!$S$3-(IF(AND(Dados!$A928&gt;=Imóveis!$Q$3,Dados!$A928&lt;=Imóveis!$T$3),Imóveis!$S$3-(DATEDIF(Imóveis!$Q$3,Dados!$A928,"m")),)))*(Imóveis!$N$3/Imóveis!$S$3)))*Imóveis!$P$3))))*IF(AND(Imóveis!$E$3&gt;0,Dados!$A928&gt;Imóveis!$E$3),0,1)</f>
        <v>0</v>
      </c>
      <c r="K928" s="18">
        <f>IF(Imóveis!$F$4="PRICE",IF(AND(Dados!$A928&gt;=Imóveis!$Q$4,Dados!$A928&lt;=Imóveis!$T$4),Imóveis!$U$4,0),IF((IF(AND(Dados!$A928&gt;=Imóveis!$Q$4,Dados!$A928&lt;=Imóveis!$T$4),Imóveis!$S$4-(DATEDIF(Imóveis!$Q$4,Dados!$A928,"m")),0))=0,0,((Imóveis!$N$4/Imóveis!$S$4)+((Imóveis!$N$4-((Imóveis!$S$4-(IF(AND(Dados!$A928&gt;=Imóveis!$Q$4,Dados!$A928&lt;=Imóveis!$T$4),Imóveis!$S$4-(DATEDIF(Imóveis!$Q$4,Dados!$A928,"m")),)))*(Imóveis!$N$4/Imóveis!$S$4)))*Imóveis!$P$4))))*IF(AND(Imóveis!$E$4&gt;0,Dados!$A928&gt;Imóveis!$E$4),0,1)</f>
        <v>0</v>
      </c>
      <c r="L928" s="18">
        <f>IF(Imóveis!$F$5="PRICE",IF(AND(Dados!$A928&gt;=Imóveis!$Q$5,Dados!$A928&lt;=Imóveis!$T$5),Imóveis!$U$5,0),IF((IF(AND(Dados!$A928&gt;=Imóveis!$Q$5,Dados!$A928&lt;=Imóveis!$T$5),Imóveis!$S$5-(DATEDIF(Imóveis!$Q$5,Dados!$A928,"m")),0))=0,0,((Imóveis!$N$5/Imóveis!$S$5)+((Imóveis!$N$5-((Imóveis!$S$5-(IF(AND(Dados!$A928 &gt;=Imóveis!$Q$5,Dados!$A928&lt;=Imóveis!$T$5),Imóveis!$S$5-(DATEDIF(Imóveis!$Q$5,Dados!$A928,"m")),)))*(Imóveis!$N$5/Imóveis!$S$5)))*Imóveis!$P$5))))*IF(AND(Imóveis!$E$5&gt;0,Dados!$A928&gt;Imóveis!$E$5),0,1)*Imóveis!$I$5</f>
        <v>0</v>
      </c>
      <c r="M928" s="18">
        <f>IF(Imóveis!$F$6="PRICE",IF(AND(Dados!$A928&gt;=Imóveis!$Q$6,Dados!$A928&lt;=Imóveis!$T$6),Imóveis!$U$6,0),IF((IF(AND(Dados!$A928&gt;=Imóveis!$Q$6,Dados!$A928&lt;=Imóveis!$T$6),Imóveis!$S$6-(DATEDIF(Imóveis!$Q$6,Dados!$A928,"m")),0))=0,0,((Imóveis!$N$6/Imóveis!$S$6)+((Imóveis!$N$6-((Imóveis!$S$6-(IF(AND(Dados!$A928&gt;=Imóveis!$Q$6,Dados!$A928&lt;=Imóveis!$T$6),Imóveis!$S$6-(DATEDIF(Imóveis!$Q$6,Dados!$A928,"m")),)))*(Imóveis!$N$6/Imóveis!$S$6)))*Imóveis!$P$6))))*IF(AND(Imóveis!$E$6&gt;0,Dados!$A928&gt;Imóveis!$E$6),0,1)*Imóveis!$I$6</f>
        <v>0</v>
      </c>
      <c r="N928" s="18">
        <f t="shared" si="117"/>
        <v>0</v>
      </c>
      <c r="O928" s="18">
        <f>SUMIFS(Receitas!$F:$F,Receitas!$J:$J,"&lt;="&amp;$A928,Receitas!$L:$L,"&gt;="&amp;$A928,Receitas!$C:$C,O$1,Receitas!$M:$M,"Mensal")+SUMIFS(Receitas!$F:$F,Receitas!$J:$J,"&lt;="&amp;$A928,Receitas!$L:$L,"&gt;="&amp;$A928,Receitas!$C:$C,O$1,Receitas!$M:$M,$B928)</f>
        <v>0</v>
      </c>
      <c r="P928" s="18">
        <f>SUMIFS(Receitas!$F:$F,Receitas!$J:$J,"&lt;="&amp;$A928,Receitas!$L:$L,"&gt;="&amp;$A928,Receitas!$C:$C,P$1,Receitas!$M:$M,"Mensal")+SUMIFS(Receitas!$F:$F,Receitas!$J:$J,"&lt;="&amp;$A928,Receitas!$L:$L,"&gt;="&amp;$A928,Receitas!$C:$C,P$1,Receitas!$M:$M,$B928)</f>
        <v>0</v>
      </c>
      <c r="Q928" s="18">
        <f>SUMIFS(Receitas!$F:$F,Receitas!$J:$J,"&lt;="&amp;$A928,Receitas!$L:$L,"&gt;="&amp;$A928,Receitas!$C:$C,Q$1,Receitas!$M:$M,"Mensal")+SUMIFS(Receitas!$F:$F,Receitas!$J:$J,"&lt;="&amp;$A928,Receitas!$L:$L,"&gt;="&amp;$A928,Receitas!$C:$C,Q$1,Receitas!$M:$M,$B928)</f>
        <v>0</v>
      </c>
      <c r="R928" s="18" cm="1">
        <f t="array" ref="R928">(IF(AND(Membros!$F$2="Sim",A928&lt;=MAX(Membros!$E$2:$E$5)),Membros!K$2,IF(AND(A928&gt;=Membros!J$2,A928&lt;=MAX(Membros!$E$2:$E$5)),Membros!K$2,0))+IF(AND(Membros!$F$3="Sim",A928&lt;=MAX(Membros!$E$2:$E$5)),Membros!K$3,IF(AND(A928&gt;=Membros!J$3,A928&lt;=MAX(Membros!$E$2:$E$5)),Membros!K$3,0)))*IF(AND(COUNTIFS(Tabela3[Tipo],"Provedor",Tabela3[Simulação Seguro],"Sim")=2,A928&gt;=MAX(IF(Tabela3[Tipo]="Dependente",Tabela3[Expectativa de Vida (Data)]))),0,1)</f>
        <v>0</v>
      </c>
      <c r="S928" s="18">
        <f t="shared" si="118"/>
        <v>0</v>
      </c>
      <c r="U928" s="18">
        <f t="shared" ca="1" si="121"/>
        <v>97518615.384561852</v>
      </c>
      <c r="V928" s="18">
        <f>SUMIF(Imóveis!E:E,Dados!A:A,Imóveis!Z:Z)-SUMIF(Imóveis!E:E,Dados!A:A,Imóveis!Y:Y)</f>
        <v>0</v>
      </c>
      <c r="W928" s="18">
        <f>-SUMIF(Projetos!N:N,A928,Projetos!F:F)</f>
        <v>0</v>
      </c>
      <c r="X928" s="18">
        <f t="shared" si="115"/>
        <v>0</v>
      </c>
      <c r="Y928" s="26">
        <f ca="1">(U928*((Indicadores_Economicos!D$2+1)^(1/12)-1))</f>
        <v>319250.57068939524</v>
      </c>
      <c r="Z928" s="18">
        <f t="shared" ca="1" si="119"/>
        <v>97837865.955251247</v>
      </c>
      <c r="AA928" s="18">
        <f ca="1">Auxiliar_Projetos!E928</f>
        <v>8.0649492232476234E-9</v>
      </c>
      <c r="AB928" s="18">
        <f ca="1">Auxiliar_Projetos!K928</f>
        <v>6.2038070948058627E-9</v>
      </c>
      <c r="AC928" s="18">
        <f ca="1">IF(Z928-AA928-AB928&gt;Investimentos!$C$14,Investimentos!$C$14,IF(Z928-AA928-AB928&lt;Investimentos!$C$14,Z928-AA928-AB928,0))</f>
        <v>300000</v>
      </c>
      <c r="AD928" s="18">
        <f t="shared" ca="1" si="120"/>
        <v>97537865.955251232</v>
      </c>
      <c r="AE928" s="18"/>
    </row>
    <row r="929" spans="1:31" x14ac:dyDescent="0.2">
      <c r="A929" s="4">
        <v>73871</v>
      </c>
      <c r="B929" s="5" t="str">
        <f t="shared" si="116"/>
        <v>abril</v>
      </c>
      <c r="C929" s="5" t="str">
        <f t="shared" si="122"/>
        <v>2102</v>
      </c>
      <c r="D929" s="5">
        <f>SUMIFS(Despesas!$F:$F,Despesas!$J:$J,"&lt;="&amp;$A929,Despesas!$L:$L,"&gt;="&amp;$A929,Despesas!$C:$C,D$1,Despesas!$M:$M,"Mensal")+SUMIFS(Despesas!$F:$F,Despesas!$J:$J,"&lt;="&amp;$A929,Despesas!$L:$L,"&gt;="&amp;$A929,Despesas!$C:$C,D$1,Despesas!$M:$M,$B929)</f>
        <v>0</v>
      </c>
      <c r="E929" s="18">
        <f>SUMIFS(Despesas!$F:$F,Despesas!$J:$J,"&lt;="&amp;$A929,Despesas!$L:$L,"&gt;="&amp;$A929,Despesas!$C:$C,E$1,Despesas!$M:$M,"Mensal")+SUMIFS(Despesas!$F:$F,Despesas!$J:$J,"&lt;="&amp;$A929,Despesas!$L:$L,"&gt;="&amp;$A929,Despesas!$C:$C,E$1,Despesas!$M:$M,$B929)</f>
        <v>0</v>
      </c>
      <c r="F929" s="5">
        <f>SUMIFS(Despesas!$F:$F,Despesas!$J:$J,"&lt;="&amp;$A929,Despesas!$L:$L,"&gt;="&amp;$A929,Despesas!$C:$C,F$1,Despesas!$M:$M,"Mensal")+SUMIFS(Despesas!$F:$F,Despesas!$J:$J,"&lt;="&amp;$A929,Despesas!$L:$L,"&gt;="&amp;$A929,Despesas!$C:$C,F$1,Despesas!$M:$M,$B929)</f>
        <v>0</v>
      </c>
      <c r="G929" s="5">
        <f>SUMIFS(Despesas!$F:$F,Despesas!$J:$J,"&lt;="&amp;$A929,Despesas!$L:$L,"&gt;="&amp;$A929,Despesas!$C:$C,G$1,Despesas!$M:$M,"Mensal")+SUMIFS(Despesas!$F:$F,Despesas!$J:$J,"&lt;="&amp;$A929,Despesas!$L:$L,"&gt;="&amp;$A929,Despesas!$C:$C,G$1,Despesas!$M:$M,$B929)</f>
        <v>0</v>
      </c>
      <c r="H929" s="18">
        <f>SUMIFS(Despesas!$F:$F,Despesas!$J:$J,"&lt;="&amp;$A929,Despesas!$L:$L,"&gt;="&amp;$A929,Despesas!$C:$C,H$1,Despesas!$M:$M,"Mensal")+SUMIFS(Despesas!$F:$F,Despesas!$J:$J,"&lt;="&amp;$A929,Despesas!$L:$L,"&gt;="&amp;$A929,Despesas!$C:$C,H$1,Despesas!$M:$M,$B929)</f>
        <v>0</v>
      </c>
      <c r="I929" s="18">
        <f>IF(Imóveis!$F$2="PRICE",IF(AND(Dados!$A929&gt;=Imóveis!$Q$2,Dados!$A929&lt;=Imóveis!$T$2),Imóveis!$U$2,0),IF((IF(AND(Dados!$A929&gt;=Imóveis!$Q$2,Dados!$A929&lt;=Imóveis!$T$2),Imóveis!$S$2-(DATEDIF(Imóveis!$Q$2,Dados!$A929,"m")),0))=0,0,((Imóveis!$N$2/Imóveis!$S$2)+((Imóveis!$N$2-((Imóveis!$S$2-(IF(AND(Dados!$A929&gt;=Imóveis!$Q$2,Dados!$A929&lt;=Imóveis!$T$2),Imóveis!$S$2-(DATEDIF(Imóveis!$Q$2,Dados!$A929,"m")),)))*(Imóveis!$N$2/Imóveis!$S$2)))*Imóveis!$P$2))))*IF(AND(Imóveis!$E$2&gt;0,Dados!$A929&gt;Imóveis!$E$2),0,1)</f>
        <v>0</v>
      </c>
      <c r="J929" s="18">
        <f>IF(Imóveis!$F$3="PRICE",IF(AND(Dados!$A929&gt;=Imóveis!$Q$3,Dados!$A929&lt;=Imóveis!$T$3),Imóveis!$U$3,0),IF((IF(AND(Dados!$A929&gt;=Imóveis!$Q$3,Dados!$A929&lt;=Imóveis!$T$3),Imóveis!$S$3-(DATEDIF(Imóveis!$Q$3,Dados!$A929,"m")),0))=0,0,((Imóveis!$N$3/Imóveis!$S$3)+((Imóveis!$N$3-((Imóveis!$S$3-(IF(AND(Dados!$A929&gt;=Imóveis!$Q$3,Dados!$A929&lt;=Imóveis!$T$3),Imóveis!$S$3-(DATEDIF(Imóveis!$Q$3,Dados!$A929,"m")),)))*(Imóveis!$N$3/Imóveis!$S$3)))*Imóveis!$P$3))))*IF(AND(Imóveis!$E$3&gt;0,Dados!$A929&gt;Imóveis!$E$3),0,1)</f>
        <v>0</v>
      </c>
      <c r="K929" s="18">
        <f>IF(Imóveis!$F$4="PRICE",IF(AND(Dados!$A929&gt;=Imóveis!$Q$4,Dados!$A929&lt;=Imóveis!$T$4),Imóveis!$U$4,0),IF((IF(AND(Dados!$A929&gt;=Imóveis!$Q$4,Dados!$A929&lt;=Imóveis!$T$4),Imóveis!$S$4-(DATEDIF(Imóveis!$Q$4,Dados!$A929,"m")),0))=0,0,((Imóveis!$N$4/Imóveis!$S$4)+((Imóveis!$N$4-((Imóveis!$S$4-(IF(AND(Dados!$A929&gt;=Imóveis!$Q$4,Dados!$A929&lt;=Imóveis!$T$4),Imóveis!$S$4-(DATEDIF(Imóveis!$Q$4,Dados!$A929,"m")),)))*(Imóveis!$N$4/Imóveis!$S$4)))*Imóveis!$P$4))))*IF(AND(Imóveis!$E$4&gt;0,Dados!$A929&gt;Imóveis!$E$4),0,1)</f>
        <v>0</v>
      </c>
      <c r="L929" s="18">
        <f>IF(Imóveis!$F$5="PRICE",IF(AND(Dados!$A929&gt;=Imóveis!$Q$5,Dados!$A929&lt;=Imóveis!$T$5),Imóveis!$U$5,0),IF((IF(AND(Dados!$A929&gt;=Imóveis!$Q$5,Dados!$A929&lt;=Imóveis!$T$5),Imóveis!$S$5-(DATEDIF(Imóveis!$Q$5,Dados!$A929,"m")),0))=0,0,((Imóveis!$N$5/Imóveis!$S$5)+((Imóveis!$N$5-((Imóveis!$S$5-(IF(AND(Dados!$A929 &gt;=Imóveis!$Q$5,Dados!$A929&lt;=Imóveis!$T$5),Imóveis!$S$5-(DATEDIF(Imóveis!$Q$5,Dados!$A929,"m")),)))*(Imóveis!$N$5/Imóveis!$S$5)))*Imóveis!$P$5))))*IF(AND(Imóveis!$E$5&gt;0,Dados!$A929&gt;Imóveis!$E$5),0,1)*Imóveis!$I$5</f>
        <v>0</v>
      </c>
      <c r="M929" s="18">
        <f>IF(Imóveis!$F$6="PRICE",IF(AND(Dados!$A929&gt;=Imóveis!$Q$6,Dados!$A929&lt;=Imóveis!$T$6),Imóveis!$U$6,0),IF((IF(AND(Dados!$A929&gt;=Imóveis!$Q$6,Dados!$A929&lt;=Imóveis!$T$6),Imóveis!$S$6-(DATEDIF(Imóveis!$Q$6,Dados!$A929,"m")),0))=0,0,((Imóveis!$N$6/Imóveis!$S$6)+((Imóveis!$N$6-((Imóveis!$S$6-(IF(AND(Dados!$A929&gt;=Imóveis!$Q$6,Dados!$A929&lt;=Imóveis!$T$6),Imóveis!$S$6-(DATEDIF(Imóveis!$Q$6,Dados!$A929,"m")),)))*(Imóveis!$N$6/Imóveis!$S$6)))*Imóveis!$P$6))))*IF(AND(Imóveis!$E$6&gt;0,Dados!$A929&gt;Imóveis!$E$6),0,1)*Imóveis!$I$6</f>
        <v>0</v>
      </c>
      <c r="N929" s="18">
        <f t="shared" si="117"/>
        <v>0</v>
      </c>
      <c r="O929" s="18">
        <f>SUMIFS(Receitas!$F:$F,Receitas!$J:$J,"&lt;="&amp;$A929,Receitas!$L:$L,"&gt;="&amp;$A929,Receitas!$C:$C,O$1,Receitas!$M:$M,"Mensal")+SUMIFS(Receitas!$F:$F,Receitas!$J:$J,"&lt;="&amp;$A929,Receitas!$L:$L,"&gt;="&amp;$A929,Receitas!$C:$C,O$1,Receitas!$M:$M,$B929)</f>
        <v>0</v>
      </c>
      <c r="P929" s="18">
        <f>SUMIFS(Receitas!$F:$F,Receitas!$J:$J,"&lt;="&amp;$A929,Receitas!$L:$L,"&gt;="&amp;$A929,Receitas!$C:$C,P$1,Receitas!$M:$M,"Mensal")+SUMIFS(Receitas!$F:$F,Receitas!$J:$J,"&lt;="&amp;$A929,Receitas!$L:$L,"&gt;="&amp;$A929,Receitas!$C:$C,P$1,Receitas!$M:$M,$B929)</f>
        <v>0</v>
      </c>
      <c r="Q929" s="18">
        <f>SUMIFS(Receitas!$F:$F,Receitas!$J:$J,"&lt;="&amp;$A929,Receitas!$L:$L,"&gt;="&amp;$A929,Receitas!$C:$C,Q$1,Receitas!$M:$M,"Mensal")+SUMIFS(Receitas!$F:$F,Receitas!$J:$J,"&lt;="&amp;$A929,Receitas!$L:$L,"&gt;="&amp;$A929,Receitas!$C:$C,Q$1,Receitas!$M:$M,$B929)</f>
        <v>0</v>
      </c>
      <c r="R929" s="18" cm="1">
        <f t="array" ref="R929">(IF(AND(Membros!$F$2="Sim",A929&lt;=MAX(Membros!$E$2:$E$5)),Membros!K$2,IF(AND(A929&gt;=Membros!J$2,A929&lt;=MAX(Membros!$E$2:$E$5)),Membros!K$2,0))+IF(AND(Membros!$F$3="Sim",A929&lt;=MAX(Membros!$E$2:$E$5)),Membros!K$3,IF(AND(A929&gt;=Membros!J$3,A929&lt;=MAX(Membros!$E$2:$E$5)),Membros!K$3,0)))*IF(AND(COUNTIFS(Tabela3[Tipo],"Provedor",Tabela3[Simulação Seguro],"Sim")=2,A929&gt;=MAX(IF(Tabela3[Tipo]="Dependente",Tabela3[Expectativa de Vida (Data)]))),0,1)</f>
        <v>0</v>
      </c>
      <c r="S929" s="18">
        <f t="shared" si="118"/>
        <v>0</v>
      </c>
      <c r="U929" s="18">
        <f t="shared" ca="1" si="121"/>
        <v>97837865.955251247</v>
      </c>
      <c r="V929" s="18">
        <f>SUMIF(Imóveis!E:E,Dados!A:A,Imóveis!Z:Z)-SUMIF(Imóveis!E:E,Dados!A:A,Imóveis!Y:Y)</f>
        <v>0</v>
      </c>
      <c r="W929" s="18">
        <f>-SUMIF(Projetos!N:N,A929,Projetos!F:F)</f>
        <v>0</v>
      </c>
      <c r="X929" s="18">
        <f t="shared" si="115"/>
        <v>0</v>
      </c>
      <c r="Y929" s="26">
        <f ca="1">(U929*((Indicadores_Economicos!D$2+1)^(1/12)-1))</f>
        <v>320295.71398315078</v>
      </c>
      <c r="Z929" s="18">
        <f t="shared" ca="1" si="119"/>
        <v>98158161.669234395</v>
      </c>
      <c r="AA929" s="18">
        <f ca="1">Auxiliar_Projetos!E929</f>
        <v>8.0913517683611827E-9</v>
      </c>
      <c r="AB929" s="18">
        <f ca="1">Auxiliar_Projetos!K929</f>
        <v>6.2241167448932169E-9</v>
      </c>
      <c r="AC929" s="18">
        <f ca="1">IF(Z929-AA929-AB929&gt;Investimentos!$C$14,Investimentos!$C$14,IF(Z929-AA929-AB929&lt;Investimentos!$C$14,Z929-AA929-AB929,0))</f>
        <v>300000</v>
      </c>
      <c r="AD929" s="18">
        <f t="shared" ca="1" si="120"/>
        <v>97858161.66923438</v>
      </c>
      <c r="AE929" s="18"/>
    </row>
    <row r="930" spans="1:31" x14ac:dyDescent="0.2">
      <c r="A930" s="4">
        <v>73901</v>
      </c>
      <c r="B930" s="5" t="str">
        <f t="shared" si="116"/>
        <v>maio</v>
      </c>
      <c r="C930" s="5" t="str">
        <f t="shared" si="122"/>
        <v>2102</v>
      </c>
      <c r="D930" s="5">
        <f>SUMIFS(Despesas!$F:$F,Despesas!$J:$J,"&lt;="&amp;$A930,Despesas!$L:$L,"&gt;="&amp;$A930,Despesas!$C:$C,D$1,Despesas!$M:$M,"Mensal")+SUMIFS(Despesas!$F:$F,Despesas!$J:$J,"&lt;="&amp;$A930,Despesas!$L:$L,"&gt;="&amp;$A930,Despesas!$C:$C,D$1,Despesas!$M:$M,$B930)</f>
        <v>0</v>
      </c>
      <c r="E930" s="18">
        <f>SUMIFS(Despesas!$F:$F,Despesas!$J:$J,"&lt;="&amp;$A930,Despesas!$L:$L,"&gt;="&amp;$A930,Despesas!$C:$C,E$1,Despesas!$M:$M,"Mensal")+SUMIFS(Despesas!$F:$F,Despesas!$J:$J,"&lt;="&amp;$A930,Despesas!$L:$L,"&gt;="&amp;$A930,Despesas!$C:$C,E$1,Despesas!$M:$M,$B930)</f>
        <v>0</v>
      </c>
      <c r="F930" s="5">
        <f>SUMIFS(Despesas!$F:$F,Despesas!$J:$J,"&lt;="&amp;$A930,Despesas!$L:$L,"&gt;="&amp;$A930,Despesas!$C:$C,F$1,Despesas!$M:$M,"Mensal")+SUMIFS(Despesas!$F:$F,Despesas!$J:$J,"&lt;="&amp;$A930,Despesas!$L:$L,"&gt;="&amp;$A930,Despesas!$C:$C,F$1,Despesas!$M:$M,$B930)</f>
        <v>0</v>
      </c>
      <c r="G930" s="5">
        <f>SUMIFS(Despesas!$F:$F,Despesas!$J:$J,"&lt;="&amp;$A930,Despesas!$L:$L,"&gt;="&amp;$A930,Despesas!$C:$C,G$1,Despesas!$M:$M,"Mensal")+SUMIFS(Despesas!$F:$F,Despesas!$J:$J,"&lt;="&amp;$A930,Despesas!$L:$L,"&gt;="&amp;$A930,Despesas!$C:$C,G$1,Despesas!$M:$M,$B930)</f>
        <v>0</v>
      </c>
      <c r="H930" s="18">
        <f>SUMIFS(Despesas!$F:$F,Despesas!$J:$J,"&lt;="&amp;$A930,Despesas!$L:$L,"&gt;="&amp;$A930,Despesas!$C:$C,H$1,Despesas!$M:$M,"Mensal")+SUMIFS(Despesas!$F:$F,Despesas!$J:$J,"&lt;="&amp;$A930,Despesas!$L:$L,"&gt;="&amp;$A930,Despesas!$C:$C,H$1,Despesas!$M:$M,$B930)</f>
        <v>0</v>
      </c>
      <c r="I930" s="18">
        <f>IF(Imóveis!$F$2="PRICE",IF(AND(Dados!$A930&gt;=Imóveis!$Q$2,Dados!$A930&lt;=Imóveis!$T$2),Imóveis!$U$2,0),IF((IF(AND(Dados!$A930&gt;=Imóveis!$Q$2,Dados!$A930&lt;=Imóveis!$T$2),Imóveis!$S$2-(DATEDIF(Imóveis!$Q$2,Dados!$A930,"m")),0))=0,0,((Imóveis!$N$2/Imóveis!$S$2)+((Imóveis!$N$2-((Imóveis!$S$2-(IF(AND(Dados!$A930&gt;=Imóveis!$Q$2,Dados!$A930&lt;=Imóveis!$T$2),Imóveis!$S$2-(DATEDIF(Imóveis!$Q$2,Dados!$A930,"m")),)))*(Imóveis!$N$2/Imóveis!$S$2)))*Imóveis!$P$2))))*IF(AND(Imóveis!$E$2&gt;0,Dados!$A930&gt;Imóveis!$E$2),0,1)</f>
        <v>0</v>
      </c>
      <c r="J930" s="18">
        <f>IF(Imóveis!$F$3="PRICE",IF(AND(Dados!$A930&gt;=Imóveis!$Q$3,Dados!$A930&lt;=Imóveis!$T$3),Imóveis!$U$3,0),IF((IF(AND(Dados!$A930&gt;=Imóveis!$Q$3,Dados!$A930&lt;=Imóveis!$T$3),Imóveis!$S$3-(DATEDIF(Imóveis!$Q$3,Dados!$A930,"m")),0))=0,0,((Imóveis!$N$3/Imóveis!$S$3)+((Imóveis!$N$3-((Imóveis!$S$3-(IF(AND(Dados!$A930&gt;=Imóveis!$Q$3,Dados!$A930&lt;=Imóveis!$T$3),Imóveis!$S$3-(DATEDIF(Imóveis!$Q$3,Dados!$A930,"m")),)))*(Imóveis!$N$3/Imóveis!$S$3)))*Imóveis!$P$3))))*IF(AND(Imóveis!$E$3&gt;0,Dados!$A930&gt;Imóveis!$E$3),0,1)</f>
        <v>0</v>
      </c>
      <c r="K930" s="18">
        <f>IF(Imóveis!$F$4="PRICE",IF(AND(Dados!$A930&gt;=Imóveis!$Q$4,Dados!$A930&lt;=Imóveis!$T$4),Imóveis!$U$4,0),IF((IF(AND(Dados!$A930&gt;=Imóveis!$Q$4,Dados!$A930&lt;=Imóveis!$T$4),Imóveis!$S$4-(DATEDIF(Imóveis!$Q$4,Dados!$A930,"m")),0))=0,0,((Imóveis!$N$4/Imóveis!$S$4)+((Imóveis!$N$4-((Imóveis!$S$4-(IF(AND(Dados!$A930&gt;=Imóveis!$Q$4,Dados!$A930&lt;=Imóveis!$T$4),Imóveis!$S$4-(DATEDIF(Imóveis!$Q$4,Dados!$A930,"m")),)))*(Imóveis!$N$4/Imóveis!$S$4)))*Imóveis!$P$4))))*IF(AND(Imóveis!$E$4&gt;0,Dados!$A930&gt;Imóveis!$E$4),0,1)</f>
        <v>0</v>
      </c>
      <c r="L930" s="18">
        <f>IF(Imóveis!$F$5="PRICE",IF(AND(Dados!$A930&gt;=Imóveis!$Q$5,Dados!$A930&lt;=Imóveis!$T$5),Imóveis!$U$5,0),IF((IF(AND(Dados!$A930&gt;=Imóveis!$Q$5,Dados!$A930&lt;=Imóveis!$T$5),Imóveis!$S$5-(DATEDIF(Imóveis!$Q$5,Dados!$A930,"m")),0))=0,0,((Imóveis!$N$5/Imóveis!$S$5)+((Imóveis!$N$5-((Imóveis!$S$5-(IF(AND(Dados!$A930 &gt;=Imóveis!$Q$5,Dados!$A930&lt;=Imóveis!$T$5),Imóveis!$S$5-(DATEDIF(Imóveis!$Q$5,Dados!$A930,"m")),)))*(Imóveis!$N$5/Imóveis!$S$5)))*Imóveis!$P$5))))*IF(AND(Imóveis!$E$5&gt;0,Dados!$A930&gt;Imóveis!$E$5),0,1)*Imóveis!$I$5</f>
        <v>0</v>
      </c>
      <c r="M930" s="18">
        <f>IF(Imóveis!$F$6="PRICE",IF(AND(Dados!$A930&gt;=Imóveis!$Q$6,Dados!$A930&lt;=Imóveis!$T$6),Imóveis!$U$6,0),IF((IF(AND(Dados!$A930&gt;=Imóveis!$Q$6,Dados!$A930&lt;=Imóveis!$T$6),Imóveis!$S$6-(DATEDIF(Imóveis!$Q$6,Dados!$A930,"m")),0))=0,0,((Imóveis!$N$6/Imóveis!$S$6)+((Imóveis!$N$6-((Imóveis!$S$6-(IF(AND(Dados!$A930&gt;=Imóveis!$Q$6,Dados!$A930&lt;=Imóveis!$T$6),Imóveis!$S$6-(DATEDIF(Imóveis!$Q$6,Dados!$A930,"m")),)))*(Imóveis!$N$6/Imóveis!$S$6)))*Imóveis!$P$6))))*IF(AND(Imóveis!$E$6&gt;0,Dados!$A930&gt;Imóveis!$E$6),0,1)*Imóveis!$I$6</f>
        <v>0</v>
      </c>
      <c r="N930" s="18">
        <f t="shared" si="117"/>
        <v>0</v>
      </c>
      <c r="O930" s="18">
        <f>SUMIFS(Receitas!$F:$F,Receitas!$J:$J,"&lt;="&amp;$A930,Receitas!$L:$L,"&gt;="&amp;$A930,Receitas!$C:$C,O$1,Receitas!$M:$M,"Mensal")+SUMIFS(Receitas!$F:$F,Receitas!$J:$J,"&lt;="&amp;$A930,Receitas!$L:$L,"&gt;="&amp;$A930,Receitas!$C:$C,O$1,Receitas!$M:$M,$B930)</f>
        <v>0</v>
      </c>
      <c r="P930" s="18">
        <f>SUMIFS(Receitas!$F:$F,Receitas!$J:$J,"&lt;="&amp;$A930,Receitas!$L:$L,"&gt;="&amp;$A930,Receitas!$C:$C,P$1,Receitas!$M:$M,"Mensal")+SUMIFS(Receitas!$F:$F,Receitas!$J:$J,"&lt;="&amp;$A930,Receitas!$L:$L,"&gt;="&amp;$A930,Receitas!$C:$C,P$1,Receitas!$M:$M,$B930)</f>
        <v>0</v>
      </c>
      <c r="Q930" s="18">
        <f>SUMIFS(Receitas!$F:$F,Receitas!$J:$J,"&lt;="&amp;$A930,Receitas!$L:$L,"&gt;="&amp;$A930,Receitas!$C:$C,Q$1,Receitas!$M:$M,"Mensal")+SUMIFS(Receitas!$F:$F,Receitas!$J:$J,"&lt;="&amp;$A930,Receitas!$L:$L,"&gt;="&amp;$A930,Receitas!$C:$C,Q$1,Receitas!$M:$M,$B930)</f>
        <v>0</v>
      </c>
      <c r="R930" s="18" cm="1">
        <f t="array" ref="R930">(IF(AND(Membros!$F$2="Sim",A930&lt;=MAX(Membros!$E$2:$E$5)),Membros!K$2,IF(AND(A930&gt;=Membros!J$2,A930&lt;=MAX(Membros!$E$2:$E$5)),Membros!K$2,0))+IF(AND(Membros!$F$3="Sim",A930&lt;=MAX(Membros!$E$2:$E$5)),Membros!K$3,IF(AND(A930&gt;=Membros!J$3,A930&lt;=MAX(Membros!$E$2:$E$5)),Membros!K$3,0)))*IF(AND(COUNTIFS(Tabela3[Tipo],"Provedor",Tabela3[Simulação Seguro],"Sim")=2,A930&gt;=MAX(IF(Tabela3[Tipo]="Dependente",Tabela3[Expectativa de Vida (Data)]))),0,1)</f>
        <v>0</v>
      </c>
      <c r="S930" s="18">
        <f t="shared" si="118"/>
        <v>0</v>
      </c>
      <c r="U930" s="18">
        <f t="shared" ca="1" si="121"/>
        <v>98158161.669234395</v>
      </c>
      <c r="V930" s="18">
        <f>SUMIF(Imóveis!E:E,Dados!A:A,Imóveis!Z:Z)-SUMIF(Imóveis!E:E,Dados!A:A,Imóveis!Y:Y)</f>
        <v>0</v>
      </c>
      <c r="W930" s="18">
        <f>-SUMIF(Projetos!N:N,A930,Projetos!F:F)</f>
        <v>0</v>
      </c>
      <c r="X930" s="18">
        <f t="shared" si="115"/>
        <v>0</v>
      </c>
      <c r="Y930" s="26">
        <f ca="1">(U930*((Indicadores_Economicos!D$2+1)^(1/12)-1))</f>
        <v>321344.27880408522</v>
      </c>
      <c r="Z930" s="18">
        <f t="shared" ca="1" si="119"/>
        <v>98479505.948038474</v>
      </c>
      <c r="AA930" s="18">
        <f ca="1">Auxiliar_Projetos!E930</f>
        <v>8.1178407485370318E-9</v>
      </c>
      <c r="AB930" s="18">
        <f ca="1">Auxiliar_Projetos!K930</f>
        <v>6.2444928834900245E-9</v>
      </c>
      <c r="AC930" s="18">
        <f ca="1">IF(Z930-AA930-AB930&gt;Investimentos!$C$14,Investimentos!$C$14,IF(Z930-AA930-AB930&lt;Investimentos!$C$14,Z930-AA930-AB930,0))</f>
        <v>300000</v>
      </c>
      <c r="AD930" s="18">
        <f t="shared" ca="1" si="120"/>
        <v>98179505.948038459</v>
      </c>
      <c r="AE930" s="18"/>
    </row>
    <row r="931" spans="1:31" x14ac:dyDescent="0.2">
      <c r="A931" s="4">
        <v>73932</v>
      </c>
      <c r="B931" s="5" t="str">
        <f t="shared" si="116"/>
        <v>junho</v>
      </c>
      <c r="C931" s="5" t="str">
        <f t="shared" si="122"/>
        <v>2102</v>
      </c>
      <c r="D931" s="5">
        <f>SUMIFS(Despesas!$F:$F,Despesas!$J:$J,"&lt;="&amp;$A931,Despesas!$L:$L,"&gt;="&amp;$A931,Despesas!$C:$C,D$1,Despesas!$M:$M,"Mensal")+SUMIFS(Despesas!$F:$F,Despesas!$J:$J,"&lt;="&amp;$A931,Despesas!$L:$L,"&gt;="&amp;$A931,Despesas!$C:$C,D$1,Despesas!$M:$M,$B931)</f>
        <v>0</v>
      </c>
      <c r="E931" s="18">
        <f>SUMIFS(Despesas!$F:$F,Despesas!$J:$J,"&lt;="&amp;$A931,Despesas!$L:$L,"&gt;="&amp;$A931,Despesas!$C:$C,E$1,Despesas!$M:$M,"Mensal")+SUMIFS(Despesas!$F:$F,Despesas!$J:$J,"&lt;="&amp;$A931,Despesas!$L:$L,"&gt;="&amp;$A931,Despesas!$C:$C,E$1,Despesas!$M:$M,$B931)</f>
        <v>0</v>
      </c>
      <c r="F931" s="5">
        <f>SUMIFS(Despesas!$F:$F,Despesas!$J:$J,"&lt;="&amp;$A931,Despesas!$L:$L,"&gt;="&amp;$A931,Despesas!$C:$C,F$1,Despesas!$M:$M,"Mensal")+SUMIFS(Despesas!$F:$F,Despesas!$J:$J,"&lt;="&amp;$A931,Despesas!$L:$L,"&gt;="&amp;$A931,Despesas!$C:$C,F$1,Despesas!$M:$M,$B931)</f>
        <v>0</v>
      </c>
      <c r="G931" s="5">
        <f>SUMIFS(Despesas!$F:$F,Despesas!$J:$J,"&lt;="&amp;$A931,Despesas!$L:$L,"&gt;="&amp;$A931,Despesas!$C:$C,G$1,Despesas!$M:$M,"Mensal")+SUMIFS(Despesas!$F:$F,Despesas!$J:$J,"&lt;="&amp;$A931,Despesas!$L:$L,"&gt;="&amp;$A931,Despesas!$C:$C,G$1,Despesas!$M:$M,$B931)</f>
        <v>0</v>
      </c>
      <c r="H931" s="18">
        <f>SUMIFS(Despesas!$F:$F,Despesas!$J:$J,"&lt;="&amp;$A931,Despesas!$L:$L,"&gt;="&amp;$A931,Despesas!$C:$C,H$1,Despesas!$M:$M,"Mensal")+SUMIFS(Despesas!$F:$F,Despesas!$J:$J,"&lt;="&amp;$A931,Despesas!$L:$L,"&gt;="&amp;$A931,Despesas!$C:$C,H$1,Despesas!$M:$M,$B931)</f>
        <v>0</v>
      </c>
      <c r="I931" s="18">
        <f>IF(Imóveis!$F$2="PRICE",IF(AND(Dados!$A931&gt;=Imóveis!$Q$2,Dados!$A931&lt;=Imóveis!$T$2),Imóveis!$U$2,0),IF((IF(AND(Dados!$A931&gt;=Imóveis!$Q$2,Dados!$A931&lt;=Imóveis!$T$2),Imóveis!$S$2-(DATEDIF(Imóveis!$Q$2,Dados!$A931,"m")),0))=0,0,((Imóveis!$N$2/Imóveis!$S$2)+((Imóveis!$N$2-((Imóveis!$S$2-(IF(AND(Dados!$A931&gt;=Imóveis!$Q$2,Dados!$A931&lt;=Imóveis!$T$2),Imóveis!$S$2-(DATEDIF(Imóveis!$Q$2,Dados!$A931,"m")),)))*(Imóveis!$N$2/Imóveis!$S$2)))*Imóveis!$P$2))))*IF(AND(Imóveis!$E$2&gt;0,Dados!$A931&gt;Imóveis!$E$2),0,1)</f>
        <v>0</v>
      </c>
      <c r="J931" s="18">
        <f>IF(Imóveis!$F$3="PRICE",IF(AND(Dados!$A931&gt;=Imóveis!$Q$3,Dados!$A931&lt;=Imóveis!$T$3),Imóveis!$U$3,0),IF((IF(AND(Dados!$A931&gt;=Imóveis!$Q$3,Dados!$A931&lt;=Imóveis!$T$3),Imóveis!$S$3-(DATEDIF(Imóveis!$Q$3,Dados!$A931,"m")),0))=0,0,((Imóveis!$N$3/Imóveis!$S$3)+((Imóveis!$N$3-((Imóveis!$S$3-(IF(AND(Dados!$A931&gt;=Imóveis!$Q$3,Dados!$A931&lt;=Imóveis!$T$3),Imóveis!$S$3-(DATEDIF(Imóveis!$Q$3,Dados!$A931,"m")),)))*(Imóveis!$N$3/Imóveis!$S$3)))*Imóveis!$P$3))))*IF(AND(Imóveis!$E$3&gt;0,Dados!$A931&gt;Imóveis!$E$3),0,1)</f>
        <v>0</v>
      </c>
      <c r="K931" s="18">
        <f>IF(Imóveis!$F$4="PRICE",IF(AND(Dados!$A931&gt;=Imóveis!$Q$4,Dados!$A931&lt;=Imóveis!$T$4),Imóveis!$U$4,0),IF((IF(AND(Dados!$A931&gt;=Imóveis!$Q$4,Dados!$A931&lt;=Imóveis!$T$4),Imóveis!$S$4-(DATEDIF(Imóveis!$Q$4,Dados!$A931,"m")),0))=0,0,((Imóveis!$N$4/Imóveis!$S$4)+((Imóveis!$N$4-((Imóveis!$S$4-(IF(AND(Dados!$A931&gt;=Imóveis!$Q$4,Dados!$A931&lt;=Imóveis!$T$4),Imóveis!$S$4-(DATEDIF(Imóveis!$Q$4,Dados!$A931,"m")),)))*(Imóveis!$N$4/Imóveis!$S$4)))*Imóveis!$P$4))))*IF(AND(Imóveis!$E$4&gt;0,Dados!$A931&gt;Imóveis!$E$4),0,1)</f>
        <v>0</v>
      </c>
      <c r="L931" s="18">
        <f>IF(Imóveis!$F$5="PRICE",IF(AND(Dados!$A931&gt;=Imóveis!$Q$5,Dados!$A931&lt;=Imóveis!$T$5),Imóveis!$U$5,0),IF((IF(AND(Dados!$A931&gt;=Imóveis!$Q$5,Dados!$A931&lt;=Imóveis!$T$5),Imóveis!$S$5-(DATEDIF(Imóveis!$Q$5,Dados!$A931,"m")),0))=0,0,((Imóveis!$N$5/Imóveis!$S$5)+((Imóveis!$N$5-((Imóveis!$S$5-(IF(AND(Dados!$A931 &gt;=Imóveis!$Q$5,Dados!$A931&lt;=Imóveis!$T$5),Imóveis!$S$5-(DATEDIF(Imóveis!$Q$5,Dados!$A931,"m")),)))*(Imóveis!$N$5/Imóveis!$S$5)))*Imóveis!$P$5))))*IF(AND(Imóveis!$E$5&gt;0,Dados!$A931&gt;Imóveis!$E$5),0,1)*Imóveis!$I$5</f>
        <v>0</v>
      </c>
      <c r="M931" s="18">
        <f>IF(Imóveis!$F$6="PRICE",IF(AND(Dados!$A931&gt;=Imóveis!$Q$6,Dados!$A931&lt;=Imóveis!$T$6),Imóveis!$U$6,0),IF((IF(AND(Dados!$A931&gt;=Imóveis!$Q$6,Dados!$A931&lt;=Imóveis!$T$6),Imóveis!$S$6-(DATEDIF(Imóveis!$Q$6,Dados!$A931,"m")),0))=0,0,((Imóveis!$N$6/Imóveis!$S$6)+((Imóveis!$N$6-((Imóveis!$S$6-(IF(AND(Dados!$A931&gt;=Imóveis!$Q$6,Dados!$A931&lt;=Imóveis!$T$6),Imóveis!$S$6-(DATEDIF(Imóveis!$Q$6,Dados!$A931,"m")),)))*(Imóveis!$N$6/Imóveis!$S$6)))*Imóveis!$P$6))))*IF(AND(Imóveis!$E$6&gt;0,Dados!$A931&gt;Imóveis!$E$6),0,1)*Imóveis!$I$6</f>
        <v>0</v>
      </c>
      <c r="N931" s="18">
        <f t="shared" si="117"/>
        <v>0</v>
      </c>
      <c r="O931" s="18">
        <f>SUMIFS(Receitas!$F:$F,Receitas!$J:$J,"&lt;="&amp;$A931,Receitas!$L:$L,"&gt;="&amp;$A931,Receitas!$C:$C,O$1,Receitas!$M:$M,"Mensal")+SUMIFS(Receitas!$F:$F,Receitas!$J:$J,"&lt;="&amp;$A931,Receitas!$L:$L,"&gt;="&amp;$A931,Receitas!$C:$C,O$1,Receitas!$M:$M,$B931)</f>
        <v>0</v>
      </c>
      <c r="P931" s="18">
        <f>SUMIFS(Receitas!$F:$F,Receitas!$J:$J,"&lt;="&amp;$A931,Receitas!$L:$L,"&gt;="&amp;$A931,Receitas!$C:$C,P$1,Receitas!$M:$M,"Mensal")+SUMIFS(Receitas!$F:$F,Receitas!$J:$J,"&lt;="&amp;$A931,Receitas!$L:$L,"&gt;="&amp;$A931,Receitas!$C:$C,P$1,Receitas!$M:$M,$B931)</f>
        <v>0</v>
      </c>
      <c r="Q931" s="18">
        <f>SUMIFS(Receitas!$F:$F,Receitas!$J:$J,"&lt;="&amp;$A931,Receitas!$L:$L,"&gt;="&amp;$A931,Receitas!$C:$C,Q$1,Receitas!$M:$M,"Mensal")+SUMIFS(Receitas!$F:$F,Receitas!$J:$J,"&lt;="&amp;$A931,Receitas!$L:$L,"&gt;="&amp;$A931,Receitas!$C:$C,Q$1,Receitas!$M:$M,$B931)</f>
        <v>0</v>
      </c>
      <c r="R931" s="18" cm="1">
        <f t="array" ref="R931">(IF(AND(Membros!$F$2="Sim",A931&lt;=MAX(Membros!$E$2:$E$5)),Membros!K$2,IF(AND(A931&gt;=Membros!J$2,A931&lt;=MAX(Membros!$E$2:$E$5)),Membros!K$2,0))+IF(AND(Membros!$F$3="Sim",A931&lt;=MAX(Membros!$E$2:$E$5)),Membros!K$3,IF(AND(A931&gt;=Membros!J$3,A931&lt;=MAX(Membros!$E$2:$E$5)),Membros!K$3,0)))*IF(AND(COUNTIFS(Tabela3[Tipo],"Provedor",Tabela3[Simulação Seguro],"Sim")=2,A931&gt;=MAX(IF(Tabela3[Tipo]="Dependente",Tabela3[Expectativa de Vida (Data)]))),0,1)</f>
        <v>0</v>
      </c>
      <c r="S931" s="18">
        <f t="shared" si="118"/>
        <v>0</v>
      </c>
      <c r="U931" s="18">
        <f t="shared" ca="1" si="121"/>
        <v>98479505.948038474</v>
      </c>
      <c r="V931" s="18">
        <f>SUMIF(Imóveis!E:E,Dados!A:A,Imóveis!Z:Z)-SUMIF(Imóveis!E:E,Dados!A:A,Imóveis!Y:Y)</f>
        <v>0</v>
      </c>
      <c r="W931" s="18">
        <f>-SUMIF(Projetos!N:N,A931,Projetos!F:F)</f>
        <v>0</v>
      </c>
      <c r="X931" s="18">
        <f t="shared" si="115"/>
        <v>0</v>
      </c>
      <c r="Y931" s="26">
        <f ca="1">(U931*((Indicadores_Economicos!D$2+1)^(1/12)-1))</f>
        <v>322396.27635338815</v>
      </c>
      <c r="Z931" s="18">
        <f t="shared" ca="1" si="119"/>
        <v>98801902.224391863</v>
      </c>
      <c r="AA931" s="18">
        <f ca="1">Auxiliar_Projetos!E931</f>
        <v>8.1444164467410734E-9</v>
      </c>
      <c r="AB931" s="18">
        <f ca="1">Auxiliar_Projetos!K931</f>
        <v>6.2649357282623639E-9</v>
      </c>
      <c r="AC931" s="18">
        <f ca="1">IF(Z931-AA931-AB931&gt;Investimentos!$C$14,Investimentos!$C$14,IF(Z931-AA931-AB931&lt;Investimentos!$C$14,Z931-AA931-AB931,0))</f>
        <v>300000</v>
      </c>
      <c r="AD931" s="18">
        <f t="shared" ca="1" si="120"/>
        <v>98501902.224391848</v>
      </c>
      <c r="AE931" s="18"/>
    </row>
    <row r="932" spans="1:31" x14ac:dyDescent="0.2">
      <c r="A932" s="4">
        <v>73962</v>
      </c>
      <c r="B932" s="5" t="str">
        <f t="shared" si="116"/>
        <v>julho</v>
      </c>
      <c r="C932" s="5" t="str">
        <f t="shared" si="122"/>
        <v>2102</v>
      </c>
      <c r="D932" s="5">
        <f>SUMIFS(Despesas!$F:$F,Despesas!$J:$J,"&lt;="&amp;$A932,Despesas!$L:$L,"&gt;="&amp;$A932,Despesas!$C:$C,D$1,Despesas!$M:$M,"Mensal")+SUMIFS(Despesas!$F:$F,Despesas!$J:$J,"&lt;="&amp;$A932,Despesas!$L:$L,"&gt;="&amp;$A932,Despesas!$C:$C,D$1,Despesas!$M:$M,$B932)</f>
        <v>0</v>
      </c>
      <c r="E932" s="18">
        <f>SUMIFS(Despesas!$F:$F,Despesas!$J:$J,"&lt;="&amp;$A932,Despesas!$L:$L,"&gt;="&amp;$A932,Despesas!$C:$C,E$1,Despesas!$M:$M,"Mensal")+SUMIFS(Despesas!$F:$F,Despesas!$J:$J,"&lt;="&amp;$A932,Despesas!$L:$L,"&gt;="&amp;$A932,Despesas!$C:$C,E$1,Despesas!$M:$M,$B932)</f>
        <v>0</v>
      </c>
      <c r="F932" s="5">
        <f>SUMIFS(Despesas!$F:$F,Despesas!$J:$J,"&lt;="&amp;$A932,Despesas!$L:$L,"&gt;="&amp;$A932,Despesas!$C:$C,F$1,Despesas!$M:$M,"Mensal")+SUMIFS(Despesas!$F:$F,Despesas!$J:$J,"&lt;="&amp;$A932,Despesas!$L:$L,"&gt;="&amp;$A932,Despesas!$C:$C,F$1,Despesas!$M:$M,$B932)</f>
        <v>0</v>
      </c>
      <c r="G932" s="5">
        <f>SUMIFS(Despesas!$F:$F,Despesas!$J:$J,"&lt;="&amp;$A932,Despesas!$L:$L,"&gt;="&amp;$A932,Despesas!$C:$C,G$1,Despesas!$M:$M,"Mensal")+SUMIFS(Despesas!$F:$F,Despesas!$J:$J,"&lt;="&amp;$A932,Despesas!$L:$L,"&gt;="&amp;$A932,Despesas!$C:$C,G$1,Despesas!$M:$M,$B932)</f>
        <v>0</v>
      </c>
      <c r="H932" s="18">
        <f>SUMIFS(Despesas!$F:$F,Despesas!$J:$J,"&lt;="&amp;$A932,Despesas!$L:$L,"&gt;="&amp;$A932,Despesas!$C:$C,H$1,Despesas!$M:$M,"Mensal")+SUMIFS(Despesas!$F:$F,Despesas!$J:$J,"&lt;="&amp;$A932,Despesas!$L:$L,"&gt;="&amp;$A932,Despesas!$C:$C,H$1,Despesas!$M:$M,$B932)</f>
        <v>0</v>
      </c>
      <c r="I932" s="18">
        <f>IF(Imóveis!$F$2="PRICE",IF(AND(Dados!$A932&gt;=Imóveis!$Q$2,Dados!$A932&lt;=Imóveis!$T$2),Imóveis!$U$2,0),IF((IF(AND(Dados!$A932&gt;=Imóveis!$Q$2,Dados!$A932&lt;=Imóveis!$T$2),Imóveis!$S$2-(DATEDIF(Imóveis!$Q$2,Dados!$A932,"m")),0))=0,0,((Imóveis!$N$2/Imóveis!$S$2)+((Imóveis!$N$2-((Imóveis!$S$2-(IF(AND(Dados!$A932&gt;=Imóveis!$Q$2,Dados!$A932&lt;=Imóveis!$T$2),Imóveis!$S$2-(DATEDIF(Imóveis!$Q$2,Dados!$A932,"m")),)))*(Imóveis!$N$2/Imóveis!$S$2)))*Imóveis!$P$2))))*IF(AND(Imóveis!$E$2&gt;0,Dados!$A932&gt;Imóveis!$E$2),0,1)</f>
        <v>0</v>
      </c>
      <c r="J932" s="18">
        <f>IF(Imóveis!$F$3="PRICE",IF(AND(Dados!$A932&gt;=Imóveis!$Q$3,Dados!$A932&lt;=Imóveis!$T$3),Imóveis!$U$3,0),IF((IF(AND(Dados!$A932&gt;=Imóveis!$Q$3,Dados!$A932&lt;=Imóveis!$T$3),Imóveis!$S$3-(DATEDIF(Imóveis!$Q$3,Dados!$A932,"m")),0))=0,0,((Imóveis!$N$3/Imóveis!$S$3)+((Imóveis!$N$3-((Imóveis!$S$3-(IF(AND(Dados!$A932&gt;=Imóveis!$Q$3,Dados!$A932&lt;=Imóveis!$T$3),Imóveis!$S$3-(DATEDIF(Imóveis!$Q$3,Dados!$A932,"m")),)))*(Imóveis!$N$3/Imóveis!$S$3)))*Imóveis!$P$3))))*IF(AND(Imóveis!$E$3&gt;0,Dados!$A932&gt;Imóveis!$E$3),0,1)</f>
        <v>0</v>
      </c>
      <c r="K932" s="18">
        <f>IF(Imóveis!$F$4="PRICE",IF(AND(Dados!$A932&gt;=Imóveis!$Q$4,Dados!$A932&lt;=Imóveis!$T$4),Imóveis!$U$4,0),IF((IF(AND(Dados!$A932&gt;=Imóveis!$Q$4,Dados!$A932&lt;=Imóveis!$T$4),Imóveis!$S$4-(DATEDIF(Imóveis!$Q$4,Dados!$A932,"m")),0))=0,0,((Imóveis!$N$4/Imóveis!$S$4)+((Imóveis!$N$4-((Imóveis!$S$4-(IF(AND(Dados!$A932&gt;=Imóveis!$Q$4,Dados!$A932&lt;=Imóveis!$T$4),Imóveis!$S$4-(DATEDIF(Imóveis!$Q$4,Dados!$A932,"m")),)))*(Imóveis!$N$4/Imóveis!$S$4)))*Imóveis!$P$4))))*IF(AND(Imóveis!$E$4&gt;0,Dados!$A932&gt;Imóveis!$E$4),0,1)</f>
        <v>0</v>
      </c>
      <c r="L932" s="18">
        <f>IF(Imóveis!$F$5="PRICE",IF(AND(Dados!$A932&gt;=Imóveis!$Q$5,Dados!$A932&lt;=Imóveis!$T$5),Imóveis!$U$5,0),IF((IF(AND(Dados!$A932&gt;=Imóveis!$Q$5,Dados!$A932&lt;=Imóveis!$T$5),Imóveis!$S$5-(DATEDIF(Imóveis!$Q$5,Dados!$A932,"m")),0))=0,0,((Imóveis!$N$5/Imóveis!$S$5)+((Imóveis!$N$5-((Imóveis!$S$5-(IF(AND(Dados!$A932 &gt;=Imóveis!$Q$5,Dados!$A932&lt;=Imóveis!$T$5),Imóveis!$S$5-(DATEDIF(Imóveis!$Q$5,Dados!$A932,"m")),)))*(Imóveis!$N$5/Imóveis!$S$5)))*Imóveis!$P$5))))*IF(AND(Imóveis!$E$5&gt;0,Dados!$A932&gt;Imóveis!$E$5),0,1)*Imóveis!$I$5</f>
        <v>0</v>
      </c>
      <c r="M932" s="18">
        <f>IF(Imóveis!$F$6="PRICE",IF(AND(Dados!$A932&gt;=Imóveis!$Q$6,Dados!$A932&lt;=Imóveis!$T$6),Imóveis!$U$6,0),IF((IF(AND(Dados!$A932&gt;=Imóveis!$Q$6,Dados!$A932&lt;=Imóveis!$T$6),Imóveis!$S$6-(DATEDIF(Imóveis!$Q$6,Dados!$A932,"m")),0))=0,0,((Imóveis!$N$6/Imóveis!$S$6)+((Imóveis!$N$6-((Imóveis!$S$6-(IF(AND(Dados!$A932&gt;=Imóveis!$Q$6,Dados!$A932&lt;=Imóveis!$T$6),Imóveis!$S$6-(DATEDIF(Imóveis!$Q$6,Dados!$A932,"m")),)))*(Imóveis!$N$6/Imóveis!$S$6)))*Imóveis!$P$6))))*IF(AND(Imóveis!$E$6&gt;0,Dados!$A932&gt;Imóveis!$E$6),0,1)*Imóveis!$I$6</f>
        <v>0</v>
      </c>
      <c r="N932" s="18">
        <f t="shared" si="117"/>
        <v>0</v>
      </c>
      <c r="O932" s="18">
        <f>SUMIFS(Receitas!$F:$F,Receitas!$J:$J,"&lt;="&amp;$A932,Receitas!$L:$L,"&gt;="&amp;$A932,Receitas!$C:$C,O$1,Receitas!$M:$M,"Mensal")+SUMIFS(Receitas!$F:$F,Receitas!$J:$J,"&lt;="&amp;$A932,Receitas!$L:$L,"&gt;="&amp;$A932,Receitas!$C:$C,O$1,Receitas!$M:$M,$B932)</f>
        <v>0</v>
      </c>
      <c r="P932" s="18">
        <f>SUMIFS(Receitas!$F:$F,Receitas!$J:$J,"&lt;="&amp;$A932,Receitas!$L:$L,"&gt;="&amp;$A932,Receitas!$C:$C,P$1,Receitas!$M:$M,"Mensal")+SUMIFS(Receitas!$F:$F,Receitas!$J:$J,"&lt;="&amp;$A932,Receitas!$L:$L,"&gt;="&amp;$A932,Receitas!$C:$C,P$1,Receitas!$M:$M,$B932)</f>
        <v>0</v>
      </c>
      <c r="Q932" s="18">
        <f>SUMIFS(Receitas!$F:$F,Receitas!$J:$J,"&lt;="&amp;$A932,Receitas!$L:$L,"&gt;="&amp;$A932,Receitas!$C:$C,Q$1,Receitas!$M:$M,"Mensal")+SUMIFS(Receitas!$F:$F,Receitas!$J:$J,"&lt;="&amp;$A932,Receitas!$L:$L,"&gt;="&amp;$A932,Receitas!$C:$C,Q$1,Receitas!$M:$M,$B932)</f>
        <v>0</v>
      </c>
      <c r="R932" s="18" cm="1">
        <f t="array" ref="R932">(IF(AND(Membros!$F$2="Sim",A932&lt;=MAX(Membros!$E$2:$E$5)),Membros!K$2,IF(AND(A932&gt;=Membros!J$2,A932&lt;=MAX(Membros!$E$2:$E$5)),Membros!K$2,0))+IF(AND(Membros!$F$3="Sim",A932&lt;=MAX(Membros!$E$2:$E$5)),Membros!K$3,IF(AND(A932&gt;=Membros!J$3,A932&lt;=MAX(Membros!$E$2:$E$5)),Membros!K$3,0)))*IF(AND(COUNTIFS(Tabela3[Tipo],"Provedor",Tabela3[Simulação Seguro],"Sim")=2,A932&gt;=MAX(IF(Tabela3[Tipo]="Dependente",Tabela3[Expectativa de Vida (Data)]))),0,1)</f>
        <v>0</v>
      </c>
      <c r="S932" s="18">
        <f t="shared" si="118"/>
        <v>0</v>
      </c>
      <c r="U932" s="18">
        <f t="shared" ca="1" si="121"/>
        <v>98801902.224391863</v>
      </c>
      <c r="V932" s="18">
        <f>SUMIF(Imóveis!E:E,Dados!A:A,Imóveis!Z:Z)-SUMIF(Imóveis!E:E,Dados!A:A,Imóveis!Y:Y)</f>
        <v>0</v>
      </c>
      <c r="W932" s="18">
        <f>-SUMIF(Projetos!N:N,A932,Projetos!F:F)</f>
        <v>0</v>
      </c>
      <c r="X932" s="18">
        <f t="shared" si="115"/>
        <v>0</v>
      </c>
      <c r="Y932" s="26">
        <f ca="1">(U932*((Indicadores_Economicos!D$2+1)^(1/12)-1))</f>
        <v>323451.71786891908</v>
      </c>
      <c r="Z932" s="18">
        <f t="shared" ca="1" si="119"/>
        <v>99125353.942260787</v>
      </c>
      <c r="AA932" s="18">
        <f ca="1">Auxiliar_Projetos!E932</f>
        <v>8.1710791468655649E-9</v>
      </c>
      <c r="AB932" s="18">
        <f ca="1">Auxiliar_Projetos!K932</f>
        <v>6.2854454975888953E-9</v>
      </c>
      <c r="AC932" s="18">
        <f ca="1">IF(Z932-AA932-AB932&gt;Investimentos!$C$14,Investimentos!$C$14,IF(Z932-AA932-AB932&lt;Investimentos!$C$14,Z932-AA932-AB932,0))</f>
        <v>300000</v>
      </c>
      <c r="AD932" s="18">
        <f t="shared" ca="1" si="120"/>
        <v>98825353.942260772</v>
      </c>
      <c r="AE932" s="18"/>
    </row>
    <row r="933" spans="1:31" x14ac:dyDescent="0.2">
      <c r="A933" s="4">
        <v>73993</v>
      </c>
      <c r="B933" s="5" t="str">
        <f t="shared" si="116"/>
        <v>agosto</v>
      </c>
      <c r="C933" s="5" t="str">
        <f t="shared" si="122"/>
        <v>2102</v>
      </c>
      <c r="D933" s="5">
        <f>SUMIFS(Despesas!$F:$F,Despesas!$J:$J,"&lt;="&amp;$A933,Despesas!$L:$L,"&gt;="&amp;$A933,Despesas!$C:$C,D$1,Despesas!$M:$M,"Mensal")+SUMIFS(Despesas!$F:$F,Despesas!$J:$J,"&lt;="&amp;$A933,Despesas!$L:$L,"&gt;="&amp;$A933,Despesas!$C:$C,D$1,Despesas!$M:$M,$B933)</f>
        <v>0</v>
      </c>
      <c r="E933" s="18">
        <f>SUMIFS(Despesas!$F:$F,Despesas!$J:$J,"&lt;="&amp;$A933,Despesas!$L:$L,"&gt;="&amp;$A933,Despesas!$C:$C,E$1,Despesas!$M:$M,"Mensal")+SUMIFS(Despesas!$F:$F,Despesas!$J:$J,"&lt;="&amp;$A933,Despesas!$L:$L,"&gt;="&amp;$A933,Despesas!$C:$C,E$1,Despesas!$M:$M,$B933)</f>
        <v>0</v>
      </c>
      <c r="F933" s="5">
        <f>SUMIFS(Despesas!$F:$F,Despesas!$J:$J,"&lt;="&amp;$A933,Despesas!$L:$L,"&gt;="&amp;$A933,Despesas!$C:$C,F$1,Despesas!$M:$M,"Mensal")+SUMIFS(Despesas!$F:$F,Despesas!$J:$J,"&lt;="&amp;$A933,Despesas!$L:$L,"&gt;="&amp;$A933,Despesas!$C:$C,F$1,Despesas!$M:$M,$B933)</f>
        <v>0</v>
      </c>
      <c r="G933" s="5">
        <f>SUMIFS(Despesas!$F:$F,Despesas!$J:$J,"&lt;="&amp;$A933,Despesas!$L:$L,"&gt;="&amp;$A933,Despesas!$C:$C,G$1,Despesas!$M:$M,"Mensal")+SUMIFS(Despesas!$F:$F,Despesas!$J:$J,"&lt;="&amp;$A933,Despesas!$L:$L,"&gt;="&amp;$A933,Despesas!$C:$C,G$1,Despesas!$M:$M,$B933)</f>
        <v>0</v>
      </c>
      <c r="H933" s="18">
        <f>SUMIFS(Despesas!$F:$F,Despesas!$J:$J,"&lt;="&amp;$A933,Despesas!$L:$L,"&gt;="&amp;$A933,Despesas!$C:$C,H$1,Despesas!$M:$M,"Mensal")+SUMIFS(Despesas!$F:$F,Despesas!$J:$J,"&lt;="&amp;$A933,Despesas!$L:$L,"&gt;="&amp;$A933,Despesas!$C:$C,H$1,Despesas!$M:$M,$B933)</f>
        <v>0</v>
      </c>
      <c r="I933" s="18">
        <f>IF(Imóveis!$F$2="PRICE",IF(AND(Dados!$A933&gt;=Imóveis!$Q$2,Dados!$A933&lt;=Imóveis!$T$2),Imóveis!$U$2,0),IF((IF(AND(Dados!$A933&gt;=Imóveis!$Q$2,Dados!$A933&lt;=Imóveis!$T$2),Imóveis!$S$2-(DATEDIF(Imóveis!$Q$2,Dados!$A933,"m")),0))=0,0,((Imóveis!$N$2/Imóveis!$S$2)+((Imóveis!$N$2-((Imóveis!$S$2-(IF(AND(Dados!$A933&gt;=Imóveis!$Q$2,Dados!$A933&lt;=Imóveis!$T$2),Imóveis!$S$2-(DATEDIF(Imóveis!$Q$2,Dados!$A933,"m")),)))*(Imóveis!$N$2/Imóveis!$S$2)))*Imóveis!$P$2))))*IF(AND(Imóveis!$E$2&gt;0,Dados!$A933&gt;Imóveis!$E$2),0,1)</f>
        <v>0</v>
      </c>
      <c r="J933" s="18">
        <f>IF(Imóveis!$F$3="PRICE",IF(AND(Dados!$A933&gt;=Imóveis!$Q$3,Dados!$A933&lt;=Imóveis!$T$3),Imóveis!$U$3,0),IF((IF(AND(Dados!$A933&gt;=Imóveis!$Q$3,Dados!$A933&lt;=Imóveis!$T$3),Imóveis!$S$3-(DATEDIF(Imóveis!$Q$3,Dados!$A933,"m")),0))=0,0,((Imóveis!$N$3/Imóveis!$S$3)+((Imóveis!$N$3-((Imóveis!$S$3-(IF(AND(Dados!$A933&gt;=Imóveis!$Q$3,Dados!$A933&lt;=Imóveis!$T$3),Imóveis!$S$3-(DATEDIF(Imóveis!$Q$3,Dados!$A933,"m")),)))*(Imóveis!$N$3/Imóveis!$S$3)))*Imóveis!$P$3))))*IF(AND(Imóveis!$E$3&gt;0,Dados!$A933&gt;Imóveis!$E$3),0,1)</f>
        <v>0</v>
      </c>
      <c r="K933" s="18">
        <f>IF(Imóveis!$F$4="PRICE",IF(AND(Dados!$A933&gt;=Imóveis!$Q$4,Dados!$A933&lt;=Imóveis!$T$4),Imóveis!$U$4,0),IF((IF(AND(Dados!$A933&gt;=Imóveis!$Q$4,Dados!$A933&lt;=Imóveis!$T$4),Imóveis!$S$4-(DATEDIF(Imóveis!$Q$4,Dados!$A933,"m")),0))=0,0,((Imóveis!$N$4/Imóveis!$S$4)+((Imóveis!$N$4-((Imóveis!$S$4-(IF(AND(Dados!$A933&gt;=Imóveis!$Q$4,Dados!$A933&lt;=Imóveis!$T$4),Imóveis!$S$4-(DATEDIF(Imóveis!$Q$4,Dados!$A933,"m")),)))*(Imóveis!$N$4/Imóveis!$S$4)))*Imóveis!$P$4))))*IF(AND(Imóveis!$E$4&gt;0,Dados!$A933&gt;Imóveis!$E$4),0,1)</f>
        <v>0</v>
      </c>
      <c r="L933" s="18">
        <f>IF(Imóveis!$F$5="PRICE",IF(AND(Dados!$A933&gt;=Imóveis!$Q$5,Dados!$A933&lt;=Imóveis!$T$5),Imóveis!$U$5,0),IF((IF(AND(Dados!$A933&gt;=Imóveis!$Q$5,Dados!$A933&lt;=Imóveis!$T$5),Imóveis!$S$5-(DATEDIF(Imóveis!$Q$5,Dados!$A933,"m")),0))=0,0,((Imóveis!$N$5/Imóveis!$S$5)+((Imóveis!$N$5-((Imóveis!$S$5-(IF(AND(Dados!$A933 &gt;=Imóveis!$Q$5,Dados!$A933&lt;=Imóveis!$T$5),Imóveis!$S$5-(DATEDIF(Imóveis!$Q$5,Dados!$A933,"m")),)))*(Imóveis!$N$5/Imóveis!$S$5)))*Imóveis!$P$5))))*IF(AND(Imóveis!$E$5&gt;0,Dados!$A933&gt;Imóveis!$E$5),0,1)*Imóveis!$I$5</f>
        <v>0</v>
      </c>
      <c r="M933" s="18">
        <f>IF(Imóveis!$F$6="PRICE",IF(AND(Dados!$A933&gt;=Imóveis!$Q$6,Dados!$A933&lt;=Imóveis!$T$6),Imóveis!$U$6,0),IF((IF(AND(Dados!$A933&gt;=Imóveis!$Q$6,Dados!$A933&lt;=Imóveis!$T$6),Imóveis!$S$6-(DATEDIF(Imóveis!$Q$6,Dados!$A933,"m")),0))=0,0,((Imóveis!$N$6/Imóveis!$S$6)+((Imóveis!$N$6-((Imóveis!$S$6-(IF(AND(Dados!$A933&gt;=Imóveis!$Q$6,Dados!$A933&lt;=Imóveis!$T$6),Imóveis!$S$6-(DATEDIF(Imóveis!$Q$6,Dados!$A933,"m")),)))*(Imóveis!$N$6/Imóveis!$S$6)))*Imóveis!$P$6))))*IF(AND(Imóveis!$E$6&gt;0,Dados!$A933&gt;Imóveis!$E$6),0,1)*Imóveis!$I$6</f>
        <v>0</v>
      </c>
      <c r="N933" s="18">
        <f t="shared" si="117"/>
        <v>0</v>
      </c>
      <c r="O933" s="18">
        <f>SUMIFS(Receitas!$F:$F,Receitas!$J:$J,"&lt;="&amp;$A933,Receitas!$L:$L,"&gt;="&amp;$A933,Receitas!$C:$C,O$1,Receitas!$M:$M,"Mensal")+SUMIFS(Receitas!$F:$F,Receitas!$J:$J,"&lt;="&amp;$A933,Receitas!$L:$L,"&gt;="&amp;$A933,Receitas!$C:$C,O$1,Receitas!$M:$M,$B933)</f>
        <v>0</v>
      </c>
      <c r="P933" s="18">
        <f>SUMIFS(Receitas!$F:$F,Receitas!$J:$J,"&lt;="&amp;$A933,Receitas!$L:$L,"&gt;="&amp;$A933,Receitas!$C:$C,P$1,Receitas!$M:$M,"Mensal")+SUMIFS(Receitas!$F:$F,Receitas!$J:$J,"&lt;="&amp;$A933,Receitas!$L:$L,"&gt;="&amp;$A933,Receitas!$C:$C,P$1,Receitas!$M:$M,$B933)</f>
        <v>0</v>
      </c>
      <c r="Q933" s="18">
        <f>SUMIFS(Receitas!$F:$F,Receitas!$J:$J,"&lt;="&amp;$A933,Receitas!$L:$L,"&gt;="&amp;$A933,Receitas!$C:$C,Q$1,Receitas!$M:$M,"Mensal")+SUMIFS(Receitas!$F:$F,Receitas!$J:$J,"&lt;="&amp;$A933,Receitas!$L:$L,"&gt;="&amp;$A933,Receitas!$C:$C,Q$1,Receitas!$M:$M,$B933)</f>
        <v>0</v>
      </c>
      <c r="R933" s="18" cm="1">
        <f t="array" ref="R933">(IF(AND(Membros!$F$2="Sim",A933&lt;=MAX(Membros!$E$2:$E$5)),Membros!K$2,IF(AND(A933&gt;=Membros!J$2,A933&lt;=MAX(Membros!$E$2:$E$5)),Membros!K$2,0))+IF(AND(Membros!$F$3="Sim",A933&lt;=MAX(Membros!$E$2:$E$5)),Membros!K$3,IF(AND(A933&gt;=Membros!J$3,A933&lt;=MAX(Membros!$E$2:$E$5)),Membros!K$3,0)))*IF(AND(COUNTIFS(Tabela3[Tipo],"Provedor",Tabela3[Simulação Seguro],"Sim")=2,A933&gt;=MAX(IF(Tabela3[Tipo]="Dependente",Tabela3[Expectativa de Vida (Data)]))),0,1)</f>
        <v>0</v>
      </c>
      <c r="S933" s="18">
        <f t="shared" si="118"/>
        <v>0</v>
      </c>
      <c r="U933" s="18">
        <f t="shared" ca="1" si="121"/>
        <v>99125353.942260787</v>
      </c>
      <c r="V933" s="18">
        <f>SUMIF(Imóveis!E:E,Dados!A:A,Imóveis!Z:Z)-SUMIF(Imóveis!E:E,Dados!A:A,Imóveis!Y:Y)</f>
        <v>0</v>
      </c>
      <c r="W933" s="18">
        <f>-SUMIF(Projetos!N:N,A933,Projetos!F:F)</f>
        <v>0</v>
      </c>
      <c r="X933" s="18">
        <f t="shared" si="115"/>
        <v>0</v>
      </c>
      <c r="Y933" s="26">
        <f ca="1">(U933*((Indicadores_Economicos!D$2+1)^(1/12)-1))</f>
        <v>324510.61462532711</v>
      </c>
      <c r="Z933" s="18">
        <f t="shared" ca="1" si="119"/>
        <v>99449864.556886107</v>
      </c>
      <c r="AA933" s="18">
        <f ca="1">Auxiliar_Projetos!E933</f>
        <v>8.1978291337321542E-9</v>
      </c>
      <c r="AB933" s="18">
        <f ca="1">Auxiliar_Projetos!K933</f>
        <v>6.3060224105631949E-9</v>
      </c>
      <c r="AC933" s="18">
        <f ca="1">IF(Z933-AA933-AB933&gt;Investimentos!$C$14,Investimentos!$C$14,IF(Z933-AA933-AB933&lt;Investimentos!$C$14,Z933-AA933-AB933,0))</f>
        <v>300000</v>
      </c>
      <c r="AD933" s="18">
        <f t="shared" ca="1" si="120"/>
        <v>99149864.556886092</v>
      </c>
      <c r="AE933" s="18"/>
    </row>
    <row r="934" spans="1:31" x14ac:dyDescent="0.2">
      <c r="A934" s="4">
        <v>74024</v>
      </c>
      <c r="B934" s="5" t="str">
        <f t="shared" si="116"/>
        <v>setembro</v>
      </c>
      <c r="C934" s="5" t="str">
        <f t="shared" si="122"/>
        <v>2102</v>
      </c>
      <c r="D934" s="5">
        <f>SUMIFS(Despesas!$F:$F,Despesas!$J:$J,"&lt;="&amp;$A934,Despesas!$L:$L,"&gt;="&amp;$A934,Despesas!$C:$C,D$1,Despesas!$M:$M,"Mensal")+SUMIFS(Despesas!$F:$F,Despesas!$J:$J,"&lt;="&amp;$A934,Despesas!$L:$L,"&gt;="&amp;$A934,Despesas!$C:$C,D$1,Despesas!$M:$M,$B934)</f>
        <v>0</v>
      </c>
      <c r="E934" s="18">
        <f>SUMIFS(Despesas!$F:$F,Despesas!$J:$J,"&lt;="&amp;$A934,Despesas!$L:$L,"&gt;="&amp;$A934,Despesas!$C:$C,E$1,Despesas!$M:$M,"Mensal")+SUMIFS(Despesas!$F:$F,Despesas!$J:$J,"&lt;="&amp;$A934,Despesas!$L:$L,"&gt;="&amp;$A934,Despesas!$C:$C,E$1,Despesas!$M:$M,$B934)</f>
        <v>0</v>
      </c>
      <c r="F934" s="5">
        <f>SUMIFS(Despesas!$F:$F,Despesas!$J:$J,"&lt;="&amp;$A934,Despesas!$L:$L,"&gt;="&amp;$A934,Despesas!$C:$C,F$1,Despesas!$M:$M,"Mensal")+SUMIFS(Despesas!$F:$F,Despesas!$J:$J,"&lt;="&amp;$A934,Despesas!$L:$L,"&gt;="&amp;$A934,Despesas!$C:$C,F$1,Despesas!$M:$M,$B934)</f>
        <v>0</v>
      </c>
      <c r="G934" s="5">
        <f>SUMIFS(Despesas!$F:$F,Despesas!$J:$J,"&lt;="&amp;$A934,Despesas!$L:$L,"&gt;="&amp;$A934,Despesas!$C:$C,G$1,Despesas!$M:$M,"Mensal")+SUMIFS(Despesas!$F:$F,Despesas!$J:$J,"&lt;="&amp;$A934,Despesas!$L:$L,"&gt;="&amp;$A934,Despesas!$C:$C,G$1,Despesas!$M:$M,$B934)</f>
        <v>0</v>
      </c>
      <c r="H934" s="18">
        <f>SUMIFS(Despesas!$F:$F,Despesas!$J:$J,"&lt;="&amp;$A934,Despesas!$L:$L,"&gt;="&amp;$A934,Despesas!$C:$C,H$1,Despesas!$M:$M,"Mensal")+SUMIFS(Despesas!$F:$F,Despesas!$J:$J,"&lt;="&amp;$A934,Despesas!$L:$L,"&gt;="&amp;$A934,Despesas!$C:$C,H$1,Despesas!$M:$M,$B934)</f>
        <v>0</v>
      </c>
      <c r="I934" s="18">
        <f>IF(Imóveis!$F$2="PRICE",IF(AND(Dados!$A934&gt;=Imóveis!$Q$2,Dados!$A934&lt;=Imóveis!$T$2),Imóveis!$U$2,0),IF((IF(AND(Dados!$A934&gt;=Imóveis!$Q$2,Dados!$A934&lt;=Imóveis!$T$2),Imóveis!$S$2-(DATEDIF(Imóveis!$Q$2,Dados!$A934,"m")),0))=0,0,((Imóveis!$N$2/Imóveis!$S$2)+((Imóveis!$N$2-((Imóveis!$S$2-(IF(AND(Dados!$A934&gt;=Imóveis!$Q$2,Dados!$A934&lt;=Imóveis!$T$2),Imóveis!$S$2-(DATEDIF(Imóveis!$Q$2,Dados!$A934,"m")),)))*(Imóveis!$N$2/Imóveis!$S$2)))*Imóveis!$P$2))))*IF(AND(Imóveis!$E$2&gt;0,Dados!$A934&gt;Imóveis!$E$2),0,1)</f>
        <v>0</v>
      </c>
      <c r="J934" s="18">
        <f>IF(Imóveis!$F$3="PRICE",IF(AND(Dados!$A934&gt;=Imóveis!$Q$3,Dados!$A934&lt;=Imóveis!$T$3),Imóveis!$U$3,0),IF((IF(AND(Dados!$A934&gt;=Imóveis!$Q$3,Dados!$A934&lt;=Imóveis!$T$3),Imóveis!$S$3-(DATEDIF(Imóveis!$Q$3,Dados!$A934,"m")),0))=0,0,((Imóveis!$N$3/Imóveis!$S$3)+((Imóveis!$N$3-((Imóveis!$S$3-(IF(AND(Dados!$A934&gt;=Imóveis!$Q$3,Dados!$A934&lt;=Imóveis!$T$3),Imóveis!$S$3-(DATEDIF(Imóveis!$Q$3,Dados!$A934,"m")),)))*(Imóveis!$N$3/Imóveis!$S$3)))*Imóveis!$P$3))))*IF(AND(Imóveis!$E$3&gt;0,Dados!$A934&gt;Imóveis!$E$3),0,1)</f>
        <v>0</v>
      </c>
      <c r="K934" s="18">
        <f>IF(Imóveis!$F$4="PRICE",IF(AND(Dados!$A934&gt;=Imóveis!$Q$4,Dados!$A934&lt;=Imóveis!$T$4),Imóveis!$U$4,0),IF((IF(AND(Dados!$A934&gt;=Imóveis!$Q$4,Dados!$A934&lt;=Imóveis!$T$4),Imóveis!$S$4-(DATEDIF(Imóveis!$Q$4,Dados!$A934,"m")),0))=0,0,((Imóveis!$N$4/Imóveis!$S$4)+((Imóveis!$N$4-((Imóveis!$S$4-(IF(AND(Dados!$A934&gt;=Imóveis!$Q$4,Dados!$A934&lt;=Imóveis!$T$4),Imóveis!$S$4-(DATEDIF(Imóveis!$Q$4,Dados!$A934,"m")),)))*(Imóveis!$N$4/Imóveis!$S$4)))*Imóveis!$P$4))))*IF(AND(Imóveis!$E$4&gt;0,Dados!$A934&gt;Imóveis!$E$4),0,1)</f>
        <v>0</v>
      </c>
      <c r="L934" s="18">
        <f>IF(Imóveis!$F$5="PRICE",IF(AND(Dados!$A934&gt;=Imóveis!$Q$5,Dados!$A934&lt;=Imóveis!$T$5),Imóveis!$U$5,0),IF((IF(AND(Dados!$A934&gt;=Imóveis!$Q$5,Dados!$A934&lt;=Imóveis!$T$5),Imóveis!$S$5-(DATEDIF(Imóveis!$Q$5,Dados!$A934,"m")),0))=0,0,((Imóveis!$N$5/Imóveis!$S$5)+((Imóveis!$N$5-((Imóveis!$S$5-(IF(AND(Dados!$A934 &gt;=Imóveis!$Q$5,Dados!$A934&lt;=Imóveis!$T$5),Imóveis!$S$5-(DATEDIF(Imóveis!$Q$5,Dados!$A934,"m")),)))*(Imóveis!$N$5/Imóveis!$S$5)))*Imóveis!$P$5))))*IF(AND(Imóveis!$E$5&gt;0,Dados!$A934&gt;Imóveis!$E$5),0,1)*Imóveis!$I$5</f>
        <v>0</v>
      </c>
      <c r="M934" s="18">
        <f>IF(Imóveis!$F$6="PRICE",IF(AND(Dados!$A934&gt;=Imóveis!$Q$6,Dados!$A934&lt;=Imóveis!$T$6),Imóveis!$U$6,0),IF((IF(AND(Dados!$A934&gt;=Imóveis!$Q$6,Dados!$A934&lt;=Imóveis!$T$6),Imóveis!$S$6-(DATEDIF(Imóveis!$Q$6,Dados!$A934,"m")),0))=0,0,((Imóveis!$N$6/Imóveis!$S$6)+((Imóveis!$N$6-((Imóveis!$S$6-(IF(AND(Dados!$A934&gt;=Imóveis!$Q$6,Dados!$A934&lt;=Imóveis!$T$6),Imóveis!$S$6-(DATEDIF(Imóveis!$Q$6,Dados!$A934,"m")),)))*(Imóveis!$N$6/Imóveis!$S$6)))*Imóveis!$P$6))))*IF(AND(Imóveis!$E$6&gt;0,Dados!$A934&gt;Imóveis!$E$6),0,1)*Imóveis!$I$6</f>
        <v>0</v>
      </c>
      <c r="N934" s="18">
        <f t="shared" si="117"/>
        <v>0</v>
      </c>
      <c r="O934" s="18">
        <f>SUMIFS(Receitas!$F:$F,Receitas!$J:$J,"&lt;="&amp;$A934,Receitas!$L:$L,"&gt;="&amp;$A934,Receitas!$C:$C,O$1,Receitas!$M:$M,"Mensal")+SUMIFS(Receitas!$F:$F,Receitas!$J:$J,"&lt;="&amp;$A934,Receitas!$L:$L,"&gt;="&amp;$A934,Receitas!$C:$C,O$1,Receitas!$M:$M,$B934)</f>
        <v>0</v>
      </c>
      <c r="P934" s="18">
        <f>SUMIFS(Receitas!$F:$F,Receitas!$J:$J,"&lt;="&amp;$A934,Receitas!$L:$L,"&gt;="&amp;$A934,Receitas!$C:$C,P$1,Receitas!$M:$M,"Mensal")+SUMIFS(Receitas!$F:$F,Receitas!$J:$J,"&lt;="&amp;$A934,Receitas!$L:$L,"&gt;="&amp;$A934,Receitas!$C:$C,P$1,Receitas!$M:$M,$B934)</f>
        <v>0</v>
      </c>
      <c r="Q934" s="18">
        <f>SUMIFS(Receitas!$F:$F,Receitas!$J:$J,"&lt;="&amp;$A934,Receitas!$L:$L,"&gt;="&amp;$A934,Receitas!$C:$C,Q$1,Receitas!$M:$M,"Mensal")+SUMIFS(Receitas!$F:$F,Receitas!$J:$J,"&lt;="&amp;$A934,Receitas!$L:$L,"&gt;="&amp;$A934,Receitas!$C:$C,Q$1,Receitas!$M:$M,$B934)</f>
        <v>0</v>
      </c>
      <c r="R934" s="18" cm="1">
        <f t="array" ref="R934">(IF(AND(Membros!$F$2="Sim",A934&lt;=MAX(Membros!$E$2:$E$5)),Membros!K$2,IF(AND(A934&gt;=Membros!J$2,A934&lt;=MAX(Membros!$E$2:$E$5)),Membros!K$2,0))+IF(AND(Membros!$F$3="Sim",A934&lt;=MAX(Membros!$E$2:$E$5)),Membros!K$3,IF(AND(A934&gt;=Membros!J$3,A934&lt;=MAX(Membros!$E$2:$E$5)),Membros!K$3,0)))*IF(AND(COUNTIFS(Tabela3[Tipo],"Provedor",Tabela3[Simulação Seguro],"Sim")=2,A934&gt;=MAX(IF(Tabela3[Tipo]="Dependente",Tabela3[Expectativa de Vida (Data)]))),0,1)</f>
        <v>0</v>
      </c>
      <c r="S934" s="18">
        <f t="shared" si="118"/>
        <v>0</v>
      </c>
      <c r="U934" s="18">
        <f t="shared" ca="1" si="121"/>
        <v>99449864.556886107</v>
      </c>
      <c r="V934" s="18">
        <f>SUMIF(Imóveis!E:E,Dados!A:A,Imóveis!Z:Z)-SUMIF(Imóveis!E:E,Dados!A:A,Imóveis!Y:Y)</f>
        <v>0</v>
      </c>
      <c r="W934" s="18">
        <f>-SUMIF(Projetos!N:N,A934,Projetos!F:F)</f>
        <v>0</v>
      </c>
      <c r="X934" s="18">
        <f t="shared" si="115"/>
        <v>0</v>
      </c>
      <c r="Y934" s="26">
        <f ca="1">(U934*((Indicadores_Economicos!D$2+1)^(1/12)-1))</f>
        <v>325572.97793417185</v>
      </c>
      <c r="Z934" s="18">
        <f t="shared" ca="1" si="119"/>
        <v>99775437.534820274</v>
      </c>
      <c r="AA934" s="18">
        <f ca="1">Auxiliar_Projetos!E934</f>
        <v>8.2246666930949217E-9</v>
      </c>
      <c r="AB934" s="18">
        <f ca="1">Auxiliar_Projetos!K934</f>
        <v>6.3266666869960936E-9</v>
      </c>
      <c r="AC934" s="18">
        <f ca="1">IF(Z934-AA934-AB934&gt;Investimentos!$C$14,Investimentos!$C$14,IF(Z934-AA934-AB934&lt;Investimentos!$C$14,Z934-AA934-AB934,0))</f>
        <v>300000</v>
      </c>
      <c r="AD934" s="18">
        <f t="shared" ca="1" si="120"/>
        <v>99475437.534820259</v>
      </c>
      <c r="AE934" s="18"/>
    </row>
    <row r="935" spans="1:31" x14ac:dyDescent="0.2">
      <c r="A935" s="4">
        <v>74054</v>
      </c>
      <c r="B935" s="5" t="str">
        <f t="shared" si="116"/>
        <v>outubro</v>
      </c>
      <c r="C935" s="5" t="str">
        <f t="shared" si="122"/>
        <v>2102</v>
      </c>
      <c r="D935" s="5">
        <f>SUMIFS(Despesas!$F:$F,Despesas!$J:$J,"&lt;="&amp;$A935,Despesas!$L:$L,"&gt;="&amp;$A935,Despesas!$C:$C,D$1,Despesas!$M:$M,"Mensal")+SUMIFS(Despesas!$F:$F,Despesas!$J:$J,"&lt;="&amp;$A935,Despesas!$L:$L,"&gt;="&amp;$A935,Despesas!$C:$C,D$1,Despesas!$M:$M,$B935)</f>
        <v>0</v>
      </c>
      <c r="E935" s="18">
        <f>SUMIFS(Despesas!$F:$F,Despesas!$J:$J,"&lt;="&amp;$A935,Despesas!$L:$L,"&gt;="&amp;$A935,Despesas!$C:$C,E$1,Despesas!$M:$M,"Mensal")+SUMIFS(Despesas!$F:$F,Despesas!$J:$J,"&lt;="&amp;$A935,Despesas!$L:$L,"&gt;="&amp;$A935,Despesas!$C:$C,E$1,Despesas!$M:$M,$B935)</f>
        <v>0</v>
      </c>
      <c r="F935" s="5">
        <f>SUMIFS(Despesas!$F:$F,Despesas!$J:$J,"&lt;="&amp;$A935,Despesas!$L:$L,"&gt;="&amp;$A935,Despesas!$C:$C,F$1,Despesas!$M:$M,"Mensal")+SUMIFS(Despesas!$F:$F,Despesas!$J:$J,"&lt;="&amp;$A935,Despesas!$L:$L,"&gt;="&amp;$A935,Despesas!$C:$C,F$1,Despesas!$M:$M,$B935)</f>
        <v>0</v>
      </c>
      <c r="G935" s="5">
        <f>SUMIFS(Despesas!$F:$F,Despesas!$J:$J,"&lt;="&amp;$A935,Despesas!$L:$L,"&gt;="&amp;$A935,Despesas!$C:$C,G$1,Despesas!$M:$M,"Mensal")+SUMIFS(Despesas!$F:$F,Despesas!$J:$J,"&lt;="&amp;$A935,Despesas!$L:$L,"&gt;="&amp;$A935,Despesas!$C:$C,G$1,Despesas!$M:$M,$B935)</f>
        <v>0</v>
      </c>
      <c r="H935" s="18">
        <f>SUMIFS(Despesas!$F:$F,Despesas!$J:$J,"&lt;="&amp;$A935,Despesas!$L:$L,"&gt;="&amp;$A935,Despesas!$C:$C,H$1,Despesas!$M:$M,"Mensal")+SUMIFS(Despesas!$F:$F,Despesas!$J:$J,"&lt;="&amp;$A935,Despesas!$L:$L,"&gt;="&amp;$A935,Despesas!$C:$C,H$1,Despesas!$M:$M,$B935)</f>
        <v>0</v>
      </c>
      <c r="I935" s="18">
        <f>IF(Imóveis!$F$2="PRICE",IF(AND(Dados!$A935&gt;=Imóveis!$Q$2,Dados!$A935&lt;=Imóveis!$T$2),Imóveis!$U$2,0),IF((IF(AND(Dados!$A935&gt;=Imóveis!$Q$2,Dados!$A935&lt;=Imóveis!$T$2),Imóveis!$S$2-(DATEDIF(Imóveis!$Q$2,Dados!$A935,"m")),0))=0,0,((Imóveis!$N$2/Imóveis!$S$2)+((Imóveis!$N$2-((Imóveis!$S$2-(IF(AND(Dados!$A935&gt;=Imóveis!$Q$2,Dados!$A935&lt;=Imóveis!$T$2),Imóveis!$S$2-(DATEDIF(Imóveis!$Q$2,Dados!$A935,"m")),)))*(Imóveis!$N$2/Imóveis!$S$2)))*Imóveis!$P$2))))*IF(AND(Imóveis!$E$2&gt;0,Dados!$A935&gt;Imóveis!$E$2),0,1)</f>
        <v>0</v>
      </c>
      <c r="J935" s="18">
        <f>IF(Imóveis!$F$3="PRICE",IF(AND(Dados!$A935&gt;=Imóveis!$Q$3,Dados!$A935&lt;=Imóveis!$T$3),Imóveis!$U$3,0),IF((IF(AND(Dados!$A935&gt;=Imóveis!$Q$3,Dados!$A935&lt;=Imóveis!$T$3),Imóveis!$S$3-(DATEDIF(Imóveis!$Q$3,Dados!$A935,"m")),0))=0,0,((Imóveis!$N$3/Imóveis!$S$3)+((Imóveis!$N$3-((Imóveis!$S$3-(IF(AND(Dados!$A935&gt;=Imóveis!$Q$3,Dados!$A935&lt;=Imóveis!$T$3),Imóveis!$S$3-(DATEDIF(Imóveis!$Q$3,Dados!$A935,"m")),)))*(Imóveis!$N$3/Imóveis!$S$3)))*Imóveis!$P$3))))*IF(AND(Imóveis!$E$3&gt;0,Dados!$A935&gt;Imóveis!$E$3),0,1)</f>
        <v>0</v>
      </c>
      <c r="K935" s="18">
        <f>IF(Imóveis!$F$4="PRICE",IF(AND(Dados!$A935&gt;=Imóveis!$Q$4,Dados!$A935&lt;=Imóveis!$T$4),Imóveis!$U$4,0),IF((IF(AND(Dados!$A935&gt;=Imóveis!$Q$4,Dados!$A935&lt;=Imóveis!$T$4),Imóveis!$S$4-(DATEDIF(Imóveis!$Q$4,Dados!$A935,"m")),0))=0,0,((Imóveis!$N$4/Imóveis!$S$4)+((Imóveis!$N$4-((Imóveis!$S$4-(IF(AND(Dados!$A935&gt;=Imóveis!$Q$4,Dados!$A935&lt;=Imóveis!$T$4),Imóveis!$S$4-(DATEDIF(Imóveis!$Q$4,Dados!$A935,"m")),)))*(Imóveis!$N$4/Imóveis!$S$4)))*Imóveis!$P$4))))*IF(AND(Imóveis!$E$4&gt;0,Dados!$A935&gt;Imóveis!$E$4),0,1)</f>
        <v>0</v>
      </c>
      <c r="L935" s="18">
        <f>IF(Imóveis!$F$5="PRICE",IF(AND(Dados!$A935&gt;=Imóveis!$Q$5,Dados!$A935&lt;=Imóveis!$T$5),Imóveis!$U$5,0),IF((IF(AND(Dados!$A935&gt;=Imóveis!$Q$5,Dados!$A935&lt;=Imóveis!$T$5),Imóveis!$S$5-(DATEDIF(Imóveis!$Q$5,Dados!$A935,"m")),0))=0,0,((Imóveis!$N$5/Imóveis!$S$5)+((Imóveis!$N$5-((Imóveis!$S$5-(IF(AND(Dados!$A935 &gt;=Imóveis!$Q$5,Dados!$A935&lt;=Imóveis!$T$5),Imóveis!$S$5-(DATEDIF(Imóveis!$Q$5,Dados!$A935,"m")),)))*(Imóveis!$N$5/Imóveis!$S$5)))*Imóveis!$P$5))))*IF(AND(Imóveis!$E$5&gt;0,Dados!$A935&gt;Imóveis!$E$5),0,1)*Imóveis!$I$5</f>
        <v>0</v>
      </c>
      <c r="M935" s="18">
        <f>IF(Imóveis!$F$6="PRICE",IF(AND(Dados!$A935&gt;=Imóveis!$Q$6,Dados!$A935&lt;=Imóveis!$T$6),Imóveis!$U$6,0),IF((IF(AND(Dados!$A935&gt;=Imóveis!$Q$6,Dados!$A935&lt;=Imóveis!$T$6),Imóveis!$S$6-(DATEDIF(Imóveis!$Q$6,Dados!$A935,"m")),0))=0,0,((Imóveis!$N$6/Imóveis!$S$6)+((Imóveis!$N$6-((Imóveis!$S$6-(IF(AND(Dados!$A935&gt;=Imóveis!$Q$6,Dados!$A935&lt;=Imóveis!$T$6),Imóveis!$S$6-(DATEDIF(Imóveis!$Q$6,Dados!$A935,"m")),)))*(Imóveis!$N$6/Imóveis!$S$6)))*Imóveis!$P$6))))*IF(AND(Imóveis!$E$6&gt;0,Dados!$A935&gt;Imóveis!$E$6),0,1)*Imóveis!$I$6</f>
        <v>0</v>
      </c>
      <c r="N935" s="18">
        <f t="shared" si="117"/>
        <v>0</v>
      </c>
      <c r="O935" s="18">
        <f>SUMIFS(Receitas!$F:$F,Receitas!$J:$J,"&lt;="&amp;$A935,Receitas!$L:$L,"&gt;="&amp;$A935,Receitas!$C:$C,O$1,Receitas!$M:$M,"Mensal")+SUMIFS(Receitas!$F:$F,Receitas!$J:$J,"&lt;="&amp;$A935,Receitas!$L:$L,"&gt;="&amp;$A935,Receitas!$C:$C,O$1,Receitas!$M:$M,$B935)</f>
        <v>0</v>
      </c>
      <c r="P935" s="18">
        <f>SUMIFS(Receitas!$F:$F,Receitas!$J:$J,"&lt;="&amp;$A935,Receitas!$L:$L,"&gt;="&amp;$A935,Receitas!$C:$C,P$1,Receitas!$M:$M,"Mensal")+SUMIFS(Receitas!$F:$F,Receitas!$J:$J,"&lt;="&amp;$A935,Receitas!$L:$L,"&gt;="&amp;$A935,Receitas!$C:$C,P$1,Receitas!$M:$M,$B935)</f>
        <v>0</v>
      </c>
      <c r="Q935" s="18">
        <f>SUMIFS(Receitas!$F:$F,Receitas!$J:$J,"&lt;="&amp;$A935,Receitas!$L:$L,"&gt;="&amp;$A935,Receitas!$C:$C,Q$1,Receitas!$M:$M,"Mensal")+SUMIFS(Receitas!$F:$F,Receitas!$J:$J,"&lt;="&amp;$A935,Receitas!$L:$L,"&gt;="&amp;$A935,Receitas!$C:$C,Q$1,Receitas!$M:$M,$B935)</f>
        <v>0</v>
      </c>
      <c r="R935" s="18" cm="1">
        <f t="array" ref="R935">(IF(AND(Membros!$F$2="Sim",A935&lt;=MAX(Membros!$E$2:$E$5)),Membros!K$2,IF(AND(A935&gt;=Membros!J$2,A935&lt;=MAX(Membros!$E$2:$E$5)),Membros!K$2,0))+IF(AND(Membros!$F$3="Sim",A935&lt;=MAX(Membros!$E$2:$E$5)),Membros!K$3,IF(AND(A935&gt;=Membros!J$3,A935&lt;=MAX(Membros!$E$2:$E$5)),Membros!K$3,0)))*IF(AND(COUNTIFS(Tabela3[Tipo],"Provedor",Tabela3[Simulação Seguro],"Sim")=2,A935&gt;=MAX(IF(Tabela3[Tipo]="Dependente",Tabela3[Expectativa de Vida (Data)]))),0,1)</f>
        <v>0</v>
      </c>
      <c r="S935" s="18">
        <f t="shared" si="118"/>
        <v>0</v>
      </c>
      <c r="U935" s="18">
        <f t="shared" ca="1" si="121"/>
        <v>99775437.534820274</v>
      </c>
      <c r="V935" s="18">
        <f>SUMIF(Imóveis!E:E,Dados!A:A,Imóveis!Z:Z)-SUMIF(Imóveis!E:E,Dados!A:A,Imóveis!Y:Y)</f>
        <v>0</v>
      </c>
      <c r="W935" s="18">
        <f>-SUMIF(Projetos!N:N,A935,Projetos!F:F)</f>
        <v>0</v>
      </c>
      <c r="X935" s="18">
        <f t="shared" si="115"/>
        <v>0</v>
      </c>
      <c r="Y935" s="26">
        <f ca="1">(U935*((Indicadores_Economicos!D$2+1)^(1/12)-1))</f>
        <v>326638.8191440439</v>
      </c>
      <c r="Z935" s="18">
        <f t="shared" ca="1" si="119"/>
        <v>100102076.35396431</v>
      </c>
      <c r="AA935" s="18">
        <f ca="1">Auxiliar_Projetos!E935</f>
        <v>8.2515921116434331E-9</v>
      </c>
      <c r="AB935" s="18">
        <f ca="1">Auxiliar_Projetos!K935</f>
        <v>6.3473785474180256E-9</v>
      </c>
      <c r="AC935" s="18">
        <f ca="1">IF(Z935-AA935-AB935&gt;Investimentos!$C$14,Investimentos!$C$14,IF(Z935-AA935-AB935&lt;Investimentos!$C$14,Z935-AA935-AB935,0))</f>
        <v>300000</v>
      </c>
      <c r="AD935" s="18">
        <f t="shared" ca="1" si="120"/>
        <v>99802076.353964299</v>
      </c>
      <c r="AE935" s="18"/>
    </row>
    <row r="936" spans="1:31" x14ac:dyDescent="0.2">
      <c r="A936" s="4">
        <v>74085</v>
      </c>
      <c r="B936" s="5" t="str">
        <f t="shared" si="116"/>
        <v>novembro</v>
      </c>
      <c r="C936" s="5" t="str">
        <f t="shared" si="122"/>
        <v>2102</v>
      </c>
      <c r="D936" s="5">
        <f>SUMIFS(Despesas!$F:$F,Despesas!$J:$J,"&lt;="&amp;$A936,Despesas!$L:$L,"&gt;="&amp;$A936,Despesas!$C:$C,D$1,Despesas!$M:$M,"Mensal")+SUMIFS(Despesas!$F:$F,Despesas!$J:$J,"&lt;="&amp;$A936,Despesas!$L:$L,"&gt;="&amp;$A936,Despesas!$C:$C,D$1,Despesas!$M:$M,$B936)</f>
        <v>0</v>
      </c>
      <c r="E936" s="18">
        <f>SUMIFS(Despesas!$F:$F,Despesas!$J:$J,"&lt;="&amp;$A936,Despesas!$L:$L,"&gt;="&amp;$A936,Despesas!$C:$C,E$1,Despesas!$M:$M,"Mensal")+SUMIFS(Despesas!$F:$F,Despesas!$J:$J,"&lt;="&amp;$A936,Despesas!$L:$L,"&gt;="&amp;$A936,Despesas!$C:$C,E$1,Despesas!$M:$M,$B936)</f>
        <v>0</v>
      </c>
      <c r="F936" s="5">
        <f>SUMIFS(Despesas!$F:$F,Despesas!$J:$J,"&lt;="&amp;$A936,Despesas!$L:$L,"&gt;="&amp;$A936,Despesas!$C:$C,F$1,Despesas!$M:$M,"Mensal")+SUMIFS(Despesas!$F:$F,Despesas!$J:$J,"&lt;="&amp;$A936,Despesas!$L:$L,"&gt;="&amp;$A936,Despesas!$C:$C,F$1,Despesas!$M:$M,$B936)</f>
        <v>0</v>
      </c>
      <c r="G936" s="5">
        <f>SUMIFS(Despesas!$F:$F,Despesas!$J:$J,"&lt;="&amp;$A936,Despesas!$L:$L,"&gt;="&amp;$A936,Despesas!$C:$C,G$1,Despesas!$M:$M,"Mensal")+SUMIFS(Despesas!$F:$F,Despesas!$J:$J,"&lt;="&amp;$A936,Despesas!$L:$L,"&gt;="&amp;$A936,Despesas!$C:$C,G$1,Despesas!$M:$M,$B936)</f>
        <v>0</v>
      </c>
      <c r="H936" s="18">
        <f>SUMIFS(Despesas!$F:$F,Despesas!$J:$J,"&lt;="&amp;$A936,Despesas!$L:$L,"&gt;="&amp;$A936,Despesas!$C:$C,H$1,Despesas!$M:$M,"Mensal")+SUMIFS(Despesas!$F:$F,Despesas!$J:$J,"&lt;="&amp;$A936,Despesas!$L:$L,"&gt;="&amp;$A936,Despesas!$C:$C,H$1,Despesas!$M:$M,$B936)</f>
        <v>0</v>
      </c>
      <c r="I936" s="18">
        <f>IF(Imóveis!$F$2="PRICE",IF(AND(Dados!$A936&gt;=Imóveis!$Q$2,Dados!$A936&lt;=Imóveis!$T$2),Imóveis!$U$2,0),IF((IF(AND(Dados!$A936&gt;=Imóveis!$Q$2,Dados!$A936&lt;=Imóveis!$T$2),Imóveis!$S$2-(DATEDIF(Imóveis!$Q$2,Dados!$A936,"m")),0))=0,0,((Imóveis!$N$2/Imóveis!$S$2)+((Imóveis!$N$2-((Imóveis!$S$2-(IF(AND(Dados!$A936&gt;=Imóveis!$Q$2,Dados!$A936&lt;=Imóveis!$T$2),Imóveis!$S$2-(DATEDIF(Imóveis!$Q$2,Dados!$A936,"m")),)))*(Imóveis!$N$2/Imóveis!$S$2)))*Imóveis!$P$2))))*IF(AND(Imóveis!$E$2&gt;0,Dados!$A936&gt;Imóveis!$E$2),0,1)</f>
        <v>0</v>
      </c>
      <c r="J936" s="18">
        <f>IF(Imóveis!$F$3="PRICE",IF(AND(Dados!$A936&gt;=Imóveis!$Q$3,Dados!$A936&lt;=Imóveis!$T$3),Imóveis!$U$3,0),IF((IF(AND(Dados!$A936&gt;=Imóveis!$Q$3,Dados!$A936&lt;=Imóveis!$T$3),Imóveis!$S$3-(DATEDIF(Imóveis!$Q$3,Dados!$A936,"m")),0))=0,0,((Imóveis!$N$3/Imóveis!$S$3)+((Imóveis!$N$3-((Imóveis!$S$3-(IF(AND(Dados!$A936&gt;=Imóveis!$Q$3,Dados!$A936&lt;=Imóveis!$T$3),Imóveis!$S$3-(DATEDIF(Imóveis!$Q$3,Dados!$A936,"m")),)))*(Imóveis!$N$3/Imóveis!$S$3)))*Imóveis!$P$3))))*IF(AND(Imóveis!$E$3&gt;0,Dados!$A936&gt;Imóveis!$E$3),0,1)</f>
        <v>0</v>
      </c>
      <c r="K936" s="18">
        <f>IF(Imóveis!$F$4="PRICE",IF(AND(Dados!$A936&gt;=Imóveis!$Q$4,Dados!$A936&lt;=Imóveis!$T$4),Imóveis!$U$4,0),IF((IF(AND(Dados!$A936&gt;=Imóveis!$Q$4,Dados!$A936&lt;=Imóveis!$T$4),Imóveis!$S$4-(DATEDIF(Imóveis!$Q$4,Dados!$A936,"m")),0))=0,0,((Imóveis!$N$4/Imóveis!$S$4)+((Imóveis!$N$4-((Imóveis!$S$4-(IF(AND(Dados!$A936&gt;=Imóveis!$Q$4,Dados!$A936&lt;=Imóveis!$T$4),Imóveis!$S$4-(DATEDIF(Imóveis!$Q$4,Dados!$A936,"m")),)))*(Imóveis!$N$4/Imóveis!$S$4)))*Imóveis!$P$4))))*IF(AND(Imóveis!$E$4&gt;0,Dados!$A936&gt;Imóveis!$E$4),0,1)</f>
        <v>0</v>
      </c>
      <c r="L936" s="18">
        <f>IF(Imóveis!$F$5="PRICE",IF(AND(Dados!$A936&gt;=Imóveis!$Q$5,Dados!$A936&lt;=Imóveis!$T$5),Imóveis!$U$5,0),IF((IF(AND(Dados!$A936&gt;=Imóveis!$Q$5,Dados!$A936&lt;=Imóveis!$T$5),Imóveis!$S$5-(DATEDIF(Imóveis!$Q$5,Dados!$A936,"m")),0))=0,0,((Imóveis!$N$5/Imóveis!$S$5)+((Imóveis!$N$5-((Imóveis!$S$5-(IF(AND(Dados!$A936 &gt;=Imóveis!$Q$5,Dados!$A936&lt;=Imóveis!$T$5),Imóveis!$S$5-(DATEDIF(Imóveis!$Q$5,Dados!$A936,"m")),)))*(Imóveis!$N$5/Imóveis!$S$5)))*Imóveis!$P$5))))*IF(AND(Imóveis!$E$5&gt;0,Dados!$A936&gt;Imóveis!$E$5),0,1)*Imóveis!$I$5</f>
        <v>0</v>
      </c>
      <c r="M936" s="18">
        <f>IF(Imóveis!$F$6="PRICE",IF(AND(Dados!$A936&gt;=Imóveis!$Q$6,Dados!$A936&lt;=Imóveis!$T$6),Imóveis!$U$6,0),IF((IF(AND(Dados!$A936&gt;=Imóveis!$Q$6,Dados!$A936&lt;=Imóveis!$T$6),Imóveis!$S$6-(DATEDIF(Imóveis!$Q$6,Dados!$A936,"m")),0))=0,0,((Imóveis!$N$6/Imóveis!$S$6)+((Imóveis!$N$6-((Imóveis!$S$6-(IF(AND(Dados!$A936&gt;=Imóveis!$Q$6,Dados!$A936&lt;=Imóveis!$T$6),Imóveis!$S$6-(DATEDIF(Imóveis!$Q$6,Dados!$A936,"m")),)))*(Imóveis!$N$6/Imóveis!$S$6)))*Imóveis!$P$6))))*IF(AND(Imóveis!$E$6&gt;0,Dados!$A936&gt;Imóveis!$E$6),0,1)*Imóveis!$I$6</f>
        <v>0</v>
      </c>
      <c r="N936" s="18">
        <f t="shared" si="117"/>
        <v>0</v>
      </c>
      <c r="O936" s="18">
        <f>SUMIFS(Receitas!$F:$F,Receitas!$J:$J,"&lt;="&amp;$A936,Receitas!$L:$L,"&gt;="&amp;$A936,Receitas!$C:$C,O$1,Receitas!$M:$M,"Mensal")+SUMIFS(Receitas!$F:$F,Receitas!$J:$J,"&lt;="&amp;$A936,Receitas!$L:$L,"&gt;="&amp;$A936,Receitas!$C:$C,O$1,Receitas!$M:$M,$B936)</f>
        <v>0</v>
      </c>
      <c r="P936" s="18">
        <f>SUMIFS(Receitas!$F:$F,Receitas!$J:$J,"&lt;="&amp;$A936,Receitas!$L:$L,"&gt;="&amp;$A936,Receitas!$C:$C,P$1,Receitas!$M:$M,"Mensal")+SUMIFS(Receitas!$F:$F,Receitas!$J:$J,"&lt;="&amp;$A936,Receitas!$L:$L,"&gt;="&amp;$A936,Receitas!$C:$C,P$1,Receitas!$M:$M,$B936)</f>
        <v>0</v>
      </c>
      <c r="Q936" s="18">
        <f>SUMIFS(Receitas!$F:$F,Receitas!$J:$J,"&lt;="&amp;$A936,Receitas!$L:$L,"&gt;="&amp;$A936,Receitas!$C:$C,Q$1,Receitas!$M:$M,"Mensal")+SUMIFS(Receitas!$F:$F,Receitas!$J:$J,"&lt;="&amp;$A936,Receitas!$L:$L,"&gt;="&amp;$A936,Receitas!$C:$C,Q$1,Receitas!$M:$M,$B936)</f>
        <v>0</v>
      </c>
      <c r="R936" s="18" cm="1">
        <f t="array" ref="R936">(IF(AND(Membros!$F$2="Sim",A936&lt;=MAX(Membros!$E$2:$E$5)),Membros!K$2,IF(AND(A936&gt;=Membros!J$2,A936&lt;=MAX(Membros!$E$2:$E$5)),Membros!K$2,0))+IF(AND(Membros!$F$3="Sim",A936&lt;=MAX(Membros!$E$2:$E$5)),Membros!K$3,IF(AND(A936&gt;=Membros!J$3,A936&lt;=MAX(Membros!$E$2:$E$5)),Membros!K$3,0)))*IF(AND(COUNTIFS(Tabela3[Tipo],"Provedor",Tabela3[Simulação Seguro],"Sim")=2,A936&gt;=MAX(IF(Tabela3[Tipo]="Dependente",Tabela3[Expectativa de Vida (Data)]))),0,1)</f>
        <v>0</v>
      </c>
      <c r="S936" s="18">
        <f t="shared" si="118"/>
        <v>0</v>
      </c>
      <c r="U936" s="18">
        <f t="shared" ca="1" si="121"/>
        <v>100102076.35396431</v>
      </c>
      <c r="V936" s="18">
        <f>SUMIF(Imóveis!E:E,Dados!A:A,Imóveis!Z:Z)-SUMIF(Imóveis!E:E,Dados!A:A,Imóveis!Y:Y)</f>
        <v>0</v>
      </c>
      <c r="W936" s="18">
        <f>-SUMIF(Projetos!N:N,A936,Projetos!F:F)</f>
        <v>0</v>
      </c>
      <c r="X936" s="18">
        <f t="shared" si="115"/>
        <v>0</v>
      </c>
      <c r="Y936" s="26">
        <f ca="1">(U936*((Indicadores_Economicos!D$2+1)^(1/12)-1))</f>
        <v>327708.14964068623</v>
      </c>
      <c r="Z936" s="18">
        <f t="shared" ca="1" si="119"/>
        <v>100429784.50360499</v>
      </c>
      <c r="AA936" s="18">
        <f ca="1">Auxiliar_Projetos!E936</f>
        <v>8.2786056770057993E-9</v>
      </c>
      <c r="AB936" s="18">
        <f ca="1">Auxiliar_Projetos!K936</f>
        <v>6.3681582130813836E-9</v>
      </c>
      <c r="AC936" s="18">
        <f ca="1">IF(Z936-AA936-AB936&gt;Investimentos!$C$14,Investimentos!$C$14,IF(Z936-AA936-AB936&lt;Investimentos!$C$14,Z936-AA936-AB936,0))</f>
        <v>300000</v>
      </c>
      <c r="AD936" s="18">
        <f t="shared" ca="1" si="120"/>
        <v>100129784.50360498</v>
      </c>
      <c r="AE936" s="18"/>
    </row>
    <row r="937" spans="1:31" x14ac:dyDescent="0.2">
      <c r="A937" s="4">
        <v>74115</v>
      </c>
      <c r="B937" s="5" t="str">
        <f t="shared" si="116"/>
        <v>dezembro</v>
      </c>
      <c r="C937" s="5" t="str">
        <f t="shared" si="122"/>
        <v>2102</v>
      </c>
      <c r="D937" s="5">
        <f>SUMIFS(Despesas!$F:$F,Despesas!$J:$J,"&lt;="&amp;$A937,Despesas!$L:$L,"&gt;="&amp;$A937,Despesas!$C:$C,D$1,Despesas!$M:$M,"Mensal")+SUMIFS(Despesas!$F:$F,Despesas!$J:$J,"&lt;="&amp;$A937,Despesas!$L:$L,"&gt;="&amp;$A937,Despesas!$C:$C,D$1,Despesas!$M:$M,$B937)</f>
        <v>0</v>
      </c>
      <c r="E937" s="18">
        <f>SUMIFS(Despesas!$F:$F,Despesas!$J:$J,"&lt;="&amp;$A937,Despesas!$L:$L,"&gt;="&amp;$A937,Despesas!$C:$C,E$1,Despesas!$M:$M,"Mensal")+SUMIFS(Despesas!$F:$F,Despesas!$J:$J,"&lt;="&amp;$A937,Despesas!$L:$L,"&gt;="&amp;$A937,Despesas!$C:$C,E$1,Despesas!$M:$M,$B937)</f>
        <v>0</v>
      </c>
      <c r="F937" s="5">
        <f>SUMIFS(Despesas!$F:$F,Despesas!$J:$J,"&lt;="&amp;$A937,Despesas!$L:$L,"&gt;="&amp;$A937,Despesas!$C:$C,F$1,Despesas!$M:$M,"Mensal")+SUMIFS(Despesas!$F:$F,Despesas!$J:$J,"&lt;="&amp;$A937,Despesas!$L:$L,"&gt;="&amp;$A937,Despesas!$C:$C,F$1,Despesas!$M:$M,$B937)</f>
        <v>0</v>
      </c>
      <c r="G937" s="5">
        <f>SUMIFS(Despesas!$F:$F,Despesas!$J:$J,"&lt;="&amp;$A937,Despesas!$L:$L,"&gt;="&amp;$A937,Despesas!$C:$C,G$1,Despesas!$M:$M,"Mensal")+SUMIFS(Despesas!$F:$F,Despesas!$J:$J,"&lt;="&amp;$A937,Despesas!$L:$L,"&gt;="&amp;$A937,Despesas!$C:$C,G$1,Despesas!$M:$M,$B937)</f>
        <v>0</v>
      </c>
      <c r="H937" s="18">
        <f>SUMIFS(Despesas!$F:$F,Despesas!$J:$J,"&lt;="&amp;$A937,Despesas!$L:$L,"&gt;="&amp;$A937,Despesas!$C:$C,H$1,Despesas!$M:$M,"Mensal")+SUMIFS(Despesas!$F:$F,Despesas!$J:$J,"&lt;="&amp;$A937,Despesas!$L:$L,"&gt;="&amp;$A937,Despesas!$C:$C,H$1,Despesas!$M:$M,$B937)</f>
        <v>0</v>
      </c>
      <c r="I937" s="18">
        <f>IF(Imóveis!$F$2="PRICE",IF(AND(Dados!$A937&gt;=Imóveis!$Q$2,Dados!$A937&lt;=Imóveis!$T$2),Imóveis!$U$2,0),IF((IF(AND(Dados!$A937&gt;=Imóveis!$Q$2,Dados!$A937&lt;=Imóveis!$T$2),Imóveis!$S$2-(DATEDIF(Imóveis!$Q$2,Dados!$A937,"m")),0))=0,0,((Imóveis!$N$2/Imóveis!$S$2)+((Imóveis!$N$2-((Imóveis!$S$2-(IF(AND(Dados!$A937&gt;=Imóveis!$Q$2,Dados!$A937&lt;=Imóveis!$T$2),Imóveis!$S$2-(DATEDIF(Imóveis!$Q$2,Dados!$A937,"m")),)))*(Imóveis!$N$2/Imóveis!$S$2)))*Imóveis!$P$2))))*IF(AND(Imóveis!$E$2&gt;0,Dados!$A937&gt;Imóveis!$E$2),0,1)</f>
        <v>0</v>
      </c>
      <c r="J937" s="18">
        <f>IF(Imóveis!$F$3="PRICE",IF(AND(Dados!$A937&gt;=Imóveis!$Q$3,Dados!$A937&lt;=Imóveis!$T$3),Imóveis!$U$3,0),IF((IF(AND(Dados!$A937&gt;=Imóveis!$Q$3,Dados!$A937&lt;=Imóveis!$T$3),Imóveis!$S$3-(DATEDIF(Imóveis!$Q$3,Dados!$A937,"m")),0))=0,0,((Imóveis!$N$3/Imóveis!$S$3)+((Imóveis!$N$3-((Imóveis!$S$3-(IF(AND(Dados!$A937&gt;=Imóveis!$Q$3,Dados!$A937&lt;=Imóveis!$T$3),Imóveis!$S$3-(DATEDIF(Imóveis!$Q$3,Dados!$A937,"m")),)))*(Imóveis!$N$3/Imóveis!$S$3)))*Imóveis!$P$3))))*IF(AND(Imóveis!$E$3&gt;0,Dados!$A937&gt;Imóveis!$E$3),0,1)</f>
        <v>0</v>
      </c>
      <c r="K937" s="18">
        <f>IF(Imóveis!$F$4="PRICE",IF(AND(Dados!$A937&gt;=Imóveis!$Q$4,Dados!$A937&lt;=Imóveis!$T$4),Imóveis!$U$4,0),IF((IF(AND(Dados!$A937&gt;=Imóveis!$Q$4,Dados!$A937&lt;=Imóveis!$T$4),Imóveis!$S$4-(DATEDIF(Imóveis!$Q$4,Dados!$A937,"m")),0))=0,0,((Imóveis!$N$4/Imóveis!$S$4)+((Imóveis!$N$4-((Imóveis!$S$4-(IF(AND(Dados!$A937&gt;=Imóveis!$Q$4,Dados!$A937&lt;=Imóveis!$T$4),Imóveis!$S$4-(DATEDIF(Imóveis!$Q$4,Dados!$A937,"m")),)))*(Imóveis!$N$4/Imóveis!$S$4)))*Imóveis!$P$4))))*IF(AND(Imóveis!$E$4&gt;0,Dados!$A937&gt;Imóveis!$E$4),0,1)</f>
        <v>0</v>
      </c>
      <c r="L937" s="18">
        <f>IF(Imóveis!$F$5="PRICE",IF(AND(Dados!$A937&gt;=Imóveis!$Q$5,Dados!$A937&lt;=Imóveis!$T$5),Imóveis!$U$5,0),IF((IF(AND(Dados!$A937&gt;=Imóveis!$Q$5,Dados!$A937&lt;=Imóveis!$T$5),Imóveis!$S$5-(DATEDIF(Imóveis!$Q$5,Dados!$A937,"m")),0))=0,0,((Imóveis!$N$5/Imóveis!$S$5)+((Imóveis!$N$5-((Imóveis!$S$5-(IF(AND(Dados!$A937 &gt;=Imóveis!$Q$5,Dados!$A937&lt;=Imóveis!$T$5),Imóveis!$S$5-(DATEDIF(Imóveis!$Q$5,Dados!$A937,"m")),)))*(Imóveis!$N$5/Imóveis!$S$5)))*Imóveis!$P$5))))*IF(AND(Imóveis!$E$5&gt;0,Dados!$A937&gt;Imóveis!$E$5),0,1)*Imóveis!$I$5</f>
        <v>0</v>
      </c>
      <c r="M937" s="18">
        <f>IF(Imóveis!$F$6="PRICE",IF(AND(Dados!$A937&gt;=Imóveis!$Q$6,Dados!$A937&lt;=Imóveis!$T$6),Imóveis!$U$6,0),IF((IF(AND(Dados!$A937&gt;=Imóveis!$Q$6,Dados!$A937&lt;=Imóveis!$T$6),Imóveis!$S$6-(DATEDIF(Imóveis!$Q$6,Dados!$A937,"m")),0))=0,0,((Imóveis!$N$6/Imóveis!$S$6)+((Imóveis!$N$6-((Imóveis!$S$6-(IF(AND(Dados!$A937&gt;=Imóveis!$Q$6,Dados!$A937&lt;=Imóveis!$T$6),Imóveis!$S$6-(DATEDIF(Imóveis!$Q$6,Dados!$A937,"m")),)))*(Imóveis!$N$6/Imóveis!$S$6)))*Imóveis!$P$6))))*IF(AND(Imóveis!$E$6&gt;0,Dados!$A937&gt;Imóveis!$E$6),0,1)*Imóveis!$I$6</f>
        <v>0</v>
      </c>
      <c r="N937" s="18">
        <f t="shared" si="117"/>
        <v>0</v>
      </c>
      <c r="O937" s="18">
        <f>SUMIFS(Receitas!$F:$F,Receitas!$J:$J,"&lt;="&amp;$A937,Receitas!$L:$L,"&gt;="&amp;$A937,Receitas!$C:$C,O$1,Receitas!$M:$M,"Mensal")+SUMIFS(Receitas!$F:$F,Receitas!$J:$J,"&lt;="&amp;$A937,Receitas!$L:$L,"&gt;="&amp;$A937,Receitas!$C:$C,O$1,Receitas!$M:$M,$B937)</f>
        <v>0</v>
      </c>
      <c r="P937" s="18">
        <f>SUMIFS(Receitas!$F:$F,Receitas!$J:$J,"&lt;="&amp;$A937,Receitas!$L:$L,"&gt;="&amp;$A937,Receitas!$C:$C,P$1,Receitas!$M:$M,"Mensal")+SUMIFS(Receitas!$F:$F,Receitas!$J:$J,"&lt;="&amp;$A937,Receitas!$L:$L,"&gt;="&amp;$A937,Receitas!$C:$C,P$1,Receitas!$M:$M,$B937)</f>
        <v>0</v>
      </c>
      <c r="Q937" s="18">
        <f>SUMIFS(Receitas!$F:$F,Receitas!$J:$J,"&lt;="&amp;$A937,Receitas!$L:$L,"&gt;="&amp;$A937,Receitas!$C:$C,Q$1,Receitas!$M:$M,"Mensal")+SUMIFS(Receitas!$F:$F,Receitas!$J:$J,"&lt;="&amp;$A937,Receitas!$L:$L,"&gt;="&amp;$A937,Receitas!$C:$C,Q$1,Receitas!$M:$M,$B937)</f>
        <v>0</v>
      </c>
      <c r="R937" s="18" cm="1">
        <f t="array" ref="R937">(IF(AND(Membros!$F$2="Sim",A937&lt;=MAX(Membros!$E$2:$E$5)),Membros!K$2,IF(AND(A937&gt;=Membros!J$2,A937&lt;=MAX(Membros!$E$2:$E$5)),Membros!K$2,0))+IF(AND(Membros!$F$3="Sim",A937&lt;=MAX(Membros!$E$2:$E$5)),Membros!K$3,IF(AND(A937&gt;=Membros!J$3,A937&lt;=MAX(Membros!$E$2:$E$5)),Membros!K$3,0)))*IF(AND(COUNTIFS(Tabela3[Tipo],"Provedor",Tabela3[Simulação Seguro],"Sim")=2,A937&gt;=MAX(IF(Tabela3[Tipo]="Dependente",Tabela3[Expectativa de Vida (Data)]))),0,1)</f>
        <v>0</v>
      </c>
      <c r="S937" s="18">
        <f t="shared" si="118"/>
        <v>0</v>
      </c>
      <c r="U937" s="18">
        <f t="shared" ca="1" si="121"/>
        <v>100429784.50360499</v>
      </c>
      <c r="V937" s="18">
        <f>SUMIF(Imóveis!E:E,Dados!A:A,Imóveis!Z:Z)-SUMIF(Imóveis!E:E,Dados!A:A,Imóveis!Y:Y)</f>
        <v>0</v>
      </c>
      <c r="W937" s="18">
        <f>-SUMIF(Projetos!N:N,A937,Projetos!F:F)</f>
        <v>0</v>
      </c>
      <c r="X937" s="18">
        <f t="shared" si="115"/>
        <v>0</v>
      </c>
      <c r="Y937" s="26">
        <f ca="1">(U937*((Indicadores_Economicos!D$2+1)^(1/12)-1))</f>
        <v>328780.98084711574</v>
      </c>
      <c r="Z937" s="18">
        <f t="shared" ca="1" si="119"/>
        <v>100758565.48445211</v>
      </c>
      <c r="AA937" s="18">
        <f ca="1">Auxiliar_Projetos!E937</f>
        <v>8.3057076777517511E-9</v>
      </c>
      <c r="AB937" s="18">
        <f ca="1">Auxiliar_Projetos!K937</f>
        <v>6.3890059059628849E-9</v>
      </c>
      <c r="AC937" s="18">
        <f ca="1">IF(Z937-AA937-AB937&gt;Investimentos!$C$14,Investimentos!$C$14,IF(Z937-AA937-AB937&lt;Investimentos!$C$14,Z937-AA937-AB937,0))</f>
        <v>300000</v>
      </c>
      <c r="AD937" s="18">
        <f t="shared" ca="1" si="120"/>
        <v>100458565.4844521</v>
      </c>
      <c r="AE937" s="18"/>
    </row>
    <row r="938" spans="1:31" x14ac:dyDescent="0.2">
      <c r="A938" s="4">
        <v>74146</v>
      </c>
      <c r="B938" s="5" t="str">
        <f t="shared" si="116"/>
        <v>janeiro</v>
      </c>
      <c r="C938" s="5" t="str">
        <f t="shared" si="122"/>
        <v>2103</v>
      </c>
      <c r="D938" s="5">
        <f>SUMIFS(Despesas!$F:$F,Despesas!$J:$J,"&lt;="&amp;$A938,Despesas!$L:$L,"&gt;="&amp;$A938,Despesas!$C:$C,D$1,Despesas!$M:$M,"Mensal")+SUMIFS(Despesas!$F:$F,Despesas!$J:$J,"&lt;="&amp;$A938,Despesas!$L:$L,"&gt;="&amp;$A938,Despesas!$C:$C,D$1,Despesas!$M:$M,$B938)</f>
        <v>0</v>
      </c>
      <c r="E938" s="18">
        <f>SUMIFS(Despesas!$F:$F,Despesas!$J:$J,"&lt;="&amp;$A938,Despesas!$L:$L,"&gt;="&amp;$A938,Despesas!$C:$C,E$1,Despesas!$M:$M,"Mensal")+SUMIFS(Despesas!$F:$F,Despesas!$J:$J,"&lt;="&amp;$A938,Despesas!$L:$L,"&gt;="&amp;$A938,Despesas!$C:$C,E$1,Despesas!$M:$M,$B938)</f>
        <v>0</v>
      </c>
      <c r="F938" s="5">
        <f>SUMIFS(Despesas!$F:$F,Despesas!$J:$J,"&lt;="&amp;$A938,Despesas!$L:$L,"&gt;="&amp;$A938,Despesas!$C:$C,F$1,Despesas!$M:$M,"Mensal")+SUMIFS(Despesas!$F:$F,Despesas!$J:$J,"&lt;="&amp;$A938,Despesas!$L:$L,"&gt;="&amp;$A938,Despesas!$C:$C,F$1,Despesas!$M:$M,$B938)</f>
        <v>0</v>
      </c>
      <c r="G938" s="5">
        <f>SUMIFS(Despesas!$F:$F,Despesas!$J:$J,"&lt;="&amp;$A938,Despesas!$L:$L,"&gt;="&amp;$A938,Despesas!$C:$C,G$1,Despesas!$M:$M,"Mensal")+SUMIFS(Despesas!$F:$F,Despesas!$J:$J,"&lt;="&amp;$A938,Despesas!$L:$L,"&gt;="&amp;$A938,Despesas!$C:$C,G$1,Despesas!$M:$M,$B938)</f>
        <v>0</v>
      </c>
      <c r="H938" s="18">
        <f>SUMIFS(Despesas!$F:$F,Despesas!$J:$J,"&lt;="&amp;$A938,Despesas!$L:$L,"&gt;="&amp;$A938,Despesas!$C:$C,H$1,Despesas!$M:$M,"Mensal")+SUMIFS(Despesas!$F:$F,Despesas!$J:$J,"&lt;="&amp;$A938,Despesas!$L:$L,"&gt;="&amp;$A938,Despesas!$C:$C,H$1,Despesas!$M:$M,$B938)</f>
        <v>0</v>
      </c>
      <c r="I938" s="18">
        <f>IF(Imóveis!$F$2="PRICE",IF(AND(Dados!$A938&gt;=Imóveis!$Q$2,Dados!$A938&lt;=Imóveis!$T$2),Imóveis!$U$2,0),IF((IF(AND(Dados!$A938&gt;=Imóveis!$Q$2,Dados!$A938&lt;=Imóveis!$T$2),Imóveis!$S$2-(DATEDIF(Imóveis!$Q$2,Dados!$A938,"m")),0))=0,0,((Imóveis!$N$2/Imóveis!$S$2)+((Imóveis!$N$2-((Imóveis!$S$2-(IF(AND(Dados!$A938&gt;=Imóveis!$Q$2,Dados!$A938&lt;=Imóveis!$T$2),Imóveis!$S$2-(DATEDIF(Imóveis!$Q$2,Dados!$A938,"m")),)))*(Imóveis!$N$2/Imóveis!$S$2)))*Imóveis!$P$2))))*IF(AND(Imóveis!$E$2&gt;0,Dados!$A938&gt;Imóveis!$E$2),0,1)</f>
        <v>0</v>
      </c>
      <c r="J938" s="18">
        <f>IF(Imóveis!$F$3="PRICE",IF(AND(Dados!$A938&gt;=Imóveis!$Q$3,Dados!$A938&lt;=Imóveis!$T$3),Imóveis!$U$3,0),IF((IF(AND(Dados!$A938&gt;=Imóveis!$Q$3,Dados!$A938&lt;=Imóveis!$T$3),Imóveis!$S$3-(DATEDIF(Imóveis!$Q$3,Dados!$A938,"m")),0))=0,0,((Imóveis!$N$3/Imóveis!$S$3)+((Imóveis!$N$3-((Imóveis!$S$3-(IF(AND(Dados!$A938&gt;=Imóveis!$Q$3,Dados!$A938&lt;=Imóveis!$T$3),Imóveis!$S$3-(DATEDIF(Imóveis!$Q$3,Dados!$A938,"m")),)))*(Imóveis!$N$3/Imóveis!$S$3)))*Imóveis!$P$3))))*IF(AND(Imóveis!$E$3&gt;0,Dados!$A938&gt;Imóveis!$E$3),0,1)</f>
        <v>0</v>
      </c>
      <c r="K938" s="18">
        <f>IF(Imóveis!$F$4="PRICE",IF(AND(Dados!$A938&gt;=Imóveis!$Q$4,Dados!$A938&lt;=Imóveis!$T$4),Imóveis!$U$4,0),IF((IF(AND(Dados!$A938&gt;=Imóveis!$Q$4,Dados!$A938&lt;=Imóveis!$T$4),Imóveis!$S$4-(DATEDIF(Imóveis!$Q$4,Dados!$A938,"m")),0))=0,0,((Imóveis!$N$4/Imóveis!$S$4)+((Imóveis!$N$4-((Imóveis!$S$4-(IF(AND(Dados!$A938&gt;=Imóveis!$Q$4,Dados!$A938&lt;=Imóveis!$T$4),Imóveis!$S$4-(DATEDIF(Imóveis!$Q$4,Dados!$A938,"m")),)))*(Imóveis!$N$4/Imóveis!$S$4)))*Imóveis!$P$4))))*IF(AND(Imóveis!$E$4&gt;0,Dados!$A938&gt;Imóveis!$E$4),0,1)</f>
        <v>0</v>
      </c>
      <c r="L938" s="18">
        <f>IF(Imóveis!$F$5="PRICE",IF(AND(Dados!$A938&gt;=Imóveis!$Q$5,Dados!$A938&lt;=Imóveis!$T$5),Imóveis!$U$5,0),IF((IF(AND(Dados!$A938&gt;=Imóveis!$Q$5,Dados!$A938&lt;=Imóveis!$T$5),Imóveis!$S$5-(DATEDIF(Imóveis!$Q$5,Dados!$A938,"m")),0))=0,0,((Imóveis!$N$5/Imóveis!$S$5)+((Imóveis!$N$5-((Imóveis!$S$5-(IF(AND(Dados!$A938 &gt;=Imóveis!$Q$5,Dados!$A938&lt;=Imóveis!$T$5),Imóveis!$S$5-(DATEDIF(Imóveis!$Q$5,Dados!$A938,"m")),)))*(Imóveis!$N$5/Imóveis!$S$5)))*Imóveis!$P$5))))*IF(AND(Imóveis!$E$5&gt;0,Dados!$A938&gt;Imóveis!$E$5),0,1)*Imóveis!$I$5</f>
        <v>0</v>
      </c>
      <c r="M938" s="18">
        <f>IF(Imóveis!$F$6="PRICE",IF(AND(Dados!$A938&gt;=Imóveis!$Q$6,Dados!$A938&lt;=Imóveis!$T$6),Imóveis!$U$6,0),IF((IF(AND(Dados!$A938&gt;=Imóveis!$Q$6,Dados!$A938&lt;=Imóveis!$T$6),Imóveis!$S$6-(DATEDIF(Imóveis!$Q$6,Dados!$A938,"m")),0))=0,0,((Imóveis!$N$6/Imóveis!$S$6)+((Imóveis!$N$6-((Imóveis!$S$6-(IF(AND(Dados!$A938&gt;=Imóveis!$Q$6,Dados!$A938&lt;=Imóveis!$T$6),Imóveis!$S$6-(DATEDIF(Imóveis!$Q$6,Dados!$A938,"m")),)))*(Imóveis!$N$6/Imóveis!$S$6)))*Imóveis!$P$6))))*IF(AND(Imóveis!$E$6&gt;0,Dados!$A938&gt;Imóveis!$E$6),0,1)*Imóveis!$I$6</f>
        <v>0</v>
      </c>
      <c r="N938" s="18">
        <f t="shared" si="117"/>
        <v>0</v>
      </c>
      <c r="O938" s="18">
        <f>SUMIFS(Receitas!$F:$F,Receitas!$J:$J,"&lt;="&amp;$A938,Receitas!$L:$L,"&gt;="&amp;$A938,Receitas!$C:$C,O$1,Receitas!$M:$M,"Mensal")+SUMIFS(Receitas!$F:$F,Receitas!$J:$J,"&lt;="&amp;$A938,Receitas!$L:$L,"&gt;="&amp;$A938,Receitas!$C:$C,O$1,Receitas!$M:$M,$B938)</f>
        <v>0</v>
      </c>
      <c r="P938" s="18">
        <f>SUMIFS(Receitas!$F:$F,Receitas!$J:$J,"&lt;="&amp;$A938,Receitas!$L:$L,"&gt;="&amp;$A938,Receitas!$C:$C,P$1,Receitas!$M:$M,"Mensal")+SUMIFS(Receitas!$F:$F,Receitas!$J:$J,"&lt;="&amp;$A938,Receitas!$L:$L,"&gt;="&amp;$A938,Receitas!$C:$C,P$1,Receitas!$M:$M,$B938)</f>
        <v>0</v>
      </c>
      <c r="Q938" s="18">
        <f>SUMIFS(Receitas!$F:$F,Receitas!$J:$J,"&lt;="&amp;$A938,Receitas!$L:$L,"&gt;="&amp;$A938,Receitas!$C:$C,Q$1,Receitas!$M:$M,"Mensal")+SUMIFS(Receitas!$F:$F,Receitas!$J:$J,"&lt;="&amp;$A938,Receitas!$L:$L,"&gt;="&amp;$A938,Receitas!$C:$C,Q$1,Receitas!$M:$M,$B938)</f>
        <v>0</v>
      </c>
      <c r="R938" s="18" cm="1">
        <f t="array" ref="R938">(IF(AND(Membros!$F$2="Sim",A938&lt;=MAX(Membros!$E$2:$E$5)),Membros!K$2,IF(AND(A938&gt;=Membros!J$2,A938&lt;=MAX(Membros!$E$2:$E$5)),Membros!K$2,0))+IF(AND(Membros!$F$3="Sim",A938&lt;=MAX(Membros!$E$2:$E$5)),Membros!K$3,IF(AND(A938&gt;=Membros!J$3,A938&lt;=MAX(Membros!$E$2:$E$5)),Membros!K$3,0)))*IF(AND(COUNTIFS(Tabela3[Tipo],"Provedor",Tabela3[Simulação Seguro],"Sim")=2,A938&gt;=MAX(IF(Tabela3[Tipo]="Dependente",Tabela3[Expectativa de Vida (Data)]))),0,1)</f>
        <v>0</v>
      </c>
      <c r="S938" s="18">
        <f t="shared" si="118"/>
        <v>0</v>
      </c>
      <c r="U938" s="18">
        <f t="shared" ca="1" si="121"/>
        <v>100758565.48445211</v>
      </c>
      <c r="V938" s="18">
        <f>SUMIF(Imóveis!E:E,Dados!A:A,Imóveis!Z:Z)-SUMIF(Imóveis!E:E,Dados!A:A,Imóveis!Y:Y)</f>
        <v>0</v>
      </c>
      <c r="W938" s="18">
        <f>-SUMIF(Projetos!N:N,A938,Projetos!F:F)</f>
        <v>0</v>
      </c>
      <c r="X938" s="18">
        <f t="shared" si="115"/>
        <v>0</v>
      </c>
      <c r="Y938" s="26">
        <f ca="1">(U938*((Indicadores_Economicos!D$2+1)^(1/12)-1))</f>
        <v>329857.32422374532</v>
      </c>
      <c r="Z938" s="18">
        <f t="shared" ca="1" si="119"/>
        <v>101088422.80867586</v>
      </c>
      <c r="AA938" s="18">
        <f ca="1">Auxiliar_Projetos!E938</f>
        <v>8.3328984033957219E-9</v>
      </c>
      <c r="AB938" s="18">
        <f ca="1">Auxiliar_Projetos!K938</f>
        <v>6.4099218487659391E-9</v>
      </c>
      <c r="AC938" s="18">
        <f ca="1">IF(Z938-AA938-AB938&gt;Investimentos!$C$14,Investimentos!$C$14,IF(Z938-AA938-AB938&lt;Investimentos!$C$14,Z938-AA938-AB938,0))</f>
        <v>300000</v>
      </c>
      <c r="AD938" s="18">
        <f t="shared" ca="1" si="120"/>
        <v>100788422.80867584</v>
      </c>
      <c r="AE938" s="18"/>
    </row>
    <row r="939" spans="1:31" x14ac:dyDescent="0.2">
      <c r="A939" s="4">
        <v>74177</v>
      </c>
      <c r="B939" s="5" t="str">
        <f t="shared" si="116"/>
        <v>fevereiro</v>
      </c>
      <c r="C939" s="5" t="str">
        <f t="shared" si="122"/>
        <v>2103</v>
      </c>
      <c r="D939" s="5">
        <f>SUMIFS(Despesas!$F:$F,Despesas!$J:$J,"&lt;="&amp;$A939,Despesas!$L:$L,"&gt;="&amp;$A939,Despesas!$C:$C,D$1,Despesas!$M:$M,"Mensal")+SUMIFS(Despesas!$F:$F,Despesas!$J:$J,"&lt;="&amp;$A939,Despesas!$L:$L,"&gt;="&amp;$A939,Despesas!$C:$C,D$1,Despesas!$M:$M,$B939)</f>
        <v>0</v>
      </c>
      <c r="E939" s="18">
        <f>SUMIFS(Despesas!$F:$F,Despesas!$J:$J,"&lt;="&amp;$A939,Despesas!$L:$L,"&gt;="&amp;$A939,Despesas!$C:$C,E$1,Despesas!$M:$M,"Mensal")+SUMIFS(Despesas!$F:$F,Despesas!$J:$J,"&lt;="&amp;$A939,Despesas!$L:$L,"&gt;="&amp;$A939,Despesas!$C:$C,E$1,Despesas!$M:$M,$B939)</f>
        <v>0</v>
      </c>
      <c r="F939" s="5">
        <f>SUMIFS(Despesas!$F:$F,Despesas!$J:$J,"&lt;="&amp;$A939,Despesas!$L:$L,"&gt;="&amp;$A939,Despesas!$C:$C,F$1,Despesas!$M:$M,"Mensal")+SUMIFS(Despesas!$F:$F,Despesas!$J:$J,"&lt;="&amp;$A939,Despesas!$L:$L,"&gt;="&amp;$A939,Despesas!$C:$C,F$1,Despesas!$M:$M,$B939)</f>
        <v>0</v>
      </c>
      <c r="G939" s="5">
        <f>SUMIFS(Despesas!$F:$F,Despesas!$J:$J,"&lt;="&amp;$A939,Despesas!$L:$L,"&gt;="&amp;$A939,Despesas!$C:$C,G$1,Despesas!$M:$M,"Mensal")+SUMIFS(Despesas!$F:$F,Despesas!$J:$J,"&lt;="&amp;$A939,Despesas!$L:$L,"&gt;="&amp;$A939,Despesas!$C:$C,G$1,Despesas!$M:$M,$B939)</f>
        <v>0</v>
      </c>
      <c r="H939" s="18">
        <f>SUMIFS(Despesas!$F:$F,Despesas!$J:$J,"&lt;="&amp;$A939,Despesas!$L:$L,"&gt;="&amp;$A939,Despesas!$C:$C,H$1,Despesas!$M:$M,"Mensal")+SUMIFS(Despesas!$F:$F,Despesas!$J:$J,"&lt;="&amp;$A939,Despesas!$L:$L,"&gt;="&amp;$A939,Despesas!$C:$C,H$1,Despesas!$M:$M,$B939)</f>
        <v>0</v>
      </c>
      <c r="I939" s="18">
        <f>IF(Imóveis!$F$2="PRICE",IF(AND(Dados!$A939&gt;=Imóveis!$Q$2,Dados!$A939&lt;=Imóveis!$T$2),Imóveis!$U$2,0),IF((IF(AND(Dados!$A939&gt;=Imóveis!$Q$2,Dados!$A939&lt;=Imóveis!$T$2),Imóveis!$S$2-(DATEDIF(Imóveis!$Q$2,Dados!$A939,"m")),0))=0,0,((Imóveis!$N$2/Imóveis!$S$2)+((Imóveis!$N$2-((Imóveis!$S$2-(IF(AND(Dados!$A939&gt;=Imóveis!$Q$2,Dados!$A939&lt;=Imóveis!$T$2),Imóveis!$S$2-(DATEDIF(Imóveis!$Q$2,Dados!$A939,"m")),)))*(Imóveis!$N$2/Imóveis!$S$2)))*Imóveis!$P$2))))*IF(AND(Imóveis!$E$2&gt;0,Dados!$A939&gt;Imóveis!$E$2),0,1)</f>
        <v>0</v>
      </c>
      <c r="J939" s="18">
        <f>IF(Imóveis!$F$3="PRICE",IF(AND(Dados!$A939&gt;=Imóveis!$Q$3,Dados!$A939&lt;=Imóveis!$T$3),Imóveis!$U$3,0),IF((IF(AND(Dados!$A939&gt;=Imóveis!$Q$3,Dados!$A939&lt;=Imóveis!$T$3),Imóveis!$S$3-(DATEDIF(Imóveis!$Q$3,Dados!$A939,"m")),0))=0,0,((Imóveis!$N$3/Imóveis!$S$3)+((Imóveis!$N$3-((Imóveis!$S$3-(IF(AND(Dados!$A939&gt;=Imóveis!$Q$3,Dados!$A939&lt;=Imóveis!$T$3),Imóveis!$S$3-(DATEDIF(Imóveis!$Q$3,Dados!$A939,"m")),)))*(Imóveis!$N$3/Imóveis!$S$3)))*Imóveis!$P$3))))*IF(AND(Imóveis!$E$3&gt;0,Dados!$A939&gt;Imóveis!$E$3),0,1)</f>
        <v>0</v>
      </c>
      <c r="K939" s="18">
        <f>IF(Imóveis!$F$4="PRICE",IF(AND(Dados!$A939&gt;=Imóveis!$Q$4,Dados!$A939&lt;=Imóveis!$T$4),Imóveis!$U$4,0),IF((IF(AND(Dados!$A939&gt;=Imóveis!$Q$4,Dados!$A939&lt;=Imóveis!$T$4),Imóveis!$S$4-(DATEDIF(Imóveis!$Q$4,Dados!$A939,"m")),0))=0,0,((Imóveis!$N$4/Imóveis!$S$4)+((Imóveis!$N$4-((Imóveis!$S$4-(IF(AND(Dados!$A939&gt;=Imóveis!$Q$4,Dados!$A939&lt;=Imóveis!$T$4),Imóveis!$S$4-(DATEDIF(Imóveis!$Q$4,Dados!$A939,"m")),)))*(Imóveis!$N$4/Imóveis!$S$4)))*Imóveis!$P$4))))*IF(AND(Imóveis!$E$4&gt;0,Dados!$A939&gt;Imóveis!$E$4),0,1)</f>
        <v>0</v>
      </c>
      <c r="L939" s="18">
        <f>IF(Imóveis!$F$5="PRICE",IF(AND(Dados!$A939&gt;=Imóveis!$Q$5,Dados!$A939&lt;=Imóveis!$T$5),Imóveis!$U$5,0),IF((IF(AND(Dados!$A939&gt;=Imóveis!$Q$5,Dados!$A939&lt;=Imóveis!$T$5),Imóveis!$S$5-(DATEDIF(Imóveis!$Q$5,Dados!$A939,"m")),0))=0,0,((Imóveis!$N$5/Imóveis!$S$5)+((Imóveis!$N$5-((Imóveis!$S$5-(IF(AND(Dados!$A939 &gt;=Imóveis!$Q$5,Dados!$A939&lt;=Imóveis!$T$5),Imóveis!$S$5-(DATEDIF(Imóveis!$Q$5,Dados!$A939,"m")),)))*(Imóveis!$N$5/Imóveis!$S$5)))*Imóveis!$P$5))))*IF(AND(Imóveis!$E$5&gt;0,Dados!$A939&gt;Imóveis!$E$5),0,1)*Imóveis!$I$5</f>
        <v>0</v>
      </c>
      <c r="M939" s="18">
        <f>IF(Imóveis!$F$6="PRICE",IF(AND(Dados!$A939&gt;=Imóveis!$Q$6,Dados!$A939&lt;=Imóveis!$T$6),Imóveis!$U$6,0),IF((IF(AND(Dados!$A939&gt;=Imóveis!$Q$6,Dados!$A939&lt;=Imóveis!$T$6),Imóveis!$S$6-(DATEDIF(Imóveis!$Q$6,Dados!$A939,"m")),0))=0,0,((Imóveis!$N$6/Imóveis!$S$6)+((Imóveis!$N$6-((Imóveis!$S$6-(IF(AND(Dados!$A939&gt;=Imóveis!$Q$6,Dados!$A939&lt;=Imóveis!$T$6),Imóveis!$S$6-(DATEDIF(Imóveis!$Q$6,Dados!$A939,"m")),)))*(Imóveis!$N$6/Imóveis!$S$6)))*Imóveis!$P$6))))*IF(AND(Imóveis!$E$6&gt;0,Dados!$A939&gt;Imóveis!$E$6),0,1)*Imóveis!$I$6</f>
        <v>0</v>
      </c>
      <c r="N939" s="18">
        <f t="shared" si="117"/>
        <v>0</v>
      </c>
      <c r="O939" s="18">
        <f>SUMIFS(Receitas!$F:$F,Receitas!$J:$J,"&lt;="&amp;$A939,Receitas!$L:$L,"&gt;="&amp;$A939,Receitas!$C:$C,O$1,Receitas!$M:$M,"Mensal")+SUMIFS(Receitas!$F:$F,Receitas!$J:$J,"&lt;="&amp;$A939,Receitas!$L:$L,"&gt;="&amp;$A939,Receitas!$C:$C,O$1,Receitas!$M:$M,$B939)</f>
        <v>0</v>
      </c>
      <c r="P939" s="18">
        <f>SUMIFS(Receitas!$F:$F,Receitas!$J:$J,"&lt;="&amp;$A939,Receitas!$L:$L,"&gt;="&amp;$A939,Receitas!$C:$C,P$1,Receitas!$M:$M,"Mensal")+SUMIFS(Receitas!$F:$F,Receitas!$J:$J,"&lt;="&amp;$A939,Receitas!$L:$L,"&gt;="&amp;$A939,Receitas!$C:$C,P$1,Receitas!$M:$M,$B939)</f>
        <v>0</v>
      </c>
      <c r="Q939" s="18">
        <f>SUMIFS(Receitas!$F:$F,Receitas!$J:$J,"&lt;="&amp;$A939,Receitas!$L:$L,"&gt;="&amp;$A939,Receitas!$C:$C,Q$1,Receitas!$M:$M,"Mensal")+SUMIFS(Receitas!$F:$F,Receitas!$J:$J,"&lt;="&amp;$A939,Receitas!$L:$L,"&gt;="&amp;$A939,Receitas!$C:$C,Q$1,Receitas!$M:$M,$B939)</f>
        <v>0</v>
      </c>
      <c r="R939" s="18" cm="1">
        <f t="array" ref="R939">(IF(AND(Membros!$F$2="Sim",A939&lt;=MAX(Membros!$E$2:$E$5)),Membros!K$2,IF(AND(A939&gt;=Membros!J$2,A939&lt;=MAX(Membros!$E$2:$E$5)),Membros!K$2,0))+IF(AND(Membros!$F$3="Sim",A939&lt;=MAX(Membros!$E$2:$E$5)),Membros!K$3,IF(AND(A939&gt;=Membros!J$3,A939&lt;=MAX(Membros!$E$2:$E$5)),Membros!K$3,0)))*IF(AND(COUNTIFS(Tabela3[Tipo],"Provedor",Tabela3[Simulação Seguro],"Sim")=2,A939&gt;=MAX(IF(Tabela3[Tipo]="Dependente",Tabela3[Expectativa de Vida (Data)]))),0,1)</f>
        <v>0</v>
      </c>
      <c r="S939" s="18">
        <f t="shared" si="118"/>
        <v>0</v>
      </c>
      <c r="U939" s="18">
        <f t="shared" ca="1" si="121"/>
        <v>101088422.80867586</v>
      </c>
      <c r="V939" s="18">
        <f>SUMIF(Imóveis!E:E,Dados!A:A,Imóveis!Z:Z)-SUMIF(Imóveis!E:E,Dados!A:A,Imóveis!Y:Y)</f>
        <v>0</v>
      </c>
      <c r="W939" s="18">
        <f>-SUMIF(Projetos!N:N,A939,Projetos!F:F)</f>
        <v>0</v>
      </c>
      <c r="X939" s="18">
        <f t="shared" si="115"/>
        <v>0</v>
      </c>
      <c r="Y939" s="26">
        <f ca="1">(U939*((Indicadores_Economicos!D$2+1)^(1/12)-1))</f>
        <v>330937.19126850629</v>
      </c>
      <c r="Z939" s="18">
        <f t="shared" ca="1" si="119"/>
        <v>101419359.99994436</v>
      </c>
      <c r="AA939" s="18">
        <f ca="1">Auxiliar_Projetos!E939</f>
        <v>8.3601781443999407E-9</v>
      </c>
      <c r="AB939" s="18">
        <f ca="1">Auxiliar_Projetos!K939</f>
        <v>6.4309062649230303E-9</v>
      </c>
      <c r="AC939" s="18">
        <f ca="1">IF(Z939-AA939-AB939&gt;Investimentos!$C$14,Investimentos!$C$14,IF(Z939-AA939-AB939&lt;Investimentos!$C$14,Z939-AA939-AB939,0))</f>
        <v>300000</v>
      </c>
      <c r="AD939" s="18">
        <f t="shared" ca="1" si="120"/>
        <v>101119359.99994434</v>
      </c>
      <c r="AE939" s="18"/>
    </row>
    <row r="940" spans="1:31" x14ac:dyDescent="0.2">
      <c r="A940" s="4">
        <v>74205</v>
      </c>
      <c r="B940" s="5" t="str">
        <f t="shared" si="116"/>
        <v>março</v>
      </c>
      <c r="C940" s="5" t="str">
        <f t="shared" si="122"/>
        <v>2103</v>
      </c>
      <c r="D940" s="5">
        <f>SUMIFS(Despesas!$F:$F,Despesas!$J:$J,"&lt;="&amp;$A940,Despesas!$L:$L,"&gt;="&amp;$A940,Despesas!$C:$C,D$1,Despesas!$M:$M,"Mensal")+SUMIFS(Despesas!$F:$F,Despesas!$J:$J,"&lt;="&amp;$A940,Despesas!$L:$L,"&gt;="&amp;$A940,Despesas!$C:$C,D$1,Despesas!$M:$M,$B940)</f>
        <v>0</v>
      </c>
      <c r="E940" s="18">
        <f>SUMIFS(Despesas!$F:$F,Despesas!$J:$J,"&lt;="&amp;$A940,Despesas!$L:$L,"&gt;="&amp;$A940,Despesas!$C:$C,E$1,Despesas!$M:$M,"Mensal")+SUMIFS(Despesas!$F:$F,Despesas!$J:$J,"&lt;="&amp;$A940,Despesas!$L:$L,"&gt;="&amp;$A940,Despesas!$C:$C,E$1,Despesas!$M:$M,$B940)</f>
        <v>0</v>
      </c>
      <c r="F940" s="5">
        <f>SUMIFS(Despesas!$F:$F,Despesas!$J:$J,"&lt;="&amp;$A940,Despesas!$L:$L,"&gt;="&amp;$A940,Despesas!$C:$C,F$1,Despesas!$M:$M,"Mensal")+SUMIFS(Despesas!$F:$F,Despesas!$J:$J,"&lt;="&amp;$A940,Despesas!$L:$L,"&gt;="&amp;$A940,Despesas!$C:$C,F$1,Despesas!$M:$M,$B940)</f>
        <v>0</v>
      </c>
      <c r="G940" s="5">
        <f>SUMIFS(Despesas!$F:$F,Despesas!$J:$J,"&lt;="&amp;$A940,Despesas!$L:$L,"&gt;="&amp;$A940,Despesas!$C:$C,G$1,Despesas!$M:$M,"Mensal")+SUMIFS(Despesas!$F:$F,Despesas!$J:$J,"&lt;="&amp;$A940,Despesas!$L:$L,"&gt;="&amp;$A940,Despesas!$C:$C,G$1,Despesas!$M:$M,$B940)</f>
        <v>0</v>
      </c>
      <c r="H940" s="18">
        <f>SUMIFS(Despesas!$F:$F,Despesas!$J:$J,"&lt;="&amp;$A940,Despesas!$L:$L,"&gt;="&amp;$A940,Despesas!$C:$C,H$1,Despesas!$M:$M,"Mensal")+SUMIFS(Despesas!$F:$F,Despesas!$J:$J,"&lt;="&amp;$A940,Despesas!$L:$L,"&gt;="&amp;$A940,Despesas!$C:$C,H$1,Despesas!$M:$M,$B940)</f>
        <v>0</v>
      </c>
      <c r="I940" s="18">
        <f>IF(Imóveis!$F$2="PRICE",IF(AND(Dados!$A940&gt;=Imóveis!$Q$2,Dados!$A940&lt;=Imóveis!$T$2),Imóveis!$U$2,0),IF((IF(AND(Dados!$A940&gt;=Imóveis!$Q$2,Dados!$A940&lt;=Imóveis!$T$2),Imóveis!$S$2-(DATEDIF(Imóveis!$Q$2,Dados!$A940,"m")),0))=0,0,((Imóveis!$N$2/Imóveis!$S$2)+((Imóveis!$N$2-((Imóveis!$S$2-(IF(AND(Dados!$A940&gt;=Imóveis!$Q$2,Dados!$A940&lt;=Imóveis!$T$2),Imóveis!$S$2-(DATEDIF(Imóveis!$Q$2,Dados!$A940,"m")),)))*(Imóveis!$N$2/Imóveis!$S$2)))*Imóveis!$P$2))))*IF(AND(Imóveis!$E$2&gt;0,Dados!$A940&gt;Imóveis!$E$2),0,1)</f>
        <v>0</v>
      </c>
      <c r="J940" s="18">
        <f>IF(Imóveis!$F$3="PRICE",IF(AND(Dados!$A940&gt;=Imóveis!$Q$3,Dados!$A940&lt;=Imóveis!$T$3),Imóveis!$U$3,0),IF((IF(AND(Dados!$A940&gt;=Imóveis!$Q$3,Dados!$A940&lt;=Imóveis!$T$3),Imóveis!$S$3-(DATEDIF(Imóveis!$Q$3,Dados!$A940,"m")),0))=0,0,((Imóveis!$N$3/Imóveis!$S$3)+((Imóveis!$N$3-((Imóveis!$S$3-(IF(AND(Dados!$A940&gt;=Imóveis!$Q$3,Dados!$A940&lt;=Imóveis!$T$3),Imóveis!$S$3-(DATEDIF(Imóveis!$Q$3,Dados!$A940,"m")),)))*(Imóveis!$N$3/Imóveis!$S$3)))*Imóveis!$P$3))))*IF(AND(Imóveis!$E$3&gt;0,Dados!$A940&gt;Imóveis!$E$3),0,1)</f>
        <v>0</v>
      </c>
      <c r="K940" s="18">
        <f>IF(Imóveis!$F$4="PRICE",IF(AND(Dados!$A940&gt;=Imóveis!$Q$4,Dados!$A940&lt;=Imóveis!$T$4),Imóveis!$U$4,0),IF((IF(AND(Dados!$A940&gt;=Imóveis!$Q$4,Dados!$A940&lt;=Imóveis!$T$4),Imóveis!$S$4-(DATEDIF(Imóveis!$Q$4,Dados!$A940,"m")),0))=0,0,((Imóveis!$N$4/Imóveis!$S$4)+((Imóveis!$N$4-((Imóveis!$S$4-(IF(AND(Dados!$A940&gt;=Imóveis!$Q$4,Dados!$A940&lt;=Imóveis!$T$4),Imóveis!$S$4-(DATEDIF(Imóveis!$Q$4,Dados!$A940,"m")),)))*(Imóveis!$N$4/Imóveis!$S$4)))*Imóveis!$P$4))))*IF(AND(Imóveis!$E$4&gt;0,Dados!$A940&gt;Imóveis!$E$4),0,1)</f>
        <v>0</v>
      </c>
      <c r="L940" s="18">
        <f>IF(Imóveis!$F$5="PRICE",IF(AND(Dados!$A940&gt;=Imóveis!$Q$5,Dados!$A940&lt;=Imóveis!$T$5),Imóveis!$U$5,0),IF((IF(AND(Dados!$A940&gt;=Imóveis!$Q$5,Dados!$A940&lt;=Imóveis!$T$5),Imóveis!$S$5-(DATEDIF(Imóveis!$Q$5,Dados!$A940,"m")),0))=0,0,((Imóveis!$N$5/Imóveis!$S$5)+((Imóveis!$N$5-((Imóveis!$S$5-(IF(AND(Dados!$A940 &gt;=Imóveis!$Q$5,Dados!$A940&lt;=Imóveis!$T$5),Imóveis!$S$5-(DATEDIF(Imóveis!$Q$5,Dados!$A940,"m")),)))*(Imóveis!$N$5/Imóveis!$S$5)))*Imóveis!$P$5))))*IF(AND(Imóveis!$E$5&gt;0,Dados!$A940&gt;Imóveis!$E$5),0,1)*Imóveis!$I$5</f>
        <v>0</v>
      </c>
      <c r="M940" s="18">
        <f>IF(Imóveis!$F$6="PRICE",IF(AND(Dados!$A940&gt;=Imóveis!$Q$6,Dados!$A940&lt;=Imóveis!$T$6),Imóveis!$U$6,0),IF((IF(AND(Dados!$A940&gt;=Imóveis!$Q$6,Dados!$A940&lt;=Imóveis!$T$6),Imóveis!$S$6-(DATEDIF(Imóveis!$Q$6,Dados!$A940,"m")),0))=0,0,((Imóveis!$N$6/Imóveis!$S$6)+((Imóveis!$N$6-((Imóveis!$S$6-(IF(AND(Dados!$A940&gt;=Imóveis!$Q$6,Dados!$A940&lt;=Imóveis!$T$6),Imóveis!$S$6-(DATEDIF(Imóveis!$Q$6,Dados!$A940,"m")),)))*(Imóveis!$N$6/Imóveis!$S$6)))*Imóveis!$P$6))))*IF(AND(Imóveis!$E$6&gt;0,Dados!$A940&gt;Imóveis!$E$6),0,1)*Imóveis!$I$6</f>
        <v>0</v>
      </c>
      <c r="N940" s="18">
        <f t="shared" si="117"/>
        <v>0</v>
      </c>
      <c r="O940" s="18">
        <f>SUMIFS(Receitas!$F:$F,Receitas!$J:$J,"&lt;="&amp;$A940,Receitas!$L:$L,"&gt;="&amp;$A940,Receitas!$C:$C,O$1,Receitas!$M:$M,"Mensal")+SUMIFS(Receitas!$F:$F,Receitas!$J:$J,"&lt;="&amp;$A940,Receitas!$L:$L,"&gt;="&amp;$A940,Receitas!$C:$C,O$1,Receitas!$M:$M,$B940)</f>
        <v>0</v>
      </c>
      <c r="P940" s="18">
        <f>SUMIFS(Receitas!$F:$F,Receitas!$J:$J,"&lt;="&amp;$A940,Receitas!$L:$L,"&gt;="&amp;$A940,Receitas!$C:$C,P$1,Receitas!$M:$M,"Mensal")+SUMIFS(Receitas!$F:$F,Receitas!$J:$J,"&lt;="&amp;$A940,Receitas!$L:$L,"&gt;="&amp;$A940,Receitas!$C:$C,P$1,Receitas!$M:$M,$B940)</f>
        <v>0</v>
      </c>
      <c r="Q940" s="18">
        <f>SUMIFS(Receitas!$F:$F,Receitas!$J:$J,"&lt;="&amp;$A940,Receitas!$L:$L,"&gt;="&amp;$A940,Receitas!$C:$C,Q$1,Receitas!$M:$M,"Mensal")+SUMIFS(Receitas!$F:$F,Receitas!$J:$J,"&lt;="&amp;$A940,Receitas!$L:$L,"&gt;="&amp;$A940,Receitas!$C:$C,Q$1,Receitas!$M:$M,$B940)</f>
        <v>0</v>
      </c>
      <c r="R940" s="18" cm="1">
        <f t="array" ref="R940">(IF(AND(Membros!$F$2="Sim",A940&lt;=MAX(Membros!$E$2:$E$5)),Membros!K$2,IF(AND(A940&gt;=Membros!J$2,A940&lt;=MAX(Membros!$E$2:$E$5)),Membros!K$2,0))+IF(AND(Membros!$F$3="Sim",A940&lt;=MAX(Membros!$E$2:$E$5)),Membros!K$3,IF(AND(A940&gt;=Membros!J$3,A940&lt;=MAX(Membros!$E$2:$E$5)),Membros!K$3,0)))*IF(AND(COUNTIFS(Tabela3[Tipo],"Provedor",Tabela3[Simulação Seguro],"Sim")=2,A940&gt;=MAX(IF(Tabela3[Tipo]="Dependente",Tabela3[Expectativa de Vida (Data)]))),0,1)</f>
        <v>0</v>
      </c>
      <c r="S940" s="18">
        <f t="shared" si="118"/>
        <v>0</v>
      </c>
      <c r="U940" s="18">
        <f t="shared" ca="1" si="121"/>
        <v>101419359.99994436</v>
      </c>
      <c r="V940" s="18">
        <f>SUMIF(Imóveis!E:E,Dados!A:A,Imóveis!Z:Z)-SUMIF(Imóveis!E:E,Dados!A:A,Imóveis!Y:Y)</f>
        <v>0</v>
      </c>
      <c r="W940" s="18">
        <f>-SUMIF(Projetos!N:N,A940,Projetos!F:F)</f>
        <v>0</v>
      </c>
      <c r="X940" s="18">
        <f t="shared" si="115"/>
        <v>0</v>
      </c>
      <c r="Y940" s="26">
        <f ca="1">(U940*((Indicadores_Economicos!D$2+1)^(1/12)-1))</f>
        <v>332020.59351697116</v>
      </c>
      <c r="Z940" s="18">
        <f t="shared" ca="1" si="119"/>
        <v>101751380.59346133</v>
      </c>
      <c r="AA940" s="18">
        <f ca="1">Auxiliar_Projetos!E940</f>
        <v>8.3875471921775333E-9</v>
      </c>
      <c r="AB940" s="18">
        <f ca="1">Auxiliar_Projetos!K940</f>
        <v>6.4519593785981012E-9</v>
      </c>
      <c r="AC940" s="18">
        <f ca="1">IF(Z940-AA940-AB940&gt;Investimentos!$C$14,Investimentos!$C$14,IF(Z940-AA940-AB940&lt;Investimentos!$C$14,Z940-AA940-AB940,0))</f>
        <v>300000</v>
      </c>
      <c r="AD940" s="18">
        <f t="shared" ca="1" si="120"/>
        <v>101451380.59346132</v>
      </c>
      <c r="AE940" s="18"/>
    </row>
    <row r="941" spans="1:31" x14ac:dyDescent="0.2">
      <c r="A941" s="4">
        <v>74236</v>
      </c>
      <c r="B941" s="5" t="str">
        <f t="shared" si="116"/>
        <v>abril</v>
      </c>
      <c r="C941" s="5" t="str">
        <f t="shared" si="122"/>
        <v>2103</v>
      </c>
      <c r="D941" s="5">
        <f>SUMIFS(Despesas!$F:$F,Despesas!$J:$J,"&lt;="&amp;$A941,Despesas!$L:$L,"&gt;="&amp;$A941,Despesas!$C:$C,D$1,Despesas!$M:$M,"Mensal")+SUMIFS(Despesas!$F:$F,Despesas!$J:$J,"&lt;="&amp;$A941,Despesas!$L:$L,"&gt;="&amp;$A941,Despesas!$C:$C,D$1,Despesas!$M:$M,$B941)</f>
        <v>0</v>
      </c>
      <c r="E941" s="18">
        <f>SUMIFS(Despesas!$F:$F,Despesas!$J:$J,"&lt;="&amp;$A941,Despesas!$L:$L,"&gt;="&amp;$A941,Despesas!$C:$C,E$1,Despesas!$M:$M,"Mensal")+SUMIFS(Despesas!$F:$F,Despesas!$J:$J,"&lt;="&amp;$A941,Despesas!$L:$L,"&gt;="&amp;$A941,Despesas!$C:$C,E$1,Despesas!$M:$M,$B941)</f>
        <v>0</v>
      </c>
      <c r="F941" s="5">
        <f>SUMIFS(Despesas!$F:$F,Despesas!$J:$J,"&lt;="&amp;$A941,Despesas!$L:$L,"&gt;="&amp;$A941,Despesas!$C:$C,F$1,Despesas!$M:$M,"Mensal")+SUMIFS(Despesas!$F:$F,Despesas!$J:$J,"&lt;="&amp;$A941,Despesas!$L:$L,"&gt;="&amp;$A941,Despesas!$C:$C,F$1,Despesas!$M:$M,$B941)</f>
        <v>0</v>
      </c>
      <c r="G941" s="5">
        <f>SUMIFS(Despesas!$F:$F,Despesas!$J:$J,"&lt;="&amp;$A941,Despesas!$L:$L,"&gt;="&amp;$A941,Despesas!$C:$C,G$1,Despesas!$M:$M,"Mensal")+SUMIFS(Despesas!$F:$F,Despesas!$J:$J,"&lt;="&amp;$A941,Despesas!$L:$L,"&gt;="&amp;$A941,Despesas!$C:$C,G$1,Despesas!$M:$M,$B941)</f>
        <v>0</v>
      </c>
      <c r="H941" s="18">
        <f>SUMIFS(Despesas!$F:$F,Despesas!$J:$J,"&lt;="&amp;$A941,Despesas!$L:$L,"&gt;="&amp;$A941,Despesas!$C:$C,H$1,Despesas!$M:$M,"Mensal")+SUMIFS(Despesas!$F:$F,Despesas!$J:$J,"&lt;="&amp;$A941,Despesas!$L:$L,"&gt;="&amp;$A941,Despesas!$C:$C,H$1,Despesas!$M:$M,$B941)</f>
        <v>0</v>
      </c>
      <c r="I941" s="18">
        <f>IF(Imóveis!$F$2="PRICE",IF(AND(Dados!$A941&gt;=Imóveis!$Q$2,Dados!$A941&lt;=Imóveis!$T$2),Imóveis!$U$2,0),IF((IF(AND(Dados!$A941&gt;=Imóveis!$Q$2,Dados!$A941&lt;=Imóveis!$T$2),Imóveis!$S$2-(DATEDIF(Imóveis!$Q$2,Dados!$A941,"m")),0))=0,0,((Imóveis!$N$2/Imóveis!$S$2)+((Imóveis!$N$2-((Imóveis!$S$2-(IF(AND(Dados!$A941&gt;=Imóveis!$Q$2,Dados!$A941&lt;=Imóveis!$T$2),Imóveis!$S$2-(DATEDIF(Imóveis!$Q$2,Dados!$A941,"m")),)))*(Imóveis!$N$2/Imóveis!$S$2)))*Imóveis!$P$2))))*IF(AND(Imóveis!$E$2&gt;0,Dados!$A941&gt;Imóveis!$E$2),0,1)</f>
        <v>0</v>
      </c>
      <c r="J941" s="18">
        <f>IF(Imóveis!$F$3="PRICE",IF(AND(Dados!$A941&gt;=Imóveis!$Q$3,Dados!$A941&lt;=Imóveis!$T$3),Imóveis!$U$3,0),IF((IF(AND(Dados!$A941&gt;=Imóveis!$Q$3,Dados!$A941&lt;=Imóveis!$T$3),Imóveis!$S$3-(DATEDIF(Imóveis!$Q$3,Dados!$A941,"m")),0))=0,0,((Imóveis!$N$3/Imóveis!$S$3)+((Imóveis!$N$3-((Imóveis!$S$3-(IF(AND(Dados!$A941&gt;=Imóveis!$Q$3,Dados!$A941&lt;=Imóveis!$T$3),Imóveis!$S$3-(DATEDIF(Imóveis!$Q$3,Dados!$A941,"m")),)))*(Imóveis!$N$3/Imóveis!$S$3)))*Imóveis!$P$3))))*IF(AND(Imóveis!$E$3&gt;0,Dados!$A941&gt;Imóveis!$E$3),0,1)</f>
        <v>0</v>
      </c>
      <c r="K941" s="18">
        <f>IF(Imóveis!$F$4="PRICE",IF(AND(Dados!$A941&gt;=Imóveis!$Q$4,Dados!$A941&lt;=Imóveis!$T$4),Imóveis!$U$4,0),IF((IF(AND(Dados!$A941&gt;=Imóveis!$Q$4,Dados!$A941&lt;=Imóveis!$T$4),Imóveis!$S$4-(DATEDIF(Imóveis!$Q$4,Dados!$A941,"m")),0))=0,0,((Imóveis!$N$4/Imóveis!$S$4)+((Imóveis!$N$4-((Imóveis!$S$4-(IF(AND(Dados!$A941&gt;=Imóveis!$Q$4,Dados!$A941&lt;=Imóveis!$T$4),Imóveis!$S$4-(DATEDIF(Imóveis!$Q$4,Dados!$A941,"m")),)))*(Imóveis!$N$4/Imóveis!$S$4)))*Imóveis!$P$4))))*IF(AND(Imóveis!$E$4&gt;0,Dados!$A941&gt;Imóveis!$E$4),0,1)</f>
        <v>0</v>
      </c>
      <c r="L941" s="18">
        <f>IF(Imóveis!$F$5="PRICE",IF(AND(Dados!$A941&gt;=Imóveis!$Q$5,Dados!$A941&lt;=Imóveis!$T$5),Imóveis!$U$5,0),IF((IF(AND(Dados!$A941&gt;=Imóveis!$Q$5,Dados!$A941&lt;=Imóveis!$T$5),Imóveis!$S$5-(DATEDIF(Imóveis!$Q$5,Dados!$A941,"m")),0))=0,0,((Imóveis!$N$5/Imóveis!$S$5)+((Imóveis!$N$5-((Imóveis!$S$5-(IF(AND(Dados!$A941 &gt;=Imóveis!$Q$5,Dados!$A941&lt;=Imóveis!$T$5),Imóveis!$S$5-(DATEDIF(Imóveis!$Q$5,Dados!$A941,"m")),)))*(Imóveis!$N$5/Imóveis!$S$5)))*Imóveis!$P$5))))*IF(AND(Imóveis!$E$5&gt;0,Dados!$A941&gt;Imóveis!$E$5),0,1)*Imóveis!$I$5</f>
        <v>0</v>
      </c>
      <c r="M941" s="18">
        <f>IF(Imóveis!$F$6="PRICE",IF(AND(Dados!$A941&gt;=Imóveis!$Q$6,Dados!$A941&lt;=Imóveis!$T$6),Imóveis!$U$6,0),IF((IF(AND(Dados!$A941&gt;=Imóveis!$Q$6,Dados!$A941&lt;=Imóveis!$T$6),Imóveis!$S$6-(DATEDIF(Imóveis!$Q$6,Dados!$A941,"m")),0))=0,0,((Imóveis!$N$6/Imóveis!$S$6)+((Imóveis!$N$6-((Imóveis!$S$6-(IF(AND(Dados!$A941&gt;=Imóveis!$Q$6,Dados!$A941&lt;=Imóveis!$T$6),Imóveis!$S$6-(DATEDIF(Imóveis!$Q$6,Dados!$A941,"m")),)))*(Imóveis!$N$6/Imóveis!$S$6)))*Imóveis!$P$6))))*IF(AND(Imóveis!$E$6&gt;0,Dados!$A941&gt;Imóveis!$E$6),0,1)*Imóveis!$I$6</f>
        <v>0</v>
      </c>
      <c r="N941" s="18">
        <f t="shared" si="117"/>
        <v>0</v>
      </c>
      <c r="O941" s="18">
        <f>SUMIFS(Receitas!$F:$F,Receitas!$J:$J,"&lt;="&amp;$A941,Receitas!$L:$L,"&gt;="&amp;$A941,Receitas!$C:$C,O$1,Receitas!$M:$M,"Mensal")+SUMIFS(Receitas!$F:$F,Receitas!$J:$J,"&lt;="&amp;$A941,Receitas!$L:$L,"&gt;="&amp;$A941,Receitas!$C:$C,O$1,Receitas!$M:$M,$B941)</f>
        <v>0</v>
      </c>
      <c r="P941" s="18">
        <f>SUMIFS(Receitas!$F:$F,Receitas!$J:$J,"&lt;="&amp;$A941,Receitas!$L:$L,"&gt;="&amp;$A941,Receitas!$C:$C,P$1,Receitas!$M:$M,"Mensal")+SUMIFS(Receitas!$F:$F,Receitas!$J:$J,"&lt;="&amp;$A941,Receitas!$L:$L,"&gt;="&amp;$A941,Receitas!$C:$C,P$1,Receitas!$M:$M,$B941)</f>
        <v>0</v>
      </c>
      <c r="Q941" s="18">
        <f>SUMIFS(Receitas!$F:$F,Receitas!$J:$J,"&lt;="&amp;$A941,Receitas!$L:$L,"&gt;="&amp;$A941,Receitas!$C:$C,Q$1,Receitas!$M:$M,"Mensal")+SUMIFS(Receitas!$F:$F,Receitas!$J:$J,"&lt;="&amp;$A941,Receitas!$L:$L,"&gt;="&amp;$A941,Receitas!$C:$C,Q$1,Receitas!$M:$M,$B941)</f>
        <v>0</v>
      </c>
      <c r="R941" s="18" cm="1">
        <f t="array" ref="R941">(IF(AND(Membros!$F$2="Sim",A941&lt;=MAX(Membros!$E$2:$E$5)),Membros!K$2,IF(AND(A941&gt;=Membros!J$2,A941&lt;=MAX(Membros!$E$2:$E$5)),Membros!K$2,0))+IF(AND(Membros!$F$3="Sim",A941&lt;=MAX(Membros!$E$2:$E$5)),Membros!K$3,IF(AND(A941&gt;=Membros!J$3,A941&lt;=MAX(Membros!$E$2:$E$5)),Membros!K$3,0)))*IF(AND(COUNTIFS(Tabela3[Tipo],"Provedor",Tabela3[Simulação Seguro],"Sim")=2,A941&gt;=MAX(IF(Tabela3[Tipo]="Dependente",Tabela3[Expectativa de Vida (Data)]))),0,1)</f>
        <v>0</v>
      </c>
      <c r="S941" s="18">
        <f t="shared" si="118"/>
        <v>0</v>
      </c>
      <c r="U941" s="18">
        <f t="shared" ca="1" si="121"/>
        <v>101751380.59346133</v>
      </c>
      <c r="V941" s="18">
        <f>SUMIF(Imóveis!E:E,Dados!A:A,Imóveis!Z:Z)-SUMIF(Imóveis!E:E,Dados!A:A,Imóveis!Y:Y)</f>
        <v>0</v>
      </c>
      <c r="W941" s="18">
        <f>-SUMIF(Projetos!N:N,A941,Projetos!F:F)</f>
        <v>0</v>
      </c>
      <c r="X941" s="18">
        <f t="shared" si="115"/>
        <v>0</v>
      </c>
      <c r="Y941" s="26">
        <f ca="1">(U941*((Indicadores_Economicos!D$2+1)^(1/12)-1))</f>
        <v>333107.54254247696</v>
      </c>
      <c r="Z941" s="18">
        <f t="shared" ca="1" si="119"/>
        <v>102084488.13600381</v>
      </c>
      <c r="AA941" s="18">
        <f ca="1">Auxiliar_Projetos!E941</f>
        <v>8.4150058390956359E-9</v>
      </c>
      <c r="AB941" s="18">
        <f ca="1">Auxiliar_Projetos!K941</f>
        <v>6.473081414688949E-9</v>
      </c>
      <c r="AC941" s="18">
        <f ca="1">IF(Z941-AA941-AB941&gt;Investimentos!$C$14,Investimentos!$C$14,IF(Z941-AA941-AB941&lt;Investimentos!$C$14,Z941-AA941-AB941,0))</f>
        <v>300000</v>
      </c>
      <c r="AD941" s="18">
        <f t="shared" ca="1" si="120"/>
        <v>101784488.13600379</v>
      </c>
      <c r="AE941" s="18"/>
    </row>
    <row r="942" spans="1:31" x14ac:dyDescent="0.2">
      <c r="A942" s="4">
        <v>74266</v>
      </c>
      <c r="B942" s="5" t="str">
        <f t="shared" si="116"/>
        <v>maio</v>
      </c>
      <c r="C942" s="5" t="str">
        <f t="shared" si="122"/>
        <v>2103</v>
      </c>
      <c r="D942" s="5">
        <f>SUMIFS(Despesas!$F:$F,Despesas!$J:$J,"&lt;="&amp;$A942,Despesas!$L:$L,"&gt;="&amp;$A942,Despesas!$C:$C,D$1,Despesas!$M:$M,"Mensal")+SUMIFS(Despesas!$F:$F,Despesas!$J:$J,"&lt;="&amp;$A942,Despesas!$L:$L,"&gt;="&amp;$A942,Despesas!$C:$C,D$1,Despesas!$M:$M,$B942)</f>
        <v>0</v>
      </c>
      <c r="E942" s="18">
        <f>SUMIFS(Despesas!$F:$F,Despesas!$J:$J,"&lt;="&amp;$A942,Despesas!$L:$L,"&gt;="&amp;$A942,Despesas!$C:$C,E$1,Despesas!$M:$M,"Mensal")+SUMIFS(Despesas!$F:$F,Despesas!$J:$J,"&lt;="&amp;$A942,Despesas!$L:$L,"&gt;="&amp;$A942,Despesas!$C:$C,E$1,Despesas!$M:$M,$B942)</f>
        <v>0</v>
      </c>
      <c r="F942" s="5">
        <f>SUMIFS(Despesas!$F:$F,Despesas!$J:$J,"&lt;="&amp;$A942,Despesas!$L:$L,"&gt;="&amp;$A942,Despesas!$C:$C,F$1,Despesas!$M:$M,"Mensal")+SUMIFS(Despesas!$F:$F,Despesas!$J:$J,"&lt;="&amp;$A942,Despesas!$L:$L,"&gt;="&amp;$A942,Despesas!$C:$C,F$1,Despesas!$M:$M,$B942)</f>
        <v>0</v>
      </c>
      <c r="G942" s="5">
        <f>SUMIFS(Despesas!$F:$F,Despesas!$J:$J,"&lt;="&amp;$A942,Despesas!$L:$L,"&gt;="&amp;$A942,Despesas!$C:$C,G$1,Despesas!$M:$M,"Mensal")+SUMIFS(Despesas!$F:$F,Despesas!$J:$J,"&lt;="&amp;$A942,Despesas!$L:$L,"&gt;="&amp;$A942,Despesas!$C:$C,G$1,Despesas!$M:$M,$B942)</f>
        <v>0</v>
      </c>
      <c r="H942" s="18">
        <f>SUMIFS(Despesas!$F:$F,Despesas!$J:$J,"&lt;="&amp;$A942,Despesas!$L:$L,"&gt;="&amp;$A942,Despesas!$C:$C,H$1,Despesas!$M:$M,"Mensal")+SUMIFS(Despesas!$F:$F,Despesas!$J:$J,"&lt;="&amp;$A942,Despesas!$L:$L,"&gt;="&amp;$A942,Despesas!$C:$C,H$1,Despesas!$M:$M,$B942)</f>
        <v>0</v>
      </c>
      <c r="I942" s="18">
        <f>IF(Imóveis!$F$2="PRICE",IF(AND(Dados!$A942&gt;=Imóveis!$Q$2,Dados!$A942&lt;=Imóveis!$T$2),Imóveis!$U$2,0),IF((IF(AND(Dados!$A942&gt;=Imóveis!$Q$2,Dados!$A942&lt;=Imóveis!$T$2),Imóveis!$S$2-(DATEDIF(Imóveis!$Q$2,Dados!$A942,"m")),0))=0,0,((Imóveis!$N$2/Imóveis!$S$2)+((Imóveis!$N$2-((Imóveis!$S$2-(IF(AND(Dados!$A942&gt;=Imóveis!$Q$2,Dados!$A942&lt;=Imóveis!$T$2),Imóveis!$S$2-(DATEDIF(Imóveis!$Q$2,Dados!$A942,"m")),)))*(Imóveis!$N$2/Imóveis!$S$2)))*Imóveis!$P$2))))*IF(AND(Imóveis!$E$2&gt;0,Dados!$A942&gt;Imóveis!$E$2),0,1)</f>
        <v>0</v>
      </c>
      <c r="J942" s="18">
        <f>IF(Imóveis!$F$3="PRICE",IF(AND(Dados!$A942&gt;=Imóveis!$Q$3,Dados!$A942&lt;=Imóveis!$T$3),Imóveis!$U$3,0),IF((IF(AND(Dados!$A942&gt;=Imóveis!$Q$3,Dados!$A942&lt;=Imóveis!$T$3),Imóveis!$S$3-(DATEDIF(Imóveis!$Q$3,Dados!$A942,"m")),0))=0,0,((Imóveis!$N$3/Imóveis!$S$3)+((Imóveis!$N$3-((Imóveis!$S$3-(IF(AND(Dados!$A942&gt;=Imóveis!$Q$3,Dados!$A942&lt;=Imóveis!$T$3),Imóveis!$S$3-(DATEDIF(Imóveis!$Q$3,Dados!$A942,"m")),)))*(Imóveis!$N$3/Imóveis!$S$3)))*Imóveis!$P$3))))*IF(AND(Imóveis!$E$3&gt;0,Dados!$A942&gt;Imóveis!$E$3),0,1)</f>
        <v>0</v>
      </c>
      <c r="K942" s="18">
        <f>IF(Imóveis!$F$4="PRICE",IF(AND(Dados!$A942&gt;=Imóveis!$Q$4,Dados!$A942&lt;=Imóveis!$T$4),Imóveis!$U$4,0),IF((IF(AND(Dados!$A942&gt;=Imóveis!$Q$4,Dados!$A942&lt;=Imóveis!$T$4),Imóveis!$S$4-(DATEDIF(Imóveis!$Q$4,Dados!$A942,"m")),0))=0,0,((Imóveis!$N$4/Imóveis!$S$4)+((Imóveis!$N$4-((Imóveis!$S$4-(IF(AND(Dados!$A942&gt;=Imóveis!$Q$4,Dados!$A942&lt;=Imóveis!$T$4),Imóveis!$S$4-(DATEDIF(Imóveis!$Q$4,Dados!$A942,"m")),)))*(Imóveis!$N$4/Imóveis!$S$4)))*Imóveis!$P$4))))*IF(AND(Imóveis!$E$4&gt;0,Dados!$A942&gt;Imóveis!$E$4),0,1)</f>
        <v>0</v>
      </c>
      <c r="L942" s="18">
        <f>IF(Imóveis!$F$5="PRICE",IF(AND(Dados!$A942&gt;=Imóveis!$Q$5,Dados!$A942&lt;=Imóveis!$T$5),Imóveis!$U$5,0),IF((IF(AND(Dados!$A942&gt;=Imóveis!$Q$5,Dados!$A942&lt;=Imóveis!$T$5),Imóveis!$S$5-(DATEDIF(Imóveis!$Q$5,Dados!$A942,"m")),0))=0,0,((Imóveis!$N$5/Imóveis!$S$5)+((Imóveis!$N$5-((Imóveis!$S$5-(IF(AND(Dados!$A942 &gt;=Imóveis!$Q$5,Dados!$A942&lt;=Imóveis!$T$5),Imóveis!$S$5-(DATEDIF(Imóveis!$Q$5,Dados!$A942,"m")),)))*(Imóveis!$N$5/Imóveis!$S$5)))*Imóveis!$P$5))))*IF(AND(Imóveis!$E$5&gt;0,Dados!$A942&gt;Imóveis!$E$5),0,1)*Imóveis!$I$5</f>
        <v>0</v>
      </c>
      <c r="M942" s="18">
        <f>IF(Imóveis!$F$6="PRICE",IF(AND(Dados!$A942&gt;=Imóveis!$Q$6,Dados!$A942&lt;=Imóveis!$T$6),Imóveis!$U$6,0),IF((IF(AND(Dados!$A942&gt;=Imóveis!$Q$6,Dados!$A942&lt;=Imóveis!$T$6),Imóveis!$S$6-(DATEDIF(Imóveis!$Q$6,Dados!$A942,"m")),0))=0,0,((Imóveis!$N$6/Imóveis!$S$6)+((Imóveis!$N$6-((Imóveis!$S$6-(IF(AND(Dados!$A942&gt;=Imóveis!$Q$6,Dados!$A942&lt;=Imóveis!$T$6),Imóveis!$S$6-(DATEDIF(Imóveis!$Q$6,Dados!$A942,"m")),)))*(Imóveis!$N$6/Imóveis!$S$6)))*Imóveis!$P$6))))*IF(AND(Imóveis!$E$6&gt;0,Dados!$A942&gt;Imóveis!$E$6),0,1)*Imóveis!$I$6</f>
        <v>0</v>
      </c>
      <c r="N942" s="18">
        <f t="shared" si="117"/>
        <v>0</v>
      </c>
      <c r="O942" s="18">
        <f>SUMIFS(Receitas!$F:$F,Receitas!$J:$J,"&lt;="&amp;$A942,Receitas!$L:$L,"&gt;="&amp;$A942,Receitas!$C:$C,O$1,Receitas!$M:$M,"Mensal")+SUMIFS(Receitas!$F:$F,Receitas!$J:$J,"&lt;="&amp;$A942,Receitas!$L:$L,"&gt;="&amp;$A942,Receitas!$C:$C,O$1,Receitas!$M:$M,$B942)</f>
        <v>0</v>
      </c>
      <c r="P942" s="18">
        <f>SUMIFS(Receitas!$F:$F,Receitas!$J:$J,"&lt;="&amp;$A942,Receitas!$L:$L,"&gt;="&amp;$A942,Receitas!$C:$C,P$1,Receitas!$M:$M,"Mensal")+SUMIFS(Receitas!$F:$F,Receitas!$J:$J,"&lt;="&amp;$A942,Receitas!$L:$L,"&gt;="&amp;$A942,Receitas!$C:$C,P$1,Receitas!$M:$M,$B942)</f>
        <v>0</v>
      </c>
      <c r="Q942" s="18">
        <f>SUMIFS(Receitas!$F:$F,Receitas!$J:$J,"&lt;="&amp;$A942,Receitas!$L:$L,"&gt;="&amp;$A942,Receitas!$C:$C,Q$1,Receitas!$M:$M,"Mensal")+SUMIFS(Receitas!$F:$F,Receitas!$J:$J,"&lt;="&amp;$A942,Receitas!$L:$L,"&gt;="&amp;$A942,Receitas!$C:$C,Q$1,Receitas!$M:$M,$B942)</f>
        <v>0</v>
      </c>
      <c r="R942" s="18" cm="1">
        <f t="array" ref="R942">(IF(AND(Membros!$F$2="Sim",A942&lt;=MAX(Membros!$E$2:$E$5)),Membros!K$2,IF(AND(A942&gt;=Membros!J$2,A942&lt;=MAX(Membros!$E$2:$E$5)),Membros!K$2,0))+IF(AND(Membros!$F$3="Sim",A942&lt;=MAX(Membros!$E$2:$E$5)),Membros!K$3,IF(AND(A942&gt;=Membros!J$3,A942&lt;=MAX(Membros!$E$2:$E$5)),Membros!K$3,0)))*IF(AND(COUNTIFS(Tabela3[Tipo],"Provedor",Tabela3[Simulação Seguro],"Sim")=2,A942&gt;=MAX(IF(Tabela3[Tipo]="Dependente",Tabela3[Expectativa de Vida (Data)]))),0,1)</f>
        <v>0</v>
      </c>
      <c r="S942" s="18">
        <f t="shared" si="118"/>
        <v>0</v>
      </c>
      <c r="U942" s="18">
        <f t="shared" ca="1" si="121"/>
        <v>102084488.13600381</v>
      </c>
      <c r="V942" s="18">
        <f>SUMIF(Imóveis!E:E,Dados!A:A,Imóveis!Z:Z)-SUMIF(Imóveis!E:E,Dados!A:A,Imóveis!Y:Y)</f>
        <v>0</v>
      </c>
      <c r="W942" s="18">
        <f>-SUMIF(Projetos!N:N,A942,Projetos!F:F)</f>
        <v>0</v>
      </c>
      <c r="X942" s="18">
        <f t="shared" si="115"/>
        <v>0</v>
      </c>
      <c r="Y942" s="26">
        <f ca="1">(U942*((Indicadores_Economicos!D$2+1)^(1/12)-1))</f>
        <v>334198.04995624878</v>
      </c>
      <c r="Z942" s="18">
        <f t="shared" ca="1" si="119"/>
        <v>102418686.18596005</v>
      </c>
      <c r="AA942" s="18">
        <f ca="1">Auxiliar_Projetos!E942</f>
        <v>8.4425543784785192E-9</v>
      </c>
      <c r="AB942" s="18">
        <f ca="1">Auxiliar_Projetos!K942</f>
        <v>6.4942725988296289E-9</v>
      </c>
      <c r="AC942" s="18">
        <f ca="1">IF(Z942-AA942-AB942&gt;Investimentos!$C$14,Investimentos!$C$14,IF(Z942-AA942-AB942&lt;Investimentos!$C$14,Z942-AA942-AB942,0))</f>
        <v>300000</v>
      </c>
      <c r="AD942" s="18">
        <f t="shared" ca="1" si="120"/>
        <v>102118686.18596004</v>
      </c>
      <c r="AE942" s="18"/>
    </row>
    <row r="943" spans="1:31" x14ac:dyDescent="0.2">
      <c r="A943" s="4">
        <v>74297</v>
      </c>
      <c r="B943" s="5" t="str">
        <f t="shared" si="116"/>
        <v>junho</v>
      </c>
      <c r="C943" s="5" t="str">
        <f t="shared" si="122"/>
        <v>2103</v>
      </c>
      <c r="D943" s="5">
        <f>SUMIFS(Despesas!$F:$F,Despesas!$J:$J,"&lt;="&amp;$A943,Despesas!$L:$L,"&gt;="&amp;$A943,Despesas!$C:$C,D$1,Despesas!$M:$M,"Mensal")+SUMIFS(Despesas!$F:$F,Despesas!$J:$J,"&lt;="&amp;$A943,Despesas!$L:$L,"&gt;="&amp;$A943,Despesas!$C:$C,D$1,Despesas!$M:$M,$B943)</f>
        <v>0</v>
      </c>
      <c r="E943" s="18">
        <f>SUMIFS(Despesas!$F:$F,Despesas!$J:$J,"&lt;="&amp;$A943,Despesas!$L:$L,"&gt;="&amp;$A943,Despesas!$C:$C,E$1,Despesas!$M:$M,"Mensal")+SUMIFS(Despesas!$F:$F,Despesas!$J:$J,"&lt;="&amp;$A943,Despesas!$L:$L,"&gt;="&amp;$A943,Despesas!$C:$C,E$1,Despesas!$M:$M,$B943)</f>
        <v>0</v>
      </c>
      <c r="F943" s="5">
        <f>SUMIFS(Despesas!$F:$F,Despesas!$J:$J,"&lt;="&amp;$A943,Despesas!$L:$L,"&gt;="&amp;$A943,Despesas!$C:$C,F$1,Despesas!$M:$M,"Mensal")+SUMIFS(Despesas!$F:$F,Despesas!$J:$J,"&lt;="&amp;$A943,Despesas!$L:$L,"&gt;="&amp;$A943,Despesas!$C:$C,F$1,Despesas!$M:$M,$B943)</f>
        <v>0</v>
      </c>
      <c r="G943" s="5">
        <f>SUMIFS(Despesas!$F:$F,Despesas!$J:$J,"&lt;="&amp;$A943,Despesas!$L:$L,"&gt;="&amp;$A943,Despesas!$C:$C,G$1,Despesas!$M:$M,"Mensal")+SUMIFS(Despesas!$F:$F,Despesas!$J:$J,"&lt;="&amp;$A943,Despesas!$L:$L,"&gt;="&amp;$A943,Despesas!$C:$C,G$1,Despesas!$M:$M,$B943)</f>
        <v>0</v>
      </c>
      <c r="H943" s="18">
        <f>SUMIFS(Despesas!$F:$F,Despesas!$J:$J,"&lt;="&amp;$A943,Despesas!$L:$L,"&gt;="&amp;$A943,Despesas!$C:$C,H$1,Despesas!$M:$M,"Mensal")+SUMIFS(Despesas!$F:$F,Despesas!$J:$J,"&lt;="&amp;$A943,Despesas!$L:$L,"&gt;="&amp;$A943,Despesas!$C:$C,H$1,Despesas!$M:$M,$B943)</f>
        <v>0</v>
      </c>
      <c r="I943" s="18">
        <f>IF(Imóveis!$F$2="PRICE",IF(AND(Dados!$A943&gt;=Imóveis!$Q$2,Dados!$A943&lt;=Imóveis!$T$2),Imóveis!$U$2,0),IF((IF(AND(Dados!$A943&gt;=Imóveis!$Q$2,Dados!$A943&lt;=Imóveis!$T$2),Imóveis!$S$2-(DATEDIF(Imóveis!$Q$2,Dados!$A943,"m")),0))=0,0,((Imóveis!$N$2/Imóveis!$S$2)+((Imóveis!$N$2-((Imóveis!$S$2-(IF(AND(Dados!$A943&gt;=Imóveis!$Q$2,Dados!$A943&lt;=Imóveis!$T$2),Imóveis!$S$2-(DATEDIF(Imóveis!$Q$2,Dados!$A943,"m")),)))*(Imóveis!$N$2/Imóveis!$S$2)))*Imóveis!$P$2))))*IF(AND(Imóveis!$E$2&gt;0,Dados!$A943&gt;Imóveis!$E$2),0,1)</f>
        <v>0</v>
      </c>
      <c r="J943" s="18">
        <f>IF(Imóveis!$F$3="PRICE",IF(AND(Dados!$A943&gt;=Imóveis!$Q$3,Dados!$A943&lt;=Imóveis!$T$3),Imóveis!$U$3,0),IF((IF(AND(Dados!$A943&gt;=Imóveis!$Q$3,Dados!$A943&lt;=Imóveis!$T$3),Imóveis!$S$3-(DATEDIF(Imóveis!$Q$3,Dados!$A943,"m")),0))=0,0,((Imóveis!$N$3/Imóveis!$S$3)+((Imóveis!$N$3-((Imóveis!$S$3-(IF(AND(Dados!$A943&gt;=Imóveis!$Q$3,Dados!$A943&lt;=Imóveis!$T$3),Imóveis!$S$3-(DATEDIF(Imóveis!$Q$3,Dados!$A943,"m")),)))*(Imóveis!$N$3/Imóveis!$S$3)))*Imóveis!$P$3))))*IF(AND(Imóveis!$E$3&gt;0,Dados!$A943&gt;Imóveis!$E$3),0,1)</f>
        <v>0</v>
      </c>
      <c r="K943" s="18">
        <f>IF(Imóveis!$F$4="PRICE",IF(AND(Dados!$A943&gt;=Imóveis!$Q$4,Dados!$A943&lt;=Imóveis!$T$4),Imóveis!$U$4,0),IF((IF(AND(Dados!$A943&gt;=Imóveis!$Q$4,Dados!$A943&lt;=Imóveis!$T$4),Imóveis!$S$4-(DATEDIF(Imóveis!$Q$4,Dados!$A943,"m")),0))=0,0,((Imóveis!$N$4/Imóveis!$S$4)+((Imóveis!$N$4-((Imóveis!$S$4-(IF(AND(Dados!$A943&gt;=Imóveis!$Q$4,Dados!$A943&lt;=Imóveis!$T$4),Imóveis!$S$4-(DATEDIF(Imóveis!$Q$4,Dados!$A943,"m")),)))*(Imóveis!$N$4/Imóveis!$S$4)))*Imóveis!$P$4))))*IF(AND(Imóveis!$E$4&gt;0,Dados!$A943&gt;Imóveis!$E$4),0,1)</f>
        <v>0</v>
      </c>
      <c r="L943" s="18">
        <f>IF(Imóveis!$F$5="PRICE",IF(AND(Dados!$A943&gt;=Imóveis!$Q$5,Dados!$A943&lt;=Imóveis!$T$5),Imóveis!$U$5,0),IF((IF(AND(Dados!$A943&gt;=Imóveis!$Q$5,Dados!$A943&lt;=Imóveis!$T$5),Imóveis!$S$5-(DATEDIF(Imóveis!$Q$5,Dados!$A943,"m")),0))=0,0,((Imóveis!$N$5/Imóveis!$S$5)+((Imóveis!$N$5-((Imóveis!$S$5-(IF(AND(Dados!$A943 &gt;=Imóveis!$Q$5,Dados!$A943&lt;=Imóveis!$T$5),Imóveis!$S$5-(DATEDIF(Imóveis!$Q$5,Dados!$A943,"m")),)))*(Imóveis!$N$5/Imóveis!$S$5)))*Imóveis!$P$5))))*IF(AND(Imóveis!$E$5&gt;0,Dados!$A943&gt;Imóveis!$E$5),0,1)*Imóveis!$I$5</f>
        <v>0</v>
      </c>
      <c r="M943" s="18">
        <f>IF(Imóveis!$F$6="PRICE",IF(AND(Dados!$A943&gt;=Imóveis!$Q$6,Dados!$A943&lt;=Imóveis!$T$6),Imóveis!$U$6,0),IF((IF(AND(Dados!$A943&gt;=Imóveis!$Q$6,Dados!$A943&lt;=Imóveis!$T$6),Imóveis!$S$6-(DATEDIF(Imóveis!$Q$6,Dados!$A943,"m")),0))=0,0,((Imóveis!$N$6/Imóveis!$S$6)+((Imóveis!$N$6-((Imóveis!$S$6-(IF(AND(Dados!$A943&gt;=Imóveis!$Q$6,Dados!$A943&lt;=Imóveis!$T$6),Imóveis!$S$6-(DATEDIF(Imóveis!$Q$6,Dados!$A943,"m")),)))*(Imóveis!$N$6/Imóveis!$S$6)))*Imóveis!$P$6))))*IF(AND(Imóveis!$E$6&gt;0,Dados!$A943&gt;Imóveis!$E$6),0,1)*Imóveis!$I$6</f>
        <v>0</v>
      </c>
      <c r="N943" s="18">
        <f t="shared" si="117"/>
        <v>0</v>
      </c>
      <c r="O943" s="18">
        <f>SUMIFS(Receitas!$F:$F,Receitas!$J:$J,"&lt;="&amp;$A943,Receitas!$L:$L,"&gt;="&amp;$A943,Receitas!$C:$C,O$1,Receitas!$M:$M,"Mensal")+SUMIFS(Receitas!$F:$F,Receitas!$J:$J,"&lt;="&amp;$A943,Receitas!$L:$L,"&gt;="&amp;$A943,Receitas!$C:$C,O$1,Receitas!$M:$M,$B943)</f>
        <v>0</v>
      </c>
      <c r="P943" s="18">
        <f>SUMIFS(Receitas!$F:$F,Receitas!$J:$J,"&lt;="&amp;$A943,Receitas!$L:$L,"&gt;="&amp;$A943,Receitas!$C:$C,P$1,Receitas!$M:$M,"Mensal")+SUMIFS(Receitas!$F:$F,Receitas!$J:$J,"&lt;="&amp;$A943,Receitas!$L:$L,"&gt;="&amp;$A943,Receitas!$C:$C,P$1,Receitas!$M:$M,$B943)</f>
        <v>0</v>
      </c>
      <c r="Q943" s="18">
        <f>SUMIFS(Receitas!$F:$F,Receitas!$J:$J,"&lt;="&amp;$A943,Receitas!$L:$L,"&gt;="&amp;$A943,Receitas!$C:$C,Q$1,Receitas!$M:$M,"Mensal")+SUMIFS(Receitas!$F:$F,Receitas!$J:$J,"&lt;="&amp;$A943,Receitas!$L:$L,"&gt;="&amp;$A943,Receitas!$C:$C,Q$1,Receitas!$M:$M,$B943)</f>
        <v>0</v>
      </c>
      <c r="R943" s="18" cm="1">
        <f t="array" ref="R943">(IF(AND(Membros!$F$2="Sim",A943&lt;=MAX(Membros!$E$2:$E$5)),Membros!K$2,IF(AND(A943&gt;=Membros!J$2,A943&lt;=MAX(Membros!$E$2:$E$5)),Membros!K$2,0))+IF(AND(Membros!$F$3="Sim",A943&lt;=MAX(Membros!$E$2:$E$5)),Membros!K$3,IF(AND(A943&gt;=Membros!J$3,A943&lt;=MAX(Membros!$E$2:$E$5)),Membros!K$3,0)))*IF(AND(COUNTIFS(Tabela3[Tipo],"Provedor",Tabela3[Simulação Seguro],"Sim")=2,A943&gt;=MAX(IF(Tabela3[Tipo]="Dependente",Tabela3[Expectativa de Vida (Data)]))),0,1)</f>
        <v>0</v>
      </c>
      <c r="S943" s="18">
        <f t="shared" si="118"/>
        <v>0</v>
      </c>
      <c r="U943" s="18">
        <f t="shared" ca="1" si="121"/>
        <v>102418686.18596005</v>
      </c>
      <c r="V943" s="18">
        <f>SUMIF(Imóveis!E:E,Dados!A:A,Imóveis!Z:Z)-SUMIF(Imóveis!E:E,Dados!A:A,Imóveis!Y:Y)</f>
        <v>0</v>
      </c>
      <c r="W943" s="18">
        <f>-SUMIF(Projetos!N:N,A943,Projetos!F:F)</f>
        <v>0</v>
      </c>
      <c r="X943" s="18">
        <f t="shared" si="115"/>
        <v>0</v>
      </c>
      <c r="Y943" s="26">
        <f ca="1">(U943*((Indicadores_Economicos!D$2+1)^(1/12)-1))</f>
        <v>335292.12740752386</v>
      </c>
      <c r="Z943" s="18">
        <f t="shared" ca="1" si="119"/>
        <v>102753978.31336758</v>
      </c>
      <c r="AA943" s="18">
        <f ca="1">Auxiliar_Projetos!E943</f>
        <v>8.4701931046107224E-9</v>
      </c>
      <c r="AB943" s="18">
        <f ca="1">Auxiliar_Projetos!K943</f>
        <v>6.5155331573928617E-9</v>
      </c>
      <c r="AC943" s="18">
        <f ca="1">IF(Z943-AA943-AB943&gt;Investimentos!$C$14,Investimentos!$C$14,IF(Z943-AA943-AB943&lt;Investimentos!$C$14,Z943-AA943-AB943,0))</f>
        <v>300000</v>
      </c>
      <c r="AD943" s="18">
        <f t="shared" ca="1" si="120"/>
        <v>102453978.31336756</v>
      </c>
      <c r="AE943" s="18"/>
    </row>
    <row r="944" spans="1:31" x14ac:dyDescent="0.2">
      <c r="A944" s="4">
        <v>74327</v>
      </c>
      <c r="B944" s="5" t="str">
        <f t="shared" si="116"/>
        <v>julho</v>
      </c>
      <c r="C944" s="5" t="str">
        <f t="shared" si="122"/>
        <v>2103</v>
      </c>
      <c r="D944" s="5">
        <f>SUMIFS(Despesas!$F:$F,Despesas!$J:$J,"&lt;="&amp;$A944,Despesas!$L:$L,"&gt;="&amp;$A944,Despesas!$C:$C,D$1,Despesas!$M:$M,"Mensal")+SUMIFS(Despesas!$F:$F,Despesas!$J:$J,"&lt;="&amp;$A944,Despesas!$L:$L,"&gt;="&amp;$A944,Despesas!$C:$C,D$1,Despesas!$M:$M,$B944)</f>
        <v>0</v>
      </c>
      <c r="E944" s="18">
        <f>SUMIFS(Despesas!$F:$F,Despesas!$J:$J,"&lt;="&amp;$A944,Despesas!$L:$L,"&gt;="&amp;$A944,Despesas!$C:$C,E$1,Despesas!$M:$M,"Mensal")+SUMIFS(Despesas!$F:$F,Despesas!$J:$J,"&lt;="&amp;$A944,Despesas!$L:$L,"&gt;="&amp;$A944,Despesas!$C:$C,E$1,Despesas!$M:$M,$B944)</f>
        <v>0</v>
      </c>
      <c r="F944" s="5">
        <f>SUMIFS(Despesas!$F:$F,Despesas!$J:$J,"&lt;="&amp;$A944,Despesas!$L:$L,"&gt;="&amp;$A944,Despesas!$C:$C,F$1,Despesas!$M:$M,"Mensal")+SUMIFS(Despesas!$F:$F,Despesas!$J:$J,"&lt;="&amp;$A944,Despesas!$L:$L,"&gt;="&amp;$A944,Despesas!$C:$C,F$1,Despesas!$M:$M,$B944)</f>
        <v>0</v>
      </c>
      <c r="G944" s="5">
        <f>SUMIFS(Despesas!$F:$F,Despesas!$J:$J,"&lt;="&amp;$A944,Despesas!$L:$L,"&gt;="&amp;$A944,Despesas!$C:$C,G$1,Despesas!$M:$M,"Mensal")+SUMIFS(Despesas!$F:$F,Despesas!$J:$J,"&lt;="&amp;$A944,Despesas!$L:$L,"&gt;="&amp;$A944,Despesas!$C:$C,G$1,Despesas!$M:$M,$B944)</f>
        <v>0</v>
      </c>
      <c r="H944" s="18">
        <f>SUMIFS(Despesas!$F:$F,Despesas!$J:$J,"&lt;="&amp;$A944,Despesas!$L:$L,"&gt;="&amp;$A944,Despesas!$C:$C,H$1,Despesas!$M:$M,"Mensal")+SUMIFS(Despesas!$F:$F,Despesas!$J:$J,"&lt;="&amp;$A944,Despesas!$L:$L,"&gt;="&amp;$A944,Despesas!$C:$C,H$1,Despesas!$M:$M,$B944)</f>
        <v>0</v>
      </c>
      <c r="I944" s="18">
        <f>IF(Imóveis!$F$2="PRICE",IF(AND(Dados!$A944&gt;=Imóveis!$Q$2,Dados!$A944&lt;=Imóveis!$T$2),Imóveis!$U$2,0),IF((IF(AND(Dados!$A944&gt;=Imóveis!$Q$2,Dados!$A944&lt;=Imóveis!$T$2),Imóveis!$S$2-(DATEDIF(Imóveis!$Q$2,Dados!$A944,"m")),0))=0,0,((Imóveis!$N$2/Imóveis!$S$2)+((Imóveis!$N$2-((Imóveis!$S$2-(IF(AND(Dados!$A944&gt;=Imóveis!$Q$2,Dados!$A944&lt;=Imóveis!$T$2),Imóveis!$S$2-(DATEDIF(Imóveis!$Q$2,Dados!$A944,"m")),)))*(Imóveis!$N$2/Imóveis!$S$2)))*Imóveis!$P$2))))*IF(AND(Imóveis!$E$2&gt;0,Dados!$A944&gt;Imóveis!$E$2),0,1)</f>
        <v>0</v>
      </c>
      <c r="J944" s="18">
        <f>IF(Imóveis!$F$3="PRICE",IF(AND(Dados!$A944&gt;=Imóveis!$Q$3,Dados!$A944&lt;=Imóveis!$T$3),Imóveis!$U$3,0),IF((IF(AND(Dados!$A944&gt;=Imóveis!$Q$3,Dados!$A944&lt;=Imóveis!$T$3),Imóveis!$S$3-(DATEDIF(Imóveis!$Q$3,Dados!$A944,"m")),0))=0,0,((Imóveis!$N$3/Imóveis!$S$3)+((Imóveis!$N$3-((Imóveis!$S$3-(IF(AND(Dados!$A944&gt;=Imóveis!$Q$3,Dados!$A944&lt;=Imóveis!$T$3),Imóveis!$S$3-(DATEDIF(Imóveis!$Q$3,Dados!$A944,"m")),)))*(Imóveis!$N$3/Imóveis!$S$3)))*Imóveis!$P$3))))*IF(AND(Imóveis!$E$3&gt;0,Dados!$A944&gt;Imóveis!$E$3),0,1)</f>
        <v>0</v>
      </c>
      <c r="K944" s="18">
        <f>IF(Imóveis!$F$4="PRICE",IF(AND(Dados!$A944&gt;=Imóveis!$Q$4,Dados!$A944&lt;=Imóveis!$T$4),Imóveis!$U$4,0),IF((IF(AND(Dados!$A944&gt;=Imóveis!$Q$4,Dados!$A944&lt;=Imóveis!$T$4),Imóveis!$S$4-(DATEDIF(Imóveis!$Q$4,Dados!$A944,"m")),0))=0,0,((Imóveis!$N$4/Imóveis!$S$4)+((Imóveis!$N$4-((Imóveis!$S$4-(IF(AND(Dados!$A944&gt;=Imóveis!$Q$4,Dados!$A944&lt;=Imóveis!$T$4),Imóveis!$S$4-(DATEDIF(Imóveis!$Q$4,Dados!$A944,"m")),)))*(Imóveis!$N$4/Imóveis!$S$4)))*Imóveis!$P$4))))*IF(AND(Imóveis!$E$4&gt;0,Dados!$A944&gt;Imóveis!$E$4),0,1)</f>
        <v>0</v>
      </c>
      <c r="L944" s="18">
        <f>IF(Imóveis!$F$5="PRICE",IF(AND(Dados!$A944&gt;=Imóveis!$Q$5,Dados!$A944&lt;=Imóveis!$T$5),Imóveis!$U$5,0),IF((IF(AND(Dados!$A944&gt;=Imóveis!$Q$5,Dados!$A944&lt;=Imóveis!$T$5),Imóveis!$S$5-(DATEDIF(Imóveis!$Q$5,Dados!$A944,"m")),0))=0,0,((Imóveis!$N$5/Imóveis!$S$5)+((Imóveis!$N$5-((Imóveis!$S$5-(IF(AND(Dados!$A944 &gt;=Imóveis!$Q$5,Dados!$A944&lt;=Imóveis!$T$5),Imóveis!$S$5-(DATEDIF(Imóveis!$Q$5,Dados!$A944,"m")),)))*(Imóveis!$N$5/Imóveis!$S$5)))*Imóveis!$P$5))))*IF(AND(Imóveis!$E$5&gt;0,Dados!$A944&gt;Imóveis!$E$5),0,1)*Imóveis!$I$5</f>
        <v>0</v>
      </c>
      <c r="M944" s="18">
        <f>IF(Imóveis!$F$6="PRICE",IF(AND(Dados!$A944&gt;=Imóveis!$Q$6,Dados!$A944&lt;=Imóveis!$T$6),Imóveis!$U$6,0),IF((IF(AND(Dados!$A944&gt;=Imóveis!$Q$6,Dados!$A944&lt;=Imóveis!$T$6),Imóveis!$S$6-(DATEDIF(Imóveis!$Q$6,Dados!$A944,"m")),0))=0,0,((Imóveis!$N$6/Imóveis!$S$6)+((Imóveis!$N$6-((Imóveis!$S$6-(IF(AND(Dados!$A944&gt;=Imóveis!$Q$6,Dados!$A944&lt;=Imóveis!$T$6),Imóveis!$S$6-(DATEDIF(Imóveis!$Q$6,Dados!$A944,"m")),)))*(Imóveis!$N$6/Imóveis!$S$6)))*Imóveis!$P$6))))*IF(AND(Imóveis!$E$6&gt;0,Dados!$A944&gt;Imóveis!$E$6),0,1)*Imóveis!$I$6</f>
        <v>0</v>
      </c>
      <c r="N944" s="18">
        <f t="shared" si="117"/>
        <v>0</v>
      </c>
      <c r="O944" s="18">
        <f>SUMIFS(Receitas!$F:$F,Receitas!$J:$J,"&lt;="&amp;$A944,Receitas!$L:$L,"&gt;="&amp;$A944,Receitas!$C:$C,O$1,Receitas!$M:$M,"Mensal")+SUMIFS(Receitas!$F:$F,Receitas!$J:$J,"&lt;="&amp;$A944,Receitas!$L:$L,"&gt;="&amp;$A944,Receitas!$C:$C,O$1,Receitas!$M:$M,$B944)</f>
        <v>0</v>
      </c>
      <c r="P944" s="18">
        <f>SUMIFS(Receitas!$F:$F,Receitas!$J:$J,"&lt;="&amp;$A944,Receitas!$L:$L,"&gt;="&amp;$A944,Receitas!$C:$C,P$1,Receitas!$M:$M,"Mensal")+SUMIFS(Receitas!$F:$F,Receitas!$J:$J,"&lt;="&amp;$A944,Receitas!$L:$L,"&gt;="&amp;$A944,Receitas!$C:$C,P$1,Receitas!$M:$M,$B944)</f>
        <v>0</v>
      </c>
      <c r="Q944" s="18">
        <f>SUMIFS(Receitas!$F:$F,Receitas!$J:$J,"&lt;="&amp;$A944,Receitas!$L:$L,"&gt;="&amp;$A944,Receitas!$C:$C,Q$1,Receitas!$M:$M,"Mensal")+SUMIFS(Receitas!$F:$F,Receitas!$J:$J,"&lt;="&amp;$A944,Receitas!$L:$L,"&gt;="&amp;$A944,Receitas!$C:$C,Q$1,Receitas!$M:$M,$B944)</f>
        <v>0</v>
      </c>
      <c r="R944" s="18" cm="1">
        <f t="array" ref="R944">(IF(AND(Membros!$F$2="Sim",A944&lt;=MAX(Membros!$E$2:$E$5)),Membros!K$2,IF(AND(A944&gt;=Membros!J$2,A944&lt;=MAX(Membros!$E$2:$E$5)),Membros!K$2,0))+IF(AND(Membros!$F$3="Sim",A944&lt;=MAX(Membros!$E$2:$E$5)),Membros!K$3,IF(AND(A944&gt;=Membros!J$3,A944&lt;=MAX(Membros!$E$2:$E$5)),Membros!K$3,0)))*IF(AND(COUNTIFS(Tabela3[Tipo],"Provedor",Tabela3[Simulação Seguro],"Sim")=2,A944&gt;=MAX(IF(Tabela3[Tipo]="Dependente",Tabela3[Expectativa de Vida (Data)]))),0,1)</f>
        <v>0</v>
      </c>
      <c r="S944" s="18">
        <f t="shared" si="118"/>
        <v>0</v>
      </c>
      <c r="U944" s="18">
        <f t="shared" ca="1" si="121"/>
        <v>102753978.31336758</v>
      </c>
      <c r="V944" s="18">
        <f>SUMIF(Imóveis!E:E,Dados!A:A,Imóveis!Z:Z)-SUMIF(Imóveis!E:E,Dados!A:A,Imóveis!Y:Y)</f>
        <v>0</v>
      </c>
      <c r="W944" s="18">
        <f>-SUMIF(Projetos!N:N,A944,Projetos!F:F)</f>
        <v>0</v>
      </c>
      <c r="X944" s="18">
        <f t="shared" si="115"/>
        <v>0</v>
      </c>
      <c r="Y944" s="26">
        <f ca="1">(U944*((Indicadores_Economicos!D$2+1)^(1/12)-1))</f>
        <v>336389.78658367594</v>
      </c>
      <c r="Z944" s="18">
        <f t="shared" ca="1" si="119"/>
        <v>103090368.09995125</v>
      </c>
      <c r="AA944" s="18">
        <f ca="1">Auxiliar_Projetos!E944</f>
        <v>8.4979223127401939E-9</v>
      </c>
      <c r="AB944" s="18">
        <f ca="1">Auxiliar_Projetos!K944</f>
        <v>6.5368633174924549E-9</v>
      </c>
      <c r="AC944" s="18">
        <f ca="1">IF(Z944-AA944-AB944&gt;Investimentos!$C$14,Investimentos!$C$14,IF(Z944-AA944-AB944&lt;Investimentos!$C$14,Z944-AA944-AB944,0))</f>
        <v>300000</v>
      </c>
      <c r="AD944" s="18">
        <f t="shared" ca="1" si="120"/>
        <v>102790368.09995124</v>
      </c>
      <c r="AE944" s="18"/>
    </row>
    <row r="945" spans="1:31" x14ac:dyDescent="0.2">
      <c r="A945" s="4">
        <v>74358</v>
      </c>
      <c r="B945" s="5" t="str">
        <f t="shared" si="116"/>
        <v>agosto</v>
      </c>
      <c r="C945" s="5" t="str">
        <f t="shared" si="122"/>
        <v>2103</v>
      </c>
      <c r="D945" s="5">
        <f>SUMIFS(Despesas!$F:$F,Despesas!$J:$J,"&lt;="&amp;$A945,Despesas!$L:$L,"&gt;="&amp;$A945,Despesas!$C:$C,D$1,Despesas!$M:$M,"Mensal")+SUMIFS(Despesas!$F:$F,Despesas!$J:$J,"&lt;="&amp;$A945,Despesas!$L:$L,"&gt;="&amp;$A945,Despesas!$C:$C,D$1,Despesas!$M:$M,$B945)</f>
        <v>0</v>
      </c>
      <c r="E945" s="18">
        <f>SUMIFS(Despesas!$F:$F,Despesas!$J:$J,"&lt;="&amp;$A945,Despesas!$L:$L,"&gt;="&amp;$A945,Despesas!$C:$C,E$1,Despesas!$M:$M,"Mensal")+SUMIFS(Despesas!$F:$F,Despesas!$J:$J,"&lt;="&amp;$A945,Despesas!$L:$L,"&gt;="&amp;$A945,Despesas!$C:$C,E$1,Despesas!$M:$M,$B945)</f>
        <v>0</v>
      </c>
      <c r="F945" s="5">
        <f>SUMIFS(Despesas!$F:$F,Despesas!$J:$J,"&lt;="&amp;$A945,Despesas!$L:$L,"&gt;="&amp;$A945,Despesas!$C:$C,F$1,Despesas!$M:$M,"Mensal")+SUMIFS(Despesas!$F:$F,Despesas!$J:$J,"&lt;="&amp;$A945,Despesas!$L:$L,"&gt;="&amp;$A945,Despesas!$C:$C,F$1,Despesas!$M:$M,$B945)</f>
        <v>0</v>
      </c>
      <c r="G945" s="5">
        <f>SUMIFS(Despesas!$F:$F,Despesas!$J:$J,"&lt;="&amp;$A945,Despesas!$L:$L,"&gt;="&amp;$A945,Despesas!$C:$C,G$1,Despesas!$M:$M,"Mensal")+SUMIFS(Despesas!$F:$F,Despesas!$J:$J,"&lt;="&amp;$A945,Despesas!$L:$L,"&gt;="&amp;$A945,Despesas!$C:$C,G$1,Despesas!$M:$M,$B945)</f>
        <v>0</v>
      </c>
      <c r="H945" s="18">
        <f>SUMIFS(Despesas!$F:$F,Despesas!$J:$J,"&lt;="&amp;$A945,Despesas!$L:$L,"&gt;="&amp;$A945,Despesas!$C:$C,H$1,Despesas!$M:$M,"Mensal")+SUMIFS(Despesas!$F:$F,Despesas!$J:$J,"&lt;="&amp;$A945,Despesas!$L:$L,"&gt;="&amp;$A945,Despesas!$C:$C,H$1,Despesas!$M:$M,$B945)</f>
        <v>0</v>
      </c>
      <c r="I945" s="18">
        <f>IF(Imóveis!$F$2="PRICE",IF(AND(Dados!$A945&gt;=Imóveis!$Q$2,Dados!$A945&lt;=Imóveis!$T$2),Imóveis!$U$2,0),IF((IF(AND(Dados!$A945&gt;=Imóveis!$Q$2,Dados!$A945&lt;=Imóveis!$T$2),Imóveis!$S$2-(DATEDIF(Imóveis!$Q$2,Dados!$A945,"m")),0))=0,0,((Imóveis!$N$2/Imóveis!$S$2)+((Imóveis!$N$2-((Imóveis!$S$2-(IF(AND(Dados!$A945&gt;=Imóveis!$Q$2,Dados!$A945&lt;=Imóveis!$T$2),Imóveis!$S$2-(DATEDIF(Imóveis!$Q$2,Dados!$A945,"m")),)))*(Imóveis!$N$2/Imóveis!$S$2)))*Imóveis!$P$2))))*IF(AND(Imóveis!$E$2&gt;0,Dados!$A945&gt;Imóveis!$E$2),0,1)</f>
        <v>0</v>
      </c>
      <c r="J945" s="18">
        <f>IF(Imóveis!$F$3="PRICE",IF(AND(Dados!$A945&gt;=Imóveis!$Q$3,Dados!$A945&lt;=Imóveis!$T$3),Imóveis!$U$3,0),IF((IF(AND(Dados!$A945&gt;=Imóveis!$Q$3,Dados!$A945&lt;=Imóveis!$T$3),Imóveis!$S$3-(DATEDIF(Imóveis!$Q$3,Dados!$A945,"m")),0))=0,0,((Imóveis!$N$3/Imóveis!$S$3)+((Imóveis!$N$3-((Imóveis!$S$3-(IF(AND(Dados!$A945&gt;=Imóveis!$Q$3,Dados!$A945&lt;=Imóveis!$T$3),Imóveis!$S$3-(DATEDIF(Imóveis!$Q$3,Dados!$A945,"m")),)))*(Imóveis!$N$3/Imóveis!$S$3)))*Imóveis!$P$3))))*IF(AND(Imóveis!$E$3&gt;0,Dados!$A945&gt;Imóveis!$E$3),0,1)</f>
        <v>0</v>
      </c>
      <c r="K945" s="18">
        <f>IF(Imóveis!$F$4="PRICE",IF(AND(Dados!$A945&gt;=Imóveis!$Q$4,Dados!$A945&lt;=Imóveis!$T$4),Imóveis!$U$4,0),IF((IF(AND(Dados!$A945&gt;=Imóveis!$Q$4,Dados!$A945&lt;=Imóveis!$T$4),Imóveis!$S$4-(DATEDIF(Imóveis!$Q$4,Dados!$A945,"m")),0))=0,0,((Imóveis!$N$4/Imóveis!$S$4)+((Imóveis!$N$4-((Imóveis!$S$4-(IF(AND(Dados!$A945&gt;=Imóveis!$Q$4,Dados!$A945&lt;=Imóveis!$T$4),Imóveis!$S$4-(DATEDIF(Imóveis!$Q$4,Dados!$A945,"m")),)))*(Imóveis!$N$4/Imóveis!$S$4)))*Imóveis!$P$4))))*IF(AND(Imóveis!$E$4&gt;0,Dados!$A945&gt;Imóveis!$E$4),0,1)</f>
        <v>0</v>
      </c>
      <c r="L945" s="18">
        <f>IF(Imóveis!$F$5="PRICE",IF(AND(Dados!$A945&gt;=Imóveis!$Q$5,Dados!$A945&lt;=Imóveis!$T$5),Imóveis!$U$5,0),IF((IF(AND(Dados!$A945&gt;=Imóveis!$Q$5,Dados!$A945&lt;=Imóveis!$T$5),Imóveis!$S$5-(DATEDIF(Imóveis!$Q$5,Dados!$A945,"m")),0))=0,0,((Imóveis!$N$5/Imóveis!$S$5)+((Imóveis!$N$5-((Imóveis!$S$5-(IF(AND(Dados!$A945 &gt;=Imóveis!$Q$5,Dados!$A945&lt;=Imóveis!$T$5),Imóveis!$S$5-(DATEDIF(Imóveis!$Q$5,Dados!$A945,"m")),)))*(Imóveis!$N$5/Imóveis!$S$5)))*Imóveis!$P$5))))*IF(AND(Imóveis!$E$5&gt;0,Dados!$A945&gt;Imóveis!$E$5),0,1)*Imóveis!$I$5</f>
        <v>0</v>
      </c>
      <c r="M945" s="18">
        <f>IF(Imóveis!$F$6="PRICE",IF(AND(Dados!$A945&gt;=Imóveis!$Q$6,Dados!$A945&lt;=Imóveis!$T$6),Imóveis!$U$6,0),IF((IF(AND(Dados!$A945&gt;=Imóveis!$Q$6,Dados!$A945&lt;=Imóveis!$T$6),Imóveis!$S$6-(DATEDIF(Imóveis!$Q$6,Dados!$A945,"m")),0))=0,0,((Imóveis!$N$6/Imóveis!$S$6)+((Imóveis!$N$6-((Imóveis!$S$6-(IF(AND(Dados!$A945&gt;=Imóveis!$Q$6,Dados!$A945&lt;=Imóveis!$T$6),Imóveis!$S$6-(DATEDIF(Imóveis!$Q$6,Dados!$A945,"m")),)))*(Imóveis!$N$6/Imóveis!$S$6)))*Imóveis!$P$6))))*IF(AND(Imóveis!$E$6&gt;0,Dados!$A945&gt;Imóveis!$E$6),0,1)*Imóveis!$I$6</f>
        <v>0</v>
      </c>
      <c r="N945" s="18">
        <f t="shared" si="117"/>
        <v>0</v>
      </c>
      <c r="O945" s="18">
        <f>SUMIFS(Receitas!$F:$F,Receitas!$J:$J,"&lt;="&amp;$A945,Receitas!$L:$L,"&gt;="&amp;$A945,Receitas!$C:$C,O$1,Receitas!$M:$M,"Mensal")+SUMIFS(Receitas!$F:$F,Receitas!$J:$J,"&lt;="&amp;$A945,Receitas!$L:$L,"&gt;="&amp;$A945,Receitas!$C:$C,O$1,Receitas!$M:$M,$B945)</f>
        <v>0</v>
      </c>
      <c r="P945" s="18">
        <f>SUMIFS(Receitas!$F:$F,Receitas!$J:$J,"&lt;="&amp;$A945,Receitas!$L:$L,"&gt;="&amp;$A945,Receitas!$C:$C,P$1,Receitas!$M:$M,"Mensal")+SUMIFS(Receitas!$F:$F,Receitas!$J:$J,"&lt;="&amp;$A945,Receitas!$L:$L,"&gt;="&amp;$A945,Receitas!$C:$C,P$1,Receitas!$M:$M,$B945)</f>
        <v>0</v>
      </c>
      <c r="Q945" s="18">
        <f>SUMIFS(Receitas!$F:$F,Receitas!$J:$J,"&lt;="&amp;$A945,Receitas!$L:$L,"&gt;="&amp;$A945,Receitas!$C:$C,Q$1,Receitas!$M:$M,"Mensal")+SUMIFS(Receitas!$F:$F,Receitas!$J:$J,"&lt;="&amp;$A945,Receitas!$L:$L,"&gt;="&amp;$A945,Receitas!$C:$C,Q$1,Receitas!$M:$M,$B945)</f>
        <v>0</v>
      </c>
      <c r="R945" s="18" cm="1">
        <f t="array" ref="R945">(IF(AND(Membros!$F$2="Sim",A945&lt;=MAX(Membros!$E$2:$E$5)),Membros!K$2,IF(AND(A945&gt;=Membros!J$2,A945&lt;=MAX(Membros!$E$2:$E$5)),Membros!K$2,0))+IF(AND(Membros!$F$3="Sim",A945&lt;=MAX(Membros!$E$2:$E$5)),Membros!K$3,IF(AND(A945&gt;=Membros!J$3,A945&lt;=MAX(Membros!$E$2:$E$5)),Membros!K$3,0)))*IF(AND(COUNTIFS(Tabela3[Tipo],"Provedor",Tabela3[Simulação Seguro],"Sim")=2,A945&gt;=MAX(IF(Tabela3[Tipo]="Dependente",Tabela3[Expectativa de Vida (Data)]))),0,1)</f>
        <v>0</v>
      </c>
      <c r="S945" s="18">
        <f t="shared" si="118"/>
        <v>0</v>
      </c>
      <c r="U945" s="18">
        <f t="shared" ca="1" si="121"/>
        <v>103090368.09995125</v>
      </c>
      <c r="V945" s="18">
        <f>SUMIF(Imóveis!E:E,Dados!A:A,Imóveis!Z:Z)-SUMIF(Imóveis!E:E,Dados!A:A,Imóveis!Y:Y)</f>
        <v>0</v>
      </c>
      <c r="W945" s="18">
        <f>-SUMIF(Projetos!N:N,A945,Projetos!F:F)</f>
        <v>0</v>
      </c>
      <c r="X945" s="18">
        <f t="shared" si="115"/>
        <v>0</v>
      </c>
      <c r="Y945" s="26">
        <f ca="1">(U945*((Indicadores_Economicos!D$2+1)^(1/12)-1))</f>
        <v>337491.03921034036</v>
      </c>
      <c r="Z945" s="18">
        <f t="shared" ca="1" si="119"/>
        <v>103427859.13916159</v>
      </c>
      <c r="AA945" s="18">
        <f ca="1">Auxiliar_Projetos!E945</f>
        <v>8.5257422990814476E-9</v>
      </c>
      <c r="AB945" s="18">
        <f ca="1">Auxiliar_Projetos!K945</f>
        <v>6.5582633069857267E-9</v>
      </c>
      <c r="AC945" s="18">
        <f ca="1">IF(Z945-AA945-AB945&gt;Investimentos!$C$14,Investimentos!$C$14,IF(Z945-AA945-AB945&lt;Investimentos!$C$14,Z945-AA945-AB945,0))</f>
        <v>300000</v>
      </c>
      <c r="AD945" s="18">
        <f t="shared" ca="1" si="120"/>
        <v>103127859.13916157</v>
      </c>
      <c r="AE945" s="18"/>
    </row>
    <row r="946" spans="1:31" x14ac:dyDescent="0.2">
      <c r="A946" s="4">
        <v>74389</v>
      </c>
      <c r="B946" s="5" t="str">
        <f t="shared" si="116"/>
        <v>setembro</v>
      </c>
      <c r="C946" s="5" t="str">
        <f t="shared" si="122"/>
        <v>2103</v>
      </c>
      <c r="D946" s="5">
        <f>SUMIFS(Despesas!$F:$F,Despesas!$J:$J,"&lt;="&amp;$A946,Despesas!$L:$L,"&gt;="&amp;$A946,Despesas!$C:$C,D$1,Despesas!$M:$M,"Mensal")+SUMIFS(Despesas!$F:$F,Despesas!$J:$J,"&lt;="&amp;$A946,Despesas!$L:$L,"&gt;="&amp;$A946,Despesas!$C:$C,D$1,Despesas!$M:$M,$B946)</f>
        <v>0</v>
      </c>
      <c r="E946" s="18">
        <f>SUMIFS(Despesas!$F:$F,Despesas!$J:$J,"&lt;="&amp;$A946,Despesas!$L:$L,"&gt;="&amp;$A946,Despesas!$C:$C,E$1,Despesas!$M:$M,"Mensal")+SUMIFS(Despesas!$F:$F,Despesas!$J:$J,"&lt;="&amp;$A946,Despesas!$L:$L,"&gt;="&amp;$A946,Despesas!$C:$C,E$1,Despesas!$M:$M,$B946)</f>
        <v>0</v>
      </c>
      <c r="F946" s="5">
        <f>SUMIFS(Despesas!$F:$F,Despesas!$J:$J,"&lt;="&amp;$A946,Despesas!$L:$L,"&gt;="&amp;$A946,Despesas!$C:$C,F$1,Despesas!$M:$M,"Mensal")+SUMIFS(Despesas!$F:$F,Despesas!$J:$J,"&lt;="&amp;$A946,Despesas!$L:$L,"&gt;="&amp;$A946,Despesas!$C:$C,F$1,Despesas!$M:$M,$B946)</f>
        <v>0</v>
      </c>
      <c r="G946" s="5">
        <f>SUMIFS(Despesas!$F:$F,Despesas!$J:$J,"&lt;="&amp;$A946,Despesas!$L:$L,"&gt;="&amp;$A946,Despesas!$C:$C,G$1,Despesas!$M:$M,"Mensal")+SUMIFS(Despesas!$F:$F,Despesas!$J:$J,"&lt;="&amp;$A946,Despesas!$L:$L,"&gt;="&amp;$A946,Despesas!$C:$C,G$1,Despesas!$M:$M,$B946)</f>
        <v>0</v>
      </c>
      <c r="H946" s="18">
        <f>SUMIFS(Despesas!$F:$F,Despesas!$J:$J,"&lt;="&amp;$A946,Despesas!$L:$L,"&gt;="&amp;$A946,Despesas!$C:$C,H$1,Despesas!$M:$M,"Mensal")+SUMIFS(Despesas!$F:$F,Despesas!$J:$J,"&lt;="&amp;$A946,Despesas!$L:$L,"&gt;="&amp;$A946,Despesas!$C:$C,H$1,Despesas!$M:$M,$B946)</f>
        <v>0</v>
      </c>
      <c r="I946" s="18">
        <f>IF(Imóveis!$F$2="PRICE",IF(AND(Dados!$A946&gt;=Imóveis!$Q$2,Dados!$A946&lt;=Imóveis!$T$2),Imóveis!$U$2,0),IF((IF(AND(Dados!$A946&gt;=Imóveis!$Q$2,Dados!$A946&lt;=Imóveis!$T$2),Imóveis!$S$2-(DATEDIF(Imóveis!$Q$2,Dados!$A946,"m")),0))=0,0,((Imóveis!$N$2/Imóveis!$S$2)+((Imóveis!$N$2-((Imóveis!$S$2-(IF(AND(Dados!$A946&gt;=Imóveis!$Q$2,Dados!$A946&lt;=Imóveis!$T$2),Imóveis!$S$2-(DATEDIF(Imóveis!$Q$2,Dados!$A946,"m")),)))*(Imóveis!$N$2/Imóveis!$S$2)))*Imóveis!$P$2))))*IF(AND(Imóveis!$E$2&gt;0,Dados!$A946&gt;Imóveis!$E$2),0,1)</f>
        <v>0</v>
      </c>
      <c r="J946" s="18">
        <f>IF(Imóveis!$F$3="PRICE",IF(AND(Dados!$A946&gt;=Imóveis!$Q$3,Dados!$A946&lt;=Imóveis!$T$3),Imóveis!$U$3,0),IF((IF(AND(Dados!$A946&gt;=Imóveis!$Q$3,Dados!$A946&lt;=Imóveis!$T$3),Imóveis!$S$3-(DATEDIF(Imóveis!$Q$3,Dados!$A946,"m")),0))=0,0,((Imóveis!$N$3/Imóveis!$S$3)+((Imóveis!$N$3-((Imóveis!$S$3-(IF(AND(Dados!$A946&gt;=Imóveis!$Q$3,Dados!$A946&lt;=Imóveis!$T$3),Imóveis!$S$3-(DATEDIF(Imóveis!$Q$3,Dados!$A946,"m")),)))*(Imóveis!$N$3/Imóveis!$S$3)))*Imóveis!$P$3))))*IF(AND(Imóveis!$E$3&gt;0,Dados!$A946&gt;Imóveis!$E$3),0,1)</f>
        <v>0</v>
      </c>
      <c r="K946" s="18">
        <f>IF(Imóveis!$F$4="PRICE",IF(AND(Dados!$A946&gt;=Imóveis!$Q$4,Dados!$A946&lt;=Imóveis!$T$4),Imóveis!$U$4,0),IF((IF(AND(Dados!$A946&gt;=Imóveis!$Q$4,Dados!$A946&lt;=Imóveis!$T$4),Imóveis!$S$4-(DATEDIF(Imóveis!$Q$4,Dados!$A946,"m")),0))=0,0,((Imóveis!$N$4/Imóveis!$S$4)+((Imóveis!$N$4-((Imóveis!$S$4-(IF(AND(Dados!$A946&gt;=Imóveis!$Q$4,Dados!$A946&lt;=Imóveis!$T$4),Imóveis!$S$4-(DATEDIF(Imóveis!$Q$4,Dados!$A946,"m")),)))*(Imóveis!$N$4/Imóveis!$S$4)))*Imóveis!$P$4))))*IF(AND(Imóveis!$E$4&gt;0,Dados!$A946&gt;Imóveis!$E$4),0,1)</f>
        <v>0</v>
      </c>
      <c r="L946" s="18">
        <f>IF(Imóveis!$F$5="PRICE",IF(AND(Dados!$A946&gt;=Imóveis!$Q$5,Dados!$A946&lt;=Imóveis!$T$5),Imóveis!$U$5,0),IF((IF(AND(Dados!$A946&gt;=Imóveis!$Q$5,Dados!$A946&lt;=Imóveis!$T$5),Imóveis!$S$5-(DATEDIF(Imóveis!$Q$5,Dados!$A946,"m")),0))=0,0,((Imóveis!$N$5/Imóveis!$S$5)+((Imóveis!$N$5-((Imóveis!$S$5-(IF(AND(Dados!$A946 &gt;=Imóveis!$Q$5,Dados!$A946&lt;=Imóveis!$T$5),Imóveis!$S$5-(DATEDIF(Imóveis!$Q$5,Dados!$A946,"m")),)))*(Imóveis!$N$5/Imóveis!$S$5)))*Imóveis!$P$5))))*IF(AND(Imóveis!$E$5&gt;0,Dados!$A946&gt;Imóveis!$E$5),0,1)*Imóveis!$I$5</f>
        <v>0</v>
      </c>
      <c r="M946" s="18">
        <f>IF(Imóveis!$F$6="PRICE",IF(AND(Dados!$A946&gt;=Imóveis!$Q$6,Dados!$A946&lt;=Imóveis!$T$6),Imóveis!$U$6,0),IF((IF(AND(Dados!$A946&gt;=Imóveis!$Q$6,Dados!$A946&lt;=Imóveis!$T$6),Imóveis!$S$6-(DATEDIF(Imóveis!$Q$6,Dados!$A946,"m")),0))=0,0,((Imóveis!$N$6/Imóveis!$S$6)+((Imóveis!$N$6-((Imóveis!$S$6-(IF(AND(Dados!$A946&gt;=Imóveis!$Q$6,Dados!$A946&lt;=Imóveis!$T$6),Imóveis!$S$6-(DATEDIF(Imóveis!$Q$6,Dados!$A946,"m")),)))*(Imóveis!$N$6/Imóveis!$S$6)))*Imóveis!$P$6))))*IF(AND(Imóveis!$E$6&gt;0,Dados!$A946&gt;Imóveis!$E$6),0,1)*Imóveis!$I$6</f>
        <v>0</v>
      </c>
      <c r="N946" s="18">
        <f t="shared" si="117"/>
        <v>0</v>
      </c>
      <c r="O946" s="18">
        <f>SUMIFS(Receitas!$F:$F,Receitas!$J:$J,"&lt;="&amp;$A946,Receitas!$L:$L,"&gt;="&amp;$A946,Receitas!$C:$C,O$1,Receitas!$M:$M,"Mensal")+SUMIFS(Receitas!$F:$F,Receitas!$J:$J,"&lt;="&amp;$A946,Receitas!$L:$L,"&gt;="&amp;$A946,Receitas!$C:$C,O$1,Receitas!$M:$M,$B946)</f>
        <v>0</v>
      </c>
      <c r="P946" s="18">
        <f>SUMIFS(Receitas!$F:$F,Receitas!$J:$J,"&lt;="&amp;$A946,Receitas!$L:$L,"&gt;="&amp;$A946,Receitas!$C:$C,P$1,Receitas!$M:$M,"Mensal")+SUMIFS(Receitas!$F:$F,Receitas!$J:$J,"&lt;="&amp;$A946,Receitas!$L:$L,"&gt;="&amp;$A946,Receitas!$C:$C,P$1,Receitas!$M:$M,$B946)</f>
        <v>0</v>
      </c>
      <c r="Q946" s="18">
        <f>SUMIFS(Receitas!$F:$F,Receitas!$J:$J,"&lt;="&amp;$A946,Receitas!$L:$L,"&gt;="&amp;$A946,Receitas!$C:$C,Q$1,Receitas!$M:$M,"Mensal")+SUMIFS(Receitas!$F:$F,Receitas!$J:$J,"&lt;="&amp;$A946,Receitas!$L:$L,"&gt;="&amp;$A946,Receitas!$C:$C,Q$1,Receitas!$M:$M,$B946)</f>
        <v>0</v>
      </c>
      <c r="R946" s="18" cm="1">
        <f t="array" ref="R946">(IF(AND(Membros!$F$2="Sim",A946&lt;=MAX(Membros!$E$2:$E$5)),Membros!K$2,IF(AND(A946&gt;=Membros!J$2,A946&lt;=MAX(Membros!$E$2:$E$5)),Membros!K$2,0))+IF(AND(Membros!$F$3="Sim",A946&lt;=MAX(Membros!$E$2:$E$5)),Membros!K$3,IF(AND(A946&gt;=Membros!J$3,A946&lt;=MAX(Membros!$E$2:$E$5)),Membros!K$3,0)))*IF(AND(COUNTIFS(Tabela3[Tipo],"Provedor",Tabela3[Simulação Seguro],"Sim")=2,A946&gt;=MAX(IF(Tabela3[Tipo]="Dependente",Tabela3[Expectativa de Vida (Data)]))),0,1)</f>
        <v>0</v>
      </c>
      <c r="S946" s="18">
        <f t="shared" si="118"/>
        <v>0</v>
      </c>
      <c r="U946" s="18">
        <f t="shared" ca="1" si="121"/>
        <v>103427859.13916159</v>
      </c>
      <c r="V946" s="18">
        <f>SUMIF(Imóveis!E:E,Dados!A:A,Imóveis!Z:Z)-SUMIF(Imóveis!E:E,Dados!A:A,Imóveis!Y:Y)</f>
        <v>0</v>
      </c>
      <c r="W946" s="18">
        <f>-SUMIF(Projetos!N:N,A946,Projetos!F:F)</f>
        <v>0</v>
      </c>
      <c r="X946" s="18">
        <f t="shared" si="115"/>
        <v>0</v>
      </c>
      <c r="Y946" s="26">
        <f ca="1">(U946*((Indicadores_Economicos!D$2+1)^(1/12)-1))</f>
        <v>338595.89705153886</v>
      </c>
      <c r="Z946" s="18">
        <f t="shared" ca="1" si="119"/>
        <v>103766455.03621313</v>
      </c>
      <c r="AA946" s="18">
        <f ca="1">Auxiliar_Projetos!E946</f>
        <v>8.5536533608187262E-9</v>
      </c>
      <c r="AB946" s="18">
        <f ca="1">Auxiliar_Projetos!K946</f>
        <v>6.5797333544759415E-9</v>
      </c>
      <c r="AC946" s="18">
        <f ca="1">IF(Z946-AA946-AB946&gt;Investimentos!$C$14,Investimentos!$C$14,IF(Z946-AA946-AB946&lt;Investimentos!$C$14,Z946-AA946-AB946,0))</f>
        <v>300000</v>
      </c>
      <c r="AD946" s="18">
        <f t="shared" ca="1" si="120"/>
        <v>103466455.03621311</v>
      </c>
      <c r="AE946" s="18"/>
    </row>
    <row r="947" spans="1:31" x14ac:dyDescent="0.2">
      <c r="A947" s="4">
        <v>74419</v>
      </c>
      <c r="B947" s="5" t="str">
        <f t="shared" si="116"/>
        <v>outubro</v>
      </c>
      <c r="C947" s="5" t="str">
        <f t="shared" si="122"/>
        <v>2103</v>
      </c>
      <c r="D947" s="5">
        <f>SUMIFS(Despesas!$F:$F,Despesas!$J:$J,"&lt;="&amp;$A947,Despesas!$L:$L,"&gt;="&amp;$A947,Despesas!$C:$C,D$1,Despesas!$M:$M,"Mensal")+SUMIFS(Despesas!$F:$F,Despesas!$J:$J,"&lt;="&amp;$A947,Despesas!$L:$L,"&gt;="&amp;$A947,Despesas!$C:$C,D$1,Despesas!$M:$M,$B947)</f>
        <v>0</v>
      </c>
      <c r="E947" s="18">
        <f>SUMIFS(Despesas!$F:$F,Despesas!$J:$J,"&lt;="&amp;$A947,Despesas!$L:$L,"&gt;="&amp;$A947,Despesas!$C:$C,E$1,Despesas!$M:$M,"Mensal")+SUMIFS(Despesas!$F:$F,Despesas!$J:$J,"&lt;="&amp;$A947,Despesas!$L:$L,"&gt;="&amp;$A947,Despesas!$C:$C,E$1,Despesas!$M:$M,$B947)</f>
        <v>0</v>
      </c>
      <c r="F947" s="5">
        <f>SUMIFS(Despesas!$F:$F,Despesas!$J:$J,"&lt;="&amp;$A947,Despesas!$L:$L,"&gt;="&amp;$A947,Despesas!$C:$C,F$1,Despesas!$M:$M,"Mensal")+SUMIFS(Despesas!$F:$F,Despesas!$J:$J,"&lt;="&amp;$A947,Despesas!$L:$L,"&gt;="&amp;$A947,Despesas!$C:$C,F$1,Despesas!$M:$M,$B947)</f>
        <v>0</v>
      </c>
      <c r="G947" s="5">
        <f>SUMIFS(Despesas!$F:$F,Despesas!$J:$J,"&lt;="&amp;$A947,Despesas!$L:$L,"&gt;="&amp;$A947,Despesas!$C:$C,G$1,Despesas!$M:$M,"Mensal")+SUMIFS(Despesas!$F:$F,Despesas!$J:$J,"&lt;="&amp;$A947,Despesas!$L:$L,"&gt;="&amp;$A947,Despesas!$C:$C,G$1,Despesas!$M:$M,$B947)</f>
        <v>0</v>
      </c>
      <c r="H947" s="18">
        <f>SUMIFS(Despesas!$F:$F,Despesas!$J:$J,"&lt;="&amp;$A947,Despesas!$L:$L,"&gt;="&amp;$A947,Despesas!$C:$C,H$1,Despesas!$M:$M,"Mensal")+SUMIFS(Despesas!$F:$F,Despesas!$J:$J,"&lt;="&amp;$A947,Despesas!$L:$L,"&gt;="&amp;$A947,Despesas!$C:$C,H$1,Despesas!$M:$M,$B947)</f>
        <v>0</v>
      </c>
      <c r="I947" s="18">
        <f>IF(Imóveis!$F$2="PRICE",IF(AND(Dados!$A947&gt;=Imóveis!$Q$2,Dados!$A947&lt;=Imóveis!$T$2),Imóveis!$U$2,0),IF((IF(AND(Dados!$A947&gt;=Imóveis!$Q$2,Dados!$A947&lt;=Imóveis!$T$2),Imóveis!$S$2-(DATEDIF(Imóveis!$Q$2,Dados!$A947,"m")),0))=0,0,((Imóveis!$N$2/Imóveis!$S$2)+((Imóveis!$N$2-((Imóveis!$S$2-(IF(AND(Dados!$A947&gt;=Imóveis!$Q$2,Dados!$A947&lt;=Imóveis!$T$2),Imóveis!$S$2-(DATEDIF(Imóveis!$Q$2,Dados!$A947,"m")),)))*(Imóveis!$N$2/Imóveis!$S$2)))*Imóveis!$P$2))))*IF(AND(Imóveis!$E$2&gt;0,Dados!$A947&gt;Imóveis!$E$2),0,1)</f>
        <v>0</v>
      </c>
      <c r="J947" s="18">
        <f>IF(Imóveis!$F$3="PRICE",IF(AND(Dados!$A947&gt;=Imóveis!$Q$3,Dados!$A947&lt;=Imóveis!$T$3),Imóveis!$U$3,0),IF((IF(AND(Dados!$A947&gt;=Imóveis!$Q$3,Dados!$A947&lt;=Imóveis!$T$3),Imóveis!$S$3-(DATEDIF(Imóveis!$Q$3,Dados!$A947,"m")),0))=0,0,((Imóveis!$N$3/Imóveis!$S$3)+((Imóveis!$N$3-((Imóveis!$S$3-(IF(AND(Dados!$A947&gt;=Imóveis!$Q$3,Dados!$A947&lt;=Imóveis!$T$3),Imóveis!$S$3-(DATEDIF(Imóveis!$Q$3,Dados!$A947,"m")),)))*(Imóveis!$N$3/Imóveis!$S$3)))*Imóveis!$P$3))))*IF(AND(Imóveis!$E$3&gt;0,Dados!$A947&gt;Imóveis!$E$3),0,1)</f>
        <v>0</v>
      </c>
      <c r="K947" s="18">
        <f>IF(Imóveis!$F$4="PRICE",IF(AND(Dados!$A947&gt;=Imóveis!$Q$4,Dados!$A947&lt;=Imóveis!$T$4),Imóveis!$U$4,0),IF((IF(AND(Dados!$A947&gt;=Imóveis!$Q$4,Dados!$A947&lt;=Imóveis!$T$4),Imóveis!$S$4-(DATEDIF(Imóveis!$Q$4,Dados!$A947,"m")),0))=0,0,((Imóveis!$N$4/Imóveis!$S$4)+((Imóveis!$N$4-((Imóveis!$S$4-(IF(AND(Dados!$A947&gt;=Imóveis!$Q$4,Dados!$A947&lt;=Imóveis!$T$4),Imóveis!$S$4-(DATEDIF(Imóveis!$Q$4,Dados!$A947,"m")),)))*(Imóveis!$N$4/Imóveis!$S$4)))*Imóveis!$P$4))))*IF(AND(Imóveis!$E$4&gt;0,Dados!$A947&gt;Imóveis!$E$4),0,1)</f>
        <v>0</v>
      </c>
      <c r="L947" s="18">
        <f>IF(Imóveis!$F$5="PRICE",IF(AND(Dados!$A947&gt;=Imóveis!$Q$5,Dados!$A947&lt;=Imóveis!$T$5),Imóveis!$U$5,0),IF((IF(AND(Dados!$A947&gt;=Imóveis!$Q$5,Dados!$A947&lt;=Imóveis!$T$5),Imóveis!$S$5-(DATEDIF(Imóveis!$Q$5,Dados!$A947,"m")),0))=0,0,((Imóveis!$N$5/Imóveis!$S$5)+((Imóveis!$N$5-((Imóveis!$S$5-(IF(AND(Dados!$A947 &gt;=Imóveis!$Q$5,Dados!$A947&lt;=Imóveis!$T$5),Imóveis!$S$5-(DATEDIF(Imóveis!$Q$5,Dados!$A947,"m")),)))*(Imóveis!$N$5/Imóveis!$S$5)))*Imóveis!$P$5))))*IF(AND(Imóveis!$E$5&gt;0,Dados!$A947&gt;Imóveis!$E$5),0,1)*Imóveis!$I$5</f>
        <v>0</v>
      </c>
      <c r="M947" s="18">
        <f>IF(Imóveis!$F$6="PRICE",IF(AND(Dados!$A947&gt;=Imóveis!$Q$6,Dados!$A947&lt;=Imóveis!$T$6),Imóveis!$U$6,0),IF((IF(AND(Dados!$A947&gt;=Imóveis!$Q$6,Dados!$A947&lt;=Imóveis!$T$6),Imóveis!$S$6-(DATEDIF(Imóveis!$Q$6,Dados!$A947,"m")),0))=0,0,((Imóveis!$N$6/Imóveis!$S$6)+((Imóveis!$N$6-((Imóveis!$S$6-(IF(AND(Dados!$A947&gt;=Imóveis!$Q$6,Dados!$A947&lt;=Imóveis!$T$6),Imóveis!$S$6-(DATEDIF(Imóveis!$Q$6,Dados!$A947,"m")),)))*(Imóveis!$N$6/Imóveis!$S$6)))*Imóveis!$P$6))))*IF(AND(Imóveis!$E$6&gt;0,Dados!$A947&gt;Imóveis!$E$6),0,1)*Imóveis!$I$6</f>
        <v>0</v>
      </c>
      <c r="N947" s="18">
        <f t="shared" si="117"/>
        <v>0</v>
      </c>
      <c r="O947" s="18">
        <f>SUMIFS(Receitas!$F:$F,Receitas!$J:$J,"&lt;="&amp;$A947,Receitas!$L:$L,"&gt;="&amp;$A947,Receitas!$C:$C,O$1,Receitas!$M:$M,"Mensal")+SUMIFS(Receitas!$F:$F,Receitas!$J:$J,"&lt;="&amp;$A947,Receitas!$L:$L,"&gt;="&amp;$A947,Receitas!$C:$C,O$1,Receitas!$M:$M,$B947)</f>
        <v>0</v>
      </c>
      <c r="P947" s="18">
        <f>SUMIFS(Receitas!$F:$F,Receitas!$J:$J,"&lt;="&amp;$A947,Receitas!$L:$L,"&gt;="&amp;$A947,Receitas!$C:$C,P$1,Receitas!$M:$M,"Mensal")+SUMIFS(Receitas!$F:$F,Receitas!$J:$J,"&lt;="&amp;$A947,Receitas!$L:$L,"&gt;="&amp;$A947,Receitas!$C:$C,P$1,Receitas!$M:$M,$B947)</f>
        <v>0</v>
      </c>
      <c r="Q947" s="18">
        <f>SUMIFS(Receitas!$F:$F,Receitas!$J:$J,"&lt;="&amp;$A947,Receitas!$L:$L,"&gt;="&amp;$A947,Receitas!$C:$C,Q$1,Receitas!$M:$M,"Mensal")+SUMIFS(Receitas!$F:$F,Receitas!$J:$J,"&lt;="&amp;$A947,Receitas!$L:$L,"&gt;="&amp;$A947,Receitas!$C:$C,Q$1,Receitas!$M:$M,$B947)</f>
        <v>0</v>
      </c>
      <c r="R947" s="18" cm="1">
        <f t="array" ref="R947">(IF(AND(Membros!$F$2="Sim",A947&lt;=MAX(Membros!$E$2:$E$5)),Membros!K$2,IF(AND(A947&gt;=Membros!J$2,A947&lt;=MAX(Membros!$E$2:$E$5)),Membros!K$2,0))+IF(AND(Membros!$F$3="Sim",A947&lt;=MAX(Membros!$E$2:$E$5)),Membros!K$3,IF(AND(A947&gt;=Membros!J$3,A947&lt;=MAX(Membros!$E$2:$E$5)),Membros!K$3,0)))*IF(AND(COUNTIFS(Tabela3[Tipo],"Provedor",Tabela3[Simulação Seguro],"Sim")=2,A947&gt;=MAX(IF(Tabela3[Tipo]="Dependente",Tabela3[Expectativa de Vida (Data)]))),0,1)</f>
        <v>0</v>
      </c>
      <c r="S947" s="18">
        <f t="shared" si="118"/>
        <v>0</v>
      </c>
      <c r="U947" s="18">
        <f t="shared" ca="1" si="121"/>
        <v>103766455.03621313</v>
      </c>
      <c r="V947" s="18">
        <f>SUMIF(Imóveis!E:E,Dados!A:A,Imóveis!Z:Z)-SUMIF(Imóveis!E:E,Dados!A:A,Imóveis!Y:Y)</f>
        <v>0</v>
      </c>
      <c r="W947" s="18">
        <f>-SUMIF(Projetos!N:N,A947,Projetos!F:F)</f>
        <v>0</v>
      </c>
      <c r="X947" s="18">
        <f t="shared" si="115"/>
        <v>0</v>
      </c>
      <c r="Y947" s="26">
        <f ca="1">(U947*((Indicadores_Economicos!D$2+1)^(1/12)-1))</f>
        <v>339704.37190980581</v>
      </c>
      <c r="Z947" s="18">
        <f t="shared" ca="1" si="119"/>
        <v>104106159.40812294</v>
      </c>
      <c r="AA947" s="18">
        <f ca="1">Auxiliar_Projetos!E947</f>
        <v>8.5816557961091771E-9</v>
      </c>
      <c r="AB947" s="18">
        <f ca="1">Auxiliar_Projetos!K947</f>
        <v>6.6012736893147508E-9</v>
      </c>
      <c r="AC947" s="18">
        <f ca="1">IF(Z947-AA947-AB947&gt;Investimentos!$C$14,Investimentos!$C$14,IF(Z947-AA947-AB947&lt;Investimentos!$C$14,Z947-AA947-AB947,0))</f>
        <v>300000</v>
      </c>
      <c r="AD947" s="18">
        <f t="shared" ca="1" si="120"/>
        <v>103806159.40812293</v>
      </c>
      <c r="AE947" s="18"/>
    </row>
    <row r="948" spans="1:31" x14ac:dyDescent="0.2">
      <c r="A948" s="4">
        <v>74450</v>
      </c>
      <c r="B948" s="5" t="str">
        <f t="shared" si="116"/>
        <v>novembro</v>
      </c>
      <c r="C948" s="5" t="str">
        <f t="shared" si="122"/>
        <v>2103</v>
      </c>
      <c r="D948" s="5">
        <f>SUMIFS(Despesas!$F:$F,Despesas!$J:$J,"&lt;="&amp;$A948,Despesas!$L:$L,"&gt;="&amp;$A948,Despesas!$C:$C,D$1,Despesas!$M:$M,"Mensal")+SUMIFS(Despesas!$F:$F,Despesas!$J:$J,"&lt;="&amp;$A948,Despesas!$L:$L,"&gt;="&amp;$A948,Despesas!$C:$C,D$1,Despesas!$M:$M,$B948)</f>
        <v>0</v>
      </c>
      <c r="E948" s="18">
        <f>SUMIFS(Despesas!$F:$F,Despesas!$J:$J,"&lt;="&amp;$A948,Despesas!$L:$L,"&gt;="&amp;$A948,Despesas!$C:$C,E$1,Despesas!$M:$M,"Mensal")+SUMIFS(Despesas!$F:$F,Despesas!$J:$J,"&lt;="&amp;$A948,Despesas!$L:$L,"&gt;="&amp;$A948,Despesas!$C:$C,E$1,Despesas!$M:$M,$B948)</f>
        <v>0</v>
      </c>
      <c r="F948" s="5">
        <f>SUMIFS(Despesas!$F:$F,Despesas!$J:$J,"&lt;="&amp;$A948,Despesas!$L:$L,"&gt;="&amp;$A948,Despesas!$C:$C,F$1,Despesas!$M:$M,"Mensal")+SUMIFS(Despesas!$F:$F,Despesas!$J:$J,"&lt;="&amp;$A948,Despesas!$L:$L,"&gt;="&amp;$A948,Despesas!$C:$C,F$1,Despesas!$M:$M,$B948)</f>
        <v>0</v>
      </c>
      <c r="G948" s="5">
        <f>SUMIFS(Despesas!$F:$F,Despesas!$J:$J,"&lt;="&amp;$A948,Despesas!$L:$L,"&gt;="&amp;$A948,Despesas!$C:$C,G$1,Despesas!$M:$M,"Mensal")+SUMIFS(Despesas!$F:$F,Despesas!$J:$J,"&lt;="&amp;$A948,Despesas!$L:$L,"&gt;="&amp;$A948,Despesas!$C:$C,G$1,Despesas!$M:$M,$B948)</f>
        <v>0</v>
      </c>
      <c r="H948" s="18">
        <f>SUMIFS(Despesas!$F:$F,Despesas!$J:$J,"&lt;="&amp;$A948,Despesas!$L:$L,"&gt;="&amp;$A948,Despesas!$C:$C,H$1,Despesas!$M:$M,"Mensal")+SUMIFS(Despesas!$F:$F,Despesas!$J:$J,"&lt;="&amp;$A948,Despesas!$L:$L,"&gt;="&amp;$A948,Despesas!$C:$C,H$1,Despesas!$M:$M,$B948)</f>
        <v>0</v>
      </c>
      <c r="I948" s="18">
        <f>IF(Imóveis!$F$2="PRICE",IF(AND(Dados!$A948&gt;=Imóveis!$Q$2,Dados!$A948&lt;=Imóveis!$T$2),Imóveis!$U$2,0),IF((IF(AND(Dados!$A948&gt;=Imóveis!$Q$2,Dados!$A948&lt;=Imóveis!$T$2),Imóveis!$S$2-(DATEDIF(Imóveis!$Q$2,Dados!$A948,"m")),0))=0,0,((Imóveis!$N$2/Imóveis!$S$2)+((Imóveis!$N$2-((Imóveis!$S$2-(IF(AND(Dados!$A948&gt;=Imóveis!$Q$2,Dados!$A948&lt;=Imóveis!$T$2),Imóveis!$S$2-(DATEDIF(Imóveis!$Q$2,Dados!$A948,"m")),)))*(Imóveis!$N$2/Imóveis!$S$2)))*Imóveis!$P$2))))*IF(AND(Imóveis!$E$2&gt;0,Dados!$A948&gt;Imóveis!$E$2),0,1)</f>
        <v>0</v>
      </c>
      <c r="J948" s="18">
        <f>IF(Imóveis!$F$3="PRICE",IF(AND(Dados!$A948&gt;=Imóveis!$Q$3,Dados!$A948&lt;=Imóveis!$T$3),Imóveis!$U$3,0),IF((IF(AND(Dados!$A948&gt;=Imóveis!$Q$3,Dados!$A948&lt;=Imóveis!$T$3),Imóveis!$S$3-(DATEDIF(Imóveis!$Q$3,Dados!$A948,"m")),0))=0,0,((Imóveis!$N$3/Imóveis!$S$3)+((Imóveis!$N$3-((Imóveis!$S$3-(IF(AND(Dados!$A948&gt;=Imóveis!$Q$3,Dados!$A948&lt;=Imóveis!$T$3),Imóveis!$S$3-(DATEDIF(Imóveis!$Q$3,Dados!$A948,"m")),)))*(Imóveis!$N$3/Imóveis!$S$3)))*Imóveis!$P$3))))*IF(AND(Imóveis!$E$3&gt;0,Dados!$A948&gt;Imóveis!$E$3),0,1)</f>
        <v>0</v>
      </c>
      <c r="K948" s="18">
        <f>IF(Imóveis!$F$4="PRICE",IF(AND(Dados!$A948&gt;=Imóveis!$Q$4,Dados!$A948&lt;=Imóveis!$T$4),Imóveis!$U$4,0),IF((IF(AND(Dados!$A948&gt;=Imóveis!$Q$4,Dados!$A948&lt;=Imóveis!$T$4),Imóveis!$S$4-(DATEDIF(Imóveis!$Q$4,Dados!$A948,"m")),0))=0,0,((Imóveis!$N$4/Imóveis!$S$4)+((Imóveis!$N$4-((Imóveis!$S$4-(IF(AND(Dados!$A948&gt;=Imóveis!$Q$4,Dados!$A948&lt;=Imóveis!$T$4),Imóveis!$S$4-(DATEDIF(Imóveis!$Q$4,Dados!$A948,"m")),)))*(Imóveis!$N$4/Imóveis!$S$4)))*Imóveis!$P$4))))*IF(AND(Imóveis!$E$4&gt;0,Dados!$A948&gt;Imóveis!$E$4),0,1)</f>
        <v>0</v>
      </c>
      <c r="L948" s="18">
        <f>IF(Imóveis!$F$5="PRICE",IF(AND(Dados!$A948&gt;=Imóveis!$Q$5,Dados!$A948&lt;=Imóveis!$T$5),Imóveis!$U$5,0),IF((IF(AND(Dados!$A948&gt;=Imóveis!$Q$5,Dados!$A948&lt;=Imóveis!$T$5),Imóveis!$S$5-(DATEDIF(Imóveis!$Q$5,Dados!$A948,"m")),0))=0,0,((Imóveis!$N$5/Imóveis!$S$5)+((Imóveis!$N$5-((Imóveis!$S$5-(IF(AND(Dados!$A948 &gt;=Imóveis!$Q$5,Dados!$A948&lt;=Imóveis!$T$5),Imóveis!$S$5-(DATEDIF(Imóveis!$Q$5,Dados!$A948,"m")),)))*(Imóveis!$N$5/Imóveis!$S$5)))*Imóveis!$P$5))))*IF(AND(Imóveis!$E$5&gt;0,Dados!$A948&gt;Imóveis!$E$5),0,1)*Imóveis!$I$5</f>
        <v>0</v>
      </c>
      <c r="M948" s="18">
        <f>IF(Imóveis!$F$6="PRICE",IF(AND(Dados!$A948&gt;=Imóveis!$Q$6,Dados!$A948&lt;=Imóveis!$T$6),Imóveis!$U$6,0),IF((IF(AND(Dados!$A948&gt;=Imóveis!$Q$6,Dados!$A948&lt;=Imóveis!$T$6),Imóveis!$S$6-(DATEDIF(Imóveis!$Q$6,Dados!$A948,"m")),0))=0,0,((Imóveis!$N$6/Imóveis!$S$6)+((Imóveis!$N$6-((Imóveis!$S$6-(IF(AND(Dados!$A948&gt;=Imóveis!$Q$6,Dados!$A948&lt;=Imóveis!$T$6),Imóveis!$S$6-(DATEDIF(Imóveis!$Q$6,Dados!$A948,"m")),)))*(Imóveis!$N$6/Imóveis!$S$6)))*Imóveis!$P$6))))*IF(AND(Imóveis!$E$6&gt;0,Dados!$A948&gt;Imóveis!$E$6),0,1)*Imóveis!$I$6</f>
        <v>0</v>
      </c>
      <c r="N948" s="18">
        <f t="shared" si="117"/>
        <v>0</v>
      </c>
      <c r="O948" s="18">
        <f>SUMIFS(Receitas!$F:$F,Receitas!$J:$J,"&lt;="&amp;$A948,Receitas!$L:$L,"&gt;="&amp;$A948,Receitas!$C:$C,O$1,Receitas!$M:$M,"Mensal")+SUMIFS(Receitas!$F:$F,Receitas!$J:$J,"&lt;="&amp;$A948,Receitas!$L:$L,"&gt;="&amp;$A948,Receitas!$C:$C,O$1,Receitas!$M:$M,$B948)</f>
        <v>0</v>
      </c>
      <c r="P948" s="18">
        <f>SUMIFS(Receitas!$F:$F,Receitas!$J:$J,"&lt;="&amp;$A948,Receitas!$L:$L,"&gt;="&amp;$A948,Receitas!$C:$C,P$1,Receitas!$M:$M,"Mensal")+SUMIFS(Receitas!$F:$F,Receitas!$J:$J,"&lt;="&amp;$A948,Receitas!$L:$L,"&gt;="&amp;$A948,Receitas!$C:$C,P$1,Receitas!$M:$M,$B948)</f>
        <v>0</v>
      </c>
      <c r="Q948" s="18">
        <f>SUMIFS(Receitas!$F:$F,Receitas!$J:$J,"&lt;="&amp;$A948,Receitas!$L:$L,"&gt;="&amp;$A948,Receitas!$C:$C,Q$1,Receitas!$M:$M,"Mensal")+SUMIFS(Receitas!$F:$F,Receitas!$J:$J,"&lt;="&amp;$A948,Receitas!$L:$L,"&gt;="&amp;$A948,Receitas!$C:$C,Q$1,Receitas!$M:$M,$B948)</f>
        <v>0</v>
      </c>
      <c r="R948" s="18" cm="1">
        <f t="array" ref="R948">(IF(AND(Membros!$F$2="Sim",A948&lt;=MAX(Membros!$E$2:$E$5)),Membros!K$2,IF(AND(A948&gt;=Membros!J$2,A948&lt;=MAX(Membros!$E$2:$E$5)),Membros!K$2,0))+IF(AND(Membros!$F$3="Sim",A948&lt;=MAX(Membros!$E$2:$E$5)),Membros!K$3,IF(AND(A948&gt;=Membros!J$3,A948&lt;=MAX(Membros!$E$2:$E$5)),Membros!K$3,0)))*IF(AND(COUNTIFS(Tabela3[Tipo],"Provedor",Tabela3[Simulação Seguro],"Sim")=2,A948&gt;=MAX(IF(Tabela3[Tipo]="Dependente",Tabela3[Expectativa de Vida (Data)]))),0,1)</f>
        <v>0</v>
      </c>
      <c r="S948" s="18">
        <f t="shared" si="118"/>
        <v>0</v>
      </c>
      <c r="U948" s="18">
        <f t="shared" ca="1" si="121"/>
        <v>104106159.40812294</v>
      </c>
      <c r="V948" s="18">
        <f>SUMIF(Imóveis!E:E,Dados!A:A,Imóveis!Z:Z)-SUMIF(Imóveis!E:E,Dados!A:A,Imóveis!Y:Y)</f>
        <v>0</v>
      </c>
      <c r="W948" s="18">
        <f>-SUMIF(Projetos!N:N,A948,Projetos!F:F)</f>
        <v>0</v>
      </c>
      <c r="X948" s="18">
        <f t="shared" si="115"/>
        <v>0</v>
      </c>
      <c r="Y948" s="26">
        <f ca="1">(U948*((Indicadores_Economicos!D$2+1)^(1/12)-1))</f>
        <v>340816.47562631388</v>
      </c>
      <c r="Z948" s="18">
        <f t="shared" ca="1" si="119"/>
        <v>104446975.88374926</v>
      </c>
      <c r="AA948" s="18">
        <f ca="1">Auxiliar_Projetos!E948</f>
        <v>8.6097499040860377E-9</v>
      </c>
      <c r="AB948" s="18">
        <f ca="1">Auxiliar_Projetos!K948</f>
        <v>6.6228845416046433E-9</v>
      </c>
      <c r="AC948" s="18">
        <f ca="1">IF(Z948-AA948-AB948&gt;Investimentos!$C$14,Investimentos!$C$14,IF(Z948-AA948-AB948&lt;Investimentos!$C$14,Z948-AA948-AB948,0))</f>
        <v>300000</v>
      </c>
      <c r="AD948" s="18">
        <f t="shared" ca="1" si="120"/>
        <v>104146975.88374925</v>
      </c>
      <c r="AE948" s="18"/>
    </row>
    <row r="949" spans="1:31" x14ac:dyDescent="0.2">
      <c r="A949" s="4">
        <v>74480</v>
      </c>
      <c r="B949" s="5" t="str">
        <f t="shared" si="116"/>
        <v>dezembro</v>
      </c>
      <c r="C949" s="5" t="str">
        <f t="shared" si="122"/>
        <v>2103</v>
      </c>
      <c r="D949" s="5">
        <f>SUMIFS(Despesas!$F:$F,Despesas!$J:$J,"&lt;="&amp;$A949,Despesas!$L:$L,"&gt;="&amp;$A949,Despesas!$C:$C,D$1,Despesas!$M:$M,"Mensal")+SUMIFS(Despesas!$F:$F,Despesas!$J:$J,"&lt;="&amp;$A949,Despesas!$L:$L,"&gt;="&amp;$A949,Despesas!$C:$C,D$1,Despesas!$M:$M,$B949)</f>
        <v>0</v>
      </c>
      <c r="E949" s="18">
        <f>SUMIFS(Despesas!$F:$F,Despesas!$J:$J,"&lt;="&amp;$A949,Despesas!$L:$L,"&gt;="&amp;$A949,Despesas!$C:$C,E$1,Despesas!$M:$M,"Mensal")+SUMIFS(Despesas!$F:$F,Despesas!$J:$J,"&lt;="&amp;$A949,Despesas!$L:$L,"&gt;="&amp;$A949,Despesas!$C:$C,E$1,Despesas!$M:$M,$B949)</f>
        <v>0</v>
      </c>
      <c r="F949" s="5">
        <f>SUMIFS(Despesas!$F:$F,Despesas!$J:$J,"&lt;="&amp;$A949,Despesas!$L:$L,"&gt;="&amp;$A949,Despesas!$C:$C,F$1,Despesas!$M:$M,"Mensal")+SUMIFS(Despesas!$F:$F,Despesas!$J:$J,"&lt;="&amp;$A949,Despesas!$L:$L,"&gt;="&amp;$A949,Despesas!$C:$C,F$1,Despesas!$M:$M,$B949)</f>
        <v>0</v>
      </c>
      <c r="G949" s="5">
        <f>SUMIFS(Despesas!$F:$F,Despesas!$J:$J,"&lt;="&amp;$A949,Despesas!$L:$L,"&gt;="&amp;$A949,Despesas!$C:$C,G$1,Despesas!$M:$M,"Mensal")+SUMIFS(Despesas!$F:$F,Despesas!$J:$J,"&lt;="&amp;$A949,Despesas!$L:$L,"&gt;="&amp;$A949,Despesas!$C:$C,G$1,Despesas!$M:$M,$B949)</f>
        <v>0</v>
      </c>
      <c r="H949" s="18">
        <f>SUMIFS(Despesas!$F:$F,Despesas!$J:$J,"&lt;="&amp;$A949,Despesas!$L:$L,"&gt;="&amp;$A949,Despesas!$C:$C,H$1,Despesas!$M:$M,"Mensal")+SUMIFS(Despesas!$F:$F,Despesas!$J:$J,"&lt;="&amp;$A949,Despesas!$L:$L,"&gt;="&amp;$A949,Despesas!$C:$C,H$1,Despesas!$M:$M,$B949)</f>
        <v>0</v>
      </c>
      <c r="I949" s="18">
        <f>IF(Imóveis!$F$2="PRICE",IF(AND(Dados!$A949&gt;=Imóveis!$Q$2,Dados!$A949&lt;=Imóveis!$T$2),Imóveis!$U$2,0),IF((IF(AND(Dados!$A949&gt;=Imóveis!$Q$2,Dados!$A949&lt;=Imóveis!$T$2),Imóveis!$S$2-(DATEDIF(Imóveis!$Q$2,Dados!$A949,"m")),0))=0,0,((Imóveis!$N$2/Imóveis!$S$2)+((Imóveis!$N$2-((Imóveis!$S$2-(IF(AND(Dados!$A949&gt;=Imóveis!$Q$2,Dados!$A949&lt;=Imóveis!$T$2),Imóveis!$S$2-(DATEDIF(Imóveis!$Q$2,Dados!$A949,"m")),)))*(Imóveis!$N$2/Imóveis!$S$2)))*Imóveis!$P$2))))*IF(AND(Imóveis!$E$2&gt;0,Dados!$A949&gt;Imóveis!$E$2),0,1)</f>
        <v>0</v>
      </c>
      <c r="J949" s="18">
        <f>IF(Imóveis!$F$3="PRICE",IF(AND(Dados!$A949&gt;=Imóveis!$Q$3,Dados!$A949&lt;=Imóveis!$T$3),Imóveis!$U$3,0),IF((IF(AND(Dados!$A949&gt;=Imóveis!$Q$3,Dados!$A949&lt;=Imóveis!$T$3),Imóveis!$S$3-(DATEDIF(Imóveis!$Q$3,Dados!$A949,"m")),0))=0,0,((Imóveis!$N$3/Imóveis!$S$3)+((Imóveis!$N$3-((Imóveis!$S$3-(IF(AND(Dados!$A949&gt;=Imóveis!$Q$3,Dados!$A949&lt;=Imóveis!$T$3),Imóveis!$S$3-(DATEDIF(Imóveis!$Q$3,Dados!$A949,"m")),)))*(Imóveis!$N$3/Imóveis!$S$3)))*Imóveis!$P$3))))*IF(AND(Imóveis!$E$3&gt;0,Dados!$A949&gt;Imóveis!$E$3),0,1)</f>
        <v>0</v>
      </c>
      <c r="K949" s="18">
        <f>IF(Imóveis!$F$4="PRICE",IF(AND(Dados!$A949&gt;=Imóveis!$Q$4,Dados!$A949&lt;=Imóveis!$T$4),Imóveis!$U$4,0),IF((IF(AND(Dados!$A949&gt;=Imóveis!$Q$4,Dados!$A949&lt;=Imóveis!$T$4),Imóveis!$S$4-(DATEDIF(Imóveis!$Q$4,Dados!$A949,"m")),0))=0,0,((Imóveis!$N$4/Imóveis!$S$4)+((Imóveis!$N$4-((Imóveis!$S$4-(IF(AND(Dados!$A949&gt;=Imóveis!$Q$4,Dados!$A949&lt;=Imóveis!$T$4),Imóveis!$S$4-(DATEDIF(Imóveis!$Q$4,Dados!$A949,"m")),)))*(Imóveis!$N$4/Imóveis!$S$4)))*Imóveis!$P$4))))*IF(AND(Imóveis!$E$4&gt;0,Dados!$A949&gt;Imóveis!$E$4),0,1)</f>
        <v>0</v>
      </c>
      <c r="L949" s="18">
        <f>IF(Imóveis!$F$5="PRICE",IF(AND(Dados!$A949&gt;=Imóveis!$Q$5,Dados!$A949&lt;=Imóveis!$T$5),Imóveis!$U$5,0),IF((IF(AND(Dados!$A949&gt;=Imóveis!$Q$5,Dados!$A949&lt;=Imóveis!$T$5),Imóveis!$S$5-(DATEDIF(Imóveis!$Q$5,Dados!$A949,"m")),0))=0,0,((Imóveis!$N$5/Imóveis!$S$5)+((Imóveis!$N$5-((Imóveis!$S$5-(IF(AND(Dados!$A949 &gt;=Imóveis!$Q$5,Dados!$A949&lt;=Imóveis!$T$5),Imóveis!$S$5-(DATEDIF(Imóveis!$Q$5,Dados!$A949,"m")),)))*(Imóveis!$N$5/Imóveis!$S$5)))*Imóveis!$P$5))))*IF(AND(Imóveis!$E$5&gt;0,Dados!$A949&gt;Imóveis!$E$5),0,1)*Imóveis!$I$5</f>
        <v>0</v>
      </c>
      <c r="M949" s="18">
        <f>IF(Imóveis!$F$6="PRICE",IF(AND(Dados!$A949&gt;=Imóveis!$Q$6,Dados!$A949&lt;=Imóveis!$T$6),Imóveis!$U$6,0),IF((IF(AND(Dados!$A949&gt;=Imóveis!$Q$6,Dados!$A949&lt;=Imóveis!$T$6),Imóveis!$S$6-(DATEDIF(Imóveis!$Q$6,Dados!$A949,"m")),0))=0,0,((Imóveis!$N$6/Imóveis!$S$6)+((Imóveis!$N$6-((Imóveis!$S$6-(IF(AND(Dados!$A949&gt;=Imóveis!$Q$6,Dados!$A949&lt;=Imóveis!$T$6),Imóveis!$S$6-(DATEDIF(Imóveis!$Q$6,Dados!$A949,"m")),)))*(Imóveis!$N$6/Imóveis!$S$6)))*Imóveis!$P$6))))*IF(AND(Imóveis!$E$6&gt;0,Dados!$A949&gt;Imóveis!$E$6),0,1)*Imóveis!$I$6</f>
        <v>0</v>
      </c>
      <c r="N949" s="18">
        <f t="shared" si="117"/>
        <v>0</v>
      </c>
      <c r="O949" s="18">
        <f>SUMIFS(Receitas!$F:$F,Receitas!$J:$J,"&lt;="&amp;$A949,Receitas!$L:$L,"&gt;="&amp;$A949,Receitas!$C:$C,O$1,Receitas!$M:$M,"Mensal")+SUMIFS(Receitas!$F:$F,Receitas!$J:$J,"&lt;="&amp;$A949,Receitas!$L:$L,"&gt;="&amp;$A949,Receitas!$C:$C,O$1,Receitas!$M:$M,$B949)</f>
        <v>0</v>
      </c>
      <c r="P949" s="18">
        <f>SUMIFS(Receitas!$F:$F,Receitas!$J:$J,"&lt;="&amp;$A949,Receitas!$L:$L,"&gt;="&amp;$A949,Receitas!$C:$C,P$1,Receitas!$M:$M,"Mensal")+SUMIFS(Receitas!$F:$F,Receitas!$J:$J,"&lt;="&amp;$A949,Receitas!$L:$L,"&gt;="&amp;$A949,Receitas!$C:$C,P$1,Receitas!$M:$M,$B949)</f>
        <v>0</v>
      </c>
      <c r="Q949" s="18">
        <f>SUMIFS(Receitas!$F:$F,Receitas!$J:$J,"&lt;="&amp;$A949,Receitas!$L:$L,"&gt;="&amp;$A949,Receitas!$C:$C,Q$1,Receitas!$M:$M,"Mensal")+SUMIFS(Receitas!$F:$F,Receitas!$J:$J,"&lt;="&amp;$A949,Receitas!$L:$L,"&gt;="&amp;$A949,Receitas!$C:$C,Q$1,Receitas!$M:$M,$B949)</f>
        <v>0</v>
      </c>
      <c r="R949" s="18" cm="1">
        <f t="array" ref="R949">(IF(AND(Membros!$F$2="Sim",A949&lt;=MAX(Membros!$E$2:$E$5)),Membros!K$2,IF(AND(A949&gt;=Membros!J$2,A949&lt;=MAX(Membros!$E$2:$E$5)),Membros!K$2,0))+IF(AND(Membros!$F$3="Sim",A949&lt;=MAX(Membros!$E$2:$E$5)),Membros!K$3,IF(AND(A949&gt;=Membros!J$3,A949&lt;=MAX(Membros!$E$2:$E$5)),Membros!K$3,0)))*IF(AND(COUNTIFS(Tabela3[Tipo],"Provedor",Tabela3[Simulação Seguro],"Sim")=2,A949&gt;=MAX(IF(Tabela3[Tipo]="Dependente",Tabela3[Expectativa de Vida (Data)]))),0,1)</f>
        <v>0</v>
      </c>
      <c r="S949" s="18">
        <f t="shared" si="118"/>
        <v>0</v>
      </c>
      <c r="U949" s="18">
        <f t="shared" ca="1" si="121"/>
        <v>104446975.88374926</v>
      </c>
      <c r="V949" s="18">
        <f>SUMIF(Imóveis!E:E,Dados!A:A,Imóveis!Z:Z)-SUMIF(Imóveis!E:E,Dados!A:A,Imóveis!Y:Y)</f>
        <v>0</v>
      </c>
      <c r="W949" s="18">
        <f>-SUMIF(Projetos!N:N,A949,Projetos!F:F)</f>
        <v>0</v>
      </c>
      <c r="X949" s="18">
        <f t="shared" si="115"/>
        <v>0</v>
      </c>
      <c r="Y949" s="26">
        <f ca="1">(U949*((Indicadores_Economicos!D$2+1)^(1/12)-1))</f>
        <v>341932.22008100059</v>
      </c>
      <c r="Z949" s="18">
        <f t="shared" ca="1" si="119"/>
        <v>104788908.10383026</v>
      </c>
      <c r="AA949" s="18">
        <f ca="1">Auxiliar_Projetos!E949</f>
        <v>8.6379359848618276E-9</v>
      </c>
      <c r="AB949" s="18">
        <f ca="1">Auxiliar_Projetos!K949</f>
        <v>6.6445661422014048E-9</v>
      </c>
      <c r="AC949" s="18">
        <f ca="1">IF(Z949-AA949-AB949&gt;Investimentos!$C$14,Investimentos!$C$14,IF(Z949-AA949-AB949&lt;Investimentos!$C$14,Z949-AA949-AB949,0))</f>
        <v>300000</v>
      </c>
      <c r="AD949" s="18">
        <f t="shared" ca="1" si="120"/>
        <v>104488908.10383025</v>
      </c>
      <c r="AE949" s="18"/>
    </row>
    <row r="950" spans="1:31" x14ac:dyDescent="0.2">
      <c r="A950" s="4">
        <v>74511</v>
      </c>
      <c r="B950" s="5" t="str">
        <f t="shared" si="116"/>
        <v>janeiro</v>
      </c>
      <c r="C950" s="5" t="str">
        <f t="shared" si="122"/>
        <v>2104</v>
      </c>
      <c r="D950" s="5">
        <f>SUMIFS(Despesas!$F:$F,Despesas!$J:$J,"&lt;="&amp;$A950,Despesas!$L:$L,"&gt;="&amp;$A950,Despesas!$C:$C,D$1,Despesas!$M:$M,"Mensal")+SUMIFS(Despesas!$F:$F,Despesas!$J:$J,"&lt;="&amp;$A950,Despesas!$L:$L,"&gt;="&amp;$A950,Despesas!$C:$C,D$1,Despesas!$M:$M,$B950)</f>
        <v>0</v>
      </c>
      <c r="E950" s="18">
        <f>SUMIFS(Despesas!$F:$F,Despesas!$J:$J,"&lt;="&amp;$A950,Despesas!$L:$L,"&gt;="&amp;$A950,Despesas!$C:$C,E$1,Despesas!$M:$M,"Mensal")+SUMIFS(Despesas!$F:$F,Despesas!$J:$J,"&lt;="&amp;$A950,Despesas!$L:$L,"&gt;="&amp;$A950,Despesas!$C:$C,E$1,Despesas!$M:$M,$B950)</f>
        <v>0</v>
      </c>
      <c r="F950" s="5">
        <f>SUMIFS(Despesas!$F:$F,Despesas!$J:$J,"&lt;="&amp;$A950,Despesas!$L:$L,"&gt;="&amp;$A950,Despesas!$C:$C,F$1,Despesas!$M:$M,"Mensal")+SUMIFS(Despesas!$F:$F,Despesas!$J:$J,"&lt;="&amp;$A950,Despesas!$L:$L,"&gt;="&amp;$A950,Despesas!$C:$C,F$1,Despesas!$M:$M,$B950)</f>
        <v>0</v>
      </c>
      <c r="G950" s="5">
        <f>SUMIFS(Despesas!$F:$F,Despesas!$J:$J,"&lt;="&amp;$A950,Despesas!$L:$L,"&gt;="&amp;$A950,Despesas!$C:$C,G$1,Despesas!$M:$M,"Mensal")+SUMIFS(Despesas!$F:$F,Despesas!$J:$J,"&lt;="&amp;$A950,Despesas!$L:$L,"&gt;="&amp;$A950,Despesas!$C:$C,G$1,Despesas!$M:$M,$B950)</f>
        <v>0</v>
      </c>
      <c r="H950" s="18">
        <f>SUMIFS(Despesas!$F:$F,Despesas!$J:$J,"&lt;="&amp;$A950,Despesas!$L:$L,"&gt;="&amp;$A950,Despesas!$C:$C,H$1,Despesas!$M:$M,"Mensal")+SUMIFS(Despesas!$F:$F,Despesas!$J:$J,"&lt;="&amp;$A950,Despesas!$L:$L,"&gt;="&amp;$A950,Despesas!$C:$C,H$1,Despesas!$M:$M,$B950)</f>
        <v>0</v>
      </c>
      <c r="I950" s="18">
        <f>IF(Imóveis!$F$2="PRICE",IF(AND(Dados!$A950&gt;=Imóveis!$Q$2,Dados!$A950&lt;=Imóveis!$T$2),Imóveis!$U$2,0),IF((IF(AND(Dados!$A950&gt;=Imóveis!$Q$2,Dados!$A950&lt;=Imóveis!$T$2),Imóveis!$S$2-(DATEDIF(Imóveis!$Q$2,Dados!$A950,"m")),0))=0,0,((Imóveis!$N$2/Imóveis!$S$2)+((Imóveis!$N$2-((Imóveis!$S$2-(IF(AND(Dados!$A950&gt;=Imóveis!$Q$2,Dados!$A950&lt;=Imóveis!$T$2),Imóveis!$S$2-(DATEDIF(Imóveis!$Q$2,Dados!$A950,"m")),)))*(Imóveis!$N$2/Imóveis!$S$2)))*Imóveis!$P$2))))*IF(AND(Imóveis!$E$2&gt;0,Dados!$A950&gt;Imóveis!$E$2),0,1)</f>
        <v>0</v>
      </c>
      <c r="J950" s="18">
        <f>IF(Imóveis!$F$3="PRICE",IF(AND(Dados!$A950&gt;=Imóveis!$Q$3,Dados!$A950&lt;=Imóveis!$T$3),Imóveis!$U$3,0),IF((IF(AND(Dados!$A950&gt;=Imóveis!$Q$3,Dados!$A950&lt;=Imóveis!$T$3),Imóveis!$S$3-(DATEDIF(Imóveis!$Q$3,Dados!$A950,"m")),0))=0,0,((Imóveis!$N$3/Imóveis!$S$3)+((Imóveis!$N$3-((Imóveis!$S$3-(IF(AND(Dados!$A950&gt;=Imóveis!$Q$3,Dados!$A950&lt;=Imóveis!$T$3),Imóveis!$S$3-(DATEDIF(Imóveis!$Q$3,Dados!$A950,"m")),)))*(Imóveis!$N$3/Imóveis!$S$3)))*Imóveis!$P$3))))*IF(AND(Imóveis!$E$3&gt;0,Dados!$A950&gt;Imóveis!$E$3),0,1)</f>
        <v>0</v>
      </c>
      <c r="K950" s="18">
        <f>IF(Imóveis!$F$4="PRICE",IF(AND(Dados!$A950&gt;=Imóveis!$Q$4,Dados!$A950&lt;=Imóveis!$T$4),Imóveis!$U$4,0),IF((IF(AND(Dados!$A950&gt;=Imóveis!$Q$4,Dados!$A950&lt;=Imóveis!$T$4),Imóveis!$S$4-(DATEDIF(Imóveis!$Q$4,Dados!$A950,"m")),0))=0,0,((Imóveis!$N$4/Imóveis!$S$4)+((Imóveis!$N$4-((Imóveis!$S$4-(IF(AND(Dados!$A950&gt;=Imóveis!$Q$4,Dados!$A950&lt;=Imóveis!$T$4),Imóveis!$S$4-(DATEDIF(Imóveis!$Q$4,Dados!$A950,"m")),)))*(Imóveis!$N$4/Imóveis!$S$4)))*Imóveis!$P$4))))*IF(AND(Imóveis!$E$4&gt;0,Dados!$A950&gt;Imóveis!$E$4),0,1)</f>
        <v>0</v>
      </c>
      <c r="L950" s="18">
        <f>IF(Imóveis!$F$5="PRICE",IF(AND(Dados!$A950&gt;=Imóveis!$Q$5,Dados!$A950&lt;=Imóveis!$T$5),Imóveis!$U$5,0),IF((IF(AND(Dados!$A950&gt;=Imóveis!$Q$5,Dados!$A950&lt;=Imóveis!$T$5),Imóveis!$S$5-(DATEDIF(Imóveis!$Q$5,Dados!$A950,"m")),0))=0,0,((Imóveis!$N$5/Imóveis!$S$5)+((Imóveis!$N$5-((Imóveis!$S$5-(IF(AND(Dados!$A950 &gt;=Imóveis!$Q$5,Dados!$A950&lt;=Imóveis!$T$5),Imóveis!$S$5-(DATEDIF(Imóveis!$Q$5,Dados!$A950,"m")),)))*(Imóveis!$N$5/Imóveis!$S$5)))*Imóveis!$P$5))))*IF(AND(Imóveis!$E$5&gt;0,Dados!$A950&gt;Imóveis!$E$5),0,1)*Imóveis!$I$5</f>
        <v>0</v>
      </c>
      <c r="M950" s="18">
        <f>IF(Imóveis!$F$6="PRICE",IF(AND(Dados!$A950&gt;=Imóveis!$Q$6,Dados!$A950&lt;=Imóveis!$T$6),Imóveis!$U$6,0),IF((IF(AND(Dados!$A950&gt;=Imóveis!$Q$6,Dados!$A950&lt;=Imóveis!$T$6),Imóveis!$S$6-(DATEDIF(Imóveis!$Q$6,Dados!$A950,"m")),0))=0,0,((Imóveis!$N$6/Imóveis!$S$6)+((Imóveis!$N$6-((Imóveis!$S$6-(IF(AND(Dados!$A950&gt;=Imóveis!$Q$6,Dados!$A950&lt;=Imóveis!$T$6),Imóveis!$S$6-(DATEDIF(Imóveis!$Q$6,Dados!$A950,"m")),)))*(Imóveis!$N$6/Imóveis!$S$6)))*Imóveis!$P$6))))*IF(AND(Imóveis!$E$6&gt;0,Dados!$A950&gt;Imóveis!$E$6),0,1)*Imóveis!$I$6</f>
        <v>0</v>
      </c>
      <c r="N950" s="18">
        <f t="shared" si="117"/>
        <v>0</v>
      </c>
      <c r="O950" s="18">
        <f>SUMIFS(Receitas!$F:$F,Receitas!$J:$J,"&lt;="&amp;$A950,Receitas!$L:$L,"&gt;="&amp;$A950,Receitas!$C:$C,O$1,Receitas!$M:$M,"Mensal")+SUMIFS(Receitas!$F:$F,Receitas!$J:$J,"&lt;="&amp;$A950,Receitas!$L:$L,"&gt;="&amp;$A950,Receitas!$C:$C,O$1,Receitas!$M:$M,$B950)</f>
        <v>0</v>
      </c>
      <c r="P950" s="18">
        <f>SUMIFS(Receitas!$F:$F,Receitas!$J:$J,"&lt;="&amp;$A950,Receitas!$L:$L,"&gt;="&amp;$A950,Receitas!$C:$C,P$1,Receitas!$M:$M,"Mensal")+SUMIFS(Receitas!$F:$F,Receitas!$J:$J,"&lt;="&amp;$A950,Receitas!$L:$L,"&gt;="&amp;$A950,Receitas!$C:$C,P$1,Receitas!$M:$M,$B950)</f>
        <v>0</v>
      </c>
      <c r="Q950" s="18">
        <f>SUMIFS(Receitas!$F:$F,Receitas!$J:$J,"&lt;="&amp;$A950,Receitas!$L:$L,"&gt;="&amp;$A950,Receitas!$C:$C,Q$1,Receitas!$M:$M,"Mensal")+SUMIFS(Receitas!$F:$F,Receitas!$J:$J,"&lt;="&amp;$A950,Receitas!$L:$L,"&gt;="&amp;$A950,Receitas!$C:$C,Q$1,Receitas!$M:$M,$B950)</f>
        <v>0</v>
      </c>
      <c r="R950" s="18" cm="1">
        <f t="array" ref="R950">(IF(AND(Membros!$F$2="Sim",A950&lt;=MAX(Membros!$E$2:$E$5)),Membros!K$2,IF(AND(A950&gt;=Membros!J$2,A950&lt;=MAX(Membros!$E$2:$E$5)),Membros!K$2,0))+IF(AND(Membros!$F$3="Sim",A950&lt;=MAX(Membros!$E$2:$E$5)),Membros!K$3,IF(AND(A950&gt;=Membros!J$3,A950&lt;=MAX(Membros!$E$2:$E$5)),Membros!K$3,0)))*IF(AND(COUNTIFS(Tabela3[Tipo],"Provedor",Tabela3[Simulação Seguro],"Sim")=2,A950&gt;=MAX(IF(Tabela3[Tipo]="Dependente",Tabela3[Expectativa de Vida (Data)]))),0,1)</f>
        <v>0</v>
      </c>
      <c r="S950" s="18">
        <f t="shared" si="118"/>
        <v>0</v>
      </c>
      <c r="U950" s="18">
        <f t="shared" ca="1" si="121"/>
        <v>104788908.10383026</v>
      </c>
      <c r="V950" s="18">
        <f>SUMIF(Imóveis!E:E,Dados!A:A,Imóveis!Z:Z)-SUMIF(Imóveis!E:E,Dados!A:A,Imóveis!Y:Y)</f>
        <v>0</v>
      </c>
      <c r="W950" s="18">
        <f>-SUMIF(Projetos!N:N,A950,Projetos!F:F)</f>
        <v>0</v>
      </c>
      <c r="X950" s="18">
        <f t="shared" si="115"/>
        <v>0</v>
      </c>
      <c r="Y950" s="26">
        <f ca="1">(U950*((Indicadores_Economicos!D$2+1)^(1/12)-1))</f>
        <v>343051.61719269532</v>
      </c>
      <c r="Z950" s="18">
        <f t="shared" ca="1" si="119"/>
        <v>105131959.72102296</v>
      </c>
      <c r="AA950" s="18">
        <f ca="1">Auxiliar_Projetos!E950</f>
        <v>8.6662143395315572E-9</v>
      </c>
      <c r="AB950" s="18">
        <f ca="1">Auxiliar_Projetos!K950</f>
        <v>6.6663187227165814E-9</v>
      </c>
      <c r="AC950" s="18">
        <f ca="1">IF(Z950-AA950-AB950&gt;Investimentos!$C$14,Investimentos!$C$14,IF(Z950-AA950-AB950&lt;Investimentos!$C$14,Z950-AA950-AB950,0))</f>
        <v>300000</v>
      </c>
      <c r="AD950" s="18">
        <f t="shared" ca="1" si="120"/>
        <v>104831959.72102295</v>
      </c>
      <c r="AE950" s="18"/>
    </row>
    <row r="951" spans="1:31" x14ac:dyDescent="0.2">
      <c r="A951" s="4">
        <v>74542</v>
      </c>
      <c r="B951" s="5" t="str">
        <f t="shared" si="116"/>
        <v>fevereiro</v>
      </c>
      <c r="C951" s="5" t="str">
        <f t="shared" si="122"/>
        <v>2104</v>
      </c>
      <c r="D951" s="5">
        <f>SUMIFS(Despesas!$F:$F,Despesas!$J:$J,"&lt;="&amp;$A951,Despesas!$L:$L,"&gt;="&amp;$A951,Despesas!$C:$C,D$1,Despesas!$M:$M,"Mensal")+SUMIFS(Despesas!$F:$F,Despesas!$J:$J,"&lt;="&amp;$A951,Despesas!$L:$L,"&gt;="&amp;$A951,Despesas!$C:$C,D$1,Despesas!$M:$M,$B951)</f>
        <v>0</v>
      </c>
      <c r="E951" s="18">
        <f>SUMIFS(Despesas!$F:$F,Despesas!$J:$J,"&lt;="&amp;$A951,Despesas!$L:$L,"&gt;="&amp;$A951,Despesas!$C:$C,E$1,Despesas!$M:$M,"Mensal")+SUMIFS(Despesas!$F:$F,Despesas!$J:$J,"&lt;="&amp;$A951,Despesas!$L:$L,"&gt;="&amp;$A951,Despesas!$C:$C,E$1,Despesas!$M:$M,$B951)</f>
        <v>0</v>
      </c>
      <c r="F951" s="5">
        <f>SUMIFS(Despesas!$F:$F,Despesas!$J:$J,"&lt;="&amp;$A951,Despesas!$L:$L,"&gt;="&amp;$A951,Despesas!$C:$C,F$1,Despesas!$M:$M,"Mensal")+SUMIFS(Despesas!$F:$F,Despesas!$J:$J,"&lt;="&amp;$A951,Despesas!$L:$L,"&gt;="&amp;$A951,Despesas!$C:$C,F$1,Despesas!$M:$M,$B951)</f>
        <v>0</v>
      </c>
      <c r="G951" s="5">
        <f>SUMIFS(Despesas!$F:$F,Despesas!$J:$J,"&lt;="&amp;$A951,Despesas!$L:$L,"&gt;="&amp;$A951,Despesas!$C:$C,G$1,Despesas!$M:$M,"Mensal")+SUMIFS(Despesas!$F:$F,Despesas!$J:$J,"&lt;="&amp;$A951,Despesas!$L:$L,"&gt;="&amp;$A951,Despesas!$C:$C,G$1,Despesas!$M:$M,$B951)</f>
        <v>0</v>
      </c>
      <c r="H951" s="18">
        <f>SUMIFS(Despesas!$F:$F,Despesas!$J:$J,"&lt;="&amp;$A951,Despesas!$L:$L,"&gt;="&amp;$A951,Despesas!$C:$C,H$1,Despesas!$M:$M,"Mensal")+SUMIFS(Despesas!$F:$F,Despesas!$J:$J,"&lt;="&amp;$A951,Despesas!$L:$L,"&gt;="&amp;$A951,Despesas!$C:$C,H$1,Despesas!$M:$M,$B951)</f>
        <v>0</v>
      </c>
      <c r="I951" s="18">
        <f>IF(Imóveis!$F$2="PRICE",IF(AND(Dados!$A951&gt;=Imóveis!$Q$2,Dados!$A951&lt;=Imóveis!$T$2),Imóveis!$U$2,0),IF((IF(AND(Dados!$A951&gt;=Imóveis!$Q$2,Dados!$A951&lt;=Imóveis!$T$2),Imóveis!$S$2-(DATEDIF(Imóveis!$Q$2,Dados!$A951,"m")),0))=0,0,((Imóveis!$N$2/Imóveis!$S$2)+((Imóveis!$N$2-((Imóveis!$S$2-(IF(AND(Dados!$A951&gt;=Imóveis!$Q$2,Dados!$A951&lt;=Imóveis!$T$2),Imóveis!$S$2-(DATEDIF(Imóveis!$Q$2,Dados!$A951,"m")),)))*(Imóveis!$N$2/Imóveis!$S$2)))*Imóveis!$P$2))))*IF(AND(Imóveis!$E$2&gt;0,Dados!$A951&gt;Imóveis!$E$2),0,1)</f>
        <v>0</v>
      </c>
      <c r="J951" s="18">
        <f>IF(Imóveis!$F$3="PRICE",IF(AND(Dados!$A951&gt;=Imóveis!$Q$3,Dados!$A951&lt;=Imóveis!$T$3),Imóveis!$U$3,0),IF((IF(AND(Dados!$A951&gt;=Imóveis!$Q$3,Dados!$A951&lt;=Imóveis!$T$3),Imóveis!$S$3-(DATEDIF(Imóveis!$Q$3,Dados!$A951,"m")),0))=0,0,((Imóveis!$N$3/Imóveis!$S$3)+((Imóveis!$N$3-((Imóveis!$S$3-(IF(AND(Dados!$A951&gt;=Imóveis!$Q$3,Dados!$A951&lt;=Imóveis!$T$3),Imóveis!$S$3-(DATEDIF(Imóveis!$Q$3,Dados!$A951,"m")),)))*(Imóveis!$N$3/Imóveis!$S$3)))*Imóveis!$P$3))))*IF(AND(Imóveis!$E$3&gt;0,Dados!$A951&gt;Imóveis!$E$3),0,1)</f>
        <v>0</v>
      </c>
      <c r="K951" s="18">
        <f>IF(Imóveis!$F$4="PRICE",IF(AND(Dados!$A951&gt;=Imóveis!$Q$4,Dados!$A951&lt;=Imóveis!$T$4),Imóveis!$U$4,0),IF((IF(AND(Dados!$A951&gt;=Imóveis!$Q$4,Dados!$A951&lt;=Imóveis!$T$4),Imóveis!$S$4-(DATEDIF(Imóveis!$Q$4,Dados!$A951,"m")),0))=0,0,((Imóveis!$N$4/Imóveis!$S$4)+((Imóveis!$N$4-((Imóveis!$S$4-(IF(AND(Dados!$A951&gt;=Imóveis!$Q$4,Dados!$A951&lt;=Imóveis!$T$4),Imóveis!$S$4-(DATEDIF(Imóveis!$Q$4,Dados!$A951,"m")),)))*(Imóveis!$N$4/Imóveis!$S$4)))*Imóveis!$P$4))))*IF(AND(Imóveis!$E$4&gt;0,Dados!$A951&gt;Imóveis!$E$4),0,1)</f>
        <v>0</v>
      </c>
      <c r="L951" s="18">
        <f>IF(Imóveis!$F$5="PRICE",IF(AND(Dados!$A951&gt;=Imóveis!$Q$5,Dados!$A951&lt;=Imóveis!$T$5),Imóveis!$U$5,0),IF((IF(AND(Dados!$A951&gt;=Imóveis!$Q$5,Dados!$A951&lt;=Imóveis!$T$5),Imóveis!$S$5-(DATEDIF(Imóveis!$Q$5,Dados!$A951,"m")),0))=0,0,((Imóveis!$N$5/Imóveis!$S$5)+((Imóveis!$N$5-((Imóveis!$S$5-(IF(AND(Dados!$A951 &gt;=Imóveis!$Q$5,Dados!$A951&lt;=Imóveis!$T$5),Imóveis!$S$5-(DATEDIF(Imóveis!$Q$5,Dados!$A951,"m")),)))*(Imóveis!$N$5/Imóveis!$S$5)))*Imóveis!$P$5))))*IF(AND(Imóveis!$E$5&gt;0,Dados!$A951&gt;Imóveis!$E$5),0,1)*Imóveis!$I$5</f>
        <v>0</v>
      </c>
      <c r="M951" s="18">
        <f>IF(Imóveis!$F$6="PRICE",IF(AND(Dados!$A951&gt;=Imóveis!$Q$6,Dados!$A951&lt;=Imóveis!$T$6),Imóveis!$U$6,0),IF((IF(AND(Dados!$A951&gt;=Imóveis!$Q$6,Dados!$A951&lt;=Imóveis!$T$6),Imóveis!$S$6-(DATEDIF(Imóveis!$Q$6,Dados!$A951,"m")),0))=0,0,((Imóveis!$N$6/Imóveis!$S$6)+((Imóveis!$N$6-((Imóveis!$S$6-(IF(AND(Dados!$A951&gt;=Imóveis!$Q$6,Dados!$A951&lt;=Imóveis!$T$6),Imóveis!$S$6-(DATEDIF(Imóveis!$Q$6,Dados!$A951,"m")),)))*(Imóveis!$N$6/Imóveis!$S$6)))*Imóveis!$P$6))))*IF(AND(Imóveis!$E$6&gt;0,Dados!$A951&gt;Imóveis!$E$6),0,1)*Imóveis!$I$6</f>
        <v>0</v>
      </c>
      <c r="N951" s="18">
        <f t="shared" si="117"/>
        <v>0</v>
      </c>
      <c r="O951" s="18">
        <f>SUMIFS(Receitas!$F:$F,Receitas!$J:$J,"&lt;="&amp;$A951,Receitas!$L:$L,"&gt;="&amp;$A951,Receitas!$C:$C,O$1,Receitas!$M:$M,"Mensal")+SUMIFS(Receitas!$F:$F,Receitas!$J:$J,"&lt;="&amp;$A951,Receitas!$L:$L,"&gt;="&amp;$A951,Receitas!$C:$C,O$1,Receitas!$M:$M,$B951)</f>
        <v>0</v>
      </c>
      <c r="P951" s="18">
        <f>SUMIFS(Receitas!$F:$F,Receitas!$J:$J,"&lt;="&amp;$A951,Receitas!$L:$L,"&gt;="&amp;$A951,Receitas!$C:$C,P$1,Receitas!$M:$M,"Mensal")+SUMIFS(Receitas!$F:$F,Receitas!$J:$J,"&lt;="&amp;$A951,Receitas!$L:$L,"&gt;="&amp;$A951,Receitas!$C:$C,P$1,Receitas!$M:$M,$B951)</f>
        <v>0</v>
      </c>
      <c r="Q951" s="18">
        <f>SUMIFS(Receitas!$F:$F,Receitas!$J:$J,"&lt;="&amp;$A951,Receitas!$L:$L,"&gt;="&amp;$A951,Receitas!$C:$C,Q$1,Receitas!$M:$M,"Mensal")+SUMIFS(Receitas!$F:$F,Receitas!$J:$J,"&lt;="&amp;$A951,Receitas!$L:$L,"&gt;="&amp;$A951,Receitas!$C:$C,Q$1,Receitas!$M:$M,$B951)</f>
        <v>0</v>
      </c>
      <c r="R951" s="18" cm="1">
        <f t="array" ref="R951">(IF(AND(Membros!$F$2="Sim",A951&lt;=MAX(Membros!$E$2:$E$5)),Membros!K$2,IF(AND(A951&gt;=Membros!J$2,A951&lt;=MAX(Membros!$E$2:$E$5)),Membros!K$2,0))+IF(AND(Membros!$F$3="Sim",A951&lt;=MAX(Membros!$E$2:$E$5)),Membros!K$3,IF(AND(A951&gt;=Membros!J$3,A951&lt;=MAX(Membros!$E$2:$E$5)),Membros!K$3,0)))*IF(AND(COUNTIFS(Tabela3[Tipo],"Provedor",Tabela3[Simulação Seguro],"Sim")=2,A951&gt;=MAX(IF(Tabela3[Tipo]="Dependente",Tabela3[Expectativa de Vida (Data)]))),0,1)</f>
        <v>0</v>
      </c>
      <c r="S951" s="18">
        <f t="shared" si="118"/>
        <v>0</v>
      </c>
      <c r="U951" s="18">
        <f t="shared" ca="1" si="121"/>
        <v>105131959.72102296</v>
      </c>
      <c r="V951" s="18">
        <f>SUMIF(Imóveis!E:E,Dados!A:A,Imóveis!Z:Z)-SUMIF(Imóveis!E:E,Dados!A:A,Imóveis!Y:Y)</f>
        <v>0</v>
      </c>
      <c r="W951" s="18">
        <f>-SUMIF(Projetos!N:N,A951,Projetos!F:F)</f>
        <v>0</v>
      </c>
      <c r="X951" s="18">
        <f t="shared" si="115"/>
        <v>0</v>
      </c>
      <c r="Y951" s="26">
        <f ca="1">(U951*((Indicadores_Economicos!D$2+1)^(1/12)-1))</f>
        <v>344174.67891924677</v>
      </c>
      <c r="Z951" s="18">
        <f t="shared" ca="1" si="119"/>
        <v>105476134.3999422</v>
      </c>
      <c r="AA951" s="18">
        <f ca="1">Auxiliar_Projetos!E951</f>
        <v>8.6945852701759447E-9</v>
      </c>
      <c r="AB951" s="18">
        <f ca="1">Auxiliar_Projetos!K951</f>
        <v>6.6881425155199564E-9</v>
      </c>
      <c r="AC951" s="18">
        <f ca="1">IF(Z951-AA951-AB951&gt;Investimentos!$C$14,Investimentos!$C$14,IF(Z951-AA951-AB951&lt;Investimentos!$C$14,Z951-AA951-AB951,0))</f>
        <v>300000</v>
      </c>
      <c r="AD951" s="18">
        <f t="shared" ca="1" si="120"/>
        <v>105176134.39994219</v>
      </c>
      <c r="AE951" s="18"/>
    </row>
    <row r="952" spans="1:31" x14ac:dyDescent="0.2">
      <c r="A952" s="4">
        <v>74571</v>
      </c>
      <c r="B952" s="5" t="str">
        <f t="shared" si="116"/>
        <v>março</v>
      </c>
      <c r="C952" s="5" t="str">
        <f t="shared" si="122"/>
        <v>2104</v>
      </c>
      <c r="D952" s="5">
        <f>SUMIFS(Despesas!$F:$F,Despesas!$J:$J,"&lt;="&amp;$A952,Despesas!$L:$L,"&gt;="&amp;$A952,Despesas!$C:$C,D$1,Despesas!$M:$M,"Mensal")+SUMIFS(Despesas!$F:$F,Despesas!$J:$J,"&lt;="&amp;$A952,Despesas!$L:$L,"&gt;="&amp;$A952,Despesas!$C:$C,D$1,Despesas!$M:$M,$B952)</f>
        <v>0</v>
      </c>
      <c r="E952" s="18">
        <f>SUMIFS(Despesas!$F:$F,Despesas!$J:$J,"&lt;="&amp;$A952,Despesas!$L:$L,"&gt;="&amp;$A952,Despesas!$C:$C,E$1,Despesas!$M:$M,"Mensal")+SUMIFS(Despesas!$F:$F,Despesas!$J:$J,"&lt;="&amp;$A952,Despesas!$L:$L,"&gt;="&amp;$A952,Despesas!$C:$C,E$1,Despesas!$M:$M,$B952)</f>
        <v>0</v>
      </c>
      <c r="F952" s="5">
        <f>SUMIFS(Despesas!$F:$F,Despesas!$J:$J,"&lt;="&amp;$A952,Despesas!$L:$L,"&gt;="&amp;$A952,Despesas!$C:$C,F$1,Despesas!$M:$M,"Mensal")+SUMIFS(Despesas!$F:$F,Despesas!$J:$J,"&lt;="&amp;$A952,Despesas!$L:$L,"&gt;="&amp;$A952,Despesas!$C:$C,F$1,Despesas!$M:$M,$B952)</f>
        <v>0</v>
      </c>
      <c r="G952" s="5">
        <f>SUMIFS(Despesas!$F:$F,Despesas!$J:$J,"&lt;="&amp;$A952,Despesas!$L:$L,"&gt;="&amp;$A952,Despesas!$C:$C,G$1,Despesas!$M:$M,"Mensal")+SUMIFS(Despesas!$F:$F,Despesas!$J:$J,"&lt;="&amp;$A952,Despesas!$L:$L,"&gt;="&amp;$A952,Despesas!$C:$C,G$1,Despesas!$M:$M,$B952)</f>
        <v>0</v>
      </c>
      <c r="H952" s="18">
        <f>SUMIFS(Despesas!$F:$F,Despesas!$J:$J,"&lt;="&amp;$A952,Despesas!$L:$L,"&gt;="&amp;$A952,Despesas!$C:$C,H$1,Despesas!$M:$M,"Mensal")+SUMIFS(Despesas!$F:$F,Despesas!$J:$J,"&lt;="&amp;$A952,Despesas!$L:$L,"&gt;="&amp;$A952,Despesas!$C:$C,H$1,Despesas!$M:$M,$B952)</f>
        <v>0</v>
      </c>
      <c r="I952" s="18">
        <f>IF(Imóveis!$F$2="PRICE",IF(AND(Dados!$A952&gt;=Imóveis!$Q$2,Dados!$A952&lt;=Imóveis!$T$2),Imóveis!$U$2,0),IF((IF(AND(Dados!$A952&gt;=Imóveis!$Q$2,Dados!$A952&lt;=Imóveis!$T$2),Imóveis!$S$2-(DATEDIF(Imóveis!$Q$2,Dados!$A952,"m")),0))=0,0,((Imóveis!$N$2/Imóveis!$S$2)+((Imóveis!$N$2-((Imóveis!$S$2-(IF(AND(Dados!$A952&gt;=Imóveis!$Q$2,Dados!$A952&lt;=Imóveis!$T$2),Imóveis!$S$2-(DATEDIF(Imóveis!$Q$2,Dados!$A952,"m")),)))*(Imóveis!$N$2/Imóveis!$S$2)))*Imóveis!$P$2))))*IF(AND(Imóveis!$E$2&gt;0,Dados!$A952&gt;Imóveis!$E$2),0,1)</f>
        <v>0</v>
      </c>
      <c r="J952" s="18">
        <f>IF(Imóveis!$F$3="PRICE",IF(AND(Dados!$A952&gt;=Imóveis!$Q$3,Dados!$A952&lt;=Imóveis!$T$3),Imóveis!$U$3,0),IF((IF(AND(Dados!$A952&gt;=Imóveis!$Q$3,Dados!$A952&lt;=Imóveis!$T$3),Imóveis!$S$3-(DATEDIF(Imóveis!$Q$3,Dados!$A952,"m")),0))=0,0,((Imóveis!$N$3/Imóveis!$S$3)+((Imóveis!$N$3-((Imóveis!$S$3-(IF(AND(Dados!$A952&gt;=Imóveis!$Q$3,Dados!$A952&lt;=Imóveis!$T$3),Imóveis!$S$3-(DATEDIF(Imóveis!$Q$3,Dados!$A952,"m")),)))*(Imóveis!$N$3/Imóveis!$S$3)))*Imóveis!$P$3))))*IF(AND(Imóveis!$E$3&gt;0,Dados!$A952&gt;Imóveis!$E$3),0,1)</f>
        <v>0</v>
      </c>
      <c r="K952" s="18">
        <f>IF(Imóveis!$F$4="PRICE",IF(AND(Dados!$A952&gt;=Imóveis!$Q$4,Dados!$A952&lt;=Imóveis!$T$4),Imóveis!$U$4,0),IF((IF(AND(Dados!$A952&gt;=Imóveis!$Q$4,Dados!$A952&lt;=Imóveis!$T$4),Imóveis!$S$4-(DATEDIF(Imóveis!$Q$4,Dados!$A952,"m")),0))=0,0,((Imóveis!$N$4/Imóveis!$S$4)+((Imóveis!$N$4-((Imóveis!$S$4-(IF(AND(Dados!$A952&gt;=Imóveis!$Q$4,Dados!$A952&lt;=Imóveis!$T$4),Imóveis!$S$4-(DATEDIF(Imóveis!$Q$4,Dados!$A952,"m")),)))*(Imóveis!$N$4/Imóveis!$S$4)))*Imóveis!$P$4))))*IF(AND(Imóveis!$E$4&gt;0,Dados!$A952&gt;Imóveis!$E$4),0,1)</f>
        <v>0</v>
      </c>
      <c r="L952" s="18">
        <f>IF(Imóveis!$F$5="PRICE",IF(AND(Dados!$A952&gt;=Imóveis!$Q$5,Dados!$A952&lt;=Imóveis!$T$5),Imóveis!$U$5,0),IF((IF(AND(Dados!$A952&gt;=Imóveis!$Q$5,Dados!$A952&lt;=Imóveis!$T$5),Imóveis!$S$5-(DATEDIF(Imóveis!$Q$5,Dados!$A952,"m")),0))=0,0,((Imóveis!$N$5/Imóveis!$S$5)+((Imóveis!$N$5-((Imóveis!$S$5-(IF(AND(Dados!$A952 &gt;=Imóveis!$Q$5,Dados!$A952&lt;=Imóveis!$T$5),Imóveis!$S$5-(DATEDIF(Imóveis!$Q$5,Dados!$A952,"m")),)))*(Imóveis!$N$5/Imóveis!$S$5)))*Imóveis!$P$5))))*IF(AND(Imóveis!$E$5&gt;0,Dados!$A952&gt;Imóveis!$E$5),0,1)*Imóveis!$I$5</f>
        <v>0</v>
      </c>
      <c r="M952" s="18">
        <f>IF(Imóveis!$F$6="PRICE",IF(AND(Dados!$A952&gt;=Imóveis!$Q$6,Dados!$A952&lt;=Imóveis!$T$6),Imóveis!$U$6,0),IF((IF(AND(Dados!$A952&gt;=Imóveis!$Q$6,Dados!$A952&lt;=Imóveis!$T$6),Imóveis!$S$6-(DATEDIF(Imóveis!$Q$6,Dados!$A952,"m")),0))=0,0,((Imóveis!$N$6/Imóveis!$S$6)+((Imóveis!$N$6-((Imóveis!$S$6-(IF(AND(Dados!$A952&gt;=Imóveis!$Q$6,Dados!$A952&lt;=Imóveis!$T$6),Imóveis!$S$6-(DATEDIF(Imóveis!$Q$6,Dados!$A952,"m")),)))*(Imóveis!$N$6/Imóveis!$S$6)))*Imóveis!$P$6))))*IF(AND(Imóveis!$E$6&gt;0,Dados!$A952&gt;Imóveis!$E$6),0,1)*Imóveis!$I$6</f>
        <v>0</v>
      </c>
      <c r="N952" s="18">
        <f t="shared" si="117"/>
        <v>0</v>
      </c>
      <c r="O952" s="18">
        <f>SUMIFS(Receitas!$F:$F,Receitas!$J:$J,"&lt;="&amp;$A952,Receitas!$L:$L,"&gt;="&amp;$A952,Receitas!$C:$C,O$1,Receitas!$M:$M,"Mensal")+SUMIFS(Receitas!$F:$F,Receitas!$J:$J,"&lt;="&amp;$A952,Receitas!$L:$L,"&gt;="&amp;$A952,Receitas!$C:$C,O$1,Receitas!$M:$M,$B952)</f>
        <v>0</v>
      </c>
      <c r="P952" s="18">
        <f>SUMIFS(Receitas!$F:$F,Receitas!$J:$J,"&lt;="&amp;$A952,Receitas!$L:$L,"&gt;="&amp;$A952,Receitas!$C:$C,P$1,Receitas!$M:$M,"Mensal")+SUMIFS(Receitas!$F:$F,Receitas!$J:$J,"&lt;="&amp;$A952,Receitas!$L:$L,"&gt;="&amp;$A952,Receitas!$C:$C,P$1,Receitas!$M:$M,$B952)</f>
        <v>0</v>
      </c>
      <c r="Q952" s="18">
        <f>SUMIFS(Receitas!$F:$F,Receitas!$J:$J,"&lt;="&amp;$A952,Receitas!$L:$L,"&gt;="&amp;$A952,Receitas!$C:$C,Q$1,Receitas!$M:$M,"Mensal")+SUMIFS(Receitas!$F:$F,Receitas!$J:$J,"&lt;="&amp;$A952,Receitas!$L:$L,"&gt;="&amp;$A952,Receitas!$C:$C,Q$1,Receitas!$M:$M,$B952)</f>
        <v>0</v>
      </c>
      <c r="R952" s="18" cm="1">
        <f t="array" ref="R952">(IF(AND(Membros!$F$2="Sim",A952&lt;=MAX(Membros!$E$2:$E$5)),Membros!K$2,IF(AND(A952&gt;=Membros!J$2,A952&lt;=MAX(Membros!$E$2:$E$5)),Membros!K$2,0))+IF(AND(Membros!$F$3="Sim",A952&lt;=MAX(Membros!$E$2:$E$5)),Membros!K$3,IF(AND(A952&gt;=Membros!J$3,A952&lt;=MAX(Membros!$E$2:$E$5)),Membros!K$3,0)))*IF(AND(COUNTIFS(Tabela3[Tipo],"Provedor",Tabela3[Simulação Seguro],"Sim")=2,A952&gt;=MAX(IF(Tabela3[Tipo]="Dependente",Tabela3[Expectativa de Vida (Data)]))),0,1)</f>
        <v>0</v>
      </c>
      <c r="S952" s="18">
        <f t="shared" si="118"/>
        <v>0</v>
      </c>
      <c r="U952" s="18">
        <f t="shared" ca="1" si="121"/>
        <v>105476134.3999422</v>
      </c>
      <c r="V952" s="18">
        <f>SUMIF(Imóveis!E:E,Dados!A:A,Imóveis!Z:Z)-SUMIF(Imóveis!E:E,Dados!A:A,Imóveis!Y:Y)</f>
        <v>0</v>
      </c>
      <c r="W952" s="18">
        <f>-SUMIF(Projetos!N:N,A952,Projetos!F:F)</f>
        <v>0</v>
      </c>
      <c r="X952" s="18">
        <f t="shared" si="115"/>
        <v>0</v>
      </c>
      <c r="Y952" s="26">
        <f ca="1">(U952*((Indicadores_Economicos!D$2+1)^(1/12)-1))</f>
        <v>345301.41725765023</v>
      </c>
      <c r="Z952" s="18">
        <f t="shared" ca="1" si="119"/>
        <v>105821435.81719986</v>
      </c>
      <c r="AA952" s="18">
        <f ca="1">Auxiliar_Projetos!E952</f>
        <v>8.723049079864641E-9</v>
      </c>
      <c r="AB952" s="18">
        <f ca="1">Auxiliar_Projetos!K952</f>
        <v>6.7100377537420301E-9</v>
      </c>
      <c r="AC952" s="18">
        <f ca="1">IF(Z952-AA952-AB952&gt;Investimentos!$C$14,Investimentos!$C$14,IF(Z952-AA952-AB952&lt;Investimentos!$C$14,Z952-AA952-AB952,0))</f>
        <v>300000</v>
      </c>
      <c r="AD952" s="18">
        <f t="shared" ca="1" si="120"/>
        <v>105521435.81719984</v>
      </c>
      <c r="AE952" s="18"/>
    </row>
    <row r="953" spans="1:31" x14ac:dyDescent="0.2">
      <c r="A953" s="4">
        <v>74602</v>
      </c>
      <c r="B953" s="5" t="str">
        <f t="shared" si="116"/>
        <v>abril</v>
      </c>
      <c r="C953" s="5" t="str">
        <f t="shared" si="122"/>
        <v>2104</v>
      </c>
      <c r="D953" s="5">
        <f>SUMIFS(Despesas!$F:$F,Despesas!$J:$J,"&lt;="&amp;$A953,Despesas!$L:$L,"&gt;="&amp;$A953,Despesas!$C:$C,D$1,Despesas!$M:$M,"Mensal")+SUMIFS(Despesas!$F:$F,Despesas!$J:$J,"&lt;="&amp;$A953,Despesas!$L:$L,"&gt;="&amp;$A953,Despesas!$C:$C,D$1,Despesas!$M:$M,$B953)</f>
        <v>0</v>
      </c>
      <c r="E953" s="18">
        <f>SUMIFS(Despesas!$F:$F,Despesas!$J:$J,"&lt;="&amp;$A953,Despesas!$L:$L,"&gt;="&amp;$A953,Despesas!$C:$C,E$1,Despesas!$M:$M,"Mensal")+SUMIFS(Despesas!$F:$F,Despesas!$J:$J,"&lt;="&amp;$A953,Despesas!$L:$L,"&gt;="&amp;$A953,Despesas!$C:$C,E$1,Despesas!$M:$M,$B953)</f>
        <v>0</v>
      </c>
      <c r="F953" s="5">
        <f>SUMIFS(Despesas!$F:$F,Despesas!$J:$J,"&lt;="&amp;$A953,Despesas!$L:$L,"&gt;="&amp;$A953,Despesas!$C:$C,F$1,Despesas!$M:$M,"Mensal")+SUMIFS(Despesas!$F:$F,Despesas!$J:$J,"&lt;="&amp;$A953,Despesas!$L:$L,"&gt;="&amp;$A953,Despesas!$C:$C,F$1,Despesas!$M:$M,$B953)</f>
        <v>0</v>
      </c>
      <c r="G953" s="5">
        <f>SUMIFS(Despesas!$F:$F,Despesas!$J:$J,"&lt;="&amp;$A953,Despesas!$L:$L,"&gt;="&amp;$A953,Despesas!$C:$C,G$1,Despesas!$M:$M,"Mensal")+SUMIFS(Despesas!$F:$F,Despesas!$J:$J,"&lt;="&amp;$A953,Despesas!$L:$L,"&gt;="&amp;$A953,Despesas!$C:$C,G$1,Despesas!$M:$M,$B953)</f>
        <v>0</v>
      </c>
      <c r="H953" s="18">
        <f>SUMIFS(Despesas!$F:$F,Despesas!$J:$J,"&lt;="&amp;$A953,Despesas!$L:$L,"&gt;="&amp;$A953,Despesas!$C:$C,H$1,Despesas!$M:$M,"Mensal")+SUMIFS(Despesas!$F:$F,Despesas!$J:$J,"&lt;="&amp;$A953,Despesas!$L:$L,"&gt;="&amp;$A953,Despesas!$C:$C,H$1,Despesas!$M:$M,$B953)</f>
        <v>0</v>
      </c>
      <c r="I953" s="18">
        <f>IF(Imóveis!$F$2="PRICE",IF(AND(Dados!$A953&gt;=Imóveis!$Q$2,Dados!$A953&lt;=Imóveis!$T$2),Imóveis!$U$2,0),IF((IF(AND(Dados!$A953&gt;=Imóveis!$Q$2,Dados!$A953&lt;=Imóveis!$T$2),Imóveis!$S$2-(DATEDIF(Imóveis!$Q$2,Dados!$A953,"m")),0))=0,0,((Imóveis!$N$2/Imóveis!$S$2)+((Imóveis!$N$2-((Imóveis!$S$2-(IF(AND(Dados!$A953&gt;=Imóveis!$Q$2,Dados!$A953&lt;=Imóveis!$T$2),Imóveis!$S$2-(DATEDIF(Imóveis!$Q$2,Dados!$A953,"m")),)))*(Imóveis!$N$2/Imóveis!$S$2)))*Imóveis!$P$2))))*IF(AND(Imóveis!$E$2&gt;0,Dados!$A953&gt;Imóveis!$E$2),0,1)</f>
        <v>0</v>
      </c>
      <c r="J953" s="18">
        <f>IF(Imóveis!$F$3="PRICE",IF(AND(Dados!$A953&gt;=Imóveis!$Q$3,Dados!$A953&lt;=Imóveis!$T$3),Imóveis!$U$3,0),IF((IF(AND(Dados!$A953&gt;=Imóveis!$Q$3,Dados!$A953&lt;=Imóveis!$T$3),Imóveis!$S$3-(DATEDIF(Imóveis!$Q$3,Dados!$A953,"m")),0))=0,0,((Imóveis!$N$3/Imóveis!$S$3)+((Imóveis!$N$3-((Imóveis!$S$3-(IF(AND(Dados!$A953&gt;=Imóveis!$Q$3,Dados!$A953&lt;=Imóveis!$T$3),Imóveis!$S$3-(DATEDIF(Imóveis!$Q$3,Dados!$A953,"m")),)))*(Imóveis!$N$3/Imóveis!$S$3)))*Imóveis!$P$3))))*IF(AND(Imóveis!$E$3&gt;0,Dados!$A953&gt;Imóveis!$E$3),0,1)</f>
        <v>0</v>
      </c>
      <c r="K953" s="18">
        <f>IF(Imóveis!$F$4="PRICE",IF(AND(Dados!$A953&gt;=Imóveis!$Q$4,Dados!$A953&lt;=Imóveis!$T$4),Imóveis!$U$4,0),IF((IF(AND(Dados!$A953&gt;=Imóveis!$Q$4,Dados!$A953&lt;=Imóveis!$T$4),Imóveis!$S$4-(DATEDIF(Imóveis!$Q$4,Dados!$A953,"m")),0))=0,0,((Imóveis!$N$4/Imóveis!$S$4)+((Imóveis!$N$4-((Imóveis!$S$4-(IF(AND(Dados!$A953&gt;=Imóveis!$Q$4,Dados!$A953&lt;=Imóveis!$T$4),Imóveis!$S$4-(DATEDIF(Imóveis!$Q$4,Dados!$A953,"m")),)))*(Imóveis!$N$4/Imóveis!$S$4)))*Imóveis!$P$4))))*IF(AND(Imóveis!$E$4&gt;0,Dados!$A953&gt;Imóveis!$E$4),0,1)</f>
        <v>0</v>
      </c>
      <c r="L953" s="18">
        <f>IF(Imóveis!$F$5="PRICE",IF(AND(Dados!$A953&gt;=Imóveis!$Q$5,Dados!$A953&lt;=Imóveis!$T$5),Imóveis!$U$5,0),IF((IF(AND(Dados!$A953&gt;=Imóveis!$Q$5,Dados!$A953&lt;=Imóveis!$T$5),Imóveis!$S$5-(DATEDIF(Imóveis!$Q$5,Dados!$A953,"m")),0))=0,0,((Imóveis!$N$5/Imóveis!$S$5)+((Imóveis!$N$5-((Imóveis!$S$5-(IF(AND(Dados!$A953 &gt;=Imóveis!$Q$5,Dados!$A953&lt;=Imóveis!$T$5),Imóveis!$S$5-(DATEDIF(Imóveis!$Q$5,Dados!$A953,"m")),)))*(Imóveis!$N$5/Imóveis!$S$5)))*Imóveis!$P$5))))*IF(AND(Imóveis!$E$5&gt;0,Dados!$A953&gt;Imóveis!$E$5),0,1)*Imóveis!$I$5</f>
        <v>0</v>
      </c>
      <c r="M953" s="18">
        <f>IF(Imóveis!$F$6="PRICE",IF(AND(Dados!$A953&gt;=Imóveis!$Q$6,Dados!$A953&lt;=Imóveis!$T$6),Imóveis!$U$6,0),IF((IF(AND(Dados!$A953&gt;=Imóveis!$Q$6,Dados!$A953&lt;=Imóveis!$T$6),Imóveis!$S$6-(DATEDIF(Imóveis!$Q$6,Dados!$A953,"m")),0))=0,0,((Imóveis!$N$6/Imóveis!$S$6)+((Imóveis!$N$6-((Imóveis!$S$6-(IF(AND(Dados!$A953&gt;=Imóveis!$Q$6,Dados!$A953&lt;=Imóveis!$T$6),Imóveis!$S$6-(DATEDIF(Imóveis!$Q$6,Dados!$A953,"m")),)))*(Imóveis!$N$6/Imóveis!$S$6)))*Imóveis!$P$6))))*IF(AND(Imóveis!$E$6&gt;0,Dados!$A953&gt;Imóveis!$E$6),0,1)*Imóveis!$I$6</f>
        <v>0</v>
      </c>
      <c r="N953" s="18">
        <f t="shared" si="117"/>
        <v>0</v>
      </c>
      <c r="O953" s="18">
        <f>SUMIFS(Receitas!$F:$F,Receitas!$J:$J,"&lt;="&amp;$A953,Receitas!$L:$L,"&gt;="&amp;$A953,Receitas!$C:$C,O$1,Receitas!$M:$M,"Mensal")+SUMIFS(Receitas!$F:$F,Receitas!$J:$J,"&lt;="&amp;$A953,Receitas!$L:$L,"&gt;="&amp;$A953,Receitas!$C:$C,O$1,Receitas!$M:$M,$B953)</f>
        <v>0</v>
      </c>
      <c r="P953" s="18">
        <f>SUMIFS(Receitas!$F:$F,Receitas!$J:$J,"&lt;="&amp;$A953,Receitas!$L:$L,"&gt;="&amp;$A953,Receitas!$C:$C,P$1,Receitas!$M:$M,"Mensal")+SUMIFS(Receitas!$F:$F,Receitas!$J:$J,"&lt;="&amp;$A953,Receitas!$L:$L,"&gt;="&amp;$A953,Receitas!$C:$C,P$1,Receitas!$M:$M,$B953)</f>
        <v>0</v>
      </c>
      <c r="Q953" s="18">
        <f>SUMIFS(Receitas!$F:$F,Receitas!$J:$J,"&lt;="&amp;$A953,Receitas!$L:$L,"&gt;="&amp;$A953,Receitas!$C:$C,Q$1,Receitas!$M:$M,"Mensal")+SUMIFS(Receitas!$F:$F,Receitas!$J:$J,"&lt;="&amp;$A953,Receitas!$L:$L,"&gt;="&amp;$A953,Receitas!$C:$C,Q$1,Receitas!$M:$M,$B953)</f>
        <v>0</v>
      </c>
      <c r="R953" s="18" cm="1">
        <f t="array" ref="R953">(IF(AND(Membros!$F$2="Sim",A953&lt;=MAX(Membros!$E$2:$E$5)),Membros!K$2,IF(AND(A953&gt;=Membros!J$2,A953&lt;=MAX(Membros!$E$2:$E$5)),Membros!K$2,0))+IF(AND(Membros!$F$3="Sim",A953&lt;=MAX(Membros!$E$2:$E$5)),Membros!K$3,IF(AND(A953&gt;=Membros!J$3,A953&lt;=MAX(Membros!$E$2:$E$5)),Membros!K$3,0)))*IF(AND(COUNTIFS(Tabela3[Tipo],"Provedor",Tabela3[Simulação Seguro],"Sim")=2,A953&gt;=MAX(IF(Tabela3[Tipo]="Dependente",Tabela3[Expectativa de Vida (Data)]))),0,1)</f>
        <v>0</v>
      </c>
      <c r="S953" s="18">
        <f t="shared" si="118"/>
        <v>0</v>
      </c>
      <c r="U953" s="18">
        <f t="shared" ca="1" si="121"/>
        <v>105821435.81719986</v>
      </c>
      <c r="V953" s="18">
        <f>SUMIF(Imóveis!E:E,Dados!A:A,Imóveis!Z:Z)-SUMIF(Imóveis!E:E,Dados!A:A,Imóveis!Y:Y)</f>
        <v>0</v>
      </c>
      <c r="W953" s="18">
        <f>-SUMIF(Projetos!N:N,A953,Projetos!F:F)</f>
        <v>0</v>
      </c>
      <c r="X953" s="18">
        <f t="shared" si="115"/>
        <v>0</v>
      </c>
      <c r="Y953" s="26">
        <f ca="1">(U953*((Indicadores_Economicos!D$2+1)^(1/12)-1))</f>
        <v>346431.84424417629</v>
      </c>
      <c r="Z953" s="18">
        <f t="shared" ca="1" si="119"/>
        <v>106167867.66144404</v>
      </c>
      <c r="AA953" s="18">
        <f ca="1">Auxiliar_Projetos!E953</f>
        <v>8.7516060726594669E-9</v>
      </c>
      <c r="AB953" s="18">
        <f ca="1">Auxiliar_Projetos!K953</f>
        <v>6.7320046712765124E-9</v>
      </c>
      <c r="AC953" s="18">
        <f ca="1">IF(Z953-AA953-AB953&gt;Investimentos!$C$14,Investimentos!$C$14,IF(Z953-AA953-AB953&lt;Investimentos!$C$14,Z953-AA953-AB953,0))</f>
        <v>300000</v>
      </c>
      <c r="AD953" s="18">
        <f t="shared" ca="1" si="120"/>
        <v>105867867.66144402</v>
      </c>
      <c r="AE953" s="18"/>
    </row>
    <row r="954" spans="1:31" x14ac:dyDescent="0.2">
      <c r="A954" s="4">
        <v>74632</v>
      </c>
      <c r="B954" s="5" t="str">
        <f t="shared" si="116"/>
        <v>maio</v>
      </c>
      <c r="C954" s="5" t="str">
        <f t="shared" si="122"/>
        <v>2104</v>
      </c>
      <c r="D954" s="5">
        <f>SUMIFS(Despesas!$F:$F,Despesas!$J:$J,"&lt;="&amp;$A954,Despesas!$L:$L,"&gt;="&amp;$A954,Despesas!$C:$C,D$1,Despesas!$M:$M,"Mensal")+SUMIFS(Despesas!$F:$F,Despesas!$J:$J,"&lt;="&amp;$A954,Despesas!$L:$L,"&gt;="&amp;$A954,Despesas!$C:$C,D$1,Despesas!$M:$M,$B954)</f>
        <v>0</v>
      </c>
      <c r="E954" s="18">
        <f>SUMIFS(Despesas!$F:$F,Despesas!$J:$J,"&lt;="&amp;$A954,Despesas!$L:$L,"&gt;="&amp;$A954,Despesas!$C:$C,E$1,Despesas!$M:$M,"Mensal")+SUMIFS(Despesas!$F:$F,Despesas!$J:$J,"&lt;="&amp;$A954,Despesas!$L:$L,"&gt;="&amp;$A954,Despesas!$C:$C,E$1,Despesas!$M:$M,$B954)</f>
        <v>0</v>
      </c>
      <c r="F954" s="5">
        <f>SUMIFS(Despesas!$F:$F,Despesas!$J:$J,"&lt;="&amp;$A954,Despesas!$L:$L,"&gt;="&amp;$A954,Despesas!$C:$C,F$1,Despesas!$M:$M,"Mensal")+SUMIFS(Despesas!$F:$F,Despesas!$J:$J,"&lt;="&amp;$A954,Despesas!$L:$L,"&gt;="&amp;$A954,Despesas!$C:$C,F$1,Despesas!$M:$M,$B954)</f>
        <v>0</v>
      </c>
      <c r="G954" s="5">
        <f>SUMIFS(Despesas!$F:$F,Despesas!$J:$J,"&lt;="&amp;$A954,Despesas!$L:$L,"&gt;="&amp;$A954,Despesas!$C:$C,G$1,Despesas!$M:$M,"Mensal")+SUMIFS(Despesas!$F:$F,Despesas!$J:$J,"&lt;="&amp;$A954,Despesas!$L:$L,"&gt;="&amp;$A954,Despesas!$C:$C,G$1,Despesas!$M:$M,$B954)</f>
        <v>0</v>
      </c>
      <c r="H954" s="18">
        <f>SUMIFS(Despesas!$F:$F,Despesas!$J:$J,"&lt;="&amp;$A954,Despesas!$L:$L,"&gt;="&amp;$A954,Despesas!$C:$C,H$1,Despesas!$M:$M,"Mensal")+SUMIFS(Despesas!$F:$F,Despesas!$J:$J,"&lt;="&amp;$A954,Despesas!$L:$L,"&gt;="&amp;$A954,Despesas!$C:$C,H$1,Despesas!$M:$M,$B954)</f>
        <v>0</v>
      </c>
      <c r="I954" s="18">
        <f>IF(Imóveis!$F$2="PRICE",IF(AND(Dados!$A954&gt;=Imóveis!$Q$2,Dados!$A954&lt;=Imóveis!$T$2),Imóveis!$U$2,0),IF((IF(AND(Dados!$A954&gt;=Imóveis!$Q$2,Dados!$A954&lt;=Imóveis!$T$2),Imóveis!$S$2-(DATEDIF(Imóveis!$Q$2,Dados!$A954,"m")),0))=0,0,((Imóveis!$N$2/Imóveis!$S$2)+((Imóveis!$N$2-((Imóveis!$S$2-(IF(AND(Dados!$A954&gt;=Imóveis!$Q$2,Dados!$A954&lt;=Imóveis!$T$2),Imóveis!$S$2-(DATEDIF(Imóveis!$Q$2,Dados!$A954,"m")),)))*(Imóveis!$N$2/Imóveis!$S$2)))*Imóveis!$P$2))))*IF(AND(Imóveis!$E$2&gt;0,Dados!$A954&gt;Imóveis!$E$2),0,1)</f>
        <v>0</v>
      </c>
      <c r="J954" s="18">
        <f>IF(Imóveis!$F$3="PRICE",IF(AND(Dados!$A954&gt;=Imóveis!$Q$3,Dados!$A954&lt;=Imóveis!$T$3),Imóveis!$U$3,0),IF((IF(AND(Dados!$A954&gt;=Imóveis!$Q$3,Dados!$A954&lt;=Imóveis!$T$3),Imóveis!$S$3-(DATEDIF(Imóveis!$Q$3,Dados!$A954,"m")),0))=0,0,((Imóveis!$N$3/Imóveis!$S$3)+((Imóveis!$N$3-((Imóveis!$S$3-(IF(AND(Dados!$A954&gt;=Imóveis!$Q$3,Dados!$A954&lt;=Imóveis!$T$3),Imóveis!$S$3-(DATEDIF(Imóveis!$Q$3,Dados!$A954,"m")),)))*(Imóveis!$N$3/Imóveis!$S$3)))*Imóveis!$P$3))))*IF(AND(Imóveis!$E$3&gt;0,Dados!$A954&gt;Imóveis!$E$3),0,1)</f>
        <v>0</v>
      </c>
      <c r="K954" s="18">
        <f>IF(Imóveis!$F$4="PRICE",IF(AND(Dados!$A954&gt;=Imóveis!$Q$4,Dados!$A954&lt;=Imóveis!$T$4),Imóveis!$U$4,0),IF((IF(AND(Dados!$A954&gt;=Imóveis!$Q$4,Dados!$A954&lt;=Imóveis!$T$4),Imóveis!$S$4-(DATEDIF(Imóveis!$Q$4,Dados!$A954,"m")),0))=0,0,((Imóveis!$N$4/Imóveis!$S$4)+((Imóveis!$N$4-((Imóveis!$S$4-(IF(AND(Dados!$A954&gt;=Imóveis!$Q$4,Dados!$A954&lt;=Imóveis!$T$4),Imóveis!$S$4-(DATEDIF(Imóveis!$Q$4,Dados!$A954,"m")),)))*(Imóveis!$N$4/Imóveis!$S$4)))*Imóveis!$P$4))))*IF(AND(Imóveis!$E$4&gt;0,Dados!$A954&gt;Imóveis!$E$4),0,1)</f>
        <v>0</v>
      </c>
      <c r="L954" s="18">
        <f>IF(Imóveis!$F$5="PRICE",IF(AND(Dados!$A954&gt;=Imóveis!$Q$5,Dados!$A954&lt;=Imóveis!$T$5),Imóveis!$U$5,0),IF((IF(AND(Dados!$A954&gt;=Imóveis!$Q$5,Dados!$A954&lt;=Imóveis!$T$5),Imóveis!$S$5-(DATEDIF(Imóveis!$Q$5,Dados!$A954,"m")),0))=0,0,((Imóveis!$N$5/Imóveis!$S$5)+((Imóveis!$N$5-((Imóveis!$S$5-(IF(AND(Dados!$A954 &gt;=Imóveis!$Q$5,Dados!$A954&lt;=Imóveis!$T$5),Imóveis!$S$5-(DATEDIF(Imóveis!$Q$5,Dados!$A954,"m")),)))*(Imóveis!$N$5/Imóveis!$S$5)))*Imóveis!$P$5))))*IF(AND(Imóveis!$E$5&gt;0,Dados!$A954&gt;Imóveis!$E$5),0,1)*Imóveis!$I$5</f>
        <v>0</v>
      </c>
      <c r="M954" s="18">
        <f>IF(Imóveis!$F$6="PRICE",IF(AND(Dados!$A954&gt;=Imóveis!$Q$6,Dados!$A954&lt;=Imóveis!$T$6),Imóveis!$U$6,0),IF((IF(AND(Dados!$A954&gt;=Imóveis!$Q$6,Dados!$A954&lt;=Imóveis!$T$6),Imóveis!$S$6-(DATEDIF(Imóveis!$Q$6,Dados!$A954,"m")),0))=0,0,((Imóveis!$N$6/Imóveis!$S$6)+((Imóveis!$N$6-((Imóveis!$S$6-(IF(AND(Dados!$A954&gt;=Imóveis!$Q$6,Dados!$A954&lt;=Imóveis!$T$6),Imóveis!$S$6-(DATEDIF(Imóveis!$Q$6,Dados!$A954,"m")),)))*(Imóveis!$N$6/Imóveis!$S$6)))*Imóveis!$P$6))))*IF(AND(Imóveis!$E$6&gt;0,Dados!$A954&gt;Imóveis!$E$6),0,1)*Imóveis!$I$6</f>
        <v>0</v>
      </c>
      <c r="N954" s="18">
        <f t="shared" si="117"/>
        <v>0</v>
      </c>
      <c r="O954" s="18">
        <f>SUMIFS(Receitas!$F:$F,Receitas!$J:$J,"&lt;="&amp;$A954,Receitas!$L:$L,"&gt;="&amp;$A954,Receitas!$C:$C,O$1,Receitas!$M:$M,"Mensal")+SUMIFS(Receitas!$F:$F,Receitas!$J:$J,"&lt;="&amp;$A954,Receitas!$L:$L,"&gt;="&amp;$A954,Receitas!$C:$C,O$1,Receitas!$M:$M,$B954)</f>
        <v>0</v>
      </c>
      <c r="P954" s="18">
        <f>SUMIFS(Receitas!$F:$F,Receitas!$J:$J,"&lt;="&amp;$A954,Receitas!$L:$L,"&gt;="&amp;$A954,Receitas!$C:$C,P$1,Receitas!$M:$M,"Mensal")+SUMIFS(Receitas!$F:$F,Receitas!$J:$J,"&lt;="&amp;$A954,Receitas!$L:$L,"&gt;="&amp;$A954,Receitas!$C:$C,P$1,Receitas!$M:$M,$B954)</f>
        <v>0</v>
      </c>
      <c r="Q954" s="18">
        <f>SUMIFS(Receitas!$F:$F,Receitas!$J:$J,"&lt;="&amp;$A954,Receitas!$L:$L,"&gt;="&amp;$A954,Receitas!$C:$C,Q$1,Receitas!$M:$M,"Mensal")+SUMIFS(Receitas!$F:$F,Receitas!$J:$J,"&lt;="&amp;$A954,Receitas!$L:$L,"&gt;="&amp;$A954,Receitas!$C:$C,Q$1,Receitas!$M:$M,$B954)</f>
        <v>0</v>
      </c>
      <c r="R954" s="18" cm="1">
        <f t="array" ref="R954">(IF(AND(Membros!$F$2="Sim",A954&lt;=MAX(Membros!$E$2:$E$5)),Membros!K$2,IF(AND(A954&gt;=Membros!J$2,A954&lt;=MAX(Membros!$E$2:$E$5)),Membros!K$2,0))+IF(AND(Membros!$F$3="Sim",A954&lt;=MAX(Membros!$E$2:$E$5)),Membros!K$3,IF(AND(A954&gt;=Membros!J$3,A954&lt;=MAX(Membros!$E$2:$E$5)),Membros!K$3,0)))*IF(AND(COUNTIFS(Tabela3[Tipo],"Provedor",Tabela3[Simulação Seguro],"Sim")=2,A954&gt;=MAX(IF(Tabela3[Tipo]="Dependente",Tabela3[Expectativa de Vida (Data)]))),0,1)</f>
        <v>0</v>
      </c>
      <c r="S954" s="18">
        <f t="shared" si="118"/>
        <v>0</v>
      </c>
      <c r="U954" s="18">
        <f t="shared" ca="1" si="121"/>
        <v>106167867.66144404</v>
      </c>
      <c r="V954" s="18">
        <f>SUMIF(Imóveis!E:E,Dados!A:A,Imóveis!Z:Z)-SUMIF(Imóveis!E:E,Dados!A:A,Imóveis!Y:Y)</f>
        <v>0</v>
      </c>
      <c r="W954" s="18">
        <f>-SUMIF(Projetos!N:N,A954,Projetos!F:F)</f>
        <v>0</v>
      </c>
      <c r="X954" s="18">
        <f t="shared" si="115"/>
        <v>0</v>
      </c>
      <c r="Y954" s="26">
        <f ca="1">(U954*((Indicadores_Economicos!D$2+1)^(1/12)-1))</f>
        <v>347565.97195449896</v>
      </c>
      <c r="Z954" s="18">
        <f t="shared" ca="1" si="119"/>
        <v>106515433.63339853</v>
      </c>
      <c r="AA954" s="18">
        <f ca="1">Auxiliar_Projetos!E954</f>
        <v>8.7802565536176659E-9</v>
      </c>
      <c r="AB954" s="18">
        <f ca="1">Auxiliar_Projetos!K954</f>
        <v>6.7540435027828195E-9</v>
      </c>
      <c r="AC954" s="18">
        <f ca="1">IF(Z954-AA954-AB954&gt;Investimentos!$C$14,Investimentos!$C$14,IF(Z954-AA954-AB954&lt;Investimentos!$C$14,Z954-AA954-AB954,0))</f>
        <v>300000</v>
      </c>
      <c r="AD954" s="18">
        <f t="shared" ca="1" si="120"/>
        <v>106215433.63339852</v>
      </c>
      <c r="AE954" s="18"/>
    </row>
    <row r="955" spans="1:31" x14ac:dyDescent="0.2">
      <c r="A955" s="4">
        <v>74663</v>
      </c>
      <c r="B955" s="5" t="str">
        <f t="shared" si="116"/>
        <v>junho</v>
      </c>
      <c r="C955" s="5" t="str">
        <f t="shared" si="122"/>
        <v>2104</v>
      </c>
      <c r="D955" s="5">
        <f>SUMIFS(Despesas!$F:$F,Despesas!$J:$J,"&lt;="&amp;$A955,Despesas!$L:$L,"&gt;="&amp;$A955,Despesas!$C:$C,D$1,Despesas!$M:$M,"Mensal")+SUMIFS(Despesas!$F:$F,Despesas!$J:$J,"&lt;="&amp;$A955,Despesas!$L:$L,"&gt;="&amp;$A955,Despesas!$C:$C,D$1,Despesas!$M:$M,$B955)</f>
        <v>0</v>
      </c>
      <c r="E955" s="18">
        <f>SUMIFS(Despesas!$F:$F,Despesas!$J:$J,"&lt;="&amp;$A955,Despesas!$L:$L,"&gt;="&amp;$A955,Despesas!$C:$C,E$1,Despesas!$M:$M,"Mensal")+SUMIFS(Despesas!$F:$F,Despesas!$J:$J,"&lt;="&amp;$A955,Despesas!$L:$L,"&gt;="&amp;$A955,Despesas!$C:$C,E$1,Despesas!$M:$M,$B955)</f>
        <v>0</v>
      </c>
      <c r="F955" s="5">
        <f>SUMIFS(Despesas!$F:$F,Despesas!$J:$J,"&lt;="&amp;$A955,Despesas!$L:$L,"&gt;="&amp;$A955,Despesas!$C:$C,F$1,Despesas!$M:$M,"Mensal")+SUMIFS(Despesas!$F:$F,Despesas!$J:$J,"&lt;="&amp;$A955,Despesas!$L:$L,"&gt;="&amp;$A955,Despesas!$C:$C,F$1,Despesas!$M:$M,$B955)</f>
        <v>0</v>
      </c>
      <c r="G955" s="5">
        <f>SUMIFS(Despesas!$F:$F,Despesas!$J:$J,"&lt;="&amp;$A955,Despesas!$L:$L,"&gt;="&amp;$A955,Despesas!$C:$C,G$1,Despesas!$M:$M,"Mensal")+SUMIFS(Despesas!$F:$F,Despesas!$J:$J,"&lt;="&amp;$A955,Despesas!$L:$L,"&gt;="&amp;$A955,Despesas!$C:$C,G$1,Despesas!$M:$M,$B955)</f>
        <v>0</v>
      </c>
      <c r="H955" s="18">
        <f>SUMIFS(Despesas!$F:$F,Despesas!$J:$J,"&lt;="&amp;$A955,Despesas!$L:$L,"&gt;="&amp;$A955,Despesas!$C:$C,H$1,Despesas!$M:$M,"Mensal")+SUMIFS(Despesas!$F:$F,Despesas!$J:$J,"&lt;="&amp;$A955,Despesas!$L:$L,"&gt;="&amp;$A955,Despesas!$C:$C,H$1,Despesas!$M:$M,$B955)</f>
        <v>0</v>
      </c>
      <c r="I955" s="18">
        <f>IF(Imóveis!$F$2="PRICE",IF(AND(Dados!$A955&gt;=Imóveis!$Q$2,Dados!$A955&lt;=Imóveis!$T$2),Imóveis!$U$2,0),IF((IF(AND(Dados!$A955&gt;=Imóveis!$Q$2,Dados!$A955&lt;=Imóveis!$T$2),Imóveis!$S$2-(DATEDIF(Imóveis!$Q$2,Dados!$A955,"m")),0))=0,0,((Imóveis!$N$2/Imóveis!$S$2)+((Imóveis!$N$2-((Imóveis!$S$2-(IF(AND(Dados!$A955&gt;=Imóveis!$Q$2,Dados!$A955&lt;=Imóveis!$T$2),Imóveis!$S$2-(DATEDIF(Imóveis!$Q$2,Dados!$A955,"m")),)))*(Imóveis!$N$2/Imóveis!$S$2)))*Imóveis!$P$2))))*IF(AND(Imóveis!$E$2&gt;0,Dados!$A955&gt;Imóveis!$E$2),0,1)</f>
        <v>0</v>
      </c>
      <c r="J955" s="18">
        <f>IF(Imóveis!$F$3="PRICE",IF(AND(Dados!$A955&gt;=Imóveis!$Q$3,Dados!$A955&lt;=Imóveis!$T$3),Imóveis!$U$3,0),IF((IF(AND(Dados!$A955&gt;=Imóveis!$Q$3,Dados!$A955&lt;=Imóveis!$T$3),Imóveis!$S$3-(DATEDIF(Imóveis!$Q$3,Dados!$A955,"m")),0))=0,0,((Imóveis!$N$3/Imóveis!$S$3)+((Imóveis!$N$3-((Imóveis!$S$3-(IF(AND(Dados!$A955&gt;=Imóveis!$Q$3,Dados!$A955&lt;=Imóveis!$T$3),Imóveis!$S$3-(DATEDIF(Imóveis!$Q$3,Dados!$A955,"m")),)))*(Imóveis!$N$3/Imóveis!$S$3)))*Imóveis!$P$3))))*IF(AND(Imóveis!$E$3&gt;0,Dados!$A955&gt;Imóveis!$E$3),0,1)</f>
        <v>0</v>
      </c>
      <c r="K955" s="18">
        <f>IF(Imóveis!$F$4="PRICE",IF(AND(Dados!$A955&gt;=Imóveis!$Q$4,Dados!$A955&lt;=Imóveis!$T$4),Imóveis!$U$4,0),IF((IF(AND(Dados!$A955&gt;=Imóveis!$Q$4,Dados!$A955&lt;=Imóveis!$T$4),Imóveis!$S$4-(DATEDIF(Imóveis!$Q$4,Dados!$A955,"m")),0))=0,0,((Imóveis!$N$4/Imóveis!$S$4)+((Imóveis!$N$4-((Imóveis!$S$4-(IF(AND(Dados!$A955&gt;=Imóveis!$Q$4,Dados!$A955&lt;=Imóveis!$T$4),Imóveis!$S$4-(DATEDIF(Imóveis!$Q$4,Dados!$A955,"m")),)))*(Imóveis!$N$4/Imóveis!$S$4)))*Imóveis!$P$4))))*IF(AND(Imóveis!$E$4&gt;0,Dados!$A955&gt;Imóveis!$E$4),0,1)</f>
        <v>0</v>
      </c>
      <c r="L955" s="18">
        <f>IF(Imóveis!$F$5="PRICE",IF(AND(Dados!$A955&gt;=Imóveis!$Q$5,Dados!$A955&lt;=Imóveis!$T$5),Imóveis!$U$5,0),IF((IF(AND(Dados!$A955&gt;=Imóveis!$Q$5,Dados!$A955&lt;=Imóveis!$T$5),Imóveis!$S$5-(DATEDIF(Imóveis!$Q$5,Dados!$A955,"m")),0))=0,0,((Imóveis!$N$5/Imóveis!$S$5)+((Imóveis!$N$5-((Imóveis!$S$5-(IF(AND(Dados!$A955 &gt;=Imóveis!$Q$5,Dados!$A955&lt;=Imóveis!$T$5),Imóveis!$S$5-(DATEDIF(Imóveis!$Q$5,Dados!$A955,"m")),)))*(Imóveis!$N$5/Imóveis!$S$5)))*Imóveis!$P$5))))*IF(AND(Imóveis!$E$5&gt;0,Dados!$A955&gt;Imóveis!$E$5),0,1)*Imóveis!$I$5</f>
        <v>0</v>
      </c>
      <c r="M955" s="18">
        <f>IF(Imóveis!$F$6="PRICE",IF(AND(Dados!$A955&gt;=Imóveis!$Q$6,Dados!$A955&lt;=Imóveis!$T$6),Imóveis!$U$6,0),IF((IF(AND(Dados!$A955&gt;=Imóveis!$Q$6,Dados!$A955&lt;=Imóveis!$T$6),Imóveis!$S$6-(DATEDIF(Imóveis!$Q$6,Dados!$A955,"m")),0))=0,0,((Imóveis!$N$6/Imóveis!$S$6)+((Imóveis!$N$6-((Imóveis!$S$6-(IF(AND(Dados!$A955&gt;=Imóveis!$Q$6,Dados!$A955&lt;=Imóveis!$T$6),Imóveis!$S$6-(DATEDIF(Imóveis!$Q$6,Dados!$A955,"m")),)))*(Imóveis!$N$6/Imóveis!$S$6)))*Imóveis!$P$6))))*IF(AND(Imóveis!$E$6&gt;0,Dados!$A955&gt;Imóveis!$E$6),0,1)*Imóveis!$I$6</f>
        <v>0</v>
      </c>
      <c r="N955" s="18">
        <f t="shared" si="117"/>
        <v>0</v>
      </c>
      <c r="O955" s="18">
        <f>SUMIFS(Receitas!$F:$F,Receitas!$J:$J,"&lt;="&amp;$A955,Receitas!$L:$L,"&gt;="&amp;$A955,Receitas!$C:$C,O$1,Receitas!$M:$M,"Mensal")+SUMIFS(Receitas!$F:$F,Receitas!$J:$J,"&lt;="&amp;$A955,Receitas!$L:$L,"&gt;="&amp;$A955,Receitas!$C:$C,O$1,Receitas!$M:$M,$B955)</f>
        <v>0</v>
      </c>
      <c r="P955" s="18">
        <f>SUMIFS(Receitas!$F:$F,Receitas!$J:$J,"&lt;="&amp;$A955,Receitas!$L:$L,"&gt;="&amp;$A955,Receitas!$C:$C,P$1,Receitas!$M:$M,"Mensal")+SUMIFS(Receitas!$F:$F,Receitas!$J:$J,"&lt;="&amp;$A955,Receitas!$L:$L,"&gt;="&amp;$A955,Receitas!$C:$C,P$1,Receitas!$M:$M,$B955)</f>
        <v>0</v>
      </c>
      <c r="Q955" s="18">
        <f>SUMIFS(Receitas!$F:$F,Receitas!$J:$J,"&lt;="&amp;$A955,Receitas!$L:$L,"&gt;="&amp;$A955,Receitas!$C:$C,Q$1,Receitas!$M:$M,"Mensal")+SUMIFS(Receitas!$F:$F,Receitas!$J:$J,"&lt;="&amp;$A955,Receitas!$L:$L,"&gt;="&amp;$A955,Receitas!$C:$C,Q$1,Receitas!$M:$M,$B955)</f>
        <v>0</v>
      </c>
      <c r="R955" s="18" cm="1">
        <f t="array" ref="R955">(IF(AND(Membros!$F$2="Sim",A955&lt;=MAX(Membros!$E$2:$E$5)),Membros!K$2,IF(AND(A955&gt;=Membros!J$2,A955&lt;=MAX(Membros!$E$2:$E$5)),Membros!K$2,0))+IF(AND(Membros!$F$3="Sim",A955&lt;=MAX(Membros!$E$2:$E$5)),Membros!K$3,IF(AND(A955&gt;=Membros!J$3,A955&lt;=MAX(Membros!$E$2:$E$5)),Membros!K$3,0)))*IF(AND(COUNTIFS(Tabela3[Tipo],"Provedor",Tabela3[Simulação Seguro],"Sim")=2,A955&gt;=MAX(IF(Tabela3[Tipo]="Dependente",Tabela3[Expectativa de Vida (Data)]))),0,1)</f>
        <v>0</v>
      </c>
      <c r="S955" s="18">
        <f t="shared" si="118"/>
        <v>0</v>
      </c>
      <c r="U955" s="18">
        <f t="shared" ca="1" si="121"/>
        <v>106515433.63339853</v>
      </c>
      <c r="V955" s="18">
        <f>SUMIF(Imóveis!E:E,Dados!A:A,Imóveis!Z:Z)-SUMIF(Imóveis!E:E,Dados!A:A,Imóveis!Y:Y)</f>
        <v>0</v>
      </c>
      <c r="W955" s="18">
        <f>-SUMIF(Projetos!N:N,A955,Projetos!F:F)</f>
        <v>0</v>
      </c>
      <c r="X955" s="18">
        <f t="shared" si="115"/>
        <v>0</v>
      </c>
      <c r="Y955" s="26">
        <f ca="1">(U955*((Indicadores_Economicos!D$2+1)^(1/12)-1))</f>
        <v>348703.81250382506</v>
      </c>
      <c r="Z955" s="18">
        <f t="shared" ca="1" si="119"/>
        <v>106864137.44590236</v>
      </c>
      <c r="AA955" s="18">
        <f ca="1">Auxiliar_Projetos!E955</f>
        <v>8.8090008287951563E-9</v>
      </c>
      <c r="AB955" s="18">
        <f ca="1">Auxiliar_Projetos!K955</f>
        <v>6.7761544836885817E-9</v>
      </c>
      <c r="AC955" s="18">
        <f ca="1">IF(Z955-AA955-AB955&gt;Investimentos!$C$14,Investimentos!$C$14,IF(Z955-AA955-AB955&lt;Investimentos!$C$14,Z955-AA955-AB955,0))</f>
        <v>300000</v>
      </c>
      <c r="AD955" s="18">
        <f t="shared" ca="1" si="120"/>
        <v>106564137.44590235</v>
      </c>
      <c r="AE955" s="18"/>
    </row>
    <row r="956" spans="1:31" x14ac:dyDescent="0.2">
      <c r="A956" s="4">
        <v>74693</v>
      </c>
      <c r="B956" s="5" t="str">
        <f t="shared" si="116"/>
        <v>julho</v>
      </c>
      <c r="C956" s="5" t="str">
        <f t="shared" si="122"/>
        <v>2104</v>
      </c>
      <c r="D956" s="5">
        <f>SUMIFS(Despesas!$F:$F,Despesas!$J:$J,"&lt;="&amp;$A956,Despesas!$L:$L,"&gt;="&amp;$A956,Despesas!$C:$C,D$1,Despesas!$M:$M,"Mensal")+SUMIFS(Despesas!$F:$F,Despesas!$J:$J,"&lt;="&amp;$A956,Despesas!$L:$L,"&gt;="&amp;$A956,Despesas!$C:$C,D$1,Despesas!$M:$M,$B956)</f>
        <v>0</v>
      </c>
      <c r="E956" s="18">
        <f>SUMIFS(Despesas!$F:$F,Despesas!$J:$J,"&lt;="&amp;$A956,Despesas!$L:$L,"&gt;="&amp;$A956,Despesas!$C:$C,E$1,Despesas!$M:$M,"Mensal")+SUMIFS(Despesas!$F:$F,Despesas!$J:$J,"&lt;="&amp;$A956,Despesas!$L:$L,"&gt;="&amp;$A956,Despesas!$C:$C,E$1,Despesas!$M:$M,$B956)</f>
        <v>0</v>
      </c>
      <c r="F956" s="5">
        <f>SUMIFS(Despesas!$F:$F,Despesas!$J:$J,"&lt;="&amp;$A956,Despesas!$L:$L,"&gt;="&amp;$A956,Despesas!$C:$C,F$1,Despesas!$M:$M,"Mensal")+SUMIFS(Despesas!$F:$F,Despesas!$J:$J,"&lt;="&amp;$A956,Despesas!$L:$L,"&gt;="&amp;$A956,Despesas!$C:$C,F$1,Despesas!$M:$M,$B956)</f>
        <v>0</v>
      </c>
      <c r="G956" s="5">
        <f>SUMIFS(Despesas!$F:$F,Despesas!$J:$J,"&lt;="&amp;$A956,Despesas!$L:$L,"&gt;="&amp;$A956,Despesas!$C:$C,G$1,Despesas!$M:$M,"Mensal")+SUMIFS(Despesas!$F:$F,Despesas!$J:$J,"&lt;="&amp;$A956,Despesas!$L:$L,"&gt;="&amp;$A956,Despesas!$C:$C,G$1,Despesas!$M:$M,$B956)</f>
        <v>0</v>
      </c>
      <c r="H956" s="18">
        <f>SUMIFS(Despesas!$F:$F,Despesas!$J:$J,"&lt;="&amp;$A956,Despesas!$L:$L,"&gt;="&amp;$A956,Despesas!$C:$C,H$1,Despesas!$M:$M,"Mensal")+SUMIFS(Despesas!$F:$F,Despesas!$J:$J,"&lt;="&amp;$A956,Despesas!$L:$L,"&gt;="&amp;$A956,Despesas!$C:$C,H$1,Despesas!$M:$M,$B956)</f>
        <v>0</v>
      </c>
      <c r="I956" s="18">
        <f>IF(Imóveis!$F$2="PRICE",IF(AND(Dados!$A956&gt;=Imóveis!$Q$2,Dados!$A956&lt;=Imóveis!$T$2),Imóveis!$U$2,0),IF((IF(AND(Dados!$A956&gt;=Imóveis!$Q$2,Dados!$A956&lt;=Imóveis!$T$2),Imóveis!$S$2-(DATEDIF(Imóveis!$Q$2,Dados!$A956,"m")),0))=0,0,((Imóveis!$N$2/Imóveis!$S$2)+((Imóveis!$N$2-((Imóveis!$S$2-(IF(AND(Dados!$A956&gt;=Imóveis!$Q$2,Dados!$A956&lt;=Imóveis!$T$2),Imóveis!$S$2-(DATEDIF(Imóveis!$Q$2,Dados!$A956,"m")),)))*(Imóveis!$N$2/Imóveis!$S$2)))*Imóveis!$P$2))))*IF(AND(Imóveis!$E$2&gt;0,Dados!$A956&gt;Imóveis!$E$2),0,1)</f>
        <v>0</v>
      </c>
      <c r="J956" s="18">
        <f>IF(Imóveis!$F$3="PRICE",IF(AND(Dados!$A956&gt;=Imóveis!$Q$3,Dados!$A956&lt;=Imóveis!$T$3),Imóveis!$U$3,0),IF((IF(AND(Dados!$A956&gt;=Imóveis!$Q$3,Dados!$A956&lt;=Imóveis!$T$3),Imóveis!$S$3-(DATEDIF(Imóveis!$Q$3,Dados!$A956,"m")),0))=0,0,((Imóveis!$N$3/Imóveis!$S$3)+((Imóveis!$N$3-((Imóveis!$S$3-(IF(AND(Dados!$A956&gt;=Imóveis!$Q$3,Dados!$A956&lt;=Imóveis!$T$3),Imóveis!$S$3-(DATEDIF(Imóveis!$Q$3,Dados!$A956,"m")),)))*(Imóveis!$N$3/Imóveis!$S$3)))*Imóveis!$P$3))))*IF(AND(Imóveis!$E$3&gt;0,Dados!$A956&gt;Imóveis!$E$3),0,1)</f>
        <v>0</v>
      </c>
      <c r="K956" s="18">
        <f>IF(Imóveis!$F$4="PRICE",IF(AND(Dados!$A956&gt;=Imóveis!$Q$4,Dados!$A956&lt;=Imóveis!$T$4),Imóveis!$U$4,0),IF((IF(AND(Dados!$A956&gt;=Imóveis!$Q$4,Dados!$A956&lt;=Imóveis!$T$4),Imóveis!$S$4-(DATEDIF(Imóveis!$Q$4,Dados!$A956,"m")),0))=0,0,((Imóveis!$N$4/Imóveis!$S$4)+((Imóveis!$N$4-((Imóveis!$S$4-(IF(AND(Dados!$A956&gt;=Imóveis!$Q$4,Dados!$A956&lt;=Imóveis!$T$4),Imóveis!$S$4-(DATEDIF(Imóveis!$Q$4,Dados!$A956,"m")),)))*(Imóveis!$N$4/Imóveis!$S$4)))*Imóveis!$P$4))))*IF(AND(Imóveis!$E$4&gt;0,Dados!$A956&gt;Imóveis!$E$4),0,1)</f>
        <v>0</v>
      </c>
      <c r="L956" s="18">
        <f>IF(Imóveis!$F$5="PRICE",IF(AND(Dados!$A956&gt;=Imóveis!$Q$5,Dados!$A956&lt;=Imóveis!$T$5),Imóveis!$U$5,0),IF((IF(AND(Dados!$A956&gt;=Imóveis!$Q$5,Dados!$A956&lt;=Imóveis!$T$5),Imóveis!$S$5-(DATEDIF(Imóveis!$Q$5,Dados!$A956,"m")),0))=0,0,((Imóveis!$N$5/Imóveis!$S$5)+((Imóveis!$N$5-((Imóveis!$S$5-(IF(AND(Dados!$A956 &gt;=Imóveis!$Q$5,Dados!$A956&lt;=Imóveis!$T$5),Imóveis!$S$5-(DATEDIF(Imóveis!$Q$5,Dados!$A956,"m")),)))*(Imóveis!$N$5/Imóveis!$S$5)))*Imóveis!$P$5))))*IF(AND(Imóveis!$E$5&gt;0,Dados!$A956&gt;Imóveis!$E$5),0,1)*Imóveis!$I$5</f>
        <v>0</v>
      </c>
      <c r="M956" s="18">
        <f>IF(Imóveis!$F$6="PRICE",IF(AND(Dados!$A956&gt;=Imóveis!$Q$6,Dados!$A956&lt;=Imóveis!$T$6),Imóveis!$U$6,0),IF((IF(AND(Dados!$A956&gt;=Imóveis!$Q$6,Dados!$A956&lt;=Imóveis!$T$6),Imóveis!$S$6-(DATEDIF(Imóveis!$Q$6,Dados!$A956,"m")),0))=0,0,((Imóveis!$N$6/Imóveis!$S$6)+((Imóveis!$N$6-((Imóveis!$S$6-(IF(AND(Dados!$A956&gt;=Imóveis!$Q$6,Dados!$A956&lt;=Imóveis!$T$6),Imóveis!$S$6-(DATEDIF(Imóveis!$Q$6,Dados!$A956,"m")),)))*(Imóveis!$N$6/Imóveis!$S$6)))*Imóveis!$P$6))))*IF(AND(Imóveis!$E$6&gt;0,Dados!$A956&gt;Imóveis!$E$6),0,1)*Imóveis!$I$6</f>
        <v>0</v>
      </c>
      <c r="N956" s="18">
        <f t="shared" si="117"/>
        <v>0</v>
      </c>
      <c r="O956" s="18">
        <f>SUMIFS(Receitas!$F:$F,Receitas!$J:$J,"&lt;="&amp;$A956,Receitas!$L:$L,"&gt;="&amp;$A956,Receitas!$C:$C,O$1,Receitas!$M:$M,"Mensal")+SUMIFS(Receitas!$F:$F,Receitas!$J:$J,"&lt;="&amp;$A956,Receitas!$L:$L,"&gt;="&amp;$A956,Receitas!$C:$C,O$1,Receitas!$M:$M,$B956)</f>
        <v>0</v>
      </c>
      <c r="P956" s="18">
        <f>SUMIFS(Receitas!$F:$F,Receitas!$J:$J,"&lt;="&amp;$A956,Receitas!$L:$L,"&gt;="&amp;$A956,Receitas!$C:$C,P$1,Receitas!$M:$M,"Mensal")+SUMIFS(Receitas!$F:$F,Receitas!$J:$J,"&lt;="&amp;$A956,Receitas!$L:$L,"&gt;="&amp;$A956,Receitas!$C:$C,P$1,Receitas!$M:$M,$B956)</f>
        <v>0</v>
      </c>
      <c r="Q956" s="18">
        <f>SUMIFS(Receitas!$F:$F,Receitas!$J:$J,"&lt;="&amp;$A956,Receitas!$L:$L,"&gt;="&amp;$A956,Receitas!$C:$C,Q$1,Receitas!$M:$M,"Mensal")+SUMIFS(Receitas!$F:$F,Receitas!$J:$J,"&lt;="&amp;$A956,Receitas!$L:$L,"&gt;="&amp;$A956,Receitas!$C:$C,Q$1,Receitas!$M:$M,$B956)</f>
        <v>0</v>
      </c>
      <c r="R956" s="18" cm="1">
        <f t="array" ref="R956">(IF(AND(Membros!$F$2="Sim",A956&lt;=MAX(Membros!$E$2:$E$5)),Membros!K$2,IF(AND(A956&gt;=Membros!J$2,A956&lt;=MAX(Membros!$E$2:$E$5)),Membros!K$2,0))+IF(AND(Membros!$F$3="Sim",A956&lt;=MAX(Membros!$E$2:$E$5)),Membros!K$3,IF(AND(A956&gt;=Membros!J$3,A956&lt;=MAX(Membros!$E$2:$E$5)),Membros!K$3,0)))*IF(AND(COUNTIFS(Tabela3[Tipo],"Provedor",Tabela3[Simulação Seguro],"Sim")=2,A956&gt;=MAX(IF(Tabela3[Tipo]="Dependente",Tabela3[Expectativa de Vida (Data)]))),0,1)</f>
        <v>0</v>
      </c>
      <c r="S956" s="18">
        <f t="shared" si="118"/>
        <v>0</v>
      </c>
      <c r="U956" s="18">
        <f t="shared" ca="1" si="121"/>
        <v>106864137.44590236</v>
      </c>
      <c r="V956" s="18">
        <f>SUMIF(Imóveis!E:E,Dados!A:A,Imóveis!Z:Z)-SUMIF(Imóveis!E:E,Dados!A:A,Imóveis!Y:Y)</f>
        <v>0</v>
      </c>
      <c r="W956" s="18">
        <f>-SUMIF(Projetos!N:N,A956,Projetos!F:F)</f>
        <v>0</v>
      </c>
      <c r="X956" s="18">
        <f t="shared" si="115"/>
        <v>0</v>
      </c>
      <c r="Y956" s="26">
        <f ca="1">(U956*((Indicadores_Economicos!D$2+1)^(1/12)-1))</f>
        <v>349845.37804702326</v>
      </c>
      <c r="Z956" s="18">
        <f t="shared" ca="1" si="119"/>
        <v>107213982.82394938</v>
      </c>
      <c r="AA956" s="18">
        <f ca="1">Auxiliar_Projetos!E956</f>
        <v>8.8378392052498055E-9</v>
      </c>
      <c r="AB956" s="18">
        <f ca="1">Auxiliar_Projetos!K956</f>
        <v>6.7983378501921582E-9</v>
      </c>
      <c r="AC956" s="18">
        <f ca="1">IF(Z956-AA956-AB956&gt;Investimentos!$C$14,Investimentos!$C$14,IF(Z956-AA956-AB956&lt;Investimentos!$C$14,Z956-AA956-AB956,0))</f>
        <v>300000</v>
      </c>
      <c r="AD956" s="18">
        <f t="shared" ca="1" si="120"/>
        <v>106913982.82394937</v>
      </c>
      <c r="AE956" s="18"/>
    </row>
    <row r="957" spans="1:31" x14ac:dyDescent="0.2">
      <c r="A957" s="4">
        <v>74724</v>
      </c>
      <c r="B957" s="5" t="str">
        <f t="shared" si="116"/>
        <v>agosto</v>
      </c>
      <c r="C957" s="5" t="str">
        <f t="shared" si="122"/>
        <v>2104</v>
      </c>
      <c r="D957" s="5">
        <f>SUMIFS(Despesas!$F:$F,Despesas!$J:$J,"&lt;="&amp;$A957,Despesas!$L:$L,"&gt;="&amp;$A957,Despesas!$C:$C,D$1,Despesas!$M:$M,"Mensal")+SUMIFS(Despesas!$F:$F,Despesas!$J:$J,"&lt;="&amp;$A957,Despesas!$L:$L,"&gt;="&amp;$A957,Despesas!$C:$C,D$1,Despesas!$M:$M,$B957)</f>
        <v>0</v>
      </c>
      <c r="E957" s="18">
        <f>SUMIFS(Despesas!$F:$F,Despesas!$J:$J,"&lt;="&amp;$A957,Despesas!$L:$L,"&gt;="&amp;$A957,Despesas!$C:$C,E$1,Despesas!$M:$M,"Mensal")+SUMIFS(Despesas!$F:$F,Despesas!$J:$J,"&lt;="&amp;$A957,Despesas!$L:$L,"&gt;="&amp;$A957,Despesas!$C:$C,E$1,Despesas!$M:$M,$B957)</f>
        <v>0</v>
      </c>
      <c r="F957" s="5">
        <f>SUMIFS(Despesas!$F:$F,Despesas!$J:$J,"&lt;="&amp;$A957,Despesas!$L:$L,"&gt;="&amp;$A957,Despesas!$C:$C,F$1,Despesas!$M:$M,"Mensal")+SUMIFS(Despesas!$F:$F,Despesas!$J:$J,"&lt;="&amp;$A957,Despesas!$L:$L,"&gt;="&amp;$A957,Despesas!$C:$C,F$1,Despesas!$M:$M,$B957)</f>
        <v>0</v>
      </c>
      <c r="G957" s="5">
        <f>SUMIFS(Despesas!$F:$F,Despesas!$J:$J,"&lt;="&amp;$A957,Despesas!$L:$L,"&gt;="&amp;$A957,Despesas!$C:$C,G$1,Despesas!$M:$M,"Mensal")+SUMIFS(Despesas!$F:$F,Despesas!$J:$J,"&lt;="&amp;$A957,Despesas!$L:$L,"&gt;="&amp;$A957,Despesas!$C:$C,G$1,Despesas!$M:$M,$B957)</f>
        <v>0</v>
      </c>
      <c r="H957" s="18">
        <f>SUMIFS(Despesas!$F:$F,Despesas!$J:$J,"&lt;="&amp;$A957,Despesas!$L:$L,"&gt;="&amp;$A957,Despesas!$C:$C,H$1,Despesas!$M:$M,"Mensal")+SUMIFS(Despesas!$F:$F,Despesas!$J:$J,"&lt;="&amp;$A957,Despesas!$L:$L,"&gt;="&amp;$A957,Despesas!$C:$C,H$1,Despesas!$M:$M,$B957)</f>
        <v>0</v>
      </c>
      <c r="I957" s="18">
        <f>IF(Imóveis!$F$2="PRICE",IF(AND(Dados!$A957&gt;=Imóveis!$Q$2,Dados!$A957&lt;=Imóveis!$T$2),Imóveis!$U$2,0),IF((IF(AND(Dados!$A957&gt;=Imóveis!$Q$2,Dados!$A957&lt;=Imóveis!$T$2),Imóveis!$S$2-(DATEDIF(Imóveis!$Q$2,Dados!$A957,"m")),0))=0,0,((Imóveis!$N$2/Imóveis!$S$2)+((Imóveis!$N$2-((Imóveis!$S$2-(IF(AND(Dados!$A957&gt;=Imóveis!$Q$2,Dados!$A957&lt;=Imóveis!$T$2),Imóveis!$S$2-(DATEDIF(Imóveis!$Q$2,Dados!$A957,"m")),)))*(Imóveis!$N$2/Imóveis!$S$2)))*Imóveis!$P$2))))*IF(AND(Imóveis!$E$2&gt;0,Dados!$A957&gt;Imóveis!$E$2),0,1)</f>
        <v>0</v>
      </c>
      <c r="J957" s="18">
        <f>IF(Imóveis!$F$3="PRICE",IF(AND(Dados!$A957&gt;=Imóveis!$Q$3,Dados!$A957&lt;=Imóveis!$T$3),Imóveis!$U$3,0),IF((IF(AND(Dados!$A957&gt;=Imóveis!$Q$3,Dados!$A957&lt;=Imóveis!$T$3),Imóveis!$S$3-(DATEDIF(Imóveis!$Q$3,Dados!$A957,"m")),0))=0,0,((Imóveis!$N$3/Imóveis!$S$3)+((Imóveis!$N$3-((Imóveis!$S$3-(IF(AND(Dados!$A957&gt;=Imóveis!$Q$3,Dados!$A957&lt;=Imóveis!$T$3),Imóveis!$S$3-(DATEDIF(Imóveis!$Q$3,Dados!$A957,"m")),)))*(Imóveis!$N$3/Imóveis!$S$3)))*Imóveis!$P$3))))*IF(AND(Imóveis!$E$3&gt;0,Dados!$A957&gt;Imóveis!$E$3),0,1)</f>
        <v>0</v>
      </c>
      <c r="K957" s="18">
        <f>IF(Imóveis!$F$4="PRICE",IF(AND(Dados!$A957&gt;=Imóveis!$Q$4,Dados!$A957&lt;=Imóveis!$T$4),Imóveis!$U$4,0),IF((IF(AND(Dados!$A957&gt;=Imóveis!$Q$4,Dados!$A957&lt;=Imóveis!$T$4),Imóveis!$S$4-(DATEDIF(Imóveis!$Q$4,Dados!$A957,"m")),0))=0,0,((Imóveis!$N$4/Imóveis!$S$4)+((Imóveis!$N$4-((Imóveis!$S$4-(IF(AND(Dados!$A957&gt;=Imóveis!$Q$4,Dados!$A957&lt;=Imóveis!$T$4),Imóveis!$S$4-(DATEDIF(Imóveis!$Q$4,Dados!$A957,"m")),)))*(Imóveis!$N$4/Imóveis!$S$4)))*Imóveis!$P$4))))*IF(AND(Imóveis!$E$4&gt;0,Dados!$A957&gt;Imóveis!$E$4),0,1)</f>
        <v>0</v>
      </c>
      <c r="L957" s="18">
        <f>IF(Imóveis!$F$5="PRICE",IF(AND(Dados!$A957&gt;=Imóveis!$Q$5,Dados!$A957&lt;=Imóveis!$T$5),Imóveis!$U$5,0),IF((IF(AND(Dados!$A957&gt;=Imóveis!$Q$5,Dados!$A957&lt;=Imóveis!$T$5),Imóveis!$S$5-(DATEDIF(Imóveis!$Q$5,Dados!$A957,"m")),0))=0,0,((Imóveis!$N$5/Imóveis!$S$5)+((Imóveis!$N$5-((Imóveis!$S$5-(IF(AND(Dados!$A957 &gt;=Imóveis!$Q$5,Dados!$A957&lt;=Imóveis!$T$5),Imóveis!$S$5-(DATEDIF(Imóveis!$Q$5,Dados!$A957,"m")),)))*(Imóveis!$N$5/Imóveis!$S$5)))*Imóveis!$P$5))))*IF(AND(Imóveis!$E$5&gt;0,Dados!$A957&gt;Imóveis!$E$5),0,1)*Imóveis!$I$5</f>
        <v>0</v>
      </c>
      <c r="M957" s="18">
        <f>IF(Imóveis!$F$6="PRICE",IF(AND(Dados!$A957&gt;=Imóveis!$Q$6,Dados!$A957&lt;=Imóveis!$T$6),Imóveis!$U$6,0),IF((IF(AND(Dados!$A957&gt;=Imóveis!$Q$6,Dados!$A957&lt;=Imóveis!$T$6),Imóveis!$S$6-(DATEDIF(Imóveis!$Q$6,Dados!$A957,"m")),0))=0,0,((Imóveis!$N$6/Imóveis!$S$6)+((Imóveis!$N$6-((Imóveis!$S$6-(IF(AND(Dados!$A957&gt;=Imóveis!$Q$6,Dados!$A957&lt;=Imóveis!$T$6),Imóveis!$S$6-(DATEDIF(Imóveis!$Q$6,Dados!$A957,"m")),)))*(Imóveis!$N$6/Imóveis!$S$6)))*Imóveis!$P$6))))*IF(AND(Imóveis!$E$6&gt;0,Dados!$A957&gt;Imóveis!$E$6),0,1)*Imóveis!$I$6</f>
        <v>0</v>
      </c>
      <c r="N957" s="18">
        <f t="shared" si="117"/>
        <v>0</v>
      </c>
      <c r="O957" s="18">
        <f>SUMIFS(Receitas!$F:$F,Receitas!$J:$J,"&lt;="&amp;$A957,Receitas!$L:$L,"&gt;="&amp;$A957,Receitas!$C:$C,O$1,Receitas!$M:$M,"Mensal")+SUMIFS(Receitas!$F:$F,Receitas!$J:$J,"&lt;="&amp;$A957,Receitas!$L:$L,"&gt;="&amp;$A957,Receitas!$C:$C,O$1,Receitas!$M:$M,$B957)</f>
        <v>0</v>
      </c>
      <c r="P957" s="18">
        <f>SUMIFS(Receitas!$F:$F,Receitas!$J:$J,"&lt;="&amp;$A957,Receitas!$L:$L,"&gt;="&amp;$A957,Receitas!$C:$C,P$1,Receitas!$M:$M,"Mensal")+SUMIFS(Receitas!$F:$F,Receitas!$J:$J,"&lt;="&amp;$A957,Receitas!$L:$L,"&gt;="&amp;$A957,Receitas!$C:$C,P$1,Receitas!$M:$M,$B957)</f>
        <v>0</v>
      </c>
      <c r="Q957" s="18">
        <f>SUMIFS(Receitas!$F:$F,Receitas!$J:$J,"&lt;="&amp;$A957,Receitas!$L:$L,"&gt;="&amp;$A957,Receitas!$C:$C,Q$1,Receitas!$M:$M,"Mensal")+SUMIFS(Receitas!$F:$F,Receitas!$J:$J,"&lt;="&amp;$A957,Receitas!$L:$L,"&gt;="&amp;$A957,Receitas!$C:$C,Q$1,Receitas!$M:$M,$B957)</f>
        <v>0</v>
      </c>
      <c r="R957" s="18" cm="1">
        <f t="array" ref="R957">(IF(AND(Membros!$F$2="Sim",A957&lt;=MAX(Membros!$E$2:$E$5)),Membros!K$2,IF(AND(A957&gt;=Membros!J$2,A957&lt;=MAX(Membros!$E$2:$E$5)),Membros!K$2,0))+IF(AND(Membros!$F$3="Sim",A957&lt;=MAX(Membros!$E$2:$E$5)),Membros!K$3,IF(AND(A957&gt;=Membros!J$3,A957&lt;=MAX(Membros!$E$2:$E$5)),Membros!K$3,0)))*IF(AND(COUNTIFS(Tabela3[Tipo],"Provedor",Tabela3[Simulação Seguro],"Sim")=2,A957&gt;=MAX(IF(Tabela3[Tipo]="Dependente",Tabela3[Expectativa de Vida (Data)]))),0,1)</f>
        <v>0</v>
      </c>
      <c r="S957" s="18">
        <f t="shared" si="118"/>
        <v>0</v>
      </c>
      <c r="U957" s="18">
        <f t="shared" ca="1" si="121"/>
        <v>107213982.82394938</v>
      </c>
      <c r="V957" s="18">
        <f>SUMIF(Imóveis!E:E,Dados!A:A,Imóveis!Z:Z)-SUMIF(Imóveis!E:E,Dados!A:A,Imóveis!Y:Y)</f>
        <v>0</v>
      </c>
      <c r="W957" s="18">
        <f>-SUMIF(Projetos!N:N,A957,Projetos!F:F)</f>
        <v>0</v>
      </c>
      <c r="X957" s="18">
        <f t="shared" si="115"/>
        <v>0</v>
      </c>
      <c r="Y957" s="26">
        <f ca="1">(U957*((Indicadores_Economicos!D$2+1)^(1/12)-1))</f>
        <v>350990.68077875423</v>
      </c>
      <c r="Z957" s="18">
        <f t="shared" ca="1" si="119"/>
        <v>107564973.50472814</v>
      </c>
      <c r="AA957" s="18">
        <f ca="1">Auxiliar_Projetos!E957</f>
        <v>8.8667719910447088E-9</v>
      </c>
      <c r="AB957" s="18">
        <f ca="1">Auxiliar_Projetos!K957</f>
        <v>6.8205938392651609E-9</v>
      </c>
      <c r="AC957" s="18">
        <f ca="1">IF(Z957-AA957-AB957&gt;Investimentos!$C$14,Investimentos!$C$14,IF(Z957-AA957-AB957&lt;Investimentos!$C$14,Z957-AA957-AB957,0))</f>
        <v>300000</v>
      </c>
      <c r="AD957" s="18">
        <f t="shared" ca="1" si="120"/>
        <v>107264973.50472812</v>
      </c>
      <c r="AE957" s="18"/>
    </row>
    <row r="958" spans="1:31" x14ac:dyDescent="0.2">
      <c r="A958" s="4">
        <v>74755</v>
      </c>
      <c r="B958" s="5" t="str">
        <f t="shared" si="116"/>
        <v>setembro</v>
      </c>
      <c r="C958" s="5" t="str">
        <f t="shared" si="122"/>
        <v>2104</v>
      </c>
      <c r="D958" s="5">
        <f>SUMIFS(Despesas!$F:$F,Despesas!$J:$J,"&lt;="&amp;$A958,Despesas!$L:$L,"&gt;="&amp;$A958,Despesas!$C:$C,D$1,Despesas!$M:$M,"Mensal")+SUMIFS(Despesas!$F:$F,Despesas!$J:$J,"&lt;="&amp;$A958,Despesas!$L:$L,"&gt;="&amp;$A958,Despesas!$C:$C,D$1,Despesas!$M:$M,$B958)</f>
        <v>0</v>
      </c>
      <c r="E958" s="18">
        <f>SUMIFS(Despesas!$F:$F,Despesas!$J:$J,"&lt;="&amp;$A958,Despesas!$L:$L,"&gt;="&amp;$A958,Despesas!$C:$C,E$1,Despesas!$M:$M,"Mensal")+SUMIFS(Despesas!$F:$F,Despesas!$J:$J,"&lt;="&amp;$A958,Despesas!$L:$L,"&gt;="&amp;$A958,Despesas!$C:$C,E$1,Despesas!$M:$M,$B958)</f>
        <v>0</v>
      </c>
      <c r="F958" s="5">
        <f>SUMIFS(Despesas!$F:$F,Despesas!$J:$J,"&lt;="&amp;$A958,Despesas!$L:$L,"&gt;="&amp;$A958,Despesas!$C:$C,F$1,Despesas!$M:$M,"Mensal")+SUMIFS(Despesas!$F:$F,Despesas!$J:$J,"&lt;="&amp;$A958,Despesas!$L:$L,"&gt;="&amp;$A958,Despesas!$C:$C,F$1,Despesas!$M:$M,$B958)</f>
        <v>0</v>
      </c>
      <c r="G958" s="5">
        <f>SUMIFS(Despesas!$F:$F,Despesas!$J:$J,"&lt;="&amp;$A958,Despesas!$L:$L,"&gt;="&amp;$A958,Despesas!$C:$C,G$1,Despesas!$M:$M,"Mensal")+SUMIFS(Despesas!$F:$F,Despesas!$J:$J,"&lt;="&amp;$A958,Despesas!$L:$L,"&gt;="&amp;$A958,Despesas!$C:$C,G$1,Despesas!$M:$M,$B958)</f>
        <v>0</v>
      </c>
      <c r="H958" s="18">
        <f>SUMIFS(Despesas!$F:$F,Despesas!$J:$J,"&lt;="&amp;$A958,Despesas!$L:$L,"&gt;="&amp;$A958,Despesas!$C:$C,H$1,Despesas!$M:$M,"Mensal")+SUMIFS(Despesas!$F:$F,Despesas!$J:$J,"&lt;="&amp;$A958,Despesas!$L:$L,"&gt;="&amp;$A958,Despesas!$C:$C,H$1,Despesas!$M:$M,$B958)</f>
        <v>0</v>
      </c>
      <c r="I958" s="18">
        <f>IF(Imóveis!$F$2="PRICE",IF(AND(Dados!$A958&gt;=Imóveis!$Q$2,Dados!$A958&lt;=Imóveis!$T$2),Imóveis!$U$2,0),IF((IF(AND(Dados!$A958&gt;=Imóveis!$Q$2,Dados!$A958&lt;=Imóveis!$T$2),Imóveis!$S$2-(DATEDIF(Imóveis!$Q$2,Dados!$A958,"m")),0))=0,0,((Imóveis!$N$2/Imóveis!$S$2)+((Imóveis!$N$2-((Imóveis!$S$2-(IF(AND(Dados!$A958&gt;=Imóveis!$Q$2,Dados!$A958&lt;=Imóveis!$T$2),Imóveis!$S$2-(DATEDIF(Imóveis!$Q$2,Dados!$A958,"m")),)))*(Imóveis!$N$2/Imóveis!$S$2)))*Imóveis!$P$2))))*IF(AND(Imóveis!$E$2&gt;0,Dados!$A958&gt;Imóveis!$E$2),0,1)</f>
        <v>0</v>
      </c>
      <c r="J958" s="18">
        <f>IF(Imóveis!$F$3="PRICE",IF(AND(Dados!$A958&gt;=Imóveis!$Q$3,Dados!$A958&lt;=Imóveis!$T$3),Imóveis!$U$3,0),IF((IF(AND(Dados!$A958&gt;=Imóveis!$Q$3,Dados!$A958&lt;=Imóveis!$T$3),Imóveis!$S$3-(DATEDIF(Imóveis!$Q$3,Dados!$A958,"m")),0))=0,0,((Imóveis!$N$3/Imóveis!$S$3)+((Imóveis!$N$3-((Imóveis!$S$3-(IF(AND(Dados!$A958&gt;=Imóveis!$Q$3,Dados!$A958&lt;=Imóveis!$T$3),Imóveis!$S$3-(DATEDIF(Imóveis!$Q$3,Dados!$A958,"m")),)))*(Imóveis!$N$3/Imóveis!$S$3)))*Imóveis!$P$3))))*IF(AND(Imóveis!$E$3&gt;0,Dados!$A958&gt;Imóveis!$E$3),0,1)</f>
        <v>0</v>
      </c>
      <c r="K958" s="18">
        <f>IF(Imóveis!$F$4="PRICE",IF(AND(Dados!$A958&gt;=Imóveis!$Q$4,Dados!$A958&lt;=Imóveis!$T$4),Imóveis!$U$4,0),IF((IF(AND(Dados!$A958&gt;=Imóveis!$Q$4,Dados!$A958&lt;=Imóveis!$T$4),Imóveis!$S$4-(DATEDIF(Imóveis!$Q$4,Dados!$A958,"m")),0))=0,0,((Imóveis!$N$4/Imóveis!$S$4)+((Imóveis!$N$4-((Imóveis!$S$4-(IF(AND(Dados!$A958&gt;=Imóveis!$Q$4,Dados!$A958&lt;=Imóveis!$T$4),Imóveis!$S$4-(DATEDIF(Imóveis!$Q$4,Dados!$A958,"m")),)))*(Imóveis!$N$4/Imóveis!$S$4)))*Imóveis!$P$4))))*IF(AND(Imóveis!$E$4&gt;0,Dados!$A958&gt;Imóveis!$E$4),0,1)</f>
        <v>0</v>
      </c>
      <c r="L958" s="18">
        <f>IF(Imóveis!$F$5="PRICE",IF(AND(Dados!$A958&gt;=Imóveis!$Q$5,Dados!$A958&lt;=Imóveis!$T$5),Imóveis!$U$5,0),IF((IF(AND(Dados!$A958&gt;=Imóveis!$Q$5,Dados!$A958&lt;=Imóveis!$T$5),Imóveis!$S$5-(DATEDIF(Imóveis!$Q$5,Dados!$A958,"m")),0))=0,0,((Imóveis!$N$5/Imóveis!$S$5)+((Imóveis!$N$5-((Imóveis!$S$5-(IF(AND(Dados!$A958 &gt;=Imóveis!$Q$5,Dados!$A958&lt;=Imóveis!$T$5),Imóveis!$S$5-(DATEDIF(Imóveis!$Q$5,Dados!$A958,"m")),)))*(Imóveis!$N$5/Imóveis!$S$5)))*Imóveis!$P$5))))*IF(AND(Imóveis!$E$5&gt;0,Dados!$A958&gt;Imóveis!$E$5),0,1)*Imóveis!$I$5</f>
        <v>0</v>
      </c>
      <c r="M958" s="18">
        <f>IF(Imóveis!$F$6="PRICE",IF(AND(Dados!$A958&gt;=Imóveis!$Q$6,Dados!$A958&lt;=Imóveis!$T$6),Imóveis!$U$6,0),IF((IF(AND(Dados!$A958&gt;=Imóveis!$Q$6,Dados!$A958&lt;=Imóveis!$T$6),Imóveis!$S$6-(DATEDIF(Imóveis!$Q$6,Dados!$A958,"m")),0))=0,0,((Imóveis!$N$6/Imóveis!$S$6)+((Imóveis!$N$6-((Imóveis!$S$6-(IF(AND(Dados!$A958&gt;=Imóveis!$Q$6,Dados!$A958&lt;=Imóveis!$T$6),Imóveis!$S$6-(DATEDIF(Imóveis!$Q$6,Dados!$A958,"m")),)))*(Imóveis!$N$6/Imóveis!$S$6)))*Imóveis!$P$6))))*IF(AND(Imóveis!$E$6&gt;0,Dados!$A958&gt;Imóveis!$E$6),0,1)*Imóveis!$I$6</f>
        <v>0</v>
      </c>
      <c r="N958" s="18">
        <f t="shared" si="117"/>
        <v>0</v>
      </c>
      <c r="O958" s="18">
        <f>SUMIFS(Receitas!$F:$F,Receitas!$J:$J,"&lt;="&amp;$A958,Receitas!$L:$L,"&gt;="&amp;$A958,Receitas!$C:$C,O$1,Receitas!$M:$M,"Mensal")+SUMIFS(Receitas!$F:$F,Receitas!$J:$J,"&lt;="&amp;$A958,Receitas!$L:$L,"&gt;="&amp;$A958,Receitas!$C:$C,O$1,Receitas!$M:$M,$B958)</f>
        <v>0</v>
      </c>
      <c r="P958" s="18">
        <f>SUMIFS(Receitas!$F:$F,Receitas!$J:$J,"&lt;="&amp;$A958,Receitas!$L:$L,"&gt;="&amp;$A958,Receitas!$C:$C,P$1,Receitas!$M:$M,"Mensal")+SUMIFS(Receitas!$F:$F,Receitas!$J:$J,"&lt;="&amp;$A958,Receitas!$L:$L,"&gt;="&amp;$A958,Receitas!$C:$C,P$1,Receitas!$M:$M,$B958)</f>
        <v>0</v>
      </c>
      <c r="Q958" s="18">
        <f>SUMIFS(Receitas!$F:$F,Receitas!$J:$J,"&lt;="&amp;$A958,Receitas!$L:$L,"&gt;="&amp;$A958,Receitas!$C:$C,Q$1,Receitas!$M:$M,"Mensal")+SUMIFS(Receitas!$F:$F,Receitas!$J:$J,"&lt;="&amp;$A958,Receitas!$L:$L,"&gt;="&amp;$A958,Receitas!$C:$C,Q$1,Receitas!$M:$M,$B958)</f>
        <v>0</v>
      </c>
      <c r="R958" s="18" cm="1">
        <f t="array" ref="R958">(IF(AND(Membros!$F$2="Sim",A958&lt;=MAX(Membros!$E$2:$E$5)),Membros!K$2,IF(AND(A958&gt;=Membros!J$2,A958&lt;=MAX(Membros!$E$2:$E$5)),Membros!K$2,0))+IF(AND(Membros!$F$3="Sim",A958&lt;=MAX(Membros!$E$2:$E$5)),Membros!K$3,IF(AND(A958&gt;=Membros!J$3,A958&lt;=MAX(Membros!$E$2:$E$5)),Membros!K$3,0)))*IF(AND(COUNTIFS(Tabela3[Tipo],"Provedor",Tabela3[Simulação Seguro],"Sim")=2,A958&gt;=MAX(IF(Tabela3[Tipo]="Dependente",Tabela3[Expectativa de Vida (Data)]))),0,1)</f>
        <v>0</v>
      </c>
      <c r="S958" s="18">
        <f t="shared" si="118"/>
        <v>0</v>
      </c>
      <c r="U958" s="18">
        <f t="shared" ca="1" si="121"/>
        <v>107564973.50472814</v>
      </c>
      <c r="V958" s="18">
        <f>SUMIF(Imóveis!E:E,Dados!A:A,Imóveis!Z:Z)-SUMIF(Imóveis!E:E,Dados!A:A,Imóveis!Y:Y)</f>
        <v>0</v>
      </c>
      <c r="W958" s="18">
        <f>-SUMIF(Projetos!N:N,A958,Projetos!F:F)</f>
        <v>0</v>
      </c>
      <c r="X958" s="18">
        <f t="shared" si="115"/>
        <v>0</v>
      </c>
      <c r="Y958" s="26">
        <f ca="1">(U958*((Indicadores_Economicos!D$2+1)^(1/12)-1))</f>
        <v>352139.73293360072</v>
      </c>
      <c r="Z958" s="18">
        <f t="shared" ca="1" si="119"/>
        <v>107917113.23766173</v>
      </c>
      <c r="AA958" s="18">
        <f ca="1">Auxiliar_Projetos!E958</f>
        <v>8.8957994952514784E-9</v>
      </c>
      <c r="AB958" s="18">
        <f ca="1">Auxiliar_Projetos!K958</f>
        <v>6.8429226886549844E-9</v>
      </c>
      <c r="AC958" s="18">
        <f ca="1">IF(Z958-AA958-AB958&gt;Investimentos!$C$14,Investimentos!$C$14,IF(Z958-AA958-AB958&lt;Investimentos!$C$14,Z958-AA958-AB958,0))</f>
        <v>300000</v>
      </c>
      <c r="AD958" s="18">
        <f t="shared" ca="1" si="120"/>
        <v>107617113.23766172</v>
      </c>
      <c r="AE958" s="18"/>
    </row>
    <row r="959" spans="1:31" x14ac:dyDescent="0.2">
      <c r="A959" s="4">
        <v>74785</v>
      </c>
      <c r="B959" s="5" t="str">
        <f t="shared" si="116"/>
        <v>outubro</v>
      </c>
      <c r="C959" s="5" t="str">
        <f t="shared" si="122"/>
        <v>2104</v>
      </c>
      <c r="D959" s="5">
        <f>SUMIFS(Despesas!$F:$F,Despesas!$J:$J,"&lt;="&amp;$A959,Despesas!$L:$L,"&gt;="&amp;$A959,Despesas!$C:$C,D$1,Despesas!$M:$M,"Mensal")+SUMIFS(Despesas!$F:$F,Despesas!$J:$J,"&lt;="&amp;$A959,Despesas!$L:$L,"&gt;="&amp;$A959,Despesas!$C:$C,D$1,Despesas!$M:$M,$B959)</f>
        <v>0</v>
      </c>
      <c r="E959" s="18">
        <f>SUMIFS(Despesas!$F:$F,Despesas!$J:$J,"&lt;="&amp;$A959,Despesas!$L:$L,"&gt;="&amp;$A959,Despesas!$C:$C,E$1,Despesas!$M:$M,"Mensal")+SUMIFS(Despesas!$F:$F,Despesas!$J:$J,"&lt;="&amp;$A959,Despesas!$L:$L,"&gt;="&amp;$A959,Despesas!$C:$C,E$1,Despesas!$M:$M,$B959)</f>
        <v>0</v>
      </c>
      <c r="F959" s="5">
        <f>SUMIFS(Despesas!$F:$F,Despesas!$J:$J,"&lt;="&amp;$A959,Despesas!$L:$L,"&gt;="&amp;$A959,Despesas!$C:$C,F$1,Despesas!$M:$M,"Mensal")+SUMIFS(Despesas!$F:$F,Despesas!$J:$J,"&lt;="&amp;$A959,Despesas!$L:$L,"&gt;="&amp;$A959,Despesas!$C:$C,F$1,Despesas!$M:$M,$B959)</f>
        <v>0</v>
      </c>
      <c r="G959" s="5">
        <f>SUMIFS(Despesas!$F:$F,Despesas!$J:$J,"&lt;="&amp;$A959,Despesas!$L:$L,"&gt;="&amp;$A959,Despesas!$C:$C,G$1,Despesas!$M:$M,"Mensal")+SUMIFS(Despesas!$F:$F,Despesas!$J:$J,"&lt;="&amp;$A959,Despesas!$L:$L,"&gt;="&amp;$A959,Despesas!$C:$C,G$1,Despesas!$M:$M,$B959)</f>
        <v>0</v>
      </c>
      <c r="H959" s="18">
        <f>SUMIFS(Despesas!$F:$F,Despesas!$J:$J,"&lt;="&amp;$A959,Despesas!$L:$L,"&gt;="&amp;$A959,Despesas!$C:$C,H$1,Despesas!$M:$M,"Mensal")+SUMIFS(Despesas!$F:$F,Despesas!$J:$J,"&lt;="&amp;$A959,Despesas!$L:$L,"&gt;="&amp;$A959,Despesas!$C:$C,H$1,Despesas!$M:$M,$B959)</f>
        <v>0</v>
      </c>
      <c r="I959" s="18">
        <f>IF(Imóveis!$F$2="PRICE",IF(AND(Dados!$A959&gt;=Imóveis!$Q$2,Dados!$A959&lt;=Imóveis!$T$2),Imóveis!$U$2,0),IF((IF(AND(Dados!$A959&gt;=Imóveis!$Q$2,Dados!$A959&lt;=Imóveis!$T$2),Imóveis!$S$2-(DATEDIF(Imóveis!$Q$2,Dados!$A959,"m")),0))=0,0,((Imóveis!$N$2/Imóveis!$S$2)+((Imóveis!$N$2-((Imóveis!$S$2-(IF(AND(Dados!$A959&gt;=Imóveis!$Q$2,Dados!$A959&lt;=Imóveis!$T$2),Imóveis!$S$2-(DATEDIF(Imóveis!$Q$2,Dados!$A959,"m")),)))*(Imóveis!$N$2/Imóveis!$S$2)))*Imóveis!$P$2))))*IF(AND(Imóveis!$E$2&gt;0,Dados!$A959&gt;Imóveis!$E$2),0,1)</f>
        <v>0</v>
      </c>
      <c r="J959" s="18">
        <f>IF(Imóveis!$F$3="PRICE",IF(AND(Dados!$A959&gt;=Imóveis!$Q$3,Dados!$A959&lt;=Imóveis!$T$3),Imóveis!$U$3,0),IF((IF(AND(Dados!$A959&gt;=Imóveis!$Q$3,Dados!$A959&lt;=Imóveis!$T$3),Imóveis!$S$3-(DATEDIF(Imóveis!$Q$3,Dados!$A959,"m")),0))=0,0,((Imóveis!$N$3/Imóveis!$S$3)+((Imóveis!$N$3-((Imóveis!$S$3-(IF(AND(Dados!$A959&gt;=Imóveis!$Q$3,Dados!$A959&lt;=Imóveis!$T$3),Imóveis!$S$3-(DATEDIF(Imóveis!$Q$3,Dados!$A959,"m")),)))*(Imóveis!$N$3/Imóveis!$S$3)))*Imóveis!$P$3))))*IF(AND(Imóveis!$E$3&gt;0,Dados!$A959&gt;Imóveis!$E$3),0,1)</f>
        <v>0</v>
      </c>
      <c r="K959" s="18">
        <f>IF(Imóveis!$F$4="PRICE",IF(AND(Dados!$A959&gt;=Imóveis!$Q$4,Dados!$A959&lt;=Imóveis!$T$4),Imóveis!$U$4,0),IF((IF(AND(Dados!$A959&gt;=Imóveis!$Q$4,Dados!$A959&lt;=Imóveis!$T$4),Imóveis!$S$4-(DATEDIF(Imóveis!$Q$4,Dados!$A959,"m")),0))=0,0,((Imóveis!$N$4/Imóveis!$S$4)+((Imóveis!$N$4-((Imóveis!$S$4-(IF(AND(Dados!$A959&gt;=Imóveis!$Q$4,Dados!$A959&lt;=Imóveis!$T$4),Imóveis!$S$4-(DATEDIF(Imóveis!$Q$4,Dados!$A959,"m")),)))*(Imóveis!$N$4/Imóveis!$S$4)))*Imóveis!$P$4))))*IF(AND(Imóveis!$E$4&gt;0,Dados!$A959&gt;Imóveis!$E$4),0,1)</f>
        <v>0</v>
      </c>
      <c r="L959" s="18">
        <f>IF(Imóveis!$F$5="PRICE",IF(AND(Dados!$A959&gt;=Imóveis!$Q$5,Dados!$A959&lt;=Imóveis!$T$5),Imóveis!$U$5,0),IF((IF(AND(Dados!$A959&gt;=Imóveis!$Q$5,Dados!$A959&lt;=Imóveis!$T$5),Imóveis!$S$5-(DATEDIF(Imóveis!$Q$5,Dados!$A959,"m")),0))=0,0,((Imóveis!$N$5/Imóveis!$S$5)+((Imóveis!$N$5-((Imóveis!$S$5-(IF(AND(Dados!$A959 &gt;=Imóveis!$Q$5,Dados!$A959&lt;=Imóveis!$T$5),Imóveis!$S$5-(DATEDIF(Imóveis!$Q$5,Dados!$A959,"m")),)))*(Imóveis!$N$5/Imóveis!$S$5)))*Imóveis!$P$5))))*IF(AND(Imóveis!$E$5&gt;0,Dados!$A959&gt;Imóveis!$E$5),0,1)*Imóveis!$I$5</f>
        <v>0</v>
      </c>
      <c r="M959" s="18">
        <f>IF(Imóveis!$F$6="PRICE",IF(AND(Dados!$A959&gt;=Imóveis!$Q$6,Dados!$A959&lt;=Imóveis!$T$6),Imóveis!$U$6,0),IF((IF(AND(Dados!$A959&gt;=Imóveis!$Q$6,Dados!$A959&lt;=Imóveis!$T$6),Imóveis!$S$6-(DATEDIF(Imóveis!$Q$6,Dados!$A959,"m")),0))=0,0,((Imóveis!$N$6/Imóveis!$S$6)+((Imóveis!$N$6-((Imóveis!$S$6-(IF(AND(Dados!$A959&gt;=Imóveis!$Q$6,Dados!$A959&lt;=Imóveis!$T$6),Imóveis!$S$6-(DATEDIF(Imóveis!$Q$6,Dados!$A959,"m")),)))*(Imóveis!$N$6/Imóveis!$S$6)))*Imóveis!$P$6))))*IF(AND(Imóveis!$E$6&gt;0,Dados!$A959&gt;Imóveis!$E$6),0,1)*Imóveis!$I$6</f>
        <v>0</v>
      </c>
      <c r="N959" s="18">
        <f t="shared" si="117"/>
        <v>0</v>
      </c>
      <c r="O959" s="18">
        <f>SUMIFS(Receitas!$F:$F,Receitas!$J:$J,"&lt;="&amp;$A959,Receitas!$L:$L,"&gt;="&amp;$A959,Receitas!$C:$C,O$1,Receitas!$M:$M,"Mensal")+SUMIFS(Receitas!$F:$F,Receitas!$J:$J,"&lt;="&amp;$A959,Receitas!$L:$L,"&gt;="&amp;$A959,Receitas!$C:$C,O$1,Receitas!$M:$M,$B959)</f>
        <v>0</v>
      </c>
      <c r="P959" s="18">
        <f>SUMIFS(Receitas!$F:$F,Receitas!$J:$J,"&lt;="&amp;$A959,Receitas!$L:$L,"&gt;="&amp;$A959,Receitas!$C:$C,P$1,Receitas!$M:$M,"Mensal")+SUMIFS(Receitas!$F:$F,Receitas!$J:$J,"&lt;="&amp;$A959,Receitas!$L:$L,"&gt;="&amp;$A959,Receitas!$C:$C,P$1,Receitas!$M:$M,$B959)</f>
        <v>0</v>
      </c>
      <c r="Q959" s="18">
        <f>SUMIFS(Receitas!$F:$F,Receitas!$J:$J,"&lt;="&amp;$A959,Receitas!$L:$L,"&gt;="&amp;$A959,Receitas!$C:$C,Q$1,Receitas!$M:$M,"Mensal")+SUMIFS(Receitas!$F:$F,Receitas!$J:$J,"&lt;="&amp;$A959,Receitas!$L:$L,"&gt;="&amp;$A959,Receitas!$C:$C,Q$1,Receitas!$M:$M,$B959)</f>
        <v>0</v>
      </c>
      <c r="R959" s="18" cm="1">
        <f t="array" ref="R959">(IF(AND(Membros!$F$2="Sim",A959&lt;=MAX(Membros!$E$2:$E$5)),Membros!K$2,IF(AND(A959&gt;=Membros!J$2,A959&lt;=MAX(Membros!$E$2:$E$5)),Membros!K$2,0))+IF(AND(Membros!$F$3="Sim",A959&lt;=MAX(Membros!$E$2:$E$5)),Membros!K$3,IF(AND(A959&gt;=Membros!J$3,A959&lt;=MAX(Membros!$E$2:$E$5)),Membros!K$3,0)))*IF(AND(COUNTIFS(Tabela3[Tipo],"Provedor",Tabela3[Simulação Seguro],"Sim")=2,A959&gt;=MAX(IF(Tabela3[Tipo]="Dependente",Tabela3[Expectativa de Vida (Data)]))),0,1)</f>
        <v>0</v>
      </c>
      <c r="S959" s="18">
        <f t="shared" si="118"/>
        <v>0</v>
      </c>
      <c r="U959" s="18">
        <f t="shared" ca="1" si="121"/>
        <v>107917113.23766173</v>
      </c>
      <c r="V959" s="18">
        <f>SUMIF(Imóveis!E:E,Dados!A:A,Imóveis!Z:Z)-SUMIF(Imóveis!E:E,Dados!A:A,Imóveis!Y:Y)</f>
        <v>0</v>
      </c>
      <c r="W959" s="18">
        <f>-SUMIF(Projetos!N:N,A959,Projetos!F:F)</f>
        <v>0</v>
      </c>
      <c r="X959" s="18">
        <f t="shared" si="115"/>
        <v>0</v>
      </c>
      <c r="Y959" s="26">
        <f ca="1">(U959*((Indicadores_Economicos!D$2+1)^(1/12)-1))</f>
        <v>353292.54678619833</v>
      </c>
      <c r="Z959" s="18">
        <f t="shared" ca="1" si="119"/>
        <v>108270405.78444794</v>
      </c>
      <c r="AA959" s="18">
        <f ca="1">Auxiliar_Projetos!E959</f>
        <v>8.9249220279535485E-9</v>
      </c>
      <c r="AB959" s="18">
        <f ca="1">Auxiliar_Projetos!K959</f>
        <v>6.8653246368873458E-9</v>
      </c>
      <c r="AC959" s="18">
        <f ca="1">IF(Z959-AA959-AB959&gt;Investimentos!$C$14,Investimentos!$C$14,IF(Z959-AA959-AB959&lt;Investimentos!$C$14,Z959-AA959-AB959,0))</f>
        <v>300000</v>
      </c>
      <c r="AD959" s="18">
        <f t="shared" ca="1" si="120"/>
        <v>107970405.78444792</v>
      </c>
      <c r="AE959" s="18"/>
    </row>
    <row r="960" spans="1:31" x14ac:dyDescent="0.2">
      <c r="A960" s="4">
        <v>74816</v>
      </c>
      <c r="B960" s="5" t="str">
        <f t="shared" si="116"/>
        <v>novembro</v>
      </c>
      <c r="C960" s="5" t="str">
        <f t="shared" si="122"/>
        <v>2104</v>
      </c>
      <c r="D960" s="5">
        <f>SUMIFS(Despesas!$F:$F,Despesas!$J:$J,"&lt;="&amp;$A960,Despesas!$L:$L,"&gt;="&amp;$A960,Despesas!$C:$C,D$1,Despesas!$M:$M,"Mensal")+SUMIFS(Despesas!$F:$F,Despesas!$J:$J,"&lt;="&amp;$A960,Despesas!$L:$L,"&gt;="&amp;$A960,Despesas!$C:$C,D$1,Despesas!$M:$M,$B960)</f>
        <v>0</v>
      </c>
      <c r="E960" s="18">
        <f>SUMIFS(Despesas!$F:$F,Despesas!$J:$J,"&lt;="&amp;$A960,Despesas!$L:$L,"&gt;="&amp;$A960,Despesas!$C:$C,E$1,Despesas!$M:$M,"Mensal")+SUMIFS(Despesas!$F:$F,Despesas!$J:$J,"&lt;="&amp;$A960,Despesas!$L:$L,"&gt;="&amp;$A960,Despesas!$C:$C,E$1,Despesas!$M:$M,$B960)</f>
        <v>0</v>
      </c>
      <c r="F960" s="5">
        <f>SUMIFS(Despesas!$F:$F,Despesas!$J:$J,"&lt;="&amp;$A960,Despesas!$L:$L,"&gt;="&amp;$A960,Despesas!$C:$C,F$1,Despesas!$M:$M,"Mensal")+SUMIFS(Despesas!$F:$F,Despesas!$J:$J,"&lt;="&amp;$A960,Despesas!$L:$L,"&gt;="&amp;$A960,Despesas!$C:$C,F$1,Despesas!$M:$M,$B960)</f>
        <v>0</v>
      </c>
      <c r="G960" s="5">
        <f>SUMIFS(Despesas!$F:$F,Despesas!$J:$J,"&lt;="&amp;$A960,Despesas!$L:$L,"&gt;="&amp;$A960,Despesas!$C:$C,G$1,Despesas!$M:$M,"Mensal")+SUMIFS(Despesas!$F:$F,Despesas!$J:$J,"&lt;="&amp;$A960,Despesas!$L:$L,"&gt;="&amp;$A960,Despesas!$C:$C,G$1,Despesas!$M:$M,$B960)</f>
        <v>0</v>
      </c>
      <c r="H960" s="18">
        <f>SUMIFS(Despesas!$F:$F,Despesas!$J:$J,"&lt;="&amp;$A960,Despesas!$L:$L,"&gt;="&amp;$A960,Despesas!$C:$C,H$1,Despesas!$M:$M,"Mensal")+SUMIFS(Despesas!$F:$F,Despesas!$J:$J,"&lt;="&amp;$A960,Despesas!$L:$L,"&gt;="&amp;$A960,Despesas!$C:$C,H$1,Despesas!$M:$M,$B960)</f>
        <v>0</v>
      </c>
      <c r="I960" s="18">
        <f>IF(Imóveis!$F$2="PRICE",IF(AND(Dados!$A960&gt;=Imóveis!$Q$2,Dados!$A960&lt;=Imóveis!$T$2),Imóveis!$U$2,0),IF((IF(AND(Dados!$A960&gt;=Imóveis!$Q$2,Dados!$A960&lt;=Imóveis!$T$2),Imóveis!$S$2-(DATEDIF(Imóveis!$Q$2,Dados!$A960,"m")),0))=0,0,((Imóveis!$N$2/Imóveis!$S$2)+((Imóveis!$N$2-((Imóveis!$S$2-(IF(AND(Dados!$A960&gt;=Imóveis!$Q$2,Dados!$A960&lt;=Imóveis!$T$2),Imóveis!$S$2-(DATEDIF(Imóveis!$Q$2,Dados!$A960,"m")),)))*(Imóveis!$N$2/Imóveis!$S$2)))*Imóveis!$P$2))))*IF(AND(Imóveis!$E$2&gt;0,Dados!$A960&gt;Imóveis!$E$2),0,1)</f>
        <v>0</v>
      </c>
      <c r="J960" s="18">
        <f>IF(Imóveis!$F$3="PRICE",IF(AND(Dados!$A960&gt;=Imóveis!$Q$3,Dados!$A960&lt;=Imóveis!$T$3),Imóveis!$U$3,0),IF((IF(AND(Dados!$A960&gt;=Imóveis!$Q$3,Dados!$A960&lt;=Imóveis!$T$3),Imóveis!$S$3-(DATEDIF(Imóveis!$Q$3,Dados!$A960,"m")),0))=0,0,((Imóveis!$N$3/Imóveis!$S$3)+((Imóveis!$N$3-((Imóveis!$S$3-(IF(AND(Dados!$A960&gt;=Imóveis!$Q$3,Dados!$A960&lt;=Imóveis!$T$3),Imóveis!$S$3-(DATEDIF(Imóveis!$Q$3,Dados!$A960,"m")),)))*(Imóveis!$N$3/Imóveis!$S$3)))*Imóveis!$P$3))))*IF(AND(Imóveis!$E$3&gt;0,Dados!$A960&gt;Imóveis!$E$3),0,1)</f>
        <v>0</v>
      </c>
      <c r="K960" s="18">
        <f>IF(Imóveis!$F$4="PRICE",IF(AND(Dados!$A960&gt;=Imóveis!$Q$4,Dados!$A960&lt;=Imóveis!$T$4),Imóveis!$U$4,0),IF((IF(AND(Dados!$A960&gt;=Imóveis!$Q$4,Dados!$A960&lt;=Imóveis!$T$4),Imóveis!$S$4-(DATEDIF(Imóveis!$Q$4,Dados!$A960,"m")),0))=0,0,((Imóveis!$N$4/Imóveis!$S$4)+((Imóveis!$N$4-((Imóveis!$S$4-(IF(AND(Dados!$A960&gt;=Imóveis!$Q$4,Dados!$A960&lt;=Imóveis!$T$4),Imóveis!$S$4-(DATEDIF(Imóveis!$Q$4,Dados!$A960,"m")),)))*(Imóveis!$N$4/Imóveis!$S$4)))*Imóveis!$P$4))))*IF(AND(Imóveis!$E$4&gt;0,Dados!$A960&gt;Imóveis!$E$4),0,1)</f>
        <v>0</v>
      </c>
      <c r="L960" s="18">
        <f>IF(Imóveis!$F$5="PRICE",IF(AND(Dados!$A960&gt;=Imóveis!$Q$5,Dados!$A960&lt;=Imóveis!$T$5),Imóveis!$U$5,0),IF((IF(AND(Dados!$A960&gt;=Imóveis!$Q$5,Dados!$A960&lt;=Imóveis!$T$5),Imóveis!$S$5-(DATEDIF(Imóveis!$Q$5,Dados!$A960,"m")),0))=0,0,((Imóveis!$N$5/Imóveis!$S$5)+((Imóveis!$N$5-((Imóveis!$S$5-(IF(AND(Dados!$A960 &gt;=Imóveis!$Q$5,Dados!$A960&lt;=Imóveis!$T$5),Imóveis!$S$5-(DATEDIF(Imóveis!$Q$5,Dados!$A960,"m")),)))*(Imóveis!$N$5/Imóveis!$S$5)))*Imóveis!$P$5))))*IF(AND(Imóveis!$E$5&gt;0,Dados!$A960&gt;Imóveis!$E$5),0,1)*Imóveis!$I$5</f>
        <v>0</v>
      </c>
      <c r="M960" s="18">
        <f>IF(Imóveis!$F$6="PRICE",IF(AND(Dados!$A960&gt;=Imóveis!$Q$6,Dados!$A960&lt;=Imóveis!$T$6),Imóveis!$U$6,0),IF((IF(AND(Dados!$A960&gt;=Imóveis!$Q$6,Dados!$A960&lt;=Imóveis!$T$6),Imóveis!$S$6-(DATEDIF(Imóveis!$Q$6,Dados!$A960,"m")),0))=0,0,((Imóveis!$N$6/Imóveis!$S$6)+((Imóveis!$N$6-((Imóveis!$S$6-(IF(AND(Dados!$A960&gt;=Imóveis!$Q$6,Dados!$A960&lt;=Imóveis!$T$6),Imóveis!$S$6-(DATEDIF(Imóveis!$Q$6,Dados!$A960,"m")),)))*(Imóveis!$N$6/Imóveis!$S$6)))*Imóveis!$P$6))))*IF(AND(Imóveis!$E$6&gt;0,Dados!$A960&gt;Imóveis!$E$6),0,1)*Imóveis!$I$6</f>
        <v>0</v>
      </c>
      <c r="N960" s="18">
        <f t="shared" si="117"/>
        <v>0</v>
      </c>
      <c r="O960" s="18">
        <f>SUMIFS(Receitas!$F:$F,Receitas!$J:$J,"&lt;="&amp;$A960,Receitas!$L:$L,"&gt;="&amp;$A960,Receitas!$C:$C,O$1,Receitas!$M:$M,"Mensal")+SUMIFS(Receitas!$F:$F,Receitas!$J:$J,"&lt;="&amp;$A960,Receitas!$L:$L,"&gt;="&amp;$A960,Receitas!$C:$C,O$1,Receitas!$M:$M,$B960)</f>
        <v>0</v>
      </c>
      <c r="P960" s="18">
        <f>SUMIFS(Receitas!$F:$F,Receitas!$J:$J,"&lt;="&amp;$A960,Receitas!$L:$L,"&gt;="&amp;$A960,Receitas!$C:$C,P$1,Receitas!$M:$M,"Mensal")+SUMIFS(Receitas!$F:$F,Receitas!$J:$J,"&lt;="&amp;$A960,Receitas!$L:$L,"&gt;="&amp;$A960,Receitas!$C:$C,P$1,Receitas!$M:$M,$B960)</f>
        <v>0</v>
      </c>
      <c r="Q960" s="18">
        <f>SUMIFS(Receitas!$F:$F,Receitas!$J:$J,"&lt;="&amp;$A960,Receitas!$L:$L,"&gt;="&amp;$A960,Receitas!$C:$C,Q$1,Receitas!$M:$M,"Mensal")+SUMIFS(Receitas!$F:$F,Receitas!$J:$J,"&lt;="&amp;$A960,Receitas!$L:$L,"&gt;="&amp;$A960,Receitas!$C:$C,Q$1,Receitas!$M:$M,$B960)</f>
        <v>0</v>
      </c>
      <c r="R960" s="18" cm="1">
        <f t="array" ref="R960">(IF(AND(Membros!$F$2="Sim",A960&lt;=MAX(Membros!$E$2:$E$5)),Membros!K$2,IF(AND(A960&gt;=Membros!J$2,A960&lt;=MAX(Membros!$E$2:$E$5)),Membros!K$2,0))+IF(AND(Membros!$F$3="Sim",A960&lt;=MAX(Membros!$E$2:$E$5)),Membros!K$3,IF(AND(A960&gt;=Membros!J$3,A960&lt;=MAX(Membros!$E$2:$E$5)),Membros!K$3,0)))*IF(AND(COUNTIFS(Tabela3[Tipo],"Provedor",Tabela3[Simulação Seguro],"Sim")=2,A960&gt;=MAX(IF(Tabela3[Tipo]="Dependente",Tabela3[Expectativa de Vida (Data)]))),0,1)</f>
        <v>0</v>
      </c>
      <c r="S960" s="18">
        <f t="shared" si="118"/>
        <v>0</v>
      </c>
      <c r="U960" s="18">
        <f t="shared" ca="1" si="121"/>
        <v>108270405.78444794</v>
      </c>
      <c r="V960" s="18">
        <f>SUMIF(Imóveis!E:E,Dados!A:A,Imóveis!Z:Z)-SUMIF(Imóveis!E:E,Dados!A:A,Imóveis!Y:Y)</f>
        <v>0</v>
      </c>
      <c r="W960" s="18">
        <f>-SUMIF(Projetos!N:N,A960,Projetos!F:F)</f>
        <v>0</v>
      </c>
      <c r="X960" s="18">
        <f t="shared" si="115"/>
        <v>0</v>
      </c>
      <c r="Y960" s="26">
        <f ca="1">(U960*((Indicadores_Economicos!D$2+1)^(1/12)-1))</f>
        <v>354449.13465136668</v>
      </c>
      <c r="Z960" s="18">
        <f t="shared" ca="1" si="119"/>
        <v>108624854.9190993</v>
      </c>
      <c r="AA960" s="18">
        <f ca="1">Auxiliar_Projetos!E960</f>
        <v>8.9541399002494829E-9</v>
      </c>
      <c r="AB960" s="18">
        <f ca="1">Auxiliar_Projetos!K960</f>
        <v>6.8877999232688339E-9</v>
      </c>
      <c r="AC960" s="18">
        <f ca="1">IF(Z960-AA960-AB960&gt;Investimentos!$C$14,Investimentos!$C$14,IF(Z960-AA960-AB960&lt;Investimentos!$C$14,Z960-AA960-AB960,0))</f>
        <v>300000</v>
      </c>
      <c r="AD960" s="18">
        <f t="shared" ca="1" si="120"/>
        <v>108324854.91909929</v>
      </c>
      <c r="AE960" s="18"/>
    </row>
    <row r="961" spans="1:31" x14ac:dyDescent="0.2">
      <c r="A961" s="4">
        <v>74846</v>
      </c>
      <c r="B961" s="5" t="str">
        <f t="shared" si="116"/>
        <v>dezembro</v>
      </c>
      <c r="C961" s="5" t="str">
        <f t="shared" si="122"/>
        <v>2104</v>
      </c>
      <c r="D961" s="5">
        <f>SUMIFS(Despesas!$F:$F,Despesas!$J:$J,"&lt;="&amp;$A961,Despesas!$L:$L,"&gt;="&amp;$A961,Despesas!$C:$C,D$1,Despesas!$M:$M,"Mensal")+SUMIFS(Despesas!$F:$F,Despesas!$J:$J,"&lt;="&amp;$A961,Despesas!$L:$L,"&gt;="&amp;$A961,Despesas!$C:$C,D$1,Despesas!$M:$M,$B961)</f>
        <v>0</v>
      </c>
      <c r="E961" s="18">
        <f>SUMIFS(Despesas!$F:$F,Despesas!$J:$J,"&lt;="&amp;$A961,Despesas!$L:$L,"&gt;="&amp;$A961,Despesas!$C:$C,E$1,Despesas!$M:$M,"Mensal")+SUMIFS(Despesas!$F:$F,Despesas!$J:$J,"&lt;="&amp;$A961,Despesas!$L:$L,"&gt;="&amp;$A961,Despesas!$C:$C,E$1,Despesas!$M:$M,$B961)</f>
        <v>0</v>
      </c>
      <c r="F961" s="5">
        <f>SUMIFS(Despesas!$F:$F,Despesas!$J:$J,"&lt;="&amp;$A961,Despesas!$L:$L,"&gt;="&amp;$A961,Despesas!$C:$C,F$1,Despesas!$M:$M,"Mensal")+SUMIFS(Despesas!$F:$F,Despesas!$J:$J,"&lt;="&amp;$A961,Despesas!$L:$L,"&gt;="&amp;$A961,Despesas!$C:$C,F$1,Despesas!$M:$M,$B961)</f>
        <v>0</v>
      </c>
      <c r="G961" s="5">
        <f>SUMIFS(Despesas!$F:$F,Despesas!$J:$J,"&lt;="&amp;$A961,Despesas!$L:$L,"&gt;="&amp;$A961,Despesas!$C:$C,G$1,Despesas!$M:$M,"Mensal")+SUMIFS(Despesas!$F:$F,Despesas!$J:$J,"&lt;="&amp;$A961,Despesas!$L:$L,"&gt;="&amp;$A961,Despesas!$C:$C,G$1,Despesas!$M:$M,$B961)</f>
        <v>0</v>
      </c>
      <c r="H961" s="18">
        <f>SUMIFS(Despesas!$F:$F,Despesas!$J:$J,"&lt;="&amp;$A961,Despesas!$L:$L,"&gt;="&amp;$A961,Despesas!$C:$C,H$1,Despesas!$M:$M,"Mensal")+SUMIFS(Despesas!$F:$F,Despesas!$J:$J,"&lt;="&amp;$A961,Despesas!$L:$L,"&gt;="&amp;$A961,Despesas!$C:$C,H$1,Despesas!$M:$M,$B961)</f>
        <v>0</v>
      </c>
      <c r="I961" s="18">
        <f>IF(Imóveis!$F$2="PRICE",IF(AND(Dados!$A961&gt;=Imóveis!$Q$2,Dados!$A961&lt;=Imóveis!$T$2),Imóveis!$U$2,0),IF((IF(AND(Dados!$A961&gt;=Imóveis!$Q$2,Dados!$A961&lt;=Imóveis!$T$2),Imóveis!$S$2-(DATEDIF(Imóveis!$Q$2,Dados!$A961,"m")),0))=0,0,((Imóveis!$N$2/Imóveis!$S$2)+((Imóveis!$N$2-((Imóveis!$S$2-(IF(AND(Dados!$A961&gt;=Imóveis!$Q$2,Dados!$A961&lt;=Imóveis!$T$2),Imóveis!$S$2-(DATEDIF(Imóveis!$Q$2,Dados!$A961,"m")),)))*(Imóveis!$N$2/Imóveis!$S$2)))*Imóveis!$P$2))))*IF(AND(Imóveis!$E$2&gt;0,Dados!$A961&gt;Imóveis!$E$2),0,1)</f>
        <v>0</v>
      </c>
      <c r="J961" s="18">
        <f>IF(Imóveis!$F$3="PRICE",IF(AND(Dados!$A961&gt;=Imóveis!$Q$3,Dados!$A961&lt;=Imóveis!$T$3),Imóveis!$U$3,0),IF((IF(AND(Dados!$A961&gt;=Imóveis!$Q$3,Dados!$A961&lt;=Imóveis!$T$3),Imóveis!$S$3-(DATEDIF(Imóveis!$Q$3,Dados!$A961,"m")),0))=0,0,((Imóveis!$N$3/Imóveis!$S$3)+((Imóveis!$N$3-((Imóveis!$S$3-(IF(AND(Dados!$A961&gt;=Imóveis!$Q$3,Dados!$A961&lt;=Imóveis!$T$3),Imóveis!$S$3-(DATEDIF(Imóveis!$Q$3,Dados!$A961,"m")),)))*(Imóveis!$N$3/Imóveis!$S$3)))*Imóveis!$P$3))))*IF(AND(Imóveis!$E$3&gt;0,Dados!$A961&gt;Imóveis!$E$3),0,1)</f>
        <v>0</v>
      </c>
      <c r="K961" s="18">
        <f>IF(Imóveis!$F$4="PRICE",IF(AND(Dados!$A961&gt;=Imóveis!$Q$4,Dados!$A961&lt;=Imóveis!$T$4),Imóveis!$U$4,0),IF((IF(AND(Dados!$A961&gt;=Imóveis!$Q$4,Dados!$A961&lt;=Imóveis!$T$4),Imóveis!$S$4-(DATEDIF(Imóveis!$Q$4,Dados!$A961,"m")),0))=0,0,((Imóveis!$N$4/Imóveis!$S$4)+((Imóveis!$N$4-((Imóveis!$S$4-(IF(AND(Dados!$A961&gt;=Imóveis!$Q$4,Dados!$A961&lt;=Imóveis!$T$4),Imóveis!$S$4-(DATEDIF(Imóveis!$Q$4,Dados!$A961,"m")),)))*(Imóveis!$N$4/Imóveis!$S$4)))*Imóveis!$P$4))))*IF(AND(Imóveis!$E$4&gt;0,Dados!$A961&gt;Imóveis!$E$4),0,1)</f>
        <v>0</v>
      </c>
      <c r="L961" s="18">
        <f>IF(Imóveis!$F$5="PRICE",IF(AND(Dados!$A961&gt;=Imóveis!$Q$5,Dados!$A961&lt;=Imóveis!$T$5),Imóveis!$U$5,0),IF((IF(AND(Dados!$A961&gt;=Imóveis!$Q$5,Dados!$A961&lt;=Imóveis!$T$5),Imóveis!$S$5-(DATEDIF(Imóveis!$Q$5,Dados!$A961,"m")),0))=0,0,((Imóveis!$N$5/Imóveis!$S$5)+((Imóveis!$N$5-((Imóveis!$S$5-(IF(AND(Dados!$A961 &gt;=Imóveis!$Q$5,Dados!$A961&lt;=Imóveis!$T$5),Imóveis!$S$5-(DATEDIF(Imóveis!$Q$5,Dados!$A961,"m")),)))*(Imóveis!$N$5/Imóveis!$S$5)))*Imóveis!$P$5))))*IF(AND(Imóveis!$E$5&gt;0,Dados!$A961&gt;Imóveis!$E$5),0,1)*Imóveis!$I$5</f>
        <v>0</v>
      </c>
      <c r="M961" s="18">
        <f>IF(Imóveis!$F$6="PRICE",IF(AND(Dados!$A961&gt;=Imóveis!$Q$6,Dados!$A961&lt;=Imóveis!$T$6),Imóveis!$U$6,0),IF((IF(AND(Dados!$A961&gt;=Imóveis!$Q$6,Dados!$A961&lt;=Imóveis!$T$6),Imóveis!$S$6-(DATEDIF(Imóveis!$Q$6,Dados!$A961,"m")),0))=0,0,((Imóveis!$N$6/Imóveis!$S$6)+((Imóveis!$N$6-((Imóveis!$S$6-(IF(AND(Dados!$A961&gt;=Imóveis!$Q$6,Dados!$A961&lt;=Imóveis!$T$6),Imóveis!$S$6-(DATEDIF(Imóveis!$Q$6,Dados!$A961,"m")),)))*(Imóveis!$N$6/Imóveis!$S$6)))*Imóveis!$P$6))))*IF(AND(Imóveis!$E$6&gt;0,Dados!$A961&gt;Imóveis!$E$6),0,1)*Imóveis!$I$6</f>
        <v>0</v>
      </c>
      <c r="N961" s="18">
        <f t="shared" si="117"/>
        <v>0</v>
      </c>
      <c r="O961" s="18">
        <f>SUMIFS(Receitas!$F:$F,Receitas!$J:$J,"&lt;="&amp;$A961,Receitas!$L:$L,"&gt;="&amp;$A961,Receitas!$C:$C,O$1,Receitas!$M:$M,"Mensal")+SUMIFS(Receitas!$F:$F,Receitas!$J:$J,"&lt;="&amp;$A961,Receitas!$L:$L,"&gt;="&amp;$A961,Receitas!$C:$C,O$1,Receitas!$M:$M,$B961)</f>
        <v>0</v>
      </c>
      <c r="P961" s="18">
        <f>SUMIFS(Receitas!$F:$F,Receitas!$J:$J,"&lt;="&amp;$A961,Receitas!$L:$L,"&gt;="&amp;$A961,Receitas!$C:$C,P$1,Receitas!$M:$M,"Mensal")+SUMIFS(Receitas!$F:$F,Receitas!$J:$J,"&lt;="&amp;$A961,Receitas!$L:$L,"&gt;="&amp;$A961,Receitas!$C:$C,P$1,Receitas!$M:$M,$B961)</f>
        <v>0</v>
      </c>
      <c r="Q961" s="18">
        <f>SUMIFS(Receitas!$F:$F,Receitas!$J:$J,"&lt;="&amp;$A961,Receitas!$L:$L,"&gt;="&amp;$A961,Receitas!$C:$C,Q$1,Receitas!$M:$M,"Mensal")+SUMIFS(Receitas!$F:$F,Receitas!$J:$J,"&lt;="&amp;$A961,Receitas!$L:$L,"&gt;="&amp;$A961,Receitas!$C:$C,Q$1,Receitas!$M:$M,$B961)</f>
        <v>0</v>
      </c>
      <c r="R961" s="18" cm="1">
        <f t="array" ref="R961">(IF(AND(Membros!$F$2="Sim",A961&lt;=MAX(Membros!$E$2:$E$5)),Membros!K$2,IF(AND(A961&gt;=Membros!J$2,A961&lt;=MAX(Membros!$E$2:$E$5)),Membros!K$2,0))+IF(AND(Membros!$F$3="Sim",A961&lt;=MAX(Membros!$E$2:$E$5)),Membros!K$3,IF(AND(A961&gt;=Membros!J$3,A961&lt;=MAX(Membros!$E$2:$E$5)),Membros!K$3,0)))*IF(AND(COUNTIFS(Tabela3[Tipo],"Provedor",Tabela3[Simulação Seguro],"Sim")=2,A961&gt;=MAX(IF(Tabela3[Tipo]="Dependente",Tabela3[Expectativa de Vida (Data)]))),0,1)</f>
        <v>0</v>
      </c>
      <c r="S961" s="18">
        <f t="shared" si="118"/>
        <v>0</v>
      </c>
      <c r="U961" s="18">
        <f t="shared" ca="1" si="121"/>
        <v>108624854.9190993</v>
      </c>
      <c r="V961" s="18">
        <f>SUMIF(Imóveis!E:E,Dados!A:A,Imóveis!Z:Z)-SUMIF(Imóveis!E:E,Dados!A:A,Imóveis!Y:Y)</f>
        <v>0</v>
      </c>
      <c r="W961" s="18">
        <f>-SUMIF(Projetos!N:N,A961,Projetos!F:F)</f>
        <v>0</v>
      </c>
      <c r="X961" s="18">
        <f t="shared" si="115"/>
        <v>0</v>
      </c>
      <c r="Y961" s="26">
        <f ca="1">(U961*((Indicadores_Economicos!D$2+1)^(1/12)-1))</f>
        <v>355609.50888424081</v>
      </c>
      <c r="Z961" s="18">
        <f t="shared" ca="1" si="119"/>
        <v>108980464.42798354</v>
      </c>
      <c r="AA961" s="18">
        <f ca="1">Auxiliar_Projetos!E961</f>
        <v>8.9834534242563045E-9</v>
      </c>
      <c r="AB961" s="18">
        <f ca="1">Auxiliar_Projetos!K961</f>
        <v>6.9103487878894661E-9</v>
      </c>
      <c r="AC961" s="18">
        <f ca="1">IF(Z961-AA961-AB961&gt;Investimentos!$C$14,Investimentos!$C$14,IF(Z961-AA961-AB961&lt;Investimentos!$C$14,Z961-AA961-AB961,0))</f>
        <v>300000</v>
      </c>
      <c r="AD961" s="18">
        <f t="shared" ca="1" si="120"/>
        <v>108680464.42798352</v>
      </c>
      <c r="AE961" s="18"/>
    </row>
    <row r="962" spans="1:31" x14ac:dyDescent="0.2">
      <c r="A962" s="4">
        <v>74877</v>
      </c>
      <c r="B962" s="5" t="str">
        <f t="shared" si="116"/>
        <v>janeiro</v>
      </c>
      <c r="C962" s="5" t="str">
        <f t="shared" si="122"/>
        <v>2105</v>
      </c>
      <c r="D962" s="5">
        <f>SUMIFS(Despesas!$F:$F,Despesas!$J:$J,"&lt;="&amp;$A962,Despesas!$L:$L,"&gt;="&amp;$A962,Despesas!$C:$C,D$1,Despesas!$M:$M,"Mensal")+SUMIFS(Despesas!$F:$F,Despesas!$J:$J,"&lt;="&amp;$A962,Despesas!$L:$L,"&gt;="&amp;$A962,Despesas!$C:$C,D$1,Despesas!$M:$M,$B962)</f>
        <v>0</v>
      </c>
      <c r="E962" s="18">
        <f>SUMIFS(Despesas!$F:$F,Despesas!$J:$J,"&lt;="&amp;$A962,Despesas!$L:$L,"&gt;="&amp;$A962,Despesas!$C:$C,E$1,Despesas!$M:$M,"Mensal")+SUMIFS(Despesas!$F:$F,Despesas!$J:$J,"&lt;="&amp;$A962,Despesas!$L:$L,"&gt;="&amp;$A962,Despesas!$C:$C,E$1,Despesas!$M:$M,$B962)</f>
        <v>0</v>
      </c>
      <c r="F962" s="5">
        <f>SUMIFS(Despesas!$F:$F,Despesas!$J:$J,"&lt;="&amp;$A962,Despesas!$L:$L,"&gt;="&amp;$A962,Despesas!$C:$C,F$1,Despesas!$M:$M,"Mensal")+SUMIFS(Despesas!$F:$F,Despesas!$J:$J,"&lt;="&amp;$A962,Despesas!$L:$L,"&gt;="&amp;$A962,Despesas!$C:$C,F$1,Despesas!$M:$M,$B962)</f>
        <v>0</v>
      </c>
      <c r="G962" s="5">
        <f>SUMIFS(Despesas!$F:$F,Despesas!$J:$J,"&lt;="&amp;$A962,Despesas!$L:$L,"&gt;="&amp;$A962,Despesas!$C:$C,G$1,Despesas!$M:$M,"Mensal")+SUMIFS(Despesas!$F:$F,Despesas!$J:$J,"&lt;="&amp;$A962,Despesas!$L:$L,"&gt;="&amp;$A962,Despesas!$C:$C,G$1,Despesas!$M:$M,$B962)</f>
        <v>0</v>
      </c>
      <c r="H962" s="18">
        <f>SUMIFS(Despesas!$F:$F,Despesas!$J:$J,"&lt;="&amp;$A962,Despesas!$L:$L,"&gt;="&amp;$A962,Despesas!$C:$C,H$1,Despesas!$M:$M,"Mensal")+SUMIFS(Despesas!$F:$F,Despesas!$J:$J,"&lt;="&amp;$A962,Despesas!$L:$L,"&gt;="&amp;$A962,Despesas!$C:$C,H$1,Despesas!$M:$M,$B962)</f>
        <v>0</v>
      </c>
      <c r="I962" s="18">
        <f>IF(Imóveis!$F$2="PRICE",IF(AND(Dados!$A962&gt;=Imóveis!$Q$2,Dados!$A962&lt;=Imóveis!$T$2),Imóveis!$U$2,0),IF((IF(AND(Dados!$A962&gt;=Imóveis!$Q$2,Dados!$A962&lt;=Imóveis!$T$2),Imóveis!$S$2-(DATEDIF(Imóveis!$Q$2,Dados!$A962,"m")),0))=0,0,((Imóveis!$N$2/Imóveis!$S$2)+((Imóveis!$N$2-((Imóveis!$S$2-(IF(AND(Dados!$A962&gt;=Imóveis!$Q$2,Dados!$A962&lt;=Imóveis!$T$2),Imóveis!$S$2-(DATEDIF(Imóveis!$Q$2,Dados!$A962,"m")),)))*(Imóveis!$N$2/Imóveis!$S$2)))*Imóveis!$P$2))))*IF(AND(Imóveis!$E$2&gt;0,Dados!$A962&gt;Imóveis!$E$2),0,1)</f>
        <v>0</v>
      </c>
      <c r="J962" s="18">
        <f>IF(Imóveis!$F$3="PRICE",IF(AND(Dados!$A962&gt;=Imóveis!$Q$3,Dados!$A962&lt;=Imóveis!$T$3),Imóveis!$U$3,0),IF((IF(AND(Dados!$A962&gt;=Imóveis!$Q$3,Dados!$A962&lt;=Imóveis!$T$3),Imóveis!$S$3-(DATEDIF(Imóveis!$Q$3,Dados!$A962,"m")),0))=0,0,((Imóveis!$N$3/Imóveis!$S$3)+((Imóveis!$N$3-((Imóveis!$S$3-(IF(AND(Dados!$A962&gt;=Imóveis!$Q$3,Dados!$A962&lt;=Imóveis!$T$3),Imóveis!$S$3-(DATEDIF(Imóveis!$Q$3,Dados!$A962,"m")),)))*(Imóveis!$N$3/Imóveis!$S$3)))*Imóveis!$P$3))))*IF(AND(Imóveis!$E$3&gt;0,Dados!$A962&gt;Imóveis!$E$3),0,1)</f>
        <v>0</v>
      </c>
      <c r="K962" s="18">
        <f>IF(Imóveis!$F$4="PRICE",IF(AND(Dados!$A962&gt;=Imóveis!$Q$4,Dados!$A962&lt;=Imóveis!$T$4),Imóveis!$U$4,0),IF((IF(AND(Dados!$A962&gt;=Imóveis!$Q$4,Dados!$A962&lt;=Imóveis!$T$4),Imóveis!$S$4-(DATEDIF(Imóveis!$Q$4,Dados!$A962,"m")),0))=0,0,((Imóveis!$N$4/Imóveis!$S$4)+((Imóveis!$N$4-((Imóveis!$S$4-(IF(AND(Dados!$A962&gt;=Imóveis!$Q$4,Dados!$A962&lt;=Imóveis!$T$4),Imóveis!$S$4-(DATEDIF(Imóveis!$Q$4,Dados!$A962,"m")),)))*(Imóveis!$N$4/Imóveis!$S$4)))*Imóveis!$P$4))))*IF(AND(Imóveis!$E$4&gt;0,Dados!$A962&gt;Imóveis!$E$4),0,1)</f>
        <v>0</v>
      </c>
      <c r="L962" s="18">
        <f>IF(Imóveis!$F$5="PRICE",IF(AND(Dados!$A962&gt;=Imóveis!$Q$5,Dados!$A962&lt;=Imóveis!$T$5),Imóveis!$U$5,0),IF((IF(AND(Dados!$A962&gt;=Imóveis!$Q$5,Dados!$A962&lt;=Imóveis!$T$5),Imóveis!$S$5-(DATEDIF(Imóveis!$Q$5,Dados!$A962,"m")),0))=0,0,((Imóveis!$N$5/Imóveis!$S$5)+((Imóveis!$N$5-((Imóveis!$S$5-(IF(AND(Dados!$A962 &gt;=Imóveis!$Q$5,Dados!$A962&lt;=Imóveis!$T$5),Imóveis!$S$5-(DATEDIF(Imóveis!$Q$5,Dados!$A962,"m")),)))*(Imóveis!$N$5/Imóveis!$S$5)))*Imóveis!$P$5))))*IF(AND(Imóveis!$E$5&gt;0,Dados!$A962&gt;Imóveis!$E$5),0,1)*Imóveis!$I$5</f>
        <v>0</v>
      </c>
      <c r="M962" s="18">
        <f>IF(Imóveis!$F$6="PRICE",IF(AND(Dados!$A962&gt;=Imóveis!$Q$6,Dados!$A962&lt;=Imóveis!$T$6),Imóveis!$U$6,0),IF((IF(AND(Dados!$A962&gt;=Imóveis!$Q$6,Dados!$A962&lt;=Imóveis!$T$6),Imóveis!$S$6-(DATEDIF(Imóveis!$Q$6,Dados!$A962,"m")),0))=0,0,((Imóveis!$N$6/Imóveis!$S$6)+((Imóveis!$N$6-((Imóveis!$S$6-(IF(AND(Dados!$A962&gt;=Imóveis!$Q$6,Dados!$A962&lt;=Imóveis!$T$6),Imóveis!$S$6-(DATEDIF(Imóveis!$Q$6,Dados!$A962,"m")),)))*(Imóveis!$N$6/Imóveis!$S$6)))*Imóveis!$P$6))))*IF(AND(Imóveis!$E$6&gt;0,Dados!$A962&gt;Imóveis!$E$6),0,1)*Imóveis!$I$6</f>
        <v>0</v>
      </c>
      <c r="N962" s="18">
        <f t="shared" si="117"/>
        <v>0</v>
      </c>
      <c r="O962" s="18">
        <f>SUMIFS(Receitas!$F:$F,Receitas!$J:$J,"&lt;="&amp;$A962,Receitas!$L:$L,"&gt;="&amp;$A962,Receitas!$C:$C,O$1,Receitas!$M:$M,"Mensal")+SUMIFS(Receitas!$F:$F,Receitas!$J:$J,"&lt;="&amp;$A962,Receitas!$L:$L,"&gt;="&amp;$A962,Receitas!$C:$C,O$1,Receitas!$M:$M,$B962)</f>
        <v>0</v>
      </c>
      <c r="P962" s="18">
        <f>SUMIFS(Receitas!$F:$F,Receitas!$J:$J,"&lt;="&amp;$A962,Receitas!$L:$L,"&gt;="&amp;$A962,Receitas!$C:$C,P$1,Receitas!$M:$M,"Mensal")+SUMIFS(Receitas!$F:$F,Receitas!$J:$J,"&lt;="&amp;$A962,Receitas!$L:$L,"&gt;="&amp;$A962,Receitas!$C:$C,P$1,Receitas!$M:$M,$B962)</f>
        <v>0</v>
      </c>
      <c r="Q962" s="18">
        <f>SUMIFS(Receitas!$F:$F,Receitas!$J:$J,"&lt;="&amp;$A962,Receitas!$L:$L,"&gt;="&amp;$A962,Receitas!$C:$C,Q$1,Receitas!$M:$M,"Mensal")+SUMIFS(Receitas!$F:$F,Receitas!$J:$J,"&lt;="&amp;$A962,Receitas!$L:$L,"&gt;="&amp;$A962,Receitas!$C:$C,Q$1,Receitas!$M:$M,$B962)</f>
        <v>0</v>
      </c>
      <c r="R962" s="18" cm="1">
        <f t="array" ref="R962">(IF(AND(Membros!$F$2="Sim",A962&lt;=MAX(Membros!$E$2:$E$5)),Membros!K$2,IF(AND(A962&gt;=Membros!J$2,A962&lt;=MAX(Membros!$E$2:$E$5)),Membros!K$2,0))+IF(AND(Membros!$F$3="Sim",A962&lt;=MAX(Membros!$E$2:$E$5)),Membros!K$3,IF(AND(A962&gt;=Membros!J$3,A962&lt;=MAX(Membros!$E$2:$E$5)),Membros!K$3,0)))*IF(AND(COUNTIFS(Tabela3[Tipo],"Provedor",Tabela3[Simulação Seguro],"Sim")=2,A962&gt;=MAX(IF(Tabela3[Tipo]="Dependente",Tabela3[Expectativa de Vida (Data)]))),0,1)</f>
        <v>0</v>
      </c>
      <c r="S962" s="18">
        <f t="shared" si="118"/>
        <v>0</v>
      </c>
      <c r="U962" s="18">
        <f t="shared" ca="1" si="121"/>
        <v>108980464.42798354</v>
      </c>
      <c r="V962" s="18">
        <f>SUMIF(Imóveis!E:E,Dados!A:A,Imóveis!Z:Z)-SUMIF(Imóveis!E:E,Dados!A:A,Imóveis!Y:Y)</f>
        <v>0</v>
      </c>
      <c r="W962" s="18">
        <f>-SUMIF(Projetos!N:N,A962,Projetos!F:F)</f>
        <v>0</v>
      </c>
      <c r="X962" s="18">
        <f t="shared" ref="X962:X1025" si="123">(S962-N962)</f>
        <v>0</v>
      </c>
      <c r="Y962" s="26">
        <f ca="1">(U962*((Indicadores_Economicos!D$2+1)^(1/12)-1))</f>
        <v>356773.68188040337</v>
      </c>
      <c r="Z962" s="18">
        <f t="shared" ca="1" si="119"/>
        <v>109337238.10986394</v>
      </c>
      <c r="AA962" s="18">
        <f ca="1">Auxiliar_Projetos!E962</f>
        <v>9.0128629131128231E-9</v>
      </c>
      <c r="AB962" s="18">
        <f ca="1">Auxiliar_Projetos!K962</f>
        <v>6.9329714716252499E-9</v>
      </c>
      <c r="AC962" s="18">
        <f ca="1">IF(Z962-AA962-AB962&gt;Investimentos!$C$14,Investimentos!$C$14,IF(Z962-AA962-AB962&lt;Investimentos!$C$14,Z962-AA962-AB962,0))</f>
        <v>300000</v>
      </c>
      <c r="AD962" s="18">
        <f t="shared" ca="1" si="120"/>
        <v>109037238.10986392</v>
      </c>
      <c r="AE962" s="18"/>
    </row>
    <row r="963" spans="1:31" x14ac:dyDescent="0.2">
      <c r="A963" s="4">
        <v>74908</v>
      </c>
      <c r="B963" s="5" t="str">
        <f t="shared" ref="B963:B1026" si="124">TEXT(A963,"MMMM")</f>
        <v>fevereiro</v>
      </c>
      <c r="C963" s="5" t="str">
        <f t="shared" si="122"/>
        <v>2105</v>
      </c>
      <c r="D963" s="5">
        <f>SUMIFS(Despesas!$F:$F,Despesas!$J:$J,"&lt;="&amp;$A963,Despesas!$L:$L,"&gt;="&amp;$A963,Despesas!$C:$C,D$1,Despesas!$M:$M,"Mensal")+SUMIFS(Despesas!$F:$F,Despesas!$J:$J,"&lt;="&amp;$A963,Despesas!$L:$L,"&gt;="&amp;$A963,Despesas!$C:$C,D$1,Despesas!$M:$M,$B963)</f>
        <v>0</v>
      </c>
      <c r="E963" s="18">
        <f>SUMIFS(Despesas!$F:$F,Despesas!$J:$J,"&lt;="&amp;$A963,Despesas!$L:$L,"&gt;="&amp;$A963,Despesas!$C:$C,E$1,Despesas!$M:$M,"Mensal")+SUMIFS(Despesas!$F:$F,Despesas!$J:$J,"&lt;="&amp;$A963,Despesas!$L:$L,"&gt;="&amp;$A963,Despesas!$C:$C,E$1,Despesas!$M:$M,$B963)</f>
        <v>0</v>
      </c>
      <c r="F963" s="5">
        <f>SUMIFS(Despesas!$F:$F,Despesas!$J:$J,"&lt;="&amp;$A963,Despesas!$L:$L,"&gt;="&amp;$A963,Despesas!$C:$C,F$1,Despesas!$M:$M,"Mensal")+SUMIFS(Despesas!$F:$F,Despesas!$J:$J,"&lt;="&amp;$A963,Despesas!$L:$L,"&gt;="&amp;$A963,Despesas!$C:$C,F$1,Despesas!$M:$M,$B963)</f>
        <v>0</v>
      </c>
      <c r="G963" s="5">
        <f>SUMIFS(Despesas!$F:$F,Despesas!$J:$J,"&lt;="&amp;$A963,Despesas!$L:$L,"&gt;="&amp;$A963,Despesas!$C:$C,G$1,Despesas!$M:$M,"Mensal")+SUMIFS(Despesas!$F:$F,Despesas!$J:$J,"&lt;="&amp;$A963,Despesas!$L:$L,"&gt;="&amp;$A963,Despesas!$C:$C,G$1,Despesas!$M:$M,$B963)</f>
        <v>0</v>
      </c>
      <c r="H963" s="18">
        <f>SUMIFS(Despesas!$F:$F,Despesas!$J:$J,"&lt;="&amp;$A963,Despesas!$L:$L,"&gt;="&amp;$A963,Despesas!$C:$C,H$1,Despesas!$M:$M,"Mensal")+SUMIFS(Despesas!$F:$F,Despesas!$J:$J,"&lt;="&amp;$A963,Despesas!$L:$L,"&gt;="&amp;$A963,Despesas!$C:$C,H$1,Despesas!$M:$M,$B963)</f>
        <v>0</v>
      </c>
      <c r="I963" s="18">
        <f>IF(Imóveis!$F$2="PRICE",IF(AND(Dados!$A963&gt;=Imóveis!$Q$2,Dados!$A963&lt;=Imóveis!$T$2),Imóveis!$U$2,0),IF((IF(AND(Dados!$A963&gt;=Imóveis!$Q$2,Dados!$A963&lt;=Imóveis!$T$2),Imóveis!$S$2-(DATEDIF(Imóveis!$Q$2,Dados!$A963,"m")),0))=0,0,((Imóveis!$N$2/Imóveis!$S$2)+((Imóveis!$N$2-((Imóveis!$S$2-(IF(AND(Dados!$A963&gt;=Imóveis!$Q$2,Dados!$A963&lt;=Imóveis!$T$2),Imóveis!$S$2-(DATEDIF(Imóveis!$Q$2,Dados!$A963,"m")),)))*(Imóveis!$N$2/Imóveis!$S$2)))*Imóveis!$P$2))))*IF(AND(Imóveis!$E$2&gt;0,Dados!$A963&gt;Imóveis!$E$2),0,1)</f>
        <v>0</v>
      </c>
      <c r="J963" s="18">
        <f>IF(Imóveis!$F$3="PRICE",IF(AND(Dados!$A963&gt;=Imóveis!$Q$3,Dados!$A963&lt;=Imóveis!$T$3),Imóveis!$U$3,0),IF((IF(AND(Dados!$A963&gt;=Imóveis!$Q$3,Dados!$A963&lt;=Imóveis!$T$3),Imóveis!$S$3-(DATEDIF(Imóveis!$Q$3,Dados!$A963,"m")),0))=0,0,((Imóveis!$N$3/Imóveis!$S$3)+((Imóveis!$N$3-((Imóveis!$S$3-(IF(AND(Dados!$A963&gt;=Imóveis!$Q$3,Dados!$A963&lt;=Imóveis!$T$3),Imóveis!$S$3-(DATEDIF(Imóveis!$Q$3,Dados!$A963,"m")),)))*(Imóveis!$N$3/Imóveis!$S$3)))*Imóveis!$P$3))))*IF(AND(Imóveis!$E$3&gt;0,Dados!$A963&gt;Imóveis!$E$3),0,1)</f>
        <v>0</v>
      </c>
      <c r="K963" s="18">
        <f>IF(Imóveis!$F$4="PRICE",IF(AND(Dados!$A963&gt;=Imóveis!$Q$4,Dados!$A963&lt;=Imóveis!$T$4),Imóveis!$U$4,0),IF((IF(AND(Dados!$A963&gt;=Imóveis!$Q$4,Dados!$A963&lt;=Imóveis!$T$4),Imóveis!$S$4-(DATEDIF(Imóveis!$Q$4,Dados!$A963,"m")),0))=0,0,((Imóveis!$N$4/Imóveis!$S$4)+((Imóveis!$N$4-((Imóveis!$S$4-(IF(AND(Dados!$A963&gt;=Imóveis!$Q$4,Dados!$A963&lt;=Imóveis!$T$4),Imóveis!$S$4-(DATEDIF(Imóveis!$Q$4,Dados!$A963,"m")),)))*(Imóveis!$N$4/Imóveis!$S$4)))*Imóveis!$P$4))))*IF(AND(Imóveis!$E$4&gt;0,Dados!$A963&gt;Imóveis!$E$4),0,1)</f>
        <v>0</v>
      </c>
      <c r="L963" s="18">
        <f>IF(Imóveis!$F$5="PRICE",IF(AND(Dados!$A963&gt;=Imóveis!$Q$5,Dados!$A963&lt;=Imóveis!$T$5),Imóveis!$U$5,0),IF((IF(AND(Dados!$A963&gt;=Imóveis!$Q$5,Dados!$A963&lt;=Imóveis!$T$5),Imóveis!$S$5-(DATEDIF(Imóveis!$Q$5,Dados!$A963,"m")),0))=0,0,((Imóveis!$N$5/Imóveis!$S$5)+((Imóveis!$N$5-((Imóveis!$S$5-(IF(AND(Dados!$A963 &gt;=Imóveis!$Q$5,Dados!$A963&lt;=Imóveis!$T$5),Imóveis!$S$5-(DATEDIF(Imóveis!$Q$5,Dados!$A963,"m")),)))*(Imóveis!$N$5/Imóveis!$S$5)))*Imóveis!$P$5))))*IF(AND(Imóveis!$E$5&gt;0,Dados!$A963&gt;Imóveis!$E$5),0,1)*Imóveis!$I$5</f>
        <v>0</v>
      </c>
      <c r="M963" s="18">
        <f>IF(Imóveis!$F$6="PRICE",IF(AND(Dados!$A963&gt;=Imóveis!$Q$6,Dados!$A963&lt;=Imóveis!$T$6),Imóveis!$U$6,0),IF((IF(AND(Dados!$A963&gt;=Imóveis!$Q$6,Dados!$A963&lt;=Imóveis!$T$6),Imóveis!$S$6-(DATEDIF(Imóveis!$Q$6,Dados!$A963,"m")),0))=0,0,((Imóveis!$N$6/Imóveis!$S$6)+((Imóveis!$N$6-((Imóveis!$S$6-(IF(AND(Dados!$A963&gt;=Imóveis!$Q$6,Dados!$A963&lt;=Imóveis!$T$6),Imóveis!$S$6-(DATEDIF(Imóveis!$Q$6,Dados!$A963,"m")),)))*(Imóveis!$N$6/Imóveis!$S$6)))*Imóveis!$P$6))))*IF(AND(Imóveis!$E$6&gt;0,Dados!$A963&gt;Imóveis!$E$6),0,1)*Imóveis!$I$6</f>
        <v>0</v>
      </c>
      <c r="N963" s="18">
        <f t="shared" ref="N963:N1026" si="125">SUM(D963:M963)</f>
        <v>0</v>
      </c>
      <c r="O963" s="18">
        <f>SUMIFS(Receitas!$F:$F,Receitas!$J:$J,"&lt;="&amp;$A963,Receitas!$L:$L,"&gt;="&amp;$A963,Receitas!$C:$C,O$1,Receitas!$M:$M,"Mensal")+SUMIFS(Receitas!$F:$F,Receitas!$J:$J,"&lt;="&amp;$A963,Receitas!$L:$L,"&gt;="&amp;$A963,Receitas!$C:$C,O$1,Receitas!$M:$M,$B963)</f>
        <v>0</v>
      </c>
      <c r="P963" s="18">
        <f>SUMIFS(Receitas!$F:$F,Receitas!$J:$J,"&lt;="&amp;$A963,Receitas!$L:$L,"&gt;="&amp;$A963,Receitas!$C:$C,P$1,Receitas!$M:$M,"Mensal")+SUMIFS(Receitas!$F:$F,Receitas!$J:$J,"&lt;="&amp;$A963,Receitas!$L:$L,"&gt;="&amp;$A963,Receitas!$C:$C,P$1,Receitas!$M:$M,$B963)</f>
        <v>0</v>
      </c>
      <c r="Q963" s="18">
        <f>SUMIFS(Receitas!$F:$F,Receitas!$J:$J,"&lt;="&amp;$A963,Receitas!$L:$L,"&gt;="&amp;$A963,Receitas!$C:$C,Q$1,Receitas!$M:$M,"Mensal")+SUMIFS(Receitas!$F:$F,Receitas!$J:$J,"&lt;="&amp;$A963,Receitas!$L:$L,"&gt;="&amp;$A963,Receitas!$C:$C,Q$1,Receitas!$M:$M,$B963)</f>
        <v>0</v>
      </c>
      <c r="R963" s="18" cm="1">
        <f t="array" ref="R963">(IF(AND(Membros!$F$2="Sim",A963&lt;=MAX(Membros!$E$2:$E$5)),Membros!K$2,IF(AND(A963&gt;=Membros!J$2,A963&lt;=MAX(Membros!$E$2:$E$5)),Membros!K$2,0))+IF(AND(Membros!$F$3="Sim",A963&lt;=MAX(Membros!$E$2:$E$5)),Membros!K$3,IF(AND(A963&gt;=Membros!J$3,A963&lt;=MAX(Membros!$E$2:$E$5)),Membros!K$3,0)))*IF(AND(COUNTIFS(Tabela3[Tipo],"Provedor",Tabela3[Simulação Seguro],"Sim")=2,A963&gt;=MAX(IF(Tabela3[Tipo]="Dependente",Tabela3[Expectativa de Vida (Data)]))),0,1)</f>
        <v>0</v>
      </c>
      <c r="S963" s="18">
        <f t="shared" ref="S963:S1026" si="126">O963+P963+Q963+R963</f>
        <v>0</v>
      </c>
      <c r="U963" s="18">
        <f t="shared" ca="1" si="121"/>
        <v>109337238.10986394</v>
      </c>
      <c r="V963" s="18">
        <f>SUMIF(Imóveis!E:E,Dados!A:A,Imóveis!Z:Z)-SUMIF(Imóveis!E:E,Dados!A:A,Imóveis!Y:Y)</f>
        <v>0</v>
      </c>
      <c r="W963" s="18">
        <f>-SUMIF(Projetos!N:N,A963,Projetos!F:F)</f>
        <v>0</v>
      </c>
      <c r="X963" s="18">
        <f t="shared" si="123"/>
        <v>0</v>
      </c>
      <c r="Y963" s="26">
        <f ca="1">(U963*((Indicadores_Economicos!D$2+1)^(1/12)-1))</f>
        <v>357941.66607601685</v>
      </c>
      <c r="Z963" s="18">
        <f t="shared" ref="Z963:Z1026" ca="1" si="127">U963+V963+W963+X963+Y963</f>
        <v>109695179.77593996</v>
      </c>
      <c r="AA963" s="18">
        <f ca="1">Auxiliar_Projetos!E963</f>
        <v>9.0423686809829863E-9</v>
      </c>
      <c r="AB963" s="18">
        <f ca="1">Auxiliar_Projetos!K963</f>
        <v>6.9556682161407592E-9</v>
      </c>
      <c r="AC963" s="18">
        <f ca="1">IF(Z963-AA963-AB963&gt;Investimentos!$C$14,Investimentos!$C$14,IF(Z963-AA963-AB963&lt;Investimentos!$C$14,Z963-AA963-AB963,0))</f>
        <v>300000</v>
      </c>
      <c r="AD963" s="18">
        <f t="shared" ref="AD963:AD1026" ca="1" si="128">Z963-AA963-AB963-AC963</f>
        <v>109395179.77593994</v>
      </c>
      <c r="AE963" s="18"/>
    </row>
    <row r="964" spans="1:31" x14ac:dyDescent="0.2">
      <c r="A964" s="4">
        <v>74936</v>
      </c>
      <c r="B964" s="5" t="str">
        <f t="shared" si="124"/>
        <v>março</v>
      </c>
      <c r="C964" s="5" t="str">
        <f t="shared" si="122"/>
        <v>2105</v>
      </c>
      <c r="D964" s="5">
        <f>SUMIFS(Despesas!$F:$F,Despesas!$J:$J,"&lt;="&amp;$A964,Despesas!$L:$L,"&gt;="&amp;$A964,Despesas!$C:$C,D$1,Despesas!$M:$M,"Mensal")+SUMIFS(Despesas!$F:$F,Despesas!$J:$J,"&lt;="&amp;$A964,Despesas!$L:$L,"&gt;="&amp;$A964,Despesas!$C:$C,D$1,Despesas!$M:$M,$B964)</f>
        <v>0</v>
      </c>
      <c r="E964" s="18">
        <f>SUMIFS(Despesas!$F:$F,Despesas!$J:$J,"&lt;="&amp;$A964,Despesas!$L:$L,"&gt;="&amp;$A964,Despesas!$C:$C,E$1,Despesas!$M:$M,"Mensal")+SUMIFS(Despesas!$F:$F,Despesas!$J:$J,"&lt;="&amp;$A964,Despesas!$L:$L,"&gt;="&amp;$A964,Despesas!$C:$C,E$1,Despesas!$M:$M,$B964)</f>
        <v>0</v>
      </c>
      <c r="F964" s="5">
        <f>SUMIFS(Despesas!$F:$F,Despesas!$J:$J,"&lt;="&amp;$A964,Despesas!$L:$L,"&gt;="&amp;$A964,Despesas!$C:$C,F$1,Despesas!$M:$M,"Mensal")+SUMIFS(Despesas!$F:$F,Despesas!$J:$J,"&lt;="&amp;$A964,Despesas!$L:$L,"&gt;="&amp;$A964,Despesas!$C:$C,F$1,Despesas!$M:$M,$B964)</f>
        <v>0</v>
      </c>
      <c r="G964" s="5">
        <f>SUMIFS(Despesas!$F:$F,Despesas!$J:$J,"&lt;="&amp;$A964,Despesas!$L:$L,"&gt;="&amp;$A964,Despesas!$C:$C,G$1,Despesas!$M:$M,"Mensal")+SUMIFS(Despesas!$F:$F,Despesas!$J:$J,"&lt;="&amp;$A964,Despesas!$L:$L,"&gt;="&amp;$A964,Despesas!$C:$C,G$1,Despesas!$M:$M,$B964)</f>
        <v>0</v>
      </c>
      <c r="H964" s="18">
        <f>SUMIFS(Despesas!$F:$F,Despesas!$J:$J,"&lt;="&amp;$A964,Despesas!$L:$L,"&gt;="&amp;$A964,Despesas!$C:$C,H$1,Despesas!$M:$M,"Mensal")+SUMIFS(Despesas!$F:$F,Despesas!$J:$J,"&lt;="&amp;$A964,Despesas!$L:$L,"&gt;="&amp;$A964,Despesas!$C:$C,H$1,Despesas!$M:$M,$B964)</f>
        <v>0</v>
      </c>
      <c r="I964" s="18">
        <f>IF(Imóveis!$F$2="PRICE",IF(AND(Dados!$A964&gt;=Imóveis!$Q$2,Dados!$A964&lt;=Imóveis!$T$2),Imóveis!$U$2,0),IF((IF(AND(Dados!$A964&gt;=Imóveis!$Q$2,Dados!$A964&lt;=Imóveis!$T$2),Imóveis!$S$2-(DATEDIF(Imóveis!$Q$2,Dados!$A964,"m")),0))=0,0,((Imóveis!$N$2/Imóveis!$S$2)+((Imóveis!$N$2-((Imóveis!$S$2-(IF(AND(Dados!$A964&gt;=Imóveis!$Q$2,Dados!$A964&lt;=Imóveis!$T$2),Imóveis!$S$2-(DATEDIF(Imóveis!$Q$2,Dados!$A964,"m")),)))*(Imóveis!$N$2/Imóveis!$S$2)))*Imóveis!$P$2))))*IF(AND(Imóveis!$E$2&gt;0,Dados!$A964&gt;Imóveis!$E$2),0,1)</f>
        <v>0</v>
      </c>
      <c r="J964" s="18">
        <f>IF(Imóveis!$F$3="PRICE",IF(AND(Dados!$A964&gt;=Imóveis!$Q$3,Dados!$A964&lt;=Imóveis!$T$3),Imóveis!$U$3,0),IF((IF(AND(Dados!$A964&gt;=Imóveis!$Q$3,Dados!$A964&lt;=Imóveis!$T$3),Imóveis!$S$3-(DATEDIF(Imóveis!$Q$3,Dados!$A964,"m")),0))=0,0,((Imóveis!$N$3/Imóveis!$S$3)+((Imóveis!$N$3-((Imóveis!$S$3-(IF(AND(Dados!$A964&gt;=Imóveis!$Q$3,Dados!$A964&lt;=Imóveis!$T$3),Imóveis!$S$3-(DATEDIF(Imóveis!$Q$3,Dados!$A964,"m")),)))*(Imóveis!$N$3/Imóveis!$S$3)))*Imóveis!$P$3))))*IF(AND(Imóveis!$E$3&gt;0,Dados!$A964&gt;Imóveis!$E$3),0,1)</f>
        <v>0</v>
      </c>
      <c r="K964" s="18">
        <f>IF(Imóveis!$F$4="PRICE",IF(AND(Dados!$A964&gt;=Imóveis!$Q$4,Dados!$A964&lt;=Imóveis!$T$4),Imóveis!$U$4,0),IF((IF(AND(Dados!$A964&gt;=Imóveis!$Q$4,Dados!$A964&lt;=Imóveis!$T$4),Imóveis!$S$4-(DATEDIF(Imóveis!$Q$4,Dados!$A964,"m")),0))=0,0,((Imóveis!$N$4/Imóveis!$S$4)+((Imóveis!$N$4-((Imóveis!$S$4-(IF(AND(Dados!$A964&gt;=Imóveis!$Q$4,Dados!$A964&lt;=Imóveis!$T$4),Imóveis!$S$4-(DATEDIF(Imóveis!$Q$4,Dados!$A964,"m")),)))*(Imóveis!$N$4/Imóveis!$S$4)))*Imóveis!$P$4))))*IF(AND(Imóveis!$E$4&gt;0,Dados!$A964&gt;Imóveis!$E$4),0,1)</f>
        <v>0</v>
      </c>
      <c r="L964" s="18">
        <f>IF(Imóveis!$F$5="PRICE",IF(AND(Dados!$A964&gt;=Imóveis!$Q$5,Dados!$A964&lt;=Imóveis!$T$5),Imóveis!$U$5,0),IF((IF(AND(Dados!$A964&gt;=Imóveis!$Q$5,Dados!$A964&lt;=Imóveis!$T$5),Imóveis!$S$5-(DATEDIF(Imóveis!$Q$5,Dados!$A964,"m")),0))=0,0,((Imóveis!$N$5/Imóveis!$S$5)+((Imóveis!$N$5-((Imóveis!$S$5-(IF(AND(Dados!$A964 &gt;=Imóveis!$Q$5,Dados!$A964&lt;=Imóveis!$T$5),Imóveis!$S$5-(DATEDIF(Imóveis!$Q$5,Dados!$A964,"m")),)))*(Imóveis!$N$5/Imóveis!$S$5)))*Imóveis!$P$5))))*IF(AND(Imóveis!$E$5&gt;0,Dados!$A964&gt;Imóveis!$E$5),0,1)*Imóveis!$I$5</f>
        <v>0</v>
      </c>
      <c r="M964" s="18">
        <f>IF(Imóveis!$F$6="PRICE",IF(AND(Dados!$A964&gt;=Imóveis!$Q$6,Dados!$A964&lt;=Imóveis!$T$6),Imóveis!$U$6,0),IF((IF(AND(Dados!$A964&gt;=Imóveis!$Q$6,Dados!$A964&lt;=Imóveis!$T$6),Imóveis!$S$6-(DATEDIF(Imóveis!$Q$6,Dados!$A964,"m")),0))=0,0,((Imóveis!$N$6/Imóveis!$S$6)+((Imóveis!$N$6-((Imóveis!$S$6-(IF(AND(Dados!$A964&gt;=Imóveis!$Q$6,Dados!$A964&lt;=Imóveis!$T$6),Imóveis!$S$6-(DATEDIF(Imóveis!$Q$6,Dados!$A964,"m")),)))*(Imóveis!$N$6/Imóveis!$S$6)))*Imóveis!$P$6))))*IF(AND(Imóveis!$E$6&gt;0,Dados!$A964&gt;Imóveis!$E$6),0,1)*Imóveis!$I$6</f>
        <v>0</v>
      </c>
      <c r="N964" s="18">
        <f t="shared" si="125"/>
        <v>0</v>
      </c>
      <c r="O964" s="18">
        <f>SUMIFS(Receitas!$F:$F,Receitas!$J:$J,"&lt;="&amp;$A964,Receitas!$L:$L,"&gt;="&amp;$A964,Receitas!$C:$C,O$1,Receitas!$M:$M,"Mensal")+SUMIFS(Receitas!$F:$F,Receitas!$J:$J,"&lt;="&amp;$A964,Receitas!$L:$L,"&gt;="&amp;$A964,Receitas!$C:$C,O$1,Receitas!$M:$M,$B964)</f>
        <v>0</v>
      </c>
      <c r="P964" s="18">
        <f>SUMIFS(Receitas!$F:$F,Receitas!$J:$J,"&lt;="&amp;$A964,Receitas!$L:$L,"&gt;="&amp;$A964,Receitas!$C:$C,P$1,Receitas!$M:$M,"Mensal")+SUMIFS(Receitas!$F:$F,Receitas!$J:$J,"&lt;="&amp;$A964,Receitas!$L:$L,"&gt;="&amp;$A964,Receitas!$C:$C,P$1,Receitas!$M:$M,$B964)</f>
        <v>0</v>
      </c>
      <c r="Q964" s="18">
        <f>SUMIFS(Receitas!$F:$F,Receitas!$J:$J,"&lt;="&amp;$A964,Receitas!$L:$L,"&gt;="&amp;$A964,Receitas!$C:$C,Q$1,Receitas!$M:$M,"Mensal")+SUMIFS(Receitas!$F:$F,Receitas!$J:$J,"&lt;="&amp;$A964,Receitas!$L:$L,"&gt;="&amp;$A964,Receitas!$C:$C,Q$1,Receitas!$M:$M,$B964)</f>
        <v>0</v>
      </c>
      <c r="R964" s="18" cm="1">
        <f t="array" ref="R964">(IF(AND(Membros!$F$2="Sim",A964&lt;=MAX(Membros!$E$2:$E$5)),Membros!K$2,IF(AND(A964&gt;=Membros!J$2,A964&lt;=MAX(Membros!$E$2:$E$5)),Membros!K$2,0))+IF(AND(Membros!$F$3="Sim",A964&lt;=MAX(Membros!$E$2:$E$5)),Membros!K$3,IF(AND(A964&gt;=Membros!J$3,A964&lt;=MAX(Membros!$E$2:$E$5)),Membros!K$3,0)))*IF(AND(COUNTIFS(Tabela3[Tipo],"Provedor",Tabela3[Simulação Seguro],"Sim")=2,A964&gt;=MAX(IF(Tabela3[Tipo]="Dependente",Tabela3[Expectativa de Vida (Data)]))),0,1)</f>
        <v>0</v>
      </c>
      <c r="S964" s="18">
        <f t="shared" si="126"/>
        <v>0</v>
      </c>
      <c r="U964" s="18">
        <f t="shared" ref="U964:U1027" ca="1" si="129">Z963</f>
        <v>109695179.77593996</v>
      </c>
      <c r="V964" s="18">
        <f>SUMIF(Imóveis!E:E,Dados!A:A,Imóveis!Z:Z)-SUMIF(Imóveis!E:E,Dados!A:A,Imóveis!Y:Y)</f>
        <v>0</v>
      </c>
      <c r="W964" s="18">
        <f>-SUMIF(Projetos!N:N,A964,Projetos!F:F)</f>
        <v>0</v>
      </c>
      <c r="X964" s="18">
        <f t="shared" si="123"/>
        <v>0</v>
      </c>
      <c r="Y964" s="26">
        <f ca="1">(U964*((Indicadores_Economicos!D$2+1)^(1/12)-1))</f>
        <v>359113.47394795646</v>
      </c>
      <c r="Z964" s="18">
        <f t="shared" ca="1" si="127"/>
        <v>110054293.24988791</v>
      </c>
      <c r="AA964" s="18">
        <f ca="1">Auxiliar_Projetos!E964</f>
        <v>9.07197104305923E-9</v>
      </c>
      <c r="AB964" s="18">
        <f ca="1">Auxiliar_Projetos!K964</f>
        <v>6.9784392638917158E-9</v>
      </c>
      <c r="AC964" s="18">
        <f ca="1">IF(Z964-AA964-AB964&gt;Investimentos!$C$14,Investimentos!$C$14,IF(Z964-AA964-AB964&lt;Investimentos!$C$14,Z964-AA964-AB964,0))</f>
        <v>300000</v>
      </c>
      <c r="AD964" s="18">
        <f t="shared" ca="1" si="128"/>
        <v>109754293.2498879</v>
      </c>
      <c r="AE964" s="18"/>
    </row>
    <row r="965" spans="1:31" x14ac:dyDescent="0.2">
      <c r="A965" s="4">
        <v>74967</v>
      </c>
      <c r="B965" s="5" t="str">
        <f t="shared" si="124"/>
        <v>abril</v>
      </c>
      <c r="C965" s="5" t="str">
        <f t="shared" si="122"/>
        <v>2105</v>
      </c>
      <c r="D965" s="5">
        <f>SUMIFS(Despesas!$F:$F,Despesas!$J:$J,"&lt;="&amp;$A965,Despesas!$L:$L,"&gt;="&amp;$A965,Despesas!$C:$C,D$1,Despesas!$M:$M,"Mensal")+SUMIFS(Despesas!$F:$F,Despesas!$J:$J,"&lt;="&amp;$A965,Despesas!$L:$L,"&gt;="&amp;$A965,Despesas!$C:$C,D$1,Despesas!$M:$M,$B965)</f>
        <v>0</v>
      </c>
      <c r="E965" s="18">
        <f>SUMIFS(Despesas!$F:$F,Despesas!$J:$J,"&lt;="&amp;$A965,Despesas!$L:$L,"&gt;="&amp;$A965,Despesas!$C:$C,E$1,Despesas!$M:$M,"Mensal")+SUMIFS(Despesas!$F:$F,Despesas!$J:$J,"&lt;="&amp;$A965,Despesas!$L:$L,"&gt;="&amp;$A965,Despesas!$C:$C,E$1,Despesas!$M:$M,$B965)</f>
        <v>0</v>
      </c>
      <c r="F965" s="5">
        <f>SUMIFS(Despesas!$F:$F,Despesas!$J:$J,"&lt;="&amp;$A965,Despesas!$L:$L,"&gt;="&amp;$A965,Despesas!$C:$C,F$1,Despesas!$M:$M,"Mensal")+SUMIFS(Despesas!$F:$F,Despesas!$J:$J,"&lt;="&amp;$A965,Despesas!$L:$L,"&gt;="&amp;$A965,Despesas!$C:$C,F$1,Despesas!$M:$M,$B965)</f>
        <v>0</v>
      </c>
      <c r="G965" s="5">
        <f>SUMIFS(Despesas!$F:$F,Despesas!$J:$J,"&lt;="&amp;$A965,Despesas!$L:$L,"&gt;="&amp;$A965,Despesas!$C:$C,G$1,Despesas!$M:$M,"Mensal")+SUMIFS(Despesas!$F:$F,Despesas!$J:$J,"&lt;="&amp;$A965,Despesas!$L:$L,"&gt;="&amp;$A965,Despesas!$C:$C,G$1,Despesas!$M:$M,$B965)</f>
        <v>0</v>
      </c>
      <c r="H965" s="18">
        <f>SUMIFS(Despesas!$F:$F,Despesas!$J:$J,"&lt;="&amp;$A965,Despesas!$L:$L,"&gt;="&amp;$A965,Despesas!$C:$C,H$1,Despesas!$M:$M,"Mensal")+SUMIFS(Despesas!$F:$F,Despesas!$J:$J,"&lt;="&amp;$A965,Despesas!$L:$L,"&gt;="&amp;$A965,Despesas!$C:$C,H$1,Despesas!$M:$M,$B965)</f>
        <v>0</v>
      </c>
      <c r="I965" s="18">
        <f>IF(Imóveis!$F$2="PRICE",IF(AND(Dados!$A965&gt;=Imóveis!$Q$2,Dados!$A965&lt;=Imóveis!$T$2),Imóveis!$U$2,0),IF((IF(AND(Dados!$A965&gt;=Imóveis!$Q$2,Dados!$A965&lt;=Imóveis!$T$2),Imóveis!$S$2-(DATEDIF(Imóveis!$Q$2,Dados!$A965,"m")),0))=0,0,((Imóveis!$N$2/Imóveis!$S$2)+((Imóveis!$N$2-((Imóveis!$S$2-(IF(AND(Dados!$A965&gt;=Imóveis!$Q$2,Dados!$A965&lt;=Imóveis!$T$2),Imóveis!$S$2-(DATEDIF(Imóveis!$Q$2,Dados!$A965,"m")),)))*(Imóveis!$N$2/Imóveis!$S$2)))*Imóveis!$P$2))))*IF(AND(Imóveis!$E$2&gt;0,Dados!$A965&gt;Imóveis!$E$2),0,1)</f>
        <v>0</v>
      </c>
      <c r="J965" s="18">
        <f>IF(Imóveis!$F$3="PRICE",IF(AND(Dados!$A965&gt;=Imóveis!$Q$3,Dados!$A965&lt;=Imóveis!$T$3),Imóveis!$U$3,0),IF((IF(AND(Dados!$A965&gt;=Imóveis!$Q$3,Dados!$A965&lt;=Imóveis!$T$3),Imóveis!$S$3-(DATEDIF(Imóveis!$Q$3,Dados!$A965,"m")),0))=0,0,((Imóveis!$N$3/Imóveis!$S$3)+((Imóveis!$N$3-((Imóveis!$S$3-(IF(AND(Dados!$A965&gt;=Imóveis!$Q$3,Dados!$A965&lt;=Imóveis!$T$3),Imóveis!$S$3-(DATEDIF(Imóveis!$Q$3,Dados!$A965,"m")),)))*(Imóveis!$N$3/Imóveis!$S$3)))*Imóveis!$P$3))))*IF(AND(Imóveis!$E$3&gt;0,Dados!$A965&gt;Imóveis!$E$3),0,1)</f>
        <v>0</v>
      </c>
      <c r="K965" s="18">
        <f>IF(Imóveis!$F$4="PRICE",IF(AND(Dados!$A965&gt;=Imóveis!$Q$4,Dados!$A965&lt;=Imóveis!$T$4),Imóveis!$U$4,0),IF((IF(AND(Dados!$A965&gt;=Imóveis!$Q$4,Dados!$A965&lt;=Imóveis!$T$4),Imóveis!$S$4-(DATEDIF(Imóveis!$Q$4,Dados!$A965,"m")),0))=0,0,((Imóveis!$N$4/Imóveis!$S$4)+((Imóveis!$N$4-((Imóveis!$S$4-(IF(AND(Dados!$A965&gt;=Imóveis!$Q$4,Dados!$A965&lt;=Imóveis!$T$4),Imóveis!$S$4-(DATEDIF(Imóveis!$Q$4,Dados!$A965,"m")),)))*(Imóveis!$N$4/Imóveis!$S$4)))*Imóveis!$P$4))))*IF(AND(Imóveis!$E$4&gt;0,Dados!$A965&gt;Imóveis!$E$4),0,1)</f>
        <v>0</v>
      </c>
      <c r="L965" s="18">
        <f>IF(Imóveis!$F$5="PRICE",IF(AND(Dados!$A965&gt;=Imóveis!$Q$5,Dados!$A965&lt;=Imóveis!$T$5),Imóveis!$U$5,0),IF((IF(AND(Dados!$A965&gt;=Imóveis!$Q$5,Dados!$A965&lt;=Imóveis!$T$5),Imóveis!$S$5-(DATEDIF(Imóveis!$Q$5,Dados!$A965,"m")),0))=0,0,((Imóveis!$N$5/Imóveis!$S$5)+((Imóveis!$N$5-((Imóveis!$S$5-(IF(AND(Dados!$A965 &gt;=Imóveis!$Q$5,Dados!$A965&lt;=Imóveis!$T$5),Imóveis!$S$5-(DATEDIF(Imóveis!$Q$5,Dados!$A965,"m")),)))*(Imóveis!$N$5/Imóveis!$S$5)))*Imóveis!$P$5))))*IF(AND(Imóveis!$E$5&gt;0,Dados!$A965&gt;Imóveis!$E$5),0,1)*Imóveis!$I$5</f>
        <v>0</v>
      </c>
      <c r="M965" s="18">
        <f>IF(Imóveis!$F$6="PRICE",IF(AND(Dados!$A965&gt;=Imóveis!$Q$6,Dados!$A965&lt;=Imóveis!$T$6),Imóveis!$U$6,0),IF((IF(AND(Dados!$A965&gt;=Imóveis!$Q$6,Dados!$A965&lt;=Imóveis!$T$6),Imóveis!$S$6-(DATEDIF(Imóveis!$Q$6,Dados!$A965,"m")),0))=0,0,((Imóveis!$N$6/Imóveis!$S$6)+((Imóveis!$N$6-((Imóveis!$S$6-(IF(AND(Dados!$A965&gt;=Imóveis!$Q$6,Dados!$A965&lt;=Imóveis!$T$6),Imóveis!$S$6-(DATEDIF(Imóveis!$Q$6,Dados!$A965,"m")),)))*(Imóveis!$N$6/Imóveis!$S$6)))*Imóveis!$P$6))))*IF(AND(Imóveis!$E$6&gt;0,Dados!$A965&gt;Imóveis!$E$6),0,1)*Imóveis!$I$6</f>
        <v>0</v>
      </c>
      <c r="N965" s="18">
        <f t="shared" si="125"/>
        <v>0</v>
      </c>
      <c r="O965" s="18">
        <f>SUMIFS(Receitas!$F:$F,Receitas!$J:$J,"&lt;="&amp;$A965,Receitas!$L:$L,"&gt;="&amp;$A965,Receitas!$C:$C,O$1,Receitas!$M:$M,"Mensal")+SUMIFS(Receitas!$F:$F,Receitas!$J:$J,"&lt;="&amp;$A965,Receitas!$L:$L,"&gt;="&amp;$A965,Receitas!$C:$C,O$1,Receitas!$M:$M,$B965)</f>
        <v>0</v>
      </c>
      <c r="P965" s="18">
        <f>SUMIFS(Receitas!$F:$F,Receitas!$J:$J,"&lt;="&amp;$A965,Receitas!$L:$L,"&gt;="&amp;$A965,Receitas!$C:$C,P$1,Receitas!$M:$M,"Mensal")+SUMIFS(Receitas!$F:$F,Receitas!$J:$J,"&lt;="&amp;$A965,Receitas!$L:$L,"&gt;="&amp;$A965,Receitas!$C:$C,P$1,Receitas!$M:$M,$B965)</f>
        <v>0</v>
      </c>
      <c r="Q965" s="18">
        <f>SUMIFS(Receitas!$F:$F,Receitas!$J:$J,"&lt;="&amp;$A965,Receitas!$L:$L,"&gt;="&amp;$A965,Receitas!$C:$C,Q$1,Receitas!$M:$M,"Mensal")+SUMIFS(Receitas!$F:$F,Receitas!$J:$J,"&lt;="&amp;$A965,Receitas!$L:$L,"&gt;="&amp;$A965,Receitas!$C:$C,Q$1,Receitas!$M:$M,$B965)</f>
        <v>0</v>
      </c>
      <c r="R965" s="18" cm="1">
        <f t="array" ref="R965">(IF(AND(Membros!$F$2="Sim",A965&lt;=MAX(Membros!$E$2:$E$5)),Membros!K$2,IF(AND(A965&gt;=Membros!J$2,A965&lt;=MAX(Membros!$E$2:$E$5)),Membros!K$2,0))+IF(AND(Membros!$F$3="Sim",A965&lt;=MAX(Membros!$E$2:$E$5)),Membros!K$3,IF(AND(A965&gt;=Membros!J$3,A965&lt;=MAX(Membros!$E$2:$E$5)),Membros!K$3,0)))*IF(AND(COUNTIFS(Tabela3[Tipo],"Provedor",Tabela3[Simulação Seguro],"Sim")=2,A965&gt;=MAX(IF(Tabela3[Tipo]="Dependente",Tabela3[Expectativa de Vida (Data)]))),0,1)</f>
        <v>0</v>
      </c>
      <c r="S965" s="18">
        <f t="shared" si="126"/>
        <v>0</v>
      </c>
      <c r="U965" s="18">
        <f t="shared" ca="1" si="129"/>
        <v>110054293.24988791</v>
      </c>
      <c r="V965" s="18">
        <f>SUMIF(Imóveis!E:E,Dados!A:A,Imóveis!Z:Z)-SUMIF(Imóveis!E:E,Dados!A:A,Imóveis!Y:Y)</f>
        <v>0</v>
      </c>
      <c r="W965" s="18">
        <f>-SUMIF(Projetos!N:N,A965,Projetos!F:F)</f>
        <v>0</v>
      </c>
      <c r="X965" s="18">
        <f t="shared" si="123"/>
        <v>0</v>
      </c>
      <c r="Y965" s="26">
        <f ca="1">(U965*((Indicadores_Economicos!D$2+1)^(1/12)-1))</f>
        <v>360289.11801394355</v>
      </c>
      <c r="Z965" s="18">
        <f t="shared" ca="1" si="127"/>
        <v>110414582.36790186</v>
      </c>
      <c r="AA965" s="18">
        <f ca="1">Auxiliar_Projetos!E965</f>
        <v>9.1016703155658502E-9</v>
      </c>
      <c r="AB965" s="18">
        <f ca="1">Auxiliar_Projetos!K965</f>
        <v>7.0012848581275772E-9</v>
      </c>
      <c r="AC965" s="18">
        <f ca="1">IF(Z965-AA965-AB965&gt;Investimentos!$C$14,Investimentos!$C$14,IF(Z965-AA965-AB965&lt;Investimentos!$C$14,Z965-AA965-AB965,0))</f>
        <v>300000</v>
      </c>
      <c r="AD965" s="18">
        <f t="shared" ca="1" si="128"/>
        <v>110114582.36790185</v>
      </c>
      <c r="AE965" s="18"/>
    </row>
    <row r="966" spans="1:31" x14ac:dyDescent="0.2">
      <c r="A966" s="4">
        <v>74997</v>
      </c>
      <c r="B966" s="5" t="str">
        <f t="shared" si="124"/>
        <v>maio</v>
      </c>
      <c r="C966" s="5" t="str">
        <f t="shared" si="122"/>
        <v>2105</v>
      </c>
      <c r="D966" s="5">
        <f>SUMIFS(Despesas!$F:$F,Despesas!$J:$J,"&lt;="&amp;$A966,Despesas!$L:$L,"&gt;="&amp;$A966,Despesas!$C:$C,D$1,Despesas!$M:$M,"Mensal")+SUMIFS(Despesas!$F:$F,Despesas!$J:$J,"&lt;="&amp;$A966,Despesas!$L:$L,"&gt;="&amp;$A966,Despesas!$C:$C,D$1,Despesas!$M:$M,$B966)</f>
        <v>0</v>
      </c>
      <c r="E966" s="18">
        <f>SUMIFS(Despesas!$F:$F,Despesas!$J:$J,"&lt;="&amp;$A966,Despesas!$L:$L,"&gt;="&amp;$A966,Despesas!$C:$C,E$1,Despesas!$M:$M,"Mensal")+SUMIFS(Despesas!$F:$F,Despesas!$J:$J,"&lt;="&amp;$A966,Despesas!$L:$L,"&gt;="&amp;$A966,Despesas!$C:$C,E$1,Despesas!$M:$M,$B966)</f>
        <v>0</v>
      </c>
      <c r="F966" s="5">
        <f>SUMIFS(Despesas!$F:$F,Despesas!$J:$J,"&lt;="&amp;$A966,Despesas!$L:$L,"&gt;="&amp;$A966,Despesas!$C:$C,F$1,Despesas!$M:$M,"Mensal")+SUMIFS(Despesas!$F:$F,Despesas!$J:$J,"&lt;="&amp;$A966,Despesas!$L:$L,"&gt;="&amp;$A966,Despesas!$C:$C,F$1,Despesas!$M:$M,$B966)</f>
        <v>0</v>
      </c>
      <c r="G966" s="5">
        <f>SUMIFS(Despesas!$F:$F,Despesas!$J:$J,"&lt;="&amp;$A966,Despesas!$L:$L,"&gt;="&amp;$A966,Despesas!$C:$C,G$1,Despesas!$M:$M,"Mensal")+SUMIFS(Despesas!$F:$F,Despesas!$J:$J,"&lt;="&amp;$A966,Despesas!$L:$L,"&gt;="&amp;$A966,Despesas!$C:$C,G$1,Despesas!$M:$M,$B966)</f>
        <v>0</v>
      </c>
      <c r="H966" s="18">
        <f>SUMIFS(Despesas!$F:$F,Despesas!$J:$J,"&lt;="&amp;$A966,Despesas!$L:$L,"&gt;="&amp;$A966,Despesas!$C:$C,H$1,Despesas!$M:$M,"Mensal")+SUMIFS(Despesas!$F:$F,Despesas!$J:$J,"&lt;="&amp;$A966,Despesas!$L:$L,"&gt;="&amp;$A966,Despesas!$C:$C,H$1,Despesas!$M:$M,$B966)</f>
        <v>0</v>
      </c>
      <c r="I966" s="18">
        <f>IF(Imóveis!$F$2="PRICE",IF(AND(Dados!$A966&gt;=Imóveis!$Q$2,Dados!$A966&lt;=Imóveis!$T$2),Imóveis!$U$2,0),IF((IF(AND(Dados!$A966&gt;=Imóveis!$Q$2,Dados!$A966&lt;=Imóveis!$T$2),Imóveis!$S$2-(DATEDIF(Imóveis!$Q$2,Dados!$A966,"m")),0))=0,0,((Imóveis!$N$2/Imóveis!$S$2)+((Imóveis!$N$2-((Imóveis!$S$2-(IF(AND(Dados!$A966&gt;=Imóveis!$Q$2,Dados!$A966&lt;=Imóveis!$T$2),Imóveis!$S$2-(DATEDIF(Imóveis!$Q$2,Dados!$A966,"m")),)))*(Imóveis!$N$2/Imóveis!$S$2)))*Imóveis!$P$2))))*IF(AND(Imóveis!$E$2&gt;0,Dados!$A966&gt;Imóveis!$E$2),0,1)</f>
        <v>0</v>
      </c>
      <c r="J966" s="18">
        <f>IF(Imóveis!$F$3="PRICE",IF(AND(Dados!$A966&gt;=Imóveis!$Q$3,Dados!$A966&lt;=Imóveis!$T$3),Imóveis!$U$3,0),IF((IF(AND(Dados!$A966&gt;=Imóveis!$Q$3,Dados!$A966&lt;=Imóveis!$T$3),Imóveis!$S$3-(DATEDIF(Imóveis!$Q$3,Dados!$A966,"m")),0))=0,0,((Imóveis!$N$3/Imóveis!$S$3)+((Imóveis!$N$3-((Imóveis!$S$3-(IF(AND(Dados!$A966&gt;=Imóveis!$Q$3,Dados!$A966&lt;=Imóveis!$T$3),Imóveis!$S$3-(DATEDIF(Imóveis!$Q$3,Dados!$A966,"m")),)))*(Imóveis!$N$3/Imóveis!$S$3)))*Imóveis!$P$3))))*IF(AND(Imóveis!$E$3&gt;0,Dados!$A966&gt;Imóveis!$E$3),0,1)</f>
        <v>0</v>
      </c>
      <c r="K966" s="18">
        <f>IF(Imóveis!$F$4="PRICE",IF(AND(Dados!$A966&gt;=Imóveis!$Q$4,Dados!$A966&lt;=Imóveis!$T$4),Imóveis!$U$4,0),IF((IF(AND(Dados!$A966&gt;=Imóveis!$Q$4,Dados!$A966&lt;=Imóveis!$T$4),Imóveis!$S$4-(DATEDIF(Imóveis!$Q$4,Dados!$A966,"m")),0))=0,0,((Imóveis!$N$4/Imóveis!$S$4)+((Imóveis!$N$4-((Imóveis!$S$4-(IF(AND(Dados!$A966&gt;=Imóveis!$Q$4,Dados!$A966&lt;=Imóveis!$T$4),Imóveis!$S$4-(DATEDIF(Imóveis!$Q$4,Dados!$A966,"m")),)))*(Imóveis!$N$4/Imóveis!$S$4)))*Imóveis!$P$4))))*IF(AND(Imóveis!$E$4&gt;0,Dados!$A966&gt;Imóveis!$E$4),0,1)</f>
        <v>0</v>
      </c>
      <c r="L966" s="18">
        <f>IF(Imóveis!$F$5="PRICE",IF(AND(Dados!$A966&gt;=Imóveis!$Q$5,Dados!$A966&lt;=Imóveis!$T$5),Imóveis!$U$5,0),IF((IF(AND(Dados!$A966&gt;=Imóveis!$Q$5,Dados!$A966&lt;=Imóveis!$T$5),Imóveis!$S$5-(DATEDIF(Imóveis!$Q$5,Dados!$A966,"m")),0))=0,0,((Imóveis!$N$5/Imóveis!$S$5)+((Imóveis!$N$5-((Imóveis!$S$5-(IF(AND(Dados!$A966 &gt;=Imóveis!$Q$5,Dados!$A966&lt;=Imóveis!$T$5),Imóveis!$S$5-(DATEDIF(Imóveis!$Q$5,Dados!$A966,"m")),)))*(Imóveis!$N$5/Imóveis!$S$5)))*Imóveis!$P$5))))*IF(AND(Imóveis!$E$5&gt;0,Dados!$A966&gt;Imóveis!$E$5),0,1)*Imóveis!$I$5</f>
        <v>0</v>
      </c>
      <c r="M966" s="18">
        <f>IF(Imóveis!$F$6="PRICE",IF(AND(Dados!$A966&gt;=Imóveis!$Q$6,Dados!$A966&lt;=Imóveis!$T$6),Imóveis!$U$6,0),IF((IF(AND(Dados!$A966&gt;=Imóveis!$Q$6,Dados!$A966&lt;=Imóveis!$T$6),Imóveis!$S$6-(DATEDIF(Imóveis!$Q$6,Dados!$A966,"m")),0))=0,0,((Imóveis!$N$6/Imóveis!$S$6)+((Imóveis!$N$6-((Imóveis!$S$6-(IF(AND(Dados!$A966&gt;=Imóveis!$Q$6,Dados!$A966&lt;=Imóveis!$T$6),Imóveis!$S$6-(DATEDIF(Imóveis!$Q$6,Dados!$A966,"m")),)))*(Imóveis!$N$6/Imóveis!$S$6)))*Imóveis!$P$6))))*IF(AND(Imóveis!$E$6&gt;0,Dados!$A966&gt;Imóveis!$E$6),0,1)*Imóveis!$I$6</f>
        <v>0</v>
      </c>
      <c r="N966" s="18">
        <f t="shared" si="125"/>
        <v>0</v>
      </c>
      <c r="O966" s="18">
        <f>SUMIFS(Receitas!$F:$F,Receitas!$J:$J,"&lt;="&amp;$A966,Receitas!$L:$L,"&gt;="&amp;$A966,Receitas!$C:$C,O$1,Receitas!$M:$M,"Mensal")+SUMIFS(Receitas!$F:$F,Receitas!$J:$J,"&lt;="&amp;$A966,Receitas!$L:$L,"&gt;="&amp;$A966,Receitas!$C:$C,O$1,Receitas!$M:$M,$B966)</f>
        <v>0</v>
      </c>
      <c r="P966" s="18">
        <f>SUMIFS(Receitas!$F:$F,Receitas!$J:$J,"&lt;="&amp;$A966,Receitas!$L:$L,"&gt;="&amp;$A966,Receitas!$C:$C,P$1,Receitas!$M:$M,"Mensal")+SUMIFS(Receitas!$F:$F,Receitas!$J:$J,"&lt;="&amp;$A966,Receitas!$L:$L,"&gt;="&amp;$A966,Receitas!$C:$C,P$1,Receitas!$M:$M,$B966)</f>
        <v>0</v>
      </c>
      <c r="Q966" s="18">
        <f>SUMIFS(Receitas!$F:$F,Receitas!$J:$J,"&lt;="&amp;$A966,Receitas!$L:$L,"&gt;="&amp;$A966,Receitas!$C:$C,Q$1,Receitas!$M:$M,"Mensal")+SUMIFS(Receitas!$F:$F,Receitas!$J:$J,"&lt;="&amp;$A966,Receitas!$L:$L,"&gt;="&amp;$A966,Receitas!$C:$C,Q$1,Receitas!$M:$M,$B966)</f>
        <v>0</v>
      </c>
      <c r="R966" s="18" cm="1">
        <f t="array" ref="R966">(IF(AND(Membros!$F$2="Sim",A966&lt;=MAX(Membros!$E$2:$E$5)),Membros!K$2,IF(AND(A966&gt;=Membros!J$2,A966&lt;=MAX(Membros!$E$2:$E$5)),Membros!K$2,0))+IF(AND(Membros!$F$3="Sim",A966&lt;=MAX(Membros!$E$2:$E$5)),Membros!K$3,IF(AND(A966&gt;=Membros!J$3,A966&lt;=MAX(Membros!$E$2:$E$5)),Membros!K$3,0)))*IF(AND(COUNTIFS(Tabela3[Tipo],"Provedor",Tabela3[Simulação Seguro],"Sim")=2,A966&gt;=MAX(IF(Tabela3[Tipo]="Dependente",Tabela3[Expectativa de Vida (Data)]))),0,1)</f>
        <v>0</v>
      </c>
      <c r="S966" s="18">
        <f t="shared" si="126"/>
        <v>0</v>
      </c>
      <c r="U966" s="18">
        <f t="shared" ca="1" si="129"/>
        <v>110414582.36790186</v>
      </c>
      <c r="V966" s="18">
        <f>SUMIF(Imóveis!E:E,Dados!A:A,Imóveis!Z:Z)-SUMIF(Imóveis!E:E,Dados!A:A,Imóveis!Y:Y)</f>
        <v>0</v>
      </c>
      <c r="W966" s="18">
        <f>-SUMIF(Projetos!N:N,A966,Projetos!F:F)</f>
        <v>0</v>
      </c>
      <c r="X966" s="18">
        <f t="shared" si="123"/>
        <v>0</v>
      </c>
      <c r="Y966" s="26">
        <f ca="1">(U966*((Indicadores_Economicos!D$2+1)^(1/12)-1))</f>
        <v>361468.61083267914</v>
      </c>
      <c r="Z966" s="18">
        <f t="shared" ca="1" si="127"/>
        <v>110776050.97873454</v>
      </c>
      <c r="AA966" s="18">
        <f ca="1">Auxiliar_Projetos!E966</f>
        <v>9.1314668157623773E-9</v>
      </c>
      <c r="AB966" s="18">
        <f ca="1">Auxiliar_Projetos!K966</f>
        <v>7.0242052428941362E-9</v>
      </c>
      <c r="AC966" s="18">
        <f ca="1">IF(Z966-AA966-AB966&gt;Investimentos!$C$14,Investimentos!$C$14,IF(Z966-AA966-AB966&lt;Investimentos!$C$14,Z966-AA966-AB966,0))</f>
        <v>300000</v>
      </c>
      <c r="AD966" s="18">
        <f t="shared" ca="1" si="128"/>
        <v>110476050.97873452</v>
      </c>
      <c r="AE966" s="18"/>
    </row>
    <row r="967" spans="1:31" x14ac:dyDescent="0.2">
      <c r="A967" s="4">
        <v>75028</v>
      </c>
      <c r="B967" s="5" t="str">
        <f t="shared" si="124"/>
        <v>junho</v>
      </c>
      <c r="C967" s="5" t="str">
        <f t="shared" si="122"/>
        <v>2105</v>
      </c>
      <c r="D967" s="5">
        <f>SUMIFS(Despesas!$F:$F,Despesas!$J:$J,"&lt;="&amp;$A967,Despesas!$L:$L,"&gt;="&amp;$A967,Despesas!$C:$C,D$1,Despesas!$M:$M,"Mensal")+SUMIFS(Despesas!$F:$F,Despesas!$J:$J,"&lt;="&amp;$A967,Despesas!$L:$L,"&gt;="&amp;$A967,Despesas!$C:$C,D$1,Despesas!$M:$M,$B967)</f>
        <v>0</v>
      </c>
      <c r="E967" s="18">
        <f>SUMIFS(Despesas!$F:$F,Despesas!$J:$J,"&lt;="&amp;$A967,Despesas!$L:$L,"&gt;="&amp;$A967,Despesas!$C:$C,E$1,Despesas!$M:$M,"Mensal")+SUMIFS(Despesas!$F:$F,Despesas!$J:$J,"&lt;="&amp;$A967,Despesas!$L:$L,"&gt;="&amp;$A967,Despesas!$C:$C,E$1,Despesas!$M:$M,$B967)</f>
        <v>0</v>
      </c>
      <c r="F967" s="5">
        <f>SUMIFS(Despesas!$F:$F,Despesas!$J:$J,"&lt;="&amp;$A967,Despesas!$L:$L,"&gt;="&amp;$A967,Despesas!$C:$C,F$1,Despesas!$M:$M,"Mensal")+SUMIFS(Despesas!$F:$F,Despesas!$J:$J,"&lt;="&amp;$A967,Despesas!$L:$L,"&gt;="&amp;$A967,Despesas!$C:$C,F$1,Despesas!$M:$M,$B967)</f>
        <v>0</v>
      </c>
      <c r="G967" s="5">
        <f>SUMIFS(Despesas!$F:$F,Despesas!$J:$J,"&lt;="&amp;$A967,Despesas!$L:$L,"&gt;="&amp;$A967,Despesas!$C:$C,G$1,Despesas!$M:$M,"Mensal")+SUMIFS(Despesas!$F:$F,Despesas!$J:$J,"&lt;="&amp;$A967,Despesas!$L:$L,"&gt;="&amp;$A967,Despesas!$C:$C,G$1,Despesas!$M:$M,$B967)</f>
        <v>0</v>
      </c>
      <c r="H967" s="18">
        <f>SUMIFS(Despesas!$F:$F,Despesas!$J:$J,"&lt;="&amp;$A967,Despesas!$L:$L,"&gt;="&amp;$A967,Despesas!$C:$C,H$1,Despesas!$M:$M,"Mensal")+SUMIFS(Despesas!$F:$F,Despesas!$J:$J,"&lt;="&amp;$A967,Despesas!$L:$L,"&gt;="&amp;$A967,Despesas!$C:$C,H$1,Despesas!$M:$M,$B967)</f>
        <v>0</v>
      </c>
      <c r="I967" s="18">
        <f>IF(Imóveis!$F$2="PRICE",IF(AND(Dados!$A967&gt;=Imóveis!$Q$2,Dados!$A967&lt;=Imóveis!$T$2),Imóveis!$U$2,0),IF((IF(AND(Dados!$A967&gt;=Imóveis!$Q$2,Dados!$A967&lt;=Imóveis!$T$2),Imóveis!$S$2-(DATEDIF(Imóveis!$Q$2,Dados!$A967,"m")),0))=0,0,((Imóveis!$N$2/Imóveis!$S$2)+((Imóveis!$N$2-((Imóveis!$S$2-(IF(AND(Dados!$A967&gt;=Imóveis!$Q$2,Dados!$A967&lt;=Imóveis!$T$2),Imóveis!$S$2-(DATEDIF(Imóveis!$Q$2,Dados!$A967,"m")),)))*(Imóveis!$N$2/Imóveis!$S$2)))*Imóveis!$P$2))))*IF(AND(Imóveis!$E$2&gt;0,Dados!$A967&gt;Imóveis!$E$2),0,1)</f>
        <v>0</v>
      </c>
      <c r="J967" s="18">
        <f>IF(Imóveis!$F$3="PRICE",IF(AND(Dados!$A967&gt;=Imóveis!$Q$3,Dados!$A967&lt;=Imóveis!$T$3),Imóveis!$U$3,0),IF((IF(AND(Dados!$A967&gt;=Imóveis!$Q$3,Dados!$A967&lt;=Imóveis!$T$3),Imóveis!$S$3-(DATEDIF(Imóveis!$Q$3,Dados!$A967,"m")),0))=0,0,((Imóveis!$N$3/Imóveis!$S$3)+((Imóveis!$N$3-((Imóveis!$S$3-(IF(AND(Dados!$A967&gt;=Imóveis!$Q$3,Dados!$A967&lt;=Imóveis!$T$3),Imóveis!$S$3-(DATEDIF(Imóveis!$Q$3,Dados!$A967,"m")),)))*(Imóveis!$N$3/Imóveis!$S$3)))*Imóveis!$P$3))))*IF(AND(Imóveis!$E$3&gt;0,Dados!$A967&gt;Imóveis!$E$3),0,1)</f>
        <v>0</v>
      </c>
      <c r="K967" s="18">
        <f>IF(Imóveis!$F$4="PRICE",IF(AND(Dados!$A967&gt;=Imóveis!$Q$4,Dados!$A967&lt;=Imóveis!$T$4),Imóveis!$U$4,0),IF((IF(AND(Dados!$A967&gt;=Imóveis!$Q$4,Dados!$A967&lt;=Imóveis!$T$4),Imóveis!$S$4-(DATEDIF(Imóveis!$Q$4,Dados!$A967,"m")),0))=0,0,((Imóveis!$N$4/Imóveis!$S$4)+((Imóveis!$N$4-((Imóveis!$S$4-(IF(AND(Dados!$A967&gt;=Imóveis!$Q$4,Dados!$A967&lt;=Imóveis!$T$4),Imóveis!$S$4-(DATEDIF(Imóveis!$Q$4,Dados!$A967,"m")),)))*(Imóveis!$N$4/Imóveis!$S$4)))*Imóveis!$P$4))))*IF(AND(Imóveis!$E$4&gt;0,Dados!$A967&gt;Imóveis!$E$4),0,1)</f>
        <v>0</v>
      </c>
      <c r="L967" s="18">
        <f>IF(Imóveis!$F$5="PRICE",IF(AND(Dados!$A967&gt;=Imóveis!$Q$5,Dados!$A967&lt;=Imóveis!$T$5),Imóveis!$U$5,0),IF((IF(AND(Dados!$A967&gt;=Imóveis!$Q$5,Dados!$A967&lt;=Imóveis!$T$5),Imóveis!$S$5-(DATEDIF(Imóveis!$Q$5,Dados!$A967,"m")),0))=0,0,((Imóveis!$N$5/Imóveis!$S$5)+((Imóveis!$N$5-((Imóveis!$S$5-(IF(AND(Dados!$A967 &gt;=Imóveis!$Q$5,Dados!$A967&lt;=Imóveis!$T$5),Imóveis!$S$5-(DATEDIF(Imóveis!$Q$5,Dados!$A967,"m")),)))*(Imóveis!$N$5/Imóveis!$S$5)))*Imóveis!$P$5))))*IF(AND(Imóveis!$E$5&gt;0,Dados!$A967&gt;Imóveis!$E$5),0,1)*Imóveis!$I$5</f>
        <v>0</v>
      </c>
      <c r="M967" s="18">
        <f>IF(Imóveis!$F$6="PRICE",IF(AND(Dados!$A967&gt;=Imóveis!$Q$6,Dados!$A967&lt;=Imóveis!$T$6),Imóveis!$U$6,0),IF((IF(AND(Dados!$A967&gt;=Imóveis!$Q$6,Dados!$A967&lt;=Imóveis!$T$6),Imóveis!$S$6-(DATEDIF(Imóveis!$Q$6,Dados!$A967,"m")),0))=0,0,((Imóveis!$N$6/Imóveis!$S$6)+((Imóveis!$N$6-((Imóveis!$S$6-(IF(AND(Dados!$A967&gt;=Imóveis!$Q$6,Dados!$A967&lt;=Imóveis!$T$6),Imóveis!$S$6-(DATEDIF(Imóveis!$Q$6,Dados!$A967,"m")),)))*(Imóveis!$N$6/Imóveis!$S$6)))*Imóveis!$P$6))))*IF(AND(Imóveis!$E$6&gt;0,Dados!$A967&gt;Imóveis!$E$6),0,1)*Imóveis!$I$6</f>
        <v>0</v>
      </c>
      <c r="N967" s="18">
        <f t="shared" si="125"/>
        <v>0</v>
      </c>
      <c r="O967" s="18">
        <f>SUMIFS(Receitas!$F:$F,Receitas!$J:$J,"&lt;="&amp;$A967,Receitas!$L:$L,"&gt;="&amp;$A967,Receitas!$C:$C,O$1,Receitas!$M:$M,"Mensal")+SUMIFS(Receitas!$F:$F,Receitas!$J:$J,"&lt;="&amp;$A967,Receitas!$L:$L,"&gt;="&amp;$A967,Receitas!$C:$C,O$1,Receitas!$M:$M,$B967)</f>
        <v>0</v>
      </c>
      <c r="P967" s="18">
        <f>SUMIFS(Receitas!$F:$F,Receitas!$J:$J,"&lt;="&amp;$A967,Receitas!$L:$L,"&gt;="&amp;$A967,Receitas!$C:$C,P$1,Receitas!$M:$M,"Mensal")+SUMIFS(Receitas!$F:$F,Receitas!$J:$J,"&lt;="&amp;$A967,Receitas!$L:$L,"&gt;="&amp;$A967,Receitas!$C:$C,P$1,Receitas!$M:$M,$B967)</f>
        <v>0</v>
      </c>
      <c r="Q967" s="18">
        <f>SUMIFS(Receitas!$F:$F,Receitas!$J:$J,"&lt;="&amp;$A967,Receitas!$L:$L,"&gt;="&amp;$A967,Receitas!$C:$C,Q$1,Receitas!$M:$M,"Mensal")+SUMIFS(Receitas!$F:$F,Receitas!$J:$J,"&lt;="&amp;$A967,Receitas!$L:$L,"&gt;="&amp;$A967,Receitas!$C:$C,Q$1,Receitas!$M:$M,$B967)</f>
        <v>0</v>
      </c>
      <c r="R967" s="18" cm="1">
        <f t="array" ref="R967">(IF(AND(Membros!$F$2="Sim",A967&lt;=MAX(Membros!$E$2:$E$5)),Membros!K$2,IF(AND(A967&gt;=Membros!J$2,A967&lt;=MAX(Membros!$E$2:$E$5)),Membros!K$2,0))+IF(AND(Membros!$F$3="Sim",A967&lt;=MAX(Membros!$E$2:$E$5)),Membros!K$3,IF(AND(A967&gt;=Membros!J$3,A967&lt;=MAX(Membros!$E$2:$E$5)),Membros!K$3,0)))*IF(AND(COUNTIFS(Tabela3[Tipo],"Provedor",Tabela3[Simulação Seguro],"Sim")=2,A967&gt;=MAX(IF(Tabela3[Tipo]="Dependente",Tabela3[Expectativa de Vida (Data)]))),0,1)</f>
        <v>0</v>
      </c>
      <c r="S967" s="18">
        <f t="shared" si="126"/>
        <v>0</v>
      </c>
      <c r="U967" s="18">
        <f t="shared" ca="1" si="129"/>
        <v>110776050.97873454</v>
      </c>
      <c r="V967" s="18">
        <f>SUMIF(Imóveis!E:E,Dados!A:A,Imóveis!Z:Z)-SUMIF(Imóveis!E:E,Dados!A:A,Imóveis!Y:Y)</f>
        <v>0</v>
      </c>
      <c r="W967" s="18">
        <f>-SUMIF(Projetos!N:N,A967,Projetos!F:F)</f>
        <v>0</v>
      </c>
      <c r="X967" s="18">
        <f t="shared" si="123"/>
        <v>0</v>
      </c>
      <c r="Y967" s="26">
        <f ca="1">(U967*((Indicadores_Economicos!D$2+1)^(1/12)-1))</f>
        <v>362651.96500397823</v>
      </c>
      <c r="Z967" s="18">
        <f t="shared" ca="1" si="127"/>
        <v>111138702.94373852</v>
      </c>
      <c r="AA967" s="18">
        <f ca="1">Auxiliar_Projetos!E967</f>
        <v>9.1613608619469681E-9</v>
      </c>
      <c r="AB967" s="18">
        <f ca="1">Auxiliar_Projetos!K967</f>
        <v>7.0472006630361287E-9</v>
      </c>
      <c r="AC967" s="18">
        <f ca="1">IF(Z967-AA967-AB967&gt;Investimentos!$C$14,Investimentos!$C$14,IF(Z967-AA967-AB967&lt;Investimentos!$C$14,Z967-AA967-AB967,0))</f>
        <v>300000</v>
      </c>
      <c r="AD967" s="18">
        <f t="shared" ca="1" si="128"/>
        <v>110838702.94373851</v>
      </c>
      <c r="AE967" s="18"/>
    </row>
    <row r="968" spans="1:31" x14ac:dyDescent="0.2">
      <c r="A968" s="4">
        <v>75058</v>
      </c>
      <c r="B968" s="5" t="str">
        <f t="shared" si="124"/>
        <v>julho</v>
      </c>
      <c r="C968" s="5" t="str">
        <f t="shared" si="122"/>
        <v>2105</v>
      </c>
      <c r="D968" s="5">
        <f>SUMIFS(Despesas!$F:$F,Despesas!$J:$J,"&lt;="&amp;$A968,Despesas!$L:$L,"&gt;="&amp;$A968,Despesas!$C:$C,D$1,Despesas!$M:$M,"Mensal")+SUMIFS(Despesas!$F:$F,Despesas!$J:$J,"&lt;="&amp;$A968,Despesas!$L:$L,"&gt;="&amp;$A968,Despesas!$C:$C,D$1,Despesas!$M:$M,$B968)</f>
        <v>0</v>
      </c>
      <c r="E968" s="18">
        <f>SUMIFS(Despesas!$F:$F,Despesas!$J:$J,"&lt;="&amp;$A968,Despesas!$L:$L,"&gt;="&amp;$A968,Despesas!$C:$C,E$1,Despesas!$M:$M,"Mensal")+SUMIFS(Despesas!$F:$F,Despesas!$J:$J,"&lt;="&amp;$A968,Despesas!$L:$L,"&gt;="&amp;$A968,Despesas!$C:$C,E$1,Despesas!$M:$M,$B968)</f>
        <v>0</v>
      </c>
      <c r="F968" s="5">
        <f>SUMIFS(Despesas!$F:$F,Despesas!$J:$J,"&lt;="&amp;$A968,Despesas!$L:$L,"&gt;="&amp;$A968,Despesas!$C:$C,F$1,Despesas!$M:$M,"Mensal")+SUMIFS(Despesas!$F:$F,Despesas!$J:$J,"&lt;="&amp;$A968,Despesas!$L:$L,"&gt;="&amp;$A968,Despesas!$C:$C,F$1,Despesas!$M:$M,$B968)</f>
        <v>0</v>
      </c>
      <c r="G968" s="5">
        <f>SUMIFS(Despesas!$F:$F,Despesas!$J:$J,"&lt;="&amp;$A968,Despesas!$L:$L,"&gt;="&amp;$A968,Despesas!$C:$C,G$1,Despesas!$M:$M,"Mensal")+SUMIFS(Despesas!$F:$F,Despesas!$J:$J,"&lt;="&amp;$A968,Despesas!$L:$L,"&gt;="&amp;$A968,Despesas!$C:$C,G$1,Despesas!$M:$M,$B968)</f>
        <v>0</v>
      </c>
      <c r="H968" s="18">
        <f>SUMIFS(Despesas!$F:$F,Despesas!$J:$J,"&lt;="&amp;$A968,Despesas!$L:$L,"&gt;="&amp;$A968,Despesas!$C:$C,H$1,Despesas!$M:$M,"Mensal")+SUMIFS(Despesas!$F:$F,Despesas!$J:$J,"&lt;="&amp;$A968,Despesas!$L:$L,"&gt;="&amp;$A968,Despesas!$C:$C,H$1,Despesas!$M:$M,$B968)</f>
        <v>0</v>
      </c>
      <c r="I968" s="18">
        <f>IF(Imóveis!$F$2="PRICE",IF(AND(Dados!$A968&gt;=Imóveis!$Q$2,Dados!$A968&lt;=Imóveis!$T$2),Imóveis!$U$2,0),IF((IF(AND(Dados!$A968&gt;=Imóveis!$Q$2,Dados!$A968&lt;=Imóveis!$T$2),Imóveis!$S$2-(DATEDIF(Imóveis!$Q$2,Dados!$A968,"m")),0))=0,0,((Imóveis!$N$2/Imóveis!$S$2)+((Imóveis!$N$2-((Imóveis!$S$2-(IF(AND(Dados!$A968&gt;=Imóveis!$Q$2,Dados!$A968&lt;=Imóveis!$T$2),Imóveis!$S$2-(DATEDIF(Imóveis!$Q$2,Dados!$A968,"m")),)))*(Imóveis!$N$2/Imóveis!$S$2)))*Imóveis!$P$2))))*IF(AND(Imóveis!$E$2&gt;0,Dados!$A968&gt;Imóveis!$E$2),0,1)</f>
        <v>0</v>
      </c>
      <c r="J968" s="18">
        <f>IF(Imóveis!$F$3="PRICE",IF(AND(Dados!$A968&gt;=Imóveis!$Q$3,Dados!$A968&lt;=Imóveis!$T$3),Imóveis!$U$3,0),IF((IF(AND(Dados!$A968&gt;=Imóveis!$Q$3,Dados!$A968&lt;=Imóveis!$T$3),Imóveis!$S$3-(DATEDIF(Imóveis!$Q$3,Dados!$A968,"m")),0))=0,0,((Imóveis!$N$3/Imóveis!$S$3)+((Imóveis!$N$3-((Imóveis!$S$3-(IF(AND(Dados!$A968&gt;=Imóveis!$Q$3,Dados!$A968&lt;=Imóveis!$T$3),Imóveis!$S$3-(DATEDIF(Imóveis!$Q$3,Dados!$A968,"m")),)))*(Imóveis!$N$3/Imóveis!$S$3)))*Imóveis!$P$3))))*IF(AND(Imóveis!$E$3&gt;0,Dados!$A968&gt;Imóveis!$E$3),0,1)</f>
        <v>0</v>
      </c>
      <c r="K968" s="18">
        <f>IF(Imóveis!$F$4="PRICE",IF(AND(Dados!$A968&gt;=Imóveis!$Q$4,Dados!$A968&lt;=Imóveis!$T$4),Imóveis!$U$4,0),IF((IF(AND(Dados!$A968&gt;=Imóveis!$Q$4,Dados!$A968&lt;=Imóveis!$T$4),Imóveis!$S$4-(DATEDIF(Imóveis!$Q$4,Dados!$A968,"m")),0))=0,0,((Imóveis!$N$4/Imóveis!$S$4)+((Imóveis!$N$4-((Imóveis!$S$4-(IF(AND(Dados!$A968&gt;=Imóveis!$Q$4,Dados!$A968&lt;=Imóveis!$T$4),Imóveis!$S$4-(DATEDIF(Imóveis!$Q$4,Dados!$A968,"m")),)))*(Imóveis!$N$4/Imóveis!$S$4)))*Imóveis!$P$4))))*IF(AND(Imóveis!$E$4&gt;0,Dados!$A968&gt;Imóveis!$E$4),0,1)</f>
        <v>0</v>
      </c>
      <c r="L968" s="18">
        <f>IF(Imóveis!$F$5="PRICE",IF(AND(Dados!$A968&gt;=Imóveis!$Q$5,Dados!$A968&lt;=Imóveis!$T$5),Imóveis!$U$5,0),IF((IF(AND(Dados!$A968&gt;=Imóveis!$Q$5,Dados!$A968&lt;=Imóveis!$T$5),Imóveis!$S$5-(DATEDIF(Imóveis!$Q$5,Dados!$A968,"m")),0))=0,0,((Imóveis!$N$5/Imóveis!$S$5)+((Imóveis!$N$5-((Imóveis!$S$5-(IF(AND(Dados!$A968 &gt;=Imóveis!$Q$5,Dados!$A968&lt;=Imóveis!$T$5),Imóveis!$S$5-(DATEDIF(Imóveis!$Q$5,Dados!$A968,"m")),)))*(Imóveis!$N$5/Imóveis!$S$5)))*Imóveis!$P$5))))*IF(AND(Imóveis!$E$5&gt;0,Dados!$A968&gt;Imóveis!$E$5),0,1)*Imóveis!$I$5</f>
        <v>0</v>
      </c>
      <c r="M968" s="18">
        <f>IF(Imóveis!$F$6="PRICE",IF(AND(Dados!$A968&gt;=Imóveis!$Q$6,Dados!$A968&lt;=Imóveis!$T$6),Imóveis!$U$6,0),IF((IF(AND(Dados!$A968&gt;=Imóveis!$Q$6,Dados!$A968&lt;=Imóveis!$T$6),Imóveis!$S$6-(DATEDIF(Imóveis!$Q$6,Dados!$A968,"m")),0))=0,0,((Imóveis!$N$6/Imóveis!$S$6)+((Imóveis!$N$6-((Imóveis!$S$6-(IF(AND(Dados!$A968&gt;=Imóveis!$Q$6,Dados!$A968&lt;=Imóveis!$T$6),Imóveis!$S$6-(DATEDIF(Imóveis!$Q$6,Dados!$A968,"m")),)))*(Imóveis!$N$6/Imóveis!$S$6)))*Imóveis!$P$6))))*IF(AND(Imóveis!$E$6&gt;0,Dados!$A968&gt;Imóveis!$E$6),0,1)*Imóveis!$I$6</f>
        <v>0</v>
      </c>
      <c r="N968" s="18">
        <f t="shared" si="125"/>
        <v>0</v>
      </c>
      <c r="O968" s="18">
        <f>SUMIFS(Receitas!$F:$F,Receitas!$J:$J,"&lt;="&amp;$A968,Receitas!$L:$L,"&gt;="&amp;$A968,Receitas!$C:$C,O$1,Receitas!$M:$M,"Mensal")+SUMIFS(Receitas!$F:$F,Receitas!$J:$J,"&lt;="&amp;$A968,Receitas!$L:$L,"&gt;="&amp;$A968,Receitas!$C:$C,O$1,Receitas!$M:$M,$B968)</f>
        <v>0</v>
      </c>
      <c r="P968" s="18">
        <f>SUMIFS(Receitas!$F:$F,Receitas!$J:$J,"&lt;="&amp;$A968,Receitas!$L:$L,"&gt;="&amp;$A968,Receitas!$C:$C,P$1,Receitas!$M:$M,"Mensal")+SUMIFS(Receitas!$F:$F,Receitas!$J:$J,"&lt;="&amp;$A968,Receitas!$L:$L,"&gt;="&amp;$A968,Receitas!$C:$C,P$1,Receitas!$M:$M,$B968)</f>
        <v>0</v>
      </c>
      <c r="Q968" s="18">
        <f>SUMIFS(Receitas!$F:$F,Receitas!$J:$J,"&lt;="&amp;$A968,Receitas!$L:$L,"&gt;="&amp;$A968,Receitas!$C:$C,Q$1,Receitas!$M:$M,"Mensal")+SUMIFS(Receitas!$F:$F,Receitas!$J:$J,"&lt;="&amp;$A968,Receitas!$L:$L,"&gt;="&amp;$A968,Receitas!$C:$C,Q$1,Receitas!$M:$M,$B968)</f>
        <v>0</v>
      </c>
      <c r="R968" s="18" cm="1">
        <f t="array" ref="R968">(IF(AND(Membros!$F$2="Sim",A968&lt;=MAX(Membros!$E$2:$E$5)),Membros!K$2,IF(AND(A968&gt;=Membros!J$2,A968&lt;=MAX(Membros!$E$2:$E$5)),Membros!K$2,0))+IF(AND(Membros!$F$3="Sim",A968&lt;=MAX(Membros!$E$2:$E$5)),Membros!K$3,IF(AND(A968&gt;=Membros!J$3,A968&lt;=MAX(Membros!$E$2:$E$5)),Membros!K$3,0)))*IF(AND(COUNTIFS(Tabela3[Tipo],"Provedor",Tabela3[Simulação Seguro],"Sim")=2,A968&gt;=MAX(IF(Tabela3[Tipo]="Dependente",Tabela3[Expectativa de Vida (Data)]))),0,1)</f>
        <v>0</v>
      </c>
      <c r="S968" s="18">
        <f t="shared" si="126"/>
        <v>0</v>
      </c>
      <c r="U968" s="18">
        <f t="shared" ca="1" si="129"/>
        <v>111138702.94373852</v>
      </c>
      <c r="V968" s="18">
        <f>SUMIF(Imóveis!E:E,Dados!A:A,Imóveis!Z:Z)-SUMIF(Imóveis!E:E,Dados!A:A,Imóveis!Y:Y)</f>
        <v>0</v>
      </c>
      <c r="W968" s="18">
        <f>-SUMIF(Projetos!N:N,A968,Projetos!F:F)</f>
        <v>0</v>
      </c>
      <c r="X968" s="18">
        <f t="shared" si="123"/>
        <v>0</v>
      </c>
      <c r="Y968" s="26">
        <f ca="1">(U968*((Indicadores_Economicos!D$2+1)^(1/12)-1))</f>
        <v>363839.1931689044</v>
      </c>
      <c r="Z968" s="18">
        <f t="shared" ca="1" si="127"/>
        <v>111502542.13690743</v>
      </c>
      <c r="AA968" s="18">
        <f ca="1">Auxiliar_Projetos!E968</f>
        <v>9.1913527734598035E-9</v>
      </c>
      <c r="AB968" s="18">
        <f ca="1">Auxiliar_Projetos!K968</f>
        <v>7.0702713641998484E-9</v>
      </c>
      <c r="AC968" s="18">
        <f ca="1">IF(Z968-AA968-AB968&gt;Investimentos!$C$14,Investimentos!$C$14,IF(Z968-AA968-AB968&lt;Investimentos!$C$14,Z968-AA968-AB968,0))</f>
        <v>300000</v>
      </c>
      <c r="AD968" s="18">
        <f t="shared" ca="1" si="128"/>
        <v>111202542.13690741</v>
      </c>
      <c r="AE968" s="18"/>
    </row>
    <row r="969" spans="1:31" x14ac:dyDescent="0.2">
      <c r="A969" s="4">
        <v>75089</v>
      </c>
      <c r="B969" s="5" t="str">
        <f t="shared" si="124"/>
        <v>agosto</v>
      </c>
      <c r="C969" s="5" t="str">
        <f t="shared" si="122"/>
        <v>2105</v>
      </c>
      <c r="D969" s="5">
        <f>SUMIFS(Despesas!$F:$F,Despesas!$J:$J,"&lt;="&amp;$A969,Despesas!$L:$L,"&gt;="&amp;$A969,Despesas!$C:$C,D$1,Despesas!$M:$M,"Mensal")+SUMIFS(Despesas!$F:$F,Despesas!$J:$J,"&lt;="&amp;$A969,Despesas!$L:$L,"&gt;="&amp;$A969,Despesas!$C:$C,D$1,Despesas!$M:$M,$B969)</f>
        <v>0</v>
      </c>
      <c r="E969" s="18">
        <f>SUMIFS(Despesas!$F:$F,Despesas!$J:$J,"&lt;="&amp;$A969,Despesas!$L:$L,"&gt;="&amp;$A969,Despesas!$C:$C,E$1,Despesas!$M:$M,"Mensal")+SUMIFS(Despesas!$F:$F,Despesas!$J:$J,"&lt;="&amp;$A969,Despesas!$L:$L,"&gt;="&amp;$A969,Despesas!$C:$C,E$1,Despesas!$M:$M,$B969)</f>
        <v>0</v>
      </c>
      <c r="F969" s="5">
        <f>SUMIFS(Despesas!$F:$F,Despesas!$J:$J,"&lt;="&amp;$A969,Despesas!$L:$L,"&gt;="&amp;$A969,Despesas!$C:$C,F$1,Despesas!$M:$M,"Mensal")+SUMIFS(Despesas!$F:$F,Despesas!$J:$J,"&lt;="&amp;$A969,Despesas!$L:$L,"&gt;="&amp;$A969,Despesas!$C:$C,F$1,Despesas!$M:$M,$B969)</f>
        <v>0</v>
      </c>
      <c r="G969" s="5">
        <f>SUMIFS(Despesas!$F:$F,Despesas!$J:$J,"&lt;="&amp;$A969,Despesas!$L:$L,"&gt;="&amp;$A969,Despesas!$C:$C,G$1,Despesas!$M:$M,"Mensal")+SUMIFS(Despesas!$F:$F,Despesas!$J:$J,"&lt;="&amp;$A969,Despesas!$L:$L,"&gt;="&amp;$A969,Despesas!$C:$C,G$1,Despesas!$M:$M,$B969)</f>
        <v>0</v>
      </c>
      <c r="H969" s="18">
        <f>SUMIFS(Despesas!$F:$F,Despesas!$J:$J,"&lt;="&amp;$A969,Despesas!$L:$L,"&gt;="&amp;$A969,Despesas!$C:$C,H$1,Despesas!$M:$M,"Mensal")+SUMIFS(Despesas!$F:$F,Despesas!$J:$J,"&lt;="&amp;$A969,Despesas!$L:$L,"&gt;="&amp;$A969,Despesas!$C:$C,H$1,Despesas!$M:$M,$B969)</f>
        <v>0</v>
      </c>
      <c r="I969" s="18">
        <f>IF(Imóveis!$F$2="PRICE",IF(AND(Dados!$A969&gt;=Imóveis!$Q$2,Dados!$A969&lt;=Imóveis!$T$2),Imóveis!$U$2,0),IF((IF(AND(Dados!$A969&gt;=Imóveis!$Q$2,Dados!$A969&lt;=Imóveis!$T$2),Imóveis!$S$2-(DATEDIF(Imóveis!$Q$2,Dados!$A969,"m")),0))=0,0,((Imóveis!$N$2/Imóveis!$S$2)+((Imóveis!$N$2-((Imóveis!$S$2-(IF(AND(Dados!$A969&gt;=Imóveis!$Q$2,Dados!$A969&lt;=Imóveis!$T$2),Imóveis!$S$2-(DATEDIF(Imóveis!$Q$2,Dados!$A969,"m")),)))*(Imóveis!$N$2/Imóveis!$S$2)))*Imóveis!$P$2))))*IF(AND(Imóveis!$E$2&gt;0,Dados!$A969&gt;Imóveis!$E$2),0,1)</f>
        <v>0</v>
      </c>
      <c r="J969" s="18">
        <f>IF(Imóveis!$F$3="PRICE",IF(AND(Dados!$A969&gt;=Imóveis!$Q$3,Dados!$A969&lt;=Imóveis!$T$3),Imóveis!$U$3,0),IF((IF(AND(Dados!$A969&gt;=Imóveis!$Q$3,Dados!$A969&lt;=Imóveis!$T$3),Imóveis!$S$3-(DATEDIF(Imóveis!$Q$3,Dados!$A969,"m")),0))=0,0,((Imóveis!$N$3/Imóveis!$S$3)+((Imóveis!$N$3-((Imóveis!$S$3-(IF(AND(Dados!$A969&gt;=Imóveis!$Q$3,Dados!$A969&lt;=Imóveis!$T$3),Imóveis!$S$3-(DATEDIF(Imóveis!$Q$3,Dados!$A969,"m")),)))*(Imóveis!$N$3/Imóveis!$S$3)))*Imóveis!$P$3))))*IF(AND(Imóveis!$E$3&gt;0,Dados!$A969&gt;Imóveis!$E$3),0,1)</f>
        <v>0</v>
      </c>
      <c r="K969" s="18">
        <f>IF(Imóveis!$F$4="PRICE",IF(AND(Dados!$A969&gt;=Imóveis!$Q$4,Dados!$A969&lt;=Imóveis!$T$4),Imóveis!$U$4,0),IF((IF(AND(Dados!$A969&gt;=Imóveis!$Q$4,Dados!$A969&lt;=Imóveis!$T$4),Imóveis!$S$4-(DATEDIF(Imóveis!$Q$4,Dados!$A969,"m")),0))=0,0,((Imóveis!$N$4/Imóveis!$S$4)+((Imóveis!$N$4-((Imóveis!$S$4-(IF(AND(Dados!$A969&gt;=Imóveis!$Q$4,Dados!$A969&lt;=Imóveis!$T$4),Imóveis!$S$4-(DATEDIF(Imóveis!$Q$4,Dados!$A969,"m")),)))*(Imóveis!$N$4/Imóveis!$S$4)))*Imóveis!$P$4))))*IF(AND(Imóveis!$E$4&gt;0,Dados!$A969&gt;Imóveis!$E$4),0,1)</f>
        <v>0</v>
      </c>
      <c r="L969" s="18">
        <f>IF(Imóveis!$F$5="PRICE",IF(AND(Dados!$A969&gt;=Imóveis!$Q$5,Dados!$A969&lt;=Imóveis!$T$5),Imóveis!$U$5,0),IF((IF(AND(Dados!$A969&gt;=Imóveis!$Q$5,Dados!$A969&lt;=Imóveis!$T$5),Imóveis!$S$5-(DATEDIF(Imóveis!$Q$5,Dados!$A969,"m")),0))=0,0,((Imóveis!$N$5/Imóveis!$S$5)+((Imóveis!$N$5-((Imóveis!$S$5-(IF(AND(Dados!$A969 &gt;=Imóveis!$Q$5,Dados!$A969&lt;=Imóveis!$T$5),Imóveis!$S$5-(DATEDIF(Imóveis!$Q$5,Dados!$A969,"m")),)))*(Imóveis!$N$5/Imóveis!$S$5)))*Imóveis!$P$5))))*IF(AND(Imóveis!$E$5&gt;0,Dados!$A969&gt;Imóveis!$E$5),0,1)*Imóveis!$I$5</f>
        <v>0</v>
      </c>
      <c r="M969" s="18">
        <f>IF(Imóveis!$F$6="PRICE",IF(AND(Dados!$A969&gt;=Imóveis!$Q$6,Dados!$A969&lt;=Imóveis!$T$6),Imóveis!$U$6,0),IF((IF(AND(Dados!$A969&gt;=Imóveis!$Q$6,Dados!$A969&lt;=Imóveis!$T$6),Imóveis!$S$6-(DATEDIF(Imóveis!$Q$6,Dados!$A969,"m")),0))=0,0,((Imóveis!$N$6/Imóveis!$S$6)+((Imóveis!$N$6-((Imóveis!$S$6-(IF(AND(Dados!$A969&gt;=Imóveis!$Q$6,Dados!$A969&lt;=Imóveis!$T$6),Imóveis!$S$6-(DATEDIF(Imóveis!$Q$6,Dados!$A969,"m")),)))*(Imóveis!$N$6/Imóveis!$S$6)))*Imóveis!$P$6))))*IF(AND(Imóveis!$E$6&gt;0,Dados!$A969&gt;Imóveis!$E$6),0,1)*Imóveis!$I$6</f>
        <v>0</v>
      </c>
      <c r="N969" s="18">
        <f t="shared" si="125"/>
        <v>0</v>
      </c>
      <c r="O969" s="18">
        <f>SUMIFS(Receitas!$F:$F,Receitas!$J:$J,"&lt;="&amp;$A969,Receitas!$L:$L,"&gt;="&amp;$A969,Receitas!$C:$C,O$1,Receitas!$M:$M,"Mensal")+SUMIFS(Receitas!$F:$F,Receitas!$J:$J,"&lt;="&amp;$A969,Receitas!$L:$L,"&gt;="&amp;$A969,Receitas!$C:$C,O$1,Receitas!$M:$M,$B969)</f>
        <v>0</v>
      </c>
      <c r="P969" s="18">
        <f>SUMIFS(Receitas!$F:$F,Receitas!$J:$J,"&lt;="&amp;$A969,Receitas!$L:$L,"&gt;="&amp;$A969,Receitas!$C:$C,P$1,Receitas!$M:$M,"Mensal")+SUMIFS(Receitas!$F:$F,Receitas!$J:$J,"&lt;="&amp;$A969,Receitas!$L:$L,"&gt;="&amp;$A969,Receitas!$C:$C,P$1,Receitas!$M:$M,$B969)</f>
        <v>0</v>
      </c>
      <c r="Q969" s="18">
        <f>SUMIFS(Receitas!$F:$F,Receitas!$J:$J,"&lt;="&amp;$A969,Receitas!$L:$L,"&gt;="&amp;$A969,Receitas!$C:$C,Q$1,Receitas!$M:$M,"Mensal")+SUMIFS(Receitas!$F:$F,Receitas!$J:$J,"&lt;="&amp;$A969,Receitas!$L:$L,"&gt;="&amp;$A969,Receitas!$C:$C,Q$1,Receitas!$M:$M,$B969)</f>
        <v>0</v>
      </c>
      <c r="R969" s="18" cm="1">
        <f t="array" ref="R969">(IF(AND(Membros!$F$2="Sim",A969&lt;=MAX(Membros!$E$2:$E$5)),Membros!K$2,IF(AND(A969&gt;=Membros!J$2,A969&lt;=MAX(Membros!$E$2:$E$5)),Membros!K$2,0))+IF(AND(Membros!$F$3="Sim",A969&lt;=MAX(Membros!$E$2:$E$5)),Membros!K$3,IF(AND(A969&gt;=Membros!J$3,A969&lt;=MAX(Membros!$E$2:$E$5)),Membros!K$3,0)))*IF(AND(COUNTIFS(Tabela3[Tipo],"Provedor",Tabela3[Simulação Seguro],"Sim")=2,A969&gt;=MAX(IF(Tabela3[Tipo]="Dependente",Tabela3[Expectativa de Vida (Data)]))),0,1)</f>
        <v>0</v>
      </c>
      <c r="S969" s="18">
        <f t="shared" si="126"/>
        <v>0</v>
      </c>
      <c r="U969" s="18">
        <f t="shared" ca="1" si="129"/>
        <v>111502542.13690743</v>
      </c>
      <c r="V969" s="18">
        <f>SUMIF(Imóveis!E:E,Dados!A:A,Imóveis!Z:Z)-SUMIF(Imóveis!E:E,Dados!A:A,Imóveis!Y:Y)</f>
        <v>0</v>
      </c>
      <c r="W969" s="18">
        <f>-SUMIF(Projetos!N:N,A969,Projetos!F:F)</f>
        <v>0</v>
      </c>
      <c r="X969" s="18">
        <f t="shared" si="123"/>
        <v>0</v>
      </c>
      <c r="Y969" s="26">
        <f ca="1">(U969*((Indicadores_Economicos!D$2+1)^(1/12)-1))</f>
        <v>365030.30800990463</v>
      </c>
      <c r="Z969" s="18">
        <f t="shared" ca="1" si="127"/>
        <v>111867572.44491734</v>
      </c>
      <c r="AA969" s="18">
        <f ca="1">Auxiliar_Projetos!E969</f>
        <v>9.2214428706865034E-9</v>
      </c>
      <c r="AB969" s="18">
        <f ca="1">Auxiliar_Projetos!K969</f>
        <v>7.0934175928357715E-9</v>
      </c>
      <c r="AC969" s="18">
        <f ca="1">IF(Z969-AA969-AB969&gt;Investimentos!$C$14,Investimentos!$C$14,IF(Z969-AA969-AB969&lt;Investimentos!$C$14,Z969-AA969-AB969,0))</f>
        <v>300000</v>
      </c>
      <c r="AD969" s="18">
        <f t="shared" ca="1" si="128"/>
        <v>111567572.44491732</v>
      </c>
      <c r="AE969" s="18"/>
    </row>
    <row r="970" spans="1:31" x14ac:dyDescent="0.2">
      <c r="A970" s="4">
        <v>75120</v>
      </c>
      <c r="B970" s="5" t="str">
        <f t="shared" si="124"/>
        <v>setembro</v>
      </c>
      <c r="C970" s="5" t="str">
        <f t="shared" si="122"/>
        <v>2105</v>
      </c>
      <c r="D970" s="5">
        <f>SUMIFS(Despesas!$F:$F,Despesas!$J:$J,"&lt;="&amp;$A970,Despesas!$L:$L,"&gt;="&amp;$A970,Despesas!$C:$C,D$1,Despesas!$M:$M,"Mensal")+SUMIFS(Despesas!$F:$F,Despesas!$J:$J,"&lt;="&amp;$A970,Despesas!$L:$L,"&gt;="&amp;$A970,Despesas!$C:$C,D$1,Despesas!$M:$M,$B970)</f>
        <v>0</v>
      </c>
      <c r="E970" s="18">
        <f>SUMIFS(Despesas!$F:$F,Despesas!$J:$J,"&lt;="&amp;$A970,Despesas!$L:$L,"&gt;="&amp;$A970,Despesas!$C:$C,E$1,Despesas!$M:$M,"Mensal")+SUMIFS(Despesas!$F:$F,Despesas!$J:$J,"&lt;="&amp;$A970,Despesas!$L:$L,"&gt;="&amp;$A970,Despesas!$C:$C,E$1,Despesas!$M:$M,$B970)</f>
        <v>0</v>
      </c>
      <c r="F970" s="5">
        <f>SUMIFS(Despesas!$F:$F,Despesas!$J:$J,"&lt;="&amp;$A970,Despesas!$L:$L,"&gt;="&amp;$A970,Despesas!$C:$C,F$1,Despesas!$M:$M,"Mensal")+SUMIFS(Despesas!$F:$F,Despesas!$J:$J,"&lt;="&amp;$A970,Despesas!$L:$L,"&gt;="&amp;$A970,Despesas!$C:$C,F$1,Despesas!$M:$M,$B970)</f>
        <v>0</v>
      </c>
      <c r="G970" s="5">
        <f>SUMIFS(Despesas!$F:$F,Despesas!$J:$J,"&lt;="&amp;$A970,Despesas!$L:$L,"&gt;="&amp;$A970,Despesas!$C:$C,G$1,Despesas!$M:$M,"Mensal")+SUMIFS(Despesas!$F:$F,Despesas!$J:$J,"&lt;="&amp;$A970,Despesas!$L:$L,"&gt;="&amp;$A970,Despesas!$C:$C,G$1,Despesas!$M:$M,$B970)</f>
        <v>0</v>
      </c>
      <c r="H970" s="18">
        <f>SUMIFS(Despesas!$F:$F,Despesas!$J:$J,"&lt;="&amp;$A970,Despesas!$L:$L,"&gt;="&amp;$A970,Despesas!$C:$C,H$1,Despesas!$M:$M,"Mensal")+SUMIFS(Despesas!$F:$F,Despesas!$J:$J,"&lt;="&amp;$A970,Despesas!$L:$L,"&gt;="&amp;$A970,Despesas!$C:$C,H$1,Despesas!$M:$M,$B970)</f>
        <v>0</v>
      </c>
      <c r="I970" s="18">
        <f>IF(Imóveis!$F$2="PRICE",IF(AND(Dados!$A970&gt;=Imóveis!$Q$2,Dados!$A970&lt;=Imóveis!$T$2),Imóveis!$U$2,0),IF((IF(AND(Dados!$A970&gt;=Imóveis!$Q$2,Dados!$A970&lt;=Imóveis!$T$2),Imóveis!$S$2-(DATEDIF(Imóveis!$Q$2,Dados!$A970,"m")),0))=0,0,((Imóveis!$N$2/Imóveis!$S$2)+((Imóveis!$N$2-((Imóveis!$S$2-(IF(AND(Dados!$A970&gt;=Imóveis!$Q$2,Dados!$A970&lt;=Imóveis!$T$2),Imóveis!$S$2-(DATEDIF(Imóveis!$Q$2,Dados!$A970,"m")),)))*(Imóveis!$N$2/Imóveis!$S$2)))*Imóveis!$P$2))))*IF(AND(Imóveis!$E$2&gt;0,Dados!$A970&gt;Imóveis!$E$2),0,1)</f>
        <v>0</v>
      </c>
      <c r="J970" s="18">
        <f>IF(Imóveis!$F$3="PRICE",IF(AND(Dados!$A970&gt;=Imóveis!$Q$3,Dados!$A970&lt;=Imóveis!$T$3),Imóveis!$U$3,0),IF((IF(AND(Dados!$A970&gt;=Imóveis!$Q$3,Dados!$A970&lt;=Imóveis!$T$3),Imóveis!$S$3-(DATEDIF(Imóveis!$Q$3,Dados!$A970,"m")),0))=0,0,((Imóveis!$N$3/Imóveis!$S$3)+((Imóveis!$N$3-((Imóveis!$S$3-(IF(AND(Dados!$A970&gt;=Imóveis!$Q$3,Dados!$A970&lt;=Imóveis!$T$3),Imóveis!$S$3-(DATEDIF(Imóveis!$Q$3,Dados!$A970,"m")),)))*(Imóveis!$N$3/Imóveis!$S$3)))*Imóveis!$P$3))))*IF(AND(Imóveis!$E$3&gt;0,Dados!$A970&gt;Imóveis!$E$3),0,1)</f>
        <v>0</v>
      </c>
      <c r="K970" s="18">
        <f>IF(Imóveis!$F$4="PRICE",IF(AND(Dados!$A970&gt;=Imóveis!$Q$4,Dados!$A970&lt;=Imóveis!$T$4),Imóveis!$U$4,0),IF((IF(AND(Dados!$A970&gt;=Imóveis!$Q$4,Dados!$A970&lt;=Imóveis!$T$4),Imóveis!$S$4-(DATEDIF(Imóveis!$Q$4,Dados!$A970,"m")),0))=0,0,((Imóveis!$N$4/Imóveis!$S$4)+((Imóveis!$N$4-((Imóveis!$S$4-(IF(AND(Dados!$A970&gt;=Imóveis!$Q$4,Dados!$A970&lt;=Imóveis!$T$4),Imóveis!$S$4-(DATEDIF(Imóveis!$Q$4,Dados!$A970,"m")),)))*(Imóveis!$N$4/Imóveis!$S$4)))*Imóveis!$P$4))))*IF(AND(Imóveis!$E$4&gt;0,Dados!$A970&gt;Imóveis!$E$4),0,1)</f>
        <v>0</v>
      </c>
      <c r="L970" s="18">
        <f>IF(Imóveis!$F$5="PRICE",IF(AND(Dados!$A970&gt;=Imóveis!$Q$5,Dados!$A970&lt;=Imóveis!$T$5),Imóveis!$U$5,0),IF((IF(AND(Dados!$A970&gt;=Imóveis!$Q$5,Dados!$A970&lt;=Imóveis!$T$5),Imóveis!$S$5-(DATEDIF(Imóveis!$Q$5,Dados!$A970,"m")),0))=0,0,((Imóveis!$N$5/Imóveis!$S$5)+((Imóveis!$N$5-((Imóveis!$S$5-(IF(AND(Dados!$A970 &gt;=Imóveis!$Q$5,Dados!$A970&lt;=Imóveis!$T$5),Imóveis!$S$5-(DATEDIF(Imóveis!$Q$5,Dados!$A970,"m")),)))*(Imóveis!$N$5/Imóveis!$S$5)))*Imóveis!$P$5))))*IF(AND(Imóveis!$E$5&gt;0,Dados!$A970&gt;Imóveis!$E$5),0,1)*Imóveis!$I$5</f>
        <v>0</v>
      </c>
      <c r="M970" s="18">
        <f>IF(Imóveis!$F$6="PRICE",IF(AND(Dados!$A970&gt;=Imóveis!$Q$6,Dados!$A970&lt;=Imóveis!$T$6),Imóveis!$U$6,0),IF((IF(AND(Dados!$A970&gt;=Imóveis!$Q$6,Dados!$A970&lt;=Imóveis!$T$6),Imóveis!$S$6-(DATEDIF(Imóveis!$Q$6,Dados!$A970,"m")),0))=0,0,((Imóveis!$N$6/Imóveis!$S$6)+((Imóveis!$N$6-((Imóveis!$S$6-(IF(AND(Dados!$A970&gt;=Imóveis!$Q$6,Dados!$A970&lt;=Imóveis!$T$6),Imóveis!$S$6-(DATEDIF(Imóveis!$Q$6,Dados!$A970,"m")),)))*(Imóveis!$N$6/Imóveis!$S$6)))*Imóveis!$P$6))))*IF(AND(Imóveis!$E$6&gt;0,Dados!$A970&gt;Imóveis!$E$6),0,1)*Imóveis!$I$6</f>
        <v>0</v>
      </c>
      <c r="N970" s="18">
        <f t="shared" si="125"/>
        <v>0</v>
      </c>
      <c r="O970" s="18">
        <f>SUMIFS(Receitas!$F:$F,Receitas!$J:$J,"&lt;="&amp;$A970,Receitas!$L:$L,"&gt;="&amp;$A970,Receitas!$C:$C,O$1,Receitas!$M:$M,"Mensal")+SUMIFS(Receitas!$F:$F,Receitas!$J:$J,"&lt;="&amp;$A970,Receitas!$L:$L,"&gt;="&amp;$A970,Receitas!$C:$C,O$1,Receitas!$M:$M,$B970)</f>
        <v>0</v>
      </c>
      <c r="P970" s="18">
        <f>SUMIFS(Receitas!$F:$F,Receitas!$J:$J,"&lt;="&amp;$A970,Receitas!$L:$L,"&gt;="&amp;$A970,Receitas!$C:$C,P$1,Receitas!$M:$M,"Mensal")+SUMIFS(Receitas!$F:$F,Receitas!$J:$J,"&lt;="&amp;$A970,Receitas!$L:$L,"&gt;="&amp;$A970,Receitas!$C:$C,P$1,Receitas!$M:$M,$B970)</f>
        <v>0</v>
      </c>
      <c r="Q970" s="18">
        <f>SUMIFS(Receitas!$F:$F,Receitas!$J:$J,"&lt;="&amp;$A970,Receitas!$L:$L,"&gt;="&amp;$A970,Receitas!$C:$C,Q$1,Receitas!$M:$M,"Mensal")+SUMIFS(Receitas!$F:$F,Receitas!$J:$J,"&lt;="&amp;$A970,Receitas!$L:$L,"&gt;="&amp;$A970,Receitas!$C:$C,Q$1,Receitas!$M:$M,$B970)</f>
        <v>0</v>
      </c>
      <c r="R970" s="18" cm="1">
        <f t="array" ref="R970">(IF(AND(Membros!$F$2="Sim",A970&lt;=MAX(Membros!$E$2:$E$5)),Membros!K$2,IF(AND(A970&gt;=Membros!J$2,A970&lt;=MAX(Membros!$E$2:$E$5)),Membros!K$2,0))+IF(AND(Membros!$F$3="Sim",A970&lt;=MAX(Membros!$E$2:$E$5)),Membros!K$3,IF(AND(A970&gt;=Membros!J$3,A970&lt;=MAX(Membros!$E$2:$E$5)),Membros!K$3,0)))*IF(AND(COUNTIFS(Tabela3[Tipo],"Provedor",Tabela3[Simulação Seguro],"Sim")=2,A970&gt;=MAX(IF(Tabela3[Tipo]="Dependente",Tabela3[Expectativa de Vida (Data)]))),0,1)</f>
        <v>0</v>
      </c>
      <c r="S970" s="18">
        <f t="shared" si="126"/>
        <v>0</v>
      </c>
      <c r="U970" s="18">
        <f t="shared" ca="1" si="129"/>
        <v>111867572.44491734</v>
      </c>
      <c r="V970" s="18">
        <f>SUMIF(Imóveis!E:E,Dados!A:A,Imóveis!Z:Z)-SUMIF(Imóveis!E:E,Dados!A:A,Imóveis!Y:Y)</f>
        <v>0</v>
      </c>
      <c r="W970" s="18">
        <f>-SUMIF(Projetos!N:N,A970,Projetos!F:F)</f>
        <v>0</v>
      </c>
      <c r="X970" s="18">
        <f t="shared" si="123"/>
        <v>0</v>
      </c>
      <c r="Y970" s="26">
        <f ca="1">(U970*((Indicadores_Economicos!D$2+1)^(1/12)-1))</f>
        <v>366225.32225094497</v>
      </c>
      <c r="Z970" s="18">
        <f t="shared" ca="1" si="127"/>
        <v>112233797.76716828</v>
      </c>
      <c r="AA970" s="18">
        <f ca="1">Auxiliar_Projetos!E970</f>
        <v>9.2516314750615442E-9</v>
      </c>
      <c r="AB970" s="18">
        <f ca="1">Auxiliar_Projetos!K970</f>
        <v>7.1166395962011873E-9</v>
      </c>
      <c r="AC970" s="18">
        <f ca="1">IF(Z970-AA970-AB970&gt;Investimentos!$C$14,Investimentos!$C$14,IF(Z970-AA970-AB970&lt;Investimentos!$C$14,Z970-AA970-AB970,0))</f>
        <v>300000</v>
      </c>
      <c r="AD970" s="18">
        <f t="shared" ca="1" si="128"/>
        <v>111933797.76716827</v>
      </c>
      <c r="AE970" s="18"/>
    </row>
    <row r="971" spans="1:31" x14ac:dyDescent="0.2">
      <c r="A971" s="4">
        <v>75150</v>
      </c>
      <c r="B971" s="5" t="str">
        <f t="shared" si="124"/>
        <v>outubro</v>
      </c>
      <c r="C971" s="5" t="str">
        <f t="shared" si="122"/>
        <v>2105</v>
      </c>
      <c r="D971" s="5">
        <f>SUMIFS(Despesas!$F:$F,Despesas!$J:$J,"&lt;="&amp;$A971,Despesas!$L:$L,"&gt;="&amp;$A971,Despesas!$C:$C,D$1,Despesas!$M:$M,"Mensal")+SUMIFS(Despesas!$F:$F,Despesas!$J:$J,"&lt;="&amp;$A971,Despesas!$L:$L,"&gt;="&amp;$A971,Despesas!$C:$C,D$1,Despesas!$M:$M,$B971)</f>
        <v>0</v>
      </c>
      <c r="E971" s="18">
        <f>SUMIFS(Despesas!$F:$F,Despesas!$J:$J,"&lt;="&amp;$A971,Despesas!$L:$L,"&gt;="&amp;$A971,Despesas!$C:$C,E$1,Despesas!$M:$M,"Mensal")+SUMIFS(Despesas!$F:$F,Despesas!$J:$J,"&lt;="&amp;$A971,Despesas!$L:$L,"&gt;="&amp;$A971,Despesas!$C:$C,E$1,Despesas!$M:$M,$B971)</f>
        <v>0</v>
      </c>
      <c r="F971" s="5">
        <f>SUMIFS(Despesas!$F:$F,Despesas!$J:$J,"&lt;="&amp;$A971,Despesas!$L:$L,"&gt;="&amp;$A971,Despesas!$C:$C,F$1,Despesas!$M:$M,"Mensal")+SUMIFS(Despesas!$F:$F,Despesas!$J:$J,"&lt;="&amp;$A971,Despesas!$L:$L,"&gt;="&amp;$A971,Despesas!$C:$C,F$1,Despesas!$M:$M,$B971)</f>
        <v>0</v>
      </c>
      <c r="G971" s="5">
        <f>SUMIFS(Despesas!$F:$F,Despesas!$J:$J,"&lt;="&amp;$A971,Despesas!$L:$L,"&gt;="&amp;$A971,Despesas!$C:$C,G$1,Despesas!$M:$M,"Mensal")+SUMIFS(Despesas!$F:$F,Despesas!$J:$J,"&lt;="&amp;$A971,Despesas!$L:$L,"&gt;="&amp;$A971,Despesas!$C:$C,G$1,Despesas!$M:$M,$B971)</f>
        <v>0</v>
      </c>
      <c r="H971" s="18">
        <f>SUMIFS(Despesas!$F:$F,Despesas!$J:$J,"&lt;="&amp;$A971,Despesas!$L:$L,"&gt;="&amp;$A971,Despesas!$C:$C,H$1,Despesas!$M:$M,"Mensal")+SUMIFS(Despesas!$F:$F,Despesas!$J:$J,"&lt;="&amp;$A971,Despesas!$L:$L,"&gt;="&amp;$A971,Despesas!$C:$C,H$1,Despesas!$M:$M,$B971)</f>
        <v>0</v>
      </c>
      <c r="I971" s="18">
        <f>IF(Imóveis!$F$2="PRICE",IF(AND(Dados!$A971&gt;=Imóveis!$Q$2,Dados!$A971&lt;=Imóveis!$T$2),Imóveis!$U$2,0),IF((IF(AND(Dados!$A971&gt;=Imóveis!$Q$2,Dados!$A971&lt;=Imóveis!$T$2),Imóveis!$S$2-(DATEDIF(Imóveis!$Q$2,Dados!$A971,"m")),0))=0,0,((Imóveis!$N$2/Imóveis!$S$2)+((Imóveis!$N$2-((Imóveis!$S$2-(IF(AND(Dados!$A971&gt;=Imóveis!$Q$2,Dados!$A971&lt;=Imóveis!$T$2),Imóveis!$S$2-(DATEDIF(Imóveis!$Q$2,Dados!$A971,"m")),)))*(Imóveis!$N$2/Imóveis!$S$2)))*Imóveis!$P$2))))*IF(AND(Imóveis!$E$2&gt;0,Dados!$A971&gt;Imóveis!$E$2),0,1)</f>
        <v>0</v>
      </c>
      <c r="J971" s="18">
        <f>IF(Imóveis!$F$3="PRICE",IF(AND(Dados!$A971&gt;=Imóveis!$Q$3,Dados!$A971&lt;=Imóveis!$T$3),Imóveis!$U$3,0),IF((IF(AND(Dados!$A971&gt;=Imóveis!$Q$3,Dados!$A971&lt;=Imóveis!$T$3),Imóveis!$S$3-(DATEDIF(Imóveis!$Q$3,Dados!$A971,"m")),0))=0,0,((Imóveis!$N$3/Imóveis!$S$3)+((Imóveis!$N$3-((Imóveis!$S$3-(IF(AND(Dados!$A971&gt;=Imóveis!$Q$3,Dados!$A971&lt;=Imóveis!$T$3),Imóveis!$S$3-(DATEDIF(Imóveis!$Q$3,Dados!$A971,"m")),)))*(Imóveis!$N$3/Imóveis!$S$3)))*Imóveis!$P$3))))*IF(AND(Imóveis!$E$3&gt;0,Dados!$A971&gt;Imóveis!$E$3),0,1)</f>
        <v>0</v>
      </c>
      <c r="K971" s="18">
        <f>IF(Imóveis!$F$4="PRICE",IF(AND(Dados!$A971&gt;=Imóveis!$Q$4,Dados!$A971&lt;=Imóveis!$T$4),Imóveis!$U$4,0),IF((IF(AND(Dados!$A971&gt;=Imóveis!$Q$4,Dados!$A971&lt;=Imóveis!$T$4),Imóveis!$S$4-(DATEDIF(Imóveis!$Q$4,Dados!$A971,"m")),0))=0,0,((Imóveis!$N$4/Imóveis!$S$4)+((Imóveis!$N$4-((Imóveis!$S$4-(IF(AND(Dados!$A971&gt;=Imóveis!$Q$4,Dados!$A971&lt;=Imóveis!$T$4),Imóveis!$S$4-(DATEDIF(Imóveis!$Q$4,Dados!$A971,"m")),)))*(Imóveis!$N$4/Imóveis!$S$4)))*Imóveis!$P$4))))*IF(AND(Imóveis!$E$4&gt;0,Dados!$A971&gt;Imóveis!$E$4),0,1)</f>
        <v>0</v>
      </c>
      <c r="L971" s="18">
        <f>IF(Imóveis!$F$5="PRICE",IF(AND(Dados!$A971&gt;=Imóveis!$Q$5,Dados!$A971&lt;=Imóveis!$T$5),Imóveis!$U$5,0),IF((IF(AND(Dados!$A971&gt;=Imóveis!$Q$5,Dados!$A971&lt;=Imóveis!$T$5),Imóveis!$S$5-(DATEDIF(Imóveis!$Q$5,Dados!$A971,"m")),0))=0,0,((Imóveis!$N$5/Imóveis!$S$5)+((Imóveis!$N$5-((Imóveis!$S$5-(IF(AND(Dados!$A971 &gt;=Imóveis!$Q$5,Dados!$A971&lt;=Imóveis!$T$5),Imóveis!$S$5-(DATEDIF(Imóveis!$Q$5,Dados!$A971,"m")),)))*(Imóveis!$N$5/Imóveis!$S$5)))*Imóveis!$P$5))))*IF(AND(Imóveis!$E$5&gt;0,Dados!$A971&gt;Imóveis!$E$5),0,1)*Imóveis!$I$5</f>
        <v>0</v>
      </c>
      <c r="M971" s="18">
        <f>IF(Imóveis!$F$6="PRICE",IF(AND(Dados!$A971&gt;=Imóveis!$Q$6,Dados!$A971&lt;=Imóveis!$T$6),Imóveis!$U$6,0),IF((IF(AND(Dados!$A971&gt;=Imóveis!$Q$6,Dados!$A971&lt;=Imóveis!$T$6),Imóveis!$S$6-(DATEDIF(Imóveis!$Q$6,Dados!$A971,"m")),0))=0,0,((Imóveis!$N$6/Imóveis!$S$6)+((Imóveis!$N$6-((Imóveis!$S$6-(IF(AND(Dados!$A971&gt;=Imóveis!$Q$6,Dados!$A971&lt;=Imóveis!$T$6),Imóveis!$S$6-(DATEDIF(Imóveis!$Q$6,Dados!$A971,"m")),)))*(Imóveis!$N$6/Imóveis!$S$6)))*Imóveis!$P$6))))*IF(AND(Imóveis!$E$6&gt;0,Dados!$A971&gt;Imóveis!$E$6),0,1)*Imóveis!$I$6</f>
        <v>0</v>
      </c>
      <c r="N971" s="18">
        <f t="shared" si="125"/>
        <v>0</v>
      </c>
      <c r="O971" s="18">
        <f>SUMIFS(Receitas!$F:$F,Receitas!$J:$J,"&lt;="&amp;$A971,Receitas!$L:$L,"&gt;="&amp;$A971,Receitas!$C:$C,O$1,Receitas!$M:$M,"Mensal")+SUMIFS(Receitas!$F:$F,Receitas!$J:$J,"&lt;="&amp;$A971,Receitas!$L:$L,"&gt;="&amp;$A971,Receitas!$C:$C,O$1,Receitas!$M:$M,$B971)</f>
        <v>0</v>
      </c>
      <c r="P971" s="18">
        <f>SUMIFS(Receitas!$F:$F,Receitas!$J:$J,"&lt;="&amp;$A971,Receitas!$L:$L,"&gt;="&amp;$A971,Receitas!$C:$C,P$1,Receitas!$M:$M,"Mensal")+SUMIFS(Receitas!$F:$F,Receitas!$J:$J,"&lt;="&amp;$A971,Receitas!$L:$L,"&gt;="&amp;$A971,Receitas!$C:$C,P$1,Receitas!$M:$M,$B971)</f>
        <v>0</v>
      </c>
      <c r="Q971" s="18">
        <f>SUMIFS(Receitas!$F:$F,Receitas!$J:$J,"&lt;="&amp;$A971,Receitas!$L:$L,"&gt;="&amp;$A971,Receitas!$C:$C,Q$1,Receitas!$M:$M,"Mensal")+SUMIFS(Receitas!$F:$F,Receitas!$J:$J,"&lt;="&amp;$A971,Receitas!$L:$L,"&gt;="&amp;$A971,Receitas!$C:$C,Q$1,Receitas!$M:$M,$B971)</f>
        <v>0</v>
      </c>
      <c r="R971" s="18" cm="1">
        <f t="array" ref="R971">(IF(AND(Membros!$F$2="Sim",A971&lt;=MAX(Membros!$E$2:$E$5)),Membros!K$2,IF(AND(A971&gt;=Membros!J$2,A971&lt;=MAX(Membros!$E$2:$E$5)),Membros!K$2,0))+IF(AND(Membros!$F$3="Sim",A971&lt;=MAX(Membros!$E$2:$E$5)),Membros!K$3,IF(AND(A971&gt;=Membros!J$3,A971&lt;=MAX(Membros!$E$2:$E$5)),Membros!K$3,0)))*IF(AND(COUNTIFS(Tabela3[Tipo],"Provedor",Tabela3[Simulação Seguro],"Sim")=2,A971&gt;=MAX(IF(Tabela3[Tipo]="Dependente",Tabela3[Expectativa de Vida (Data)]))),0,1)</f>
        <v>0</v>
      </c>
      <c r="S971" s="18">
        <f t="shared" si="126"/>
        <v>0</v>
      </c>
      <c r="U971" s="18">
        <f t="shared" ca="1" si="129"/>
        <v>112233797.76716828</v>
      </c>
      <c r="V971" s="18">
        <f>SUMIF(Imóveis!E:E,Dados!A:A,Imóveis!Z:Z)-SUMIF(Imóveis!E:E,Dados!A:A,Imóveis!Y:Y)</f>
        <v>0</v>
      </c>
      <c r="W971" s="18">
        <f>-SUMIF(Projetos!N:N,A971,Projetos!F:F)</f>
        <v>0</v>
      </c>
      <c r="X971" s="18">
        <f t="shared" si="123"/>
        <v>0</v>
      </c>
      <c r="Y971" s="26">
        <f ca="1">(U971*((Indicadores_Economicos!D$2+1)^(1/12)-1))</f>
        <v>367424.24865764653</v>
      </c>
      <c r="Z971" s="18">
        <f t="shared" ca="1" si="127"/>
        <v>112601222.01582593</v>
      </c>
      <c r="AA971" s="18">
        <f ca="1">Auxiliar_Projetos!E971</f>
        <v>9.281918909071697E-9</v>
      </c>
      <c r="AB971" s="18">
        <f ca="1">Auxiliar_Projetos!K971</f>
        <v>7.1399376223628433E-9</v>
      </c>
      <c r="AC971" s="18">
        <f ca="1">IF(Z971-AA971-AB971&gt;Investimentos!$C$14,Investimentos!$C$14,IF(Z971-AA971-AB971&lt;Investimentos!$C$14,Z971-AA971-AB971,0))</f>
        <v>300000</v>
      </c>
      <c r="AD971" s="18">
        <f t="shared" ca="1" si="128"/>
        <v>112301222.01582591</v>
      </c>
      <c r="AE971" s="18"/>
    </row>
    <row r="972" spans="1:31" x14ac:dyDescent="0.2">
      <c r="A972" s="4">
        <v>75181</v>
      </c>
      <c r="B972" s="5" t="str">
        <f t="shared" si="124"/>
        <v>novembro</v>
      </c>
      <c r="C972" s="5" t="str">
        <f t="shared" si="122"/>
        <v>2105</v>
      </c>
      <c r="D972" s="5">
        <f>SUMIFS(Despesas!$F:$F,Despesas!$J:$J,"&lt;="&amp;$A972,Despesas!$L:$L,"&gt;="&amp;$A972,Despesas!$C:$C,D$1,Despesas!$M:$M,"Mensal")+SUMIFS(Despesas!$F:$F,Despesas!$J:$J,"&lt;="&amp;$A972,Despesas!$L:$L,"&gt;="&amp;$A972,Despesas!$C:$C,D$1,Despesas!$M:$M,$B972)</f>
        <v>0</v>
      </c>
      <c r="E972" s="18">
        <f>SUMIFS(Despesas!$F:$F,Despesas!$J:$J,"&lt;="&amp;$A972,Despesas!$L:$L,"&gt;="&amp;$A972,Despesas!$C:$C,E$1,Despesas!$M:$M,"Mensal")+SUMIFS(Despesas!$F:$F,Despesas!$J:$J,"&lt;="&amp;$A972,Despesas!$L:$L,"&gt;="&amp;$A972,Despesas!$C:$C,E$1,Despesas!$M:$M,$B972)</f>
        <v>0</v>
      </c>
      <c r="F972" s="5">
        <f>SUMIFS(Despesas!$F:$F,Despesas!$J:$J,"&lt;="&amp;$A972,Despesas!$L:$L,"&gt;="&amp;$A972,Despesas!$C:$C,F$1,Despesas!$M:$M,"Mensal")+SUMIFS(Despesas!$F:$F,Despesas!$J:$J,"&lt;="&amp;$A972,Despesas!$L:$L,"&gt;="&amp;$A972,Despesas!$C:$C,F$1,Despesas!$M:$M,$B972)</f>
        <v>0</v>
      </c>
      <c r="G972" s="5">
        <f>SUMIFS(Despesas!$F:$F,Despesas!$J:$J,"&lt;="&amp;$A972,Despesas!$L:$L,"&gt;="&amp;$A972,Despesas!$C:$C,G$1,Despesas!$M:$M,"Mensal")+SUMIFS(Despesas!$F:$F,Despesas!$J:$J,"&lt;="&amp;$A972,Despesas!$L:$L,"&gt;="&amp;$A972,Despesas!$C:$C,G$1,Despesas!$M:$M,$B972)</f>
        <v>0</v>
      </c>
      <c r="H972" s="18">
        <f>SUMIFS(Despesas!$F:$F,Despesas!$J:$J,"&lt;="&amp;$A972,Despesas!$L:$L,"&gt;="&amp;$A972,Despesas!$C:$C,H$1,Despesas!$M:$M,"Mensal")+SUMIFS(Despesas!$F:$F,Despesas!$J:$J,"&lt;="&amp;$A972,Despesas!$L:$L,"&gt;="&amp;$A972,Despesas!$C:$C,H$1,Despesas!$M:$M,$B972)</f>
        <v>0</v>
      </c>
      <c r="I972" s="18">
        <f>IF(Imóveis!$F$2="PRICE",IF(AND(Dados!$A972&gt;=Imóveis!$Q$2,Dados!$A972&lt;=Imóveis!$T$2),Imóveis!$U$2,0),IF((IF(AND(Dados!$A972&gt;=Imóveis!$Q$2,Dados!$A972&lt;=Imóveis!$T$2),Imóveis!$S$2-(DATEDIF(Imóveis!$Q$2,Dados!$A972,"m")),0))=0,0,((Imóveis!$N$2/Imóveis!$S$2)+((Imóveis!$N$2-((Imóveis!$S$2-(IF(AND(Dados!$A972&gt;=Imóveis!$Q$2,Dados!$A972&lt;=Imóveis!$T$2),Imóveis!$S$2-(DATEDIF(Imóveis!$Q$2,Dados!$A972,"m")),)))*(Imóveis!$N$2/Imóveis!$S$2)))*Imóveis!$P$2))))*IF(AND(Imóveis!$E$2&gt;0,Dados!$A972&gt;Imóveis!$E$2),0,1)</f>
        <v>0</v>
      </c>
      <c r="J972" s="18">
        <f>IF(Imóveis!$F$3="PRICE",IF(AND(Dados!$A972&gt;=Imóveis!$Q$3,Dados!$A972&lt;=Imóveis!$T$3),Imóveis!$U$3,0),IF((IF(AND(Dados!$A972&gt;=Imóveis!$Q$3,Dados!$A972&lt;=Imóveis!$T$3),Imóveis!$S$3-(DATEDIF(Imóveis!$Q$3,Dados!$A972,"m")),0))=0,0,((Imóveis!$N$3/Imóveis!$S$3)+((Imóveis!$N$3-((Imóveis!$S$3-(IF(AND(Dados!$A972&gt;=Imóveis!$Q$3,Dados!$A972&lt;=Imóveis!$T$3),Imóveis!$S$3-(DATEDIF(Imóveis!$Q$3,Dados!$A972,"m")),)))*(Imóveis!$N$3/Imóveis!$S$3)))*Imóveis!$P$3))))*IF(AND(Imóveis!$E$3&gt;0,Dados!$A972&gt;Imóveis!$E$3),0,1)</f>
        <v>0</v>
      </c>
      <c r="K972" s="18">
        <f>IF(Imóveis!$F$4="PRICE",IF(AND(Dados!$A972&gt;=Imóveis!$Q$4,Dados!$A972&lt;=Imóveis!$T$4),Imóveis!$U$4,0),IF((IF(AND(Dados!$A972&gt;=Imóveis!$Q$4,Dados!$A972&lt;=Imóveis!$T$4),Imóveis!$S$4-(DATEDIF(Imóveis!$Q$4,Dados!$A972,"m")),0))=0,0,((Imóveis!$N$4/Imóveis!$S$4)+((Imóveis!$N$4-((Imóveis!$S$4-(IF(AND(Dados!$A972&gt;=Imóveis!$Q$4,Dados!$A972&lt;=Imóveis!$T$4),Imóveis!$S$4-(DATEDIF(Imóveis!$Q$4,Dados!$A972,"m")),)))*(Imóveis!$N$4/Imóveis!$S$4)))*Imóveis!$P$4))))*IF(AND(Imóveis!$E$4&gt;0,Dados!$A972&gt;Imóveis!$E$4),0,1)</f>
        <v>0</v>
      </c>
      <c r="L972" s="18">
        <f>IF(Imóveis!$F$5="PRICE",IF(AND(Dados!$A972&gt;=Imóveis!$Q$5,Dados!$A972&lt;=Imóveis!$T$5),Imóveis!$U$5,0),IF((IF(AND(Dados!$A972&gt;=Imóveis!$Q$5,Dados!$A972&lt;=Imóveis!$T$5),Imóveis!$S$5-(DATEDIF(Imóveis!$Q$5,Dados!$A972,"m")),0))=0,0,((Imóveis!$N$5/Imóveis!$S$5)+((Imóveis!$N$5-((Imóveis!$S$5-(IF(AND(Dados!$A972 &gt;=Imóveis!$Q$5,Dados!$A972&lt;=Imóveis!$T$5),Imóveis!$S$5-(DATEDIF(Imóveis!$Q$5,Dados!$A972,"m")),)))*(Imóveis!$N$5/Imóveis!$S$5)))*Imóveis!$P$5))))*IF(AND(Imóveis!$E$5&gt;0,Dados!$A972&gt;Imóveis!$E$5),0,1)*Imóveis!$I$5</f>
        <v>0</v>
      </c>
      <c r="M972" s="18">
        <f>IF(Imóveis!$F$6="PRICE",IF(AND(Dados!$A972&gt;=Imóveis!$Q$6,Dados!$A972&lt;=Imóveis!$T$6),Imóveis!$U$6,0),IF((IF(AND(Dados!$A972&gt;=Imóveis!$Q$6,Dados!$A972&lt;=Imóveis!$T$6),Imóveis!$S$6-(DATEDIF(Imóveis!$Q$6,Dados!$A972,"m")),0))=0,0,((Imóveis!$N$6/Imóveis!$S$6)+((Imóveis!$N$6-((Imóveis!$S$6-(IF(AND(Dados!$A972&gt;=Imóveis!$Q$6,Dados!$A972&lt;=Imóveis!$T$6),Imóveis!$S$6-(DATEDIF(Imóveis!$Q$6,Dados!$A972,"m")),)))*(Imóveis!$N$6/Imóveis!$S$6)))*Imóveis!$P$6))))*IF(AND(Imóveis!$E$6&gt;0,Dados!$A972&gt;Imóveis!$E$6),0,1)*Imóveis!$I$6</f>
        <v>0</v>
      </c>
      <c r="N972" s="18">
        <f t="shared" si="125"/>
        <v>0</v>
      </c>
      <c r="O972" s="18">
        <f>SUMIFS(Receitas!$F:$F,Receitas!$J:$J,"&lt;="&amp;$A972,Receitas!$L:$L,"&gt;="&amp;$A972,Receitas!$C:$C,O$1,Receitas!$M:$M,"Mensal")+SUMIFS(Receitas!$F:$F,Receitas!$J:$J,"&lt;="&amp;$A972,Receitas!$L:$L,"&gt;="&amp;$A972,Receitas!$C:$C,O$1,Receitas!$M:$M,$B972)</f>
        <v>0</v>
      </c>
      <c r="P972" s="18">
        <f>SUMIFS(Receitas!$F:$F,Receitas!$J:$J,"&lt;="&amp;$A972,Receitas!$L:$L,"&gt;="&amp;$A972,Receitas!$C:$C,P$1,Receitas!$M:$M,"Mensal")+SUMIFS(Receitas!$F:$F,Receitas!$J:$J,"&lt;="&amp;$A972,Receitas!$L:$L,"&gt;="&amp;$A972,Receitas!$C:$C,P$1,Receitas!$M:$M,$B972)</f>
        <v>0</v>
      </c>
      <c r="Q972" s="18">
        <f>SUMIFS(Receitas!$F:$F,Receitas!$J:$J,"&lt;="&amp;$A972,Receitas!$L:$L,"&gt;="&amp;$A972,Receitas!$C:$C,Q$1,Receitas!$M:$M,"Mensal")+SUMIFS(Receitas!$F:$F,Receitas!$J:$J,"&lt;="&amp;$A972,Receitas!$L:$L,"&gt;="&amp;$A972,Receitas!$C:$C,Q$1,Receitas!$M:$M,$B972)</f>
        <v>0</v>
      </c>
      <c r="R972" s="18" cm="1">
        <f t="array" ref="R972">(IF(AND(Membros!$F$2="Sim",A972&lt;=MAX(Membros!$E$2:$E$5)),Membros!K$2,IF(AND(A972&gt;=Membros!J$2,A972&lt;=MAX(Membros!$E$2:$E$5)),Membros!K$2,0))+IF(AND(Membros!$F$3="Sim",A972&lt;=MAX(Membros!$E$2:$E$5)),Membros!K$3,IF(AND(A972&gt;=Membros!J$3,A972&lt;=MAX(Membros!$E$2:$E$5)),Membros!K$3,0)))*IF(AND(COUNTIFS(Tabela3[Tipo],"Provedor",Tabela3[Simulação Seguro],"Sim")=2,A972&gt;=MAX(IF(Tabela3[Tipo]="Dependente",Tabela3[Expectativa de Vida (Data)]))),0,1)</f>
        <v>0</v>
      </c>
      <c r="S972" s="18">
        <f t="shared" si="126"/>
        <v>0</v>
      </c>
      <c r="U972" s="18">
        <f t="shared" ca="1" si="129"/>
        <v>112601222.01582593</v>
      </c>
      <c r="V972" s="18">
        <f>SUMIF(Imóveis!E:E,Dados!A:A,Imóveis!Z:Z)-SUMIF(Imóveis!E:E,Dados!A:A,Imóveis!Y:Y)</f>
        <v>0</v>
      </c>
      <c r="W972" s="18">
        <f>-SUMIF(Projetos!N:N,A972,Projetos!F:F)</f>
        <v>0</v>
      </c>
      <c r="X972" s="18">
        <f t="shared" si="123"/>
        <v>0</v>
      </c>
      <c r="Y972" s="26">
        <f ca="1">(U972*((Indicadores_Economicos!D$2+1)^(1/12)-1))</f>
        <v>368627.10003742157</v>
      </c>
      <c r="Z972" s="18">
        <f t="shared" ca="1" si="127"/>
        <v>112969849.11586335</v>
      </c>
      <c r="AA972" s="18">
        <f ca="1">Auxiliar_Projetos!E972</f>
        <v>9.3123054962594701E-9</v>
      </c>
      <c r="AB972" s="18">
        <f ca="1">Auxiliar_Projetos!K972</f>
        <v>7.1633119201995913E-9</v>
      </c>
      <c r="AC972" s="18">
        <f ca="1">IF(Z972-AA972-AB972&gt;Investimentos!$C$14,Investimentos!$C$14,IF(Z972-AA972-AB972&lt;Investimentos!$C$14,Z972-AA972-AB972,0))</f>
        <v>300000</v>
      </c>
      <c r="AD972" s="18">
        <f t="shared" ca="1" si="128"/>
        <v>112669849.11586334</v>
      </c>
      <c r="AE972" s="18"/>
    </row>
    <row r="973" spans="1:31" x14ac:dyDescent="0.2">
      <c r="A973" s="4">
        <v>75211</v>
      </c>
      <c r="B973" s="5" t="str">
        <f t="shared" si="124"/>
        <v>dezembro</v>
      </c>
      <c r="C973" s="5" t="str">
        <f t="shared" si="122"/>
        <v>2105</v>
      </c>
      <c r="D973" s="5">
        <f>SUMIFS(Despesas!$F:$F,Despesas!$J:$J,"&lt;="&amp;$A973,Despesas!$L:$L,"&gt;="&amp;$A973,Despesas!$C:$C,D$1,Despesas!$M:$M,"Mensal")+SUMIFS(Despesas!$F:$F,Despesas!$J:$J,"&lt;="&amp;$A973,Despesas!$L:$L,"&gt;="&amp;$A973,Despesas!$C:$C,D$1,Despesas!$M:$M,$B973)</f>
        <v>0</v>
      </c>
      <c r="E973" s="18">
        <f>SUMIFS(Despesas!$F:$F,Despesas!$J:$J,"&lt;="&amp;$A973,Despesas!$L:$L,"&gt;="&amp;$A973,Despesas!$C:$C,E$1,Despesas!$M:$M,"Mensal")+SUMIFS(Despesas!$F:$F,Despesas!$J:$J,"&lt;="&amp;$A973,Despesas!$L:$L,"&gt;="&amp;$A973,Despesas!$C:$C,E$1,Despesas!$M:$M,$B973)</f>
        <v>0</v>
      </c>
      <c r="F973" s="5">
        <f>SUMIFS(Despesas!$F:$F,Despesas!$J:$J,"&lt;="&amp;$A973,Despesas!$L:$L,"&gt;="&amp;$A973,Despesas!$C:$C,F$1,Despesas!$M:$M,"Mensal")+SUMIFS(Despesas!$F:$F,Despesas!$J:$J,"&lt;="&amp;$A973,Despesas!$L:$L,"&gt;="&amp;$A973,Despesas!$C:$C,F$1,Despesas!$M:$M,$B973)</f>
        <v>0</v>
      </c>
      <c r="G973" s="5">
        <f>SUMIFS(Despesas!$F:$F,Despesas!$J:$J,"&lt;="&amp;$A973,Despesas!$L:$L,"&gt;="&amp;$A973,Despesas!$C:$C,G$1,Despesas!$M:$M,"Mensal")+SUMIFS(Despesas!$F:$F,Despesas!$J:$J,"&lt;="&amp;$A973,Despesas!$L:$L,"&gt;="&amp;$A973,Despesas!$C:$C,G$1,Despesas!$M:$M,$B973)</f>
        <v>0</v>
      </c>
      <c r="H973" s="18">
        <f>SUMIFS(Despesas!$F:$F,Despesas!$J:$J,"&lt;="&amp;$A973,Despesas!$L:$L,"&gt;="&amp;$A973,Despesas!$C:$C,H$1,Despesas!$M:$M,"Mensal")+SUMIFS(Despesas!$F:$F,Despesas!$J:$J,"&lt;="&amp;$A973,Despesas!$L:$L,"&gt;="&amp;$A973,Despesas!$C:$C,H$1,Despesas!$M:$M,$B973)</f>
        <v>0</v>
      </c>
      <c r="I973" s="18">
        <f>IF(Imóveis!$F$2="PRICE",IF(AND(Dados!$A973&gt;=Imóveis!$Q$2,Dados!$A973&lt;=Imóveis!$T$2),Imóveis!$U$2,0),IF((IF(AND(Dados!$A973&gt;=Imóveis!$Q$2,Dados!$A973&lt;=Imóveis!$T$2),Imóveis!$S$2-(DATEDIF(Imóveis!$Q$2,Dados!$A973,"m")),0))=0,0,((Imóveis!$N$2/Imóveis!$S$2)+((Imóveis!$N$2-((Imóveis!$S$2-(IF(AND(Dados!$A973&gt;=Imóveis!$Q$2,Dados!$A973&lt;=Imóveis!$T$2),Imóveis!$S$2-(DATEDIF(Imóveis!$Q$2,Dados!$A973,"m")),)))*(Imóveis!$N$2/Imóveis!$S$2)))*Imóveis!$P$2))))*IF(AND(Imóveis!$E$2&gt;0,Dados!$A973&gt;Imóveis!$E$2),0,1)</f>
        <v>0</v>
      </c>
      <c r="J973" s="18">
        <f>IF(Imóveis!$F$3="PRICE",IF(AND(Dados!$A973&gt;=Imóveis!$Q$3,Dados!$A973&lt;=Imóveis!$T$3),Imóveis!$U$3,0),IF((IF(AND(Dados!$A973&gt;=Imóveis!$Q$3,Dados!$A973&lt;=Imóveis!$T$3),Imóveis!$S$3-(DATEDIF(Imóveis!$Q$3,Dados!$A973,"m")),0))=0,0,((Imóveis!$N$3/Imóveis!$S$3)+((Imóveis!$N$3-((Imóveis!$S$3-(IF(AND(Dados!$A973&gt;=Imóveis!$Q$3,Dados!$A973&lt;=Imóveis!$T$3),Imóveis!$S$3-(DATEDIF(Imóveis!$Q$3,Dados!$A973,"m")),)))*(Imóveis!$N$3/Imóveis!$S$3)))*Imóveis!$P$3))))*IF(AND(Imóveis!$E$3&gt;0,Dados!$A973&gt;Imóveis!$E$3),0,1)</f>
        <v>0</v>
      </c>
      <c r="K973" s="18">
        <f>IF(Imóveis!$F$4="PRICE",IF(AND(Dados!$A973&gt;=Imóveis!$Q$4,Dados!$A973&lt;=Imóveis!$T$4),Imóveis!$U$4,0),IF((IF(AND(Dados!$A973&gt;=Imóveis!$Q$4,Dados!$A973&lt;=Imóveis!$T$4),Imóveis!$S$4-(DATEDIF(Imóveis!$Q$4,Dados!$A973,"m")),0))=0,0,((Imóveis!$N$4/Imóveis!$S$4)+((Imóveis!$N$4-((Imóveis!$S$4-(IF(AND(Dados!$A973&gt;=Imóveis!$Q$4,Dados!$A973&lt;=Imóveis!$T$4),Imóveis!$S$4-(DATEDIF(Imóveis!$Q$4,Dados!$A973,"m")),)))*(Imóveis!$N$4/Imóveis!$S$4)))*Imóveis!$P$4))))*IF(AND(Imóveis!$E$4&gt;0,Dados!$A973&gt;Imóveis!$E$4),0,1)</f>
        <v>0</v>
      </c>
      <c r="L973" s="18">
        <f>IF(Imóveis!$F$5="PRICE",IF(AND(Dados!$A973&gt;=Imóveis!$Q$5,Dados!$A973&lt;=Imóveis!$T$5),Imóveis!$U$5,0),IF((IF(AND(Dados!$A973&gt;=Imóveis!$Q$5,Dados!$A973&lt;=Imóveis!$T$5),Imóveis!$S$5-(DATEDIF(Imóveis!$Q$5,Dados!$A973,"m")),0))=0,0,((Imóveis!$N$5/Imóveis!$S$5)+((Imóveis!$N$5-((Imóveis!$S$5-(IF(AND(Dados!$A973 &gt;=Imóveis!$Q$5,Dados!$A973&lt;=Imóveis!$T$5),Imóveis!$S$5-(DATEDIF(Imóveis!$Q$5,Dados!$A973,"m")),)))*(Imóveis!$N$5/Imóveis!$S$5)))*Imóveis!$P$5))))*IF(AND(Imóveis!$E$5&gt;0,Dados!$A973&gt;Imóveis!$E$5),0,1)*Imóveis!$I$5</f>
        <v>0</v>
      </c>
      <c r="M973" s="18">
        <f>IF(Imóveis!$F$6="PRICE",IF(AND(Dados!$A973&gt;=Imóveis!$Q$6,Dados!$A973&lt;=Imóveis!$T$6),Imóveis!$U$6,0),IF((IF(AND(Dados!$A973&gt;=Imóveis!$Q$6,Dados!$A973&lt;=Imóveis!$T$6),Imóveis!$S$6-(DATEDIF(Imóveis!$Q$6,Dados!$A973,"m")),0))=0,0,((Imóveis!$N$6/Imóveis!$S$6)+((Imóveis!$N$6-((Imóveis!$S$6-(IF(AND(Dados!$A973&gt;=Imóveis!$Q$6,Dados!$A973&lt;=Imóveis!$T$6),Imóveis!$S$6-(DATEDIF(Imóveis!$Q$6,Dados!$A973,"m")),)))*(Imóveis!$N$6/Imóveis!$S$6)))*Imóveis!$P$6))))*IF(AND(Imóveis!$E$6&gt;0,Dados!$A973&gt;Imóveis!$E$6),0,1)*Imóveis!$I$6</f>
        <v>0</v>
      </c>
      <c r="N973" s="18">
        <f t="shared" si="125"/>
        <v>0</v>
      </c>
      <c r="O973" s="18">
        <f>SUMIFS(Receitas!$F:$F,Receitas!$J:$J,"&lt;="&amp;$A973,Receitas!$L:$L,"&gt;="&amp;$A973,Receitas!$C:$C,O$1,Receitas!$M:$M,"Mensal")+SUMIFS(Receitas!$F:$F,Receitas!$J:$J,"&lt;="&amp;$A973,Receitas!$L:$L,"&gt;="&amp;$A973,Receitas!$C:$C,O$1,Receitas!$M:$M,$B973)</f>
        <v>0</v>
      </c>
      <c r="P973" s="18">
        <f>SUMIFS(Receitas!$F:$F,Receitas!$J:$J,"&lt;="&amp;$A973,Receitas!$L:$L,"&gt;="&amp;$A973,Receitas!$C:$C,P$1,Receitas!$M:$M,"Mensal")+SUMIFS(Receitas!$F:$F,Receitas!$J:$J,"&lt;="&amp;$A973,Receitas!$L:$L,"&gt;="&amp;$A973,Receitas!$C:$C,P$1,Receitas!$M:$M,$B973)</f>
        <v>0</v>
      </c>
      <c r="Q973" s="18">
        <f>SUMIFS(Receitas!$F:$F,Receitas!$J:$J,"&lt;="&amp;$A973,Receitas!$L:$L,"&gt;="&amp;$A973,Receitas!$C:$C,Q$1,Receitas!$M:$M,"Mensal")+SUMIFS(Receitas!$F:$F,Receitas!$J:$J,"&lt;="&amp;$A973,Receitas!$L:$L,"&gt;="&amp;$A973,Receitas!$C:$C,Q$1,Receitas!$M:$M,$B973)</f>
        <v>0</v>
      </c>
      <c r="R973" s="18" cm="1">
        <f t="array" ref="R973">(IF(AND(Membros!$F$2="Sim",A973&lt;=MAX(Membros!$E$2:$E$5)),Membros!K$2,IF(AND(A973&gt;=Membros!J$2,A973&lt;=MAX(Membros!$E$2:$E$5)),Membros!K$2,0))+IF(AND(Membros!$F$3="Sim",A973&lt;=MAX(Membros!$E$2:$E$5)),Membros!K$3,IF(AND(A973&gt;=Membros!J$3,A973&lt;=MAX(Membros!$E$2:$E$5)),Membros!K$3,0)))*IF(AND(COUNTIFS(Tabela3[Tipo],"Provedor",Tabela3[Simulação Seguro],"Sim")=2,A973&gt;=MAX(IF(Tabela3[Tipo]="Dependente",Tabela3[Expectativa de Vida (Data)]))),0,1)</f>
        <v>0</v>
      </c>
      <c r="S973" s="18">
        <f t="shared" si="126"/>
        <v>0</v>
      </c>
      <c r="U973" s="18">
        <f t="shared" ca="1" si="129"/>
        <v>112969849.11586335</v>
      </c>
      <c r="V973" s="18">
        <f>SUMIF(Imóveis!E:E,Dados!A:A,Imóveis!Z:Z)-SUMIF(Imóveis!E:E,Dados!A:A,Imóveis!Y:Y)</f>
        <v>0</v>
      </c>
      <c r="W973" s="18">
        <f>-SUMIF(Projetos!N:N,A973,Projetos!F:F)</f>
        <v>0</v>
      </c>
      <c r="X973" s="18">
        <f t="shared" si="123"/>
        <v>0</v>
      </c>
      <c r="Y973" s="26">
        <f ca="1">(U973*((Indicadores_Economicos!D$2+1)^(1/12)-1))</f>
        <v>369833.8892396107</v>
      </c>
      <c r="Z973" s="18">
        <f t="shared" ca="1" si="127"/>
        <v>113339683.00510296</v>
      </c>
      <c r="AA973" s="18">
        <f ca="1">Auxiliar_Projetos!E973</f>
        <v>9.342791561226565E-9</v>
      </c>
      <c r="AB973" s="18">
        <f ca="1">Auxiliar_Projetos!K973</f>
        <v>7.1867627394050486E-9</v>
      </c>
      <c r="AC973" s="18">
        <f ca="1">IF(Z973-AA973-AB973&gt;Investimentos!$C$14,Investimentos!$C$14,IF(Z973-AA973-AB973&lt;Investimentos!$C$14,Z973-AA973-AB973,0))</f>
        <v>300000</v>
      </c>
      <c r="AD973" s="18">
        <f t="shared" ca="1" si="128"/>
        <v>113039683.00510295</v>
      </c>
      <c r="AE973" s="18"/>
    </row>
    <row r="974" spans="1:31" x14ac:dyDescent="0.2">
      <c r="A974" s="4">
        <v>75242</v>
      </c>
      <c r="B974" s="5" t="str">
        <f t="shared" si="124"/>
        <v>janeiro</v>
      </c>
      <c r="C974" s="5" t="str">
        <f t="shared" si="122"/>
        <v>2106</v>
      </c>
      <c r="D974" s="5">
        <f>SUMIFS(Despesas!$F:$F,Despesas!$J:$J,"&lt;="&amp;$A974,Despesas!$L:$L,"&gt;="&amp;$A974,Despesas!$C:$C,D$1,Despesas!$M:$M,"Mensal")+SUMIFS(Despesas!$F:$F,Despesas!$J:$J,"&lt;="&amp;$A974,Despesas!$L:$L,"&gt;="&amp;$A974,Despesas!$C:$C,D$1,Despesas!$M:$M,$B974)</f>
        <v>0</v>
      </c>
      <c r="E974" s="18">
        <f>SUMIFS(Despesas!$F:$F,Despesas!$J:$J,"&lt;="&amp;$A974,Despesas!$L:$L,"&gt;="&amp;$A974,Despesas!$C:$C,E$1,Despesas!$M:$M,"Mensal")+SUMIFS(Despesas!$F:$F,Despesas!$J:$J,"&lt;="&amp;$A974,Despesas!$L:$L,"&gt;="&amp;$A974,Despesas!$C:$C,E$1,Despesas!$M:$M,$B974)</f>
        <v>0</v>
      </c>
      <c r="F974" s="5">
        <f>SUMIFS(Despesas!$F:$F,Despesas!$J:$J,"&lt;="&amp;$A974,Despesas!$L:$L,"&gt;="&amp;$A974,Despesas!$C:$C,F$1,Despesas!$M:$M,"Mensal")+SUMIFS(Despesas!$F:$F,Despesas!$J:$J,"&lt;="&amp;$A974,Despesas!$L:$L,"&gt;="&amp;$A974,Despesas!$C:$C,F$1,Despesas!$M:$M,$B974)</f>
        <v>0</v>
      </c>
      <c r="G974" s="5">
        <f>SUMIFS(Despesas!$F:$F,Despesas!$J:$J,"&lt;="&amp;$A974,Despesas!$L:$L,"&gt;="&amp;$A974,Despesas!$C:$C,G$1,Despesas!$M:$M,"Mensal")+SUMIFS(Despesas!$F:$F,Despesas!$J:$J,"&lt;="&amp;$A974,Despesas!$L:$L,"&gt;="&amp;$A974,Despesas!$C:$C,G$1,Despesas!$M:$M,$B974)</f>
        <v>0</v>
      </c>
      <c r="H974" s="18">
        <f>SUMIFS(Despesas!$F:$F,Despesas!$J:$J,"&lt;="&amp;$A974,Despesas!$L:$L,"&gt;="&amp;$A974,Despesas!$C:$C,H$1,Despesas!$M:$M,"Mensal")+SUMIFS(Despesas!$F:$F,Despesas!$J:$J,"&lt;="&amp;$A974,Despesas!$L:$L,"&gt;="&amp;$A974,Despesas!$C:$C,H$1,Despesas!$M:$M,$B974)</f>
        <v>0</v>
      </c>
      <c r="I974" s="18">
        <f>IF(Imóveis!$F$2="PRICE",IF(AND(Dados!$A974&gt;=Imóveis!$Q$2,Dados!$A974&lt;=Imóveis!$T$2),Imóveis!$U$2,0),IF((IF(AND(Dados!$A974&gt;=Imóveis!$Q$2,Dados!$A974&lt;=Imóveis!$T$2),Imóveis!$S$2-(DATEDIF(Imóveis!$Q$2,Dados!$A974,"m")),0))=0,0,((Imóveis!$N$2/Imóveis!$S$2)+((Imóveis!$N$2-((Imóveis!$S$2-(IF(AND(Dados!$A974&gt;=Imóveis!$Q$2,Dados!$A974&lt;=Imóveis!$T$2),Imóveis!$S$2-(DATEDIF(Imóveis!$Q$2,Dados!$A974,"m")),)))*(Imóveis!$N$2/Imóveis!$S$2)))*Imóveis!$P$2))))*IF(AND(Imóveis!$E$2&gt;0,Dados!$A974&gt;Imóveis!$E$2),0,1)</f>
        <v>0</v>
      </c>
      <c r="J974" s="18">
        <f>IF(Imóveis!$F$3="PRICE",IF(AND(Dados!$A974&gt;=Imóveis!$Q$3,Dados!$A974&lt;=Imóveis!$T$3),Imóveis!$U$3,0),IF((IF(AND(Dados!$A974&gt;=Imóveis!$Q$3,Dados!$A974&lt;=Imóveis!$T$3),Imóveis!$S$3-(DATEDIF(Imóveis!$Q$3,Dados!$A974,"m")),0))=0,0,((Imóveis!$N$3/Imóveis!$S$3)+((Imóveis!$N$3-((Imóveis!$S$3-(IF(AND(Dados!$A974&gt;=Imóveis!$Q$3,Dados!$A974&lt;=Imóveis!$T$3),Imóveis!$S$3-(DATEDIF(Imóveis!$Q$3,Dados!$A974,"m")),)))*(Imóveis!$N$3/Imóveis!$S$3)))*Imóveis!$P$3))))*IF(AND(Imóveis!$E$3&gt;0,Dados!$A974&gt;Imóveis!$E$3),0,1)</f>
        <v>0</v>
      </c>
      <c r="K974" s="18">
        <f>IF(Imóveis!$F$4="PRICE",IF(AND(Dados!$A974&gt;=Imóveis!$Q$4,Dados!$A974&lt;=Imóveis!$T$4),Imóveis!$U$4,0),IF((IF(AND(Dados!$A974&gt;=Imóveis!$Q$4,Dados!$A974&lt;=Imóveis!$T$4),Imóveis!$S$4-(DATEDIF(Imóveis!$Q$4,Dados!$A974,"m")),0))=0,0,((Imóveis!$N$4/Imóveis!$S$4)+((Imóveis!$N$4-((Imóveis!$S$4-(IF(AND(Dados!$A974&gt;=Imóveis!$Q$4,Dados!$A974&lt;=Imóveis!$T$4),Imóveis!$S$4-(DATEDIF(Imóveis!$Q$4,Dados!$A974,"m")),)))*(Imóveis!$N$4/Imóveis!$S$4)))*Imóveis!$P$4))))*IF(AND(Imóveis!$E$4&gt;0,Dados!$A974&gt;Imóveis!$E$4),0,1)</f>
        <v>0</v>
      </c>
      <c r="L974" s="18">
        <f>IF(Imóveis!$F$5="PRICE",IF(AND(Dados!$A974&gt;=Imóveis!$Q$5,Dados!$A974&lt;=Imóveis!$T$5),Imóveis!$U$5,0),IF((IF(AND(Dados!$A974&gt;=Imóveis!$Q$5,Dados!$A974&lt;=Imóveis!$T$5),Imóveis!$S$5-(DATEDIF(Imóveis!$Q$5,Dados!$A974,"m")),0))=0,0,((Imóveis!$N$5/Imóveis!$S$5)+((Imóveis!$N$5-((Imóveis!$S$5-(IF(AND(Dados!$A974 &gt;=Imóveis!$Q$5,Dados!$A974&lt;=Imóveis!$T$5),Imóveis!$S$5-(DATEDIF(Imóveis!$Q$5,Dados!$A974,"m")),)))*(Imóveis!$N$5/Imóveis!$S$5)))*Imóveis!$P$5))))*IF(AND(Imóveis!$E$5&gt;0,Dados!$A974&gt;Imóveis!$E$5),0,1)*Imóveis!$I$5</f>
        <v>0</v>
      </c>
      <c r="M974" s="18">
        <f>IF(Imóveis!$F$6="PRICE",IF(AND(Dados!$A974&gt;=Imóveis!$Q$6,Dados!$A974&lt;=Imóveis!$T$6),Imóveis!$U$6,0),IF((IF(AND(Dados!$A974&gt;=Imóveis!$Q$6,Dados!$A974&lt;=Imóveis!$T$6),Imóveis!$S$6-(DATEDIF(Imóveis!$Q$6,Dados!$A974,"m")),0))=0,0,((Imóveis!$N$6/Imóveis!$S$6)+((Imóveis!$N$6-((Imóveis!$S$6-(IF(AND(Dados!$A974&gt;=Imóveis!$Q$6,Dados!$A974&lt;=Imóveis!$T$6),Imóveis!$S$6-(DATEDIF(Imóveis!$Q$6,Dados!$A974,"m")),)))*(Imóveis!$N$6/Imóveis!$S$6)))*Imóveis!$P$6))))*IF(AND(Imóveis!$E$6&gt;0,Dados!$A974&gt;Imóveis!$E$6),0,1)*Imóveis!$I$6</f>
        <v>0</v>
      </c>
      <c r="N974" s="18">
        <f t="shared" si="125"/>
        <v>0</v>
      </c>
      <c r="O974" s="18">
        <f>SUMIFS(Receitas!$F:$F,Receitas!$J:$J,"&lt;="&amp;$A974,Receitas!$L:$L,"&gt;="&amp;$A974,Receitas!$C:$C,O$1,Receitas!$M:$M,"Mensal")+SUMIFS(Receitas!$F:$F,Receitas!$J:$J,"&lt;="&amp;$A974,Receitas!$L:$L,"&gt;="&amp;$A974,Receitas!$C:$C,O$1,Receitas!$M:$M,$B974)</f>
        <v>0</v>
      </c>
      <c r="P974" s="18">
        <f>SUMIFS(Receitas!$F:$F,Receitas!$J:$J,"&lt;="&amp;$A974,Receitas!$L:$L,"&gt;="&amp;$A974,Receitas!$C:$C,P$1,Receitas!$M:$M,"Mensal")+SUMIFS(Receitas!$F:$F,Receitas!$J:$J,"&lt;="&amp;$A974,Receitas!$L:$L,"&gt;="&amp;$A974,Receitas!$C:$C,P$1,Receitas!$M:$M,$B974)</f>
        <v>0</v>
      </c>
      <c r="Q974" s="18">
        <f>SUMIFS(Receitas!$F:$F,Receitas!$J:$J,"&lt;="&amp;$A974,Receitas!$L:$L,"&gt;="&amp;$A974,Receitas!$C:$C,Q$1,Receitas!$M:$M,"Mensal")+SUMIFS(Receitas!$F:$F,Receitas!$J:$J,"&lt;="&amp;$A974,Receitas!$L:$L,"&gt;="&amp;$A974,Receitas!$C:$C,Q$1,Receitas!$M:$M,$B974)</f>
        <v>0</v>
      </c>
      <c r="R974" s="18" cm="1">
        <f t="array" ref="R974">(IF(AND(Membros!$F$2="Sim",A974&lt;=MAX(Membros!$E$2:$E$5)),Membros!K$2,IF(AND(A974&gt;=Membros!J$2,A974&lt;=MAX(Membros!$E$2:$E$5)),Membros!K$2,0))+IF(AND(Membros!$F$3="Sim",A974&lt;=MAX(Membros!$E$2:$E$5)),Membros!K$3,IF(AND(A974&gt;=Membros!J$3,A974&lt;=MAX(Membros!$E$2:$E$5)),Membros!K$3,0)))*IF(AND(COUNTIFS(Tabela3[Tipo],"Provedor",Tabela3[Simulação Seguro],"Sim")=2,A974&gt;=MAX(IF(Tabela3[Tipo]="Dependente",Tabela3[Expectativa de Vida (Data)]))),0,1)</f>
        <v>0</v>
      </c>
      <c r="S974" s="18">
        <f t="shared" si="126"/>
        <v>0</v>
      </c>
      <c r="U974" s="18">
        <f t="shared" ca="1" si="129"/>
        <v>113339683.00510296</v>
      </c>
      <c r="V974" s="18">
        <f>SUMIF(Imóveis!E:E,Dados!A:A,Imóveis!Z:Z)-SUMIF(Imóveis!E:E,Dados!A:A,Imóveis!Y:Y)</f>
        <v>0</v>
      </c>
      <c r="W974" s="18">
        <f>-SUMIF(Projetos!N:N,A974,Projetos!F:F)</f>
        <v>0</v>
      </c>
      <c r="X974" s="18">
        <f t="shared" si="123"/>
        <v>0</v>
      </c>
      <c r="Y974" s="26">
        <f ca="1">(U974*((Indicadores_Economicos!D$2+1)^(1/12)-1))</f>
        <v>371044.62915561977</v>
      </c>
      <c r="Z974" s="18">
        <f t="shared" ca="1" si="127"/>
        <v>113710727.63425858</v>
      </c>
      <c r="AA974" s="18">
        <f ca="1">Auxiliar_Projetos!E974</f>
        <v>9.3733774296373455E-9</v>
      </c>
      <c r="AB974" s="18">
        <f ca="1">Auxiliar_Projetos!K974</f>
        <v>7.2102903304902641E-9</v>
      </c>
      <c r="AC974" s="18">
        <f ca="1">IF(Z974-AA974-AB974&gt;Investimentos!$C$14,Investimentos!$C$14,IF(Z974-AA974-AB974&lt;Investimentos!$C$14,Z974-AA974-AB974,0))</f>
        <v>300000</v>
      </c>
      <c r="AD974" s="18">
        <f t="shared" ca="1" si="128"/>
        <v>113410727.63425857</v>
      </c>
      <c r="AE974" s="18"/>
    </row>
    <row r="975" spans="1:31" x14ac:dyDescent="0.2">
      <c r="A975" s="4">
        <v>75273</v>
      </c>
      <c r="B975" s="5" t="str">
        <f t="shared" si="124"/>
        <v>fevereiro</v>
      </c>
      <c r="C975" s="5" t="str">
        <f t="shared" si="122"/>
        <v>2106</v>
      </c>
      <c r="D975" s="5">
        <f>SUMIFS(Despesas!$F:$F,Despesas!$J:$J,"&lt;="&amp;$A975,Despesas!$L:$L,"&gt;="&amp;$A975,Despesas!$C:$C,D$1,Despesas!$M:$M,"Mensal")+SUMIFS(Despesas!$F:$F,Despesas!$J:$J,"&lt;="&amp;$A975,Despesas!$L:$L,"&gt;="&amp;$A975,Despesas!$C:$C,D$1,Despesas!$M:$M,$B975)</f>
        <v>0</v>
      </c>
      <c r="E975" s="18">
        <f>SUMIFS(Despesas!$F:$F,Despesas!$J:$J,"&lt;="&amp;$A975,Despesas!$L:$L,"&gt;="&amp;$A975,Despesas!$C:$C,E$1,Despesas!$M:$M,"Mensal")+SUMIFS(Despesas!$F:$F,Despesas!$J:$J,"&lt;="&amp;$A975,Despesas!$L:$L,"&gt;="&amp;$A975,Despesas!$C:$C,E$1,Despesas!$M:$M,$B975)</f>
        <v>0</v>
      </c>
      <c r="F975" s="5">
        <f>SUMIFS(Despesas!$F:$F,Despesas!$J:$J,"&lt;="&amp;$A975,Despesas!$L:$L,"&gt;="&amp;$A975,Despesas!$C:$C,F$1,Despesas!$M:$M,"Mensal")+SUMIFS(Despesas!$F:$F,Despesas!$J:$J,"&lt;="&amp;$A975,Despesas!$L:$L,"&gt;="&amp;$A975,Despesas!$C:$C,F$1,Despesas!$M:$M,$B975)</f>
        <v>0</v>
      </c>
      <c r="G975" s="5">
        <f>SUMIFS(Despesas!$F:$F,Despesas!$J:$J,"&lt;="&amp;$A975,Despesas!$L:$L,"&gt;="&amp;$A975,Despesas!$C:$C,G$1,Despesas!$M:$M,"Mensal")+SUMIFS(Despesas!$F:$F,Despesas!$J:$J,"&lt;="&amp;$A975,Despesas!$L:$L,"&gt;="&amp;$A975,Despesas!$C:$C,G$1,Despesas!$M:$M,$B975)</f>
        <v>0</v>
      </c>
      <c r="H975" s="18">
        <f>SUMIFS(Despesas!$F:$F,Despesas!$J:$J,"&lt;="&amp;$A975,Despesas!$L:$L,"&gt;="&amp;$A975,Despesas!$C:$C,H$1,Despesas!$M:$M,"Mensal")+SUMIFS(Despesas!$F:$F,Despesas!$J:$J,"&lt;="&amp;$A975,Despesas!$L:$L,"&gt;="&amp;$A975,Despesas!$C:$C,H$1,Despesas!$M:$M,$B975)</f>
        <v>0</v>
      </c>
      <c r="I975" s="18">
        <f>IF(Imóveis!$F$2="PRICE",IF(AND(Dados!$A975&gt;=Imóveis!$Q$2,Dados!$A975&lt;=Imóveis!$T$2),Imóveis!$U$2,0),IF((IF(AND(Dados!$A975&gt;=Imóveis!$Q$2,Dados!$A975&lt;=Imóveis!$T$2),Imóveis!$S$2-(DATEDIF(Imóveis!$Q$2,Dados!$A975,"m")),0))=0,0,((Imóveis!$N$2/Imóveis!$S$2)+((Imóveis!$N$2-((Imóveis!$S$2-(IF(AND(Dados!$A975&gt;=Imóveis!$Q$2,Dados!$A975&lt;=Imóveis!$T$2),Imóveis!$S$2-(DATEDIF(Imóveis!$Q$2,Dados!$A975,"m")),)))*(Imóveis!$N$2/Imóveis!$S$2)))*Imóveis!$P$2))))*IF(AND(Imóveis!$E$2&gt;0,Dados!$A975&gt;Imóveis!$E$2),0,1)</f>
        <v>0</v>
      </c>
      <c r="J975" s="18">
        <f>IF(Imóveis!$F$3="PRICE",IF(AND(Dados!$A975&gt;=Imóveis!$Q$3,Dados!$A975&lt;=Imóveis!$T$3),Imóveis!$U$3,0),IF((IF(AND(Dados!$A975&gt;=Imóveis!$Q$3,Dados!$A975&lt;=Imóveis!$T$3),Imóveis!$S$3-(DATEDIF(Imóveis!$Q$3,Dados!$A975,"m")),0))=0,0,((Imóveis!$N$3/Imóveis!$S$3)+((Imóveis!$N$3-((Imóveis!$S$3-(IF(AND(Dados!$A975&gt;=Imóveis!$Q$3,Dados!$A975&lt;=Imóveis!$T$3),Imóveis!$S$3-(DATEDIF(Imóveis!$Q$3,Dados!$A975,"m")),)))*(Imóveis!$N$3/Imóveis!$S$3)))*Imóveis!$P$3))))*IF(AND(Imóveis!$E$3&gt;0,Dados!$A975&gt;Imóveis!$E$3),0,1)</f>
        <v>0</v>
      </c>
      <c r="K975" s="18">
        <f>IF(Imóveis!$F$4="PRICE",IF(AND(Dados!$A975&gt;=Imóveis!$Q$4,Dados!$A975&lt;=Imóveis!$T$4),Imóveis!$U$4,0),IF((IF(AND(Dados!$A975&gt;=Imóveis!$Q$4,Dados!$A975&lt;=Imóveis!$T$4),Imóveis!$S$4-(DATEDIF(Imóveis!$Q$4,Dados!$A975,"m")),0))=0,0,((Imóveis!$N$4/Imóveis!$S$4)+((Imóveis!$N$4-((Imóveis!$S$4-(IF(AND(Dados!$A975&gt;=Imóveis!$Q$4,Dados!$A975&lt;=Imóveis!$T$4),Imóveis!$S$4-(DATEDIF(Imóveis!$Q$4,Dados!$A975,"m")),)))*(Imóveis!$N$4/Imóveis!$S$4)))*Imóveis!$P$4))))*IF(AND(Imóveis!$E$4&gt;0,Dados!$A975&gt;Imóveis!$E$4),0,1)</f>
        <v>0</v>
      </c>
      <c r="L975" s="18">
        <f>IF(Imóveis!$F$5="PRICE",IF(AND(Dados!$A975&gt;=Imóveis!$Q$5,Dados!$A975&lt;=Imóveis!$T$5),Imóveis!$U$5,0),IF((IF(AND(Dados!$A975&gt;=Imóveis!$Q$5,Dados!$A975&lt;=Imóveis!$T$5),Imóveis!$S$5-(DATEDIF(Imóveis!$Q$5,Dados!$A975,"m")),0))=0,0,((Imóveis!$N$5/Imóveis!$S$5)+((Imóveis!$N$5-((Imóveis!$S$5-(IF(AND(Dados!$A975 &gt;=Imóveis!$Q$5,Dados!$A975&lt;=Imóveis!$T$5),Imóveis!$S$5-(DATEDIF(Imóveis!$Q$5,Dados!$A975,"m")),)))*(Imóveis!$N$5/Imóveis!$S$5)))*Imóveis!$P$5))))*IF(AND(Imóveis!$E$5&gt;0,Dados!$A975&gt;Imóveis!$E$5),0,1)*Imóveis!$I$5</f>
        <v>0</v>
      </c>
      <c r="M975" s="18">
        <f>IF(Imóveis!$F$6="PRICE",IF(AND(Dados!$A975&gt;=Imóveis!$Q$6,Dados!$A975&lt;=Imóveis!$T$6),Imóveis!$U$6,0),IF((IF(AND(Dados!$A975&gt;=Imóveis!$Q$6,Dados!$A975&lt;=Imóveis!$T$6),Imóveis!$S$6-(DATEDIF(Imóveis!$Q$6,Dados!$A975,"m")),0))=0,0,((Imóveis!$N$6/Imóveis!$S$6)+((Imóveis!$N$6-((Imóveis!$S$6-(IF(AND(Dados!$A975&gt;=Imóveis!$Q$6,Dados!$A975&lt;=Imóveis!$T$6),Imóveis!$S$6-(DATEDIF(Imóveis!$Q$6,Dados!$A975,"m")),)))*(Imóveis!$N$6/Imóveis!$S$6)))*Imóveis!$P$6))))*IF(AND(Imóveis!$E$6&gt;0,Dados!$A975&gt;Imóveis!$E$6),0,1)*Imóveis!$I$6</f>
        <v>0</v>
      </c>
      <c r="N975" s="18">
        <f t="shared" si="125"/>
        <v>0</v>
      </c>
      <c r="O975" s="18">
        <f>SUMIFS(Receitas!$F:$F,Receitas!$J:$J,"&lt;="&amp;$A975,Receitas!$L:$L,"&gt;="&amp;$A975,Receitas!$C:$C,O$1,Receitas!$M:$M,"Mensal")+SUMIFS(Receitas!$F:$F,Receitas!$J:$J,"&lt;="&amp;$A975,Receitas!$L:$L,"&gt;="&amp;$A975,Receitas!$C:$C,O$1,Receitas!$M:$M,$B975)</f>
        <v>0</v>
      </c>
      <c r="P975" s="18">
        <f>SUMIFS(Receitas!$F:$F,Receitas!$J:$J,"&lt;="&amp;$A975,Receitas!$L:$L,"&gt;="&amp;$A975,Receitas!$C:$C,P$1,Receitas!$M:$M,"Mensal")+SUMIFS(Receitas!$F:$F,Receitas!$J:$J,"&lt;="&amp;$A975,Receitas!$L:$L,"&gt;="&amp;$A975,Receitas!$C:$C,P$1,Receitas!$M:$M,$B975)</f>
        <v>0</v>
      </c>
      <c r="Q975" s="18">
        <f>SUMIFS(Receitas!$F:$F,Receitas!$J:$J,"&lt;="&amp;$A975,Receitas!$L:$L,"&gt;="&amp;$A975,Receitas!$C:$C,Q$1,Receitas!$M:$M,"Mensal")+SUMIFS(Receitas!$F:$F,Receitas!$J:$J,"&lt;="&amp;$A975,Receitas!$L:$L,"&gt;="&amp;$A975,Receitas!$C:$C,Q$1,Receitas!$M:$M,$B975)</f>
        <v>0</v>
      </c>
      <c r="R975" s="18" cm="1">
        <f t="array" ref="R975">(IF(AND(Membros!$F$2="Sim",A975&lt;=MAX(Membros!$E$2:$E$5)),Membros!K$2,IF(AND(A975&gt;=Membros!J$2,A975&lt;=MAX(Membros!$E$2:$E$5)),Membros!K$2,0))+IF(AND(Membros!$F$3="Sim",A975&lt;=MAX(Membros!$E$2:$E$5)),Membros!K$3,IF(AND(A975&gt;=Membros!J$3,A975&lt;=MAX(Membros!$E$2:$E$5)),Membros!K$3,0)))*IF(AND(COUNTIFS(Tabela3[Tipo],"Provedor",Tabela3[Simulação Seguro],"Sim")=2,A975&gt;=MAX(IF(Tabela3[Tipo]="Dependente",Tabela3[Expectativa de Vida (Data)]))),0,1)</f>
        <v>0</v>
      </c>
      <c r="S975" s="18">
        <f t="shared" si="126"/>
        <v>0</v>
      </c>
      <c r="U975" s="18">
        <f t="shared" ca="1" si="129"/>
        <v>113710727.63425858</v>
      </c>
      <c r="V975" s="18">
        <f>SUMIF(Imóveis!E:E,Dados!A:A,Imóveis!Z:Z)-SUMIF(Imóveis!E:E,Dados!A:A,Imóveis!Y:Y)</f>
        <v>0</v>
      </c>
      <c r="W975" s="18">
        <f>-SUMIF(Projetos!N:N,A975,Projetos!F:F)</f>
        <v>0</v>
      </c>
      <c r="X975" s="18">
        <f t="shared" si="123"/>
        <v>0</v>
      </c>
      <c r="Y975" s="26">
        <f ca="1">(U975*((Indicadores_Economicos!D$2+1)^(1/12)-1))</f>
        <v>372259.3327190578</v>
      </c>
      <c r="Z975" s="18">
        <f t="shared" ca="1" si="127"/>
        <v>114082986.96697764</v>
      </c>
      <c r="AA975" s="18">
        <f ca="1">Auxiliar_Projetos!E975</f>
        <v>9.4040634282223153E-9</v>
      </c>
      <c r="AB975" s="18">
        <f ca="1">Auxiliar_Projetos!K975</f>
        <v>7.233894944786394E-9</v>
      </c>
      <c r="AC975" s="18">
        <f ca="1">IF(Z975-AA975-AB975&gt;Investimentos!$C$14,Investimentos!$C$14,IF(Z975-AA975-AB975&lt;Investimentos!$C$14,Z975-AA975-AB975,0))</f>
        <v>300000</v>
      </c>
      <c r="AD975" s="18">
        <f t="shared" ca="1" si="128"/>
        <v>113782986.96697763</v>
      </c>
      <c r="AE975" s="18"/>
    </row>
    <row r="976" spans="1:31" x14ac:dyDescent="0.2">
      <c r="A976" s="4">
        <v>75301</v>
      </c>
      <c r="B976" s="5" t="str">
        <f t="shared" si="124"/>
        <v>março</v>
      </c>
      <c r="C976" s="5" t="str">
        <f t="shared" si="122"/>
        <v>2106</v>
      </c>
      <c r="D976" s="5">
        <f>SUMIFS(Despesas!$F:$F,Despesas!$J:$J,"&lt;="&amp;$A976,Despesas!$L:$L,"&gt;="&amp;$A976,Despesas!$C:$C,D$1,Despesas!$M:$M,"Mensal")+SUMIFS(Despesas!$F:$F,Despesas!$J:$J,"&lt;="&amp;$A976,Despesas!$L:$L,"&gt;="&amp;$A976,Despesas!$C:$C,D$1,Despesas!$M:$M,$B976)</f>
        <v>0</v>
      </c>
      <c r="E976" s="18">
        <f>SUMIFS(Despesas!$F:$F,Despesas!$J:$J,"&lt;="&amp;$A976,Despesas!$L:$L,"&gt;="&amp;$A976,Despesas!$C:$C,E$1,Despesas!$M:$M,"Mensal")+SUMIFS(Despesas!$F:$F,Despesas!$J:$J,"&lt;="&amp;$A976,Despesas!$L:$L,"&gt;="&amp;$A976,Despesas!$C:$C,E$1,Despesas!$M:$M,$B976)</f>
        <v>0</v>
      </c>
      <c r="F976" s="5">
        <f>SUMIFS(Despesas!$F:$F,Despesas!$J:$J,"&lt;="&amp;$A976,Despesas!$L:$L,"&gt;="&amp;$A976,Despesas!$C:$C,F$1,Despesas!$M:$M,"Mensal")+SUMIFS(Despesas!$F:$F,Despesas!$J:$J,"&lt;="&amp;$A976,Despesas!$L:$L,"&gt;="&amp;$A976,Despesas!$C:$C,F$1,Despesas!$M:$M,$B976)</f>
        <v>0</v>
      </c>
      <c r="G976" s="5">
        <f>SUMIFS(Despesas!$F:$F,Despesas!$J:$J,"&lt;="&amp;$A976,Despesas!$L:$L,"&gt;="&amp;$A976,Despesas!$C:$C,G$1,Despesas!$M:$M,"Mensal")+SUMIFS(Despesas!$F:$F,Despesas!$J:$J,"&lt;="&amp;$A976,Despesas!$L:$L,"&gt;="&amp;$A976,Despesas!$C:$C,G$1,Despesas!$M:$M,$B976)</f>
        <v>0</v>
      </c>
      <c r="H976" s="18">
        <f>SUMIFS(Despesas!$F:$F,Despesas!$J:$J,"&lt;="&amp;$A976,Despesas!$L:$L,"&gt;="&amp;$A976,Despesas!$C:$C,H$1,Despesas!$M:$M,"Mensal")+SUMIFS(Despesas!$F:$F,Despesas!$J:$J,"&lt;="&amp;$A976,Despesas!$L:$L,"&gt;="&amp;$A976,Despesas!$C:$C,H$1,Despesas!$M:$M,$B976)</f>
        <v>0</v>
      </c>
      <c r="I976" s="18">
        <f>IF(Imóveis!$F$2="PRICE",IF(AND(Dados!$A976&gt;=Imóveis!$Q$2,Dados!$A976&lt;=Imóveis!$T$2),Imóveis!$U$2,0),IF((IF(AND(Dados!$A976&gt;=Imóveis!$Q$2,Dados!$A976&lt;=Imóveis!$T$2),Imóveis!$S$2-(DATEDIF(Imóveis!$Q$2,Dados!$A976,"m")),0))=0,0,((Imóveis!$N$2/Imóveis!$S$2)+((Imóveis!$N$2-((Imóveis!$S$2-(IF(AND(Dados!$A976&gt;=Imóveis!$Q$2,Dados!$A976&lt;=Imóveis!$T$2),Imóveis!$S$2-(DATEDIF(Imóveis!$Q$2,Dados!$A976,"m")),)))*(Imóveis!$N$2/Imóveis!$S$2)))*Imóveis!$P$2))))*IF(AND(Imóveis!$E$2&gt;0,Dados!$A976&gt;Imóveis!$E$2),0,1)</f>
        <v>0</v>
      </c>
      <c r="J976" s="18">
        <f>IF(Imóveis!$F$3="PRICE",IF(AND(Dados!$A976&gt;=Imóveis!$Q$3,Dados!$A976&lt;=Imóveis!$T$3),Imóveis!$U$3,0),IF((IF(AND(Dados!$A976&gt;=Imóveis!$Q$3,Dados!$A976&lt;=Imóveis!$T$3),Imóveis!$S$3-(DATEDIF(Imóveis!$Q$3,Dados!$A976,"m")),0))=0,0,((Imóveis!$N$3/Imóveis!$S$3)+((Imóveis!$N$3-((Imóveis!$S$3-(IF(AND(Dados!$A976&gt;=Imóveis!$Q$3,Dados!$A976&lt;=Imóveis!$T$3),Imóveis!$S$3-(DATEDIF(Imóveis!$Q$3,Dados!$A976,"m")),)))*(Imóveis!$N$3/Imóveis!$S$3)))*Imóveis!$P$3))))*IF(AND(Imóveis!$E$3&gt;0,Dados!$A976&gt;Imóveis!$E$3),0,1)</f>
        <v>0</v>
      </c>
      <c r="K976" s="18">
        <f>IF(Imóveis!$F$4="PRICE",IF(AND(Dados!$A976&gt;=Imóveis!$Q$4,Dados!$A976&lt;=Imóveis!$T$4),Imóveis!$U$4,0),IF((IF(AND(Dados!$A976&gt;=Imóveis!$Q$4,Dados!$A976&lt;=Imóveis!$T$4),Imóveis!$S$4-(DATEDIF(Imóveis!$Q$4,Dados!$A976,"m")),0))=0,0,((Imóveis!$N$4/Imóveis!$S$4)+((Imóveis!$N$4-((Imóveis!$S$4-(IF(AND(Dados!$A976&gt;=Imóveis!$Q$4,Dados!$A976&lt;=Imóveis!$T$4),Imóveis!$S$4-(DATEDIF(Imóveis!$Q$4,Dados!$A976,"m")),)))*(Imóveis!$N$4/Imóveis!$S$4)))*Imóveis!$P$4))))*IF(AND(Imóveis!$E$4&gt;0,Dados!$A976&gt;Imóveis!$E$4),0,1)</f>
        <v>0</v>
      </c>
      <c r="L976" s="18">
        <f>IF(Imóveis!$F$5="PRICE",IF(AND(Dados!$A976&gt;=Imóveis!$Q$5,Dados!$A976&lt;=Imóveis!$T$5),Imóveis!$U$5,0),IF((IF(AND(Dados!$A976&gt;=Imóveis!$Q$5,Dados!$A976&lt;=Imóveis!$T$5),Imóveis!$S$5-(DATEDIF(Imóveis!$Q$5,Dados!$A976,"m")),0))=0,0,((Imóveis!$N$5/Imóveis!$S$5)+((Imóveis!$N$5-((Imóveis!$S$5-(IF(AND(Dados!$A976 &gt;=Imóveis!$Q$5,Dados!$A976&lt;=Imóveis!$T$5),Imóveis!$S$5-(DATEDIF(Imóveis!$Q$5,Dados!$A976,"m")),)))*(Imóveis!$N$5/Imóveis!$S$5)))*Imóveis!$P$5))))*IF(AND(Imóveis!$E$5&gt;0,Dados!$A976&gt;Imóveis!$E$5),0,1)*Imóveis!$I$5</f>
        <v>0</v>
      </c>
      <c r="M976" s="18">
        <f>IF(Imóveis!$F$6="PRICE",IF(AND(Dados!$A976&gt;=Imóveis!$Q$6,Dados!$A976&lt;=Imóveis!$T$6),Imóveis!$U$6,0),IF((IF(AND(Dados!$A976&gt;=Imóveis!$Q$6,Dados!$A976&lt;=Imóveis!$T$6),Imóveis!$S$6-(DATEDIF(Imóveis!$Q$6,Dados!$A976,"m")),0))=0,0,((Imóveis!$N$6/Imóveis!$S$6)+((Imóveis!$N$6-((Imóveis!$S$6-(IF(AND(Dados!$A976&gt;=Imóveis!$Q$6,Dados!$A976&lt;=Imóveis!$T$6),Imóveis!$S$6-(DATEDIF(Imóveis!$Q$6,Dados!$A976,"m")),)))*(Imóveis!$N$6/Imóveis!$S$6)))*Imóveis!$P$6))))*IF(AND(Imóveis!$E$6&gt;0,Dados!$A976&gt;Imóveis!$E$6),0,1)*Imóveis!$I$6</f>
        <v>0</v>
      </c>
      <c r="N976" s="18">
        <f t="shared" si="125"/>
        <v>0</v>
      </c>
      <c r="O976" s="18">
        <f>SUMIFS(Receitas!$F:$F,Receitas!$J:$J,"&lt;="&amp;$A976,Receitas!$L:$L,"&gt;="&amp;$A976,Receitas!$C:$C,O$1,Receitas!$M:$M,"Mensal")+SUMIFS(Receitas!$F:$F,Receitas!$J:$J,"&lt;="&amp;$A976,Receitas!$L:$L,"&gt;="&amp;$A976,Receitas!$C:$C,O$1,Receitas!$M:$M,$B976)</f>
        <v>0</v>
      </c>
      <c r="P976" s="18">
        <f>SUMIFS(Receitas!$F:$F,Receitas!$J:$J,"&lt;="&amp;$A976,Receitas!$L:$L,"&gt;="&amp;$A976,Receitas!$C:$C,P$1,Receitas!$M:$M,"Mensal")+SUMIFS(Receitas!$F:$F,Receitas!$J:$J,"&lt;="&amp;$A976,Receitas!$L:$L,"&gt;="&amp;$A976,Receitas!$C:$C,P$1,Receitas!$M:$M,$B976)</f>
        <v>0</v>
      </c>
      <c r="Q976" s="18">
        <f>SUMIFS(Receitas!$F:$F,Receitas!$J:$J,"&lt;="&amp;$A976,Receitas!$L:$L,"&gt;="&amp;$A976,Receitas!$C:$C,Q$1,Receitas!$M:$M,"Mensal")+SUMIFS(Receitas!$F:$F,Receitas!$J:$J,"&lt;="&amp;$A976,Receitas!$L:$L,"&gt;="&amp;$A976,Receitas!$C:$C,Q$1,Receitas!$M:$M,$B976)</f>
        <v>0</v>
      </c>
      <c r="R976" s="18" cm="1">
        <f t="array" ref="R976">(IF(AND(Membros!$F$2="Sim",A976&lt;=MAX(Membros!$E$2:$E$5)),Membros!K$2,IF(AND(A976&gt;=Membros!J$2,A976&lt;=MAX(Membros!$E$2:$E$5)),Membros!K$2,0))+IF(AND(Membros!$F$3="Sim",A976&lt;=MAX(Membros!$E$2:$E$5)),Membros!K$3,IF(AND(A976&gt;=Membros!J$3,A976&lt;=MAX(Membros!$E$2:$E$5)),Membros!K$3,0)))*IF(AND(COUNTIFS(Tabela3[Tipo],"Provedor",Tabela3[Simulação Seguro],"Sim")=2,A976&gt;=MAX(IF(Tabela3[Tipo]="Dependente",Tabela3[Expectativa de Vida (Data)]))),0,1)</f>
        <v>0</v>
      </c>
      <c r="S976" s="18">
        <f t="shared" si="126"/>
        <v>0</v>
      </c>
      <c r="U976" s="18">
        <f t="shared" ca="1" si="129"/>
        <v>114082986.96697764</v>
      </c>
      <c r="V976" s="18">
        <f>SUMIF(Imóveis!E:E,Dados!A:A,Imóveis!Z:Z)-SUMIF(Imóveis!E:E,Dados!A:A,Imóveis!Y:Y)</f>
        <v>0</v>
      </c>
      <c r="W976" s="18">
        <f>-SUMIF(Projetos!N:N,A976,Projetos!F:F)</f>
        <v>0</v>
      </c>
      <c r="X976" s="18">
        <f t="shared" si="123"/>
        <v>0</v>
      </c>
      <c r="Y976" s="26">
        <f ca="1">(U976*((Indicadores_Economicos!D$2+1)^(1/12)-1))</f>
        <v>373478.01290587499</v>
      </c>
      <c r="Z976" s="18">
        <f t="shared" ca="1" si="127"/>
        <v>114456464.97988352</v>
      </c>
      <c r="AA976" s="18">
        <f ca="1">Auxiliar_Projetos!E976</f>
        <v>9.4348498847816088E-9</v>
      </c>
      <c r="AB976" s="18">
        <f ca="1">Auxiliar_Projetos!K976</f>
        <v>7.2575768344473885E-9</v>
      </c>
      <c r="AC976" s="18">
        <f ca="1">IF(Z976-AA976-AB976&gt;Investimentos!$C$14,Investimentos!$C$14,IF(Z976-AA976-AB976&lt;Investimentos!$C$14,Z976-AA976-AB976,0))</f>
        <v>300000</v>
      </c>
      <c r="AD976" s="18">
        <f t="shared" ca="1" si="128"/>
        <v>114156464.97988351</v>
      </c>
      <c r="AE976" s="18"/>
    </row>
    <row r="977" spans="1:31" x14ac:dyDescent="0.2">
      <c r="A977" s="4">
        <v>75332</v>
      </c>
      <c r="B977" s="5" t="str">
        <f t="shared" si="124"/>
        <v>abril</v>
      </c>
      <c r="C977" s="5" t="str">
        <f t="shared" si="122"/>
        <v>2106</v>
      </c>
      <c r="D977" s="5">
        <f>SUMIFS(Despesas!$F:$F,Despesas!$J:$J,"&lt;="&amp;$A977,Despesas!$L:$L,"&gt;="&amp;$A977,Despesas!$C:$C,D$1,Despesas!$M:$M,"Mensal")+SUMIFS(Despesas!$F:$F,Despesas!$J:$J,"&lt;="&amp;$A977,Despesas!$L:$L,"&gt;="&amp;$A977,Despesas!$C:$C,D$1,Despesas!$M:$M,$B977)</f>
        <v>0</v>
      </c>
      <c r="E977" s="18">
        <f>SUMIFS(Despesas!$F:$F,Despesas!$J:$J,"&lt;="&amp;$A977,Despesas!$L:$L,"&gt;="&amp;$A977,Despesas!$C:$C,E$1,Despesas!$M:$M,"Mensal")+SUMIFS(Despesas!$F:$F,Despesas!$J:$J,"&lt;="&amp;$A977,Despesas!$L:$L,"&gt;="&amp;$A977,Despesas!$C:$C,E$1,Despesas!$M:$M,$B977)</f>
        <v>0</v>
      </c>
      <c r="F977" s="5">
        <f>SUMIFS(Despesas!$F:$F,Despesas!$J:$J,"&lt;="&amp;$A977,Despesas!$L:$L,"&gt;="&amp;$A977,Despesas!$C:$C,F$1,Despesas!$M:$M,"Mensal")+SUMIFS(Despesas!$F:$F,Despesas!$J:$J,"&lt;="&amp;$A977,Despesas!$L:$L,"&gt;="&amp;$A977,Despesas!$C:$C,F$1,Despesas!$M:$M,$B977)</f>
        <v>0</v>
      </c>
      <c r="G977" s="5">
        <f>SUMIFS(Despesas!$F:$F,Despesas!$J:$J,"&lt;="&amp;$A977,Despesas!$L:$L,"&gt;="&amp;$A977,Despesas!$C:$C,G$1,Despesas!$M:$M,"Mensal")+SUMIFS(Despesas!$F:$F,Despesas!$J:$J,"&lt;="&amp;$A977,Despesas!$L:$L,"&gt;="&amp;$A977,Despesas!$C:$C,G$1,Despesas!$M:$M,$B977)</f>
        <v>0</v>
      </c>
      <c r="H977" s="18">
        <f>SUMIFS(Despesas!$F:$F,Despesas!$J:$J,"&lt;="&amp;$A977,Despesas!$L:$L,"&gt;="&amp;$A977,Despesas!$C:$C,H$1,Despesas!$M:$M,"Mensal")+SUMIFS(Despesas!$F:$F,Despesas!$J:$J,"&lt;="&amp;$A977,Despesas!$L:$L,"&gt;="&amp;$A977,Despesas!$C:$C,H$1,Despesas!$M:$M,$B977)</f>
        <v>0</v>
      </c>
      <c r="I977" s="18">
        <f>IF(Imóveis!$F$2="PRICE",IF(AND(Dados!$A977&gt;=Imóveis!$Q$2,Dados!$A977&lt;=Imóveis!$T$2),Imóveis!$U$2,0),IF((IF(AND(Dados!$A977&gt;=Imóveis!$Q$2,Dados!$A977&lt;=Imóveis!$T$2),Imóveis!$S$2-(DATEDIF(Imóveis!$Q$2,Dados!$A977,"m")),0))=0,0,((Imóveis!$N$2/Imóveis!$S$2)+((Imóveis!$N$2-((Imóveis!$S$2-(IF(AND(Dados!$A977&gt;=Imóveis!$Q$2,Dados!$A977&lt;=Imóveis!$T$2),Imóveis!$S$2-(DATEDIF(Imóveis!$Q$2,Dados!$A977,"m")),)))*(Imóveis!$N$2/Imóveis!$S$2)))*Imóveis!$P$2))))*IF(AND(Imóveis!$E$2&gt;0,Dados!$A977&gt;Imóveis!$E$2),0,1)</f>
        <v>0</v>
      </c>
      <c r="J977" s="18">
        <f>IF(Imóveis!$F$3="PRICE",IF(AND(Dados!$A977&gt;=Imóveis!$Q$3,Dados!$A977&lt;=Imóveis!$T$3),Imóveis!$U$3,0),IF((IF(AND(Dados!$A977&gt;=Imóveis!$Q$3,Dados!$A977&lt;=Imóveis!$T$3),Imóveis!$S$3-(DATEDIF(Imóveis!$Q$3,Dados!$A977,"m")),0))=0,0,((Imóveis!$N$3/Imóveis!$S$3)+((Imóveis!$N$3-((Imóveis!$S$3-(IF(AND(Dados!$A977&gt;=Imóveis!$Q$3,Dados!$A977&lt;=Imóveis!$T$3),Imóveis!$S$3-(DATEDIF(Imóveis!$Q$3,Dados!$A977,"m")),)))*(Imóveis!$N$3/Imóveis!$S$3)))*Imóveis!$P$3))))*IF(AND(Imóveis!$E$3&gt;0,Dados!$A977&gt;Imóveis!$E$3),0,1)</f>
        <v>0</v>
      </c>
      <c r="K977" s="18">
        <f>IF(Imóveis!$F$4="PRICE",IF(AND(Dados!$A977&gt;=Imóveis!$Q$4,Dados!$A977&lt;=Imóveis!$T$4),Imóveis!$U$4,0),IF((IF(AND(Dados!$A977&gt;=Imóveis!$Q$4,Dados!$A977&lt;=Imóveis!$T$4),Imóveis!$S$4-(DATEDIF(Imóveis!$Q$4,Dados!$A977,"m")),0))=0,0,((Imóveis!$N$4/Imóveis!$S$4)+((Imóveis!$N$4-((Imóveis!$S$4-(IF(AND(Dados!$A977&gt;=Imóveis!$Q$4,Dados!$A977&lt;=Imóveis!$T$4),Imóveis!$S$4-(DATEDIF(Imóveis!$Q$4,Dados!$A977,"m")),)))*(Imóveis!$N$4/Imóveis!$S$4)))*Imóveis!$P$4))))*IF(AND(Imóveis!$E$4&gt;0,Dados!$A977&gt;Imóveis!$E$4),0,1)</f>
        <v>0</v>
      </c>
      <c r="L977" s="18">
        <f>IF(Imóveis!$F$5="PRICE",IF(AND(Dados!$A977&gt;=Imóveis!$Q$5,Dados!$A977&lt;=Imóveis!$T$5),Imóveis!$U$5,0),IF((IF(AND(Dados!$A977&gt;=Imóveis!$Q$5,Dados!$A977&lt;=Imóveis!$T$5),Imóveis!$S$5-(DATEDIF(Imóveis!$Q$5,Dados!$A977,"m")),0))=0,0,((Imóveis!$N$5/Imóveis!$S$5)+((Imóveis!$N$5-((Imóveis!$S$5-(IF(AND(Dados!$A977 &gt;=Imóveis!$Q$5,Dados!$A977&lt;=Imóveis!$T$5),Imóveis!$S$5-(DATEDIF(Imóveis!$Q$5,Dados!$A977,"m")),)))*(Imóveis!$N$5/Imóveis!$S$5)))*Imóveis!$P$5))))*IF(AND(Imóveis!$E$5&gt;0,Dados!$A977&gt;Imóveis!$E$5),0,1)*Imóveis!$I$5</f>
        <v>0</v>
      </c>
      <c r="M977" s="18">
        <f>IF(Imóveis!$F$6="PRICE",IF(AND(Dados!$A977&gt;=Imóveis!$Q$6,Dados!$A977&lt;=Imóveis!$T$6),Imóveis!$U$6,0),IF((IF(AND(Dados!$A977&gt;=Imóveis!$Q$6,Dados!$A977&lt;=Imóveis!$T$6),Imóveis!$S$6-(DATEDIF(Imóveis!$Q$6,Dados!$A977,"m")),0))=0,0,((Imóveis!$N$6/Imóveis!$S$6)+((Imóveis!$N$6-((Imóveis!$S$6-(IF(AND(Dados!$A977&gt;=Imóveis!$Q$6,Dados!$A977&lt;=Imóveis!$T$6),Imóveis!$S$6-(DATEDIF(Imóveis!$Q$6,Dados!$A977,"m")),)))*(Imóveis!$N$6/Imóveis!$S$6)))*Imóveis!$P$6))))*IF(AND(Imóveis!$E$6&gt;0,Dados!$A977&gt;Imóveis!$E$6),0,1)*Imóveis!$I$6</f>
        <v>0</v>
      </c>
      <c r="N977" s="18">
        <f t="shared" si="125"/>
        <v>0</v>
      </c>
      <c r="O977" s="18">
        <f>SUMIFS(Receitas!$F:$F,Receitas!$J:$J,"&lt;="&amp;$A977,Receitas!$L:$L,"&gt;="&amp;$A977,Receitas!$C:$C,O$1,Receitas!$M:$M,"Mensal")+SUMIFS(Receitas!$F:$F,Receitas!$J:$J,"&lt;="&amp;$A977,Receitas!$L:$L,"&gt;="&amp;$A977,Receitas!$C:$C,O$1,Receitas!$M:$M,$B977)</f>
        <v>0</v>
      </c>
      <c r="P977" s="18">
        <f>SUMIFS(Receitas!$F:$F,Receitas!$J:$J,"&lt;="&amp;$A977,Receitas!$L:$L,"&gt;="&amp;$A977,Receitas!$C:$C,P$1,Receitas!$M:$M,"Mensal")+SUMIFS(Receitas!$F:$F,Receitas!$J:$J,"&lt;="&amp;$A977,Receitas!$L:$L,"&gt;="&amp;$A977,Receitas!$C:$C,P$1,Receitas!$M:$M,$B977)</f>
        <v>0</v>
      </c>
      <c r="Q977" s="18">
        <f>SUMIFS(Receitas!$F:$F,Receitas!$J:$J,"&lt;="&amp;$A977,Receitas!$L:$L,"&gt;="&amp;$A977,Receitas!$C:$C,Q$1,Receitas!$M:$M,"Mensal")+SUMIFS(Receitas!$F:$F,Receitas!$J:$J,"&lt;="&amp;$A977,Receitas!$L:$L,"&gt;="&amp;$A977,Receitas!$C:$C,Q$1,Receitas!$M:$M,$B977)</f>
        <v>0</v>
      </c>
      <c r="R977" s="18" cm="1">
        <f t="array" ref="R977">(IF(AND(Membros!$F$2="Sim",A977&lt;=MAX(Membros!$E$2:$E$5)),Membros!K$2,IF(AND(A977&gt;=Membros!J$2,A977&lt;=MAX(Membros!$E$2:$E$5)),Membros!K$2,0))+IF(AND(Membros!$F$3="Sim",A977&lt;=MAX(Membros!$E$2:$E$5)),Membros!K$3,IF(AND(A977&gt;=Membros!J$3,A977&lt;=MAX(Membros!$E$2:$E$5)),Membros!K$3,0)))*IF(AND(COUNTIFS(Tabela3[Tipo],"Provedor",Tabela3[Simulação Seguro],"Sim")=2,A977&gt;=MAX(IF(Tabela3[Tipo]="Dependente",Tabela3[Expectativa de Vida (Data)]))),0,1)</f>
        <v>0</v>
      </c>
      <c r="S977" s="18">
        <f t="shared" si="126"/>
        <v>0</v>
      </c>
      <c r="U977" s="18">
        <f t="shared" ca="1" si="129"/>
        <v>114456464.97988352</v>
      </c>
      <c r="V977" s="18">
        <f>SUMIF(Imóveis!E:E,Dados!A:A,Imóveis!Z:Z)-SUMIF(Imóveis!E:E,Dados!A:A,Imóveis!Y:Y)</f>
        <v>0</v>
      </c>
      <c r="W977" s="18">
        <f>-SUMIF(Projetos!N:N,A977,Projetos!F:F)</f>
        <v>0</v>
      </c>
      <c r="X977" s="18">
        <f t="shared" si="123"/>
        <v>0</v>
      </c>
      <c r="Y977" s="26">
        <f ca="1">(U977*((Indicadores_Economicos!D$2+1)^(1/12)-1))</f>
        <v>374700.68273450155</v>
      </c>
      <c r="Z977" s="18">
        <f t="shared" ca="1" si="127"/>
        <v>114831165.66261803</v>
      </c>
      <c r="AA977" s="18">
        <f ca="1">Auxiliar_Projetos!E977</f>
        <v>9.4657371281884929E-9</v>
      </c>
      <c r="AB977" s="18">
        <f ca="1">Auxiliar_Projetos!K977</f>
        <v>7.2813362524526845E-9</v>
      </c>
      <c r="AC977" s="18">
        <f ca="1">IF(Z977-AA977-AB977&gt;Investimentos!$C$14,Investimentos!$C$14,IF(Z977-AA977-AB977&lt;Investimentos!$C$14,Z977-AA977-AB977,0))</f>
        <v>300000</v>
      </c>
      <c r="AD977" s="18">
        <f t="shared" ca="1" si="128"/>
        <v>114531165.66261801</v>
      </c>
      <c r="AE977" s="18"/>
    </row>
    <row r="978" spans="1:31" x14ac:dyDescent="0.2">
      <c r="A978" s="4">
        <v>75362</v>
      </c>
      <c r="B978" s="5" t="str">
        <f t="shared" si="124"/>
        <v>maio</v>
      </c>
      <c r="C978" s="5" t="str">
        <f t="shared" si="122"/>
        <v>2106</v>
      </c>
      <c r="D978" s="5">
        <f>SUMIFS(Despesas!$F:$F,Despesas!$J:$J,"&lt;="&amp;$A978,Despesas!$L:$L,"&gt;="&amp;$A978,Despesas!$C:$C,D$1,Despesas!$M:$M,"Mensal")+SUMIFS(Despesas!$F:$F,Despesas!$J:$J,"&lt;="&amp;$A978,Despesas!$L:$L,"&gt;="&amp;$A978,Despesas!$C:$C,D$1,Despesas!$M:$M,$B978)</f>
        <v>0</v>
      </c>
      <c r="E978" s="18">
        <f>SUMIFS(Despesas!$F:$F,Despesas!$J:$J,"&lt;="&amp;$A978,Despesas!$L:$L,"&gt;="&amp;$A978,Despesas!$C:$C,E$1,Despesas!$M:$M,"Mensal")+SUMIFS(Despesas!$F:$F,Despesas!$J:$J,"&lt;="&amp;$A978,Despesas!$L:$L,"&gt;="&amp;$A978,Despesas!$C:$C,E$1,Despesas!$M:$M,$B978)</f>
        <v>0</v>
      </c>
      <c r="F978" s="5">
        <f>SUMIFS(Despesas!$F:$F,Despesas!$J:$J,"&lt;="&amp;$A978,Despesas!$L:$L,"&gt;="&amp;$A978,Despesas!$C:$C,F$1,Despesas!$M:$M,"Mensal")+SUMIFS(Despesas!$F:$F,Despesas!$J:$J,"&lt;="&amp;$A978,Despesas!$L:$L,"&gt;="&amp;$A978,Despesas!$C:$C,F$1,Despesas!$M:$M,$B978)</f>
        <v>0</v>
      </c>
      <c r="G978" s="5">
        <f>SUMIFS(Despesas!$F:$F,Despesas!$J:$J,"&lt;="&amp;$A978,Despesas!$L:$L,"&gt;="&amp;$A978,Despesas!$C:$C,G$1,Despesas!$M:$M,"Mensal")+SUMIFS(Despesas!$F:$F,Despesas!$J:$J,"&lt;="&amp;$A978,Despesas!$L:$L,"&gt;="&amp;$A978,Despesas!$C:$C,G$1,Despesas!$M:$M,$B978)</f>
        <v>0</v>
      </c>
      <c r="H978" s="18">
        <f>SUMIFS(Despesas!$F:$F,Despesas!$J:$J,"&lt;="&amp;$A978,Despesas!$L:$L,"&gt;="&amp;$A978,Despesas!$C:$C,H$1,Despesas!$M:$M,"Mensal")+SUMIFS(Despesas!$F:$F,Despesas!$J:$J,"&lt;="&amp;$A978,Despesas!$L:$L,"&gt;="&amp;$A978,Despesas!$C:$C,H$1,Despesas!$M:$M,$B978)</f>
        <v>0</v>
      </c>
      <c r="I978" s="18">
        <f>IF(Imóveis!$F$2="PRICE",IF(AND(Dados!$A978&gt;=Imóveis!$Q$2,Dados!$A978&lt;=Imóveis!$T$2),Imóveis!$U$2,0),IF((IF(AND(Dados!$A978&gt;=Imóveis!$Q$2,Dados!$A978&lt;=Imóveis!$T$2),Imóveis!$S$2-(DATEDIF(Imóveis!$Q$2,Dados!$A978,"m")),0))=0,0,((Imóveis!$N$2/Imóveis!$S$2)+((Imóveis!$N$2-((Imóveis!$S$2-(IF(AND(Dados!$A978&gt;=Imóveis!$Q$2,Dados!$A978&lt;=Imóveis!$T$2),Imóveis!$S$2-(DATEDIF(Imóveis!$Q$2,Dados!$A978,"m")),)))*(Imóveis!$N$2/Imóveis!$S$2)))*Imóveis!$P$2))))*IF(AND(Imóveis!$E$2&gt;0,Dados!$A978&gt;Imóveis!$E$2),0,1)</f>
        <v>0</v>
      </c>
      <c r="J978" s="18">
        <f>IF(Imóveis!$F$3="PRICE",IF(AND(Dados!$A978&gt;=Imóveis!$Q$3,Dados!$A978&lt;=Imóveis!$T$3),Imóveis!$U$3,0),IF((IF(AND(Dados!$A978&gt;=Imóveis!$Q$3,Dados!$A978&lt;=Imóveis!$T$3),Imóveis!$S$3-(DATEDIF(Imóveis!$Q$3,Dados!$A978,"m")),0))=0,0,((Imóveis!$N$3/Imóveis!$S$3)+((Imóveis!$N$3-((Imóveis!$S$3-(IF(AND(Dados!$A978&gt;=Imóveis!$Q$3,Dados!$A978&lt;=Imóveis!$T$3),Imóveis!$S$3-(DATEDIF(Imóveis!$Q$3,Dados!$A978,"m")),)))*(Imóveis!$N$3/Imóveis!$S$3)))*Imóveis!$P$3))))*IF(AND(Imóveis!$E$3&gt;0,Dados!$A978&gt;Imóveis!$E$3),0,1)</f>
        <v>0</v>
      </c>
      <c r="K978" s="18">
        <f>IF(Imóveis!$F$4="PRICE",IF(AND(Dados!$A978&gt;=Imóveis!$Q$4,Dados!$A978&lt;=Imóveis!$T$4),Imóveis!$U$4,0),IF((IF(AND(Dados!$A978&gt;=Imóveis!$Q$4,Dados!$A978&lt;=Imóveis!$T$4),Imóveis!$S$4-(DATEDIF(Imóveis!$Q$4,Dados!$A978,"m")),0))=0,0,((Imóveis!$N$4/Imóveis!$S$4)+((Imóveis!$N$4-((Imóveis!$S$4-(IF(AND(Dados!$A978&gt;=Imóveis!$Q$4,Dados!$A978&lt;=Imóveis!$T$4),Imóveis!$S$4-(DATEDIF(Imóveis!$Q$4,Dados!$A978,"m")),)))*(Imóveis!$N$4/Imóveis!$S$4)))*Imóveis!$P$4))))*IF(AND(Imóveis!$E$4&gt;0,Dados!$A978&gt;Imóveis!$E$4),0,1)</f>
        <v>0</v>
      </c>
      <c r="L978" s="18">
        <f>IF(Imóveis!$F$5="PRICE",IF(AND(Dados!$A978&gt;=Imóveis!$Q$5,Dados!$A978&lt;=Imóveis!$T$5),Imóveis!$U$5,0),IF((IF(AND(Dados!$A978&gt;=Imóveis!$Q$5,Dados!$A978&lt;=Imóveis!$T$5),Imóveis!$S$5-(DATEDIF(Imóveis!$Q$5,Dados!$A978,"m")),0))=0,0,((Imóveis!$N$5/Imóveis!$S$5)+((Imóveis!$N$5-((Imóveis!$S$5-(IF(AND(Dados!$A978 &gt;=Imóveis!$Q$5,Dados!$A978&lt;=Imóveis!$T$5),Imóveis!$S$5-(DATEDIF(Imóveis!$Q$5,Dados!$A978,"m")),)))*(Imóveis!$N$5/Imóveis!$S$5)))*Imóveis!$P$5))))*IF(AND(Imóveis!$E$5&gt;0,Dados!$A978&gt;Imóveis!$E$5),0,1)*Imóveis!$I$5</f>
        <v>0</v>
      </c>
      <c r="M978" s="18">
        <f>IF(Imóveis!$F$6="PRICE",IF(AND(Dados!$A978&gt;=Imóveis!$Q$6,Dados!$A978&lt;=Imóveis!$T$6),Imóveis!$U$6,0),IF((IF(AND(Dados!$A978&gt;=Imóveis!$Q$6,Dados!$A978&lt;=Imóveis!$T$6),Imóveis!$S$6-(DATEDIF(Imóveis!$Q$6,Dados!$A978,"m")),0))=0,0,((Imóveis!$N$6/Imóveis!$S$6)+((Imóveis!$N$6-((Imóveis!$S$6-(IF(AND(Dados!$A978&gt;=Imóveis!$Q$6,Dados!$A978&lt;=Imóveis!$T$6),Imóveis!$S$6-(DATEDIF(Imóveis!$Q$6,Dados!$A978,"m")),)))*(Imóveis!$N$6/Imóveis!$S$6)))*Imóveis!$P$6))))*IF(AND(Imóveis!$E$6&gt;0,Dados!$A978&gt;Imóveis!$E$6),0,1)*Imóveis!$I$6</f>
        <v>0</v>
      </c>
      <c r="N978" s="18">
        <f t="shared" si="125"/>
        <v>0</v>
      </c>
      <c r="O978" s="18">
        <f>SUMIFS(Receitas!$F:$F,Receitas!$J:$J,"&lt;="&amp;$A978,Receitas!$L:$L,"&gt;="&amp;$A978,Receitas!$C:$C,O$1,Receitas!$M:$M,"Mensal")+SUMIFS(Receitas!$F:$F,Receitas!$J:$J,"&lt;="&amp;$A978,Receitas!$L:$L,"&gt;="&amp;$A978,Receitas!$C:$C,O$1,Receitas!$M:$M,$B978)</f>
        <v>0</v>
      </c>
      <c r="P978" s="18">
        <f>SUMIFS(Receitas!$F:$F,Receitas!$J:$J,"&lt;="&amp;$A978,Receitas!$L:$L,"&gt;="&amp;$A978,Receitas!$C:$C,P$1,Receitas!$M:$M,"Mensal")+SUMIFS(Receitas!$F:$F,Receitas!$J:$J,"&lt;="&amp;$A978,Receitas!$L:$L,"&gt;="&amp;$A978,Receitas!$C:$C,P$1,Receitas!$M:$M,$B978)</f>
        <v>0</v>
      </c>
      <c r="Q978" s="18">
        <f>SUMIFS(Receitas!$F:$F,Receitas!$J:$J,"&lt;="&amp;$A978,Receitas!$L:$L,"&gt;="&amp;$A978,Receitas!$C:$C,Q$1,Receitas!$M:$M,"Mensal")+SUMIFS(Receitas!$F:$F,Receitas!$J:$J,"&lt;="&amp;$A978,Receitas!$L:$L,"&gt;="&amp;$A978,Receitas!$C:$C,Q$1,Receitas!$M:$M,$B978)</f>
        <v>0</v>
      </c>
      <c r="R978" s="18" cm="1">
        <f t="array" ref="R978">(IF(AND(Membros!$F$2="Sim",A978&lt;=MAX(Membros!$E$2:$E$5)),Membros!K$2,IF(AND(A978&gt;=Membros!J$2,A978&lt;=MAX(Membros!$E$2:$E$5)),Membros!K$2,0))+IF(AND(Membros!$F$3="Sim",A978&lt;=MAX(Membros!$E$2:$E$5)),Membros!K$3,IF(AND(A978&gt;=Membros!J$3,A978&lt;=MAX(Membros!$E$2:$E$5)),Membros!K$3,0)))*IF(AND(COUNTIFS(Tabela3[Tipo],"Provedor",Tabela3[Simulação Seguro],"Sim")=2,A978&gt;=MAX(IF(Tabela3[Tipo]="Dependente",Tabela3[Expectativa de Vida (Data)]))),0,1)</f>
        <v>0</v>
      </c>
      <c r="S978" s="18">
        <f t="shared" si="126"/>
        <v>0</v>
      </c>
      <c r="U978" s="18">
        <f t="shared" ca="1" si="129"/>
        <v>114831165.66261803</v>
      </c>
      <c r="V978" s="18">
        <f>SUMIF(Imóveis!E:E,Dados!A:A,Imóveis!Z:Z)-SUMIF(Imóveis!E:E,Dados!A:A,Imóveis!Y:Y)</f>
        <v>0</v>
      </c>
      <c r="W978" s="18">
        <f>-SUMIF(Projetos!N:N,A978,Projetos!F:F)</f>
        <v>0</v>
      </c>
      <c r="X978" s="18">
        <f t="shared" si="123"/>
        <v>0</v>
      </c>
      <c r="Y978" s="26">
        <f ca="1">(U978*((Indicadores_Economicos!D$2+1)^(1/12)-1))</f>
        <v>375927.35526598658</v>
      </c>
      <c r="Z978" s="18">
        <f t="shared" ca="1" si="127"/>
        <v>115207093.01788402</v>
      </c>
      <c r="AA978" s="18">
        <f ca="1">Auxiliar_Projetos!E978</f>
        <v>9.4967254883928817E-9</v>
      </c>
      <c r="AB978" s="18">
        <f ca="1">Auxiliar_Projetos!K978</f>
        <v>7.305173452609906E-9</v>
      </c>
      <c r="AC978" s="18">
        <f ca="1">IF(Z978-AA978-AB978&gt;Investimentos!$C$14,Investimentos!$C$14,IF(Z978-AA978-AB978&lt;Investimentos!$C$14,Z978-AA978-AB978,0))</f>
        <v>300000</v>
      </c>
      <c r="AD978" s="18">
        <f t="shared" ca="1" si="128"/>
        <v>114907093.017884</v>
      </c>
      <c r="AE978" s="18"/>
    </row>
    <row r="979" spans="1:31" x14ac:dyDescent="0.2">
      <c r="A979" s="4">
        <v>75393</v>
      </c>
      <c r="B979" s="5" t="str">
        <f t="shared" si="124"/>
        <v>junho</v>
      </c>
      <c r="C979" s="5" t="str">
        <f t="shared" si="122"/>
        <v>2106</v>
      </c>
      <c r="D979" s="5">
        <f>SUMIFS(Despesas!$F:$F,Despesas!$J:$J,"&lt;="&amp;$A979,Despesas!$L:$L,"&gt;="&amp;$A979,Despesas!$C:$C,D$1,Despesas!$M:$M,"Mensal")+SUMIFS(Despesas!$F:$F,Despesas!$J:$J,"&lt;="&amp;$A979,Despesas!$L:$L,"&gt;="&amp;$A979,Despesas!$C:$C,D$1,Despesas!$M:$M,$B979)</f>
        <v>0</v>
      </c>
      <c r="E979" s="18">
        <f>SUMIFS(Despesas!$F:$F,Despesas!$J:$J,"&lt;="&amp;$A979,Despesas!$L:$L,"&gt;="&amp;$A979,Despesas!$C:$C,E$1,Despesas!$M:$M,"Mensal")+SUMIFS(Despesas!$F:$F,Despesas!$J:$J,"&lt;="&amp;$A979,Despesas!$L:$L,"&gt;="&amp;$A979,Despesas!$C:$C,E$1,Despesas!$M:$M,$B979)</f>
        <v>0</v>
      </c>
      <c r="F979" s="5">
        <f>SUMIFS(Despesas!$F:$F,Despesas!$J:$J,"&lt;="&amp;$A979,Despesas!$L:$L,"&gt;="&amp;$A979,Despesas!$C:$C,F$1,Despesas!$M:$M,"Mensal")+SUMIFS(Despesas!$F:$F,Despesas!$J:$J,"&lt;="&amp;$A979,Despesas!$L:$L,"&gt;="&amp;$A979,Despesas!$C:$C,F$1,Despesas!$M:$M,$B979)</f>
        <v>0</v>
      </c>
      <c r="G979" s="5">
        <f>SUMIFS(Despesas!$F:$F,Despesas!$J:$J,"&lt;="&amp;$A979,Despesas!$L:$L,"&gt;="&amp;$A979,Despesas!$C:$C,G$1,Despesas!$M:$M,"Mensal")+SUMIFS(Despesas!$F:$F,Despesas!$J:$J,"&lt;="&amp;$A979,Despesas!$L:$L,"&gt;="&amp;$A979,Despesas!$C:$C,G$1,Despesas!$M:$M,$B979)</f>
        <v>0</v>
      </c>
      <c r="H979" s="18">
        <f>SUMIFS(Despesas!$F:$F,Despesas!$J:$J,"&lt;="&amp;$A979,Despesas!$L:$L,"&gt;="&amp;$A979,Despesas!$C:$C,H$1,Despesas!$M:$M,"Mensal")+SUMIFS(Despesas!$F:$F,Despesas!$J:$J,"&lt;="&amp;$A979,Despesas!$L:$L,"&gt;="&amp;$A979,Despesas!$C:$C,H$1,Despesas!$M:$M,$B979)</f>
        <v>0</v>
      </c>
      <c r="I979" s="18">
        <f>IF(Imóveis!$F$2="PRICE",IF(AND(Dados!$A979&gt;=Imóveis!$Q$2,Dados!$A979&lt;=Imóveis!$T$2),Imóveis!$U$2,0),IF((IF(AND(Dados!$A979&gt;=Imóveis!$Q$2,Dados!$A979&lt;=Imóveis!$T$2),Imóveis!$S$2-(DATEDIF(Imóveis!$Q$2,Dados!$A979,"m")),0))=0,0,((Imóveis!$N$2/Imóveis!$S$2)+((Imóveis!$N$2-((Imóveis!$S$2-(IF(AND(Dados!$A979&gt;=Imóveis!$Q$2,Dados!$A979&lt;=Imóveis!$T$2),Imóveis!$S$2-(DATEDIF(Imóveis!$Q$2,Dados!$A979,"m")),)))*(Imóveis!$N$2/Imóveis!$S$2)))*Imóveis!$P$2))))*IF(AND(Imóveis!$E$2&gt;0,Dados!$A979&gt;Imóveis!$E$2),0,1)</f>
        <v>0</v>
      </c>
      <c r="J979" s="18">
        <f>IF(Imóveis!$F$3="PRICE",IF(AND(Dados!$A979&gt;=Imóveis!$Q$3,Dados!$A979&lt;=Imóveis!$T$3),Imóveis!$U$3,0),IF((IF(AND(Dados!$A979&gt;=Imóveis!$Q$3,Dados!$A979&lt;=Imóveis!$T$3),Imóveis!$S$3-(DATEDIF(Imóveis!$Q$3,Dados!$A979,"m")),0))=0,0,((Imóveis!$N$3/Imóveis!$S$3)+((Imóveis!$N$3-((Imóveis!$S$3-(IF(AND(Dados!$A979&gt;=Imóveis!$Q$3,Dados!$A979&lt;=Imóveis!$T$3),Imóveis!$S$3-(DATEDIF(Imóveis!$Q$3,Dados!$A979,"m")),)))*(Imóveis!$N$3/Imóveis!$S$3)))*Imóveis!$P$3))))*IF(AND(Imóveis!$E$3&gt;0,Dados!$A979&gt;Imóveis!$E$3),0,1)</f>
        <v>0</v>
      </c>
      <c r="K979" s="18">
        <f>IF(Imóveis!$F$4="PRICE",IF(AND(Dados!$A979&gt;=Imóveis!$Q$4,Dados!$A979&lt;=Imóveis!$T$4),Imóveis!$U$4,0),IF((IF(AND(Dados!$A979&gt;=Imóveis!$Q$4,Dados!$A979&lt;=Imóveis!$T$4),Imóveis!$S$4-(DATEDIF(Imóveis!$Q$4,Dados!$A979,"m")),0))=0,0,((Imóveis!$N$4/Imóveis!$S$4)+((Imóveis!$N$4-((Imóveis!$S$4-(IF(AND(Dados!$A979&gt;=Imóveis!$Q$4,Dados!$A979&lt;=Imóveis!$T$4),Imóveis!$S$4-(DATEDIF(Imóveis!$Q$4,Dados!$A979,"m")),)))*(Imóveis!$N$4/Imóveis!$S$4)))*Imóveis!$P$4))))*IF(AND(Imóveis!$E$4&gt;0,Dados!$A979&gt;Imóveis!$E$4),0,1)</f>
        <v>0</v>
      </c>
      <c r="L979" s="18">
        <f>IF(Imóveis!$F$5="PRICE",IF(AND(Dados!$A979&gt;=Imóveis!$Q$5,Dados!$A979&lt;=Imóveis!$T$5),Imóveis!$U$5,0),IF((IF(AND(Dados!$A979&gt;=Imóveis!$Q$5,Dados!$A979&lt;=Imóveis!$T$5),Imóveis!$S$5-(DATEDIF(Imóveis!$Q$5,Dados!$A979,"m")),0))=0,0,((Imóveis!$N$5/Imóveis!$S$5)+((Imóveis!$N$5-((Imóveis!$S$5-(IF(AND(Dados!$A979 &gt;=Imóveis!$Q$5,Dados!$A979&lt;=Imóveis!$T$5),Imóveis!$S$5-(DATEDIF(Imóveis!$Q$5,Dados!$A979,"m")),)))*(Imóveis!$N$5/Imóveis!$S$5)))*Imóveis!$P$5))))*IF(AND(Imóveis!$E$5&gt;0,Dados!$A979&gt;Imóveis!$E$5),0,1)*Imóveis!$I$5</f>
        <v>0</v>
      </c>
      <c r="M979" s="18">
        <f>IF(Imóveis!$F$6="PRICE",IF(AND(Dados!$A979&gt;=Imóveis!$Q$6,Dados!$A979&lt;=Imóveis!$T$6),Imóveis!$U$6,0),IF((IF(AND(Dados!$A979&gt;=Imóveis!$Q$6,Dados!$A979&lt;=Imóveis!$T$6),Imóveis!$S$6-(DATEDIF(Imóveis!$Q$6,Dados!$A979,"m")),0))=0,0,((Imóveis!$N$6/Imóveis!$S$6)+((Imóveis!$N$6-((Imóveis!$S$6-(IF(AND(Dados!$A979&gt;=Imóveis!$Q$6,Dados!$A979&lt;=Imóveis!$T$6),Imóveis!$S$6-(DATEDIF(Imóveis!$Q$6,Dados!$A979,"m")),)))*(Imóveis!$N$6/Imóveis!$S$6)))*Imóveis!$P$6))))*IF(AND(Imóveis!$E$6&gt;0,Dados!$A979&gt;Imóveis!$E$6),0,1)*Imóveis!$I$6</f>
        <v>0</v>
      </c>
      <c r="N979" s="18">
        <f t="shared" si="125"/>
        <v>0</v>
      </c>
      <c r="O979" s="18">
        <f>SUMIFS(Receitas!$F:$F,Receitas!$J:$J,"&lt;="&amp;$A979,Receitas!$L:$L,"&gt;="&amp;$A979,Receitas!$C:$C,O$1,Receitas!$M:$M,"Mensal")+SUMIFS(Receitas!$F:$F,Receitas!$J:$J,"&lt;="&amp;$A979,Receitas!$L:$L,"&gt;="&amp;$A979,Receitas!$C:$C,O$1,Receitas!$M:$M,$B979)</f>
        <v>0</v>
      </c>
      <c r="P979" s="18">
        <f>SUMIFS(Receitas!$F:$F,Receitas!$J:$J,"&lt;="&amp;$A979,Receitas!$L:$L,"&gt;="&amp;$A979,Receitas!$C:$C,P$1,Receitas!$M:$M,"Mensal")+SUMIFS(Receitas!$F:$F,Receitas!$J:$J,"&lt;="&amp;$A979,Receitas!$L:$L,"&gt;="&amp;$A979,Receitas!$C:$C,P$1,Receitas!$M:$M,$B979)</f>
        <v>0</v>
      </c>
      <c r="Q979" s="18">
        <f>SUMIFS(Receitas!$F:$F,Receitas!$J:$J,"&lt;="&amp;$A979,Receitas!$L:$L,"&gt;="&amp;$A979,Receitas!$C:$C,Q$1,Receitas!$M:$M,"Mensal")+SUMIFS(Receitas!$F:$F,Receitas!$J:$J,"&lt;="&amp;$A979,Receitas!$L:$L,"&gt;="&amp;$A979,Receitas!$C:$C,Q$1,Receitas!$M:$M,$B979)</f>
        <v>0</v>
      </c>
      <c r="R979" s="18" cm="1">
        <f t="array" ref="R979">(IF(AND(Membros!$F$2="Sim",A979&lt;=MAX(Membros!$E$2:$E$5)),Membros!K$2,IF(AND(A979&gt;=Membros!J$2,A979&lt;=MAX(Membros!$E$2:$E$5)),Membros!K$2,0))+IF(AND(Membros!$F$3="Sim",A979&lt;=MAX(Membros!$E$2:$E$5)),Membros!K$3,IF(AND(A979&gt;=Membros!J$3,A979&lt;=MAX(Membros!$E$2:$E$5)),Membros!K$3,0)))*IF(AND(COUNTIFS(Tabela3[Tipo],"Provedor",Tabela3[Simulação Seguro],"Sim")=2,A979&gt;=MAX(IF(Tabela3[Tipo]="Dependente",Tabela3[Expectativa de Vida (Data)]))),0,1)</f>
        <v>0</v>
      </c>
      <c r="S979" s="18">
        <f t="shared" si="126"/>
        <v>0</v>
      </c>
      <c r="U979" s="18">
        <f t="shared" ca="1" si="129"/>
        <v>115207093.01788402</v>
      </c>
      <c r="V979" s="18">
        <f>SUMIF(Imóveis!E:E,Dados!A:A,Imóveis!Z:Z)-SUMIF(Imóveis!E:E,Dados!A:A,Imóveis!Y:Y)</f>
        <v>0</v>
      </c>
      <c r="W979" s="18">
        <f>-SUMIF(Projetos!N:N,A979,Projetos!F:F)</f>
        <v>0</v>
      </c>
      <c r="X979" s="18">
        <f t="shared" si="123"/>
        <v>0</v>
      </c>
      <c r="Y979" s="26">
        <f ca="1">(U979*((Indicadores_Economicos!D$2+1)^(1/12)-1))</f>
        <v>377158.04360413773</v>
      </c>
      <c r="Z979" s="18">
        <f t="shared" ca="1" si="127"/>
        <v>115584251.06148815</v>
      </c>
      <c r="AA979" s="18">
        <f ca="1">Auxiliar_Projetos!E979</f>
        <v>9.5278152964248559E-9</v>
      </c>
      <c r="AB979" s="18">
        <f ca="1">Auxiliar_Projetos!K979</f>
        <v>7.3290886895575784E-9</v>
      </c>
      <c r="AC979" s="18">
        <f ca="1">IF(Z979-AA979-AB979&gt;Investimentos!$C$14,Investimentos!$C$14,IF(Z979-AA979-AB979&lt;Investimentos!$C$14,Z979-AA979-AB979,0))</f>
        <v>300000</v>
      </c>
      <c r="AD979" s="18">
        <f t="shared" ca="1" si="128"/>
        <v>115284251.06148814</v>
      </c>
      <c r="AE979" s="18"/>
    </row>
    <row r="980" spans="1:31" x14ac:dyDescent="0.2">
      <c r="A980" s="4">
        <v>75423</v>
      </c>
      <c r="B980" s="5" t="str">
        <f t="shared" si="124"/>
        <v>julho</v>
      </c>
      <c r="C980" s="5" t="str">
        <f t="shared" si="122"/>
        <v>2106</v>
      </c>
      <c r="D980" s="5">
        <f>SUMIFS(Despesas!$F:$F,Despesas!$J:$J,"&lt;="&amp;$A980,Despesas!$L:$L,"&gt;="&amp;$A980,Despesas!$C:$C,D$1,Despesas!$M:$M,"Mensal")+SUMIFS(Despesas!$F:$F,Despesas!$J:$J,"&lt;="&amp;$A980,Despesas!$L:$L,"&gt;="&amp;$A980,Despesas!$C:$C,D$1,Despesas!$M:$M,$B980)</f>
        <v>0</v>
      </c>
      <c r="E980" s="18">
        <f>SUMIFS(Despesas!$F:$F,Despesas!$J:$J,"&lt;="&amp;$A980,Despesas!$L:$L,"&gt;="&amp;$A980,Despesas!$C:$C,E$1,Despesas!$M:$M,"Mensal")+SUMIFS(Despesas!$F:$F,Despesas!$J:$J,"&lt;="&amp;$A980,Despesas!$L:$L,"&gt;="&amp;$A980,Despesas!$C:$C,E$1,Despesas!$M:$M,$B980)</f>
        <v>0</v>
      </c>
      <c r="F980" s="5">
        <f>SUMIFS(Despesas!$F:$F,Despesas!$J:$J,"&lt;="&amp;$A980,Despesas!$L:$L,"&gt;="&amp;$A980,Despesas!$C:$C,F$1,Despesas!$M:$M,"Mensal")+SUMIFS(Despesas!$F:$F,Despesas!$J:$J,"&lt;="&amp;$A980,Despesas!$L:$L,"&gt;="&amp;$A980,Despesas!$C:$C,F$1,Despesas!$M:$M,$B980)</f>
        <v>0</v>
      </c>
      <c r="G980" s="5">
        <f>SUMIFS(Despesas!$F:$F,Despesas!$J:$J,"&lt;="&amp;$A980,Despesas!$L:$L,"&gt;="&amp;$A980,Despesas!$C:$C,G$1,Despesas!$M:$M,"Mensal")+SUMIFS(Despesas!$F:$F,Despesas!$J:$J,"&lt;="&amp;$A980,Despesas!$L:$L,"&gt;="&amp;$A980,Despesas!$C:$C,G$1,Despesas!$M:$M,$B980)</f>
        <v>0</v>
      </c>
      <c r="H980" s="18">
        <f>SUMIFS(Despesas!$F:$F,Despesas!$J:$J,"&lt;="&amp;$A980,Despesas!$L:$L,"&gt;="&amp;$A980,Despesas!$C:$C,H$1,Despesas!$M:$M,"Mensal")+SUMIFS(Despesas!$F:$F,Despesas!$J:$J,"&lt;="&amp;$A980,Despesas!$L:$L,"&gt;="&amp;$A980,Despesas!$C:$C,H$1,Despesas!$M:$M,$B980)</f>
        <v>0</v>
      </c>
      <c r="I980" s="18">
        <f>IF(Imóveis!$F$2="PRICE",IF(AND(Dados!$A980&gt;=Imóveis!$Q$2,Dados!$A980&lt;=Imóveis!$T$2),Imóveis!$U$2,0),IF((IF(AND(Dados!$A980&gt;=Imóveis!$Q$2,Dados!$A980&lt;=Imóveis!$T$2),Imóveis!$S$2-(DATEDIF(Imóveis!$Q$2,Dados!$A980,"m")),0))=0,0,((Imóveis!$N$2/Imóveis!$S$2)+((Imóveis!$N$2-((Imóveis!$S$2-(IF(AND(Dados!$A980&gt;=Imóveis!$Q$2,Dados!$A980&lt;=Imóveis!$T$2),Imóveis!$S$2-(DATEDIF(Imóveis!$Q$2,Dados!$A980,"m")),)))*(Imóveis!$N$2/Imóveis!$S$2)))*Imóveis!$P$2))))*IF(AND(Imóveis!$E$2&gt;0,Dados!$A980&gt;Imóveis!$E$2),0,1)</f>
        <v>0</v>
      </c>
      <c r="J980" s="18">
        <f>IF(Imóveis!$F$3="PRICE",IF(AND(Dados!$A980&gt;=Imóveis!$Q$3,Dados!$A980&lt;=Imóveis!$T$3),Imóveis!$U$3,0),IF((IF(AND(Dados!$A980&gt;=Imóveis!$Q$3,Dados!$A980&lt;=Imóveis!$T$3),Imóveis!$S$3-(DATEDIF(Imóveis!$Q$3,Dados!$A980,"m")),0))=0,0,((Imóveis!$N$3/Imóveis!$S$3)+((Imóveis!$N$3-((Imóveis!$S$3-(IF(AND(Dados!$A980&gt;=Imóveis!$Q$3,Dados!$A980&lt;=Imóveis!$T$3),Imóveis!$S$3-(DATEDIF(Imóveis!$Q$3,Dados!$A980,"m")),)))*(Imóveis!$N$3/Imóveis!$S$3)))*Imóveis!$P$3))))*IF(AND(Imóveis!$E$3&gt;0,Dados!$A980&gt;Imóveis!$E$3),0,1)</f>
        <v>0</v>
      </c>
      <c r="K980" s="18">
        <f>IF(Imóveis!$F$4="PRICE",IF(AND(Dados!$A980&gt;=Imóveis!$Q$4,Dados!$A980&lt;=Imóveis!$T$4),Imóveis!$U$4,0),IF((IF(AND(Dados!$A980&gt;=Imóveis!$Q$4,Dados!$A980&lt;=Imóveis!$T$4),Imóveis!$S$4-(DATEDIF(Imóveis!$Q$4,Dados!$A980,"m")),0))=0,0,((Imóveis!$N$4/Imóveis!$S$4)+((Imóveis!$N$4-((Imóveis!$S$4-(IF(AND(Dados!$A980&gt;=Imóveis!$Q$4,Dados!$A980&lt;=Imóveis!$T$4),Imóveis!$S$4-(DATEDIF(Imóveis!$Q$4,Dados!$A980,"m")),)))*(Imóveis!$N$4/Imóveis!$S$4)))*Imóveis!$P$4))))*IF(AND(Imóveis!$E$4&gt;0,Dados!$A980&gt;Imóveis!$E$4),0,1)</f>
        <v>0</v>
      </c>
      <c r="L980" s="18">
        <f>IF(Imóveis!$F$5="PRICE",IF(AND(Dados!$A980&gt;=Imóveis!$Q$5,Dados!$A980&lt;=Imóveis!$T$5),Imóveis!$U$5,0),IF((IF(AND(Dados!$A980&gt;=Imóveis!$Q$5,Dados!$A980&lt;=Imóveis!$T$5),Imóveis!$S$5-(DATEDIF(Imóveis!$Q$5,Dados!$A980,"m")),0))=0,0,((Imóveis!$N$5/Imóveis!$S$5)+((Imóveis!$N$5-((Imóveis!$S$5-(IF(AND(Dados!$A980 &gt;=Imóveis!$Q$5,Dados!$A980&lt;=Imóveis!$T$5),Imóveis!$S$5-(DATEDIF(Imóveis!$Q$5,Dados!$A980,"m")),)))*(Imóveis!$N$5/Imóveis!$S$5)))*Imóveis!$P$5))))*IF(AND(Imóveis!$E$5&gt;0,Dados!$A980&gt;Imóveis!$E$5),0,1)*Imóveis!$I$5</f>
        <v>0</v>
      </c>
      <c r="M980" s="18">
        <f>IF(Imóveis!$F$6="PRICE",IF(AND(Dados!$A980&gt;=Imóveis!$Q$6,Dados!$A980&lt;=Imóveis!$T$6),Imóveis!$U$6,0),IF((IF(AND(Dados!$A980&gt;=Imóveis!$Q$6,Dados!$A980&lt;=Imóveis!$T$6),Imóveis!$S$6-(DATEDIF(Imóveis!$Q$6,Dados!$A980,"m")),0))=0,0,((Imóveis!$N$6/Imóveis!$S$6)+((Imóveis!$N$6-((Imóveis!$S$6-(IF(AND(Dados!$A980&gt;=Imóveis!$Q$6,Dados!$A980&lt;=Imóveis!$T$6),Imóveis!$S$6-(DATEDIF(Imóveis!$Q$6,Dados!$A980,"m")),)))*(Imóveis!$N$6/Imóveis!$S$6)))*Imóveis!$P$6))))*IF(AND(Imóveis!$E$6&gt;0,Dados!$A980&gt;Imóveis!$E$6),0,1)*Imóveis!$I$6</f>
        <v>0</v>
      </c>
      <c r="N980" s="18">
        <f t="shared" si="125"/>
        <v>0</v>
      </c>
      <c r="O980" s="18">
        <f>SUMIFS(Receitas!$F:$F,Receitas!$J:$J,"&lt;="&amp;$A980,Receitas!$L:$L,"&gt;="&amp;$A980,Receitas!$C:$C,O$1,Receitas!$M:$M,"Mensal")+SUMIFS(Receitas!$F:$F,Receitas!$J:$J,"&lt;="&amp;$A980,Receitas!$L:$L,"&gt;="&amp;$A980,Receitas!$C:$C,O$1,Receitas!$M:$M,$B980)</f>
        <v>0</v>
      </c>
      <c r="P980" s="18">
        <f>SUMIFS(Receitas!$F:$F,Receitas!$J:$J,"&lt;="&amp;$A980,Receitas!$L:$L,"&gt;="&amp;$A980,Receitas!$C:$C,P$1,Receitas!$M:$M,"Mensal")+SUMIFS(Receitas!$F:$F,Receitas!$J:$J,"&lt;="&amp;$A980,Receitas!$L:$L,"&gt;="&amp;$A980,Receitas!$C:$C,P$1,Receitas!$M:$M,$B980)</f>
        <v>0</v>
      </c>
      <c r="Q980" s="18">
        <f>SUMIFS(Receitas!$F:$F,Receitas!$J:$J,"&lt;="&amp;$A980,Receitas!$L:$L,"&gt;="&amp;$A980,Receitas!$C:$C,Q$1,Receitas!$M:$M,"Mensal")+SUMIFS(Receitas!$F:$F,Receitas!$J:$J,"&lt;="&amp;$A980,Receitas!$L:$L,"&gt;="&amp;$A980,Receitas!$C:$C,Q$1,Receitas!$M:$M,$B980)</f>
        <v>0</v>
      </c>
      <c r="R980" s="18" cm="1">
        <f t="array" ref="R980">(IF(AND(Membros!$F$2="Sim",A980&lt;=MAX(Membros!$E$2:$E$5)),Membros!K$2,IF(AND(A980&gt;=Membros!J$2,A980&lt;=MAX(Membros!$E$2:$E$5)),Membros!K$2,0))+IF(AND(Membros!$F$3="Sim",A980&lt;=MAX(Membros!$E$2:$E$5)),Membros!K$3,IF(AND(A980&gt;=Membros!J$3,A980&lt;=MAX(Membros!$E$2:$E$5)),Membros!K$3,0)))*IF(AND(COUNTIFS(Tabela3[Tipo],"Provedor",Tabela3[Simulação Seguro],"Sim")=2,A980&gt;=MAX(IF(Tabela3[Tipo]="Dependente",Tabela3[Expectativa de Vida (Data)]))),0,1)</f>
        <v>0</v>
      </c>
      <c r="S980" s="18">
        <f t="shared" si="126"/>
        <v>0</v>
      </c>
      <c r="U980" s="18">
        <f t="shared" ca="1" si="129"/>
        <v>115584251.06148815</v>
      </c>
      <c r="V980" s="18">
        <f>SUMIF(Imóveis!E:E,Dados!A:A,Imóveis!Z:Z)-SUMIF(Imóveis!E:E,Dados!A:A,Imóveis!Y:Y)</f>
        <v>0</v>
      </c>
      <c r="W980" s="18">
        <f>-SUMIF(Projetos!N:N,A980,Projetos!F:F)</f>
        <v>0</v>
      </c>
      <c r="X980" s="18">
        <f t="shared" si="123"/>
        <v>0</v>
      </c>
      <c r="Y980" s="26">
        <f ca="1">(U980*((Indicadores_Economicos!D$2+1)^(1/12)-1))</f>
        <v>378392.76089566085</v>
      </c>
      <c r="Z980" s="18">
        <f t="shared" ca="1" si="127"/>
        <v>115962643.82238381</v>
      </c>
      <c r="AA980" s="18">
        <f ca="1">Auxiliar_Projetos!E980</f>
        <v>9.559006884398206E-9</v>
      </c>
      <c r="AB980" s="18">
        <f ca="1">Auxiliar_Projetos!K980</f>
        <v>7.3530822187678474E-9</v>
      </c>
      <c r="AC980" s="18">
        <f ca="1">IF(Z980-AA980-AB980&gt;Investimentos!$C$14,Investimentos!$C$14,IF(Z980-AA980-AB980&lt;Investimentos!$C$14,Z980-AA980-AB980,0))</f>
        <v>300000</v>
      </c>
      <c r="AD980" s="18">
        <f t="shared" ca="1" si="128"/>
        <v>115662643.82238379</v>
      </c>
      <c r="AE980" s="18"/>
    </row>
    <row r="981" spans="1:31" x14ac:dyDescent="0.2">
      <c r="A981" s="4">
        <v>75454</v>
      </c>
      <c r="B981" s="5" t="str">
        <f t="shared" si="124"/>
        <v>agosto</v>
      </c>
      <c r="C981" s="5" t="str">
        <f t="shared" si="122"/>
        <v>2106</v>
      </c>
      <c r="D981" s="5">
        <f>SUMIFS(Despesas!$F:$F,Despesas!$J:$J,"&lt;="&amp;$A981,Despesas!$L:$L,"&gt;="&amp;$A981,Despesas!$C:$C,D$1,Despesas!$M:$M,"Mensal")+SUMIFS(Despesas!$F:$F,Despesas!$J:$J,"&lt;="&amp;$A981,Despesas!$L:$L,"&gt;="&amp;$A981,Despesas!$C:$C,D$1,Despesas!$M:$M,$B981)</f>
        <v>0</v>
      </c>
      <c r="E981" s="18">
        <f>SUMIFS(Despesas!$F:$F,Despesas!$J:$J,"&lt;="&amp;$A981,Despesas!$L:$L,"&gt;="&amp;$A981,Despesas!$C:$C,E$1,Despesas!$M:$M,"Mensal")+SUMIFS(Despesas!$F:$F,Despesas!$J:$J,"&lt;="&amp;$A981,Despesas!$L:$L,"&gt;="&amp;$A981,Despesas!$C:$C,E$1,Despesas!$M:$M,$B981)</f>
        <v>0</v>
      </c>
      <c r="F981" s="5">
        <f>SUMIFS(Despesas!$F:$F,Despesas!$J:$J,"&lt;="&amp;$A981,Despesas!$L:$L,"&gt;="&amp;$A981,Despesas!$C:$C,F$1,Despesas!$M:$M,"Mensal")+SUMIFS(Despesas!$F:$F,Despesas!$J:$J,"&lt;="&amp;$A981,Despesas!$L:$L,"&gt;="&amp;$A981,Despesas!$C:$C,F$1,Despesas!$M:$M,$B981)</f>
        <v>0</v>
      </c>
      <c r="G981" s="5">
        <f>SUMIFS(Despesas!$F:$F,Despesas!$J:$J,"&lt;="&amp;$A981,Despesas!$L:$L,"&gt;="&amp;$A981,Despesas!$C:$C,G$1,Despesas!$M:$M,"Mensal")+SUMIFS(Despesas!$F:$F,Despesas!$J:$J,"&lt;="&amp;$A981,Despesas!$L:$L,"&gt;="&amp;$A981,Despesas!$C:$C,G$1,Despesas!$M:$M,$B981)</f>
        <v>0</v>
      </c>
      <c r="H981" s="18">
        <f>SUMIFS(Despesas!$F:$F,Despesas!$J:$J,"&lt;="&amp;$A981,Despesas!$L:$L,"&gt;="&amp;$A981,Despesas!$C:$C,H$1,Despesas!$M:$M,"Mensal")+SUMIFS(Despesas!$F:$F,Despesas!$J:$J,"&lt;="&amp;$A981,Despesas!$L:$L,"&gt;="&amp;$A981,Despesas!$C:$C,H$1,Despesas!$M:$M,$B981)</f>
        <v>0</v>
      </c>
      <c r="I981" s="18">
        <f>IF(Imóveis!$F$2="PRICE",IF(AND(Dados!$A981&gt;=Imóveis!$Q$2,Dados!$A981&lt;=Imóveis!$T$2),Imóveis!$U$2,0),IF((IF(AND(Dados!$A981&gt;=Imóveis!$Q$2,Dados!$A981&lt;=Imóveis!$T$2),Imóveis!$S$2-(DATEDIF(Imóveis!$Q$2,Dados!$A981,"m")),0))=0,0,((Imóveis!$N$2/Imóveis!$S$2)+((Imóveis!$N$2-((Imóveis!$S$2-(IF(AND(Dados!$A981&gt;=Imóveis!$Q$2,Dados!$A981&lt;=Imóveis!$T$2),Imóveis!$S$2-(DATEDIF(Imóveis!$Q$2,Dados!$A981,"m")),)))*(Imóveis!$N$2/Imóveis!$S$2)))*Imóveis!$P$2))))*IF(AND(Imóveis!$E$2&gt;0,Dados!$A981&gt;Imóveis!$E$2),0,1)</f>
        <v>0</v>
      </c>
      <c r="J981" s="18">
        <f>IF(Imóveis!$F$3="PRICE",IF(AND(Dados!$A981&gt;=Imóveis!$Q$3,Dados!$A981&lt;=Imóveis!$T$3),Imóveis!$U$3,0),IF((IF(AND(Dados!$A981&gt;=Imóveis!$Q$3,Dados!$A981&lt;=Imóveis!$T$3),Imóveis!$S$3-(DATEDIF(Imóveis!$Q$3,Dados!$A981,"m")),0))=0,0,((Imóveis!$N$3/Imóveis!$S$3)+((Imóveis!$N$3-((Imóveis!$S$3-(IF(AND(Dados!$A981&gt;=Imóveis!$Q$3,Dados!$A981&lt;=Imóveis!$T$3),Imóveis!$S$3-(DATEDIF(Imóveis!$Q$3,Dados!$A981,"m")),)))*(Imóveis!$N$3/Imóveis!$S$3)))*Imóveis!$P$3))))*IF(AND(Imóveis!$E$3&gt;0,Dados!$A981&gt;Imóveis!$E$3),0,1)</f>
        <v>0</v>
      </c>
      <c r="K981" s="18">
        <f>IF(Imóveis!$F$4="PRICE",IF(AND(Dados!$A981&gt;=Imóveis!$Q$4,Dados!$A981&lt;=Imóveis!$T$4),Imóveis!$U$4,0),IF((IF(AND(Dados!$A981&gt;=Imóveis!$Q$4,Dados!$A981&lt;=Imóveis!$T$4),Imóveis!$S$4-(DATEDIF(Imóveis!$Q$4,Dados!$A981,"m")),0))=0,0,((Imóveis!$N$4/Imóveis!$S$4)+((Imóveis!$N$4-((Imóveis!$S$4-(IF(AND(Dados!$A981&gt;=Imóveis!$Q$4,Dados!$A981&lt;=Imóveis!$T$4),Imóveis!$S$4-(DATEDIF(Imóveis!$Q$4,Dados!$A981,"m")),)))*(Imóveis!$N$4/Imóveis!$S$4)))*Imóveis!$P$4))))*IF(AND(Imóveis!$E$4&gt;0,Dados!$A981&gt;Imóveis!$E$4),0,1)</f>
        <v>0</v>
      </c>
      <c r="L981" s="18">
        <f>IF(Imóveis!$F$5="PRICE",IF(AND(Dados!$A981&gt;=Imóveis!$Q$5,Dados!$A981&lt;=Imóveis!$T$5),Imóveis!$U$5,0),IF((IF(AND(Dados!$A981&gt;=Imóveis!$Q$5,Dados!$A981&lt;=Imóveis!$T$5),Imóveis!$S$5-(DATEDIF(Imóveis!$Q$5,Dados!$A981,"m")),0))=0,0,((Imóveis!$N$5/Imóveis!$S$5)+((Imóveis!$N$5-((Imóveis!$S$5-(IF(AND(Dados!$A981 &gt;=Imóveis!$Q$5,Dados!$A981&lt;=Imóveis!$T$5),Imóveis!$S$5-(DATEDIF(Imóveis!$Q$5,Dados!$A981,"m")),)))*(Imóveis!$N$5/Imóveis!$S$5)))*Imóveis!$P$5))))*IF(AND(Imóveis!$E$5&gt;0,Dados!$A981&gt;Imóveis!$E$5),0,1)*Imóveis!$I$5</f>
        <v>0</v>
      </c>
      <c r="M981" s="18">
        <f>IF(Imóveis!$F$6="PRICE",IF(AND(Dados!$A981&gt;=Imóveis!$Q$6,Dados!$A981&lt;=Imóveis!$T$6),Imóveis!$U$6,0),IF((IF(AND(Dados!$A981&gt;=Imóveis!$Q$6,Dados!$A981&lt;=Imóveis!$T$6),Imóveis!$S$6-(DATEDIF(Imóveis!$Q$6,Dados!$A981,"m")),0))=0,0,((Imóveis!$N$6/Imóveis!$S$6)+((Imóveis!$N$6-((Imóveis!$S$6-(IF(AND(Dados!$A981&gt;=Imóveis!$Q$6,Dados!$A981&lt;=Imóveis!$T$6),Imóveis!$S$6-(DATEDIF(Imóveis!$Q$6,Dados!$A981,"m")),)))*(Imóveis!$N$6/Imóveis!$S$6)))*Imóveis!$P$6))))*IF(AND(Imóveis!$E$6&gt;0,Dados!$A981&gt;Imóveis!$E$6),0,1)*Imóveis!$I$6</f>
        <v>0</v>
      </c>
      <c r="N981" s="18">
        <f t="shared" si="125"/>
        <v>0</v>
      </c>
      <c r="O981" s="18">
        <f>SUMIFS(Receitas!$F:$F,Receitas!$J:$J,"&lt;="&amp;$A981,Receitas!$L:$L,"&gt;="&amp;$A981,Receitas!$C:$C,O$1,Receitas!$M:$M,"Mensal")+SUMIFS(Receitas!$F:$F,Receitas!$J:$J,"&lt;="&amp;$A981,Receitas!$L:$L,"&gt;="&amp;$A981,Receitas!$C:$C,O$1,Receitas!$M:$M,$B981)</f>
        <v>0</v>
      </c>
      <c r="P981" s="18">
        <f>SUMIFS(Receitas!$F:$F,Receitas!$J:$J,"&lt;="&amp;$A981,Receitas!$L:$L,"&gt;="&amp;$A981,Receitas!$C:$C,P$1,Receitas!$M:$M,"Mensal")+SUMIFS(Receitas!$F:$F,Receitas!$J:$J,"&lt;="&amp;$A981,Receitas!$L:$L,"&gt;="&amp;$A981,Receitas!$C:$C,P$1,Receitas!$M:$M,$B981)</f>
        <v>0</v>
      </c>
      <c r="Q981" s="18">
        <f>SUMIFS(Receitas!$F:$F,Receitas!$J:$J,"&lt;="&amp;$A981,Receitas!$L:$L,"&gt;="&amp;$A981,Receitas!$C:$C,Q$1,Receitas!$M:$M,"Mensal")+SUMIFS(Receitas!$F:$F,Receitas!$J:$J,"&lt;="&amp;$A981,Receitas!$L:$L,"&gt;="&amp;$A981,Receitas!$C:$C,Q$1,Receitas!$M:$M,$B981)</f>
        <v>0</v>
      </c>
      <c r="R981" s="18" cm="1">
        <f t="array" ref="R981">(IF(AND(Membros!$F$2="Sim",A981&lt;=MAX(Membros!$E$2:$E$5)),Membros!K$2,IF(AND(A981&gt;=Membros!J$2,A981&lt;=MAX(Membros!$E$2:$E$5)),Membros!K$2,0))+IF(AND(Membros!$F$3="Sim",A981&lt;=MAX(Membros!$E$2:$E$5)),Membros!K$3,IF(AND(A981&gt;=Membros!J$3,A981&lt;=MAX(Membros!$E$2:$E$5)),Membros!K$3,0)))*IF(AND(COUNTIFS(Tabela3[Tipo],"Provedor",Tabela3[Simulação Seguro],"Sim")=2,A981&gt;=MAX(IF(Tabela3[Tipo]="Dependente",Tabela3[Expectativa de Vida (Data)]))),0,1)</f>
        <v>0</v>
      </c>
      <c r="S981" s="18">
        <f t="shared" si="126"/>
        <v>0</v>
      </c>
      <c r="U981" s="18">
        <f t="shared" ca="1" si="129"/>
        <v>115962643.82238381</v>
      </c>
      <c r="V981" s="18">
        <f>SUMIF(Imóveis!E:E,Dados!A:A,Imóveis!Z:Z)-SUMIF(Imóveis!E:E,Dados!A:A,Imóveis!Y:Y)</f>
        <v>0</v>
      </c>
      <c r="W981" s="18">
        <f>-SUMIF(Projetos!N:N,A981,Projetos!F:F)</f>
        <v>0</v>
      </c>
      <c r="X981" s="18">
        <f t="shared" si="123"/>
        <v>0</v>
      </c>
      <c r="Y981" s="26">
        <f ca="1">(U981*((Indicadores_Economicos!D$2+1)^(1/12)-1))</f>
        <v>379631.52033030108</v>
      </c>
      <c r="Z981" s="18">
        <f t="shared" ca="1" si="127"/>
        <v>116342275.3427141</v>
      </c>
      <c r="AA981" s="18">
        <f ca="1">Auxiliar_Projetos!E981</f>
        <v>9.5903005855139731E-9</v>
      </c>
      <c r="AB981" s="18">
        <f ca="1">Auxiliar_Projetos!K981</f>
        <v>7.3771542965492068E-9</v>
      </c>
      <c r="AC981" s="18">
        <f ca="1">IF(Z981-AA981-AB981&gt;Investimentos!$C$14,Investimentos!$C$14,IF(Z981-AA981-AB981&lt;Investimentos!$C$14,Z981-AA981-AB981,0))</f>
        <v>300000</v>
      </c>
      <c r="AD981" s="18">
        <f t="shared" ca="1" si="128"/>
        <v>116042275.34271409</v>
      </c>
      <c r="AE981" s="18"/>
    </row>
    <row r="982" spans="1:31" x14ac:dyDescent="0.2">
      <c r="A982" s="4">
        <v>75485</v>
      </c>
      <c r="B982" s="5" t="str">
        <f t="shared" si="124"/>
        <v>setembro</v>
      </c>
      <c r="C982" s="5" t="str">
        <f t="shared" si="122"/>
        <v>2106</v>
      </c>
      <c r="D982" s="5">
        <f>SUMIFS(Despesas!$F:$F,Despesas!$J:$J,"&lt;="&amp;$A982,Despesas!$L:$L,"&gt;="&amp;$A982,Despesas!$C:$C,D$1,Despesas!$M:$M,"Mensal")+SUMIFS(Despesas!$F:$F,Despesas!$J:$J,"&lt;="&amp;$A982,Despesas!$L:$L,"&gt;="&amp;$A982,Despesas!$C:$C,D$1,Despesas!$M:$M,$B982)</f>
        <v>0</v>
      </c>
      <c r="E982" s="18">
        <f>SUMIFS(Despesas!$F:$F,Despesas!$J:$J,"&lt;="&amp;$A982,Despesas!$L:$L,"&gt;="&amp;$A982,Despesas!$C:$C,E$1,Despesas!$M:$M,"Mensal")+SUMIFS(Despesas!$F:$F,Despesas!$J:$J,"&lt;="&amp;$A982,Despesas!$L:$L,"&gt;="&amp;$A982,Despesas!$C:$C,E$1,Despesas!$M:$M,$B982)</f>
        <v>0</v>
      </c>
      <c r="F982" s="5">
        <f>SUMIFS(Despesas!$F:$F,Despesas!$J:$J,"&lt;="&amp;$A982,Despesas!$L:$L,"&gt;="&amp;$A982,Despesas!$C:$C,F$1,Despesas!$M:$M,"Mensal")+SUMIFS(Despesas!$F:$F,Despesas!$J:$J,"&lt;="&amp;$A982,Despesas!$L:$L,"&gt;="&amp;$A982,Despesas!$C:$C,F$1,Despesas!$M:$M,$B982)</f>
        <v>0</v>
      </c>
      <c r="G982" s="5">
        <f>SUMIFS(Despesas!$F:$F,Despesas!$J:$J,"&lt;="&amp;$A982,Despesas!$L:$L,"&gt;="&amp;$A982,Despesas!$C:$C,G$1,Despesas!$M:$M,"Mensal")+SUMIFS(Despesas!$F:$F,Despesas!$J:$J,"&lt;="&amp;$A982,Despesas!$L:$L,"&gt;="&amp;$A982,Despesas!$C:$C,G$1,Despesas!$M:$M,$B982)</f>
        <v>0</v>
      </c>
      <c r="H982" s="18">
        <f>SUMIFS(Despesas!$F:$F,Despesas!$J:$J,"&lt;="&amp;$A982,Despesas!$L:$L,"&gt;="&amp;$A982,Despesas!$C:$C,H$1,Despesas!$M:$M,"Mensal")+SUMIFS(Despesas!$F:$F,Despesas!$J:$J,"&lt;="&amp;$A982,Despesas!$L:$L,"&gt;="&amp;$A982,Despesas!$C:$C,H$1,Despesas!$M:$M,$B982)</f>
        <v>0</v>
      </c>
      <c r="I982" s="18">
        <f>IF(Imóveis!$F$2="PRICE",IF(AND(Dados!$A982&gt;=Imóveis!$Q$2,Dados!$A982&lt;=Imóveis!$T$2),Imóveis!$U$2,0),IF((IF(AND(Dados!$A982&gt;=Imóveis!$Q$2,Dados!$A982&lt;=Imóveis!$T$2),Imóveis!$S$2-(DATEDIF(Imóveis!$Q$2,Dados!$A982,"m")),0))=0,0,((Imóveis!$N$2/Imóveis!$S$2)+((Imóveis!$N$2-((Imóveis!$S$2-(IF(AND(Dados!$A982&gt;=Imóveis!$Q$2,Dados!$A982&lt;=Imóveis!$T$2),Imóveis!$S$2-(DATEDIF(Imóveis!$Q$2,Dados!$A982,"m")),)))*(Imóveis!$N$2/Imóveis!$S$2)))*Imóveis!$P$2))))*IF(AND(Imóveis!$E$2&gt;0,Dados!$A982&gt;Imóveis!$E$2),0,1)</f>
        <v>0</v>
      </c>
      <c r="J982" s="18">
        <f>IF(Imóveis!$F$3="PRICE",IF(AND(Dados!$A982&gt;=Imóveis!$Q$3,Dados!$A982&lt;=Imóveis!$T$3),Imóveis!$U$3,0),IF((IF(AND(Dados!$A982&gt;=Imóveis!$Q$3,Dados!$A982&lt;=Imóveis!$T$3),Imóveis!$S$3-(DATEDIF(Imóveis!$Q$3,Dados!$A982,"m")),0))=0,0,((Imóveis!$N$3/Imóveis!$S$3)+((Imóveis!$N$3-((Imóveis!$S$3-(IF(AND(Dados!$A982&gt;=Imóveis!$Q$3,Dados!$A982&lt;=Imóveis!$T$3),Imóveis!$S$3-(DATEDIF(Imóveis!$Q$3,Dados!$A982,"m")),)))*(Imóveis!$N$3/Imóveis!$S$3)))*Imóveis!$P$3))))*IF(AND(Imóveis!$E$3&gt;0,Dados!$A982&gt;Imóveis!$E$3),0,1)</f>
        <v>0</v>
      </c>
      <c r="K982" s="18">
        <f>IF(Imóveis!$F$4="PRICE",IF(AND(Dados!$A982&gt;=Imóveis!$Q$4,Dados!$A982&lt;=Imóveis!$T$4),Imóveis!$U$4,0),IF((IF(AND(Dados!$A982&gt;=Imóveis!$Q$4,Dados!$A982&lt;=Imóveis!$T$4),Imóveis!$S$4-(DATEDIF(Imóveis!$Q$4,Dados!$A982,"m")),0))=0,0,((Imóveis!$N$4/Imóveis!$S$4)+((Imóveis!$N$4-((Imóveis!$S$4-(IF(AND(Dados!$A982&gt;=Imóveis!$Q$4,Dados!$A982&lt;=Imóveis!$T$4),Imóveis!$S$4-(DATEDIF(Imóveis!$Q$4,Dados!$A982,"m")),)))*(Imóveis!$N$4/Imóveis!$S$4)))*Imóveis!$P$4))))*IF(AND(Imóveis!$E$4&gt;0,Dados!$A982&gt;Imóveis!$E$4),0,1)</f>
        <v>0</v>
      </c>
      <c r="L982" s="18">
        <f>IF(Imóveis!$F$5="PRICE",IF(AND(Dados!$A982&gt;=Imóveis!$Q$5,Dados!$A982&lt;=Imóveis!$T$5),Imóveis!$U$5,0),IF((IF(AND(Dados!$A982&gt;=Imóveis!$Q$5,Dados!$A982&lt;=Imóveis!$T$5),Imóveis!$S$5-(DATEDIF(Imóveis!$Q$5,Dados!$A982,"m")),0))=0,0,((Imóveis!$N$5/Imóveis!$S$5)+((Imóveis!$N$5-((Imóveis!$S$5-(IF(AND(Dados!$A982 &gt;=Imóveis!$Q$5,Dados!$A982&lt;=Imóveis!$T$5),Imóveis!$S$5-(DATEDIF(Imóveis!$Q$5,Dados!$A982,"m")),)))*(Imóveis!$N$5/Imóveis!$S$5)))*Imóveis!$P$5))))*IF(AND(Imóveis!$E$5&gt;0,Dados!$A982&gt;Imóveis!$E$5),0,1)*Imóveis!$I$5</f>
        <v>0</v>
      </c>
      <c r="M982" s="18">
        <f>IF(Imóveis!$F$6="PRICE",IF(AND(Dados!$A982&gt;=Imóveis!$Q$6,Dados!$A982&lt;=Imóveis!$T$6),Imóveis!$U$6,0),IF((IF(AND(Dados!$A982&gt;=Imóveis!$Q$6,Dados!$A982&lt;=Imóveis!$T$6),Imóveis!$S$6-(DATEDIF(Imóveis!$Q$6,Dados!$A982,"m")),0))=0,0,((Imóveis!$N$6/Imóveis!$S$6)+((Imóveis!$N$6-((Imóveis!$S$6-(IF(AND(Dados!$A982&gt;=Imóveis!$Q$6,Dados!$A982&lt;=Imóveis!$T$6),Imóveis!$S$6-(DATEDIF(Imóveis!$Q$6,Dados!$A982,"m")),)))*(Imóveis!$N$6/Imóveis!$S$6)))*Imóveis!$P$6))))*IF(AND(Imóveis!$E$6&gt;0,Dados!$A982&gt;Imóveis!$E$6),0,1)*Imóveis!$I$6</f>
        <v>0</v>
      </c>
      <c r="N982" s="18">
        <f t="shared" si="125"/>
        <v>0</v>
      </c>
      <c r="O982" s="18">
        <f>SUMIFS(Receitas!$F:$F,Receitas!$J:$J,"&lt;="&amp;$A982,Receitas!$L:$L,"&gt;="&amp;$A982,Receitas!$C:$C,O$1,Receitas!$M:$M,"Mensal")+SUMIFS(Receitas!$F:$F,Receitas!$J:$J,"&lt;="&amp;$A982,Receitas!$L:$L,"&gt;="&amp;$A982,Receitas!$C:$C,O$1,Receitas!$M:$M,$B982)</f>
        <v>0</v>
      </c>
      <c r="P982" s="18">
        <f>SUMIFS(Receitas!$F:$F,Receitas!$J:$J,"&lt;="&amp;$A982,Receitas!$L:$L,"&gt;="&amp;$A982,Receitas!$C:$C,P$1,Receitas!$M:$M,"Mensal")+SUMIFS(Receitas!$F:$F,Receitas!$J:$J,"&lt;="&amp;$A982,Receitas!$L:$L,"&gt;="&amp;$A982,Receitas!$C:$C,P$1,Receitas!$M:$M,$B982)</f>
        <v>0</v>
      </c>
      <c r="Q982" s="18">
        <f>SUMIFS(Receitas!$F:$F,Receitas!$J:$J,"&lt;="&amp;$A982,Receitas!$L:$L,"&gt;="&amp;$A982,Receitas!$C:$C,Q$1,Receitas!$M:$M,"Mensal")+SUMIFS(Receitas!$F:$F,Receitas!$J:$J,"&lt;="&amp;$A982,Receitas!$L:$L,"&gt;="&amp;$A982,Receitas!$C:$C,Q$1,Receitas!$M:$M,$B982)</f>
        <v>0</v>
      </c>
      <c r="R982" s="18" cm="1">
        <f t="array" ref="R982">(IF(AND(Membros!$F$2="Sim",A982&lt;=MAX(Membros!$E$2:$E$5)),Membros!K$2,IF(AND(A982&gt;=Membros!J$2,A982&lt;=MAX(Membros!$E$2:$E$5)),Membros!K$2,0))+IF(AND(Membros!$F$3="Sim",A982&lt;=MAX(Membros!$E$2:$E$5)),Membros!K$3,IF(AND(A982&gt;=Membros!J$3,A982&lt;=MAX(Membros!$E$2:$E$5)),Membros!K$3,0)))*IF(AND(COUNTIFS(Tabela3[Tipo],"Provedor",Tabela3[Simulação Seguro],"Sim")=2,A982&gt;=MAX(IF(Tabela3[Tipo]="Dependente",Tabela3[Expectativa de Vida (Data)]))),0,1)</f>
        <v>0</v>
      </c>
      <c r="S982" s="18">
        <f t="shared" si="126"/>
        <v>0</v>
      </c>
      <c r="U982" s="18">
        <f t="shared" ca="1" si="129"/>
        <v>116342275.3427141</v>
      </c>
      <c r="V982" s="18">
        <f>SUMIF(Imóveis!E:E,Dados!A:A,Imóveis!Z:Z)-SUMIF(Imóveis!E:E,Dados!A:A,Imóveis!Y:Y)</f>
        <v>0</v>
      </c>
      <c r="W982" s="18">
        <f>-SUMIF(Projetos!N:N,A982,Projetos!F:F)</f>
        <v>0</v>
      </c>
      <c r="X982" s="18">
        <f t="shared" si="123"/>
        <v>0</v>
      </c>
      <c r="Y982" s="26">
        <f ca="1">(U982*((Indicadores_Economicos!D$2+1)^(1/12)-1))</f>
        <v>380874.33514098299</v>
      </c>
      <c r="Z982" s="18">
        <f t="shared" ca="1" si="127"/>
        <v>116723149.67785509</v>
      </c>
      <c r="AA982" s="18">
        <f ca="1">Auxiliar_Projetos!E982</f>
        <v>9.621696734064015E-9</v>
      </c>
      <c r="AB982" s="18">
        <f ca="1">Auxiliar_Projetos!K982</f>
        <v>7.40130518004924E-9</v>
      </c>
      <c r="AC982" s="18">
        <f ca="1">IF(Z982-AA982-AB982&gt;Investimentos!$C$14,Investimentos!$C$14,IF(Z982-AA982-AB982&lt;Investimentos!$C$14,Z982-AA982-AB982,0))</f>
        <v>300000</v>
      </c>
      <c r="AD982" s="18">
        <f t="shared" ca="1" si="128"/>
        <v>116423149.67785507</v>
      </c>
      <c r="AE982" s="18"/>
    </row>
    <row r="983" spans="1:31" x14ac:dyDescent="0.2">
      <c r="A983" s="4">
        <v>75515</v>
      </c>
      <c r="B983" s="5" t="str">
        <f t="shared" si="124"/>
        <v>outubro</v>
      </c>
      <c r="C983" s="5" t="str">
        <f t="shared" si="122"/>
        <v>2106</v>
      </c>
      <c r="D983" s="5">
        <f>SUMIFS(Despesas!$F:$F,Despesas!$J:$J,"&lt;="&amp;$A983,Despesas!$L:$L,"&gt;="&amp;$A983,Despesas!$C:$C,D$1,Despesas!$M:$M,"Mensal")+SUMIFS(Despesas!$F:$F,Despesas!$J:$J,"&lt;="&amp;$A983,Despesas!$L:$L,"&gt;="&amp;$A983,Despesas!$C:$C,D$1,Despesas!$M:$M,$B983)</f>
        <v>0</v>
      </c>
      <c r="E983" s="18">
        <f>SUMIFS(Despesas!$F:$F,Despesas!$J:$J,"&lt;="&amp;$A983,Despesas!$L:$L,"&gt;="&amp;$A983,Despesas!$C:$C,E$1,Despesas!$M:$M,"Mensal")+SUMIFS(Despesas!$F:$F,Despesas!$J:$J,"&lt;="&amp;$A983,Despesas!$L:$L,"&gt;="&amp;$A983,Despesas!$C:$C,E$1,Despesas!$M:$M,$B983)</f>
        <v>0</v>
      </c>
      <c r="F983" s="5">
        <f>SUMIFS(Despesas!$F:$F,Despesas!$J:$J,"&lt;="&amp;$A983,Despesas!$L:$L,"&gt;="&amp;$A983,Despesas!$C:$C,F$1,Despesas!$M:$M,"Mensal")+SUMIFS(Despesas!$F:$F,Despesas!$J:$J,"&lt;="&amp;$A983,Despesas!$L:$L,"&gt;="&amp;$A983,Despesas!$C:$C,F$1,Despesas!$M:$M,$B983)</f>
        <v>0</v>
      </c>
      <c r="G983" s="5">
        <f>SUMIFS(Despesas!$F:$F,Despesas!$J:$J,"&lt;="&amp;$A983,Despesas!$L:$L,"&gt;="&amp;$A983,Despesas!$C:$C,G$1,Despesas!$M:$M,"Mensal")+SUMIFS(Despesas!$F:$F,Despesas!$J:$J,"&lt;="&amp;$A983,Despesas!$L:$L,"&gt;="&amp;$A983,Despesas!$C:$C,G$1,Despesas!$M:$M,$B983)</f>
        <v>0</v>
      </c>
      <c r="H983" s="18">
        <f>SUMIFS(Despesas!$F:$F,Despesas!$J:$J,"&lt;="&amp;$A983,Despesas!$L:$L,"&gt;="&amp;$A983,Despesas!$C:$C,H$1,Despesas!$M:$M,"Mensal")+SUMIFS(Despesas!$F:$F,Despesas!$J:$J,"&lt;="&amp;$A983,Despesas!$L:$L,"&gt;="&amp;$A983,Despesas!$C:$C,H$1,Despesas!$M:$M,$B983)</f>
        <v>0</v>
      </c>
      <c r="I983" s="18">
        <f>IF(Imóveis!$F$2="PRICE",IF(AND(Dados!$A983&gt;=Imóveis!$Q$2,Dados!$A983&lt;=Imóveis!$T$2),Imóveis!$U$2,0),IF((IF(AND(Dados!$A983&gt;=Imóveis!$Q$2,Dados!$A983&lt;=Imóveis!$T$2),Imóveis!$S$2-(DATEDIF(Imóveis!$Q$2,Dados!$A983,"m")),0))=0,0,((Imóveis!$N$2/Imóveis!$S$2)+((Imóveis!$N$2-((Imóveis!$S$2-(IF(AND(Dados!$A983&gt;=Imóveis!$Q$2,Dados!$A983&lt;=Imóveis!$T$2),Imóveis!$S$2-(DATEDIF(Imóveis!$Q$2,Dados!$A983,"m")),)))*(Imóveis!$N$2/Imóveis!$S$2)))*Imóveis!$P$2))))*IF(AND(Imóveis!$E$2&gt;0,Dados!$A983&gt;Imóveis!$E$2),0,1)</f>
        <v>0</v>
      </c>
      <c r="J983" s="18">
        <f>IF(Imóveis!$F$3="PRICE",IF(AND(Dados!$A983&gt;=Imóveis!$Q$3,Dados!$A983&lt;=Imóveis!$T$3),Imóveis!$U$3,0),IF((IF(AND(Dados!$A983&gt;=Imóveis!$Q$3,Dados!$A983&lt;=Imóveis!$T$3),Imóveis!$S$3-(DATEDIF(Imóveis!$Q$3,Dados!$A983,"m")),0))=0,0,((Imóveis!$N$3/Imóveis!$S$3)+((Imóveis!$N$3-((Imóveis!$S$3-(IF(AND(Dados!$A983&gt;=Imóveis!$Q$3,Dados!$A983&lt;=Imóveis!$T$3),Imóveis!$S$3-(DATEDIF(Imóveis!$Q$3,Dados!$A983,"m")),)))*(Imóveis!$N$3/Imóveis!$S$3)))*Imóveis!$P$3))))*IF(AND(Imóveis!$E$3&gt;0,Dados!$A983&gt;Imóveis!$E$3),0,1)</f>
        <v>0</v>
      </c>
      <c r="K983" s="18">
        <f>IF(Imóveis!$F$4="PRICE",IF(AND(Dados!$A983&gt;=Imóveis!$Q$4,Dados!$A983&lt;=Imóveis!$T$4),Imóveis!$U$4,0),IF((IF(AND(Dados!$A983&gt;=Imóveis!$Q$4,Dados!$A983&lt;=Imóveis!$T$4),Imóveis!$S$4-(DATEDIF(Imóveis!$Q$4,Dados!$A983,"m")),0))=0,0,((Imóveis!$N$4/Imóveis!$S$4)+((Imóveis!$N$4-((Imóveis!$S$4-(IF(AND(Dados!$A983&gt;=Imóveis!$Q$4,Dados!$A983&lt;=Imóveis!$T$4),Imóveis!$S$4-(DATEDIF(Imóveis!$Q$4,Dados!$A983,"m")),)))*(Imóveis!$N$4/Imóveis!$S$4)))*Imóveis!$P$4))))*IF(AND(Imóveis!$E$4&gt;0,Dados!$A983&gt;Imóveis!$E$4),0,1)</f>
        <v>0</v>
      </c>
      <c r="L983" s="18">
        <f>IF(Imóveis!$F$5="PRICE",IF(AND(Dados!$A983&gt;=Imóveis!$Q$5,Dados!$A983&lt;=Imóveis!$T$5),Imóveis!$U$5,0),IF((IF(AND(Dados!$A983&gt;=Imóveis!$Q$5,Dados!$A983&lt;=Imóveis!$T$5),Imóveis!$S$5-(DATEDIF(Imóveis!$Q$5,Dados!$A983,"m")),0))=0,0,((Imóveis!$N$5/Imóveis!$S$5)+((Imóveis!$N$5-((Imóveis!$S$5-(IF(AND(Dados!$A983 &gt;=Imóveis!$Q$5,Dados!$A983&lt;=Imóveis!$T$5),Imóveis!$S$5-(DATEDIF(Imóveis!$Q$5,Dados!$A983,"m")),)))*(Imóveis!$N$5/Imóveis!$S$5)))*Imóveis!$P$5))))*IF(AND(Imóveis!$E$5&gt;0,Dados!$A983&gt;Imóveis!$E$5),0,1)*Imóveis!$I$5</f>
        <v>0</v>
      </c>
      <c r="M983" s="18">
        <f>IF(Imóveis!$F$6="PRICE",IF(AND(Dados!$A983&gt;=Imóveis!$Q$6,Dados!$A983&lt;=Imóveis!$T$6),Imóveis!$U$6,0),IF((IF(AND(Dados!$A983&gt;=Imóveis!$Q$6,Dados!$A983&lt;=Imóveis!$T$6),Imóveis!$S$6-(DATEDIF(Imóveis!$Q$6,Dados!$A983,"m")),0))=0,0,((Imóveis!$N$6/Imóveis!$S$6)+((Imóveis!$N$6-((Imóveis!$S$6-(IF(AND(Dados!$A983&gt;=Imóveis!$Q$6,Dados!$A983&lt;=Imóveis!$T$6),Imóveis!$S$6-(DATEDIF(Imóveis!$Q$6,Dados!$A983,"m")),)))*(Imóveis!$N$6/Imóveis!$S$6)))*Imóveis!$P$6))))*IF(AND(Imóveis!$E$6&gt;0,Dados!$A983&gt;Imóveis!$E$6),0,1)*Imóveis!$I$6</f>
        <v>0</v>
      </c>
      <c r="N983" s="18">
        <f t="shared" si="125"/>
        <v>0</v>
      </c>
      <c r="O983" s="18">
        <f>SUMIFS(Receitas!$F:$F,Receitas!$J:$J,"&lt;="&amp;$A983,Receitas!$L:$L,"&gt;="&amp;$A983,Receitas!$C:$C,O$1,Receitas!$M:$M,"Mensal")+SUMIFS(Receitas!$F:$F,Receitas!$J:$J,"&lt;="&amp;$A983,Receitas!$L:$L,"&gt;="&amp;$A983,Receitas!$C:$C,O$1,Receitas!$M:$M,$B983)</f>
        <v>0</v>
      </c>
      <c r="P983" s="18">
        <f>SUMIFS(Receitas!$F:$F,Receitas!$J:$J,"&lt;="&amp;$A983,Receitas!$L:$L,"&gt;="&amp;$A983,Receitas!$C:$C,P$1,Receitas!$M:$M,"Mensal")+SUMIFS(Receitas!$F:$F,Receitas!$J:$J,"&lt;="&amp;$A983,Receitas!$L:$L,"&gt;="&amp;$A983,Receitas!$C:$C,P$1,Receitas!$M:$M,$B983)</f>
        <v>0</v>
      </c>
      <c r="Q983" s="18">
        <f>SUMIFS(Receitas!$F:$F,Receitas!$J:$J,"&lt;="&amp;$A983,Receitas!$L:$L,"&gt;="&amp;$A983,Receitas!$C:$C,Q$1,Receitas!$M:$M,"Mensal")+SUMIFS(Receitas!$F:$F,Receitas!$J:$J,"&lt;="&amp;$A983,Receitas!$L:$L,"&gt;="&amp;$A983,Receitas!$C:$C,Q$1,Receitas!$M:$M,$B983)</f>
        <v>0</v>
      </c>
      <c r="R983" s="18" cm="1">
        <f t="array" ref="R983">(IF(AND(Membros!$F$2="Sim",A983&lt;=MAX(Membros!$E$2:$E$5)),Membros!K$2,IF(AND(A983&gt;=Membros!J$2,A983&lt;=MAX(Membros!$E$2:$E$5)),Membros!K$2,0))+IF(AND(Membros!$F$3="Sim",A983&lt;=MAX(Membros!$E$2:$E$5)),Membros!K$3,IF(AND(A983&gt;=Membros!J$3,A983&lt;=MAX(Membros!$E$2:$E$5)),Membros!K$3,0)))*IF(AND(COUNTIFS(Tabela3[Tipo],"Provedor",Tabela3[Simulação Seguro],"Sim")=2,A983&gt;=MAX(IF(Tabela3[Tipo]="Dependente",Tabela3[Expectativa de Vida (Data)]))),0,1)</f>
        <v>0</v>
      </c>
      <c r="S983" s="18">
        <f t="shared" si="126"/>
        <v>0</v>
      </c>
      <c r="U983" s="18">
        <f t="shared" ca="1" si="129"/>
        <v>116723149.67785509</v>
      </c>
      <c r="V983" s="18">
        <f>SUMIF(Imóveis!E:E,Dados!A:A,Imóveis!Z:Z)-SUMIF(Imóveis!E:E,Dados!A:A,Imóveis!Y:Y)</f>
        <v>0</v>
      </c>
      <c r="W983" s="18">
        <f>-SUMIF(Projetos!N:N,A983,Projetos!F:F)</f>
        <v>0</v>
      </c>
      <c r="X983" s="18">
        <f t="shared" si="123"/>
        <v>0</v>
      </c>
      <c r="Y983" s="26">
        <f ca="1">(U983*((Indicadores_Economicos!D$2+1)^(1/12)-1))</f>
        <v>382121.21860395261</v>
      </c>
      <c r="Z983" s="18">
        <f t="shared" ca="1" si="127"/>
        <v>117105270.89645904</v>
      </c>
      <c r="AA983" s="18">
        <f ca="1">Auxiliar_Projetos!E983</f>
        <v>9.653195665434574E-9</v>
      </c>
      <c r="AB983" s="18">
        <f ca="1">Auxiliar_Projetos!K983</f>
        <v>7.4255351272573619E-9</v>
      </c>
      <c r="AC983" s="18">
        <f ca="1">IF(Z983-AA983-AB983&gt;Investimentos!$C$14,Investimentos!$C$14,IF(Z983-AA983-AB983&lt;Investimentos!$C$14,Z983-AA983-AB983,0))</f>
        <v>300000</v>
      </c>
      <c r="AD983" s="18">
        <f t="shared" ca="1" si="128"/>
        <v>116805270.89645903</v>
      </c>
      <c r="AE983" s="18"/>
    </row>
    <row r="984" spans="1:31" x14ac:dyDescent="0.2">
      <c r="A984" s="4">
        <v>75546</v>
      </c>
      <c r="B984" s="5" t="str">
        <f t="shared" si="124"/>
        <v>novembro</v>
      </c>
      <c r="C984" s="5" t="str">
        <f t="shared" ref="C984:C1047" si="130">TEXT(A984,"AAAA")</f>
        <v>2106</v>
      </c>
      <c r="D984" s="5">
        <f>SUMIFS(Despesas!$F:$F,Despesas!$J:$J,"&lt;="&amp;$A984,Despesas!$L:$L,"&gt;="&amp;$A984,Despesas!$C:$C,D$1,Despesas!$M:$M,"Mensal")+SUMIFS(Despesas!$F:$F,Despesas!$J:$J,"&lt;="&amp;$A984,Despesas!$L:$L,"&gt;="&amp;$A984,Despesas!$C:$C,D$1,Despesas!$M:$M,$B984)</f>
        <v>0</v>
      </c>
      <c r="E984" s="18">
        <f>SUMIFS(Despesas!$F:$F,Despesas!$J:$J,"&lt;="&amp;$A984,Despesas!$L:$L,"&gt;="&amp;$A984,Despesas!$C:$C,E$1,Despesas!$M:$M,"Mensal")+SUMIFS(Despesas!$F:$F,Despesas!$J:$J,"&lt;="&amp;$A984,Despesas!$L:$L,"&gt;="&amp;$A984,Despesas!$C:$C,E$1,Despesas!$M:$M,$B984)</f>
        <v>0</v>
      </c>
      <c r="F984" s="5">
        <f>SUMIFS(Despesas!$F:$F,Despesas!$J:$J,"&lt;="&amp;$A984,Despesas!$L:$L,"&gt;="&amp;$A984,Despesas!$C:$C,F$1,Despesas!$M:$M,"Mensal")+SUMIFS(Despesas!$F:$F,Despesas!$J:$J,"&lt;="&amp;$A984,Despesas!$L:$L,"&gt;="&amp;$A984,Despesas!$C:$C,F$1,Despesas!$M:$M,$B984)</f>
        <v>0</v>
      </c>
      <c r="G984" s="5">
        <f>SUMIFS(Despesas!$F:$F,Despesas!$J:$J,"&lt;="&amp;$A984,Despesas!$L:$L,"&gt;="&amp;$A984,Despesas!$C:$C,G$1,Despesas!$M:$M,"Mensal")+SUMIFS(Despesas!$F:$F,Despesas!$J:$J,"&lt;="&amp;$A984,Despesas!$L:$L,"&gt;="&amp;$A984,Despesas!$C:$C,G$1,Despesas!$M:$M,$B984)</f>
        <v>0</v>
      </c>
      <c r="H984" s="18">
        <f>SUMIFS(Despesas!$F:$F,Despesas!$J:$J,"&lt;="&amp;$A984,Despesas!$L:$L,"&gt;="&amp;$A984,Despesas!$C:$C,H$1,Despesas!$M:$M,"Mensal")+SUMIFS(Despesas!$F:$F,Despesas!$J:$J,"&lt;="&amp;$A984,Despesas!$L:$L,"&gt;="&amp;$A984,Despesas!$C:$C,H$1,Despesas!$M:$M,$B984)</f>
        <v>0</v>
      </c>
      <c r="I984" s="18">
        <f>IF(Imóveis!$F$2="PRICE",IF(AND(Dados!$A984&gt;=Imóveis!$Q$2,Dados!$A984&lt;=Imóveis!$T$2),Imóveis!$U$2,0),IF((IF(AND(Dados!$A984&gt;=Imóveis!$Q$2,Dados!$A984&lt;=Imóveis!$T$2),Imóveis!$S$2-(DATEDIF(Imóveis!$Q$2,Dados!$A984,"m")),0))=0,0,((Imóveis!$N$2/Imóveis!$S$2)+((Imóveis!$N$2-((Imóveis!$S$2-(IF(AND(Dados!$A984&gt;=Imóveis!$Q$2,Dados!$A984&lt;=Imóveis!$T$2),Imóveis!$S$2-(DATEDIF(Imóveis!$Q$2,Dados!$A984,"m")),)))*(Imóveis!$N$2/Imóveis!$S$2)))*Imóveis!$P$2))))*IF(AND(Imóveis!$E$2&gt;0,Dados!$A984&gt;Imóveis!$E$2),0,1)</f>
        <v>0</v>
      </c>
      <c r="J984" s="18">
        <f>IF(Imóveis!$F$3="PRICE",IF(AND(Dados!$A984&gt;=Imóveis!$Q$3,Dados!$A984&lt;=Imóveis!$T$3),Imóveis!$U$3,0),IF((IF(AND(Dados!$A984&gt;=Imóveis!$Q$3,Dados!$A984&lt;=Imóveis!$T$3),Imóveis!$S$3-(DATEDIF(Imóveis!$Q$3,Dados!$A984,"m")),0))=0,0,((Imóveis!$N$3/Imóveis!$S$3)+((Imóveis!$N$3-((Imóveis!$S$3-(IF(AND(Dados!$A984&gt;=Imóveis!$Q$3,Dados!$A984&lt;=Imóveis!$T$3),Imóveis!$S$3-(DATEDIF(Imóveis!$Q$3,Dados!$A984,"m")),)))*(Imóveis!$N$3/Imóveis!$S$3)))*Imóveis!$P$3))))*IF(AND(Imóveis!$E$3&gt;0,Dados!$A984&gt;Imóveis!$E$3),0,1)</f>
        <v>0</v>
      </c>
      <c r="K984" s="18">
        <f>IF(Imóveis!$F$4="PRICE",IF(AND(Dados!$A984&gt;=Imóveis!$Q$4,Dados!$A984&lt;=Imóveis!$T$4),Imóveis!$U$4,0),IF((IF(AND(Dados!$A984&gt;=Imóveis!$Q$4,Dados!$A984&lt;=Imóveis!$T$4),Imóveis!$S$4-(DATEDIF(Imóveis!$Q$4,Dados!$A984,"m")),0))=0,0,((Imóveis!$N$4/Imóveis!$S$4)+((Imóveis!$N$4-((Imóveis!$S$4-(IF(AND(Dados!$A984&gt;=Imóveis!$Q$4,Dados!$A984&lt;=Imóveis!$T$4),Imóveis!$S$4-(DATEDIF(Imóveis!$Q$4,Dados!$A984,"m")),)))*(Imóveis!$N$4/Imóveis!$S$4)))*Imóveis!$P$4))))*IF(AND(Imóveis!$E$4&gt;0,Dados!$A984&gt;Imóveis!$E$4),0,1)</f>
        <v>0</v>
      </c>
      <c r="L984" s="18">
        <f>IF(Imóveis!$F$5="PRICE",IF(AND(Dados!$A984&gt;=Imóveis!$Q$5,Dados!$A984&lt;=Imóveis!$T$5),Imóveis!$U$5,0),IF((IF(AND(Dados!$A984&gt;=Imóveis!$Q$5,Dados!$A984&lt;=Imóveis!$T$5),Imóveis!$S$5-(DATEDIF(Imóveis!$Q$5,Dados!$A984,"m")),0))=0,0,((Imóveis!$N$5/Imóveis!$S$5)+((Imóveis!$N$5-((Imóveis!$S$5-(IF(AND(Dados!$A984 &gt;=Imóveis!$Q$5,Dados!$A984&lt;=Imóveis!$T$5),Imóveis!$S$5-(DATEDIF(Imóveis!$Q$5,Dados!$A984,"m")),)))*(Imóveis!$N$5/Imóveis!$S$5)))*Imóveis!$P$5))))*IF(AND(Imóveis!$E$5&gt;0,Dados!$A984&gt;Imóveis!$E$5),0,1)*Imóveis!$I$5</f>
        <v>0</v>
      </c>
      <c r="M984" s="18">
        <f>IF(Imóveis!$F$6="PRICE",IF(AND(Dados!$A984&gt;=Imóveis!$Q$6,Dados!$A984&lt;=Imóveis!$T$6),Imóveis!$U$6,0),IF((IF(AND(Dados!$A984&gt;=Imóveis!$Q$6,Dados!$A984&lt;=Imóveis!$T$6),Imóveis!$S$6-(DATEDIF(Imóveis!$Q$6,Dados!$A984,"m")),0))=0,0,((Imóveis!$N$6/Imóveis!$S$6)+((Imóveis!$N$6-((Imóveis!$S$6-(IF(AND(Dados!$A984&gt;=Imóveis!$Q$6,Dados!$A984&lt;=Imóveis!$T$6),Imóveis!$S$6-(DATEDIF(Imóveis!$Q$6,Dados!$A984,"m")),)))*(Imóveis!$N$6/Imóveis!$S$6)))*Imóveis!$P$6))))*IF(AND(Imóveis!$E$6&gt;0,Dados!$A984&gt;Imóveis!$E$6),0,1)*Imóveis!$I$6</f>
        <v>0</v>
      </c>
      <c r="N984" s="18">
        <f t="shared" si="125"/>
        <v>0</v>
      </c>
      <c r="O984" s="18">
        <f>SUMIFS(Receitas!$F:$F,Receitas!$J:$J,"&lt;="&amp;$A984,Receitas!$L:$L,"&gt;="&amp;$A984,Receitas!$C:$C,O$1,Receitas!$M:$M,"Mensal")+SUMIFS(Receitas!$F:$F,Receitas!$J:$J,"&lt;="&amp;$A984,Receitas!$L:$L,"&gt;="&amp;$A984,Receitas!$C:$C,O$1,Receitas!$M:$M,$B984)</f>
        <v>0</v>
      </c>
      <c r="P984" s="18">
        <f>SUMIFS(Receitas!$F:$F,Receitas!$J:$J,"&lt;="&amp;$A984,Receitas!$L:$L,"&gt;="&amp;$A984,Receitas!$C:$C,P$1,Receitas!$M:$M,"Mensal")+SUMIFS(Receitas!$F:$F,Receitas!$J:$J,"&lt;="&amp;$A984,Receitas!$L:$L,"&gt;="&amp;$A984,Receitas!$C:$C,P$1,Receitas!$M:$M,$B984)</f>
        <v>0</v>
      </c>
      <c r="Q984" s="18">
        <f>SUMIFS(Receitas!$F:$F,Receitas!$J:$J,"&lt;="&amp;$A984,Receitas!$L:$L,"&gt;="&amp;$A984,Receitas!$C:$C,Q$1,Receitas!$M:$M,"Mensal")+SUMIFS(Receitas!$F:$F,Receitas!$J:$J,"&lt;="&amp;$A984,Receitas!$L:$L,"&gt;="&amp;$A984,Receitas!$C:$C,Q$1,Receitas!$M:$M,$B984)</f>
        <v>0</v>
      </c>
      <c r="R984" s="18" cm="1">
        <f t="array" ref="R984">(IF(AND(Membros!$F$2="Sim",A984&lt;=MAX(Membros!$E$2:$E$5)),Membros!K$2,IF(AND(A984&gt;=Membros!J$2,A984&lt;=MAX(Membros!$E$2:$E$5)),Membros!K$2,0))+IF(AND(Membros!$F$3="Sim",A984&lt;=MAX(Membros!$E$2:$E$5)),Membros!K$3,IF(AND(A984&gt;=Membros!J$3,A984&lt;=MAX(Membros!$E$2:$E$5)),Membros!K$3,0)))*IF(AND(COUNTIFS(Tabela3[Tipo],"Provedor",Tabela3[Simulação Seguro],"Sim")=2,A984&gt;=MAX(IF(Tabela3[Tipo]="Dependente",Tabela3[Expectativa de Vida (Data)]))),0,1)</f>
        <v>0</v>
      </c>
      <c r="S984" s="18">
        <f t="shared" si="126"/>
        <v>0</v>
      </c>
      <c r="U984" s="18">
        <f t="shared" ca="1" si="129"/>
        <v>117105270.89645904</v>
      </c>
      <c r="V984" s="18">
        <f>SUMIF(Imóveis!E:E,Dados!A:A,Imóveis!Z:Z)-SUMIF(Imóveis!E:E,Dados!A:A,Imóveis!Y:Y)</f>
        <v>0</v>
      </c>
      <c r="W984" s="18">
        <f>-SUMIF(Projetos!N:N,A984,Projetos!F:F)</f>
        <v>0</v>
      </c>
      <c r="X984" s="18">
        <f t="shared" si="123"/>
        <v>0</v>
      </c>
      <c r="Y984" s="26">
        <f ca="1">(U984*((Indicadores_Economicos!D$2+1)^(1/12)-1))</f>
        <v>383372.1840389187</v>
      </c>
      <c r="Z984" s="18">
        <f t="shared" ca="1" si="127"/>
        <v>117488643.08049797</v>
      </c>
      <c r="AA984" s="18">
        <f ca="1">Auxiliar_Projetos!E984</f>
        <v>9.6847977161098573E-9</v>
      </c>
      <c r="AB984" s="18">
        <f ca="1">Auxiliar_Projetos!K984</f>
        <v>7.4498443970075796E-9</v>
      </c>
      <c r="AC984" s="18">
        <f ca="1">IF(Z984-AA984-AB984&gt;Investimentos!$C$14,Investimentos!$C$14,IF(Z984-AA984-AB984&lt;Investimentos!$C$14,Z984-AA984-AB984,0))</f>
        <v>300000</v>
      </c>
      <c r="AD984" s="18">
        <f t="shared" ca="1" si="128"/>
        <v>117188643.08049795</v>
      </c>
      <c r="AE984" s="18"/>
    </row>
    <row r="985" spans="1:31" x14ac:dyDescent="0.2">
      <c r="A985" s="4">
        <v>75576</v>
      </c>
      <c r="B985" s="5" t="str">
        <f t="shared" si="124"/>
        <v>dezembro</v>
      </c>
      <c r="C985" s="5" t="str">
        <f t="shared" si="130"/>
        <v>2106</v>
      </c>
      <c r="D985" s="5">
        <f>SUMIFS(Despesas!$F:$F,Despesas!$J:$J,"&lt;="&amp;$A985,Despesas!$L:$L,"&gt;="&amp;$A985,Despesas!$C:$C,D$1,Despesas!$M:$M,"Mensal")+SUMIFS(Despesas!$F:$F,Despesas!$J:$J,"&lt;="&amp;$A985,Despesas!$L:$L,"&gt;="&amp;$A985,Despesas!$C:$C,D$1,Despesas!$M:$M,$B985)</f>
        <v>0</v>
      </c>
      <c r="E985" s="18">
        <f>SUMIFS(Despesas!$F:$F,Despesas!$J:$J,"&lt;="&amp;$A985,Despesas!$L:$L,"&gt;="&amp;$A985,Despesas!$C:$C,E$1,Despesas!$M:$M,"Mensal")+SUMIFS(Despesas!$F:$F,Despesas!$J:$J,"&lt;="&amp;$A985,Despesas!$L:$L,"&gt;="&amp;$A985,Despesas!$C:$C,E$1,Despesas!$M:$M,$B985)</f>
        <v>0</v>
      </c>
      <c r="F985" s="5">
        <f>SUMIFS(Despesas!$F:$F,Despesas!$J:$J,"&lt;="&amp;$A985,Despesas!$L:$L,"&gt;="&amp;$A985,Despesas!$C:$C,F$1,Despesas!$M:$M,"Mensal")+SUMIFS(Despesas!$F:$F,Despesas!$J:$J,"&lt;="&amp;$A985,Despesas!$L:$L,"&gt;="&amp;$A985,Despesas!$C:$C,F$1,Despesas!$M:$M,$B985)</f>
        <v>0</v>
      </c>
      <c r="G985" s="5">
        <f>SUMIFS(Despesas!$F:$F,Despesas!$J:$J,"&lt;="&amp;$A985,Despesas!$L:$L,"&gt;="&amp;$A985,Despesas!$C:$C,G$1,Despesas!$M:$M,"Mensal")+SUMIFS(Despesas!$F:$F,Despesas!$J:$J,"&lt;="&amp;$A985,Despesas!$L:$L,"&gt;="&amp;$A985,Despesas!$C:$C,G$1,Despesas!$M:$M,$B985)</f>
        <v>0</v>
      </c>
      <c r="H985" s="18">
        <f>SUMIFS(Despesas!$F:$F,Despesas!$J:$J,"&lt;="&amp;$A985,Despesas!$L:$L,"&gt;="&amp;$A985,Despesas!$C:$C,H$1,Despesas!$M:$M,"Mensal")+SUMIFS(Despesas!$F:$F,Despesas!$J:$J,"&lt;="&amp;$A985,Despesas!$L:$L,"&gt;="&amp;$A985,Despesas!$C:$C,H$1,Despesas!$M:$M,$B985)</f>
        <v>0</v>
      </c>
      <c r="I985" s="18">
        <f>IF(Imóveis!$F$2="PRICE",IF(AND(Dados!$A985&gt;=Imóveis!$Q$2,Dados!$A985&lt;=Imóveis!$T$2),Imóveis!$U$2,0),IF((IF(AND(Dados!$A985&gt;=Imóveis!$Q$2,Dados!$A985&lt;=Imóveis!$T$2),Imóveis!$S$2-(DATEDIF(Imóveis!$Q$2,Dados!$A985,"m")),0))=0,0,((Imóveis!$N$2/Imóveis!$S$2)+((Imóveis!$N$2-((Imóveis!$S$2-(IF(AND(Dados!$A985&gt;=Imóveis!$Q$2,Dados!$A985&lt;=Imóveis!$T$2),Imóveis!$S$2-(DATEDIF(Imóveis!$Q$2,Dados!$A985,"m")),)))*(Imóveis!$N$2/Imóveis!$S$2)))*Imóveis!$P$2))))*IF(AND(Imóveis!$E$2&gt;0,Dados!$A985&gt;Imóveis!$E$2),0,1)</f>
        <v>0</v>
      </c>
      <c r="J985" s="18">
        <f>IF(Imóveis!$F$3="PRICE",IF(AND(Dados!$A985&gt;=Imóveis!$Q$3,Dados!$A985&lt;=Imóveis!$T$3),Imóveis!$U$3,0),IF((IF(AND(Dados!$A985&gt;=Imóveis!$Q$3,Dados!$A985&lt;=Imóveis!$T$3),Imóveis!$S$3-(DATEDIF(Imóveis!$Q$3,Dados!$A985,"m")),0))=0,0,((Imóveis!$N$3/Imóveis!$S$3)+((Imóveis!$N$3-((Imóveis!$S$3-(IF(AND(Dados!$A985&gt;=Imóveis!$Q$3,Dados!$A985&lt;=Imóveis!$T$3),Imóveis!$S$3-(DATEDIF(Imóveis!$Q$3,Dados!$A985,"m")),)))*(Imóveis!$N$3/Imóveis!$S$3)))*Imóveis!$P$3))))*IF(AND(Imóveis!$E$3&gt;0,Dados!$A985&gt;Imóveis!$E$3),0,1)</f>
        <v>0</v>
      </c>
      <c r="K985" s="18">
        <f>IF(Imóveis!$F$4="PRICE",IF(AND(Dados!$A985&gt;=Imóveis!$Q$4,Dados!$A985&lt;=Imóveis!$T$4),Imóveis!$U$4,0),IF((IF(AND(Dados!$A985&gt;=Imóveis!$Q$4,Dados!$A985&lt;=Imóveis!$T$4),Imóveis!$S$4-(DATEDIF(Imóveis!$Q$4,Dados!$A985,"m")),0))=0,0,((Imóveis!$N$4/Imóveis!$S$4)+((Imóveis!$N$4-((Imóveis!$S$4-(IF(AND(Dados!$A985&gt;=Imóveis!$Q$4,Dados!$A985&lt;=Imóveis!$T$4),Imóveis!$S$4-(DATEDIF(Imóveis!$Q$4,Dados!$A985,"m")),)))*(Imóveis!$N$4/Imóveis!$S$4)))*Imóveis!$P$4))))*IF(AND(Imóveis!$E$4&gt;0,Dados!$A985&gt;Imóveis!$E$4),0,1)</f>
        <v>0</v>
      </c>
      <c r="L985" s="18">
        <f>IF(Imóveis!$F$5="PRICE",IF(AND(Dados!$A985&gt;=Imóveis!$Q$5,Dados!$A985&lt;=Imóveis!$T$5),Imóveis!$U$5,0),IF((IF(AND(Dados!$A985&gt;=Imóveis!$Q$5,Dados!$A985&lt;=Imóveis!$T$5),Imóveis!$S$5-(DATEDIF(Imóveis!$Q$5,Dados!$A985,"m")),0))=0,0,((Imóveis!$N$5/Imóveis!$S$5)+((Imóveis!$N$5-((Imóveis!$S$5-(IF(AND(Dados!$A985 &gt;=Imóveis!$Q$5,Dados!$A985&lt;=Imóveis!$T$5),Imóveis!$S$5-(DATEDIF(Imóveis!$Q$5,Dados!$A985,"m")),)))*(Imóveis!$N$5/Imóveis!$S$5)))*Imóveis!$P$5))))*IF(AND(Imóveis!$E$5&gt;0,Dados!$A985&gt;Imóveis!$E$5),0,1)*Imóveis!$I$5</f>
        <v>0</v>
      </c>
      <c r="M985" s="18">
        <f>IF(Imóveis!$F$6="PRICE",IF(AND(Dados!$A985&gt;=Imóveis!$Q$6,Dados!$A985&lt;=Imóveis!$T$6),Imóveis!$U$6,0),IF((IF(AND(Dados!$A985&gt;=Imóveis!$Q$6,Dados!$A985&lt;=Imóveis!$T$6),Imóveis!$S$6-(DATEDIF(Imóveis!$Q$6,Dados!$A985,"m")),0))=0,0,((Imóveis!$N$6/Imóveis!$S$6)+((Imóveis!$N$6-((Imóveis!$S$6-(IF(AND(Dados!$A985&gt;=Imóveis!$Q$6,Dados!$A985&lt;=Imóveis!$T$6),Imóveis!$S$6-(DATEDIF(Imóveis!$Q$6,Dados!$A985,"m")),)))*(Imóveis!$N$6/Imóveis!$S$6)))*Imóveis!$P$6))))*IF(AND(Imóveis!$E$6&gt;0,Dados!$A985&gt;Imóveis!$E$6),0,1)*Imóveis!$I$6</f>
        <v>0</v>
      </c>
      <c r="N985" s="18">
        <f t="shared" si="125"/>
        <v>0</v>
      </c>
      <c r="O985" s="18">
        <f>SUMIFS(Receitas!$F:$F,Receitas!$J:$J,"&lt;="&amp;$A985,Receitas!$L:$L,"&gt;="&amp;$A985,Receitas!$C:$C,O$1,Receitas!$M:$M,"Mensal")+SUMIFS(Receitas!$F:$F,Receitas!$J:$J,"&lt;="&amp;$A985,Receitas!$L:$L,"&gt;="&amp;$A985,Receitas!$C:$C,O$1,Receitas!$M:$M,$B985)</f>
        <v>0</v>
      </c>
      <c r="P985" s="18">
        <f>SUMIFS(Receitas!$F:$F,Receitas!$J:$J,"&lt;="&amp;$A985,Receitas!$L:$L,"&gt;="&amp;$A985,Receitas!$C:$C,P$1,Receitas!$M:$M,"Mensal")+SUMIFS(Receitas!$F:$F,Receitas!$J:$J,"&lt;="&amp;$A985,Receitas!$L:$L,"&gt;="&amp;$A985,Receitas!$C:$C,P$1,Receitas!$M:$M,$B985)</f>
        <v>0</v>
      </c>
      <c r="Q985" s="18">
        <f>SUMIFS(Receitas!$F:$F,Receitas!$J:$J,"&lt;="&amp;$A985,Receitas!$L:$L,"&gt;="&amp;$A985,Receitas!$C:$C,Q$1,Receitas!$M:$M,"Mensal")+SUMIFS(Receitas!$F:$F,Receitas!$J:$J,"&lt;="&amp;$A985,Receitas!$L:$L,"&gt;="&amp;$A985,Receitas!$C:$C,Q$1,Receitas!$M:$M,$B985)</f>
        <v>0</v>
      </c>
      <c r="R985" s="18" cm="1">
        <f t="array" ref="R985">(IF(AND(Membros!$F$2="Sim",A985&lt;=MAX(Membros!$E$2:$E$5)),Membros!K$2,IF(AND(A985&gt;=Membros!J$2,A985&lt;=MAX(Membros!$E$2:$E$5)),Membros!K$2,0))+IF(AND(Membros!$F$3="Sim",A985&lt;=MAX(Membros!$E$2:$E$5)),Membros!K$3,IF(AND(A985&gt;=Membros!J$3,A985&lt;=MAX(Membros!$E$2:$E$5)),Membros!K$3,0)))*IF(AND(COUNTIFS(Tabela3[Tipo],"Provedor",Tabela3[Simulação Seguro],"Sim")=2,A985&gt;=MAX(IF(Tabela3[Tipo]="Dependente",Tabela3[Expectativa de Vida (Data)]))),0,1)</f>
        <v>0</v>
      </c>
      <c r="S985" s="18">
        <f t="shared" si="126"/>
        <v>0</v>
      </c>
      <c r="U985" s="18">
        <f t="shared" ca="1" si="129"/>
        <v>117488643.08049797</v>
      </c>
      <c r="V985" s="18">
        <f>SUMIF(Imóveis!E:E,Dados!A:A,Imóveis!Z:Z)-SUMIF(Imóveis!E:E,Dados!A:A,Imóveis!Y:Y)</f>
        <v>0</v>
      </c>
      <c r="W985" s="18">
        <f>-SUMIF(Projetos!N:N,A985,Projetos!F:F)</f>
        <v>0</v>
      </c>
      <c r="X985" s="18">
        <f t="shared" si="123"/>
        <v>0</v>
      </c>
      <c r="Y985" s="26">
        <f ca="1">(U985*((Indicadores_Economicos!D$2+1)^(1/12)-1))</f>
        <v>384627.2448091954</v>
      </c>
      <c r="Z985" s="18">
        <f t="shared" ca="1" si="127"/>
        <v>117873270.32530716</v>
      </c>
      <c r="AA985" s="18">
        <f ca="1">Auxiliar_Projetos!E985</f>
        <v>9.7165032236756353E-9</v>
      </c>
      <c r="AB985" s="18">
        <f ca="1">Auxiliar_Projetos!K985</f>
        <v>7.4742332489812546E-9</v>
      </c>
      <c r="AC985" s="18">
        <f ca="1">IF(Z985-AA985-AB985&gt;Investimentos!$C$14,Investimentos!$C$14,IF(Z985-AA985-AB985&lt;Investimentos!$C$14,Z985-AA985-AB985,0))</f>
        <v>300000</v>
      </c>
      <c r="AD985" s="18">
        <f t="shared" ca="1" si="128"/>
        <v>117573270.32530713</v>
      </c>
      <c r="AE985" s="18"/>
    </row>
    <row r="986" spans="1:31" x14ac:dyDescent="0.2">
      <c r="A986" s="4">
        <v>75607</v>
      </c>
      <c r="B986" s="5" t="str">
        <f t="shared" si="124"/>
        <v>janeiro</v>
      </c>
      <c r="C986" s="5" t="str">
        <f t="shared" si="130"/>
        <v>2107</v>
      </c>
      <c r="D986" s="5">
        <f>SUMIFS(Despesas!$F:$F,Despesas!$J:$J,"&lt;="&amp;$A986,Despesas!$L:$L,"&gt;="&amp;$A986,Despesas!$C:$C,D$1,Despesas!$M:$M,"Mensal")+SUMIFS(Despesas!$F:$F,Despesas!$J:$J,"&lt;="&amp;$A986,Despesas!$L:$L,"&gt;="&amp;$A986,Despesas!$C:$C,D$1,Despesas!$M:$M,$B986)</f>
        <v>0</v>
      </c>
      <c r="E986" s="18">
        <f>SUMIFS(Despesas!$F:$F,Despesas!$J:$J,"&lt;="&amp;$A986,Despesas!$L:$L,"&gt;="&amp;$A986,Despesas!$C:$C,E$1,Despesas!$M:$M,"Mensal")+SUMIFS(Despesas!$F:$F,Despesas!$J:$J,"&lt;="&amp;$A986,Despesas!$L:$L,"&gt;="&amp;$A986,Despesas!$C:$C,E$1,Despesas!$M:$M,$B986)</f>
        <v>0</v>
      </c>
      <c r="F986" s="5">
        <f>SUMIFS(Despesas!$F:$F,Despesas!$J:$J,"&lt;="&amp;$A986,Despesas!$L:$L,"&gt;="&amp;$A986,Despesas!$C:$C,F$1,Despesas!$M:$M,"Mensal")+SUMIFS(Despesas!$F:$F,Despesas!$J:$J,"&lt;="&amp;$A986,Despesas!$L:$L,"&gt;="&amp;$A986,Despesas!$C:$C,F$1,Despesas!$M:$M,$B986)</f>
        <v>0</v>
      </c>
      <c r="G986" s="5">
        <f>SUMIFS(Despesas!$F:$F,Despesas!$J:$J,"&lt;="&amp;$A986,Despesas!$L:$L,"&gt;="&amp;$A986,Despesas!$C:$C,G$1,Despesas!$M:$M,"Mensal")+SUMIFS(Despesas!$F:$F,Despesas!$J:$J,"&lt;="&amp;$A986,Despesas!$L:$L,"&gt;="&amp;$A986,Despesas!$C:$C,G$1,Despesas!$M:$M,$B986)</f>
        <v>0</v>
      </c>
      <c r="H986" s="18">
        <f>SUMIFS(Despesas!$F:$F,Despesas!$J:$J,"&lt;="&amp;$A986,Despesas!$L:$L,"&gt;="&amp;$A986,Despesas!$C:$C,H$1,Despesas!$M:$M,"Mensal")+SUMIFS(Despesas!$F:$F,Despesas!$J:$J,"&lt;="&amp;$A986,Despesas!$L:$L,"&gt;="&amp;$A986,Despesas!$C:$C,H$1,Despesas!$M:$M,$B986)</f>
        <v>0</v>
      </c>
      <c r="I986" s="18">
        <f>IF(Imóveis!$F$2="PRICE",IF(AND(Dados!$A986&gt;=Imóveis!$Q$2,Dados!$A986&lt;=Imóveis!$T$2),Imóveis!$U$2,0),IF((IF(AND(Dados!$A986&gt;=Imóveis!$Q$2,Dados!$A986&lt;=Imóveis!$T$2),Imóveis!$S$2-(DATEDIF(Imóveis!$Q$2,Dados!$A986,"m")),0))=0,0,((Imóveis!$N$2/Imóveis!$S$2)+((Imóveis!$N$2-((Imóveis!$S$2-(IF(AND(Dados!$A986&gt;=Imóveis!$Q$2,Dados!$A986&lt;=Imóveis!$T$2),Imóveis!$S$2-(DATEDIF(Imóveis!$Q$2,Dados!$A986,"m")),)))*(Imóveis!$N$2/Imóveis!$S$2)))*Imóveis!$P$2))))*IF(AND(Imóveis!$E$2&gt;0,Dados!$A986&gt;Imóveis!$E$2),0,1)</f>
        <v>0</v>
      </c>
      <c r="J986" s="18">
        <f>IF(Imóveis!$F$3="PRICE",IF(AND(Dados!$A986&gt;=Imóveis!$Q$3,Dados!$A986&lt;=Imóveis!$T$3),Imóveis!$U$3,0),IF((IF(AND(Dados!$A986&gt;=Imóveis!$Q$3,Dados!$A986&lt;=Imóveis!$T$3),Imóveis!$S$3-(DATEDIF(Imóveis!$Q$3,Dados!$A986,"m")),0))=0,0,((Imóveis!$N$3/Imóveis!$S$3)+((Imóveis!$N$3-((Imóveis!$S$3-(IF(AND(Dados!$A986&gt;=Imóveis!$Q$3,Dados!$A986&lt;=Imóveis!$T$3),Imóveis!$S$3-(DATEDIF(Imóveis!$Q$3,Dados!$A986,"m")),)))*(Imóveis!$N$3/Imóveis!$S$3)))*Imóveis!$P$3))))*IF(AND(Imóveis!$E$3&gt;0,Dados!$A986&gt;Imóveis!$E$3),0,1)</f>
        <v>0</v>
      </c>
      <c r="K986" s="18">
        <f>IF(Imóveis!$F$4="PRICE",IF(AND(Dados!$A986&gt;=Imóveis!$Q$4,Dados!$A986&lt;=Imóveis!$T$4),Imóveis!$U$4,0),IF((IF(AND(Dados!$A986&gt;=Imóveis!$Q$4,Dados!$A986&lt;=Imóveis!$T$4),Imóveis!$S$4-(DATEDIF(Imóveis!$Q$4,Dados!$A986,"m")),0))=0,0,((Imóveis!$N$4/Imóveis!$S$4)+((Imóveis!$N$4-((Imóveis!$S$4-(IF(AND(Dados!$A986&gt;=Imóveis!$Q$4,Dados!$A986&lt;=Imóveis!$T$4),Imóveis!$S$4-(DATEDIF(Imóveis!$Q$4,Dados!$A986,"m")),)))*(Imóveis!$N$4/Imóveis!$S$4)))*Imóveis!$P$4))))*IF(AND(Imóveis!$E$4&gt;0,Dados!$A986&gt;Imóveis!$E$4),0,1)</f>
        <v>0</v>
      </c>
      <c r="L986" s="18">
        <f>IF(Imóveis!$F$5="PRICE",IF(AND(Dados!$A986&gt;=Imóveis!$Q$5,Dados!$A986&lt;=Imóveis!$T$5),Imóveis!$U$5,0),IF((IF(AND(Dados!$A986&gt;=Imóveis!$Q$5,Dados!$A986&lt;=Imóveis!$T$5),Imóveis!$S$5-(DATEDIF(Imóveis!$Q$5,Dados!$A986,"m")),0))=0,0,((Imóveis!$N$5/Imóveis!$S$5)+((Imóveis!$N$5-((Imóveis!$S$5-(IF(AND(Dados!$A986 &gt;=Imóveis!$Q$5,Dados!$A986&lt;=Imóveis!$T$5),Imóveis!$S$5-(DATEDIF(Imóveis!$Q$5,Dados!$A986,"m")),)))*(Imóveis!$N$5/Imóveis!$S$5)))*Imóveis!$P$5))))*IF(AND(Imóveis!$E$5&gt;0,Dados!$A986&gt;Imóveis!$E$5),0,1)*Imóveis!$I$5</f>
        <v>0</v>
      </c>
      <c r="M986" s="18">
        <f>IF(Imóveis!$F$6="PRICE",IF(AND(Dados!$A986&gt;=Imóveis!$Q$6,Dados!$A986&lt;=Imóveis!$T$6),Imóveis!$U$6,0),IF((IF(AND(Dados!$A986&gt;=Imóveis!$Q$6,Dados!$A986&lt;=Imóveis!$T$6),Imóveis!$S$6-(DATEDIF(Imóveis!$Q$6,Dados!$A986,"m")),0))=0,0,((Imóveis!$N$6/Imóveis!$S$6)+((Imóveis!$N$6-((Imóveis!$S$6-(IF(AND(Dados!$A986&gt;=Imóveis!$Q$6,Dados!$A986&lt;=Imóveis!$T$6),Imóveis!$S$6-(DATEDIF(Imóveis!$Q$6,Dados!$A986,"m")),)))*(Imóveis!$N$6/Imóveis!$S$6)))*Imóveis!$P$6))))*IF(AND(Imóveis!$E$6&gt;0,Dados!$A986&gt;Imóveis!$E$6),0,1)*Imóveis!$I$6</f>
        <v>0</v>
      </c>
      <c r="N986" s="18">
        <f t="shared" si="125"/>
        <v>0</v>
      </c>
      <c r="O986" s="18">
        <f>SUMIFS(Receitas!$F:$F,Receitas!$J:$J,"&lt;="&amp;$A986,Receitas!$L:$L,"&gt;="&amp;$A986,Receitas!$C:$C,O$1,Receitas!$M:$M,"Mensal")+SUMIFS(Receitas!$F:$F,Receitas!$J:$J,"&lt;="&amp;$A986,Receitas!$L:$L,"&gt;="&amp;$A986,Receitas!$C:$C,O$1,Receitas!$M:$M,$B986)</f>
        <v>0</v>
      </c>
      <c r="P986" s="18">
        <f>SUMIFS(Receitas!$F:$F,Receitas!$J:$J,"&lt;="&amp;$A986,Receitas!$L:$L,"&gt;="&amp;$A986,Receitas!$C:$C,P$1,Receitas!$M:$M,"Mensal")+SUMIFS(Receitas!$F:$F,Receitas!$J:$J,"&lt;="&amp;$A986,Receitas!$L:$L,"&gt;="&amp;$A986,Receitas!$C:$C,P$1,Receitas!$M:$M,$B986)</f>
        <v>0</v>
      </c>
      <c r="Q986" s="18">
        <f>SUMIFS(Receitas!$F:$F,Receitas!$J:$J,"&lt;="&amp;$A986,Receitas!$L:$L,"&gt;="&amp;$A986,Receitas!$C:$C,Q$1,Receitas!$M:$M,"Mensal")+SUMIFS(Receitas!$F:$F,Receitas!$J:$J,"&lt;="&amp;$A986,Receitas!$L:$L,"&gt;="&amp;$A986,Receitas!$C:$C,Q$1,Receitas!$M:$M,$B986)</f>
        <v>0</v>
      </c>
      <c r="R986" s="18" cm="1">
        <f t="array" ref="R986">(IF(AND(Membros!$F$2="Sim",A986&lt;=MAX(Membros!$E$2:$E$5)),Membros!K$2,IF(AND(A986&gt;=Membros!J$2,A986&lt;=MAX(Membros!$E$2:$E$5)),Membros!K$2,0))+IF(AND(Membros!$F$3="Sim",A986&lt;=MAX(Membros!$E$2:$E$5)),Membros!K$3,IF(AND(A986&gt;=Membros!J$3,A986&lt;=MAX(Membros!$E$2:$E$5)),Membros!K$3,0)))*IF(AND(COUNTIFS(Tabela3[Tipo],"Provedor",Tabela3[Simulação Seguro],"Sim")=2,A986&gt;=MAX(IF(Tabela3[Tipo]="Dependente",Tabela3[Expectativa de Vida (Data)]))),0,1)</f>
        <v>0</v>
      </c>
      <c r="S986" s="18">
        <f t="shared" si="126"/>
        <v>0</v>
      </c>
      <c r="U986" s="18">
        <f t="shared" ca="1" si="129"/>
        <v>117873270.32530716</v>
      </c>
      <c r="V986" s="18">
        <f>SUMIF(Imóveis!E:E,Dados!A:A,Imóveis!Z:Z)-SUMIF(Imóveis!E:E,Dados!A:A,Imóveis!Y:Y)</f>
        <v>0</v>
      </c>
      <c r="W986" s="18">
        <f>-SUMIF(Projetos!N:N,A986,Projetos!F:F)</f>
        <v>0</v>
      </c>
      <c r="X986" s="18">
        <f t="shared" si="123"/>
        <v>0</v>
      </c>
      <c r="Y986" s="26">
        <f ca="1">(U986*((Indicadores_Economicos!D$2+1)^(1/12)-1))</f>
        <v>385886.41432184482</v>
      </c>
      <c r="Z986" s="18">
        <f t="shared" ca="1" si="127"/>
        <v>118259156.739629</v>
      </c>
      <c r="AA986" s="18">
        <f ca="1">Auxiliar_Projetos!E986</f>
        <v>9.7483125268228461E-9</v>
      </c>
      <c r="AB986" s="18">
        <f ca="1">Auxiliar_Projetos!K986</f>
        <v>7.4987019437098787E-9</v>
      </c>
      <c r="AC986" s="18">
        <f ca="1">IF(Z986-AA986-AB986&gt;Investimentos!$C$14,Investimentos!$C$14,IF(Z986-AA986-AB986&lt;Investimentos!$C$14,Z986-AA986-AB986,0))</f>
        <v>300000</v>
      </c>
      <c r="AD986" s="18">
        <f t="shared" ca="1" si="128"/>
        <v>117959156.73962897</v>
      </c>
      <c r="AE986" s="18"/>
    </row>
    <row r="987" spans="1:31" x14ac:dyDescent="0.2">
      <c r="A987" s="4">
        <v>75638</v>
      </c>
      <c r="B987" s="5" t="str">
        <f t="shared" si="124"/>
        <v>fevereiro</v>
      </c>
      <c r="C987" s="5" t="str">
        <f t="shared" si="130"/>
        <v>2107</v>
      </c>
      <c r="D987" s="5">
        <f>SUMIFS(Despesas!$F:$F,Despesas!$J:$J,"&lt;="&amp;$A987,Despesas!$L:$L,"&gt;="&amp;$A987,Despesas!$C:$C,D$1,Despesas!$M:$M,"Mensal")+SUMIFS(Despesas!$F:$F,Despesas!$J:$J,"&lt;="&amp;$A987,Despesas!$L:$L,"&gt;="&amp;$A987,Despesas!$C:$C,D$1,Despesas!$M:$M,$B987)</f>
        <v>0</v>
      </c>
      <c r="E987" s="18">
        <f>SUMIFS(Despesas!$F:$F,Despesas!$J:$J,"&lt;="&amp;$A987,Despesas!$L:$L,"&gt;="&amp;$A987,Despesas!$C:$C,E$1,Despesas!$M:$M,"Mensal")+SUMIFS(Despesas!$F:$F,Despesas!$J:$J,"&lt;="&amp;$A987,Despesas!$L:$L,"&gt;="&amp;$A987,Despesas!$C:$C,E$1,Despesas!$M:$M,$B987)</f>
        <v>0</v>
      </c>
      <c r="F987" s="5">
        <f>SUMIFS(Despesas!$F:$F,Despesas!$J:$J,"&lt;="&amp;$A987,Despesas!$L:$L,"&gt;="&amp;$A987,Despesas!$C:$C,F$1,Despesas!$M:$M,"Mensal")+SUMIFS(Despesas!$F:$F,Despesas!$J:$J,"&lt;="&amp;$A987,Despesas!$L:$L,"&gt;="&amp;$A987,Despesas!$C:$C,F$1,Despesas!$M:$M,$B987)</f>
        <v>0</v>
      </c>
      <c r="G987" s="5">
        <f>SUMIFS(Despesas!$F:$F,Despesas!$J:$J,"&lt;="&amp;$A987,Despesas!$L:$L,"&gt;="&amp;$A987,Despesas!$C:$C,G$1,Despesas!$M:$M,"Mensal")+SUMIFS(Despesas!$F:$F,Despesas!$J:$J,"&lt;="&amp;$A987,Despesas!$L:$L,"&gt;="&amp;$A987,Despesas!$C:$C,G$1,Despesas!$M:$M,$B987)</f>
        <v>0</v>
      </c>
      <c r="H987" s="18">
        <f>SUMIFS(Despesas!$F:$F,Despesas!$J:$J,"&lt;="&amp;$A987,Despesas!$L:$L,"&gt;="&amp;$A987,Despesas!$C:$C,H$1,Despesas!$M:$M,"Mensal")+SUMIFS(Despesas!$F:$F,Despesas!$J:$J,"&lt;="&amp;$A987,Despesas!$L:$L,"&gt;="&amp;$A987,Despesas!$C:$C,H$1,Despesas!$M:$M,$B987)</f>
        <v>0</v>
      </c>
      <c r="I987" s="18">
        <f>IF(Imóveis!$F$2="PRICE",IF(AND(Dados!$A987&gt;=Imóveis!$Q$2,Dados!$A987&lt;=Imóveis!$T$2),Imóveis!$U$2,0),IF((IF(AND(Dados!$A987&gt;=Imóveis!$Q$2,Dados!$A987&lt;=Imóveis!$T$2),Imóveis!$S$2-(DATEDIF(Imóveis!$Q$2,Dados!$A987,"m")),0))=0,0,((Imóveis!$N$2/Imóveis!$S$2)+((Imóveis!$N$2-((Imóveis!$S$2-(IF(AND(Dados!$A987&gt;=Imóveis!$Q$2,Dados!$A987&lt;=Imóveis!$T$2),Imóveis!$S$2-(DATEDIF(Imóveis!$Q$2,Dados!$A987,"m")),)))*(Imóveis!$N$2/Imóveis!$S$2)))*Imóveis!$P$2))))*IF(AND(Imóveis!$E$2&gt;0,Dados!$A987&gt;Imóveis!$E$2),0,1)</f>
        <v>0</v>
      </c>
      <c r="J987" s="18">
        <f>IF(Imóveis!$F$3="PRICE",IF(AND(Dados!$A987&gt;=Imóveis!$Q$3,Dados!$A987&lt;=Imóveis!$T$3),Imóveis!$U$3,0),IF((IF(AND(Dados!$A987&gt;=Imóveis!$Q$3,Dados!$A987&lt;=Imóveis!$T$3),Imóveis!$S$3-(DATEDIF(Imóveis!$Q$3,Dados!$A987,"m")),0))=0,0,((Imóveis!$N$3/Imóveis!$S$3)+((Imóveis!$N$3-((Imóveis!$S$3-(IF(AND(Dados!$A987&gt;=Imóveis!$Q$3,Dados!$A987&lt;=Imóveis!$T$3),Imóveis!$S$3-(DATEDIF(Imóveis!$Q$3,Dados!$A987,"m")),)))*(Imóveis!$N$3/Imóveis!$S$3)))*Imóveis!$P$3))))*IF(AND(Imóveis!$E$3&gt;0,Dados!$A987&gt;Imóveis!$E$3),0,1)</f>
        <v>0</v>
      </c>
      <c r="K987" s="18">
        <f>IF(Imóveis!$F$4="PRICE",IF(AND(Dados!$A987&gt;=Imóveis!$Q$4,Dados!$A987&lt;=Imóveis!$T$4),Imóveis!$U$4,0),IF((IF(AND(Dados!$A987&gt;=Imóveis!$Q$4,Dados!$A987&lt;=Imóveis!$T$4),Imóveis!$S$4-(DATEDIF(Imóveis!$Q$4,Dados!$A987,"m")),0))=0,0,((Imóveis!$N$4/Imóveis!$S$4)+((Imóveis!$N$4-((Imóveis!$S$4-(IF(AND(Dados!$A987&gt;=Imóveis!$Q$4,Dados!$A987&lt;=Imóveis!$T$4),Imóveis!$S$4-(DATEDIF(Imóveis!$Q$4,Dados!$A987,"m")),)))*(Imóveis!$N$4/Imóveis!$S$4)))*Imóveis!$P$4))))*IF(AND(Imóveis!$E$4&gt;0,Dados!$A987&gt;Imóveis!$E$4),0,1)</f>
        <v>0</v>
      </c>
      <c r="L987" s="18">
        <f>IF(Imóveis!$F$5="PRICE",IF(AND(Dados!$A987&gt;=Imóveis!$Q$5,Dados!$A987&lt;=Imóveis!$T$5),Imóveis!$U$5,0),IF((IF(AND(Dados!$A987&gt;=Imóveis!$Q$5,Dados!$A987&lt;=Imóveis!$T$5),Imóveis!$S$5-(DATEDIF(Imóveis!$Q$5,Dados!$A987,"m")),0))=0,0,((Imóveis!$N$5/Imóveis!$S$5)+((Imóveis!$N$5-((Imóveis!$S$5-(IF(AND(Dados!$A987 &gt;=Imóveis!$Q$5,Dados!$A987&lt;=Imóveis!$T$5),Imóveis!$S$5-(DATEDIF(Imóveis!$Q$5,Dados!$A987,"m")),)))*(Imóveis!$N$5/Imóveis!$S$5)))*Imóveis!$P$5))))*IF(AND(Imóveis!$E$5&gt;0,Dados!$A987&gt;Imóveis!$E$5),0,1)*Imóveis!$I$5</f>
        <v>0</v>
      </c>
      <c r="M987" s="18">
        <f>IF(Imóveis!$F$6="PRICE",IF(AND(Dados!$A987&gt;=Imóveis!$Q$6,Dados!$A987&lt;=Imóveis!$T$6),Imóveis!$U$6,0),IF((IF(AND(Dados!$A987&gt;=Imóveis!$Q$6,Dados!$A987&lt;=Imóveis!$T$6),Imóveis!$S$6-(DATEDIF(Imóveis!$Q$6,Dados!$A987,"m")),0))=0,0,((Imóveis!$N$6/Imóveis!$S$6)+((Imóveis!$N$6-((Imóveis!$S$6-(IF(AND(Dados!$A987&gt;=Imóveis!$Q$6,Dados!$A987&lt;=Imóveis!$T$6),Imóveis!$S$6-(DATEDIF(Imóveis!$Q$6,Dados!$A987,"m")),)))*(Imóveis!$N$6/Imóveis!$S$6)))*Imóveis!$P$6))))*IF(AND(Imóveis!$E$6&gt;0,Dados!$A987&gt;Imóveis!$E$6),0,1)*Imóveis!$I$6</f>
        <v>0</v>
      </c>
      <c r="N987" s="18">
        <f t="shared" si="125"/>
        <v>0</v>
      </c>
      <c r="O987" s="18">
        <f>SUMIFS(Receitas!$F:$F,Receitas!$J:$J,"&lt;="&amp;$A987,Receitas!$L:$L,"&gt;="&amp;$A987,Receitas!$C:$C,O$1,Receitas!$M:$M,"Mensal")+SUMIFS(Receitas!$F:$F,Receitas!$J:$J,"&lt;="&amp;$A987,Receitas!$L:$L,"&gt;="&amp;$A987,Receitas!$C:$C,O$1,Receitas!$M:$M,$B987)</f>
        <v>0</v>
      </c>
      <c r="P987" s="18">
        <f>SUMIFS(Receitas!$F:$F,Receitas!$J:$J,"&lt;="&amp;$A987,Receitas!$L:$L,"&gt;="&amp;$A987,Receitas!$C:$C,P$1,Receitas!$M:$M,"Mensal")+SUMIFS(Receitas!$F:$F,Receitas!$J:$J,"&lt;="&amp;$A987,Receitas!$L:$L,"&gt;="&amp;$A987,Receitas!$C:$C,P$1,Receitas!$M:$M,$B987)</f>
        <v>0</v>
      </c>
      <c r="Q987" s="18">
        <f>SUMIFS(Receitas!$F:$F,Receitas!$J:$J,"&lt;="&amp;$A987,Receitas!$L:$L,"&gt;="&amp;$A987,Receitas!$C:$C,Q$1,Receitas!$M:$M,"Mensal")+SUMIFS(Receitas!$F:$F,Receitas!$J:$J,"&lt;="&amp;$A987,Receitas!$L:$L,"&gt;="&amp;$A987,Receitas!$C:$C,Q$1,Receitas!$M:$M,$B987)</f>
        <v>0</v>
      </c>
      <c r="R987" s="18" cm="1">
        <f t="array" ref="R987">(IF(AND(Membros!$F$2="Sim",A987&lt;=MAX(Membros!$E$2:$E$5)),Membros!K$2,IF(AND(A987&gt;=Membros!J$2,A987&lt;=MAX(Membros!$E$2:$E$5)),Membros!K$2,0))+IF(AND(Membros!$F$3="Sim",A987&lt;=MAX(Membros!$E$2:$E$5)),Membros!K$3,IF(AND(A987&gt;=Membros!J$3,A987&lt;=MAX(Membros!$E$2:$E$5)),Membros!K$3,0)))*IF(AND(COUNTIFS(Tabela3[Tipo],"Provedor",Tabela3[Simulação Seguro],"Sim")=2,A987&gt;=MAX(IF(Tabela3[Tipo]="Dependente",Tabela3[Expectativa de Vida (Data)]))),0,1)</f>
        <v>0</v>
      </c>
      <c r="S987" s="18">
        <f t="shared" si="126"/>
        <v>0</v>
      </c>
      <c r="U987" s="18">
        <f t="shared" ca="1" si="129"/>
        <v>118259156.739629</v>
      </c>
      <c r="V987" s="18">
        <f>SUMIF(Imóveis!E:E,Dados!A:A,Imóveis!Z:Z)-SUMIF(Imóveis!E:E,Dados!A:A,Imóveis!Y:Y)</f>
        <v>0</v>
      </c>
      <c r="W987" s="18">
        <f>-SUMIF(Projetos!N:N,A987,Projetos!F:F)</f>
        <v>0</v>
      </c>
      <c r="X987" s="18">
        <f t="shared" si="123"/>
        <v>0</v>
      </c>
      <c r="Y987" s="26">
        <f ca="1">(U987*((Indicadores_Economicos!D$2+1)^(1/12)-1))</f>
        <v>387149.70602782036</v>
      </c>
      <c r="Z987" s="18">
        <f t="shared" ca="1" si="127"/>
        <v>118646306.44565682</v>
      </c>
      <c r="AA987" s="18">
        <f ca="1">Auxiliar_Projetos!E987</f>
        <v>9.7802259653512138E-9</v>
      </c>
      <c r="AB987" s="18">
        <f ca="1">Auxiliar_Projetos!K987</f>
        <v>7.5232507425778542E-9</v>
      </c>
      <c r="AC987" s="18">
        <f ca="1">IF(Z987-AA987-AB987&gt;Investimentos!$C$14,Investimentos!$C$14,IF(Z987-AA987-AB987&lt;Investimentos!$C$14,Z987-AA987-AB987,0))</f>
        <v>300000</v>
      </c>
      <c r="AD987" s="18">
        <f t="shared" ca="1" si="128"/>
        <v>118346306.44565679</v>
      </c>
      <c r="AE987" s="18"/>
    </row>
    <row r="988" spans="1:31" x14ac:dyDescent="0.2">
      <c r="A988" s="4">
        <v>75666</v>
      </c>
      <c r="B988" s="5" t="str">
        <f t="shared" si="124"/>
        <v>março</v>
      </c>
      <c r="C988" s="5" t="str">
        <f t="shared" si="130"/>
        <v>2107</v>
      </c>
      <c r="D988" s="5">
        <f>SUMIFS(Despesas!$F:$F,Despesas!$J:$J,"&lt;="&amp;$A988,Despesas!$L:$L,"&gt;="&amp;$A988,Despesas!$C:$C,D$1,Despesas!$M:$M,"Mensal")+SUMIFS(Despesas!$F:$F,Despesas!$J:$J,"&lt;="&amp;$A988,Despesas!$L:$L,"&gt;="&amp;$A988,Despesas!$C:$C,D$1,Despesas!$M:$M,$B988)</f>
        <v>0</v>
      </c>
      <c r="E988" s="18">
        <f>SUMIFS(Despesas!$F:$F,Despesas!$J:$J,"&lt;="&amp;$A988,Despesas!$L:$L,"&gt;="&amp;$A988,Despesas!$C:$C,E$1,Despesas!$M:$M,"Mensal")+SUMIFS(Despesas!$F:$F,Despesas!$J:$J,"&lt;="&amp;$A988,Despesas!$L:$L,"&gt;="&amp;$A988,Despesas!$C:$C,E$1,Despesas!$M:$M,$B988)</f>
        <v>0</v>
      </c>
      <c r="F988" s="5">
        <f>SUMIFS(Despesas!$F:$F,Despesas!$J:$J,"&lt;="&amp;$A988,Despesas!$L:$L,"&gt;="&amp;$A988,Despesas!$C:$C,F$1,Despesas!$M:$M,"Mensal")+SUMIFS(Despesas!$F:$F,Despesas!$J:$J,"&lt;="&amp;$A988,Despesas!$L:$L,"&gt;="&amp;$A988,Despesas!$C:$C,F$1,Despesas!$M:$M,$B988)</f>
        <v>0</v>
      </c>
      <c r="G988" s="5">
        <f>SUMIFS(Despesas!$F:$F,Despesas!$J:$J,"&lt;="&amp;$A988,Despesas!$L:$L,"&gt;="&amp;$A988,Despesas!$C:$C,G$1,Despesas!$M:$M,"Mensal")+SUMIFS(Despesas!$F:$F,Despesas!$J:$J,"&lt;="&amp;$A988,Despesas!$L:$L,"&gt;="&amp;$A988,Despesas!$C:$C,G$1,Despesas!$M:$M,$B988)</f>
        <v>0</v>
      </c>
      <c r="H988" s="18">
        <f>SUMIFS(Despesas!$F:$F,Despesas!$J:$J,"&lt;="&amp;$A988,Despesas!$L:$L,"&gt;="&amp;$A988,Despesas!$C:$C,H$1,Despesas!$M:$M,"Mensal")+SUMIFS(Despesas!$F:$F,Despesas!$J:$J,"&lt;="&amp;$A988,Despesas!$L:$L,"&gt;="&amp;$A988,Despesas!$C:$C,H$1,Despesas!$M:$M,$B988)</f>
        <v>0</v>
      </c>
      <c r="I988" s="18">
        <f>IF(Imóveis!$F$2="PRICE",IF(AND(Dados!$A988&gt;=Imóveis!$Q$2,Dados!$A988&lt;=Imóveis!$T$2),Imóveis!$U$2,0),IF((IF(AND(Dados!$A988&gt;=Imóveis!$Q$2,Dados!$A988&lt;=Imóveis!$T$2),Imóveis!$S$2-(DATEDIF(Imóveis!$Q$2,Dados!$A988,"m")),0))=0,0,((Imóveis!$N$2/Imóveis!$S$2)+((Imóveis!$N$2-((Imóveis!$S$2-(IF(AND(Dados!$A988&gt;=Imóveis!$Q$2,Dados!$A988&lt;=Imóveis!$T$2),Imóveis!$S$2-(DATEDIF(Imóveis!$Q$2,Dados!$A988,"m")),)))*(Imóveis!$N$2/Imóveis!$S$2)))*Imóveis!$P$2))))*IF(AND(Imóveis!$E$2&gt;0,Dados!$A988&gt;Imóveis!$E$2),0,1)</f>
        <v>0</v>
      </c>
      <c r="J988" s="18">
        <f>IF(Imóveis!$F$3="PRICE",IF(AND(Dados!$A988&gt;=Imóveis!$Q$3,Dados!$A988&lt;=Imóveis!$T$3),Imóveis!$U$3,0),IF((IF(AND(Dados!$A988&gt;=Imóveis!$Q$3,Dados!$A988&lt;=Imóveis!$T$3),Imóveis!$S$3-(DATEDIF(Imóveis!$Q$3,Dados!$A988,"m")),0))=0,0,((Imóveis!$N$3/Imóveis!$S$3)+((Imóveis!$N$3-((Imóveis!$S$3-(IF(AND(Dados!$A988&gt;=Imóveis!$Q$3,Dados!$A988&lt;=Imóveis!$T$3),Imóveis!$S$3-(DATEDIF(Imóveis!$Q$3,Dados!$A988,"m")),)))*(Imóveis!$N$3/Imóveis!$S$3)))*Imóveis!$P$3))))*IF(AND(Imóveis!$E$3&gt;0,Dados!$A988&gt;Imóveis!$E$3),0,1)</f>
        <v>0</v>
      </c>
      <c r="K988" s="18">
        <f>IF(Imóveis!$F$4="PRICE",IF(AND(Dados!$A988&gt;=Imóveis!$Q$4,Dados!$A988&lt;=Imóveis!$T$4),Imóveis!$U$4,0),IF((IF(AND(Dados!$A988&gt;=Imóveis!$Q$4,Dados!$A988&lt;=Imóveis!$T$4),Imóveis!$S$4-(DATEDIF(Imóveis!$Q$4,Dados!$A988,"m")),0))=0,0,((Imóveis!$N$4/Imóveis!$S$4)+((Imóveis!$N$4-((Imóveis!$S$4-(IF(AND(Dados!$A988&gt;=Imóveis!$Q$4,Dados!$A988&lt;=Imóveis!$T$4),Imóveis!$S$4-(DATEDIF(Imóveis!$Q$4,Dados!$A988,"m")),)))*(Imóveis!$N$4/Imóveis!$S$4)))*Imóveis!$P$4))))*IF(AND(Imóveis!$E$4&gt;0,Dados!$A988&gt;Imóveis!$E$4),0,1)</f>
        <v>0</v>
      </c>
      <c r="L988" s="18">
        <f>IF(Imóveis!$F$5="PRICE",IF(AND(Dados!$A988&gt;=Imóveis!$Q$5,Dados!$A988&lt;=Imóveis!$T$5),Imóveis!$U$5,0),IF((IF(AND(Dados!$A988&gt;=Imóveis!$Q$5,Dados!$A988&lt;=Imóveis!$T$5),Imóveis!$S$5-(DATEDIF(Imóveis!$Q$5,Dados!$A988,"m")),0))=0,0,((Imóveis!$N$5/Imóveis!$S$5)+((Imóveis!$N$5-((Imóveis!$S$5-(IF(AND(Dados!$A988 &gt;=Imóveis!$Q$5,Dados!$A988&lt;=Imóveis!$T$5),Imóveis!$S$5-(DATEDIF(Imóveis!$Q$5,Dados!$A988,"m")),)))*(Imóveis!$N$5/Imóveis!$S$5)))*Imóveis!$P$5))))*IF(AND(Imóveis!$E$5&gt;0,Dados!$A988&gt;Imóveis!$E$5),0,1)*Imóveis!$I$5</f>
        <v>0</v>
      </c>
      <c r="M988" s="18">
        <f>IF(Imóveis!$F$6="PRICE",IF(AND(Dados!$A988&gt;=Imóveis!$Q$6,Dados!$A988&lt;=Imóveis!$T$6),Imóveis!$U$6,0),IF((IF(AND(Dados!$A988&gt;=Imóveis!$Q$6,Dados!$A988&lt;=Imóveis!$T$6),Imóveis!$S$6-(DATEDIF(Imóveis!$Q$6,Dados!$A988,"m")),0))=0,0,((Imóveis!$N$6/Imóveis!$S$6)+((Imóveis!$N$6-((Imóveis!$S$6-(IF(AND(Dados!$A988&gt;=Imóveis!$Q$6,Dados!$A988&lt;=Imóveis!$T$6),Imóveis!$S$6-(DATEDIF(Imóveis!$Q$6,Dados!$A988,"m")),)))*(Imóveis!$N$6/Imóveis!$S$6)))*Imóveis!$P$6))))*IF(AND(Imóveis!$E$6&gt;0,Dados!$A988&gt;Imóveis!$E$6),0,1)*Imóveis!$I$6</f>
        <v>0</v>
      </c>
      <c r="N988" s="18">
        <f t="shared" si="125"/>
        <v>0</v>
      </c>
      <c r="O988" s="18">
        <f>SUMIFS(Receitas!$F:$F,Receitas!$J:$J,"&lt;="&amp;$A988,Receitas!$L:$L,"&gt;="&amp;$A988,Receitas!$C:$C,O$1,Receitas!$M:$M,"Mensal")+SUMIFS(Receitas!$F:$F,Receitas!$J:$J,"&lt;="&amp;$A988,Receitas!$L:$L,"&gt;="&amp;$A988,Receitas!$C:$C,O$1,Receitas!$M:$M,$B988)</f>
        <v>0</v>
      </c>
      <c r="P988" s="18">
        <f>SUMIFS(Receitas!$F:$F,Receitas!$J:$J,"&lt;="&amp;$A988,Receitas!$L:$L,"&gt;="&amp;$A988,Receitas!$C:$C,P$1,Receitas!$M:$M,"Mensal")+SUMIFS(Receitas!$F:$F,Receitas!$J:$J,"&lt;="&amp;$A988,Receitas!$L:$L,"&gt;="&amp;$A988,Receitas!$C:$C,P$1,Receitas!$M:$M,$B988)</f>
        <v>0</v>
      </c>
      <c r="Q988" s="18">
        <f>SUMIFS(Receitas!$F:$F,Receitas!$J:$J,"&lt;="&amp;$A988,Receitas!$L:$L,"&gt;="&amp;$A988,Receitas!$C:$C,Q$1,Receitas!$M:$M,"Mensal")+SUMIFS(Receitas!$F:$F,Receitas!$J:$J,"&lt;="&amp;$A988,Receitas!$L:$L,"&gt;="&amp;$A988,Receitas!$C:$C,Q$1,Receitas!$M:$M,$B988)</f>
        <v>0</v>
      </c>
      <c r="R988" s="18" cm="1">
        <f t="array" ref="R988">(IF(AND(Membros!$F$2="Sim",A988&lt;=MAX(Membros!$E$2:$E$5)),Membros!K$2,IF(AND(A988&gt;=Membros!J$2,A988&lt;=MAX(Membros!$E$2:$E$5)),Membros!K$2,0))+IF(AND(Membros!$F$3="Sim",A988&lt;=MAX(Membros!$E$2:$E$5)),Membros!K$3,IF(AND(A988&gt;=Membros!J$3,A988&lt;=MAX(Membros!$E$2:$E$5)),Membros!K$3,0)))*IF(AND(COUNTIFS(Tabela3[Tipo],"Provedor",Tabela3[Simulação Seguro],"Sim")=2,A988&gt;=MAX(IF(Tabela3[Tipo]="Dependente",Tabela3[Expectativa de Vida (Data)]))),0,1)</f>
        <v>0</v>
      </c>
      <c r="S988" s="18">
        <f t="shared" si="126"/>
        <v>0</v>
      </c>
      <c r="U988" s="18">
        <f t="shared" ca="1" si="129"/>
        <v>118646306.44565682</v>
      </c>
      <c r="V988" s="18">
        <f>SUMIF(Imóveis!E:E,Dados!A:A,Imóveis!Z:Z)-SUMIF(Imóveis!E:E,Dados!A:A,Imóveis!Y:Y)</f>
        <v>0</v>
      </c>
      <c r="W988" s="18">
        <f>-SUMIF(Projetos!N:N,A988,Projetos!F:F)</f>
        <v>0</v>
      </c>
      <c r="X988" s="18">
        <f t="shared" si="123"/>
        <v>0</v>
      </c>
      <c r="Y988" s="26">
        <f ca="1">(U988*((Indicadores_Economicos!D$2+1)^(1/12)-1))</f>
        <v>388417.13342211023</v>
      </c>
      <c r="Z988" s="18">
        <f t="shared" ca="1" si="127"/>
        <v>119034723.57907893</v>
      </c>
      <c r="AA988" s="18">
        <f ca="1">Auxiliar_Projetos!E988</f>
        <v>9.8122438801728782E-9</v>
      </c>
      <c r="AB988" s="18">
        <f ca="1">Auxiliar_Projetos!K988</f>
        <v>7.5478799078252897E-9</v>
      </c>
      <c r="AC988" s="18">
        <f ca="1">IF(Z988-AA988-AB988&gt;Investimentos!$C$14,Investimentos!$C$14,IF(Z988-AA988-AB988&lt;Investimentos!$C$14,Z988-AA988-AB988,0))</f>
        <v>300000</v>
      </c>
      <c r="AD988" s="18">
        <f t="shared" ca="1" si="128"/>
        <v>118734723.5790789</v>
      </c>
      <c r="AE988" s="18"/>
    </row>
    <row r="989" spans="1:31" x14ac:dyDescent="0.2">
      <c r="A989" s="4">
        <v>75697</v>
      </c>
      <c r="B989" s="5" t="str">
        <f t="shared" si="124"/>
        <v>abril</v>
      </c>
      <c r="C989" s="5" t="str">
        <f t="shared" si="130"/>
        <v>2107</v>
      </c>
      <c r="D989" s="5">
        <f>SUMIFS(Despesas!$F:$F,Despesas!$J:$J,"&lt;="&amp;$A989,Despesas!$L:$L,"&gt;="&amp;$A989,Despesas!$C:$C,D$1,Despesas!$M:$M,"Mensal")+SUMIFS(Despesas!$F:$F,Despesas!$J:$J,"&lt;="&amp;$A989,Despesas!$L:$L,"&gt;="&amp;$A989,Despesas!$C:$C,D$1,Despesas!$M:$M,$B989)</f>
        <v>0</v>
      </c>
      <c r="E989" s="18">
        <f>SUMIFS(Despesas!$F:$F,Despesas!$J:$J,"&lt;="&amp;$A989,Despesas!$L:$L,"&gt;="&amp;$A989,Despesas!$C:$C,E$1,Despesas!$M:$M,"Mensal")+SUMIFS(Despesas!$F:$F,Despesas!$J:$J,"&lt;="&amp;$A989,Despesas!$L:$L,"&gt;="&amp;$A989,Despesas!$C:$C,E$1,Despesas!$M:$M,$B989)</f>
        <v>0</v>
      </c>
      <c r="F989" s="5">
        <f>SUMIFS(Despesas!$F:$F,Despesas!$J:$J,"&lt;="&amp;$A989,Despesas!$L:$L,"&gt;="&amp;$A989,Despesas!$C:$C,F$1,Despesas!$M:$M,"Mensal")+SUMIFS(Despesas!$F:$F,Despesas!$J:$J,"&lt;="&amp;$A989,Despesas!$L:$L,"&gt;="&amp;$A989,Despesas!$C:$C,F$1,Despesas!$M:$M,$B989)</f>
        <v>0</v>
      </c>
      <c r="G989" s="5">
        <f>SUMIFS(Despesas!$F:$F,Despesas!$J:$J,"&lt;="&amp;$A989,Despesas!$L:$L,"&gt;="&amp;$A989,Despesas!$C:$C,G$1,Despesas!$M:$M,"Mensal")+SUMIFS(Despesas!$F:$F,Despesas!$J:$J,"&lt;="&amp;$A989,Despesas!$L:$L,"&gt;="&amp;$A989,Despesas!$C:$C,G$1,Despesas!$M:$M,$B989)</f>
        <v>0</v>
      </c>
      <c r="H989" s="18">
        <f>SUMIFS(Despesas!$F:$F,Despesas!$J:$J,"&lt;="&amp;$A989,Despesas!$L:$L,"&gt;="&amp;$A989,Despesas!$C:$C,H$1,Despesas!$M:$M,"Mensal")+SUMIFS(Despesas!$F:$F,Despesas!$J:$J,"&lt;="&amp;$A989,Despesas!$L:$L,"&gt;="&amp;$A989,Despesas!$C:$C,H$1,Despesas!$M:$M,$B989)</f>
        <v>0</v>
      </c>
      <c r="I989" s="18">
        <f>IF(Imóveis!$F$2="PRICE",IF(AND(Dados!$A989&gt;=Imóveis!$Q$2,Dados!$A989&lt;=Imóveis!$T$2),Imóveis!$U$2,0),IF((IF(AND(Dados!$A989&gt;=Imóveis!$Q$2,Dados!$A989&lt;=Imóveis!$T$2),Imóveis!$S$2-(DATEDIF(Imóveis!$Q$2,Dados!$A989,"m")),0))=0,0,((Imóveis!$N$2/Imóveis!$S$2)+((Imóveis!$N$2-((Imóveis!$S$2-(IF(AND(Dados!$A989&gt;=Imóveis!$Q$2,Dados!$A989&lt;=Imóveis!$T$2),Imóveis!$S$2-(DATEDIF(Imóveis!$Q$2,Dados!$A989,"m")),)))*(Imóveis!$N$2/Imóveis!$S$2)))*Imóveis!$P$2))))*IF(AND(Imóveis!$E$2&gt;0,Dados!$A989&gt;Imóveis!$E$2),0,1)</f>
        <v>0</v>
      </c>
      <c r="J989" s="18">
        <f>IF(Imóveis!$F$3="PRICE",IF(AND(Dados!$A989&gt;=Imóveis!$Q$3,Dados!$A989&lt;=Imóveis!$T$3),Imóveis!$U$3,0),IF((IF(AND(Dados!$A989&gt;=Imóveis!$Q$3,Dados!$A989&lt;=Imóveis!$T$3),Imóveis!$S$3-(DATEDIF(Imóveis!$Q$3,Dados!$A989,"m")),0))=0,0,((Imóveis!$N$3/Imóveis!$S$3)+((Imóveis!$N$3-((Imóveis!$S$3-(IF(AND(Dados!$A989&gt;=Imóveis!$Q$3,Dados!$A989&lt;=Imóveis!$T$3),Imóveis!$S$3-(DATEDIF(Imóveis!$Q$3,Dados!$A989,"m")),)))*(Imóveis!$N$3/Imóveis!$S$3)))*Imóveis!$P$3))))*IF(AND(Imóveis!$E$3&gt;0,Dados!$A989&gt;Imóveis!$E$3),0,1)</f>
        <v>0</v>
      </c>
      <c r="K989" s="18">
        <f>IF(Imóveis!$F$4="PRICE",IF(AND(Dados!$A989&gt;=Imóveis!$Q$4,Dados!$A989&lt;=Imóveis!$T$4),Imóveis!$U$4,0),IF((IF(AND(Dados!$A989&gt;=Imóveis!$Q$4,Dados!$A989&lt;=Imóveis!$T$4),Imóveis!$S$4-(DATEDIF(Imóveis!$Q$4,Dados!$A989,"m")),0))=0,0,((Imóveis!$N$4/Imóveis!$S$4)+((Imóveis!$N$4-((Imóveis!$S$4-(IF(AND(Dados!$A989&gt;=Imóveis!$Q$4,Dados!$A989&lt;=Imóveis!$T$4),Imóveis!$S$4-(DATEDIF(Imóveis!$Q$4,Dados!$A989,"m")),)))*(Imóveis!$N$4/Imóveis!$S$4)))*Imóveis!$P$4))))*IF(AND(Imóveis!$E$4&gt;0,Dados!$A989&gt;Imóveis!$E$4),0,1)</f>
        <v>0</v>
      </c>
      <c r="L989" s="18">
        <f>IF(Imóveis!$F$5="PRICE",IF(AND(Dados!$A989&gt;=Imóveis!$Q$5,Dados!$A989&lt;=Imóveis!$T$5),Imóveis!$U$5,0),IF((IF(AND(Dados!$A989&gt;=Imóveis!$Q$5,Dados!$A989&lt;=Imóveis!$T$5),Imóveis!$S$5-(DATEDIF(Imóveis!$Q$5,Dados!$A989,"m")),0))=0,0,((Imóveis!$N$5/Imóveis!$S$5)+((Imóveis!$N$5-((Imóveis!$S$5-(IF(AND(Dados!$A989 &gt;=Imóveis!$Q$5,Dados!$A989&lt;=Imóveis!$T$5),Imóveis!$S$5-(DATEDIF(Imóveis!$Q$5,Dados!$A989,"m")),)))*(Imóveis!$N$5/Imóveis!$S$5)))*Imóveis!$P$5))))*IF(AND(Imóveis!$E$5&gt;0,Dados!$A989&gt;Imóveis!$E$5),0,1)*Imóveis!$I$5</f>
        <v>0</v>
      </c>
      <c r="M989" s="18">
        <f>IF(Imóveis!$F$6="PRICE",IF(AND(Dados!$A989&gt;=Imóveis!$Q$6,Dados!$A989&lt;=Imóveis!$T$6),Imóveis!$U$6,0),IF((IF(AND(Dados!$A989&gt;=Imóveis!$Q$6,Dados!$A989&lt;=Imóveis!$T$6),Imóveis!$S$6-(DATEDIF(Imóveis!$Q$6,Dados!$A989,"m")),0))=0,0,((Imóveis!$N$6/Imóveis!$S$6)+((Imóveis!$N$6-((Imóveis!$S$6-(IF(AND(Dados!$A989&gt;=Imóveis!$Q$6,Dados!$A989&lt;=Imóveis!$T$6),Imóveis!$S$6-(DATEDIF(Imóveis!$Q$6,Dados!$A989,"m")),)))*(Imóveis!$N$6/Imóveis!$S$6)))*Imóveis!$P$6))))*IF(AND(Imóveis!$E$6&gt;0,Dados!$A989&gt;Imóveis!$E$6),0,1)*Imóveis!$I$6</f>
        <v>0</v>
      </c>
      <c r="N989" s="18">
        <f t="shared" si="125"/>
        <v>0</v>
      </c>
      <c r="O989" s="18">
        <f>SUMIFS(Receitas!$F:$F,Receitas!$J:$J,"&lt;="&amp;$A989,Receitas!$L:$L,"&gt;="&amp;$A989,Receitas!$C:$C,O$1,Receitas!$M:$M,"Mensal")+SUMIFS(Receitas!$F:$F,Receitas!$J:$J,"&lt;="&amp;$A989,Receitas!$L:$L,"&gt;="&amp;$A989,Receitas!$C:$C,O$1,Receitas!$M:$M,$B989)</f>
        <v>0</v>
      </c>
      <c r="P989" s="18">
        <f>SUMIFS(Receitas!$F:$F,Receitas!$J:$J,"&lt;="&amp;$A989,Receitas!$L:$L,"&gt;="&amp;$A989,Receitas!$C:$C,P$1,Receitas!$M:$M,"Mensal")+SUMIFS(Receitas!$F:$F,Receitas!$J:$J,"&lt;="&amp;$A989,Receitas!$L:$L,"&gt;="&amp;$A989,Receitas!$C:$C,P$1,Receitas!$M:$M,$B989)</f>
        <v>0</v>
      </c>
      <c r="Q989" s="18">
        <f>SUMIFS(Receitas!$F:$F,Receitas!$J:$J,"&lt;="&amp;$A989,Receitas!$L:$L,"&gt;="&amp;$A989,Receitas!$C:$C,Q$1,Receitas!$M:$M,"Mensal")+SUMIFS(Receitas!$F:$F,Receitas!$J:$J,"&lt;="&amp;$A989,Receitas!$L:$L,"&gt;="&amp;$A989,Receitas!$C:$C,Q$1,Receitas!$M:$M,$B989)</f>
        <v>0</v>
      </c>
      <c r="R989" s="18" cm="1">
        <f t="array" ref="R989">(IF(AND(Membros!$F$2="Sim",A989&lt;=MAX(Membros!$E$2:$E$5)),Membros!K$2,IF(AND(A989&gt;=Membros!J$2,A989&lt;=MAX(Membros!$E$2:$E$5)),Membros!K$2,0))+IF(AND(Membros!$F$3="Sim",A989&lt;=MAX(Membros!$E$2:$E$5)),Membros!K$3,IF(AND(A989&gt;=Membros!J$3,A989&lt;=MAX(Membros!$E$2:$E$5)),Membros!K$3,0)))*IF(AND(COUNTIFS(Tabela3[Tipo],"Provedor",Tabela3[Simulação Seguro],"Sim")=2,A989&gt;=MAX(IF(Tabela3[Tipo]="Dependente",Tabela3[Expectativa de Vida (Data)]))),0,1)</f>
        <v>0</v>
      </c>
      <c r="S989" s="18">
        <f t="shared" si="126"/>
        <v>0</v>
      </c>
      <c r="U989" s="18">
        <f t="shared" ca="1" si="129"/>
        <v>119034723.57907893</v>
      </c>
      <c r="V989" s="18">
        <f>SUMIF(Imóveis!E:E,Dados!A:A,Imóveis!Z:Z)-SUMIF(Imóveis!E:E,Dados!A:A,Imóveis!Y:Y)</f>
        <v>0</v>
      </c>
      <c r="W989" s="18">
        <f>-SUMIF(Projetos!N:N,A989,Projetos!F:F)</f>
        <v>0</v>
      </c>
      <c r="X989" s="18">
        <f t="shared" si="123"/>
        <v>0</v>
      </c>
      <c r="Y989" s="26">
        <f ca="1">(U989*((Indicadores_Economicos!D$2+1)^(1/12)-1))</f>
        <v>389688.71004388185</v>
      </c>
      <c r="Z989" s="18">
        <f t="shared" ca="1" si="127"/>
        <v>119424412.2891228</v>
      </c>
      <c r="AA989" s="18">
        <f ca="1">Auxiliar_Projetos!E989</f>
        <v>9.8443666133160376E-9</v>
      </c>
      <c r="AB989" s="18">
        <f ca="1">Auxiliar_Projetos!K989</f>
        <v>7.5725897025507977E-9</v>
      </c>
      <c r="AC989" s="18">
        <f ca="1">IF(Z989-AA989-AB989&gt;Investimentos!$C$14,Investimentos!$C$14,IF(Z989-AA989-AB989&lt;Investimentos!$C$14,Z989-AA989-AB989,0))</f>
        <v>300000</v>
      </c>
      <c r="AD989" s="18">
        <f t="shared" ca="1" si="128"/>
        <v>119124412.28912278</v>
      </c>
      <c r="AE989" s="18"/>
    </row>
    <row r="990" spans="1:31" x14ac:dyDescent="0.2">
      <c r="A990" s="4">
        <v>75727</v>
      </c>
      <c r="B990" s="5" t="str">
        <f t="shared" si="124"/>
        <v>maio</v>
      </c>
      <c r="C990" s="5" t="str">
        <f t="shared" si="130"/>
        <v>2107</v>
      </c>
      <c r="D990" s="5">
        <f>SUMIFS(Despesas!$F:$F,Despesas!$J:$J,"&lt;="&amp;$A990,Despesas!$L:$L,"&gt;="&amp;$A990,Despesas!$C:$C,D$1,Despesas!$M:$M,"Mensal")+SUMIFS(Despesas!$F:$F,Despesas!$J:$J,"&lt;="&amp;$A990,Despesas!$L:$L,"&gt;="&amp;$A990,Despesas!$C:$C,D$1,Despesas!$M:$M,$B990)</f>
        <v>0</v>
      </c>
      <c r="E990" s="18">
        <f>SUMIFS(Despesas!$F:$F,Despesas!$J:$J,"&lt;="&amp;$A990,Despesas!$L:$L,"&gt;="&amp;$A990,Despesas!$C:$C,E$1,Despesas!$M:$M,"Mensal")+SUMIFS(Despesas!$F:$F,Despesas!$J:$J,"&lt;="&amp;$A990,Despesas!$L:$L,"&gt;="&amp;$A990,Despesas!$C:$C,E$1,Despesas!$M:$M,$B990)</f>
        <v>0</v>
      </c>
      <c r="F990" s="5">
        <f>SUMIFS(Despesas!$F:$F,Despesas!$J:$J,"&lt;="&amp;$A990,Despesas!$L:$L,"&gt;="&amp;$A990,Despesas!$C:$C,F$1,Despesas!$M:$M,"Mensal")+SUMIFS(Despesas!$F:$F,Despesas!$J:$J,"&lt;="&amp;$A990,Despesas!$L:$L,"&gt;="&amp;$A990,Despesas!$C:$C,F$1,Despesas!$M:$M,$B990)</f>
        <v>0</v>
      </c>
      <c r="G990" s="5">
        <f>SUMIFS(Despesas!$F:$F,Despesas!$J:$J,"&lt;="&amp;$A990,Despesas!$L:$L,"&gt;="&amp;$A990,Despesas!$C:$C,G$1,Despesas!$M:$M,"Mensal")+SUMIFS(Despesas!$F:$F,Despesas!$J:$J,"&lt;="&amp;$A990,Despesas!$L:$L,"&gt;="&amp;$A990,Despesas!$C:$C,G$1,Despesas!$M:$M,$B990)</f>
        <v>0</v>
      </c>
      <c r="H990" s="18">
        <f>SUMIFS(Despesas!$F:$F,Despesas!$J:$J,"&lt;="&amp;$A990,Despesas!$L:$L,"&gt;="&amp;$A990,Despesas!$C:$C,H$1,Despesas!$M:$M,"Mensal")+SUMIFS(Despesas!$F:$F,Despesas!$J:$J,"&lt;="&amp;$A990,Despesas!$L:$L,"&gt;="&amp;$A990,Despesas!$C:$C,H$1,Despesas!$M:$M,$B990)</f>
        <v>0</v>
      </c>
      <c r="I990" s="18">
        <f>IF(Imóveis!$F$2="PRICE",IF(AND(Dados!$A990&gt;=Imóveis!$Q$2,Dados!$A990&lt;=Imóveis!$T$2),Imóveis!$U$2,0),IF((IF(AND(Dados!$A990&gt;=Imóveis!$Q$2,Dados!$A990&lt;=Imóveis!$T$2),Imóveis!$S$2-(DATEDIF(Imóveis!$Q$2,Dados!$A990,"m")),0))=0,0,((Imóveis!$N$2/Imóveis!$S$2)+((Imóveis!$N$2-((Imóveis!$S$2-(IF(AND(Dados!$A990&gt;=Imóveis!$Q$2,Dados!$A990&lt;=Imóveis!$T$2),Imóveis!$S$2-(DATEDIF(Imóveis!$Q$2,Dados!$A990,"m")),)))*(Imóveis!$N$2/Imóveis!$S$2)))*Imóveis!$P$2))))*IF(AND(Imóveis!$E$2&gt;0,Dados!$A990&gt;Imóveis!$E$2),0,1)</f>
        <v>0</v>
      </c>
      <c r="J990" s="18">
        <f>IF(Imóveis!$F$3="PRICE",IF(AND(Dados!$A990&gt;=Imóveis!$Q$3,Dados!$A990&lt;=Imóveis!$T$3),Imóveis!$U$3,0),IF((IF(AND(Dados!$A990&gt;=Imóveis!$Q$3,Dados!$A990&lt;=Imóveis!$T$3),Imóveis!$S$3-(DATEDIF(Imóveis!$Q$3,Dados!$A990,"m")),0))=0,0,((Imóveis!$N$3/Imóveis!$S$3)+((Imóveis!$N$3-((Imóveis!$S$3-(IF(AND(Dados!$A990&gt;=Imóveis!$Q$3,Dados!$A990&lt;=Imóveis!$T$3),Imóveis!$S$3-(DATEDIF(Imóveis!$Q$3,Dados!$A990,"m")),)))*(Imóveis!$N$3/Imóveis!$S$3)))*Imóveis!$P$3))))*IF(AND(Imóveis!$E$3&gt;0,Dados!$A990&gt;Imóveis!$E$3),0,1)</f>
        <v>0</v>
      </c>
      <c r="K990" s="18">
        <f>IF(Imóveis!$F$4="PRICE",IF(AND(Dados!$A990&gt;=Imóveis!$Q$4,Dados!$A990&lt;=Imóveis!$T$4),Imóveis!$U$4,0),IF((IF(AND(Dados!$A990&gt;=Imóveis!$Q$4,Dados!$A990&lt;=Imóveis!$T$4),Imóveis!$S$4-(DATEDIF(Imóveis!$Q$4,Dados!$A990,"m")),0))=0,0,((Imóveis!$N$4/Imóveis!$S$4)+((Imóveis!$N$4-((Imóveis!$S$4-(IF(AND(Dados!$A990&gt;=Imóveis!$Q$4,Dados!$A990&lt;=Imóveis!$T$4),Imóveis!$S$4-(DATEDIF(Imóveis!$Q$4,Dados!$A990,"m")),)))*(Imóveis!$N$4/Imóveis!$S$4)))*Imóveis!$P$4))))*IF(AND(Imóveis!$E$4&gt;0,Dados!$A990&gt;Imóveis!$E$4),0,1)</f>
        <v>0</v>
      </c>
      <c r="L990" s="18">
        <f>IF(Imóveis!$F$5="PRICE",IF(AND(Dados!$A990&gt;=Imóveis!$Q$5,Dados!$A990&lt;=Imóveis!$T$5),Imóveis!$U$5,0),IF((IF(AND(Dados!$A990&gt;=Imóveis!$Q$5,Dados!$A990&lt;=Imóveis!$T$5),Imóveis!$S$5-(DATEDIF(Imóveis!$Q$5,Dados!$A990,"m")),0))=0,0,((Imóveis!$N$5/Imóveis!$S$5)+((Imóveis!$N$5-((Imóveis!$S$5-(IF(AND(Dados!$A990 &gt;=Imóveis!$Q$5,Dados!$A990&lt;=Imóveis!$T$5),Imóveis!$S$5-(DATEDIF(Imóveis!$Q$5,Dados!$A990,"m")),)))*(Imóveis!$N$5/Imóveis!$S$5)))*Imóveis!$P$5))))*IF(AND(Imóveis!$E$5&gt;0,Dados!$A990&gt;Imóveis!$E$5),0,1)*Imóveis!$I$5</f>
        <v>0</v>
      </c>
      <c r="M990" s="18">
        <f>IF(Imóveis!$F$6="PRICE",IF(AND(Dados!$A990&gt;=Imóveis!$Q$6,Dados!$A990&lt;=Imóveis!$T$6),Imóveis!$U$6,0),IF((IF(AND(Dados!$A990&gt;=Imóveis!$Q$6,Dados!$A990&lt;=Imóveis!$T$6),Imóveis!$S$6-(DATEDIF(Imóveis!$Q$6,Dados!$A990,"m")),0))=0,0,((Imóveis!$N$6/Imóveis!$S$6)+((Imóveis!$N$6-((Imóveis!$S$6-(IF(AND(Dados!$A990&gt;=Imóveis!$Q$6,Dados!$A990&lt;=Imóveis!$T$6),Imóveis!$S$6-(DATEDIF(Imóveis!$Q$6,Dados!$A990,"m")),)))*(Imóveis!$N$6/Imóveis!$S$6)))*Imóveis!$P$6))))*IF(AND(Imóveis!$E$6&gt;0,Dados!$A990&gt;Imóveis!$E$6),0,1)*Imóveis!$I$6</f>
        <v>0</v>
      </c>
      <c r="N990" s="18">
        <f t="shared" si="125"/>
        <v>0</v>
      </c>
      <c r="O990" s="18">
        <f>SUMIFS(Receitas!$F:$F,Receitas!$J:$J,"&lt;="&amp;$A990,Receitas!$L:$L,"&gt;="&amp;$A990,Receitas!$C:$C,O$1,Receitas!$M:$M,"Mensal")+SUMIFS(Receitas!$F:$F,Receitas!$J:$J,"&lt;="&amp;$A990,Receitas!$L:$L,"&gt;="&amp;$A990,Receitas!$C:$C,O$1,Receitas!$M:$M,$B990)</f>
        <v>0</v>
      </c>
      <c r="P990" s="18">
        <f>SUMIFS(Receitas!$F:$F,Receitas!$J:$J,"&lt;="&amp;$A990,Receitas!$L:$L,"&gt;="&amp;$A990,Receitas!$C:$C,P$1,Receitas!$M:$M,"Mensal")+SUMIFS(Receitas!$F:$F,Receitas!$J:$J,"&lt;="&amp;$A990,Receitas!$L:$L,"&gt;="&amp;$A990,Receitas!$C:$C,P$1,Receitas!$M:$M,$B990)</f>
        <v>0</v>
      </c>
      <c r="Q990" s="18">
        <f>SUMIFS(Receitas!$F:$F,Receitas!$J:$J,"&lt;="&amp;$A990,Receitas!$L:$L,"&gt;="&amp;$A990,Receitas!$C:$C,Q$1,Receitas!$M:$M,"Mensal")+SUMIFS(Receitas!$F:$F,Receitas!$J:$J,"&lt;="&amp;$A990,Receitas!$L:$L,"&gt;="&amp;$A990,Receitas!$C:$C,Q$1,Receitas!$M:$M,$B990)</f>
        <v>0</v>
      </c>
      <c r="R990" s="18" cm="1">
        <f t="array" ref="R990">(IF(AND(Membros!$F$2="Sim",A990&lt;=MAX(Membros!$E$2:$E$5)),Membros!K$2,IF(AND(A990&gt;=Membros!J$2,A990&lt;=MAX(Membros!$E$2:$E$5)),Membros!K$2,0))+IF(AND(Membros!$F$3="Sim",A990&lt;=MAX(Membros!$E$2:$E$5)),Membros!K$3,IF(AND(A990&gt;=Membros!J$3,A990&lt;=MAX(Membros!$E$2:$E$5)),Membros!K$3,0)))*IF(AND(COUNTIFS(Tabela3[Tipo],"Provedor",Tabela3[Simulação Seguro],"Sim")=2,A990&gt;=MAX(IF(Tabela3[Tipo]="Dependente",Tabela3[Expectativa de Vida (Data)]))),0,1)</f>
        <v>0</v>
      </c>
      <c r="S990" s="18">
        <f t="shared" si="126"/>
        <v>0</v>
      </c>
      <c r="U990" s="18">
        <f t="shared" ca="1" si="129"/>
        <v>119424412.2891228</v>
      </c>
      <c r="V990" s="18">
        <f>SUMIF(Imóveis!E:E,Dados!A:A,Imóveis!Z:Z)-SUMIF(Imóveis!E:E,Dados!A:A,Imóveis!Y:Y)</f>
        <v>0</v>
      </c>
      <c r="W990" s="18">
        <f>-SUMIF(Projetos!N:N,A990,Projetos!F:F)</f>
        <v>0</v>
      </c>
      <c r="X990" s="18">
        <f t="shared" si="123"/>
        <v>0</v>
      </c>
      <c r="Y990" s="26">
        <f ca="1">(U990*((Indicadores_Economicos!D$2+1)^(1/12)-1))</f>
        <v>390964.44947662624</v>
      </c>
      <c r="Z990" s="18">
        <f t="shared" ca="1" si="127"/>
        <v>119815376.73859943</v>
      </c>
      <c r="AA990" s="18">
        <f ca="1">Auxiliar_Projetos!E990</f>
        <v>9.8765945079286018E-9</v>
      </c>
      <c r="AB990" s="18">
        <f ca="1">Auxiliar_Projetos!K990</f>
        <v>7.5973803907143076E-9</v>
      </c>
      <c r="AC990" s="18">
        <f ca="1">IF(Z990-AA990-AB990&gt;Investimentos!$C$14,Investimentos!$C$14,IF(Z990-AA990-AB990&lt;Investimentos!$C$14,Z990-AA990-AB990,0))</f>
        <v>300000</v>
      </c>
      <c r="AD990" s="18">
        <f t="shared" ca="1" si="128"/>
        <v>119515376.7385994</v>
      </c>
      <c r="AE990" s="18"/>
    </row>
    <row r="991" spans="1:31" x14ac:dyDescent="0.2">
      <c r="A991" s="4">
        <v>75758</v>
      </c>
      <c r="B991" s="5" t="str">
        <f t="shared" si="124"/>
        <v>junho</v>
      </c>
      <c r="C991" s="5" t="str">
        <f t="shared" si="130"/>
        <v>2107</v>
      </c>
      <c r="D991" s="5">
        <f>SUMIFS(Despesas!$F:$F,Despesas!$J:$J,"&lt;="&amp;$A991,Despesas!$L:$L,"&gt;="&amp;$A991,Despesas!$C:$C,D$1,Despesas!$M:$M,"Mensal")+SUMIFS(Despesas!$F:$F,Despesas!$J:$J,"&lt;="&amp;$A991,Despesas!$L:$L,"&gt;="&amp;$A991,Despesas!$C:$C,D$1,Despesas!$M:$M,$B991)</f>
        <v>0</v>
      </c>
      <c r="E991" s="18">
        <f>SUMIFS(Despesas!$F:$F,Despesas!$J:$J,"&lt;="&amp;$A991,Despesas!$L:$L,"&gt;="&amp;$A991,Despesas!$C:$C,E$1,Despesas!$M:$M,"Mensal")+SUMIFS(Despesas!$F:$F,Despesas!$J:$J,"&lt;="&amp;$A991,Despesas!$L:$L,"&gt;="&amp;$A991,Despesas!$C:$C,E$1,Despesas!$M:$M,$B991)</f>
        <v>0</v>
      </c>
      <c r="F991" s="5">
        <f>SUMIFS(Despesas!$F:$F,Despesas!$J:$J,"&lt;="&amp;$A991,Despesas!$L:$L,"&gt;="&amp;$A991,Despesas!$C:$C,F$1,Despesas!$M:$M,"Mensal")+SUMIFS(Despesas!$F:$F,Despesas!$J:$J,"&lt;="&amp;$A991,Despesas!$L:$L,"&gt;="&amp;$A991,Despesas!$C:$C,F$1,Despesas!$M:$M,$B991)</f>
        <v>0</v>
      </c>
      <c r="G991" s="5">
        <f>SUMIFS(Despesas!$F:$F,Despesas!$J:$J,"&lt;="&amp;$A991,Despesas!$L:$L,"&gt;="&amp;$A991,Despesas!$C:$C,G$1,Despesas!$M:$M,"Mensal")+SUMIFS(Despesas!$F:$F,Despesas!$J:$J,"&lt;="&amp;$A991,Despesas!$L:$L,"&gt;="&amp;$A991,Despesas!$C:$C,G$1,Despesas!$M:$M,$B991)</f>
        <v>0</v>
      </c>
      <c r="H991" s="18">
        <f>SUMIFS(Despesas!$F:$F,Despesas!$J:$J,"&lt;="&amp;$A991,Despesas!$L:$L,"&gt;="&amp;$A991,Despesas!$C:$C,H$1,Despesas!$M:$M,"Mensal")+SUMIFS(Despesas!$F:$F,Despesas!$J:$J,"&lt;="&amp;$A991,Despesas!$L:$L,"&gt;="&amp;$A991,Despesas!$C:$C,H$1,Despesas!$M:$M,$B991)</f>
        <v>0</v>
      </c>
      <c r="I991" s="18">
        <f>IF(Imóveis!$F$2="PRICE",IF(AND(Dados!$A991&gt;=Imóveis!$Q$2,Dados!$A991&lt;=Imóveis!$T$2),Imóveis!$U$2,0),IF((IF(AND(Dados!$A991&gt;=Imóveis!$Q$2,Dados!$A991&lt;=Imóveis!$T$2),Imóveis!$S$2-(DATEDIF(Imóveis!$Q$2,Dados!$A991,"m")),0))=0,0,((Imóveis!$N$2/Imóveis!$S$2)+((Imóveis!$N$2-((Imóveis!$S$2-(IF(AND(Dados!$A991&gt;=Imóveis!$Q$2,Dados!$A991&lt;=Imóveis!$T$2),Imóveis!$S$2-(DATEDIF(Imóveis!$Q$2,Dados!$A991,"m")),)))*(Imóveis!$N$2/Imóveis!$S$2)))*Imóveis!$P$2))))*IF(AND(Imóveis!$E$2&gt;0,Dados!$A991&gt;Imóveis!$E$2),0,1)</f>
        <v>0</v>
      </c>
      <c r="J991" s="18">
        <f>IF(Imóveis!$F$3="PRICE",IF(AND(Dados!$A991&gt;=Imóveis!$Q$3,Dados!$A991&lt;=Imóveis!$T$3),Imóveis!$U$3,0),IF((IF(AND(Dados!$A991&gt;=Imóveis!$Q$3,Dados!$A991&lt;=Imóveis!$T$3),Imóveis!$S$3-(DATEDIF(Imóveis!$Q$3,Dados!$A991,"m")),0))=0,0,((Imóveis!$N$3/Imóveis!$S$3)+((Imóveis!$N$3-((Imóveis!$S$3-(IF(AND(Dados!$A991&gt;=Imóveis!$Q$3,Dados!$A991&lt;=Imóveis!$T$3),Imóveis!$S$3-(DATEDIF(Imóveis!$Q$3,Dados!$A991,"m")),)))*(Imóveis!$N$3/Imóveis!$S$3)))*Imóveis!$P$3))))*IF(AND(Imóveis!$E$3&gt;0,Dados!$A991&gt;Imóveis!$E$3),0,1)</f>
        <v>0</v>
      </c>
      <c r="K991" s="18">
        <f>IF(Imóveis!$F$4="PRICE",IF(AND(Dados!$A991&gt;=Imóveis!$Q$4,Dados!$A991&lt;=Imóveis!$T$4),Imóveis!$U$4,0),IF((IF(AND(Dados!$A991&gt;=Imóveis!$Q$4,Dados!$A991&lt;=Imóveis!$T$4),Imóveis!$S$4-(DATEDIF(Imóveis!$Q$4,Dados!$A991,"m")),0))=0,0,((Imóveis!$N$4/Imóveis!$S$4)+((Imóveis!$N$4-((Imóveis!$S$4-(IF(AND(Dados!$A991&gt;=Imóveis!$Q$4,Dados!$A991&lt;=Imóveis!$T$4),Imóveis!$S$4-(DATEDIF(Imóveis!$Q$4,Dados!$A991,"m")),)))*(Imóveis!$N$4/Imóveis!$S$4)))*Imóveis!$P$4))))*IF(AND(Imóveis!$E$4&gt;0,Dados!$A991&gt;Imóveis!$E$4),0,1)</f>
        <v>0</v>
      </c>
      <c r="L991" s="18">
        <f>IF(Imóveis!$F$5="PRICE",IF(AND(Dados!$A991&gt;=Imóveis!$Q$5,Dados!$A991&lt;=Imóveis!$T$5),Imóveis!$U$5,0),IF((IF(AND(Dados!$A991&gt;=Imóveis!$Q$5,Dados!$A991&lt;=Imóveis!$T$5),Imóveis!$S$5-(DATEDIF(Imóveis!$Q$5,Dados!$A991,"m")),0))=0,0,((Imóveis!$N$5/Imóveis!$S$5)+((Imóveis!$N$5-((Imóveis!$S$5-(IF(AND(Dados!$A991 &gt;=Imóveis!$Q$5,Dados!$A991&lt;=Imóveis!$T$5),Imóveis!$S$5-(DATEDIF(Imóveis!$Q$5,Dados!$A991,"m")),)))*(Imóveis!$N$5/Imóveis!$S$5)))*Imóveis!$P$5))))*IF(AND(Imóveis!$E$5&gt;0,Dados!$A991&gt;Imóveis!$E$5),0,1)*Imóveis!$I$5</f>
        <v>0</v>
      </c>
      <c r="M991" s="18">
        <f>IF(Imóveis!$F$6="PRICE",IF(AND(Dados!$A991&gt;=Imóveis!$Q$6,Dados!$A991&lt;=Imóveis!$T$6),Imóveis!$U$6,0),IF((IF(AND(Dados!$A991&gt;=Imóveis!$Q$6,Dados!$A991&lt;=Imóveis!$T$6),Imóveis!$S$6-(DATEDIF(Imóveis!$Q$6,Dados!$A991,"m")),0))=0,0,((Imóveis!$N$6/Imóveis!$S$6)+((Imóveis!$N$6-((Imóveis!$S$6-(IF(AND(Dados!$A991&gt;=Imóveis!$Q$6,Dados!$A991&lt;=Imóveis!$T$6),Imóveis!$S$6-(DATEDIF(Imóveis!$Q$6,Dados!$A991,"m")),)))*(Imóveis!$N$6/Imóveis!$S$6)))*Imóveis!$P$6))))*IF(AND(Imóveis!$E$6&gt;0,Dados!$A991&gt;Imóveis!$E$6),0,1)*Imóveis!$I$6</f>
        <v>0</v>
      </c>
      <c r="N991" s="18">
        <f t="shared" si="125"/>
        <v>0</v>
      </c>
      <c r="O991" s="18">
        <f>SUMIFS(Receitas!$F:$F,Receitas!$J:$J,"&lt;="&amp;$A991,Receitas!$L:$L,"&gt;="&amp;$A991,Receitas!$C:$C,O$1,Receitas!$M:$M,"Mensal")+SUMIFS(Receitas!$F:$F,Receitas!$J:$J,"&lt;="&amp;$A991,Receitas!$L:$L,"&gt;="&amp;$A991,Receitas!$C:$C,O$1,Receitas!$M:$M,$B991)</f>
        <v>0</v>
      </c>
      <c r="P991" s="18">
        <f>SUMIFS(Receitas!$F:$F,Receitas!$J:$J,"&lt;="&amp;$A991,Receitas!$L:$L,"&gt;="&amp;$A991,Receitas!$C:$C,P$1,Receitas!$M:$M,"Mensal")+SUMIFS(Receitas!$F:$F,Receitas!$J:$J,"&lt;="&amp;$A991,Receitas!$L:$L,"&gt;="&amp;$A991,Receitas!$C:$C,P$1,Receitas!$M:$M,$B991)</f>
        <v>0</v>
      </c>
      <c r="Q991" s="18">
        <f>SUMIFS(Receitas!$F:$F,Receitas!$J:$J,"&lt;="&amp;$A991,Receitas!$L:$L,"&gt;="&amp;$A991,Receitas!$C:$C,Q$1,Receitas!$M:$M,"Mensal")+SUMIFS(Receitas!$F:$F,Receitas!$J:$J,"&lt;="&amp;$A991,Receitas!$L:$L,"&gt;="&amp;$A991,Receitas!$C:$C,Q$1,Receitas!$M:$M,$B991)</f>
        <v>0</v>
      </c>
      <c r="R991" s="18" cm="1">
        <f t="array" ref="R991">(IF(AND(Membros!$F$2="Sim",A991&lt;=MAX(Membros!$E$2:$E$5)),Membros!K$2,IF(AND(A991&gt;=Membros!J$2,A991&lt;=MAX(Membros!$E$2:$E$5)),Membros!K$2,0))+IF(AND(Membros!$F$3="Sim",A991&lt;=MAX(Membros!$E$2:$E$5)),Membros!K$3,IF(AND(A991&gt;=Membros!J$3,A991&lt;=MAX(Membros!$E$2:$E$5)),Membros!K$3,0)))*IF(AND(COUNTIFS(Tabela3[Tipo],"Provedor",Tabela3[Simulação Seguro],"Sim")=2,A991&gt;=MAX(IF(Tabela3[Tipo]="Dependente",Tabela3[Expectativa de Vida (Data)]))),0,1)</f>
        <v>0</v>
      </c>
      <c r="S991" s="18">
        <f t="shared" si="126"/>
        <v>0</v>
      </c>
      <c r="U991" s="18">
        <f t="shared" ca="1" si="129"/>
        <v>119815376.73859943</v>
      </c>
      <c r="V991" s="18">
        <f>SUMIF(Imóveis!E:E,Dados!A:A,Imóveis!Z:Z)-SUMIF(Imóveis!E:E,Dados!A:A,Imóveis!Y:Y)</f>
        <v>0</v>
      </c>
      <c r="W991" s="18">
        <f>-SUMIF(Projetos!N:N,A991,Projetos!F:F)</f>
        <v>0</v>
      </c>
      <c r="X991" s="18">
        <f t="shared" si="123"/>
        <v>0</v>
      </c>
      <c r="Y991" s="26">
        <f ca="1">(U991*((Indicadores_Economicos!D$2+1)^(1/12)-1))</f>
        <v>392244.3653483034</v>
      </c>
      <c r="Z991" s="18">
        <f t="shared" ca="1" si="127"/>
        <v>120207621.10394774</v>
      </c>
      <c r="AA991" s="18">
        <f ca="1">Auxiliar_Projetos!E991</f>
        <v>9.9089279082818545E-9</v>
      </c>
      <c r="AB991" s="18">
        <f ca="1">Auxiliar_Projetos!K991</f>
        <v>7.6222522371398864E-9</v>
      </c>
      <c r="AC991" s="18">
        <f ca="1">IF(Z991-AA991-AB991&gt;Investimentos!$C$14,Investimentos!$C$14,IF(Z991-AA991-AB991&lt;Investimentos!$C$14,Z991-AA991-AB991,0))</f>
        <v>300000</v>
      </c>
      <c r="AD991" s="18">
        <f t="shared" ca="1" si="128"/>
        <v>119907621.10394771</v>
      </c>
      <c r="AE991" s="18"/>
    </row>
    <row r="992" spans="1:31" x14ac:dyDescent="0.2">
      <c r="A992" s="4">
        <v>75788</v>
      </c>
      <c r="B992" s="5" t="str">
        <f t="shared" si="124"/>
        <v>julho</v>
      </c>
      <c r="C992" s="5" t="str">
        <f t="shared" si="130"/>
        <v>2107</v>
      </c>
      <c r="D992" s="5">
        <f>SUMIFS(Despesas!$F:$F,Despesas!$J:$J,"&lt;="&amp;$A992,Despesas!$L:$L,"&gt;="&amp;$A992,Despesas!$C:$C,D$1,Despesas!$M:$M,"Mensal")+SUMIFS(Despesas!$F:$F,Despesas!$J:$J,"&lt;="&amp;$A992,Despesas!$L:$L,"&gt;="&amp;$A992,Despesas!$C:$C,D$1,Despesas!$M:$M,$B992)</f>
        <v>0</v>
      </c>
      <c r="E992" s="18">
        <f>SUMIFS(Despesas!$F:$F,Despesas!$J:$J,"&lt;="&amp;$A992,Despesas!$L:$L,"&gt;="&amp;$A992,Despesas!$C:$C,E$1,Despesas!$M:$M,"Mensal")+SUMIFS(Despesas!$F:$F,Despesas!$J:$J,"&lt;="&amp;$A992,Despesas!$L:$L,"&gt;="&amp;$A992,Despesas!$C:$C,E$1,Despesas!$M:$M,$B992)</f>
        <v>0</v>
      </c>
      <c r="F992" s="5">
        <f>SUMIFS(Despesas!$F:$F,Despesas!$J:$J,"&lt;="&amp;$A992,Despesas!$L:$L,"&gt;="&amp;$A992,Despesas!$C:$C,F$1,Despesas!$M:$M,"Mensal")+SUMIFS(Despesas!$F:$F,Despesas!$J:$J,"&lt;="&amp;$A992,Despesas!$L:$L,"&gt;="&amp;$A992,Despesas!$C:$C,F$1,Despesas!$M:$M,$B992)</f>
        <v>0</v>
      </c>
      <c r="G992" s="5">
        <f>SUMIFS(Despesas!$F:$F,Despesas!$J:$J,"&lt;="&amp;$A992,Despesas!$L:$L,"&gt;="&amp;$A992,Despesas!$C:$C,G$1,Despesas!$M:$M,"Mensal")+SUMIFS(Despesas!$F:$F,Despesas!$J:$J,"&lt;="&amp;$A992,Despesas!$L:$L,"&gt;="&amp;$A992,Despesas!$C:$C,G$1,Despesas!$M:$M,$B992)</f>
        <v>0</v>
      </c>
      <c r="H992" s="18">
        <f>SUMIFS(Despesas!$F:$F,Despesas!$J:$J,"&lt;="&amp;$A992,Despesas!$L:$L,"&gt;="&amp;$A992,Despesas!$C:$C,H$1,Despesas!$M:$M,"Mensal")+SUMIFS(Despesas!$F:$F,Despesas!$J:$J,"&lt;="&amp;$A992,Despesas!$L:$L,"&gt;="&amp;$A992,Despesas!$C:$C,H$1,Despesas!$M:$M,$B992)</f>
        <v>0</v>
      </c>
      <c r="I992" s="18">
        <f>IF(Imóveis!$F$2="PRICE",IF(AND(Dados!$A992&gt;=Imóveis!$Q$2,Dados!$A992&lt;=Imóveis!$T$2),Imóveis!$U$2,0),IF((IF(AND(Dados!$A992&gt;=Imóveis!$Q$2,Dados!$A992&lt;=Imóveis!$T$2),Imóveis!$S$2-(DATEDIF(Imóveis!$Q$2,Dados!$A992,"m")),0))=0,0,((Imóveis!$N$2/Imóveis!$S$2)+((Imóveis!$N$2-((Imóveis!$S$2-(IF(AND(Dados!$A992&gt;=Imóveis!$Q$2,Dados!$A992&lt;=Imóveis!$T$2),Imóveis!$S$2-(DATEDIF(Imóveis!$Q$2,Dados!$A992,"m")),)))*(Imóveis!$N$2/Imóveis!$S$2)))*Imóveis!$P$2))))*IF(AND(Imóveis!$E$2&gt;0,Dados!$A992&gt;Imóveis!$E$2),0,1)</f>
        <v>0</v>
      </c>
      <c r="J992" s="18">
        <f>IF(Imóveis!$F$3="PRICE",IF(AND(Dados!$A992&gt;=Imóveis!$Q$3,Dados!$A992&lt;=Imóveis!$T$3),Imóveis!$U$3,0),IF((IF(AND(Dados!$A992&gt;=Imóveis!$Q$3,Dados!$A992&lt;=Imóveis!$T$3),Imóveis!$S$3-(DATEDIF(Imóveis!$Q$3,Dados!$A992,"m")),0))=0,0,((Imóveis!$N$3/Imóveis!$S$3)+((Imóveis!$N$3-((Imóveis!$S$3-(IF(AND(Dados!$A992&gt;=Imóveis!$Q$3,Dados!$A992&lt;=Imóveis!$T$3),Imóveis!$S$3-(DATEDIF(Imóveis!$Q$3,Dados!$A992,"m")),)))*(Imóveis!$N$3/Imóveis!$S$3)))*Imóveis!$P$3))))*IF(AND(Imóveis!$E$3&gt;0,Dados!$A992&gt;Imóveis!$E$3),0,1)</f>
        <v>0</v>
      </c>
      <c r="K992" s="18">
        <f>IF(Imóveis!$F$4="PRICE",IF(AND(Dados!$A992&gt;=Imóveis!$Q$4,Dados!$A992&lt;=Imóveis!$T$4),Imóveis!$U$4,0),IF((IF(AND(Dados!$A992&gt;=Imóveis!$Q$4,Dados!$A992&lt;=Imóveis!$T$4),Imóveis!$S$4-(DATEDIF(Imóveis!$Q$4,Dados!$A992,"m")),0))=0,0,((Imóveis!$N$4/Imóveis!$S$4)+((Imóveis!$N$4-((Imóveis!$S$4-(IF(AND(Dados!$A992&gt;=Imóveis!$Q$4,Dados!$A992&lt;=Imóveis!$T$4),Imóveis!$S$4-(DATEDIF(Imóveis!$Q$4,Dados!$A992,"m")),)))*(Imóveis!$N$4/Imóveis!$S$4)))*Imóveis!$P$4))))*IF(AND(Imóveis!$E$4&gt;0,Dados!$A992&gt;Imóveis!$E$4),0,1)</f>
        <v>0</v>
      </c>
      <c r="L992" s="18">
        <f>IF(Imóveis!$F$5="PRICE",IF(AND(Dados!$A992&gt;=Imóveis!$Q$5,Dados!$A992&lt;=Imóveis!$T$5),Imóveis!$U$5,0),IF((IF(AND(Dados!$A992&gt;=Imóveis!$Q$5,Dados!$A992&lt;=Imóveis!$T$5),Imóveis!$S$5-(DATEDIF(Imóveis!$Q$5,Dados!$A992,"m")),0))=0,0,((Imóveis!$N$5/Imóveis!$S$5)+((Imóveis!$N$5-((Imóveis!$S$5-(IF(AND(Dados!$A992 &gt;=Imóveis!$Q$5,Dados!$A992&lt;=Imóveis!$T$5),Imóveis!$S$5-(DATEDIF(Imóveis!$Q$5,Dados!$A992,"m")),)))*(Imóveis!$N$5/Imóveis!$S$5)))*Imóveis!$P$5))))*IF(AND(Imóveis!$E$5&gt;0,Dados!$A992&gt;Imóveis!$E$5),0,1)*Imóveis!$I$5</f>
        <v>0</v>
      </c>
      <c r="M992" s="18">
        <f>IF(Imóveis!$F$6="PRICE",IF(AND(Dados!$A992&gt;=Imóveis!$Q$6,Dados!$A992&lt;=Imóveis!$T$6),Imóveis!$U$6,0),IF((IF(AND(Dados!$A992&gt;=Imóveis!$Q$6,Dados!$A992&lt;=Imóveis!$T$6),Imóveis!$S$6-(DATEDIF(Imóveis!$Q$6,Dados!$A992,"m")),0))=0,0,((Imóveis!$N$6/Imóveis!$S$6)+((Imóveis!$N$6-((Imóveis!$S$6-(IF(AND(Dados!$A992&gt;=Imóveis!$Q$6,Dados!$A992&lt;=Imóveis!$T$6),Imóveis!$S$6-(DATEDIF(Imóveis!$Q$6,Dados!$A992,"m")),)))*(Imóveis!$N$6/Imóveis!$S$6)))*Imóveis!$P$6))))*IF(AND(Imóveis!$E$6&gt;0,Dados!$A992&gt;Imóveis!$E$6),0,1)*Imóveis!$I$6</f>
        <v>0</v>
      </c>
      <c r="N992" s="18">
        <f t="shared" si="125"/>
        <v>0</v>
      </c>
      <c r="O992" s="18">
        <f>SUMIFS(Receitas!$F:$F,Receitas!$J:$J,"&lt;="&amp;$A992,Receitas!$L:$L,"&gt;="&amp;$A992,Receitas!$C:$C,O$1,Receitas!$M:$M,"Mensal")+SUMIFS(Receitas!$F:$F,Receitas!$J:$J,"&lt;="&amp;$A992,Receitas!$L:$L,"&gt;="&amp;$A992,Receitas!$C:$C,O$1,Receitas!$M:$M,$B992)</f>
        <v>0</v>
      </c>
      <c r="P992" s="18">
        <f>SUMIFS(Receitas!$F:$F,Receitas!$J:$J,"&lt;="&amp;$A992,Receitas!$L:$L,"&gt;="&amp;$A992,Receitas!$C:$C,P$1,Receitas!$M:$M,"Mensal")+SUMIFS(Receitas!$F:$F,Receitas!$J:$J,"&lt;="&amp;$A992,Receitas!$L:$L,"&gt;="&amp;$A992,Receitas!$C:$C,P$1,Receitas!$M:$M,$B992)</f>
        <v>0</v>
      </c>
      <c r="Q992" s="18">
        <f>SUMIFS(Receitas!$F:$F,Receitas!$J:$J,"&lt;="&amp;$A992,Receitas!$L:$L,"&gt;="&amp;$A992,Receitas!$C:$C,Q$1,Receitas!$M:$M,"Mensal")+SUMIFS(Receitas!$F:$F,Receitas!$J:$J,"&lt;="&amp;$A992,Receitas!$L:$L,"&gt;="&amp;$A992,Receitas!$C:$C,Q$1,Receitas!$M:$M,$B992)</f>
        <v>0</v>
      </c>
      <c r="R992" s="18" cm="1">
        <f t="array" ref="R992">(IF(AND(Membros!$F$2="Sim",A992&lt;=MAX(Membros!$E$2:$E$5)),Membros!K$2,IF(AND(A992&gt;=Membros!J$2,A992&lt;=MAX(Membros!$E$2:$E$5)),Membros!K$2,0))+IF(AND(Membros!$F$3="Sim",A992&lt;=MAX(Membros!$E$2:$E$5)),Membros!K$3,IF(AND(A992&gt;=Membros!J$3,A992&lt;=MAX(Membros!$E$2:$E$5)),Membros!K$3,0)))*IF(AND(COUNTIFS(Tabela3[Tipo],"Provedor",Tabela3[Simulação Seguro],"Sim")=2,A992&gt;=MAX(IF(Tabela3[Tipo]="Dependente",Tabela3[Expectativa de Vida (Data)]))),0,1)</f>
        <v>0</v>
      </c>
      <c r="S992" s="18">
        <f t="shared" si="126"/>
        <v>0</v>
      </c>
      <c r="U992" s="18">
        <f t="shared" ca="1" si="129"/>
        <v>120207621.10394774</v>
      </c>
      <c r="V992" s="18">
        <f>SUMIF(Imóveis!E:E,Dados!A:A,Imóveis!Z:Z)-SUMIF(Imóveis!E:E,Dados!A:A,Imóveis!Y:Y)</f>
        <v>0</v>
      </c>
      <c r="W992" s="18">
        <f>-SUMIF(Projetos!N:N,A992,Projetos!F:F)</f>
        <v>0</v>
      </c>
      <c r="X992" s="18">
        <f t="shared" si="123"/>
        <v>0</v>
      </c>
      <c r="Y992" s="26">
        <f ca="1">(U992*((Indicadores_Economicos!D$2+1)^(1/12)-1))</f>
        <v>393528.47133148753</v>
      </c>
      <c r="Z992" s="18">
        <f t="shared" ca="1" si="127"/>
        <v>120601149.57527924</v>
      </c>
      <c r="AA992" s="18">
        <f ca="1">Auxiliar_Projetos!E992</f>
        <v>9.9413671597741381E-9</v>
      </c>
      <c r="AB992" s="18">
        <f ca="1">Auxiliar_Projetos!K992</f>
        <v>7.6472055075185654E-9</v>
      </c>
      <c r="AC992" s="18">
        <f ca="1">IF(Z992-AA992-AB992&gt;Investimentos!$C$14,Investimentos!$C$14,IF(Z992-AA992-AB992&lt;Investimentos!$C$14,Z992-AA992-AB992,0))</f>
        <v>300000</v>
      </c>
      <c r="AD992" s="18">
        <f t="shared" ca="1" si="128"/>
        <v>120301149.57527921</v>
      </c>
      <c r="AE992" s="18"/>
    </row>
    <row r="993" spans="1:31" x14ac:dyDescent="0.2">
      <c r="A993" s="4">
        <v>75819</v>
      </c>
      <c r="B993" s="5" t="str">
        <f t="shared" si="124"/>
        <v>agosto</v>
      </c>
      <c r="C993" s="5" t="str">
        <f t="shared" si="130"/>
        <v>2107</v>
      </c>
      <c r="D993" s="5">
        <f>SUMIFS(Despesas!$F:$F,Despesas!$J:$J,"&lt;="&amp;$A993,Despesas!$L:$L,"&gt;="&amp;$A993,Despesas!$C:$C,D$1,Despesas!$M:$M,"Mensal")+SUMIFS(Despesas!$F:$F,Despesas!$J:$J,"&lt;="&amp;$A993,Despesas!$L:$L,"&gt;="&amp;$A993,Despesas!$C:$C,D$1,Despesas!$M:$M,$B993)</f>
        <v>0</v>
      </c>
      <c r="E993" s="18">
        <f>SUMIFS(Despesas!$F:$F,Despesas!$J:$J,"&lt;="&amp;$A993,Despesas!$L:$L,"&gt;="&amp;$A993,Despesas!$C:$C,E$1,Despesas!$M:$M,"Mensal")+SUMIFS(Despesas!$F:$F,Despesas!$J:$J,"&lt;="&amp;$A993,Despesas!$L:$L,"&gt;="&amp;$A993,Despesas!$C:$C,E$1,Despesas!$M:$M,$B993)</f>
        <v>0</v>
      </c>
      <c r="F993" s="5">
        <f>SUMIFS(Despesas!$F:$F,Despesas!$J:$J,"&lt;="&amp;$A993,Despesas!$L:$L,"&gt;="&amp;$A993,Despesas!$C:$C,F$1,Despesas!$M:$M,"Mensal")+SUMIFS(Despesas!$F:$F,Despesas!$J:$J,"&lt;="&amp;$A993,Despesas!$L:$L,"&gt;="&amp;$A993,Despesas!$C:$C,F$1,Despesas!$M:$M,$B993)</f>
        <v>0</v>
      </c>
      <c r="G993" s="5">
        <f>SUMIFS(Despesas!$F:$F,Despesas!$J:$J,"&lt;="&amp;$A993,Despesas!$L:$L,"&gt;="&amp;$A993,Despesas!$C:$C,G$1,Despesas!$M:$M,"Mensal")+SUMIFS(Despesas!$F:$F,Despesas!$J:$J,"&lt;="&amp;$A993,Despesas!$L:$L,"&gt;="&amp;$A993,Despesas!$C:$C,G$1,Despesas!$M:$M,$B993)</f>
        <v>0</v>
      </c>
      <c r="H993" s="18">
        <f>SUMIFS(Despesas!$F:$F,Despesas!$J:$J,"&lt;="&amp;$A993,Despesas!$L:$L,"&gt;="&amp;$A993,Despesas!$C:$C,H$1,Despesas!$M:$M,"Mensal")+SUMIFS(Despesas!$F:$F,Despesas!$J:$J,"&lt;="&amp;$A993,Despesas!$L:$L,"&gt;="&amp;$A993,Despesas!$C:$C,H$1,Despesas!$M:$M,$B993)</f>
        <v>0</v>
      </c>
      <c r="I993" s="18">
        <f>IF(Imóveis!$F$2="PRICE",IF(AND(Dados!$A993&gt;=Imóveis!$Q$2,Dados!$A993&lt;=Imóveis!$T$2),Imóveis!$U$2,0),IF((IF(AND(Dados!$A993&gt;=Imóveis!$Q$2,Dados!$A993&lt;=Imóveis!$T$2),Imóveis!$S$2-(DATEDIF(Imóveis!$Q$2,Dados!$A993,"m")),0))=0,0,((Imóveis!$N$2/Imóveis!$S$2)+((Imóveis!$N$2-((Imóveis!$S$2-(IF(AND(Dados!$A993&gt;=Imóveis!$Q$2,Dados!$A993&lt;=Imóveis!$T$2),Imóveis!$S$2-(DATEDIF(Imóveis!$Q$2,Dados!$A993,"m")),)))*(Imóveis!$N$2/Imóveis!$S$2)))*Imóveis!$P$2))))*IF(AND(Imóveis!$E$2&gt;0,Dados!$A993&gt;Imóveis!$E$2),0,1)</f>
        <v>0</v>
      </c>
      <c r="J993" s="18">
        <f>IF(Imóveis!$F$3="PRICE",IF(AND(Dados!$A993&gt;=Imóveis!$Q$3,Dados!$A993&lt;=Imóveis!$T$3),Imóveis!$U$3,0),IF((IF(AND(Dados!$A993&gt;=Imóveis!$Q$3,Dados!$A993&lt;=Imóveis!$T$3),Imóveis!$S$3-(DATEDIF(Imóveis!$Q$3,Dados!$A993,"m")),0))=0,0,((Imóveis!$N$3/Imóveis!$S$3)+((Imóveis!$N$3-((Imóveis!$S$3-(IF(AND(Dados!$A993&gt;=Imóveis!$Q$3,Dados!$A993&lt;=Imóveis!$T$3),Imóveis!$S$3-(DATEDIF(Imóveis!$Q$3,Dados!$A993,"m")),)))*(Imóveis!$N$3/Imóveis!$S$3)))*Imóveis!$P$3))))*IF(AND(Imóveis!$E$3&gt;0,Dados!$A993&gt;Imóveis!$E$3),0,1)</f>
        <v>0</v>
      </c>
      <c r="K993" s="18">
        <f>IF(Imóveis!$F$4="PRICE",IF(AND(Dados!$A993&gt;=Imóveis!$Q$4,Dados!$A993&lt;=Imóveis!$T$4),Imóveis!$U$4,0),IF((IF(AND(Dados!$A993&gt;=Imóveis!$Q$4,Dados!$A993&lt;=Imóveis!$T$4),Imóveis!$S$4-(DATEDIF(Imóveis!$Q$4,Dados!$A993,"m")),0))=0,0,((Imóveis!$N$4/Imóveis!$S$4)+((Imóveis!$N$4-((Imóveis!$S$4-(IF(AND(Dados!$A993&gt;=Imóveis!$Q$4,Dados!$A993&lt;=Imóveis!$T$4),Imóveis!$S$4-(DATEDIF(Imóveis!$Q$4,Dados!$A993,"m")),)))*(Imóveis!$N$4/Imóveis!$S$4)))*Imóveis!$P$4))))*IF(AND(Imóveis!$E$4&gt;0,Dados!$A993&gt;Imóveis!$E$4),0,1)</f>
        <v>0</v>
      </c>
      <c r="L993" s="18">
        <f>IF(Imóveis!$F$5="PRICE",IF(AND(Dados!$A993&gt;=Imóveis!$Q$5,Dados!$A993&lt;=Imóveis!$T$5),Imóveis!$U$5,0),IF((IF(AND(Dados!$A993&gt;=Imóveis!$Q$5,Dados!$A993&lt;=Imóveis!$T$5),Imóveis!$S$5-(DATEDIF(Imóveis!$Q$5,Dados!$A993,"m")),0))=0,0,((Imóveis!$N$5/Imóveis!$S$5)+((Imóveis!$N$5-((Imóveis!$S$5-(IF(AND(Dados!$A993 &gt;=Imóveis!$Q$5,Dados!$A993&lt;=Imóveis!$T$5),Imóveis!$S$5-(DATEDIF(Imóveis!$Q$5,Dados!$A993,"m")),)))*(Imóveis!$N$5/Imóveis!$S$5)))*Imóveis!$P$5))))*IF(AND(Imóveis!$E$5&gt;0,Dados!$A993&gt;Imóveis!$E$5),0,1)*Imóveis!$I$5</f>
        <v>0</v>
      </c>
      <c r="M993" s="18">
        <f>IF(Imóveis!$F$6="PRICE",IF(AND(Dados!$A993&gt;=Imóveis!$Q$6,Dados!$A993&lt;=Imóveis!$T$6),Imóveis!$U$6,0),IF((IF(AND(Dados!$A993&gt;=Imóveis!$Q$6,Dados!$A993&lt;=Imóveis!$T$6),Imóveis!$S$6-(DATEDIF(Imóveis!$Q$6,Dados!$A993,"m")),0))=0,0,((Imóveis!$N$6/Imóveis!$S$6)+((Imóveis!$N$6-((Imóveis!$S$6-(IF(AND(Dados!$A993&gt;=Imóveis!$Q$6,Dados!$A993&lt;=Imóveis!$T$6),Imóveis!$S$6-(DATEDIF(Imóveis!$Q$6,Dados!$A993,"m")),)))*(Imóveis!$N$6/Imóveis!$S$6)))*Imóveis!$P$6))))*IF(AND(Imóveis!$E$6&gt;0,Dados!$A993&gt;Imóveis!$E$6),0,1)*Imóveis!$I$6</f>
        <v>0</v>
      </c>
      <c r="N993" s="18">
        <f t="shared" si="125"/>
        <v>0</v>
      </c>
      <c r="O993" s="18">
        <f>SUMIFS(Receitas!$F:$F,Receitas!$J:$J,"&lt;="&amp;$A993,Receitas!$L:$L,"&gt;="&amp;$A993,Receitas!$C:$C,O$1,Receitas!$M:$M,"Mensal")+SUMIFS(Receitas!$F:$F,Receitas!$J:$J,"&lt;="&amp;$A993,Receitas!$L:$L,"&gt;="&amp;$A993,Receitas!$C:$C,O$1,Receitas!$M:$M,$B993)</f>
        <v>0</v>
      </c>
      <c r="P993" s="18">
        <f>SUMIFS(Receitas!$F:$F,Receitas!$J:$J,"&lt;="&amp;$A993,Receitas!$L:$L,"&gt;="&amp;$A993,Receitas!$C:$C,P$1,Receitas!$M:$M,"Mensal")+SUMIFS(Receitas!$F:$F,Receitas!$J:$J,"&lt;="&amp;$A993,Receitas!$L:$L,"&gt;="&amp;$A993,Receitas!$C:$C,P$1,Receitas!$M:$M,$B993)</f>
        <v>0</v>
      </c>
      <c r="Q993" s="18">
        <f>SUMIFS(Receitas!$F:$F,Receitas!$J:$J,"&lt;="&amp;$A993,Receitas!$L:$L,"&gt;="&amp;$A993,Receitas!$C:$C,Q$1,Receitas!$M:$M,"Mensal")+SUMIFS(Receitas!$F:$F,Receitas!$J:$J,"&lt;="&amp;$A993,Receitas!$L:$L,"&gt;="&amp;$A993,Receitas!$C:$C,Q$1,Receitas!$M:$M,$B993)</f>
        <v>0</v>
      </c>
      <c r="R993" s="18" cm="1">
        <f t="array" ref="R993">(IF(AND(Membros!$F$2="Sim",A993&lt;=MAX(Membros!$E$2:$E$5)),Membros!K$2,IF(AND(A993&gt;=Membros!J$2,A993&lt;=MAX(Membros!$E$2:$E$5)),Membros!K$2,0))+IF(AND(Membros!$F$3="Sim",A993&lt;=MAX(Membros!$E$2:$E$5)),Membros!K$3,IF(AND(A993&gt;=Membros!J$3,A993&lt;=MAX(Membros!$E$2:$E$5)),Membros!K$3,0)))*IF(AND(COUNTIFS(Tabela3[Tipo],"Provedor",Tabela3[Simulação Seguro],"Sim")=2,A993&gt;=MAX(IF(Tabela3[Tipo]="Dependente",Tabela3[Expectativa de Vida (Data)]))),0,1)</f>
        <v>0</v>
      </c>
      <c r="S993" s="18">
        <f t="shared" si="126"/>
        <v>0</v>
      </c>
      <c r="U993" s="18">
        <f t="shared" ca="1" si="129"/>
        <v>120601149.57527924</v>
      </c>
      <c r="V993" s="18">
        <f>SUMIF(Imóveis!E:E,Dados!A:A,Imóveis!Z:Z)-SUMIF(Imóveis!E:E,Dados!A:A,Imóveis!Y:Y)</f>
        <v>0</v>
      </c>
      <c r="W993" s="18">
        <f>-SUMIF(Projetos!N:N,A993,Projetos!F:F)</f>
        <v>0</v>
      </c>
      <c r="X993" s="18">
        <f t="shared" si="123"/>
        <v>0</v>
      </c>
      <c r="Y993" s="26">
        <f ca="1">(U993*((Indicadores_Economicos!D$2+1)^(1/12)-1))</f>
        <v>394816.78114351333</v>
      </c>
      <c r="Z993" s="18">
        <f t="shared" ca="1" si="127"/>
        <v>120995966.35642275</v>
      </c>
      <c r="AA993" s="18">
        <f ca="1">Auxiliar_Projetos!E993</f>
        <v>9.9739126089345357E-9</v>
      </c>
      <c r="AB993" s="18">
        <f ca="1">Auxiliar_Projetos!K993</f>
        <v>7.6722404684111798E-9</v>
      </c>
      <c r="AC993" s="18">
        <f ca="1">IF(Z993-AA993-AB993&gt;Investimentos!$C$14,Investimentos!$C$14,IF(Z993-AA993-AB993&lt;Investimentos!$C$14,Z993-AA993-AB993,0))</f>
        <v>300000</v>
      </c>
      <c r="AD993" s="18">
        <f t="shared" ca="1" si="128"/>
        <v>120695966.35642272</v>
      </c>
      <c r="AE993" s="18"/>
    </row>
    <row r="994" spans="1:31" x14ac:dyDescent="0.2">
      <c r="A994" s="4">
        <v>75850</v>
      </c>
      <c r="B994" s="5" t="str">
        <f t="shared" si="124"/>
        <v>setembro</v>
      </c>
      <c r="C994" s="5" t="str">
        <f t="shared" si="130"/>
        <v>2107</v>
      </c>
      <c r="D994" s="5">
        <f>SUMIFS(Despesas!$F:$F,Despesas!$J:$J,"&lt;="&amp;$A994,Despesas!$L:$L,"&gt;="&amp;$A994,Despesas!$C:$C,D$1,Despesas!$M:$M,"Mensal")+SUMIFS(Despesas!$F:$F,Despesas!$J:$J,"&lt;="&amp;$A994,Despesas!$L:$L,"&gt;="&amp;$A994,Despesas!$C:$C,D$1,Despesas!$M:$M,$B994)</f>
        <v>0</v>
      </c>
      <c r="E994" s="18">
        <f>SUMIFS(Despesas!$F:$F,Despesas!$J:$J,"&lt;="&amp;$A994,Despesas!$L:$L,"&gt;="&amp;$A994,Despesas!$C:$C,E$1,Despesas!$M:$M,"Mensal")+SUMIFS(Despesas!$F:$F,Despesas!$J:$J,"&lt;="&amp;$A994,Despesas!$L:$L,"&gt;="&amp;$A994,Despesas!$C:$C,E$1,Despesas!$M:$M,$B994)</f>
        <v>0</v>
      </c>
      <c r="F994" s="5">
        <f>SUMIFS(Despesas!$F:$F,Despesas!$J:$J,"&lt;="&amp;$A994,Despesas!$L:$L,"&gt;="&amp;$A994,Despesas!$C:$C,F$1,Despesas!$M:$M,"Mensal")+SUMIFS(Despesas!$F:$F,Despesas!$J:$J,"&lt;="&amp;$A994,Despesas!$L:$L,"&gt;="&amp;$A994,Despesas!$C:$C,F$1,Despesas!$M:$M,$B994)</f>
        <v>0</v>
      </c>
      <c r="G994" s="5">
        <f>SUMIFS(Despesas!$F:$F,Despesas!$J:$J,"&lt;="&amp;$A994,Despesas!$L:$L,"&gt;="&amp;$A994,Despesas!$C:$C,G$1,Despesas!$M:$M,"Mensal")+SUMIFS(Despesas!$F:$F,Despesas!$J:$J,"&lt;="&amp;$A994,Despesas!$L:$L,"&gt;="&amp;$A994,Despesas!$C:$C,G$1,Despesas!$M:$M,$B994)</f>
        <v>0</v>
      </c>
      <c r="H994" s="18">
        <f>SUMIFS(Despesas!$F:$F,Despesas!$J:$J,"&lt;="&amp;$A994,Despesas!$L:$L,"&gt;="&amp;$A994,Despesas!$C:$C,H$1,Despesas!$M:$M,"Mensal")+SUMIFS(Despesas!$F:$F,Despesas!$J:$J,"&lt;="&amp;$A994,Despesas!$L:$L,"&gt;="&amp;$A994,Despesas!$C:$C,H$1,Despesas!$M:$M,$B994)</f>
        <v>0</v>
      </c>
      <c r="I994" s="18">
        <f>IF(Imóveis!$F$2="PRICE",IF(AND(Dados!$A994&gt;=Imóveis!$Q$2,Dados!$A994&lt;=Imóveis!$T$2),Imóveis!$U$2,0),IF((IF(AND(Dados!$A994&gt;=Imóveis!$Q$2,Dados!$A994&lt;=Imóveis!$T$2),Imóveis!$S$2-(DATEDIF(Imóveis!$Q$2,Dados!$A994,"m")),0))=0,0,((Imóveis!$N$2/Imóveis!$S$2)+((Imóveis!$N$2-((Imóveis!$S$2-(IF(AND(Dados!$A994&gt;=Imóveis!$Q$2,Dados!$A994&lt;=Imóveis!$T$2),Imóveis!$S$2-(DATEDIF(Imóveis!$Q$2,Dados!$A994,"m")),)))*(Imóveis!$N$2/Imóveis!$S$2)))*Imóveis!$P$2))))*IF(AND(Imóveis!$E$2&gt;0,Dados!$A994&gt;Imóveis!$E$2),0,1)</f>
        <v>0</v>
      </c>
      <c r="J994" s="18">
        <f>IF(Imóveis!$F$3="PRICE",IF(AND(Dados!$A994&gt;=Imóveis!$Q$3,Dados!$A994&lt;=Imóveis!$T$3),Imóveis!$U$3,0),IF((IF(AND(Dados!$A994&gt;=Imóveis!$Q$3,Dados!$A994&lt;=Imóveis!$T$3),Imóveis!$S$3-(DATEDIF(Imóveis!$Q$3,Dados!$A994,"m")),0))=0,0,((Imóveis!$N$3/Imóveis!$S$3)+((Imóveis!$N$3-((Imóveis!$S$3-(IF(AND(Dados!$A994&gt;=Imóveis!$Q$3,Dados!$A994&lt;=Imóveis!$T$3),Imóveis!$S$3-(DATEDIF(Imóveis!$Q$3,Dados!$A994,"m")),)))*(Imóveis!$N$3/Imóveis!$S$3)))*Imóveis!$P$3))))*IF(AND(Imóveis!$E$3&gt;0,Dados!$A994&gt;Imóveis!$E$3),0,1)</f>
        <v>0</v>
      </c>
      <c r="K994" s="18">
        <f>IF(Imóveis!$F$4="PRICE",IF(AND(Dados!$A994&gt;=Imóveis!$Q$4,Dados!$A994&lt;=Imóveis!$T$4),Imóveis!$U$4,0),IF((IF(AND(Dados!$A994&gt;=Imóveis!$Q$4,Dados!$A994&lt;=Imóveis!$T$4),Imóveis!$S$4-(DATEDIF(Imóveis!$Q$4,Dados!$A994,"m")),0))=0,0,((Imóveis!$N$4/Imóveis!$S$4)+((Imóveis!$N$4-((Imóveis!$S$4-(IF(AND(Dados!$A994&gt;=Imóveis!$Q$4,Dados!$A994&lt;=Imóveis!$T$4),Imóveis!$S$4-(DATEDIF(Imóveis!$Q$4,Dados!$A994,"m")),)))*(Imóveis!$N$4/Imóveis!$S$4)))*Imóveis!$P$4))))*IF(AND(Imóveis!$E$4&gt;0,Dados!$A994&gt;Imóveis!$E$4),0,1)</f>
        <v>0</v>
      </c>
      <c r="L994" s="18">
        <f>IF(Imóveis!$F$5="PRICE",IF(AND(Dados!$A994&gt;=Imóveis!$Q$5,Dados!$A994&lt;=Imóveis!$T$5),Imóveis!$U$5,0),IF((IF(AND(Dados!$A994&gt;=Imóveis!$Q$5,Dados!$A994&lt;=Imóveis!$T$5),Imóveis!$S$5-(DATEDIF(Imóveis!$Q$5,Dados!$A994,"m")),0))=0,0,((Imóveis!$N$5/Imóveis!$S$5)+((Imóveis!$N$5-((Imóveis!$S$5-(IF(AND(Dados!$A994 &gt;=Imóveis!$Q$5,Dados!$A994&lt;=Imóveis!$T$5),Imóveis!$S$5-(DATEDIF(Imóveis!$Q$5,Dados!$A994,"m")),)))*(Imóveis!$N$5/Imóveis!$S$5)))*Imóveis!$P$5))))*IF(AND(Imóveis!$E$5&gt;0,Dados!$A994&gt;Imóveis!$E$5),0,1)*Imóveis!$I$5</f>
        <v>0</v>
      </c>
      <c r="M994" s="18">
        <f>IF(Imóveis!$F$6="PRICE",IF(AND(Dados!$A994&gt;=Imóveis!$Q$6,Dados!$A994&lt;=Imóveis!$T$6),Imóveis!$U$6,0),IF((IF(AND(Dados!$A994&gt;=Imóveis!$Q$6,Dados!$A994&lt;=Imóveis!$T$6),Imóveis!$S$6-(DATEDIF(Imóveis!$Q$6,Dados!$A994,"m")),0))=0,0,((Imóveis!$N$6/Imóveis!$S$6)+((Imóveis!$N$6-((Imóveis!$S$6-(IF(AND(Dados!$A994&gt;=Imóveis!$Q$6,Dados!$A994&lt;=Imóveis!$T$6),Imóveis!$S$6-(DATEDIF(Imóveis!$Q$6,Dados!$A994,"m")),)))*(Imóveis!$N$6/Imóveis!$S$6)))*Imóveis!$P$6))))*IF(AND(Imóveis!$E$6&gt;0,Dados!$A994&gt;Imóveis!$E$6),0,1)*Imóveis!$I$6</f>
        <v>0</v>
      </c>
      <c r="N994" s="18">
        <f t="shared" si="125"/>
        <v>0</v>
      </c>
      <c r="O994" s="18">
        <f>SUMIFS(Receitas!$F:$F,Receitas!$J:$J,"&lt;="&amp;$A994,Receitas!$L:$L,"&gt;="&amp;$A994,Receitas!$C:$C,O$1,Receitas!$M:$M,"Mensal")+SUMIFS(Receitas!$F:$F,Receitas!$J:$J,"&lt;="&amp;$A994,Receitas!$L:$L,"&gt;="&amp;$A994,Receitas!$C:$C,O$1,Receitas!$M:$M,$B994)</f>
        <v>0</v>
      </c>
      <c r="P994" s="18">
        <f>SUMIFS(Receitas!$F:$F,Receitas!$J:$J,"&lt;="&amp;$A994,Receitas!$L:$L,"&gt;="&amp;$A994,Receitas!$C:$C,P$1,Receitas!$M:$M,"Mensal")+SUMIFS(Receitas!$F:$F,Receitas!$J:$J,"&lt;="&amp;$A994,Receitas!$L:$L,"&gt;="&amp;$A994,Receitas!$C:$C,P$1,Receitas!$M:$M,$B994)</f>
        <v>0</v>
      </c>
      <c r="Q994" s="18">
        <f>SUMIFS(Receitas!$F:$F,Receitas!$J:$J,"&lt;="&amp;$A994,Receitas!$L:$L,"&gt;="&amp;$A994,Receitas!$C:$C,Q$1,Receitas!$M:$M,"Mensal")+SUMIFS(Receitas!$F:$F,Receitas!$J:$J,"&lt;="&amp;$A994,Receitas!$L:$L,"&gt;="&amp;$A994,Receitas!$C:$C,Q$1,Receitas!$M:$M,$B994)</f>
        <v>0</v>
      </c>
      <c r="R994" s="18" cm="1">
        <f t="array" ref="R994">(IF(AND(Membros!$F$2="Sim",A994&lt;=MAX(Membros!$E$2:$E$5)),Membros!K$2,IF(AND(A994&gt;=Membros!J$2,A994&lt;=MAX(Membros!$E$2:$E$5)),Membros!K$2,0))+IF(AND(Membros!$F$3="Sim",A994&lt;=MAX(Membros!$E$2:$E$5)),Membros!K$3,IF(AND(A994&gt;=Membros!J$3,A994&lt;=MAX(Membros!$E$2:$E$5)),Membros!K$3,0)))*IF(AND(COUNTIFS(Tabela3[Tipo],"Provedor",Tabela3[Simulação Seguro],"Sim")=2,A994&gt;=MAX(IF(Tabela3[Tipo]="Dependente",Tabela3[Expectativa de Vida (Data)]))),0,1)</f>
        <v>0</v>
      </c>
      <c r="S994" s="18">
        <f t="shared" si="126"/>
        <v>0</v>
      </c>
      <c r="U994" s="18">
        <f t="shared" ca="1" si="129"/>
        <v>120995966.35642275</v>
      </c>
      <c r="V994" s="18">
        <f>SUMIF(Imóveis!E:E,Dados!A:A,Imóveis!Z:Z)-SUMIF(Imóveis!E:E,Dados!A:A,Imóveis!Y:Y)</f>
        <v>0</v>
      </c>
      <c r="W994" s="18">
        <f>-SUMIF(Projetos!N:N,A994,Projetos!F:F)</f>
        <v>0</v>
      </c>
      <c r="X994" s="18">
        <f t="shared" si="123"/>
        <v>0</v>
      </c>
      <c r="Y994" s="26">
        <f ca="1">(U994*((Indicadores_Economicos!D$2+1)^(1/12)-1))</f>
        <v>396109.30854662263</v>
      </c>
      <c r="Z994" s="18">
        <f t="shared" ca="1" si="127"/>
        <v>121392075.66496937</v>
      </c>
      <c r="AA994" s="18">
        <f ca="1">Auxiliar_Projetos!E994</f>
        <v>1.0006564603426581E-8</v>
      </c>
      <c r="AB994" s="18">
        <f ca="1">Auxiliar_Projetos!K994</f>
        <v>7.6973573872512136E-9</v>
      </c>
      <c r="AC994" s="18">
        <f ca="1">IF(Z994-AA994-AB994&gt;Investimentos!$C$14,Investimentos!$C$14,IF(Z994-AA994-AB994&lt;Investimentos!$C$14,Z994-AA994-AB994,0))</f>
        <v>300000</v>
      </c>
      <c r="AD994" s="18">
        <f t="shared" ca="1" si="128"/>
        <v>121092075.66496934</v>
      </c>
      <c r="AE994" s="18"/>
    </row>
    <row r="995" spans="1:31" x14ac:dyDescent="0.2">
      <c r="A995" s="4">
        <v>75880</v>
      </c>
      <c r="B995" s="5" t="str">
        <f t="shared" si="124"/>
        <v>outubro</v>
      </c>
      <c r="C995" s="5" t="str">
        <f t="shared" si="130"/>
        <v>2107</v>
      </c>
      <c r="D995" s="5">
        <f>SUMIFS(Despesas!$F:$F,Despesas!$J:$J,"&lt;="&amp;$A995,Despesas!$L:$L,"&gt;="&amp;$A995,Despesas!$C:$C,D$1,Despesas!$M:$M,"Mensal")+SUMIFS(Despesas!$F:$F,Despesas!$J:$J,"&lt;="&amp;$A995,Despesas!$L:$L,"&gt;="&amp;$A995,Despesas!$C:$C,D$1,Despesas!$M:$M,$B995)</f>
        <v>0</v>
      </c>
      <c r="E995" s="18">
        <f>SUMIFS(Despesas!$F:$F,Despesas!$J:$J,"&lt;="&amp;$A995,Despesas!$L:$L,"&gt;="&amp;$A995,Despesas!$C:$C,E$1,Despesas!$M:$M,"Mensal")+SUMIFS(Despesas!$F:$F,Despesas!$J:$J,"&lt;="&amp;$A995,Despesas!$L:$L,"&gt;="&amp;$A995,Despesas!$C:$C,E$1,Despesas!$M:$M,$B995)</f>
        <v>0</v>
      </c>
      <c r="F995" s="5">
        <f>SUMIFS(Despesas!$F:$F,Despesas!$J:$J,"&lt;="&amp;$A995,Despesas!$L:$L,"&gt;="&amp;$A995,Despesas!$C:$C,F$1,Despesas!$M:$M,"Mensal")+SUMIFS(Despesas!$F:$F,Despesas!$J:$J,"&lt;="&amp;$A995,Despesas!$L:$L,"&gt;="&amp;$A995,Despesas!$C:$C,F$1,Despesas!$M:$M,$B995)</f>
        <v>0</v>
      </c>
      <c r="G995" s="5">
        <f>SUMIFS(Despesas!$F:$F,Despesas!$J:$J,"&lt;="&amp;$A995,Despesas!$L:$L,"&gt;="&amp;$A995,Despesas!$C:$C,G$1,Despesas!$M:$M,"Mensal")+SUMIFS(Despesas!$F:$F,Despesas!$J:$J,"&lt;="&amp;$A995,Despesas!$L:$L,"&gt;="&amp;$A995,Despesas!$C:$C,G$1,Despesas!$M:$M,$B995)</f>
        <v>0</v>
      </c>
      <c r="H995" s="18">
        <f>SUMIFS(Despesas!$F:$F,Despesas!$J:$J,"&lt;="&amp;$A995,Despesas!$L:$L,"&gt;="&amp;$A995,Despesas!$C:$C,H$1,Despesas!$M:$M,"Mensal")+SUMIFS(Despesas!$F:$F,Despesas!$J:$J,"&lt;="&amp;$A995,Despesas!$L:$L,"&gt;="&amp;$A995,Despesas!$C:$C,H$1,Despesas!$M:$M,$B995)</f>
        <v>0</v>
      </c>
      <c r="I995" s="18">
        <f>IF(Imóveis!$F$2="PRICE",IF(AND(Dados!$A995&gt;=Imóveis!$Q$2,Dados!$A995&lt;=Imóveis!$T$2),Imóveis!$U$2,0),IF((IF(AND(Dados!$A995&gt;=Imóveis!$Q$2,Dados!$A995&lt;=Imóveis!$T$2),Imóveis!$S$2-(DATEDIF(Imóveis!$Q$2,Dados!$A995,"m")),0))=0,0,((Imóveis!$N$2/Imóveis!$S$2)+((Imóveis!$N$2-((Imóveis!$S$2-(IF(AND(Dados!$A995&gt;=Imóveis!$Q$2,Dados!$A995&lt;=Imóveis!$T$2),Imóveis!$S$2-(DATEDIF(Imóveis!$Q$2,Dados!$A995,"m")),)))*(Imóveis!$N$2/Imóveis!$S$2)))*Imóveis!$P$2))))*IF(AND(Imóveis!$E$2&gt;0,Dados!$A995&gt;Imóveis!$E$2),0,1)</f>
        <v>0</v>
      </c>
      <c r="J995" s="18">
        <f>IF(Imóveis!$F$3="PRICE",IF(AND(Dados!$A995&gt;=Imóveis!$Q$3,Dados!$A995&lt;=Imóveis!$T$3),Imóveis!$U$3,0),IF((IF(AND(Dados!$A995&gt;=Imóveis!$Q$3,Dados!$A995&lt;=Imóveis!$T$3),Imóveis!$S$3-(DATEDIF(Imóveis!$Q$3,Dados!$A995,"m")),0))=0,0,((Imóveis!$N$3/Imóveis!$S$3)+((Imóveis!$N$3-((Imóveis!$S$3-(IF(AND(Dados!$A995&gt;=Imóveis!$Q$3,Dados!$A995&lt;=Imóveis!$T$3),Imóveis!$S$3-(DATEDIF(Imóveis!$Q$3,Dados!$A995,"m")),)))*(Imóveis!$N$3/Imóveis!$S$3)))*Imóveis!$P$3))))*IF(AND(Imóveis!$E$3&gt;0,Dados!$A995&gt;Imóveis!$E$3),0,1)</f>
        <v>0</v>
      </c>
      <c r="K995" s="18">
        <f>IF(Imóveis!$F$4="PRICE",IF(AND(Dados!$A995&gt;=Imóveis!$Q$4,Dados!$A995&lt;=Imóveis!$T$4),Imóveis!$U$4,0),IF((IF(AND(Dados!$A995&gt;=Imóveis!$Q$4,Dados!$A995&lt;=Imóveis!$T$4),Imóveis!$S$4-(DATEDIF(Imóveis!$Q$4,Dados!$A995,"m")),0))=0,0,((Imóveis!$N$4/Imóveis!$S$4)+((Imóveis!$N$4-((Imóveis!$S$4-(IF(AND(Dados!$A995&gt;=Imóveis!$Q$4,Dados!$A995&lt;=Imóveis!$T$4),Imóveis!$S$4-(DATEDIF(Imóveis!$Q$4,Dados!$A995,"m")),)))*(Imóveis!$N$4/Imóveis!$S$4)))*Imóveis!$P$4))))*IF(AND(Imóveis!$E$4&gt;0,Dados!$A995&gt;Imóveis!$E$4),0,1)</f>
        <v>0</v>
      </c>
      <c r="L995" s="18">
        <f>IF(Imóveis!$F$5="PRICE",IF(AND(Dados!$A995&gt;=Imóveis!$Q$5,Dados!$A995&lt;=Imóveis!$T$5),Imóveis!$U$5,0),IF((IF(AND(Dados!$A995&gt;=Imóveis!$Q$5,Dados!$A995&lt;=Imóveis!$T$5),Imóveis!$S$5-(DATEDIF(Imóveis!$Q$5,Dados!$A995,"m")),0))=0,0,((Imóveis!$N$5/Imóveis!$S$5)+((Imóveis!$N$5-((Imóveis!$S$5-(IF(AND(Dados!$A995 &gt;=Imóveis!$Q$5,Dados!$A995&lt;=Imóveis!$T$5),Imóveis!$S$5-(DATEDIF(Imóveis!$Q$5,Dados!$A995,"m")),)))*(Imóveis!$N$5/Imóveis!$S$5)))*Imóveis!$P$5))))*IF(AND(Imóveis!$E$5&gt;0,Dados!$A995&gt;Imóveis!$E$5),0,1)*Imóveis!$I$5</f>
        <v>0</v>
      </c>
      <c r="M995" s="18">
        <f>IF(Imóveis!$F$6="PRICE",IF(AND(Dados!$A995&gt;=Imóveis!$Q$6,Dados!$A995&lt;=Imóveis!$T$6),Imóveis!$U$6,0),IF((IF(AND(Dados!$A995&gt;=Imóveis!$Q$6,Dados!$A995&lt;=Imóveis!$T$6),Imóveis!$S$6-(DATEDIF(Imóveis!$Q$6,Dados!$A995,"m")),0))=0,0,((Imóveis!$N$6/Imóveis!$S$6)+((Imóveis!$N$6-((Imóveis!$S$6-(IF(AND(Dados!$A995&gt;=Imóveis!$Q$6,Dados!$A995&lt;=Imóveis!$T$6),Imóveis!$S$6-(DATEDIF(Imóveis!$Q$6,Dados!$A995,"m")),)))*(Imóveis!$N$6/Imóveis!$S$6)))*Imóveis!$P$6))))*IF(AND(Imóveis!$E$6&gt;0,Dados!$A995&gt;Imóveis!$E$6),0,1)*Imóveis!$I$6</f>
        <v>0</v>
      </c>
      <c r="N995" s="18">
        <f t="shared" si="125"/>
        <v>0</v>
      </c>
      <c r="O995" s="18">
        <f>SUMIFS(Receitas!$F:$F,Receitas!$J:$J,"&lt;="&amp;$A995,Receitas!$L:$L,"&gt;="&amp;$A995,Receitas!$C:$C,O$1,Receitas!$M:$M,"Mensal")+SUMIFS(Receitas!$F:$F,Receitas!$J:$J,"&lt;="&amp;$A995,Receitas!$L:$L,"&gt;="&amp;$A995,Receitas!$C:$C,O$1,Receitas!$M:$M,$B995)</f>
        <v>0</v>
      </c>
      <c r="P995" s="18">
        <f>SUMIFS(Receitas!$F:$F,Receitas!$J:$J,"&lt;="&amp;$A995,Receitas!$L:$L,"&gt;="&amp;$A995,Receitas!$C:$C,P$1,Receitas!$M:$M,"Mensal")+SUMIFS(Receitas!$F:$F,Receitas!$J:$J,"&lt;="&amp;$A995,Receitas!$L:$L,"&gt;="&amp;$A995,Receitas!$C:$C,P$1,Receitas!$M:$M,$B995)</f>
        <v>0</v>
      </c>
      <c r="Q995" s="18">
        <f>SUMIFS(Receitas!$F:$F,Receitas!$J:$J,"&lt;="&amp;$A995,Receitas!$L:$L,"&gt;="&amp;$A995,Receitas!$C:$C,Q$1,Receitas!$M:$M,"Mensal")+SUMIFS(Receitas!$F:$F,Receitas!$J:$J,"&lt;="&amp;$A995,Receitas!$L:$L,"&gt;="&amp;$A995,Receitas!$C:$C,Q$1,Receitas!$M:$M,$B995)</f>
        <v>0</v>
      </c>
      <c r="R995" s="18" cm="1">
        <f t="array" ref="R995">(IF(AND(Membros!$F$2="Sim",A995&lt;=MAX(Membros!$E$2:$E$5)),Membros!K$2,IF(AND(A995&gt;=Membros!J$2,A995&lt;=MAX(Membros!$E$2:$E$5)),Membros!K$2,0))+IF(AND(Membros!$F$3="Sim",A995&lt;=MAX(Membros!$E$2:$E$5)),Membros!K$3,IF(AND(A995&gt;=Membros!J$3,A995&lt;=MAX(Membros!$E$2:$E$5)),Membros!K$3,0)))*IF(AND(COUNTIFS(Tabela3[Tipo],"Provedor",Tabela3[Simulação Seguro],"Sim")=2,A995&gt;=MAX(IF(Tabela3[Tipo]="Dependente",Tabela3[Expectativa de Vida (Data)]))),0,1)</f>
        <v>0</v>
      </c>
      <c r="S995" s="18">
        <f t="shared" si="126"/>
        <v>0</v>
      </c>
      <c r="U995" s="18">
        <f t="shared" ca="1" si="129"/>
        <v>121392075.66496937</v>
      </c>
      <c r="V995" s="18">
        <f>SUMIF(Imóveis!E:E,Dados!A:A,Imóveis!Z:Z)-SUMIF(Imóveis!E:E,Dados!A:A,Imóveis!Y:Y)</f>
        <v>0</v>
      </c>
      <c r="W995" s="18">
        <f>-SUMIF(Projetos!N:N,A995,Projetos!F:F)</f>
        <v>0</v>
      </c>
      <c r="X995" s="18">
        <f t="shared" si="123"/>
        <v>0</v>
      </c>
      <c r="Y995" s="26">
        <f ca="1">(U995*((Indicadores_Economicos!D$2+1)^(1/12)-1))</f>
        <v>397406.06734811096</v>
      </c>
      <c r="Z995" s="18">
        <f t="shared" ca="1" si="127"/>
        <v>121789481.73231748</v>
      </c>
      <c r="AA995" s="18">
        <f ca="1">Auxiliar_Projetos!E995</f>
        <v>1.0039323492051963E-8</v>
      </c>
      <c r="AB995" s="18">
        <f ca="1">Auxiliar_Projetos!K995</f>
        <v>7.7225565323476605E-9</v>
      </c>
      <c r="AC995" s="18">
        <f ca="1">IF(Z995-AA995-AB995&gt;Investimentos!$C$14,Investimentos!$C$14,IF(Z995-AA995-AB995&lt;Investimentos!$C$14,Z995-AA995-AB995,0))</f>
        <v>300000</v>
      </c>
      <c r="AD995" s="18">
        <f t="shared" ca="1" si="128"/>
        <v>121489481.73231745</v>
      </c>
      <c r="AE995" s="18"/>
    </row>
    <row r="996" spans="1:31" x14ac:dyDescent="0.2">
      <c r="A996" s="4">
        <v>75911</v>
      </c>
      <c r="B996" s="5" t="str">
        <f t="shared" si="124"/>
        <v>novembro</v>
      </c>
      <c r="C996" s="5" t="str">
        <f t="shared" si="130"/>
        <v>2107</v>
      </c>
      <c r="D996" s="5">
        <f>SUMIFS(Despesas!$F:$F,Despesas!$J:$J,"&lt;="&amp;$A996,Despesas!$L:$L,"&gt;="&amp;$A996,Despesas!$C:$C,D$1,Despesas!$M:$M,"Mensal")+SUMIFS(Despesas!$F:$F,Despesas!$J:$J,"&lt;="&amp;$A996,Despesas!$L:$L,"&gt;="&amp;$A996,Despesas!$C:$C,D$1,Despesas!$M:$M,$B996)</f>
        <v>0</v>
      </c>
      <c r="E996" s="18">
        <f>SUMIFS(Despesas!$F:$F,Despesas!$J:$J,"&lt;="&amp;$A996,Despesas!$L:$L,"&gt;="&amp;$A996,Despesas!$C:$C,E$1,Despesas!$M:$M,"Mensal")+SUMIFS(Despesas!$F:$F,Despesas!$J:$J,"&lt;="&amp;$A996,Despesas!$L:$L,"&gt;="&amp;$A996,Despesas!$C:$C,E$1,Despesas!$M:$M,$B996)</f>
        <v>0</v>
      </c>
      <c r="F996" s="5">
        <f>SUMIFS(Despesas!$F:$F,Despesas!$J:$J,"&lt;="&amp;$A996,Despesas!$L:$L,"&gt;="&amp;$A996,Despesas!$C:$C,F$1,Despesas!$M:$M,"Mensal")+SUMIFS(Despesas!$F:$F,Despesas!$J:$J,"&lt;="&amp;$A996,Despesas!$L:$L,"&gt;="&amp;$A996,Despesas!$C:$C,F$1,Despesas!$M:$M,$B996)</f>
        <v>0</v>
      </c>
      <c r="G996" s="5">
        <f>SUMIFS(Despesas!$F:$F,Despesas!$J:$J,"&lt;="&amp;$A996,Despesas!$L:$L,"&gt;="&amp;$A996,Despesas!$C:$C,G$1,Despesas!$M:$M,"Mensal")+SUMIFS(Despesas!$F:$F,Despesas!$J:$J,"&lt;="&amp;$A996,Despesas!$L:$L,"&gt;="&amp;$A996,Despesas!$C:$C,G$1,Despesas!$M:$M,$B996)</f>
        <v>0</v>
      </c>
      <c r="H996" s="18">
        <f>SUMIFS(Despesas!$F:$F,Despesas!$J:$J,"&lt;="&amp;$A996,Despesas!$L:$L,"&gt;="&amp;$A996,Despesas!$C:$C,H$1,Despesas!$M:$M,"Mensal")+SUMIFS(Despesas!$F:$F,Despesas!$J:$J,"&lt;="&amp;$A996,Despesas!$L:$L,"&gt;="&amp;$A996,Despesas!$C:$C,H$1,Despesas!$M:$M,$B996)</f>
        <v>0</v>
      </c>
      <c r="I996" s="18">
        <f>IF(Imóveis!$F$2="PRICE",IF(AND(Dados!$A996&gt;=Imóveis!$Q$2,Dados!$A996&lt;=Imóveis!$T$2),Imóveis!$U$2,0),IF((IF(AND(Dados!$A996&gt;=Imóveis!$Q$2,Dados!$A996&lt;=Imóveis!$T$2),Imóveis!$S$2-(DATEDIF(Imóveis!$Q$2,Dados!$A996,"m")),0))=0,0,((Imóveis!$N$2/Imóveis!$S$2)+((Imóveis!$N$2-((Imóveis!$S$2-(IF(AND(Dados!$A996&gt;=Imóveis!$Q$2,Dados!$A996&lt;=Imóveis!$T$2),Imóveis!$S$2-(DATEDIF(Imóveis!$Q$2,Dados!$A996,"m")),)))*(Imóveis!$N$2/Imóveis!$S$2)))*Imóveis!$P$2))))*IF(AND(Imóveis!$E$2&gt;0,Dados!$A996&gt;Imóveis!$E$2),0,1)</f>
        <v>0</v>
      </c>
      <c r="J996" s="18">
        <f>IF(Imóveis!$F$3="PRICE",IF(AND(Dados!$A996&gt;=Imóveis!$Q$3,Dados!$A996&lt;=Imóveis!$T$3),Imóveis!$U$3,0),IF((IF(AND(Dados!$A996&gt;=Imóveis!$Q$3,Dados!$A996&lt;=Imóveis!$T$3),Imóveis!$S$3-(DATEDIF(Imóveis!$Q$3,Dados!$A996,"m")),0))=0,0,((Imóveis!$N$3/Imóveis!$S$3)+((Imóveis!$N$3-((Imóveis!$S$3-(IF(AND(Dados!$A996&gt;=Imóveis!$Q$3,Dados!$A996&lt;=Imóveis!$T$3),Imóveis!$S$3-(DATEDIF(Imóveis!$Q$3,Dados!$A996,"m")),)))*(Imóveis!$N$3/Imóveis!$S$3)))*Imóveis!$P$3))))*IF(AND(Imóveis!$E$3&gt;0,Dados!$A996&gt;Imóveis!$E$3),0,1)</f>
        <v>0</v>
      </c>
      <c r="K996" s="18">
        <f>IF(Imóveis!$F$4="PRICE",IF(AND(Dados!$A996&gt;=Imóveis!$Q$4,Dados!$A996&lt;=Imóveis!$T$4),Imóveis!$U$4,0),IF((IF(AND(Dados!$A996&gt;=Imóveis!$Q$4,Dados!$A996&lt;=Imóveis!$T$4),Imóveis!$S$4-(DATEDIF(Imóveis!$Q$4,Dados!$A996,"m")),0))=0,0,((Imóveis!$N$4/Imóveis!$S$4)+((Imóveis!$N$4-((Imóveis!$S$4-(IF(AND(Dados!$A996&gt;=Imóveis!$Q$4,Dados!$A996&lt;=Imóveis!$T$4),Imóveis!$S$4-(DATEDIF(Imóveis!$Q$4,Dados!$A996,"m")),)))*(Imóveis!$N$4/Imóveis!$S$4)))*Imóveis!$P$4))))*IF(AND(Imóveis!$E$4&gt;0,Dados!$A996&gt;Imóveis!$E$4),0,1)</f>
        <v>0</v>
      </c>
      <c r="L996" s="18">
        <f>IF(Imóveis!$F$5="PRICE",IF(AND(Dados!$A996&gt;=Imóveis!$Q$5,Dados!$A996&lt;=Imóveis!$T$5),Imóveis!$U$5,0),IF((IF(AND(Dados!$A996&gt;=Imóveis!$Q$5,Dados!$A996&lt;=Imóveis!$T$5),Imóveis!$S$5-(DATEDIF(Imóveis!$Q$5,Dados!$A996,"m")),0))=0,0,((Imóveis!$N$5/Imóveis!$S$5)+((Imóveis!$N$5-((Imóveis!$S$5-(IF(AND(Dados!$A996 &gt;=Imóveis!$Q$5,Dados!$A996&lt;=Imóveis!$T$5),Imóveis!$S$5-(DATEDIF(Imóveis!$Q$5,Dados!$A996,"m")),)))*(Imóveis!$N$5/Imóveis!$S$5)))*Imóveis!$P$5))))*IF(AND(Imóveis!$E$5&gt;0,Dados!$A996&gt;Imóveis!$E$5),0,1)*Imóveis!$I$5</f>
        <v>0</v>
      </c>
      <c r="M996" s="18">
        <f>IF(Imóveis!$F$6="PRICE",IF(AND(Dados!$A996&gt;=Imóveis!$Q$6,Dados!$A996&lt;=Imóveis!$T$6),Imóveis!$U$6,0),IF((IF(AND(Dados!$A996&gt;=Imóveis!$Q$6,Dados!$A996&lt;=Imóveis!$T$6),Imóveis!$S$6-(DATEDIF(Imóveis!$Q$6,Dados!$A996,"m")),0))=0,0,((Imóveis!$N$6/Imóveis!$S$6)+((Imóveis!$N$6-((Imóveis!$S$6-(IF(AND(Dados!$A996&gt;=Imóveis!$Q$6,Dados!$A996&lt;=Imóveis!$T$6),Imóveis!$S$6-(DATEDIF(Imóveis!$Q$6,Dados!$A996,"m")),)))*(Imóveis!$N$6/Imóveis!$S$6)))*Imóveis!$P$6))))*IF(AND(Imóveis!$E$6&gt;0,Dados!$A996&gt;Imóveis!$E$6),0,1)*Imóveis!$I$6</f>
        <v>0</v>
      </c>
      <c r="N996" s="18">
        <f t="shared" si="125"/>
        <v>0</v>
      </c>
      <c r="O996" s="18">
        <f>SUMIFS(Receitas!$F:$F,Receitas!$J:$J,"&lt;="&amp;$A996,Receitas!$L:$L,"&gt;="&amp;$A996,Receitas!$C:$C,O$1,Receitas!$M:$M,"Mensal")+SUMIFS(Receitas!$F:$F,Receitas!$J:$J,"&lt;="&amp;$A996,Receitas!$L:$L,"&gt;="&amp;$A996,Receitas!$C:$C,O$1,Receitas!$M:$M,$B996)</f>
        <v>0</v>
      </c>
      <c r="P996" s="18">
        <f>SUMIFS(Receitas!$F:$F,Receitas!$J:$J,"&lt;="&amp;$A996,Receitas!$L:$L,"&gt;="&amp;$A996,Receitas!$C:$C,P$1,Receitas!$M:$M,"Mensal")+SUMIFS(Receitas!$F:$F,Receitas!$J:$J,"&lt;="&amp;$A996,Receitas!$L:$L,"&gt;="&amp;$A996,Receitas!$C:$C,P$1,Receitas!$M:$M,$B996)</f>
        <v>0</v>
      </c>
      <c r="Q996" s="18">
        <f>SUMIFS(Receitas!$F:$F,Receitas!$J:$J,"&lt;="&amp;$A996,Receitas!$L:$L,"&gt;="&amp;$A996,Receitas!$C:$C,Q$1,Receitas!$M:$M,"Mensal")+SUMIFS(Receitas!$F:$F,Receitas!$J:$J,"&lt;="&amp;$A996,Receitas!$L:$L,"&gt;="&amp;$A996,Receitas!$C:$C,Q$1,Receitas!$M:$M,$B996)</f>
        <v>0</v>
      </c>
      <c r="R996" s="18" cm="1">
        <f t="array" ref="R996">(IF(AND(Membros!$F$2="Sim",A996&lt;=MAX(Membros!$E$2:$E$5)),Membros!K$2,IF(AND(A996&gt;=Membros!J$2,A996&lt;=MAX(Membros!$E$2:$E$5)),Membros!K$2,0))+IF(AND(Membros!$F$3="Sim",A996&lt;=MAX(Membros!$E$2:$E$5)),Membros!K$3,IF(AND(A996&gt;=Membros!J$3,A996&lt;=MAX(Membros!$E$2:$E$5)),Membros!K$3,0)))*IF(AND(COUNTIFS(Tabela3[Tipo],"Provedor",Tabela3[Simulação Seguro],"Sim")=2,A996&gt;=MAX(IF(Tabela3[Tipo]="Dependente",Tabela3[Expectativa de Vida (Data)]))),0,1)</f>
        <v>0</v>
      </c>
      <c r="S996" s="18">
        <f t="shared" si="126"/>
        <v>0</v>
      </c>
      <c r="U996" s="18">
        <f t="shared" ca="1" si="129"/>
        <v>121789481.73231748</v>
      </c>
      <c r="V996" s="18">
        <f>SUMIF(Imóveis!E:E,Dados!A:A,Imóveis!Z:Z)-SUMIF(Imóveis!E:E,Dados!A:A,Imóveis!Y:Y)</f>
        <v>0</v>
      </c>
      <c r="W996" s="18">
        <f>-SUMIF(Projetos!N:N,A996,Projetos!F:F)</f>
        <v>0</v>
      </c>
      <c r="X996" s="18">
        <f t="shared" si="123"/>
        <v>0</v>
      </c>
      <c r="Y996" s="26">
        <f ca="1">(U996*((Indicadores_Economicos!D$2+1)^(1/12)-1))</f>
        <v>398707.07140047569</v>
      </c>
      <c r="Z996" s="18">
        <f t="shared" ca="1" si="127"/>
        <v>122188188.80371796</v>
      </c>
      <c r="AA996" s="18">
        <f ca="1">Auxiliar_Projetos!E996</f>
        <v>1.0072189624754257E-8</v>
      </c>
      <c r="AB996" s="18">
        <f ca="1">Auxiliar_Projetos!K996</f>
        <v>7.7478381728878872E-9</v>
      </c>
      <c r="AC996" s="18">
        <f ca="1">IF(Z996-AA996-AB996&gt;Investimentos!$C$14,Investimentos!$C$14,IF(Z996-AA996-AB996&lt;Investimentos!$C$14,Z996-AA996-AB996,0))</f>
        <v>300000</v>
      </c>
      <c r="AD996" s="18">
        <f t="shared" ca="1" si="128"/>
        <v>121888188.80371793</v>
      </c>
      <c r="AE996" s="18"/>
    </row>
    <row r="997" spans="1:31" x14ac:dyDescent="0.2">
      <c r="A997" s="4">
        <v>75941</v>
      </c>
      <c r="B997" s="5" t="str">
        <f t="shared" si="124"/>
        <v>dezembro</v>
      </c>
      <c r="C997" s="5" t="str">
        <f t="shared" si="130"/>
        <v>2107</v>
      </c>
      <c r="D997" s="5">
        <f>SUMIFS(Despesas!$F:$F,Despesas!$J:$J,"&lt;="&amp;$A997,Despesas!$L:$L,"&gt;="&amp;$A997,Despesas!$C:$C,D$1,Despesas!$M:$M,"Mensal")+SUMIFS(Despesas!$F:$F,Despesas!$J:$J,"&lt;="&amp;$A997,Despesas!$L:$L,"&gt;="&amp;$A997,Despesas!$C:$C,D$1,Despesas!$M:$M,$B997)</f>
        <v>0</v>
      </c>
      <c r="E997" s="18">
        <f>SUMIFS(Despesas!$F:$F,Despesas!$J:$J,"&lt;="&amp;$A997,Despesas!$L:$L,"&gt;="&amp;$A997,Despesas!$C:$C,E$1,Despesas!$M:$M,"Mensal")+SUMIFS(Despesas!$F:$F,Despesas!$J:$J,"&lt;="&amp;$A997,Despesas!$L:$L,"&gt;="&amp;$A997,Despesas!$C:$C,E$1,Despesas!$M:$M,$B997)</f>
        <v>0</v>
      </c>
      <c r="F997" s="5">
        <f>SUMIFS(Despesas!$F:$F,Despesas!$J:$J,"&lt;="&amp;$A997,Despesas!$L:$L,"&gt;="&amp;$A997,Despesas!$C:$C,F$1,Despesas!$M:$M,"Mensal")+SUMIFS(Despesas!$F:$F,Despesas!$J:$J,"&lt;="&amp;$A997,Despesas!$L:$L,"&gt;="&amp;$A997,Despesas!$C:$C,F$1,Despesas!$M:$M,$B997)</f>
        <v>0</v>
      </c>
      <c r="G997" s="5">
        <f>SUMIFS(Despesas!$F:$F,Despesas!$J:$J,"&lt;="&amp;$A997,Despesas!$L:$L,"&gt;="&amp;$A997,Despesas!$C:$C,G$1,Despesas!$M:$M,"Mensal")+SUMIFS(Despesas!$F:$F,Despesas!$J:$J,"&lt;="&amp;$A997,Despesas!$L:$L,"&gt;="&amp;$A997,Despesas!$C:$C,G$1,Despesas!$M:$M,$B997)</f>
        <v>0</v>
      </c>
      <c r="H997" s="18">
        <f>SUMIFS(Despesas!$F:$F,Despesas!$J:$J,"&lt;="&amp;$A997,Despesas!$L:$L,"&gt;="&amp;$A997,Despesas!$C:$C,H$1,Despesas!$M:$M,"Mensal")+SUMIFS(Despesas!$F:$F,Despesas!$J:$J,"&lt;="&amp;$A997,Despesas!$L:$L,"&gt;="&amp;$A997,Despesas!$C:$C,H$1,Despesas!$M:$M,$B997)</f>
        <v>0</v>
      </c>
      <c r="I997" s="18">
        <f>IF(Imóveis!$F$2="PRICE",IF(AND(Dados!$A997&gt;=Imóveis!$Q$2,Dados!$A997&lt;=Imóveis!$T$2),Imóveis!$U$2,0),IF((IF(AND(Dados!$A997&gt;=Imóveis!$Q$2,Dados!$A997&lt;=Imóveis!$T$2),Imóveis!$S$2-(DATEDIF(Imóveis!$Q$2,Dados!$A997,"m")),0))=0,0,((Imóveis!$N$2/Imóveis!$S$2)+((Imóveis!$N$2-((Imóveis!$S$2-(IF(AND(Dados!$A997&gt;=Imóveis!$Q$2,Dados!$A997&lt;=Imóveis!$T$2),Imóveis!$S$2-(DATEDIF(Imóveis!$Q$2,Dados!$A997,"m")),)))*(Imóveis!$N$2/Imóveis!$S$2)))*Imóveis!$P$2))))*IF(AND(Imóveis!$E$2&gt;0,Dados!$A997&gt;Imóveis!$E$2),0,1)</f>
        <v>0</v>
      </c>
      <c r="J997" s="18">
        <f>IF(Imóveis!$F$3="PRICE",IF(AND(Dados!$A997&gt;=Imóveis!$Q$3,Dados!$A997&lt;=Imóveis!$T$3),Imóveis!$U$3,0),IF((IF(AND(Dados!$A997&gt;=Imóveis!$Q$3,Dados!$A997&lt;=Imóveis!$T$3),Imóveis!$S$3-(DATEDIF(Imóveis!$Q$3,Dados!$A997,"m")),0))=0,0,((Imóveis!$N$3/Imóveis!$S$3)+((Imóveis!$N$3-((Imóveis!$S$3-(IF(AND(Dados!$A997&gt;=Imóveis!$Q$3,Dados!$A997&lt;=Imóveis!$T$3),Imóveis!$S$3-(DATEDIF(Imóveis!$Q$3,Dados!$A997,"m")),)))*(Imóveis!$N$3/Imóveis!$S$3)))*Imóveis!$P$3))))*IF(AND(Imóveis!$E$3&gt;0,Dados!$A997&gt;Imóveis!$E$3),0,1)</f>
        <v>0</v>
      </c>
      <c r="K997" s="18">
        <f>IF(Imóveis!$F$4="PRICE",IF(AND(Dados!$A997&gt;=Imóveis!$Q$4,Dados!$A997&lt;=Imóveis!$T$4),Imóveis!$U$4,0),IF((IF(AND(Dados!$A997&gt;=Imóveis!$Q$4,Dados!$A997&lt;=Imóveis!$T$4),Imóveis!$S$4-(DATEDIF(Imóveis!$Q$4,Dados!$A997,"m")),0))=0,0,((Imóveis!$N$4/Imóveis!$S$4)+((Imóveis!$N$4-((Imóveis!$S$4-(IF(AND(Dados!$A997&gt;=Imóveis!$Q$4,Dados!$A997&lt;=Imóveis!$T$4),Imóveis!$S$4-(DATEDIF(Imóveis!$Q$4,Dados!$A997,"m")),)))*(Imóveis!$N$4/Imóveis!$S$4)))*Imóveis!$P$4))))*IF(AND(Imóveis!$E$4&gt;0,Dados!$A997&gt;Imóveis!$E$4),0,1)</f>
        <v>0</v>
      </c>
      <c r="L997" s="18">
        <f>IF(Imóveis!$F$5="PRICE",IF(AND(Dados!$A997&gt;=Imóveis!$Q$5,Dados!$A997&lt;=Imóveis!$T$5),Imóveis!$U$5,0),IF((IF(AND(Dados!$A997&gt;=Imóveis!$Q$5,Dados!$A997&lt;=Imóveis!$T$5),Imóveis!$S$5-(DATEDIF(Imóveis!$Q$5,Dados!$A997,"m")),0))=0,0,((Imóveis!$N$5/Imóveis!$S$5)+((Imóveis!$N$5-((Imóveis!$S$5-(IF(AND(Dados!$A997 &gt;=Imóveis!$Q$5,Dados!$A997&lt;=Imóveis!$T$5),Imóveis!$S$5-(DATEDIF(Imóveis!$Q$5,Dados!$A997,"m")),)))*(Imóveis!$N$5/Imóveis!$S$5)))*Imóveis!$P$5))))*IF(AND(Imóveis!$E$5&gt;0,Dados!$A997&gt;Imóveis!$E$5),0,1)*Imóveis!$I$5</f>
        <v>0</v>
      </c>
      <c r="M997" s="18">
        <f>IF(Imóveis!$F$6="PRICE",IF(AND(Dados!$A997&gt;=Imóveis!$Q$6,Dados!$A997&lt;=Imóveis!$T$6),Imóveis!$U$6,0),IF((IF(AND(Dados!$A997&gt;=Imóveis!$Q$6,Dados!$A997&lt;=Imóveis!$T$6),Imóveis!$S$6-(DATEDIF(Imóveis!$Q$6,Dados!$A997,"m")),0))=0,0,((Imóveis!$N$6/Imóveis!$S$6)+((Imóveis!$N$6-((Imóveis!$S$6-(IF(AND(Dados!$A997&gt;=Imóveis!$Q$6,Dados!$A997&lt;=Imóveis!$T$6),Imóveis!$S$6-(DATEDIF(Imóveis!$Q$6,Dados!$A997,"m")),)))*(Imóveis!$N$6/Imóveis!$S$6)))*Imóveis!$P$6))))*IF(AND(Imóveis!$E$6&gt;0,Dados!$A997&gt;Imóveis!$E$6),0,1)*Imóveis!$I$6</f>
        <v>0</v>
      </c>
      <c r="N997" s="18">
        <f t="shared" si="125"/>
        <v>0</v>
      </c>
      <c r="O997" s="18">
        <f>SUMIFS(Receitas!$F:$F,Receitas!$J:$J,"&lt;="&amp;$A997,Receitas!$L:$L,"&gt;="&amp;$A997,Receitas!$C:$C,O$1,Receitas!$M:$M,"Mensal")+SUMIFS(Receitas!$F:$F,Receitas!$J:$J,"&lt;="&amp;$A997,Receitas!$L:$L,"&gt;="&amp;$A997,Receitas!$C:$C,O$1,Receitas!$M:$M,$B997)</f>
        <v>0</v>
      </c>
      <c r="P997" s="18">
        <f>SUMIFS(Receitas!$F:$F,Receitas!$J:$J,"&lt;="&amp;$A997,Receitas!$L:$L,"&gt;="&amp;$A997,Receitas!$C:$C,P$1,Receitas!$M:$M,"Mensal")+SUMIFS(Receitas!$F:$F,Receitas!$J:$J,"&lt;="&amp;$A997,Receitas!$L:$L,"&gt;="&amp;$A997,Receitas!$C:$C,P$1,Receitas!$M:$M,$B997)</f>
        <v>0</v>
      </c>
      <c r="Q997" s="18">
        <f>SUMIFS(Receitas!$F:$F,Receitas!$J:$J,"&lt;="&amp;$A997,Receitas!$L:$L,"&gt;="&amp;$A997,Receitas!$C:$C,Q$1,Receitas!$M:$M,"Mensal")+SUMIFS(Receitas!$F:$F,Receitas!$J:$J,"&lt;="&amp;$A997,Receitas!$L:$L,"&gt;="&amp;$A997,Receitas!$C:$C,Q$1,Receitas!$M:$M,$B997)</f>
        <v>0</v>
      </c>
      <c r="R997" s="18" cm="1">
        <f t="array" ref="R997">(IF(AND(Membros!$F$2="Sim",A997&lt;=MAX(Membros!$E$2:$E$5)),Membros!K$2,IF(AND(A997&gt;=Membros!J$2,A997&lt;=MAX(Membros!$E$2:$E$5)),Membros!K$2,0))+IF(AND(Membros!$F$3="Sim",A997&lt;=MAX(Membros!$E$2:$E$5)),Membros!K$3,IF(AND(A997&gt;=Membros!J$3,A997&lt;=MAX(Membros!$E$2:$E$5)),Membros!K$3,0)))*IF(AND(COUNTIFS(Tabela3[Tipo],"Provedor",Tabela3[Simulação Seguro],"Sim")=2,A997&gt;=MAX(IF(Tabela3[Tipo]="Dependente",Tabela3[Expectativa de Vida (Data)]))),0,1)</f>
        <v>0</v>
      </c>
      <c r="S997" s="18">
        <f t="shared" si="126"/>
        <v>0</v>
      </c>
      <c r="U997" s="18">
        <f t="shared" ca="1" si="129"/>
        <v>122188188.80371796</v>
      </c>
      <c r="V997" s="18">
        <f>SUMIF(Imóveis!E:E,Dados!A:A,Imóveis!Z:Z)-SUMIF(Imóveis!E:E,Dados!A:A,Imóveis!Y:Y)</f>
        <v>0</v>
      </c>
      <c r="W997" s="18">
        <f>-SUMIF(Projetos!N:N,A997,Projetos!F:F)</f>
        <v>0</v>
      </c>
      <c r="X997" s="18">
        <f t="shared" si="123"/>
        <v>0</v>
      </c>
      <c r="Y997" s="26">
        <f ca="1">(U997*((Indicadores_Economicos!D$2+1)^(1/12)-1))</f>
        <v>400012.33460156346</v>
      </c>
      <c r="Z997" s="18">
        <f t="shared" ca="1" si="127"/>
        <v>122588201.13831952</v>
      </c>
      <c r="AA997" s="18">
        <f ca="1">Auxiliar_Projetos!E997</f>
        <v>1.0105163352622666E-8</v>
      </c>
      <c r="AB997" s="18">
        <f ca="1">Auxiliar_Projetos!K997</f>
        <v>7.7732025789405089E-9</v>
      </c>
      <c r="AC997" s="18">
        <f ca="1">IF(Z997-AA997-AB997&gt;Investimentos!$C$14,Investimentos!$C$14,IF(Z997-AA997-AB997&lt;Investimentos!$C$14,Z997-AA997-AB997,0))</f>
        <v>300000</v>
      </c>
      <c r="AD997" s="18">
        <f t="shared" ca="1" si="128"/>
        <v>122288201.13831949</v>
      </c>
      <c r="AE997" s="18"/>
    </row>
    <row r="998" spans="1:31" x14ac:dyDescent="0.2">
      <c r="A998" s="4">
        <v>75972</v>
      </c>
      <c r="B998" s="5" t="str">
        <f t="shared" si="124"/>
        <v>janeiro</v>
      </c>
      <c r="C998" s="5" t="str">
        <f t="shared" si="130"/>
        <v>2108</v>
      </c>
      <c r="D998" s="5">
        <f>SUMIFS(Despesas!$F:$F,Despesas!$J:$J,"&lt;="&amp;$A998,Despesas!$L:$L,"&gt;="&amp;$A998,Despesas!$C:$C,D$1,Despesas!$M:$M,"Mensal")+SUMIFS(Despesas!$F:$F,Despesas!$J:$J,"&lt;="&amp;$A998,Despesas!$L:$L,"&gt;="&amp;$A998,Despesas!$C:$C,D$1,Despesas!$M:$M,$B998)</f>
        <v>0</v>
      </c>
      <c r="E998" s="18">
        <f>SUMIFS(Despesas!$F:$F,Despesas!$J:$J,"&lt;="&amp;$A998,Despesas!$L:$L,"&gt;="&amp;$A998,Despesas!$C:$C,E$1,Despesas!$M:$M,"Mensal")+SUMIFS(Despesas!$F:$F,Despesas!$J:$J,"&lt;="&amp;$A998,Despesas!$L:$L,"&gt;="&amp;$A998,Despesas!$C:$C,E$1,Despesas!$M:$M,$B998)</f>
        <v>0</v>
      </c>
      <c r="F998" s="5">
        <f>SUMIFS(Despesas!$F:$F,Despesas!$J:$J,"&lt;="&amp;$A998,Despesas!$L:$L,"&gt;="&amp;$A998,Despesas!$C:$C,F$1,Despesas!$M:$M,"Mensal")+SUMIFS(Despesas!$F:$F,Despesas!$J:$J,"&lt;="&amp;$A998,Despesas!$L:$L,"&gt;="&amp;$A998,Despesas!$C:$C,F$1,Despesas!$M:$M,$B998)</f>
        <v>0</v>
      </c>
      <c r="G998" s="5">
        <f>SUMIFS(Despesas!$F:$F,Despesas!$J:$J,"&lt;="&amp;$A998,Despesas!$L:$L,"&gt;="&amp;$A998,Despesas!$C:$C,G$1,Despesas!$M:$M,"Mensal")+SUMIFS(Despesas!$F:$F,Despesas!$J:$J,"&lt;="&amp;$A998,Despesas!$L:$L,"&gt;="&amp;$A998,Despesas!$C:$C,G$1,Despesas!$M:$M,$B998)</f>
        <v>0</v>
      </c>
      <c r="H998" s="18">
        <f>SUMIFS(Despesas!$F:$F,Despesas!$J:$J,"&lt;="&amp;$A998,Despesas!$L:$L,"&gt;="&amp;$A998,Despesas!$C:$C,H$1,Despesas!$M:$M,"Mensal")+SUMIFS(Despesas!$F:$F,Despesas!$J:$J,"&lt;="&amp;$A998,Despesas!$L:$L,"&gt;="&amp;$A998,Despesas!$C:$C,H$1,Despesas!$M:$M,$B998)</f>
        <v>0</v>
      </c>
      <c r="I998" s="18">
        <f>IF(Imóveis!$F$2="PRICE",IF(AND(Dados!$A998&gt;=Imóveis!$Q$2,Dados!$A998&lt;=Imóveis!$T$2),Imóveis!$U$2,0),IF((IF(AND(Dados!$A998&gt;=Imóveis!$Q$2,Dados!$A998&lt;=Imóveis!$T$2),Imóveis!$S$2-(DATEDIF(Imóveis!$Q$2,Dados!$A998,"m")),0))=0,0,((Imóveis!$N$2/Imóveis!$S$2)+((Imóveis!$N$2-((Imóveis!$S$2-(IF(AND(Dados!$A998&gt;=Imóveis!$Q$2,Dados!$A998&lt;=Imóveis!$T$2),Imóveis!$S$2-(DATEDIF(Imóveis!$Q$2,Dados!$A998,"m")),)))*(Imóveis!$N$2/Imóveis!$S$2)))*Imóveis!$P$2))))*IF(AND(Imóveis!$E$2&gt;0,Dados!$A998&gt;Imóveis!$E$2),0,1)</f>
        <v>0</v>
      </c>
      <c r="J998" s="18">
        <f>IF(Imóveis!$F$3="PRICE",IF(AND(Dados!$A998&gt;=Imóveis!$Q$3,Dados!$A998&lt;=Imóveis!$T$3),Imóveis!$U$3,0),IF((IF(AND(Dados!$A998&gt;=Imóveis!$Q$3,Dados!$A998&lt;=Imóveis!$T$3),Imóveis!$S$3-(DATEDIF(Imóveis!$Q$3,Dados!$A998,"m")),0))=0,0,((Imóveis!$N$3/Imóveis!$S$3)+((Imóveis!$N$3-((Imóveis!$S$3-(IF(AND(Dados!$A998&gt;=Imóveis!$Q$3,Dados!$A998&lt;=Imóveis!$T$3),Imóveis!$S$3-(DATEDIF(Imóveis!$Q$3,Dados!$A998,"m")),)))*(Imóveis!$N$3/Imóveis!$S$3)))*Imóveis!$P$3))))*IF(AND(Imóveis!$E$3&gt;0,Dados!$A998&gt;Imóveis!$E$3),0,1)</f>
        <v>0</v>
      </c>
      <c r="K998" s="18">
        <f>IF(Imóveis!$F$4="PRICE",IF(AND(Dados!$A998&gt;=Imóveis!$Q$4,Dados!$A998&lt;=Imóveis!$T$4),Imóveis!$U$4,0),IF((IF(AND(Dados!$A998&gt;=Imóveis!$Q$4,Dados!$A998&lt;=Imóveis!$T$4),Imóveis!$S$4-(DATEDIF(Imóveis!$Q$4,Dados!$A998,"m")),0))=0,0,((Imóveis!$N$4/Imóveis!$S$4)+((Imóveis!$N$4-((Imóveis!$S$4-(IF(AND(Dados!$A998&gt;=Imóveis!$Q$4,Dados!$A998&lt;=Imóveis!$T$4),Imóveis!$S$4-(DATEDIF(Imóveis!$Q$4,Dados!$A998,"m")),)))*(Imóveis!$N$4/Imóveis!$S$4)))*Imóveis!$P$4))))*IF(AND(Imóveis!$E$4&gt;0,Dados!$A998&gt;Imóveis!$E$4),0,1)</f>
        <v>0</v>
      </c>
      <c r="L998" s="18">
        <f>IF(Imóveis!$F$5="PRICE",IF(AND(Dados!$A998&gt;=Imóveis!$Q$5,Dados!$A998&lt;=Imóveis!$T$5),Imóveis!$U$5,0),IF((IF(AND(Dados!$A998&gt;=Imóveis!$Q$5,Dados!$A998&lt;=Imóveis!$T$5),Imóveis!$S$5-(DATEDIF(Imóveis!$Q$5,Dados!$A998,"m")),0))=0,0,((Imóveis!$N$5/Imóveis!$S$5)+((Imóveis!$N$5-((Imóveis!$S$5-(IF(AND(Dados!$A998 &gt;=Imóveis!$Q$5,Dados!$A998&lt;=Imóveis!$T$5),Imóveis!$S$5-(DATEDIF(Imóveis!$Q$5,Dados!$A998,"m")),)))*(Imóveis!$N$5/Imóveis!$S$5)))*Imóveis!$P$5))))*IF(AND(Imóveis!$E$5&gt;0,Dados!$A998&gt;Imóveis!$E$5),0,1)*Imóveis!$I$5</f>
        <v>0</v>
      </c>
      <c r="M998" s="18">
        <f>IF(Imóveis!$F$6="PRICE",IF(AND(Dados!$A998&gt;=Imóveis!$Q$6,Dados!$A998&lt;=Imóveis!$T$6),Imóveis!$U$6,0),IF((IF(AND(Dados!$A998&gt;=Imóveis!$Q$6,Dados!$A998&lt;=Imóveis!$T$6),Imóveis!$S$6-(DATEDIF(Imóveis!$Q$6,Dados!$A998,"m")),0))=0,0,((Imóveis!$N$6/Imóveis!$S$6)+((Imóveis!$N$6-((Imóveis!$S$6-(IF(AND(Dados!$A998&gt;=Imóveis!$Q$6,Dados!$A998&lt;=Imóveis!$T$6),Imóveis!$S$6-(DATEDIF(Imóveis!$Q$6,Dados!$A998,"m")),)))*(Imóveis!$N$6/Imóveis!$S$6)))*Imóveis!$P$6))))*IF(AND(Imóveis!$E$6&gt;0,Dados!$A998&gt;Imóveis!$E$6),0,1)*Imóveis!$I$6</f>
        <v>0</v>
      </c>
      <c r="N998" s="18">
        <f t="shared" si="125"/>
        <v>0</v>
      </c>
      <c r="O998" s="18">
        <f>SUMIFS(Receitas!$F:$F,Receitas!$J:$J,"&lt;="&amp;$A998,Receitas!$L:$L,"&gt;="&amp;$A998,Receitas!$C:$C,O$1,Receitas!$M:$M,"Mensal")+SUMIFS(Receitas!$F:$F,Receitas!$J:$J,"&lt;="&amp;$A998,Receitas!$L:$L,"&gt;="&amp;$A998,Receitas!$C:$C,O$1,Receitas!$M:$M,$B998)</f>
        <v>0</v>
      </c>
      <c r="P998" s="18">
        <f>SUMIFS(Receitas!$F:$F,Receitas!$J:$J,"&lt;="&amp;$A998,Receitas!$L:$L,"&gt;="&amp;$A998,Receitas!$C:$C,P$1,Receitas!$M:$M,"Mensal")+SUMIFS(Receitas!$F:$F,Receitas!$J:$J,"&lt;="&amp;$A998,Receitas!$L:$L,"&gt;="&amp;$A998,Receitas!$C:$C,P$1,Receitas!$M:$M,$B998)</f>
        <v>0</v>
      </c>
      <c r="Q998" s="18">
        <f>SUMIFS(Receitas!$F:$F,Receitas!$J:$J,"&lt;="&amp;$A998,Receitas!$L:$L,"&gt;="&amp;$A998,Receitas!$C:$C,Q$1,Receitas!$M:$M,"Mensal")+SUMIFS(Receitas!$F:$F,Receitas!$J:$J,"&lt;="&amp;$A998,Receitas!$L:$L,"&gt;="&amp;$A998,Receitas!$C:$C,Q$1,Receitas!$M:$M,$B998)</f>
        <v>0</v>
      </c>
      <c r="R998" s="18" cm="1">
        <f t="array" ref="R998">(IF(AND(Membros!$F$2="Sim",A998&lt;=MAX(Membros!$E$2:$E$5)),Membros!K$2,IF(AND(A998&gt;=Membros!J$2,A998&lt;=MAX(Membros!$E$2:$E$5)),Membros!K$2,0))+IF(AND(Membros!$F$3="Sim",A998&lt;=MAX(Membros!$E$2:$E$5)),Membros!K$3,IF(AND(A998&gt;=Membros!J$3,A998&lt;=MAX(Membros!$E$2:$E$5)),Membros!K$3,0)))*IF(AND(COUNTIFS(Tabela3[Tipo],"Provedor",Tabela3[Simulação Seguro],"Sim")=2,A998&gt;=MAX(IF(Tabela3[Tipo]="Dependente",Tabela3[Expectativa de Vida (Data)]))),0,1)</f>
        <v>0</v>
      </c>
      <c r="S998" s="18">
        <f t="shared" si="126"/>
        <v>0</v>
      </c>
      <c r="U998" s="18">
        <f t="shared" ca="1" si="129"/>
        <v>122588201.13831952</v>
      </c>
      <c r="V998" s="18">
        <f>SUMIF(Imóveis!E:E,Dados!A:A,Imóveis!Z:Z)-SUMIF(Imóveis!E:E,Dados!A:A,Imóveis!Y:Y)</f>
        <v>0</v>
      </c>
      <c r="W998" s="18">
        <f>-SUMIF(Projetos!N:N,A998,Projetos!F:F)</f>
        <v>0</v>
      </c>
      <c r="X998" s="18">
        <f t="shared" si="123"/>
        <v>0</v>
      </c>
      <c r="Y998" s="26">
        <f ca="1">(U998*((Indicadores_Economicos!D$2+1)^(1/12)-1))</f>
        <v>401321.87089471886</v>
      </c>
      <c r="Z998" s="18">
        <f t="shared" ca="1" si="127"/>
        <v>122989523.00921424</v>
      </c>
      <c r="AA998" s="18">
        <f ca="1">Auxiliar_Projetos!E998</f>
        <v>1.0138245027895764E-8</v>
      </c>
      <c r="AB998" s="18">
        <f ca="1">Auxiliar_Projetos!K998</f>
        <v>7.7986500214582779E-9</v>
      </c>
      <c r="AC998" s="18">
        <f ca="1">IF(Z998-AA998-AB998&gt;Investimentos!$C$14,Investimentos!$C$14,IF(Z998-AA998-AB998&lt;Investimentos!$C$14,Z998-AA998-AB998,0))</f>
        <v>300000</v>
      </c>
      <c r="AD998" s="18">
        <f t="shared" ca="1" si="128"/>
        <v>122689523.00921421</v>
      </c>
      <c r="AE998" s="18"/>
    </row>
    <row r="999" spans="1:31" x14ac:dyDescent="0.2">
      <c r="A999" s="4">
        <v>76003</v>
      </c>
      <c r="B999" s="5" t="str">
        <f t="shared" si="124"/>
        <v>fevereiro</v>
      </c>
      <c r="C999" s="5" t="str">
        <f t="shared" si="130"/>
        <v>2108</v>
      </c>
      <c r="D999" s="5">
        <f>SUMIFS(Despesas!$F:$F,Despesas!$J:$J,"&lt;="&amp;$A999,Despesas!$L:$L,"&gt;="&amp;$A999,Despesas!$C:$C,D$1,Despesas!$M:$M,"Mensal")+SUMIFS(Despesas!$F:$F,Despesas!$J:$J,"&lt;="&amp;$A999,Despesas!$L:$L,"&gt;="&amp;$A999,Despesas!$C:$C,D$1,Despesas!$M:$M,$B999)</f>
        <v>0</v>
      </c>
      <c r="E999" s="18">
        <f>SUMIFS(Despesas!$F:$F,Despesas!$J:$J,"&lt;="&amp;$A999,Despesas!$L:$L,"&gt;="&amp;$A999,Despesas!$C:$C,E$1,Despesas!$M:$M,"Mensal")+SUMIFS(Despesas!$F:$F,Despesas!$J:$J,"&lt;="&amp;$A999,Despesas!$L:$L,"&gt;="&amp;$A999,Despesas!$C:$C,E$1,Despesas!$M:$M,$B999)</f>
        <v>0</v>
      </c>
      <c r="F999" s="5">
        <f>SUMIFS(Despesas!$F:$F,Despesas!$J:$J,"&lt;="&amp;$A999,Despesas!$L:$L,"&gt;="&amp;$A999,Despesas!$C:$C,F$1,Despesas!$M:$M,"Mensal")+SUMIFS(Despesas!$F:$F,Despesas!$J:$J,"&lt;="&amp;$A999,Despesas!$L:$L,"&gt;="&amp;$A999,Despesas!$C:$C,F$1,Despesas!$M:$M,$B999)</f>
        <v>0</v>
      </c>
      <c r="G999" s="5">
        <f>SUMIFS(Despesas!$F:$F,Despesas!$J:$J,"&lt;="&amp;$A999,Despesas!$L:$L,"&gt;="&amp;$A999,Despesas!$C:$C,G$1,Despesas!$M:$M,"Mensal")+SUMIFS(Despesas!$F:$F,Despesas!$J:$J,"&lt;="&amp;$A999,Despesas!$L:$L,"&gt;="&amp;$A999,Despesas!$C:$C,G$1,Despesas!$M:$M,$B999)</f>
        <v>0</v>
      </c>
      <c r="H999" s="18">
        <f>SUMIFS(Despesas!$F:$F,Despesas!$J:$J,"&lt;="&amp;$A999,Despesas!$L:$L,"&gt;="&amp;$A999,Despesas!$C:$C,H$1,Despesas!$M:$M,"Mensal")+SUMIFS(Despesas!$F:$F,Despesas!$J:$J,"&lt;="&amp;$A999,Despesas!$L:$L,"&gt;="&amp;$A999,Despesas!$C:$C,H$1,Despesas!$M:$M,$B999)</f>
        <v>0</v>
      </c>
      <c r="I999" s="18">
        <f>IF(Imóveis!$F$2="PRICE",IF(AND(Dados!$A999&gt;=Imóveis!$Q$2,Dados!$A999&lt;=Imóveis!$T$2),Imóveis!$U$2,0),IF((IF(AND(Dados!$A999&gt;=Imóveis!$Q$2,Dados!$A999&lt;=Imóveis!$T$2),Imóveis!$S$2-(DATEDIF(Imóveis!$Q$2,Dados!$A999,"m")),0))=0,0,((Imóveis!$N$2/Imóveis!$S$2)+((Imóveis!$N$2-((Imóveis!$S$2-(IF(AND(Dados!$A999&gt;=Imóveis!$Q$2,Dados!$A999&lt;=Imóveis!$T$2),Imóveis!$S$2-(DATEDIF(Imóveis!$Q$2,Dados!$A999,"m")),)))*(Imóveis!$N$2/Imóveis!$S$2)))*Imóveis!$P$2))))*IF(AND(Imóveis!$E$2&gt;0,Dados!$A999&gt;Imóveis!$E$2),0,1)</f>
        <v>0</v>
      </c>
      <c r="J999" s="18">
        <f>IF(Imóveis!$F$3="PRICE",IF(AND(Dados!$A999&gt;=Imóveis!$Q$3,Dados!$A999&lt;=Imóveis!$T$3),Imóveis!$U$3,0),IF((IF(AND(Dados!$A999&gt;=Imóveis!$Q$3,Dados!$A999&lt;=Imóveis!$T$3),Imóveis!$S$3-(DATEDIF(Imóveis!$Q$3,Dados!$A999,"m")),0))=0,0,((Imóveis!$N$3/Imóveis!$S$3)+((Imóveis!$N$3-((Imóveis!$S$3-(IF(AND(Dados!$A999&gt;=Imóveis!$Q$3,Dados!$A999&lt;=Imóveis!$T$3),Imóveis!$S$3-(DATEDIF(Imóveis!$Q$3,Dados!$A999,"m")),)))*(Imóveis!$N$3/Imóveis!$S$3)))*Imóveis!$P$3))))*IF(AND(Imóveis!$E$3&gt;0,Dados!$A999&gt;Imóveis!$E$3),0,1)</f>
        <v>0</v>
      </c>
      <c r="K999" s="18">
        <f>IF(Imóveis!$F$4="PRICE",IF(AND(Dados!$A999&gt;=Imóveis!$Q$4,Dados!$A999&lt;=Imóveis!$T$4),Imóveis!$U$4,0),IF((IF(AND(Dados!$A999&gt;=Imóveis!$Q$4,Dados!$A999&lt;=Imóveis!$T$4),Imóveis!$S$4-(DATEDIF(Imóveis!$Q$4,Dados!$A999,"m")),0))=0,0,((Imóveis!$N$4/Imóveis!$S$4)+((Imóveis!$N$4-((Imóveis!$S$4-(IF(AND(Dados!$A999&gt;=Imóveis!$Q$4,Dados!$A999&lt;=Imóveis!$T$4),Imóveis!$S$4-(DATEDIF(Imóveis!$Q$4,Dados!$A999,"m")),)))*(Imóveis!$N$4/Imóveis!$S$4)))*Imóveis!$P$4))))*IF(AND(Imóveis!$E$4&gt;0,Dados!$A999&gt;Imóveis!$E$4),0,1)</f>
        <v>0</v>
      </c>
      <c r="L999" s="18">
        <f>IF(Imóveis!$F$5="PRICE",IF(AND(Dados!$A999&gt;=Imóveis!$Q$5,Dados!$A999&lt;=Imóveis!$T$5),Imóveis!$U$5,0),IF((IF(AND(Dados!$A999&gt;=Imóveis!$Q$5,Dados!$A999&lt;=Imóveis!$T$5),Imóveis!$S$5-(DATEDIF(Imóveis!$Q$5,Dados!$A999,"m")),0))=0,0,((Imóveis!$N$5/Imóveis!$S$5)+((Imóveis!$N$5-((Imóveis!$S$5-(IF(AND(Dados!$A999 &gt;=Imóveis!$Q$5,Dados!$A999&lt;=Imóveis!$T$5),Imóveis!$S$5-(DATEDIF(Imóveis!$Q$5,Dados!$A999,"m")),)))*(Imóveis!$N$5/Imóveis!$S$5)))*Imóveis!$P$5))))*IF(AND(Imóveis!$E$5&gt;0,Dados!$A999&gt;Imóveis!$E$5),0,1)*Imóveis!$I$5</f>
        <v>0</v>
      </c>
      <c r="M999" s="18">
        <f>IF(Imóveis!$F$6="PRICE",IF(AND(Dados!$A999&gt;=Imóveis!$Q$6,Dados!$A999&lt;=Imóveis!$T$6),Imóveis!$U$6,0),IF((IF(AND(Dados!$A999&gt;=Imóveis!$Q$6,Dados!$A999&lt;=Imóveis!$T$6),Imóveis!$S$6-(DATEDIF(Imóveis!$Q$6,Dados!$A999,"m")),0))=0,0,((Imóveis!$N$6/Imóveis!$S$6)+((Imóveis!$N$6-((Imóveis!$S$6-(IF(AND(Dados!$A999&gt;=Imóveis!$Q$6,Dados!$A999&lt;=Imóveis!$T$6),Imóveis!$S$6-(DATEDIF(Imóveis!$Q$6,Dados!$A999,"m")),)))*(Imóveis!$N$6/Imóveis!$S$6)))*Imóveis!$P$6))))*IF(AND(Imóveis!$E$6&gt;0,Dados!$A999&gt;Imóveis!$E$6),0,1)*Imóveis!$I$6</f>
        <v>0</v>
      </c>
      <c r="N999" s="18">
        <f t="shared" si="125"/>
        <v>0</v>
      </c>
      <c r="O999" s="18">
        <f>SUMIFS(Receitas!$F:$F,Receitas!$J:$J,"&lt;="&amp;$A999,Receitas!$L:$L,"&gt;="&amp;$A999,Receitas!$C:$C,O$1,Receitas!$M:$M,"Mensal")+SUMIFS(Receitas!$F:$F,Receitas!$J:$J,"&lt;="&amp;$A999,Receitas!$L:$L,"&gt;="&amp;$A999,Receitas!$C:$C,O$1,Receitas!$M:$M,$B999)</f>
        <v>0</v>
      </c>
      <c r="P999" s="18">
        <f>SUMIFS(Receitas!$F:$F,Receitas!$J:$J,"&lt;="&amp;$A999,Receitas!$L:$L,"&gt;="&amp;$A999,Receitas!$C:$C,P$1,Receitas!$M:$M,"Mensal")+SUMIFS(Receitas!$F:$F,Receitas!$J:$J,"&lt;="&amp;$A999,Receitas!$L:$L,"&gt;="&amp;$A999,Receitas!$C:$C,P$1,Receitas!$M:$M,$B999)</f>
        <v>0</v>
      </c>
      <c r="Q999" s="18">
        <f>SUMIFS(Receitas!$F:$F,Receitas!$J:$J,"&lt;="&amp;$A999,Receitas!$L:$L,"&gt;="&amp;$A999,Receitas!$C:$C,Q$1,Receitas!$M:$M,"Mensal")+SUMIFS(Receitas!$F:$F,Receitas!$J:$J,"&lt;="&amp;$A999,Receitas!$L:$L,"&gt;="&amp;$A999,Receitas!$C:$C,Q$1,Receitas!$M:$M,$B999)</f>
        <v>0</v>
      </c>
      <c r="R999" s="18" cm="1">
        <f t="array" ref="R999">(IF(AND(Membros!$F$2="Sim",A999&lt;=MAX(Membros!$E$2:$E$5)),Membros!K$2,IF(AND(A999&gt;=Membros!J$2,A999&lt;=MAX(Membros!$E$2:$E$5)),Membros!K$2,0))+IF(AND(Membros!$F$3="Sim",A999&lt;=MAX(Membros!$E$2:$E$5)),Membros!K$3,IF(AND(A999&gt;=Membros!J$3,A999&lt;=MAX(Membros!$E$2:$E$5)),Membros!K$3,0)))*IF(AND(COUNTIFS(Tabela3[Tipo],"Provedor",Tabela3[Simulação Seguro],"Sim")=2,A999&gt;=MAX(IF(Tabela3[Tipo]="Dependente",Tabela3[Expectativa de Vida (Data)]))),0,1)</f>
        <v>0</v>
      </c>
      <c r="S999" s="18">
        <f t="shared" si="126"/>
        <v>0</v>
      </c>
      <c r="U999" s="18">
        <f t="shared" ca="1" si="129"/>
        <v>122989523.00921424</v>
      </c>
      <c r="V999" s="18">
        <f>SUMIF(Imóveis!E:E,Dados!A:A,Imóveis!Z:Z)-SUMIF(Imóveis!E:E,Dados!A:A,Imóveis!Y:Y)</f>
        <v>0</v>
      </c>
      <c r="W999" s="18">
        <f>-SUMIF(Projetos!N:N,A999,Projetos!F:F)</f>
        <v>0</v>
      </c>
      <c r="X999" s="18">
        <f t="shared" si="123"/>
        <v>0</v>
      </c>
      <c r="Y999" s="26">
        <f ca="1">(U999*((Indicadores_Economicos!D$2+1)^(1/12)-1))</f>
        <v>402635.69426893338</v>
      </c>
      <c r="Z999" s="18">
        <f t="shared" ca="1" si="127"/>
        <v>123392158.70348316</v>
      </c>
      <c r="AA999" s="18">
        <f ca="1">Auxiliar_Projetos!E999</f>
        <v>1.0171435003965268E-8</v>
      </c>
      <c r="AB999" s="18">
        <f ca="1">Auxiliar_Projetos!K999</f>
        <v>7.8241807722809717E-9</v>
      </c>
      <c r="AC999" s="18">
        <f ca="1">IF(Z999-AA999-AB999&gt;Investimentos!$C$14,Investimentos!$C$14,IF(Z999-AA999-AB999&lt;Investimentos!$C$14,Z999-AA999-AB999,0))</f>
        <v>300000</v>
      </c>
      <c r="AD999" s="18">
        <f t="shared" ca="1" si="128"/>
        <v>123092158.70348313</v>
      </c>
      <c r="AE999" s="18"/>
    </row>
    <row r="1000" spans="1:31" x14ac:dyDescent="0.2">
      <c r="A1000" s="4">
        <v>76032</v>
      </c>
      <c r="B1000" s="5" t="str">
        <f t="shared" si="124"/>
        <v>março</v>
      </c>
      <c r="C1000" s="5" t="str">
        <f t="shared" si="130"/>
        <v>2108</v>
      </c>
      <c r="D1000" s="5">
        <f>SUMIFS(Despesas!$F:$F,Despesas!$J:$J,"&lt;="&amp;$A1000,Despesas!$L:$L,"&gt;="&amp;$A1000,Despesas!$C:$C,D$1,Despesas!$M:$M,"Mensal")+SUMIFS(Despesas!$F:$F,Despesas!$J:$J,"&lt;="&amp;$A1000,Despesas!$L:$L,"&gt;="&amp;$A1000,Despesas!$C:$C,D$1,Despesas!$M:$M,$B1000)</f>
        <v>0</v>
      </c>
      <c r="E1000" s="18">
        <f>SUMIFS(Despesas!$F:$F,Despesas!$J:$J,"&lt;="&amp;$A1000,Despesas!$L:$L,"&gt;="&amp;$A1000,Despesas!$C:$C,E$1,Despesas!$M:$M,"Mensal")+SUMIFS(Despesas!$F:$F,Despesas!$J:$J,"&lt;="&amp;$A1000,Despesas!$L:$L,"&gt;="&amp;$A1000,Despesas!$C:$C,E$1,Despesas!$M:$M,$B1000)</f>
        <v>0</v>
      </c>
      <c r="F1000" s="5">
        <f>SUMIFS(Despesas!$F:$F,Despesas!$J:$J,"&lt;="&amp;$A1000,Despesas!$L:$L,"&gt;="&amp;$A1000,Despesas!$C:$C,F$1,Despesas!$M:$M,"Mensal")+SUMIFS(Despesas!$F:$F,Despesas!$J:$J,"&lt;="&amp;$A1000,Despesas!$L:$L,"&gt;="&amp;$A1000,Despesas!$C:$C,F$1,Despesas!$M:$M,$B1000)</f>
        <v>0</v>
      </c>
      <c r="G1000" s="5">
        <f>SUMIFS(Despesas!$F:$F,Despesas!$J:$J,"&lt;="&amp;$A1000,Despesas!$L:$L,"&gt;="&amp;$A1000,Despesas!$C:$C,G$1,Despesas!$M:$M,"Mensal")+SUMIFS(Despesas!$F:$F,Despesas!$J:$J,"&lt;="&amp;$A1000,Despesas!$L:$L,"&gt;="&amp;$A1000,Despesas!$C:$C,G$1,Despesas!$M:$M,$B1000)</f>
        <v>0</v>
      </c>
      <c r="H1000" s="18">
        <f>SUMIFS(Despesas!$F:$F,Despesas!$J:$J,"&lt;="&amp;$A1000,Despesas!$L:$L,"&gt;="&amp;$A1000,Despesas!$C:$C,H$1,Despesas!$M:$M,"Mensal")+SUMIFS(Despesas!$F:$F,Despesas!$J:$J,"&lt;="&amp;$A1000,Despesas!$L:$L,"&gt;="&amp;$A1000,Despesas!$C:$C,H$1,Despesas!$M:$M,$B1000)</f>
        <v>0</v>
      </c>
      <c r="I1000" s="18">
        <f>IF(Imóveis!$F$2="PRICE",IF(AND(Dados!$A1000&gt;=Imóveis!$Q$2,Dados!$A1000&lt;=Imóveis!$T$2),Imóveis!$U$2,0),IF((IF(AND(Dados!$A1000&gt;=Imóveis!$Q$2,Dados!$A1000&lt;=Imóveis!$T$2),Imóveis!$S$2-(DATEDIF(Imóveis!$Q$2,Dados!$A1000,"m")),0))=0,0,((Imóveis!$N$2/Imóveis!$S$2)+((Imóveis!$N$2-((Imóveis!$S$2-(IF(AND(Dados!$A1000&gt;=Imóveis!$Q$2,Dados!$A1000&lt;=Imóveis!$T$2),Imóveis!$S$2-(DATEDIF(Imóveis!$Q$2,Dados!$A1000,"m")),)))*(Imóveis!$N$2/Imóveis!$S$2)))*Imóveis!$P$2))))*IF(AND(Imóveis!$E$2&gt;0,Dados!$A1000&gt;Imóveis!$E$2),0,1)</f>
        <v>0</v>
      </c>
      <c r="J1000" s="18">
        <f>IF(Imóveis!$F$3="PRICE",IF(AND(Dados!$A1000&gt;=Imóveis!$Q$3,Dados!$A1000&lt;=Imóveis!$T$3),Imóveis!$U$3,0),IF((IF(AND(Dados!$A1000&gt;=Imóveis!$Q$3,Dados!$A1000&lt;=Imóveis!$T$3),Imóveis!$S$3-(DATEDIF(Imóveis!$Q$3,Dados!$A1000,"m")),0))=0,0,((Imóveis!$N$3/Imóveis!$S$3)+((Imóveis!$N$3-((Imóveis!$S$3-(IF(AND(Dados!$A1000&gt;=Imóveis!$Q$3,Dados!$A1000&lt;=Imóveis!$T$3),Imóveis!$S$3-(DATEDIF(Imóveis!$Q$3,Dados!$A1000,"m")),)))*(Imóveis!$N$3/Imóveis!$S$3)))*Imóveis!$P$3))))*IF(AND(Imóveis!$E$3&gt;0,Dados!$A1000&gt;Imóveis!$E$3),0,1)</f>
        <v>0</v>
      </c>
      <c r="K1000" s="18">
        <f>IF(Imóveis!$F$4="PRICE",IF(AND(Dados!$A1000&gt;=Imóveis!$Q$4,Dados!$A1000&lt;=Imóveis!$T$4),Imóveis!$U$4,0),IF((IF(AND(Dados!$A1000&gt;=Imóveis!$Q$4,Dados!$A1000&lt;=Imóveis!$T$4),Imóveis!$S$4-(DATEDIF(Imóveis!$Q$4,Dados!$A1000,"m")),0))=0,0,((Imóveis!$N$4/Imóveis!$S$4)+((Imóveis!$N$4-((Imóveis!$S$4-(IF(AND(Dados!$A1000&gt;=Imóveis!$Q$4,Dados!$A1000&lt;=Imóveis!$T$4),Imóveis!$S$4-(DATEDIF(Imóveis!$Q$4,Dados!$A1000,"m")),)))*(Imóveis!$N$4/Imóveis!$S$4)))*Imóveis!$P$4))))*IF(AND(Imóveis!$E$4&gt;0,Dados!$A1000&gt;Imóveis!$E$4),0,1)</f>
        <v>0</v>
      </c>
      <c r="L1000" s="18">
        <f>IF(Imóveis!$F$5="PRICE",IF(AND(Dados!$A1000&gt;=Imóveis!$Q$5,Dados!$A1000&lt;=Imóveis!$T$5),Imóveis!$U$5,0),IF((IF(AND(Dados!$A1000&gt;=Imóveis!$Q$5,Dados!$A1000&lt;=Imóveis!$T$5),Imóveis!$S$5-(DATEDIF(Imóveis!$Q$5,Dados!$A1000,"m")),0))=0,0,((Imóveis!$N$5/Imóveis!$S$5)+((Imóveis!$N$5-((Imóveis!$S$5-(IF(AND(Dados!$A1000 &gt;=Imóveis!$Q$5,Dados!$A1000&lt;=Imóveis!$T$5),Imóveis!$S$5-(DATEDIF(Imóveis!$Q$5,Dados!$A1000,"m")),)))*(Imóveis!$N$5/Imóveis!$S$5)))*Imóveis!$P$5))))*IF(AND(Imóveis!$E$5&gt;0,Dados!$A1000&gt;Imóveis!$E$5),0,1)*Imóveis!$I$5</f>
        <v>0</v>
      </c>
      <c r="M1000" s="18">
        <f>IF(Imóveis!$F$6="PRICE",IF(AND(Dados!$A1000&gt;=Imóveis!$Q$6,Dados!$A1000&lt;=Imóveis!$T$6),Imóveis!$U$6,0),IF((IF(AND(Dados!$A1000&gt;=Imóveis!$Q$6,Dados!$A1000&lt;=Imóveis!$T$6),Imóveis!$S$6-(DATEDIF(Imóveis!$Q$6,Dados!$A1000,"m")),0))=0,0,((Imóveis!$N$6/Imóveis!$S$6)+((Imóveis!$N$6-((Imóveis!$S$6-(IF(AND(Dados!$A1000&gt;=Imóveis!$Q$6,Dados!$A1000&lt;=Imóveis!$T$6),Imóveis!$S$6-(DATEDIF(Imóveis!$Q$6,Dados!$A1000,"m")),)))*(Imóveis!$N$6/Imóveis!$S$6)))*Imóveis!$P$6))))*IF(AND(Imóveis!$E$6&gt;0,Dados!$A1000&gt;Imóveis!$E$6),0,1)*Imóveis!$I$6</f>
        <v>0</v>
      </c>
      <c r="N1000" s="18">
        <f t="shared" si="125"/>
        <v>0</v>
      </c>
      <c r="O1000" s="18">
        <f>SUMIFS(Receitas!$F:$F,Receitas!$J:$J,"&lt;="&amp;$A1000,Receitas!$L:$L,"&gt;="&amp;$A1000,Receitas!$C:$C,O$1,Receitas!$M:$M,"Mensal")+SUMIFS(Receitas!$F:$F,Receitas!$J:$J,"&lt;="&amp;$A1000,Receitas!$L:$L,"&gt;="&amp;$A1000,Receitas!$C:$C,O$1,Receitas!$M:$M,$B1000)</f>
        <v>0</v>
      </c>
      <c r="P1000" s="18">
        <f>SUMIFS(Receitas!$F:$F,Receitas!$J:$J,"&lt;="&amp;$A1000,Receitas!$L:$L,"&gt;="&amp;$A1000,Receitas!$C:$C,P$1,Receitas!$M:$M,"Mensal")+SUMIFS(Receitas!$F:$F,Receitas!$J:$J,"&lt;="&amp;$A1000,Receitas!$L:$L,"&gt;="&amp;$A1000,Receitas!$C:$C,P$1,Receitas!$M:$M,$B1000)</f>
        <v>0</v>
      </c>
      <c r="Q1000" s="18">
        <f>SUMIFS(Receitas!$F:$F,Receitas!$J:$J,"&lt;="&amp;$A1000,Receitas!$L:$L,"&gt;="&amp;$A1000,Receitas!$C:$C,Q$1,Receitas!$M:$M,"Mensal")+SUMIFS(Receitas!$F:$F,Receitas!$J:$J,"&lt;="&amp;$A1000,Receitas!$L:$L,"&gt;="&amp;$A1000,Receitas!$C:$C,Q$1,Receitas!$M:$M,$B1000)</f>
        <v>0</v>
      </c>
      <c r="R1000" s="18" cm="1">
        <f t="array" ref="R1000">(IF(AND(Membros!$F$2="Sim",A1000&lt;=MAX(Membros!$E$2:$E$5)),Membros!K$2,IF(AND(A1000&gt;=Membros!J$2,A1000&lt;=MAX(Membros!$E$2:$E$5)),Membros!K$2,0))+IF(AND(Membros!$F$3="Sim",A1000&lt;=MAX(Membros!$E$2:$E$5)),Membros!K$3,IF(AND(A1000&gt;=Membros!J$3,A1000&lt;=MAX(Membros!$E$2:$E$5)),Membros!K$3,0)))*IF(AND(COUNTIFS(Tabela3[Tipo],"Provedor",Tabela3[Simulação Seguro],"Sim")=2,A1000&gt;=MAX(IF(Tabela3[Tipo]="Dependente",Tabela3[Expectativa de Vida (Data)]))),0,1)</f>
        <v>0</v>
      </c>
      <c r="S1000" s="18">
        <f t="shared" si="126"/>
        <v>0</v>
      </c>
      <c r="U1000" s="18">
        <f t="shared" ca="1" si="129"/>
        <v>123392158.70348316</v>
      </c>
      <c r="V1000" s="18">
        <f>SUMIF(Imóveis!E:E,Dados!A:A,Imóveis!Z:Z)-SUMIF(Imóveis!E:E,Dados!A:A,Imóveis!Y:Y)</f>
        <v>0</v>
      </c>
      <c r="W1000" s="18">
        <f>-SUMIF(Projetos!N:N,A1000,Projetos!F:F)</f>
        <v>0</v>
      </c>
      <c r="X1000" s="18">
        <f t="shared" si="123"/>
        <v>0</v>
      </c>
      <c r="Y1000" s="26">
        <f ca="1">(U1000*((Indicadores_Economicos!D$2+1)^(1/12)-1))</f>
        <v>403953.81875899486</v>
      </c>
      <c r="Z1000" s="18">
        <f t="shared" ca="1" si="127"/>
        <v>123796112.52224216</v>
      </c>
      <c r="AA1000" s="18">
        <f ca="1">Auxiliar_Projetos!E1000</f>
        <v>1.0204733635379799E-8</v>
      </c>
      <c r="AB1000" s="18">
        <f ca="1">Auxiliar_Projetos!K1000</f>
        <v>7.8497951041383036E-9</v>
      </c>
      <c r="AC1000" s="18">
        <f ca="1">IF(Z1000-AA1000-AB1000&gt;Investimentos!$C$14,Investimentos!$C$14,IF(Z1000-AA1000-AB1000&lt;Investimentos!$C$14,Z1000-AA1000-AB1000,0))</f>
        <v>300000</v>
      </c>
      <c r="AD1000" s="18">
        <f t="shared" ca="1" si="128"/>
        <v>123496112.52224213</v>
      </c>
      <c r="AE1000" s="18"/>
    </row>
    <row r="1001" spans="1:31" x14ac:dyDescent="0.2">
      <c r="A1001" s="4">
        <v>76063</v>
      </c>
      <c r="B1001" s="5" t="str">
        <f t="shared" si="124"/>
        <v>abril</v>
      </c>
      <c r="C1001" s="5" t="str">
        <f t="shared" si="130"/>
        <v>2108</v>
      </c>
      <c r="D1001" s="5">
        <f>SUMIFS(Despesas!$F:$F,Despesas!$J:$J,"&lt;="&amp;$A1001,Despesas!$L:$L,"&gt;="&amp;$A1001,Despesas!$C:$C,D$1,Despesas!$M:$M,"Mensal")+SUMIFS(Despesas!$F:$F,Despesas!$J:$J,"&lt;="&amp;$A1001,Despesas!$L:$L,"&gt;="&amp;$A1001,Despesas!$C:$C,D$1,Despesas!$M:$M,$B1001)</f>
        <v>0</v>
      </c>
      <c r="E1001" s="18">
        <f>SUMIFS(Despesas!$F:$F,Despesas!$J:$J,"&lt;="&amp;$A1001,Despesas!$L:$L,"&gt;="&amp;$A1001,Despesas!$C:$C,E$1,Despesas!$M:$M,"Mensal")+SUMIFS(Despesas!$F:$F,Despesas!$J:$J,"&lt;="&amp;$A1001,Despesas!$L:$L,"&gt;="&amp;$A1001,Despesas!$C:$C,E$1,Despesas!$M:$M,$B1001)</f>
        <v>0</v>
      </c>
      <c r="F1001" s="5">
        <f>SUMIFS(Despesas!$F:$F,Despesas!$J:$J,"&lt;="&amp;$A1001,Despesas!$L:$L,"&gt;="&amp;$A1001,Despesas!$C:$C,F$1,Despesas!$M:$M,"Mensal")+SUMIFS(Despesas!$F:$F,Despesas!$J:$J,"&lt;="&amp;$A1001,Despesas!$L:$L,"&gt;="&amp;$A1001,Despesas!$C:$C,F$1,Despesas!$M:$M,$B1001)</f>
        <v>0</v>
      </c>
      <c r="G1001" s="5">
        <f>SUMIFS(Despesas!$F:$F,Despesas!$J:$J,"&lt;="&amp;$A1001,Despesas!$L:$L,"&gt;="&amp;$A1001,Despesas!$C:$C,G$1,Despesas!$M:$M,"Mensal")+SUMIFS(Despesas!$F:$F,Despesas!$J:$J,"&lt;="&amp;$A1001,Despesas!$L:$L,"&gt;="&amp;$A1001,Despesas!$C:$C,G$1,Despesas!$M:$M,$B1001)</f>
        <v>0</v>
      </c>
      <c r="H1001" s="18">
        <f>SUMIFS(Despesas!$F:$F,Despesas!$J:$J,"&lt;="&amp;$A1001,Despesas!$L:$L,"&gt;="&amp;$A1001,Despesas!$C:$C,H$1,Despesas!$M:$M,"Mensal")+SUMIFS(Despesas!$F:$F,Despesas!$J:$J,"&lt;="&amp;$A1001,Despesas!$L:$L,"&gt;="&amp;$A1001,Despesas!$C:$C,H$1,Despesas!$M:$M,$B1001)</f>
        <v>0</v>
      </c>
      <c r="I1001" s="18">
        <f>IF(Imóveis!$F$2="PRICE",IF(AND(Dados!$A1001&gt;=Imóveis!$Q$2,Dados!$A1001&lt;=Imóveis!$T$2),Imóveis!$U$2,0),IF((IF(AND(Dados!$A1001&gt;=Imóveis!$Q$2,Dados!$A1001&lt;=Imóveis!$T$2),Imóveis!$S$2-(DATEDIF(Imóveis!$Q$2,Dados!$A1001,"m")),0))=0,0,((Imóveis!$N$2/Imóveis!$S$2)+((Imóveis!$N$2-((Imóveis!$S$2-(IF(AND(Dados!$A1001&gt;=Imóveis!$Q$2,Dados!$A1001&lt;=Imóveis!$T$2),Imóveis!$S$2-(DATEDIF(Imóveis!$Q$2,Dados!$A1001,"m")),)))*(Imóveis!$N$2/Imóveis!$S$2)))*Imóveis!$P$2))))*IF(AND(Imóveis!$E$2&gt;0,Dados!$A1001&gt;Imóveis!$E$2),0,1)</f>
        <v>0</v>
      </c>
      <c r="J1001" s="18">
        <f>IF(Imóveis!$F$3="PRICE",IF(AND(Dados!$A1001&gt;=Imóveis!$Q$3,Dados!$A1001&lt;=Imóveis!$T$3),Imóveis!$U$3,0),IF((IF(AND(Dados!$A1001&gt;=Imóveis!$Q$3,Dados!$A1001&lt;=Imóveis!$T$3),Imóveis!$S$3-(DATEDIF(Imóveis!$Q$3,Dados!$A1001,"m")),0))=0,0,((Imóveis!$N$3/Imóveis!$S$3)+((Imóveis!$N$3-((Imóveis!$S$3-(IF(AND(Dados!$A1001&gt;=Imóveis!$Q$3,Dados!$A1001&lt;=Imóveis!$T$3),Imóveis!$S$3-(DATEDIF(Imóveis!$Q$3,Dados!$A1001,"m")),)))*(Imóveis!$N$3/Imóveis!$S$3)))*Imóveis!$P$3))))*IF(AND(Imóveis!$E$3&gt;0,Dados!$A1001&gt;Imóveis!$E$3),0,1)</f>
        <v>0</v>
      </c>
      <c r="K1001" s="18">
        <f>IF(Imóveis!$F$4="PRICE",IF(AND(Dados!$A1001&gt;=Imóveis!$Q$4,Dados!$A1001&lt;=Imóveis!$T$4),Imóveis!$U$4,0),IF((IF(AND(Dados!$A1001&gt;=Imóveis!$Q$4,Dados!$A1001&lt;=Imóveis!$T$4),Imóveis!$S$4-(DATEDIF(Imóveis!$Q$4,Dados!$A1001,"m")),0))=0,0,((Imóveis!$N$4/Imóveis!$S$4)+((Imóveis!$N$4-((Imóveis!$S$4-(IF(AND(Dados!$A1001&gt;=Imóveis!$Q$4,Dados!$A1001&lt;=Imóveis!$T$4),Imóveis!$S$4-(DATEDIF(Imóveis!$Q$4,Dados!$A1001,"m")),)))*(Imóveis!$N$4/Imóveis!$S$4)))*Imóveis!$P$4))))*IF(AND(Imóveis!$E$4&gt;0,Dados!$A1001&gt;Imóveis!$E$4),0,1)</f>
        <v>0</v>
      </c>
      <c r="L1001" s="18">
        <f>IF(Imóveis!$F$5="PRICE",IF(AND(Dados!$A1001&gt;=Imóveis!$Q$5,Dados!$A1001&lt;=Imóveis!$T$5),Imóveis!$U$5,0),IF((IF(AND(Dados!$A1001&gt;=Imóveis!$Q$5,Dados!$A1001&lt;=Imóveis!$T$5),Imóveis!$S$5-(DATEDIF(Imóveis!$Q$5,Dados!$A1001,"m")),0))=0,0,((Imóveis!$N$5/Imóveis!$S$5)+((Imóveis!$N$5-((Imóveis!$S$5-(IF(AND(Dados!$A1001 &gt;=Imóveis!$Q$5,Dados!$A1001&lt;=Imóveis!$T$5),Imóveis!$S$5-(DATEDIF(Imóveis!$Q$5,Dados!$A1001,"m")),)))*(Imóveis!$N$5/Imóveis!$S$5)))*Imóveis!$P$5))))*IF(AND(Imóveis!$E$5&gt;0,Dados!$A1001&gt;Imóveis!$E$5),0,1)*Imóveis!$I$5</f>
        <v>0</v>
      </c>
      <c r="M1001" s="18">
        <f>IF(Imóveis!$F$6="PRICE",IF(AND(Dados!$A1001&gt;=Imóveis!$Q$6,Dados!$A1001&lt;=Imóveis!$T$6),Imóveis!$U$6,0),IF((IF(AND(Dados!$A1001&gt;=Imóveis!$Q$6,Dados!$A1001&lt;=Imóveis!$T$6),Imóveis!$S$6-(DATEDIF(Imóveis!$Q$6,Dados!$A1001,"m")),0))=0,0,((Imóveis!$N$6/Imóveis!$S$6)+((Imóveis!$N$6-((Imóveis!$S$6-(IF(AND(Dados!$A1001&gt;=Imóveis!$Q$6,Dados!$A1001&lt;=Imóveis!$T$6),Imóveis!$S$6-(DATEDIF(Imóveis!$Q$6,Dados!$A1001,"m")),)))*(Imóveis!$N$6/Imóveis!$S$6)))*Imóveis!$P$6))))*IF(AND(Imóveis!$E$6&gt;0,Dados!$A1001&gt;Imóveis!$E$6),0,1)*Imóveis!$I$6</f>
        <v>0</v>
      </c>
      <c r="N1001" s="18">
        <f t="shared" si="125"/>
        <v>0</v>
      </c>
      <c r="O1001" s="18">
        <f>SUMIFS(Receitas!$F:$F,Receitas!$J:$J,"&lt;="&amp;$A1001,Receitas!$L:$L,"&gt;="&amp;$A1001,Receitas!$C:$C,O$1,Receitas!$M:$M,"Mensal")+SUMIFS(Receitas!$F:$F,Receitas!$J:$J,"&lt;="&amp;$A1001,Receitas!$L:$L,"&gt;="&amp;$A1001,Receitas!$C:$C,O$1,Receitas!$M:$M,$B1001)</f>
        <v>0</v>
      </c>
      <c r="P1001" s="18">
        <f>SUMIFS(Receitas!$F:$F,Receitas!$J:$J,"&lt;="&amp;$A1001,Receitas!$L:$L,"&gt;="&amp;$A1001,Receitas!$C:$C,P$1,Receitas!$M:$M,"Mensal")+SUMIFS(Receitas!$F:$F,Receitas!$J:$J,"&lt;="&amp;$A1001,Receitas!$L:$L,"&gt;="&amp;$A1001,Receitas!$C:$C,P$1,Receitas!$M:$M,$B1001)</f>
        <v>0</v>
      </c>
      <c r="Q1001" s="18">
        <f>SUMIFS(Receitas!$F:$F,Receitas!$J:$J,"&lt;="&amp;$A1001,Receitas!$L:$L,"&gt;="&amp;$A1001,Receitas!$C:$C,Q$1,Receitas!$M:$M,"Mensal")+SUMIFS(Receitas!$F:$F,Receitas!$J:$J,"&lt;="&amp;$A1001,Receitas!$L:$L,"&gt;="&amp;$A1001,Receitas!$C:$C,Q$1,Receitas!$M:$M,$B1001)</f>
        <v>0</v>
      </c>
      <c r="R1001" s="18" cm="1">
        <f t="array" ref="R1001">(IF(AND(Membros!$F$2="Sim",A1001&lt;=MAX(Membros!$E$2:$E$5)),Membros!K$2,IF(AND(A1001&gt;=Membros!J$2,A1001&lt;=MAX(Membros!$E$2:$E$5)),Membros!K$2,0))+IF(AND(Membros!$F$3="Sim",A1001&lt;=MAX(Membros!$E$2:$E$5)),Membros!K$3,IF(AND(A1001&gt;=Membros!J$3,A1001&lt;=MAX(Membros!$E$2:$E$5)),Membros!K$3,0)))*IF(AND(COUNTIFS(Tabela3[Tipo],"Provedor",Tabela3[Simulação Seguro],"Sim")=2,A1001&gt;=MAX(IF(Tabela3[Tipo]="Dependente",Tabela3[Expectativa de Vida (Data)]))),0,1)</f>
        <v>0</v>
      </c>
      <c r="S1001" s="18">
        <f t="shared" si="126"/>
        <v>0</v>
      </c>
      <c r="U1001" s="18">
        <f t="shared" ca="1" si="129"/>
        <v>123796112.52224216</v>
      </c>
      <c r="V1001" s="18">
        <f>SUMIF(Imóveis!E:E,Dados!A:A,Imóveis!Z:Z)-SUMIF(Imóveis!E:E,Dados!A:A,Imóveis!Y:Y)</f>
        <v>0</v>
      </c>
      <c r="W1001" s="18">
        <f>-SUMIF(Projetos!N:N,A1001,Projetos!F:F)</f>
        <v>0</v>
      </c>
      <c r="X1001" s="18">
        <f t="shared" si="123"/>
        <v>0</v>
      </c>
      <c r="Y1001" s="26">
        <f ca="1">(U1001*((Indicadores_Economicos!D$2+1)^(1/12)-1))</f>
        <v>405276.25844563736</v>
      </c>
      <c r="Z1001" s="18">
        <f t="shared" ca="1" si="127"/>
        <v>124201388.78068779</v>
      </c>
      <c r="AA1001" s="18">
        <f ca="1">Auxiliar_Projetos!E1001</f>
        <v>1.0238141277848685E-8</v>
      </c>
      <c r="AB1001" s="18">
        <f ca="1">Auxiliar_Projetos!K1001</f>
        <v>7.8754932906528321E-9</v>
      </c>
      <c r="AC1001" s="18">
        <f ca="1">IF(Z1001-AA1001-AB1001&gt;Investimentos!$C$14,Investimentos!$C$14,IF(Z1001-AA1001-AB1001&lt;Investimentos!$C$14,Z1001-AA1001-AB1001,0))</f>
        <v>300000</v>
      </c>
      <c r="AD1001" s="18">
        <f t="shared" ca="1" si="128"/>
        <v>123901388.78068776</v>
      </c>
      <c r="AE1001" s="18"/>
    </row>
    <row r="1002" spans="1:31" x14ac:dyDescent="0.2">
      <c r="A1002" s="4">
        <v>76093</v>
      </c>
      <c r="B1002" s="5" t="str">
        <f t="shared" si="124"/>
        <v>maio</v>
      </c>
      <c r="C1002" s="5" t="str">
        <f t="shared" si="130"/>
        <v>2108</v>
      </c>
      <c r="D1002" s="5">
        <f>SUMIFS(Despesas!$F:$F,Despesas!$J:$J,"&lt;="&amp;$A1002,Despesas!$L:$L,"&gt;="&amp;$A1002,Despesas!$C:$C,D$1,Despesas!$M:$M,"Mensal")+SUMIFS(Despesas!$F:$F,Despesas!$J:$J,"&lt;="&amp;$A1002,Despesas!$L:$L,"&gt;="&amp;$A1002,Despesas!$C:$C,D$1,Despesas!$M:$M,$B1002)</f>
        <v>0</v>
      </c>
      <c r="E1002" s="18">
        <f>SUMIFS(Despesas!$F:$F,Despesas!$J:$J,"&lt;="&amp;$A1002,Despesas!$L:$L,"&gt;="&amp;$A1002,Despesas!$C:$C,E$1,Despesas!$M:$M,"Mensal")+SUMIFS(Despesas!$F:$F,Despesas!$J:$J,"&lt;="&amp;$A1002,Despesas!$L:$L,"&gt;="&amp;$A1002,Despesas!$C:$C,E$1,Despesas!$M:$M,$B1002)</f>
        <v>0</v>
      </c>
      <c r="F1002" s="5">
        <f>SUMIFS(Despesas!$F:$F,Despesas!$J:$J,"&lt;="&amp;$A1002,Despesas!$L:$L,"&gt;="&amp;$A1002,Despesas!$C:$C,F$1,Despesas!$M:$M,"Mensal")+SUMIFS(Despesas!$F:$F,Despesas!$J:$J,"&lt;="&amp;$A1002,Despesas!$L:$L,"&gt;="&amp;$A1002,Despesas!$C:$C,F$1,Despesas!$M:$M,$B1002)</f>
        <v>0</v>
      </c>
      <c r="G1002" s="5">
        <f>SUMIFS(Despesas!$F:$F,Despesas!$J:$J,"&lt;="&amp;$A1002,Despesas!$L:$L,"&gt;="&amp;$A1002,Despesas!$C:$C,G$1,Despesas!$M:$M,"Mensal")+SUMIFS(Despesas!$F:$F,Despesas!$J:$J,"&lt;="&amp;$A1002,Despesas!$L:$L,"&gt;="&amp;$A1002,Despesas!$C:$C,G$1,Despesas!$M:$M,$B1002)</f>
        <v>0</v>
      </c>
      <c r="H1002" s="18">
        <f>SUMIFS(Despesas!$F:$F,Despesas!$J:$J,"&lt;="&amp;$A1002,Despesas!$L:$L,"&gt;="&amp;$A1002,Despesas!$C:$C,H$1,Despesas!$M:$M,"Mensal")+SUMIFS(Despesas!$F:$F,Despesas!$J:$J,"&lt;="&amp;$A1002,Despesas!$L:$L,"&gt;="&amp;$A1002,Despesas!$C:$C,H$1,Despesas!$M:$M,$B1002)</f>
        <v>0</v>
      </c>
      <c r="I1002" s="18">
        <f>IF(Imóveis!$F$2="PRICE",IF(AND(Dados!$A1002&gt;=Imóveis!$Q$2,Dados!$A1002&lt;=Imóveis!$T$2),Imóveis!$U$2,0),IF((IF(AND(Dados!$A1002&gt;=Imóveis!$Q$2,Dados!$A1002&lt;=Imóveis!$T$2),Imóveis!$S$2-(DATEDIF(Imóveis!$Q$2,Dados!$A1002,"m")),0))=0,0,((Imóveis!$N$2/Imóveis!$S$2)+((Imóveis!$N$2-((Imóveis!$S$2-(IF(AND(Dados!$A1002&gt;=Imóveis!$Q$2,Dados!$A1002&lt;=Imóveis!$T$2),Imóveis!$S$2-(DATEDIF(Imóveis!$Q$2,Dados!$A1002,"m")),)))*(Imóveis!$N$2/Imóveis!$S$2)))*Imóveis!$P$2))))*IF(AND(Imóveis!$E$2&gt;0,Dados!$A1002&gt;Imóveis!$E$2),0,1)</f>
        <v>0</v>
      </c>
      <c r="J1002" s="18">
        <f>IF(Imóveis!$F$3="PRICE",IF(AND(Dados!$A1002&gt;=Imóveis!$Q$3,Dados!$A1002&lt;=Imóveis!$T$3),Imóveis!$U$3,0),IF((IF(AND(Dados!$A1002&gt;=Imóveis!$Q$3,Dados!$A1002&lt;=Imóveis!$T$3),Imóveis!$S$3-(DATEDIF(Imóveis!$Q$3,Dados!$A1002,"m")),0))=0,0,((Imóveis!$N$3/Imóveis!$S$3)+((Imóveis!$N$3-((Imóveis!$S$3-(IF(AND(Dados!$A1002&gt;=Imóveis!$Q$3,Dados!$A1002&lt;=Imóveis!$T$3),Imóveis!$S$3-(DATEDIF(Imóveis!$Q$3,Dados!$A1002,"m")),)))*(Imóveis!$N$3/Imóveis!$S$3)))*Imóveis!$P$3))))*IF(AND(Imóveis!$E$3&gt;0,Dados!$A1002&gt;Imóveis!$E$3),0,1)</f>
        <v>0</v>
      </c>
      <c r="K1002" s="18">
        <f>IF(Imóveis!$F$4="PRICE",IF(AND(Dados!$A1002&gt;=Imóveis!$Q$4,Dados!$A1002&lt;=Imóveis!$T$4),Imóveis!$U$4,0),IF((IF(AND(Dados!$A1002&gt;=Imóveis!$Q$4,Dados!$A1002&lt;=Imóveis!$T$4),Imóveis!$S$4-(DATEDIF(Imóveis!$Q$4,Dados!$A1002,"m")),0))=0,0,((Imóveis!$N$4/Imóveis!$S$4)+((Imóveis!$N$4-((Imóveis!$S$4-(IF(AND(Dados!$A1002&gt;=Imóveis!$Q$4,Dados!$A1002&lt;=Imóveis!$T$4),Imóveis!$S$4-(DATEDIF(Imóveis!$Q$4,Dados!$A1002,"m")),)))*(Imóveis!$N$4/Imóveis!$S$4)))*Imóveis!$P$4))))*IF(AND(Imóveis!$E$4&gt;0,Dados!$A1002&gt;Imóveis!$E$4),0,1)</f>
        <v>0</v>
      </c>
      <c r="L1002" s="18">
        <f>IF(Imóveis!$F$5="PRICE",IF(AND(Dados!$A1002&gt;=Imóveis!$Q$5,Dados!$A1002&lt;=Imóveis!$T$5),Imóveis!$U$5,0),IF((IF(AND(Dados!$A1002&gt;=Imóveis!$Q$5,Dados!$A1002&lt;=Imóveis!$T$5),Imóveis!$S$5-(DATEDIF(Imóveis!$Q$5,Dados!$A1002,"m")),0))=0,0,((Imóveis!$N$5/Imóveis!$S$5)+((Imóveis!$N$5-((Imóveis!$S$5-(IF(AND(Dados!$A1002 &gt;=Imóveis!$Q$5,Dados!$A1002&lt;=Imóveis!$T$5),Imóveis!$S$5-(DATEDIF(Imóveis!$Q$5,Dados!$A1002,"m")),)))*(Imóveis!$N$5/Imóveis!$S$5)))*Imóveis!$P$5))))*IF(AND(Imóveis!$E$5&gt;0,Dados!$A1002&gt;Imóveis!$E$5),0,1)*Imóveis!$I$5</f>
        <v>0</v>
      </c>
      <c r="M1002" s="18">
        <f>IF(Imóveis!$F$6="PRICE",IF(AND(Dados!$A1002&gt;=Imóveis!$Q$6,Dados!$A1002&lt;=Imóveis!$T$6),Imóveis!$U$6,0),IF((IF(AND(Dados!$A1002&gt;=Imóveis!$Q$6,Dados!$A1002&lt;=Imóveis!$T$6),Imóveis!$S$6-(DATEDIF(Imóveis!$Q$6,Dados!$A1002,"m")),0))=0,0,((Imóveis!$N$6/Imóveis!$S$6)+((Imóveis!$N$6-((Imóveis!$S$6-(IF(AND(Dados!$A1002&gt;=Imóveis!$Q$6,Dados!$A1002&lt;=Imóveis!$T$6),Imóveis!$S$6-(DATEDIF(Imóveis!$Q$6,Dados!$A1002,"m")),)))*(Imóveis!$N$6/Imóveis!$S$6)))*Imóveis!$P$6))))*IF(AND(Imóveis!$E$6&gt;0,Dados!$A1002&gt;Imóveis!$E$6),0,1)*Imóveis!$I$6</f>
        <v>0</v>
      </c>
      <c r="N1002" s="18">
        <f t="shared" si="125"/>
        <v>0</v>
      </c>
      <c r="O1002" s="18">
        <f>SUMIFS(Receitas!$F:$F,Receitas!$J:$J,"&lt;="&amp;$A1002,Receitas!$L:$L,"&gt;="&amp;$A1002,Receitas!$C:$C,O$1,Receitas!$M:$M,"Mensal")+SUMIFS(Receitas!$F:$F,Receitas!$J:$J,"&lt;="&amp;$A1002,Receitas!$L:$L,"&gt;="&amp;$A1002,Receitas!$C:$C,O$1,Receitas!$M:$M,$B1002)</f>
        <v>0</v>
      </c>
      <c r="P1002" s="18">
        <f>SUMIFS(Receitas!$F:$F,Receitas!$J:$J,"&lt;="&amp;$A1002,Receitas!$L:$L,"&gt;="&amp;$A1002,Receitas!$C:$C,P$1,Receitas!$M:$M,"Mensal")+SUMIFS(Receitas!$F:$F,Receitas!$J:$J,"&lt;="&amp;$A1002,Receitas!$L:$L,"&gt;="&amp;$A1002,Receitas!$C:$C,P$1,Receitas!$M:$M,$B1002)</f>
        <v>0</v>
      </c>
      <c r="Q1002" s="18">
        <f>SUMIFS(Receitas!$F:$F,Receitas!$J:$J,"&lt;="&amp;$A1002,Receitas!$L:$L,"&gt;="&amp;$A1002,Receitas!$C:$C,Q$1,Receitas!$M:$M,"Mensal")+SUMIFS(Receitas!$F:$F,Receitas!$J:$J,"&lt;="&amp;$A1002,Receitas!$L:$L,"&gt;="&amp;$A1002,Receitas!$C:$C,Q$1,Receitas!$M:$M,$B1002)</f>
        <v>0</v>
      </c>
      <c r="R1002" s="18" cm="1">
        <f t="array" ref="R1002">(IF(AND(Membros!$F$2="Sim",A1002&lt;=MAX(Membros!$E$2:$E$5)),Membros!K$2,IF(AND(A1002&gt;=Membros!J$2,A1002&lt;=MAX(Membros!$E$2:$E$5)),Membros!K$2,0))+IF(AND(Membros!$F$3="Sim",A1002&lt;=MAX(Membros!$E$2:$E$5)),Membros!K$3,IF(AND(A1002&gt;=Membros!J$3,A1002&lt;=MAX(Membros!$E$2:$E$5)),Membros!K$3,0)))*IF(AND(COUNTIFS(Tabela3[Tipo],"Provedor",Tabela3[Simulação Seguro],"Sim")=2,A1002&gt;=MAX(IF(Tabela3[Tipo]="Dependente",Tabela3[Expectativa de Vida (Data)]))),0,1)</f>
        <v>0</v>
      </c>
      <c r="S1002" s="18">
        <f t="shared" si="126"/>
        <v>0</v>
      </c>
      <c r="U1002" s="18">
        <f t="shared" ca="1" si="129"/>
        <v>124201388.78068779</v>
      </c>
      <c r="V1002" s="18">
        <f>SUMIF(Imóveis!E:E,Dados!A:A,Imóveis!Z:Z)-SUMIF(Imóveis!E:E,Dados!A:A,Imóveis!Y:Y)</f>
        <v>0</v>
      </c>
      <c r="W1002" s="18">
        <f>-SUMIF(Projetos!N:N,A1002,Projetos!F:F)</f>
        <v>0</v>
      </c>
      <c r="X1002" s="18">
        <f t="shared" si="123"/>
        <v>0</v>
      </c>
      <c r="Y1002" s="26">
        <f ca="1">(U1002*((Indicadores_Economicos!D$2+1)^(1/12)-1))</f>
        <v>406603.02745569154</v>
      </c>
      <c r="Z1002" s="18">
        <f t="shared" ca="1" si="127"/>
        <v>124607991.80814348</v>
      </c>
      <c r="AA1002" s="18">
        <f ca="1">Auxiliar_Projetos!E1002</f>
        <v>1.0271658288245751E-8</v>
      </c>
      <c r="AB1002" s="18">
        <f ca="1">Auxiliar_Projetos!K1002</f>
        <v>7.9012756063428831E-9</v>
      </c>
      <c r="AC1002" s="18">
        <f ca="1">IF(Z1002-AA1002-AB1002&gt;Investimentos!$C$14,Investimentos!$C$14,IF(Z1002-AA1002-AB1002&lt;Investimentos!$C$14,Z1002-AA1002-AB1002,0))</f>
        <v>300000</v>
      </c>
      <c r="AD1002" s="18">
        <f t="shared" ca="1" si="128"/>
        <v>124307991.80814345</v>
      </c>
      <c r="AE1002" s="18"/>
    </row>
    <row r="1003" spans="1:31" x14ac:dyDescent="0.2">
      <c r="A1003" s="4">
        <v>76124</v>
      </c>
      <c r="B1003" s="5" t="str">
        <f t="shared" si="124"/>
        <v>junho</v>
      </c>
      <c r="C1003" s="5" t="str">
        <f t="shared" si="130"/>
        <v>2108</v>
      </c>
      <c r="D1003" s="5">
        <f>SUMIFS(Despesas!$F:$F,Despesas!$J:$J,"&lt;="&amp;$A1003,Despesas!$L:$L,"&gt;="&amp;$A1003,Despesas!$C:$C,D$1,Despesas!$M:$M,"Mensal")+SUMIFS(Despesas!$F:$F,Despesas!$J:$J,"&lt;="&amp;$A1003,Despesas!$L:$L,"&gt;="&amp;$A1003,Despesas!$C:$C,D$1,Despesas!$M:$M,$B1003)</f>
        <v>0</v>
      </c>
      <c r="E1003" s="18">
        <f>SUMIFS(Despesas!$F:$F,Despesas!$J:$J,"&lt;="&amp;$A1003,Despesas!$L:$L,"&gt;="&amp;$A1003,Despesas!$C:$C,E$1,Despesas!$M:$M,"Mensal")+SUMIFS(Despesas!$F:$F,Despesas!$J:$J,"&lt;="&amp;$A1003,Despesas!$L:$L,"&gt;="&amp;$A1003,Despesas!$C:$C,E$1,Despesas!$M:$M,$B1003)</f>
        <v>0</v>
      </c>
      <c r="F1003" s="5">
        <f>SUMIFS(Despesas!$F:$F,Despesas!$J:$J,"&lt;="&amp;$A1003,Despesas!$L:$L,"&gt;="&amp;$A1003,Despesas!$C:$C,F$1,Despesas!$M:$M,"Mensal")+SUMIFS(Despesas!$F:$F,Despesas!$J:$J,"&lt;="&amp;$A1003,Despesas!$L:$L,"&gt;="&amp;$A1003,Despesas!$C:$C,F$1,Despesas!$M:$M,$B1003)</f>
        <v>0</v>
      </c>
      <c r="G1003" s="5">
        <f>SUMIFS(Despesas!$F:$F,Despesas!$J:$J,"&lt;="&amp;$A1003,Despesas!$L:$L,"&gt;="&amp;$A1003,Despesas!$C:$C,G$1,Despesas!$M:$M,"Mensal")+SUMIFS(Despesas!$F:$F,Despesas!$J:$J,"&lt;="&amp;$A1003,Despesas!$L:$L,"&gt;="&amp;$A1003,Despesas!$C:$C,G$1,Despesas!$M:$M,$B1003)</f>
        <v>0</v>
      </c>
      <c r="H1003" s="18">
        <f>SUMIFS(Despesas!$F:$F,Despesas!$J:$J,"&lt;="&amp;$A1003,Despesas!$L:$L,"&gt;="&amp;$A1003,Despesas!$C:$C,H$1,Despesas!$M:$M,"Mensal")+SUMIFS(Despesas!$F:$F,Despesas!$J:$J,"&lt;="&amp;$A1003,Despesas!$L:$L,"&gt;="&amp;$A1003,Despesas!$C:$C,H$1,Despesas!$M:$M,$B1003)</f>
        <v>0</v>
      </c>
      <c r="I1003" s="18">
        <f>IF(Imóveis!$F$2="PRICE",IF(AND(Dados!$A1003&gt;=Imóveis!$Q$2,Dados!$A1003&lt;=Imóveis!$T$2),Imóveis!$U$2,0),IF((IF(AND(Dados!$A1003&gt;=Imóveis!$Q$2,Dados!$A1003&lt;=Imóveis!$T$2),Imóveis!$S$2-(DATEDIF(Imóveis!$Q$2,Dados!$A1003,"m")),0))=0,0,((Imóveis!$N$2/Imóveis!$S$2)+((Imóveis!$N$2-((Imóveis!$S$2-(IF(AND(Dados!$A1003&gt;=Imóveis!$Q$2,Dados!$A1003&lt;=Imóveis!$T$2),Imóveis!$S$2-(DATEDIF(Imóveis!$Q$2,Dados!$A1003,"m")),)))*(Imóveis!$N$2/Imóveis!$S$2)))*Imóveis!$P$2))))*IF(AND(Imóveis!$E$2&gt;0,Dados!$A1003&gt;Imóveis!$E$2),0,1)</f>
        <v>0</v>
      </c>
      <c r="J1003" s="18">
        <f>IF(Imóveis!$F$3="PRICE",IF(AND(Dados!$A1003&gt;=Imóveis!$Q$3,Dados!$A1003&lt;=Imóveis!$T$3),Imóveis!$U$3,0),IF((IF(AND(Dados!$A1003&gt;=Imóveis!$Q$3,Dados!$A1003&lt;=Imóveis!$T$3),Imóveis!$S$3-(DATEDIF(Imóveis!$Q$3,Dados!$A1003,"m")),0))=0,0,((Imóveis!$N$3/Imóveis!$S$3)+((Imóveis!$N$3-((Imóveis!$S$3-(IF(AND(Dados!$A1003&gt;=Imóveis!$Q$3,Dados!$A1003&lt;=Imóveis!$T$3),Imóveis!$S$3-(DATEDIF(Imóveis!$Q$3,Dados!$A1003,"m")),)))*(Imóveis!$N$3/Imóveis!$S$3)))*Imóveis!$P$3))))*IF(AND(Imóveis!$E$3&gt;0,Dados!$A1003&gt;Imóveis!$E$3),0,1)</f>
        <v>0</v>
      </c>
      <c r="K1003" s="18">
        <f>IF(Imóveis!$F$4="PRICE",IF(AND(Dados!$A1003&gt;=Imóveis!$Q$4,Dados!$A1003&lt;=Imóveis!$T$4),Imóveis!$U$4,0),IF((IF(AND(Dados!$A1003&gt;=Imóveis!$Q$4,Dados!$A1003&lt;=Imóveis!$T$4),Imóveis!$S$4-(DATEDIF(Imóveis!$Q$4,Dados!$A1003,"m")),0))=0,0,((Imóveis!$N$4/Imóveis!$S$4)+((Imóveis!$N$4-((Imóveis!$S$4-(IF(AND(Dados!$A1003&gt;=Imóveis!$Q$4,Dados!$A1003&lt;=Imóveis!$T$4),Imóveis!$S$4-(DATEDIF(Imóveis!$Q$4,Dados!$A1003,"m")),)))*(Imóveis!$N$4/Imóveis!$S$4)))*Imóveis!$P$4))))*IF(AND(Imóveis!$E$4&gt;0,Dados!$A1003&gt;Imóveis!$E$4),0,1)</f>
        <v>0</v>
      </c>
      <c r="L1003" s="18">
        <f>IF(Imóveis!$F$5="PRICE",IF(AND(Dados!$A1003&gt;=Imóveis!$Q$5,Dados!$A1003&lt;=Imóveis!$T$5),Imóveis!$U$5,0),IF((IF(AND(Dados!$A1003&gt;=Imóveis!$Q$5,Dados!$A1003&lt;=Imóveis!$T$5),Imóveis!$S$5-(DATEDIF(Imóveis!$Q$5,Dados!$A1003,"m")),0))=0,0,((Imóveis!$N$5/Imóveis!$S$5)+((Imóveis!$N$5-((Imóveis!$S$5-(IF(AND(Dados!$A1003 &gt;=Imóveis!$Q$5,Dados!$A1003&lt;=Imóveis!$T$5),Imóveis!$S$5-(DATEDIF(Imóveis!$Q$5,Dados!$A1003,"m")),)))*(Imóveis!$N$5/Imóveis!$S$5)))*Imóveis!$P$5))))*IF(AND(Imóveis!$E$5&gt;0,Dados!$A1003&gt;Imóveis!$E$5),0,1)*Imóveis!$I$5</f>
        <v>0</v>
      </c>
      <c r="M1003" s="18">
        <f>IF(Imóveis!$F$6="PRICE",IF(AND(Dados!$A1003&gt;=Imóveis!$Q$6,Dados!$A1003&lt;=Imóveis!$T$6),Imóveis!$U$6,0),IF((IF(AND(Dados!$A1003&gt;=Imóveis!$Q$6,Dados!$A1003&lt;=Imóveis!$T$6),Imóveis!$S$6-(DATEDIF(Imóveis!$Q$6,Dados!$A1003,"m")),0))=0,0,((Imóveis!$N$6/Imóveis!$S$6)+((Imóveis!$N$6-((Imóveis!$S$6-(IF(AND(Dados!$A1003&gt;=Imóveis!$Q$6,Dados!$A1003&lt;=Imóveis!$T$6),Imóveis!$S$6-(DATEDIF(Imóveis!$Q$6,Dados!$A1003,"m")),)))*(Imóveis!$N$6/Imóveis!$S$6)))*Imóveis!$P$6))))*IF(AND(Imóveis!$E$6&gt;0,Dados!$A1003&gt;Imóveis!$E$6),0,1)*Imóveis!$I$6</f>
        <v>0</v>
      </c>
      <c r="N1003" s="18">
        <f t="shared" si="125"/>
        <v>0</v>
      </c>
      <c r="O1003" s="18">
        <f>SUMIFS(Receitas!$F:$F,Receitas!$J:$J,"&lt;="&amp;$A1003,Receitas!$L:$L,"&gt;="&amp;$A1003,Receitas!$C:$C,O$1,Receitas!$M:$M,"Mensal")+SUMIFS(Receitas!$F:$F,Receitas!$J:$J,"&lt;="&amp;$A1003,Receitas!$L:$L,"&gt;="&amp;$A1003,Receitas!$C:$C,O$1,Receitas!$M:$M,$B1003)</f>
        <v>0</v>
      </c>
      <c r="P1003" s="18">
        <f>SUMIFS(Receitas!$F:$F,Receitas!$J:$J,"&lt;="&amp;$A1003,Receitas!$L:$L,"&gt;="&amp;$A1003,Receitas!$C:$C,P$1,Receitas!$M:$M,"Mensal")+SUMIFS(Receitas!$F:$F,Receitas!$J:$J,"&lt;="&amp;$A1003,Receitas!$L:$L,"&gt;="&amp;$A1003,Receitas!$C:$C,P$1,Receitas!$M:$M,$B1003)</f>
        <v>0</v>
      </c>
      <c r="Q1003" s="18">
        <f>SUMIFS(Receitas!$F:$F,Receitas!$J:$J,"&lt;="&amp;$A1003,Receitas!$L:$L,"&gt;="&amp;$A1003,Receitas!$C:$C,Q$1,Receitas!$M:$M,"Mensal")+SUMIFS(Receitas!$F:$F,Receitas!$J:$J,"&lt;="&amp;$A1003,Receitas!$L:$L,"&gt;="&amp;$A1003,Receitas!$C:$C,Q$1,Receitas!$M:$M,$B1003)</f>
        <v>0</v>
      </c>
      <c r="R1003" s="18" cm="1">
        <f t="array" ref="R1003">(IF(AND(Membros!$F$2="Sim",A1003&lt;=MAX(Membros!$E$2:$E$5)),Membros!K$2,IF(AND(A1003&gt;=Membros!J$2,A1003&lt;=MAX(Membros!$E$2:$E$5)),Membros!K$2,0))+IF(AND(Membros!$F$3="Sim",A1003&lt;=MAX(Membros!$E$2:$E$5)),Membros!K$3,IF(AND(A1003&gt;=Membros!J$3,A1003&lt;=MAX(Membros!$E$2:$E$5)),Membros!K$3,0)))*IF(AND(COUNTIFS(Tabela3[Tipo],"Provedor",Tabela3[Simulação Seguro],"Sim")=2,A1003&gt;=MAX(IF(Tabela3[Tipo]="Dependente",Tabela3[Expectativa de Vida (Data)]))),0,1)</f>
        <v>0</v>
      </c>
      <c r="S1003" s="18">
        <f t="shared" si="126"/>
        <v>0</v>
      </c>
      <c r="U1003" s="18">
        <f t="shared" ca="1" si="129"/>
        <v>124607991.80814348</v>
      </c>
      <c r="V1003" s="18">
        <f>SUMIF(Imóveis!E:E,Dados!A:A,Imóveis!Z:Z)-SUMIF(Imóveis!E:E,Dados!A:A,Imóveis!Y:Y)</f>
        <v>0</v>
      </c>
      <c r="W1003" s="18">
        <f>-SUMIF(Projetos!N:N,A1003,Projetos!F:F)</f>
        <v>0</v>
      </c>
      <c r="X1003" s="18">
        <f t="shared" si="123"/>
        <v>0</v>
      </c>
      <c r="Y1003" s="26">
        <f ca="1">(U1003*((Indicadores_Economicos!D$2+1)^(1/12)-1))</f>
        <v>407934.13996223576</v>
      </c>
      <c r="Z1003" s="18">
        <f t="shared" ca="1" si="127"/>
        <v>125015925.94810572</v>
      </c>
      <c r="AA1003" s="18">
        <f ca="1">Auxiliar_Projetos!E1003</f>
        <v>1.0305285024613135E-8</v>
      </c>
      <c r="AB1003" s="18">
        <f ca="1">Auxiliar_Projetos!K1003</f>
        <v>7.9271423266254859E-9</v>
      </c>
      <c r="AC1003" s="18">
        <f ca="1">IF(Z1003-AA1003-AB1003&gt;Investimentos!$C$14,Investimentos!$C$14,IF(Z1003-AA1003-AB1003&lt;Investimentos!$C$14,Z1003-AA1003-AB1003,0))</f>
        <v>300000</v>
      </c>
      <c r="AD1003" s="18">
        <f t="shared" ca="1" si="128"/>
        <v>124715925.94810569</v>
      </c>
      <c r="AE1003" s="18"/>
    </row>
    <row r="1004" spans="1:31" x14ac:dyDescent="0.2">
      <c r="A1004" s="4">
        <v>76154</v>
      </c>
      <c r="B1004" s="5" t="str">
        <f t="shared" si="124"/>
        <v>julho</v>
      </c>
      <c r="C1004" s="5" t="str">
        <f t="shared" si="130"/>
        <v>2108</v>
      </c>
      <c r="D1004" s="5">
        <f>SUMIFS(Despesas!$F:$F,Despesas!$J:$J,"&lt;="&amp;$A1004,Despesas!$L:$L,"&gt;="&amp;$A1004,Despesas!$C:$C,D$1,Despesas!$M:$M,"Mensal")+SUMIFS(Despesas!$F:$F,Despesas!$J:$J,"&lt;="&amp;$A1004,Despesas!$L:$L,"&gt;="&amp;$A1004,Despesas!$C:$C,D$1,Despesas!$M:$M,$B1004)</f>
        <v>0</v>
      </c>
      <c r="E1004" s="18">
        <f>SUMIFS(Despesas!$F:$F,Despesas!$J:$J,"&lt;="&amp;$A1004,Despesas!$L:$L,"&gt;="&amp;$A1004,Despesas!$C:$C,E$1,Despesas!$M:$M,"Mensal")+SUMIFS(Despesas!$F:$F,Despesas!$J:$J,"&lt;="&amp;$A1004,Despesas!$L:$L,"&gt;="&amp;$A1004,Despesas!$C:$C,E$1,Despesas!$M:$M,$B1004)</f>
        <v>0</v>
      </c>
      <c r="F1004" s="5">
        <f>SUMIFS(Despesas!$F:$F,Despesas!$J:$J,"&lt;="&amp;$A1004,Despesas!$L:$L,"&gt;="&amp;$A1004,Despesas!$C:$C,F$1,Despesas!$M:$M,"Mensal")+SUMIFS(Despesas!$F:$F,Despesas!$J:$J,"&lt;="&amp;$A1004,Despesas!$L:$L,"&gt;="&amp;$A1004,Despesas!$C:$C,F$1,Despesas!$M:$M,$B1004)</f>
        <v>0</v>
      </c>
      <c r="G1004" s="5">
        <f>SUMIFS(Despesas!$F:$F,Despesas!$J:$J,"&lt;="&amp;$A1004,Despesas!$L:$L,"&gt;="&amp;$A1004,Despesas!$C:$C,G$1,Despesas!$M:$M,"Mensal")+SUMIFS(Despesas!$F:$F,Despesas!$J:$J,"&lt;="&amp;$A1004,Despesas!$L:$L,"&gt;="&amp;$A1004,Despesas!$C:$C,G$1,Despesas!$M:$M,$B1004)</f>
        <v>0</v>
      </c>
      <c r="H1004" s="18">
        <f>SUMIFS(Despesas!$F:$F,Despesas!$J:$J,"&lt;="&amp;$A1004,Despesas!$L:$L,"&gt;="&amp;$A1004,Despesas!$C:$C,H$1,Despesas!$M:$M,"Mensal")+SUMIFS(Despesas!$F:$F,Despesas!$J:$J,"&lt;="&amp;$A1004,Despesas!$L:$L,"&gt;="&amp;$A1004,Despesas!$C:$C,H$1,Despesas!$M:$M,$B1004)</f>
        <v>0</v>
      </c>
      <c r="I1004" s="18">
        <f>IF(Imóveis!$F$2="PRICE",IF(AND(Dados!$A1004&gt;=Imóveis!$Q$2,Dados!$A1004&lt;=Imóveis!$T$2),Imóveis!$U$2,0),IF((IF(AND(Dados!$A1004&gt;=Imóveis!$Q$2,Dados!$A1004&lt;=Imóveis!$T$2),Imóveis!$S$2-(DATEDIF(Imóveis!$Q$2,Dados!$A1004,"m")),0))=0,0,((Imóveis!$N$2/Imóveis!$S$2)+((Imóveis!$N$2-((Imóveis!$S$2-(IF(AND(Dados!$A1004&gt;=Imóveis!$Q$2,Dados!$A1004&lt;=Imóveis!$T$2),Imóveis!$S$2-(DATEDIF(Imóveis!$Q$2,Dados!$A1004,"m")),)))*(Imóveis!$N$2/Imóveis!$S$2)))*Imóveis!$P$2))))*IF(AND(Imóveis!$E$2&gt;0,Dados!$A1004&gt;Imóveis!$E$2),0,1)</f>
        <v>0</v>
      </c>
      <c r="J1004" s="18">
        <f>IF(Imóveis!$F$3="PRICE",IF(AND(Dados!$A1004&gt;=Imóveis!$Q$3,Dados!$A1004&lt;=Imóveis!$T$3),Imóveis!$U$3,0),IF((IF(AND(Dados!$A1004&gt;=Imóveis!$Q$3,Dados!$A1004&lt;=Imóveis!$T$3),Imóveis!$S$3-(DATEDIF(Imóveis!$Q$3,Dados!$A1004,"m")),0))=0,0,((Imóveis!$N$3/Imóveis!$S$3)+((Imóveis!$N$3-((Imóveis!$S$3-(IF(AND(Dados!$A1004&gt;=Imóveis!$Q$3,Dados!$A1004&lt;=Imóveis!$T$3),Imóveis!$S$3-(DATEDIF(Imóveis!$Q$3,Dados!$A1004,"m")),)))*(Imóveis!$N$3/Imóveis!$S$3)))*Imóveis!$P$3))))*IF(AND(Imóveis!$E$3&gt;0,Dados!$A1004&gt;Imóveis!$E$3),0,1)</f>
        <v>0</v>
      </c>
      <c r="K1004" s="18">
        <f>IF(Imóveis!$F$4="PRICE",IF(AND(Dados!$A1004&gt;=Imóveis!$Q$4,Dados!$A1004&lt;=Imóveis!$T$4),Imóveis!$U$4,0),IF((IF(AND(Dados!$A1004&gt;=Imóveis!$Q$4,Dados!$A1004&lt;=Imóveis!$T$4),Imóveis!$S$4-(DATEDIF(Imóveis!$Q$4,Dados!$A1004,"m")),0))=0,0,((Imóveis!$N$4/Imóveis!$S$4)+((Imóveis!$N$4-((Imóveis!$S$4-(IF(AND(Dados!$A1004&gt;=Imóveis!$Q$4,Dados!$A1004&lt;=Imóveis!$T$4),Imóveis!$S$4-(DATEDIF(Imóveis!$Q$4,Dados!$A1004,"m")),)))*(Imóveis!$N$4/Imóveis!$S$4)))*Imóveis!$P$4))))*IF(AND(Imóveis!$E$4&gt;0,Dados!$A1004&gt;Imóveis!$E$4),0,1)</f>
        <v>0</v>
      </c>
      <c r="L1004" s="18">
        <f>IF(Imóveis!$F$5="PRICE",IF(AND(Dados!$A1004&gt;=Imóveis!$Q$5,Dados!$A1004&lt;=Imóveis!$T$5),Imóveis!$U$5,0),IF((IF(AND(Dados!$A1004&gt;=Imóveis!$Q$5,Dados!$A1004&lt;=Imóveis!$T$5),Imóveis!$S$5-(DATEDIF(Imóveis!$Q$5,Dados!$A1004,"m")),0))=0,0,((Imóveis!$N$5/Imóveis!$S$5)+((Imóveis!$N$5-((Imóveis!$S$5-(IF(AND(Dados!$A1004 &gt;=Imóveis!$Q$5,Dados!$A1004&lt;=Imóveis!$T$5),Imóveis!$S$5-(DATEDIF(Imóveis!$Q$5,Dados!$A1004,"m")),)))*(Imóveis!$N$5/Imóveis!$S$5)))*Imóveis!$P$5))))*IF(AND(Imóveis!$E$5&gt;0,Dados!$A1004&gt;Imóveis!$E$5),0,1)*Imóveis!$I$5</f>
        <v>0</v>
      </c>
      <c r="M1004" s="18">
        <f>IF(Imóveis!$F$6="PRICE",IF(AND(Dados!$A1004&gt;=Imóveis!$Q$6,Dados!$A1004&lt;=Imóveis!$T$6),Imóveis!$U$6,0),IF((IF(AND(Dados!$A1004&gt;=Imóveis!$Q$6,Dados!$A1004&lt;=Imóveis!$T$6),Imóveis!$S$6-(DATEDIF(Imóveis!$Q$6,Dados!$A1004,"m")),0))=0,0,((Imóveis!$N$6/Imóveis!$S$6)+((Imóveis!$N$6-((Imóveis!$S$6-(IF(AND(Dados!$A1004&gt;=Imóveis!$Q$6,Dados!$A1004&lt;=Imóveis!$T$6),Imóveis!$S$6-(DATEDIF(Imóveis!$Q$6,Dados!$A1004,"m")),)))*(Imóveis!$N$6/Imóveis!$S$6)))*Imóveis!$P$6))))*IF(AND(Imóveis!$E$6&gt;0,Dados!$A1004&gt;Imóveis!$E$6),0,1)*Imóveis!$I$6</f>
        <v>0</v>
      </c>
      <c r="N1004" s="18">
        <f t="shared" si="125"/>
        <v>0</v>
      </c>
      <c r="O1004" s="18">
        <f>SUMIFS(Receitas!$F:$F,Receitas!$J:$J,"&lt;="&amp;$A1004,Receitas!$L:$L,"&gt;="&amp;$A1004,Receitas!$C:$C,O$1,Receitas!$M:$M,"Mensal")+SUMIFS(Receitas!$F:$F,Receitas!$J:$J,"&lt;="&amp;$A1004,Receitas!$L:$L,"&gt;="&amp;$A1004,Receitas!$C:$C,O$1,Receitas!$M:$M,$B1004)</f>
        <v>0</v>
      </c>
      <c r="P1004" s="18">
        <f>SUMIFS(Receitas!$F:$F,Receitas!$J:$J,"&lt;="&amp;$A1004,Receitas!$L:$L,"&gt;="&amp;$A1004,Receitas!$C:$C,P$1,Receitas!$M:$M,"Mensal")+SUMIFS(Receitas!$F:$F,Receitas!$J:$J,"&lt;="&amp;$A1004,Receitas!$L:$L,"&gt;="&amp;$A1004,Receitas!$C:$C,P$1,Receitas!$M:$M,$B1004)</f>
        <v>0</v>
      </c>
      <c r="Q1004" s="18">
        <f>SUMIFS(Receitas!$F:$F,Receitas!$J:$J,"&lt;="&amp;$A1004,Receitas!$L:$L,"&gt;="&amp;$A1004,Receitas!$C:$C,Q$1,Receitas!$M:$M,"Mensal")+SUMIFS(Receitas!$F:$F,Receitas!$J:$J,"&lt;="&amp;$A1004,Receitas!$L:$L,"&gt;="&amp;$A1004,Receitas!$C:$C,Q$1,Receitas!$M:$M,$B1004)</f>
        <v>0</v>
      </c>
      <c r="R1004" s="18" cm="1">
        <f t="array" ref="R1004">(IF(AND(Membros!$F$2="Sim",A1004&lt;=MAX(Membros!$E$2:$E$5)),Membros!K$2,IF(AND(A1004&gt;=Membros!J$2,A1004&lt;=MAX(Membros!$E$2:$E$5)),Membros!K$2,0))+IF(AND(Membros!$F$3="Sim",A1004&lt;=MAX(Membros!$E$2:$E$5)),Membros!K$3,IF(AND(A1004&gt;=Membros!J$3,A1004&lt;=MAX(Membros!$E$2:$E$5)),Membros!K$3,0)))*IF(AND(COUNTIFS(Tabela3[Tipo],"Provedor",Tabela3[Simulação Seguro],"Sim")=2,A1004&gt;=MAX(IF(Tabela3[Tipo]="Dependente",Tabela3[Expectativa de Vida (Data)]))),0,1)</f>
        <v>0</v>
      </c>
      <c r="S1004" s="18">
        <f t="shared" si="126"/>
        <v>0</v>
      </c>
      <c r="U1004" s="18">
        <f t="shared" ca="1" si="129"/>
        <v>125015925.94810572</v>
      </c>
      <c r="V1004" s="18">
        <f>SUMIF(Imóveis!E:E,Dados!A:A,Imóveis!Z:Z)-SUMIF(Imóveis!E:E,Dados!A:A,Imóveis!Y:Y)</f>
        <v>0</v>
      </c>
      <c r="W1004" s="18">
        <f>-SUMIF(Projetos!N:N,A1004,Projetos!F:F)</f>
        <v>0</v>
      </c>
      <c r="X1004" s="18">
        <f t="shared" si="123"/>
        <v>0</v>
      </c>
      <c r="Y1004" s="26">
        <f ca="1">(U1004*((Indicadores_Economicos!D$2+1)^(1/12)-1))</f>
        <v>409269.61018474726</v>
      </c>
      <c r="Z1004" s="18">
        <f t="shared" ca="1" si="127"/>
        <v>125425195.55829047</v>
      </c>
      <c r="AA1004" s="18">
        <f ca="1">Auxiliar_Projetos!E1004</f>
        <v>1.033902184616511E-8</v>
      </c>
      <c r="AB1004" s="18">
        <f ca="1">Auxiliar_Projetos!K1004</f>
        <v>7.9530937278193134E-9</v>
      </c>
      <c r="AC1004" s="18">
        <f ca="1">IF(Z1004-AA1004-AB1004&gt;Investimentos!$C$14,Investimentos!$C$14,IF(Z1004-AA1004-AB1004&lt;Investimentos!$C$14,Z1004-AA1004-AB1004,0))</f>
        <v>300000</v>
      </c>
      <c r="AD1004" s="18">
        <f t="shared" ca="1" si="128"/>
        <v>125125195.55829044</v>
      </c>
      <c r="AE1004" s="18"/>
    </row>
    <row r="1005" spans="1:31" x14ac:dyDescent="0.2">
      <c r="A1005" s="4">
        <v>76185</v>
      </c>
      <c r="B1005" s="5" t="str">
        <f t="shared" si="124"/>
        <v>agosto</v>
      </c>
      <c r="C1005" s="5" t="str">
        <f t="shared" si="130"/>
        <v>2108</v>
      </c>
      <c r="D1005" s="5">
        <f>SUMIFS(Despesas!$F:$F,Despesas!$J:$J,"&lt;="&amp;$A1005,Despesas!$L:$L,"&gt;="&amp;$A1005,Despesas!$C:$C,D$1,Despesas!$M:$M,"Mensal")+SUMIFS(Despesas!$F:$F,Despesas!$J:$J,"&lt;="&amp;$A1005,Despesas!$L:$L,"&gt;="&amp;$A1005,Despesas!$C:$C,D$1,Despesas!$M:$M,$B1005)</f>
        <v>0</v>
      </c>
      <c r="E1005" s="18">
        <f>SUMIFS(Despesas!$F:$F,Despesas!$J:$J,"&lt;="&amp;$A1005,Despesas!$L:$L,"&gt;="&amp;$A1005,Despesas!$C:$C,E$1,Despesas!$M:$M,"Mensal")+SUMIFS(Despesas!$F:$F,Despesas!$J:$J,"&lt;="&amp;$A1005,Despesas!$L:$L,"&gt;="&amp;$A1005,Despesas!$C:$C,E$1,Despesas!$M:$M,$B1005)</f>
        <v>0</v>
      </c>
      <c r="F1005" s="5">
        <f>SUMIFS(Despesas!$F:$F,Despesas!$J:$J,"&lt;="&amp;$A1005,Despesas!$L:$L,"&gt;="&amp;$A1005,Despesas!$C:$C,F$1,Despesas!$M:$M,"Mensal")+SUMIFS(Despesas!$F:$F,Despesas!$J:$J,"&lt;="&amp;$A1005,Despesas!$L:$L,"&gt;="&amp;$A1005,Despesas!$C:$C,F$1,Despesas!$M:$M,$B1005)</f>
        <v>0</v>
      </c>
      <c r="G1005" s="5">
        <f>SUMIFS(Despesas!$F:$F,Despesas!$J:$J,"&lt;="&amp;$A1005,Despesas!$L:$L,"&gt;="&amp;$A1005,Despesas!$C:$C,G$1,Despesas!$M:$M,"Mensal")+SUMIFS(Despesas!$F:$F,Despesas!$J:$J,"&lt;="&amp;$A1005,Despesas!$L:$L,"&gt;="&amp;$A1005,Despesas!$C:$C,G$1,Despesas!$M:$M,$B1005)</f>
        <v>0</v>
      </c>
      <c r="H1005" s="18">
        <f>SUMIFS(Despesas!$F:$F,Despesas!$J:$J,"&lt;="&amp;$A1005,Despesas!$L:$L,"&gt;="&amp;$A1005,Despesas!$C:$C,H$1,Despesas!$M:$M,"Mensal")+SUMIFS(Despesas!$F:$F,Despesas!$J:$J,"&lt;="&amp;$A1005,Despesas!$L:$L,"&gt;="&amp;$A1005,Despesas!$C:$C,H$1,Despesas!$M:$M,$B1005)</f>
        <v>0</v>
      </c>
      <c r="I1005" s="18">
        <f>IF(Imóveis!$F$2="PRICE",IF(AND(Dados!$A1005&gt;=Imóveis!$Q$2,Dados!$A1005&lt;=Imóveis!$T$2),Imóveis!$U$2,0),IF((IF(AND(Dados!$A1005&gt;=Imóveis!$Q$2,Dados!$A1005&lt;=Imóveis!$T$2),Imóveis!$S$2-(DATEDIF(Imóveis!$Q$2,Dados!$A1005,"m")),0))=0,0,((Imóveis!$N$2/Imóveis!$S$2)+((Imóveis!$N$2-((Imóveis!$S$2-(IF(AND(Dados!$A1005&gt;=Imóveis!$Q$2,Dados!$A1005&lt;=Imóveis!$T$2),Imóveis!$S$2-(DATEDIF(Imóveis!$Q$2,Dados!$A1005,"m")),)))*(Imóveis!$N$2/Imóveis!$S$2)))*Imóveis!$P$2))))*IF(AND(Imóveis!$E$2&gt;0,Dados!$A1005&gt;Imóveis!$E$2),0,1)</f>
        <v>0</v>
      </c>
      <c r="J1005" s="18">
        <f>IF(Imóveis!$F$3="PRICE",IF(AND(Dados!$A1005&gt;=Imóveis!$Q$3,Dados!$A1005&lt;=Imóveis!$T$3),Imóveis!$U$3,0),IF((IF(AND(Dados!$A1005&gt;=Imóveis!$Q$3,Dados!$A1005&lt;=Imóveis!$T$3),Imóveis!$S$3-(DATEDIF(Imóveis!$Q$3,Dados!$A1005,"m")),0))=0,0,((Imóveis!$N$3/Imóveis!$S$3)+((Imóveis!$N$3-((Imóveis!$S$3-(IF(AND(Dados!$A1005&gt;=Imóveis!$Q$3,Dados!$A1005&lt;=Imóveis!$T$3),Imóveis!$S$3-(DATEDIF(Imóveis!$Q$3,Dados!$A1005,"m")),)))*(Imóveis!$N$3/Imóveis!$S$3)))*Imóveis!$P$3))))*IF(AND(Imóveis!$E$3&gt;0,Dados!$A1005&gt;Imóveis!$E$3),0,1)</f>
        <v>0</v>
      </c>
      <c r="K1005" s="18">
        <f>IF(Imóveis!$F$4="PRICE",IF(AND(Dados!$A1005&gt;=Imóveis!$Q$4,Dados!$A1005&lt;=Imóveis!$T$4),Imóveis!$U$4,0),IF((IF(AND(Dados!$A1005&gt;=Imóveis!$Q$4,Dados!$A1005&lt;=Imóveis!$T$4),Imóveis!$S$4-(DATEDIF(Imóveis!$Q$4,Dados!$A1005,"m")),0))=0,0,((Imóveis!$N$4/Imóveis!$S$4)+((Imóveis!$N$4-((Imóveis!$S$4-(IF(AND(Dados!$A1005&gt;=Imóveis!$Q$4,Dados!$A1005&lt;=Imóveis!$T$4),Imóveis!$S$4-(DATEDIF(Imóveis!$Q$4,Dados!$A1005,"m")),)))*(Imóveis!$N$4/Imóveis!$S$4)))*Imóveis!$P$4))))*IF(AND(Imóveis!$E$4&gt;0,Dados!$A1005&gt;Imóveis!$E$4),0,1)</f>
        <v>0</v>
      </c>
      <c r="L1005" s="18">
        <f>IF(Imóveis!$F$5="PRICE",IF(AND(Dados!$A1005&gt;=Imóveis!$Q$5,Dados!$A1005&lt;=Imóveis!$T$5),Imóveis!$U$5,0),IF((IF(AND(Dados!$A1005&gt;=Imóveis!$Q$5,Dados!$A1005&lt;=Imóveis!$T$5),Imóveis!$S$5-(DATEDIF(Imóveis!$Q$5,Dados!$A1005,"m")),0))=0,0,((Imóveis!$N$5/Imóveis!$S$5)+((Imóveis!$N$5-((Imóveis!$S$5-(IF(AND(Dados!$A1005 &gt;=Imóveis!$Q$5,Dados!$A1005&lt;=Imóveis!$T$5),Imóveis!$S$5-(DATEDIF(Imóveis!$Q$5,Dados!$A1005,"m")),)))*(Imóveis!$N$5/Imóveis!$S$5)))*Imóveis!$P$5))))*IF(AND(Imóveis!$E$5&gt;0,Dados!$A1005&gt;Imóveis!$E$5),0,1)*Imóveis!$I$5</f>
        <v>0</v>
      </c>
      <c r="M1005" s="18">
        <f>IF(Imóveis!$F$6="PRICE",IF(AND(Dados!$A1005&gt;=Imóveis!$Q$6,Dados!$A1005&lt;=Imóveis!$T$6),Imóveis!$U$6,0),IF((IF(AND(Dados!$A1005&gt;=Imóveis!$Q$6,Dados!$A1005&lt;=Imóveis!$T$6),Imóveis!$S$6-(DATEDIF(Imóveis!$Q$6,Dados!$A1005,"m")),0))=0,0,((Imóveis!$N$6/Imóveis!$S$6)+((Imóveis!$N$6-((Imóveis!$S$6-(IF(AND(Dados!$A1005&gt;=Imóveis!$Q$6,Dados!$A1005&lt;=Imóveis!$T$6),Imóveis!$S$6-(DATEDIF(Imóveis!$Q$6,Dados!$A1005,"m")),)))*(Imóveis!$N$6/Imóveis!$S$6)))*Imóveis!$P$6))))*IF(AND(Imóveis!$E$6&gt;0,Dados!$A1005&gt;Imóveis!$E$6),0,1)*Imóveis!$I$6</f>
        <v>0</v>
      </c>
      <c r="N1005" s="18">
        <f t="shared" si="125"/>
        <v>0</v>
      </c>
      <c r="O1005" s="18">
        <f>SUMIFS(Receitas!$F:$F,Receitas!$J:$J,"&lt;="&amp;$A1005,Receitas!$L:$L,"&gt;="&amp;$A1005,Receitas!$C:$C,O$1,Receitas!$M:$M,"Mensal")+SUMIFS(Receitas!$F:$F,Receitas!$J:$J,"&lt;="&amp;$A1005,Receitas!$L:$L,"&gt;="&amp;$A1005,Receitas!$C:$C,O$1,Receitas!$M:$M,$B1005)</f>
        <v>0</v>
      </c>
      <c r="P1005" s="18">
        <f>SUMIFS(Receitas!$F:$F,Receitas!$J:$J,"&lt;="&amp;$A1005,Receitas!$L:$L,"&gt;="&amp;$A1005,Receitas!$C:$C,P$1,Receitas!$M:$M,"Mensal")+SUMIFS(Receitas!$F:$F,Receitas!$J:$J,"&lt;="&amp;$A1005,Receitas!$L:$L,"&gt;="&amp;$A1005,Receitas!$C:$C,P$1,Receitas!$M:$M,$B1005)</f>
        <v>0</v>
      </c>
      <c r="Q1005" s="18">
        <f>SUMIFS(Receitas!$F:$F,Receitas!$J:$J,"&lt;="&amp;$A1005,Receitas!$L:$L,"&gt;="&amp;$A1005,Receitas!$C:$C,Q$1,Receitas!$M:$M,"Mensal")+SUMIFS(Receitas!$F:$F,Receitas!$J:$J,"&lt;="&amp;$A1005,Receitas!$L:$L,"&gt;="&amp;$A1005,Receitas!$C:$C,Q$1,Receitas!$M:$M,$B1005)</f>
        <v>0</v>
      </c>
      <c r="R1005" s="18" cm="1">
        <f t="array" ref="R1005">(IF(AND(Membros!$F$2="Sim",A1005&lt;=MAX(Membros!$E$2:$E$5)),Membros!K$2,IF(AND(A1005&gt;=Membros!J$2,A1005&lt;=MAX(Membros!$E$2:$E$5)),Membros!K$2,0))+IF(AND(Membros!$F$3="Sim",A1005&lt;=MAX(Membros!$E$2:$E$5)),Membros!K$3,IF(AND(A1005&gt;=Membros!J$3,A1005&lt;=MAX(Membros!$E$2:$E$5)),Membros!K$3,0)))*IF(AND(COUNTIFS(Tabela3[Tipo],"Provedor",Tabela3[Simulação Seguro],"Sim")=2,A1005&gt;=MAX(IF(Tabela3[Tipo]="Dependente",Tabela3[Expectativa de Vida (Data)]))),0,1)</f>
        <v>0</v>
      </c>
      <c r="S1005" s="18">
        <f t="shared" si="126"/>
        <v>0</v>
      </c>
      <c r="U1005" s="18">
        <f t="shared" ca="1" si="129"/>
        <v>125425195.55829047</v>
      </c>
      <c r="V1005" s="18">
        <f>SUMIF(Imóveis!E:E,Dados!A:A,Imóveis!Z:Z)-SUMIF(Imóveis!E:E,Dados!A:A,Imóveis!Y:Y)</f>
        <v>0</v>
      </c>
      <c r="W1005" s="18">
        <f>-SUMIF(Projetos!N:N,A1005,Projetos!F:F)</f>
        <v>0</v>
      </c>
      <c r="X1005" s="18">
        <f t="shared" si="123"/>
        <v>0</v>
      </c>
      <c r="Y1005" s="26">
        <f ca="1">(U1005*((Indicadores_Economicos!D$2+1)^(1/12)-1))</f>
        <v>410609.45238925406</v>
      </c>
      <c r="Z1005" s="18">
        <f t="shared" ca="1" si="127"/>
        <v>125835805.01067972</v>
      </c>
      <c r="AA1005" s="18">
        <f ca="1">Auxiliar_Projetos!E1005</f>
        <v>1.0372869113291925E-8</v>
      </c>
      <c r="AB1005" s="18">
        <f ca="1">Auxiliar_Projetos!K1005</f>
        <v>7.9791300871476316E-9</v>
      </c>
      <c r="AC1005" s="18">
        <f ca="1">IF(Z1005-AA1005-AB1005&gt;Investimentos!$C$14,Investimentos!$C$14,IF(Z1005-AA1005-AB1005&lt;Investimentos!$C$14,Z1005-AA1005-AB1005,0))</f>
        <v>300000</v>
      </c>
      <c r="AD1005" s="18">
        <f t="shared" ca="1" si="128"/>
        <v>125535805.01067969</v>
      </c>
      <c r="AE1005" s="18"/>
    </row>
    <row r="1006" spans="1:31" x14ac:dyDescent="0.2">
      <c r="A1006" s="4">
        <v>76216</v>
      </c>
      <c r="B1006" s="5" t="str">
        <f t="shared" si="124"/>
        <v>setembro</v>
      </c>
      <c r="C1006" s="5" t="str">
        <f t="shared" si="130"/>
        <v>2108</v>
      </c>
      <c r="D1006" s="5">
        <f>SUMIFS(Despesas!$F:$F,Despesas!$J:$J,"&lt;="&amp;$A1006,Despesas!$L:$L,"&gt;="&amp;$A1006,Despesas!$C:$C,D$1,Despesas!$M:$M,"Mensal")+SUMIFS(Despesas!$F:$F,Despesas!$J:$J,"&lt;="&amp;$A1006,Despesas!$L:$L,"&gt;="&amp;$A1006,Despesas!$C:$C,D$1,Despesas!$M:$M,$B1006)</f>
        <v>0</v>
      </c>
      <c r="E1006" s="18">
        <f>SUMIFS(Despesas!$F:$F,Despesas!$J:$J,"&lt;="&amp;$A1006,Despesas!$L:$L,"&gt;="&amp;$A1006,Despesas!$C:$C,E$1,Despesas!$M:$M,"Mensal")+SUMIFS(Despesas!$F:$F,Despesas!$J:$J,"&lt;="&amp;$A1006,Despesas!$L:$L,"&gt;="&amp;$A1006,Despesas!$C:$C,E$1,Despesas!$M:$M,$B1006)</f>
        <v>0</v>
      </c>
      <c r="F1006" s="5">
        <f>SUMIFS(Despesas!$F:$F,Despesas!$J:$J,"&lt;="&amp;$A1006,Despesas!$L:$L,"&gt;="&amp;$A1006,Despesas!$C:$C,F$1,Despesas!$M:$M,"Mensal")+SUMIFS(Despesas!$F:$F,Despesas!$J:$J,"&lt;="&amp;$A1006,Despesas!$L:$L,"&gt;="&amp;$A1006,Despesas!$C:$C,F$1,Despesas!$M:$M,$B1006)</f>
        <v>0</v>
      </c>
      <c r="G1006" s="5">
        <f>SUMIFS(Despesas!$F:$F,Despesas!$J:$J,"&lt;="&amp;$A1006,Despesas!$L:$L,"&gt;="&amp;$A1006,Despesas!$C:$C,G$1,Despesas!$M:$M,"Mensal")+SUMIFS(Despesas!$F:$F,Despesas!$J:$J,"&lt;="&amp;$A1006,Despesas!$L:$L,"&gt;="&amp;$A1006,Despesas!$C:$C,G$1,Despesas!$M:$M,$B1006)</f>
        <v>0</v>
      </c>
      <c r="H1006" s="18">
        <f>SUMIFS(Despesas!$F:$F,Despesas!$J:$J,"&lt;="&amp;$A1006,Despesas!$L:$L,"&gt;="&amp;$A1006,Despesas!$C:$C,H$1,Despesas!$M:$M,"Mensal")+SUMIFS(Despesas!$F:$F,Despesas!$J:$J,"&lt;="&amp;$A1006,Despesas!$L:$L,"&gt;="&amp;$A1006,Despesas!$C:$C,H$1,Despesas!$M:$M,$B1006)</f>
        <v>0</v>
      </c>
      <c r="I1006" s="18">
        <f>IF(Imóveis!$F$2="PRICE",IF(AND(Dados!$A1006&gt;=Imóveis!$Q$2,Dados!$A1006&lt;=Imóveis!$T$2),Imóveis!$U$2,0),IF((IF(AND(Dados!$A1006&gt;=Imóveis!$Q$2,Dados!$A1006&lt;=Imóveis!$T$2),Imóveis!$S$2-(DATEDIF(Imóveis!$Q$2,Dados!$A1006,"m")),0))=0,0,((Imóveis!$N$2/Imóveis!$S$2)+((Imóveis!$N$2-((Imóveis!$S$2-(IF(AND(Dados!$A1006&gt;=Imóveis!$Q$2,Dados!$A1006&lt;=Imóveis!$T$2),Imóveis!$S$2-(DATEDIF(Imóveis!$Q$2,Dados!$A1006,"m")),)))*(Imóveis!$N$2/Imóveis!$S$2)))*Imóveis!$P$2))))*IF(AND(Imóveis!$E$2&gt;0,Dados!$A1006&gt;Imóveis!$E$2),0,1)</f>
        <v>0</v>
      </c>
      <c r="J1006" s="18">
        <f>IF(Imóveis!$F$3="PRICE",IF(AND(Dados!$A1006&gt;=Imóveis!$Q$3,Dados!$A1006&lt;=Imóveis!$T$3),Imóveis!$U$3,0),IF((IF(AND(Dados!$A1006&gt;=Imóveis!$Q$3,Dados!$A1006&lt;=Imóveis!$T$3),Imóveis!$S$3-(DATEDIF(Imóveis!$Q$3,Dados!$A1006,"m")),0))=0,0,((Imóveis!$N$3/Imóveis!$S$3)+((Imóveis!$N$3-((Imóveis!$S$3-(IF(AND(Dados!$A1006&gt;=Imóveis!$Q$3,Dados!$A1006&lt;=Imóveis!$T$3),Imóveis!$S$3-(DATEDIF(Imóveis!$Q$3,Dados!$A1006,"m")),)))*(Imóveis!$N$3/Imóveis!$S$3)))*Imóveis!$P$3))))*IF(AND(Imóveis!$E$3&gt;0,Dados!$A1006&gt;Imóveis!$E$3),0,1)</f>
        <v>0</v>
      </c>
      <c r="K1006" s="18">
        <f>IF(Imóveis!$F$4="PRICE",IF(AND(Dados!$A1006&gt;=Imóveis!$Q$4,Dados!$A1006&lt;=Imóveis!$T$4),Imóveis!$U$4,0),IF((IF(AND(Dados!$A1006&gt;=Imóveis!$Q$4,Dados!$A1006&lt;=Imóveis!$T$4),Imóveis!$S$4-(DATEDIF(Imóveis!$Q$4,Dados!$A1006,"m")),0))=0,0,((Imóveis!$N$4/Imóveis!$S$4)+((Imóveis!$N$4-((Imóveis!$S$4-(IF(AND(Dados!$A1006&gt;=Imóveis!$Q$4,Dados!$A1006&lt;=Imóveis!$T$4),Imóveis!$S$4-(DATEDIF(Imóveis!$Q$4,Dados!$A1006,"m")),)))*(Imóveis!$N$4/Imóveis!$S$4)))*Imóveis!$P$4))))*IF(AND(Imóveis!$E$4&gt;0,Dados!$A1006&gt;Imóveis!$E$4),0,1)</f>
        <v>0</v>
      </c>
      <c r="L1006" s="18">
        <f>IF(Imóveis!$F$5="PRICE",IF(AND(Dados!$A1006&gt;=Imóveis!$Q$5,Dados!$A1006&lt;=Imóveis!$T$5),Imóveis!$U$5,0),IF((IF(AND(Dados!$A1006&gt;=Imóveis!$Q$5,Dados!$A1006&lt;=Imóveis!$T$5),Imóveis!$S$5-(DATEDIF(Imóveis!$Q$5,Dados!$A1006,"m")),0))=0,0,((Imóveis!$N$5/Imóveis!$S$5)+((Imóveis!$N$5-((Imóveis!$S$5-(IF(AND(Dados!$A1006 &gt;=Imóveis!$Q$5,Dados!$A1006&lt;=Imóveis!$T$5),Imóveis!$S$5-(DATEDIF(Imóveis!$Q$5,Dados!$A1006,"m")),)))*(Imóveis!$N$5/Imóveis!$S$5)))*Imóveis!$P$5))))*IF(AND(Imóveis!$E$5&gt;0,Dados!$A1006&gt;Imóveis!$E$5),0,1)*Imóveis!$I$5</f>
        <v>0</v>
      </c>
      <c r="M1006" s="18">
        <f>IF(Imóveis!$F$6="PRICE",IF(AND(Dados!$A1006&gt;=Imóveis!$Q$6,Dados!$A1006&lt;=Imóveis!$T$6),Imóveis!$U$6,0),IF((IF(AND(Dados!$A1006&gt;=Imóveis!$Q$6,Dados!$A1006&lt;=Imóveis!$T$6),Imóveis!$S$6-(DATEDIF(Imóveis!$Q$6,Dados!$A1006,"m")),0))=0,0,((Imóveis!$N$6/Imóveis!$S$6)+((Imóveis!$N$6-((Imóveis!$S$6-(IF(AND(Dados!$A1006&gt;=Imóveis!$Q$6,Dados!$A1006&lt;=Imóveis!$T$6),Imóveis!$S$6-(DATEDIF(Imóveis!$Q$6,Dados!$A1006,"m")),)))*(Imóveis!$N$6/Imóveis!$S$6)))*Imóveis!$P$6))))*IF(AND(Imóveis!$E$6&gt;0,Dados!$A1006&gt;Imóveis!$E$6),0,1)*Imóveis!$I$6</f>
        <v>0</v>
      </c>
      <c r="N1006" s="18">
        <f t="shared" si="125"/>
        <v>0</v>
      </c>
      <c r="O1006" s="18">
        <f>SUMIFS(Receitas!$F:$F,Receitas!$J:$J,"&lt;="&amp;$A1006,Receitas!$L:$L,"&gt;="&amp;$A1006,Receitas!$C:$C,O$1,Receitas!$M:$M,"Mensal")+SUMIFS(Receitas!$F:$F,Receitas!$J:$J,"&lt;="&amp;$A1006,Receitas!$L:$L,"&gt;="&amp;$A1006,Receitas!$C:$C,O$1,Receitas!$M:$M,$B1006)</f>
        <v>0</v>
      </c>
      <c r="P1006" s="18">
        <f>SUMIFS(Receitas!$F:$F,Receitas!$J:$J,"&lt;="&amp;$A1006,Receitas!$L:$L,"&gt;="&amp;$A1006,Receitas!$C:$C,P$1,Receitas!$M:$M,"Mensal")+SUMIFS(Receitas!$F:$F,Receitas!$J:$J,"&lt;="&amp;$A1006,Receitas!$L:$L,"&gt;="&amp;$A1006,Receitas!$C:$C,P$1,Receitas!$M:$M,$B1006)</f>
        <v>0</v>
      </c>
      <c r="Q1006" s="18">
        <f>SUMIFS(Receitas!$F:$F,Receitas!$J:$J,"&lt;="&amp;$A1006,Receitas!$L:$L,"&gt;="&amp;$A1006,Receitas!$C:$C,Q$1,Receitas!$M:$M,"Mensal")+SUMIFS(Receitas!$F:$F,Receitas!$J:$J,"&lt;="&amp;$A1006,Receitas!$L:$L,"&gt;="&amp;$A1006,Receitas!$C:$C,Q$1,Receitas!$M:$M,$B1006)</f>
        <v>0</v>
      </c>
      <c r="R1006" s="18" cm="1">
        <f t="array" ref="R1006">(IF(AND(Membros!$F$2="Sim",A1006&lt;=MAX(Membros!$E$2:$E$5)),Membros!K$2,IF(AND(A1006&gt;=Membros!J$2,A1006&lt;=MAX(Membros!$E$2:$E$5)),Membros!K$2,0))+IF(AND(Membros!$F$3="Sim",A1006&lt;=MAX(Membros!$E$2:$E$5)),Membros!K$3,IF(AND(A1006&gt;=Membros!J$3,A1006&lt;=MAX(Membros!$E$2:$E$5)),Membros!K$3,0)))*IF(AND(COUNTIFS(Tabela3[Tipo],"Provedor",Tabela3[Simulação Seguro],"Sim")=2,A1006&gt;=MAX(IF(Tabela3[Tipo]="Dependente",Tabela3[Expectativa de Vida (Data)]))),0,1)</f>
        <v>0</v>
      </c>
      <c r="S1006" s="18">
        <f t="shared" si="126"/>
        <v>0</v>
      </c>
      <c r="U1006" s="18">
        <f t="shared" ca="1" si="129"/>
        <v>125835805.01067972</v>
      </c>
      <c r="V1006" s="18">
        <f>SUMIF(Imóveis!E:E,Dados!A:A,Imóveis!Z:Z)-SUMIF(Imóveis!E:E,Dados!A:A,Imóveis!Y:Y)</f>
        <v>0</v>
      </c>
      <c r="W1006" s="18">
        <f>-SUMIF(Projetos!N:N,A1006,Projetos!F:F)</f>
        <v>0</v>
      </c>
      <c r="X1006" s="18">
        <f t="shared" si="123"/>
        <v>0</v>
      </c>
      <c r="Y1006" s="26">
        <f ca="1">(U1006*((Indicadores_Economicos!D$2+1)^(1/12)-1))</f>
        <v>411953.68088848772</v>
      </c>
      <c r="Z1006" s="18">
        <f t="shared" ca="1" si="127"/>
        <v>126247758.69156821</v>
      </c>
      <c r="AA1006" s="18">
        <f ca="1">Auxiliar_Projetos!E1006</f>
        <v>1.040682718756365E-8</v>
      </c>
      <c r="AB1006" s="18">
        <f ca="1">Auxiliar_Projetos!K1006</f>
        <v>8.0052516827412673E-9</v>
      </c>
      <c r="AC1006" s="18">
        <f ca="1">IF(Z1006-AA1006-AB1006&gt;Investimentos!$C$14,Investimentos!$C$14,IF(Z1006-AA1006-AB1006&lt;Investimentos!$C$14,Z1006-AA1006-AB1006,0))</f>
        <v>300000</v>
      </c>
      <c r="AD1006" s="18">
        <f t="shared" ca="1" si="128"/>
        <v>125947758.69156818</v>
      </c>
      <c r="AE1006" s="18"/>
    </row>
    <row r="1007" spans="1:31" x14ac:dyDescent="0.2">
      <c r="A1007" s="4">
        <v>76246</v>
      </c>
      <c r="B1007" s="5" t="str">
        <f t="shared" si="124"/>
        <v>outubro</v>
      </c>
      <c r="C1007" s="5" t="str">
        <f t="shared" si="130"/>
        <v>2108</v>
      </c>
      <c r="D1007" s="5">
        <f>SUMIFS(Despesas!$F:$F,Despesas!$J:$J,"&lt;="&amp;$A1007,Despesas!$L:$L,"&gt;="&amp;$A1007,Despesas!$C:$C,D$1,Despesas!$M:$M,"Mensal")+SUMIFS(Despesas!$F:$F,Despesas!$J:$J,"&lt;="&amp;$A1007,Despesas!$L:$L,"&gt;="&amp;$A1007,Despesas!$C:$C,D$1,Despesas!$M:$M,$B1007)</f>
        <v>0</v>
      </c>
      <c r="E1007" s="18">
        <f>SUMIFS(Despesas!$F:$F,Despesas!$J:$J,"&lt;="&amp;$A1007,Despesas!$L:$L,"&gt;="&amp;$A1007,Despesas!$C:$C,E$1,Despesas!$M:$M,"Mensal")+SUMIFS(Despesas!$F:$F,Despesas!$J:$J,"&lt;="&amp;$A1007,Despesas!$L:$L,"&gt;="&amp;$A1007,Despesas!$C:$C,E$1,Despesas!$M:$M,$B1007)</f>
        <v>0</v>
      </c>
      <c r="F1007" s="5">
        <f>SUMIFS(Despesas!$F:$F,Despesas!$J:$J,"&lt;="&amp;$A1007,Despesas!$L:$L,"&gt;="&amp;$A1007,Despesas!$C:$C,F$1,Despesas!$M:$M,"Mensal")+SUMIFS(Despesas!$F:$F,Despesas!$J:$J,"&lt;="&amp;$A1007,Despesas!$L:$L,"&gt;="&amp;$A1007,Despesas!$C:$C,F$1,Despesas!$M:$M,$B1007)</f>
        <v>0</v>
      </c>
      <c r="G1007" s="5">
        <f>SUMIFS(Despesas!$F:$F,Despesas!$J:$J,"&lt;="&amp;$A1007,Despesas!$L:$L,"&gt;="&amp;$A1007,Despesas!$C:$C,G$1,Despesas!$M:$M,"Mensal")+SUMIFS(Despesas!$F:$F,Despesas!$J:$J,"&lt;="&amp;$A1007,Despesas!$L:$L,"&gt;="&amp;$A1007,Despesas!$C:$C,G$1,Despesas!$M:$M,$B1007)</f>
        <v>0</v>
      </c>
      <c r="H1007" s="18">
        <f>SUMIFS(Despesas!$F:$F,Despesas!$J:$J,"&lt;="&amp;$A1007,Despesas!$L:$L,"&gt;="&amp;$A1007,Despesas!$C:$C,H$1,Despesas!$M:$M,"Mensal")+SUMIFS(Despesas!$F:$F,Despesas!$J:$J,"&lt;="&amp;$A1007,Despesas!$L:$L,"&gt;="&amp;$A1007,Despesas!$C:$C,H$1,Despesas!$M:$M,$B1007)</f>
        <v>0</v>
      </c>
      <c r="I1007" s="18">
        <f>IF(Imóveis!$F$2="PRICE",IF(AND(Dados!$A1007&gt;=Imóveis!$Q$2,Dados!$A1007&lt;=Imóveis!$T$2),Imóveis!$U$2,0),IF((IF(AND(Dados!$A1007&gt;=Imóveis!$Q$2,Dados!$A1007&lt;=Imóveis!$T$2),Imóveis!$S$2-(DATEDIF(Imóveis!$Q$2,Dados!$A1007,"m")),0))=0,0,((Imóveis!$N$2/Imóveis!$S$2)+((Imóveis!$N$2-((Imóveis!$S$2-(IF(AND(Dados!$A1007&gt;=Imóveis!$Q$2,Dados!$A1007&lt;=Imóveis!$T$2),Imóveis!$S$2-(DATEDIF(Imóveis!$Q$2,Dados!$A1007,"m")),)))*(Imóveis!$N$2/Imóveis!$S$2)))*Imóveis!$P$2))))*IF(AND(Imóveis!$E$2&gt;0,Dados!$A1007&gt;Imóveis!$E$2),0,1)</f>
        <v>0</v>
      </c>
      <c r="J1007" s="18">
        <f>IF(Imóveis!$F$3="PRICE",IF(AND(Dados!$A1007&gt;=Imóveis!$Q$3,Dados!$A1007&lt;=Imóveis!$T$3),Imóveis!$U$3,0),IF((IF(AND(Dados!$A1007&gt;=Imóveis!$Q$3,Dados!$A1007&lt;=Imóveis!$T$3),Imóveis!$S$3-(DATEDIF(Imóveis!$Q$3,Dados!$A1007,"m")),0))=0,0,((Imóveis!$N$3/Imóveis!$S$3)+((Imóveis!$N$3-((Imóveis!$S$3-(IF(AND(Dados!$A1007&gt;=Imóveis!$Q$3,Dados!$A1007&lt;=Imóveis!$T$3),Imóveis!$S$3-(DATEDIF(Imóveis!$Q$3,Dados!$A1007,"m")),)))*(Imóveis!$N$3/Imóveis!$S$3)))*Imóveis!$P$3))))*IF(AND(Imóveis!$E$3&gt;0,Dados!$A1007&gt;Imóveis!$E$3),0,1)</f>
        <v>0</v>
      </c>
      <c r="K1007" s="18">
        <f>IF(Imóveis!$F$4="PRICE",IF(AND(Dados!$A1007&gt;=Imóveis!$Q$4,Dados!$A1007&lt;=Imóveis!$T$4),Imóveis!$U$4,0),IF((IF(AND(Dados!$A1007&gt;=Imóveis!$Q$4,Dados!$A1007&lt;=Imóveis!$T$4),Imóveis!$S$4-(DATEDIF(Imóveis!$Q$4,Dados!$A1007,"m")),0))=0,0,((Imóveis!$N$4/Imóveis!$S$4)+((Imóveis!$N$4-((Imóveis!$S$4-(IF(AND(Dados!$A1007&gt;=Imóveis!$Q$4,Dados!$A1007&lt;=Imóveis!$T$4),Imóveis!$S$4-(DATEDIF(Imóveis!$Q$4,Dados!$A1007,"m")),)))*(Imóveis!$N$4/Imóveis!$S$4)))*Imóveis!$P$4))))*IF(AND(Imóveis!$E$4&gt;0,Dados!$A1007&gt;Imóveis!$E$4),0,1)</f>
        <v>0</v>
      </c>
      <c r="L1007" s="18">
        <f>IF(Imóveis!$F$5="PRICE",IF(AND(Dados!$A1007&gt;=Imóveis!$Q$5,Dados!$A1007&lt;=Imóveis!$T$5),Imóveis!$U$5,0),IF((IF(AND(Dados!$A1007&gt;=Imóveis!$Q$5,Dados!$A1007&lt;=Imóveis!$T$5),Imóveis!$S$5-(DATEDIF(Imóveis!$Q$5,Dados!$A1007,"m")),0))=0,0,((Imóveis!$N$5/Imóveis!$S$5)+((Imóveis!$N$5-((Imóveis!$S$5-(IF(AND(Dados!$A1007 &gt;=Imóveis!$Q$5,Dados!$A1007&lt;=Imóveis!$T$5),Imóveis!$S$5-(DATEDIF(Imóveis!$Q$5,Dados!$A1007,"m")),)))*(Imóveis!$N$5/Imóveis!$S$5)))*Imóveis!$P$5))))*IF(AND(Imóveis!$E$5&gt;0,Dados!$A1007&gt;Imóveis!$E$5),0,1)*Imóveis!$I$5</f>
        <v>0</v>
      </c>
      <c r="M1007" s="18">
        <f>IF(Imóveis!$F$6="PRICE",IF(AND(Dados!$A1007&gt;=Imóveis!$Q$6,Dados!$A1007&lt;=Imóveis!$T$6),Imóveis!$U$6,0),IF((IF(AND(Dados!$A1007&gt;=Imóveis!$Q$6,Dados!$A1007&lt;=Imóveis!$T$6),Imóveis!$S$6-(DATEDIF(Imóveis!$Q$6,Dados!$A1007,"m")),0))=0,0,((Imóveis!$N$6/Imóveis!$S$6)+((Imóveis!$N$6-((Imóveis!$S$6-(IF(AND(Dados!$A1007&gt;=Imóveis!$Q$6,Dados!$A1007&lt;=Imóveis!$T$6),Imóveis!$S$6-(DATEDIF(Imóveis!$Q$6,Dados!$A1007,"m")),)))*(Imóveis!$N$6/Imóveis!$S$6)))*Imóveis!$P$6))))*IF(AND(Imóveis!$E$6&gt;0,Dados!$A1007&gt;Imóveis!$E$6),0,1)*Imóveis!$I$6</f>
        <v>0</v>
      </c>
      <c r="N1007" s="18">
        <f t="shared" si="125"/>
        <v>0</v>
      </c>
      <c r="O1007" s="18">
        <f>SUMIFS(Receitas!$F:$F,Receitas!$J:$J,"&lt;="&amp;$A1007,Receitas!$L:$L,"&gt;="&amp;$A1007,Receitas!$C:$C,O$1,Receitas!$M:$M,"Mensal")+SUMIFS(Receitas!$F:$F,Receitas!$J:$J,"&lt;="&amp;$A1007,Receitas!$L:$L,"&gt;="&amp;$A1007,Receitas!$C:$C,O$1,Receitas!$M:$M,$B1007)</f>
        <v>0</v>
      </c>
      <c r="P1007" s="18">
        <f>SUMIFS(Receitas!$F:$F,Receitas!$J:$J,"&lt;="&amp;$A1007,Receitas!$L:$L,"&gt;="&amp;$A1007,Receitas!$C:$C,P$1,Receitas!$M:$M,"Mensal")+SUMIFS(Receitas!$F:$F,Receitas!$J:$J,"&lt;="&amp;$A1007,Receitas!$L:$L,"&gt;="&amp;$A1007,Receitas!$C:$C,P$1,Receitas!$M:$M,$B1007)</f>
        <v>0</v>
      </c>
      <c r="Q1007" s="18">
        <f>SUMIFS(Receitas!$F:$F,Receitas!$J:$J,"&lt;="&amp;$A1007,Receitas!$L:$L,"&gt;="&amp;$A1007,Receitas!$C:$C,Q$1,Receitas!$M:$M,"Mensal")+SUMIFS(Receitas!$F:$F,Receitas!$J:$J,"&lt;="&amp;$A1007,Receitas!$L:$L,"&gt;="&amp;$A1007,Receitas!$C:$C,Q$1,Receitas!$M:$M,$B1007)</f>
        <v>0</v>
      </c>
      <c r="R1007" s="18" cm="1">
        <f t="array" ref="R1007">(IF(AND(Membros!$F$2="Sim",A1007&lt;=MAX(Membros!$E$2:$E$5)),Membros!K$2,IF(AND(A1007&gt;=Membros!J$2,A1007&lt;=MAX(Membros!$E$2:$E$5)),Membros!K$2,0))+IF(AND(Membros!$F$3="Sim",A1007&lt;=MAX(Membros!$E$2:$E$5)),Membros!K$3,IF(AND(A1007&gt;=Membros!J$3,A1007&lt;=MAX(Membros!$E$2:$E$5)),Membros!K$3,0)))*IF(AND(COUNTIFS(Tabela3[Tipo],"Provedor",Tabela3[Simulação Seguro],"Sim")=2,A1007&gt;=MAX(IF(Tabela3[Tipo]="Dependente",Tabela3[Expectativa de Vida (Data)]))),0,1)</f>
        <v>0</v>
      </c>
      <c r="S1007" s="18">
        <f t="shared" si="126"/>
        <v>0</v>
      </c>
      <c r="U1007" s="18">
        <f t="shared" ca="1" si="129"/>
        <v>126247758.69156821</v>
      </c>
      <c r="V1007" s="18">
        <f>SUMIF(Imóveis!E:E,Dados!A:A,Imóveis!Z:Z)-SUMIF(Imóveis!E:E,Dados!A:A,Imóveis!Y:Y)</f>
        <v>0</v>
      </c>
      <c r="W1007" s="18">
        <f>-SUMIF(Projetos!N:N,A1007,Projetos!F:F)</f>
        <v>0</v>
      </c>
      <c r="X1007" s="18">
        <f t="shared" si="123"/>
        <v>0</v>
      </c>
      <c r="Y1007" s="26">
        <f ca="1">(U1007*((Indicadores_Economicos!D$2+1)^(1/12)-1))</f>
        <v>413302.31004203565</v>
      </c>
      <c r="Z1007" s="18">
        <f t="shared" ca="1" si="127"/>
        <v>126661061.00161025</v>
      </c>
      <c r="AA1007" s="18">
        <f ca="1">Auxiliar_Projetos!E1007</f>
        <v>1.0440896431734047E-8</v>
      </c>
      <c r="AB1007" s="18">
        <f ca="1">Auxiliar_Projetos!K1007</f>
        <v>8.0314587936415717E-9</v>
      </c>
      <c r="AC1007" s="18">
        <f ca="1">IF(Z1007-AA1007-AB1007&gt;Investimentos!$C$14,Investimentos!$C$14,IF(Z1007-AA1007-AB1007&lt;Investimentos!$C$14,Z1007-AA1007-AB1007,0))</f>
        <v>300000</v>
      </c>
      <c r="AD1007" s="18">
        <f t="shared" ca="1" si="128"/>
        <v>126361061.00161022</v>
      </c>
      <c r="AE1007" s="18"/>
    </row>
    <row r="1008" spans="1:31" x14ac:dyDescent="0.2">
      <c r="A1008" s="4">
        <v>76277</v>
      </c>
      <c r="B1008" s="5" t="str">
        <f t="shared" si="124"/>
        <v>novembro</v>
      </c>
      <c r="C1008" s="5" t="str">
        <f t="shared" si="130"/>
        <v>2108</v>
      </c>
      <c r="D1008" s="5">
        <f>SUMIFS(Despesas!$F:$F,Despesas!$J:$J,"&lt;="&amp;$A1008,Despesas!$L:$L,"&gt;="&amp;$A1008,Despesas!$C:$C,D$1,Despesas!$M:$M,"Mensal")+SUMIFS(Despesas!$F:$F,Despesas!$J:$J,"&lt;="&amp;$A1008,Despesas!$L:$L,"&gt;="&amp;$A1008,Despesas!$C:$C,D$1,Despesas!$M:$M,$B1008)</f>
        <v>0</v>
      </c>
      <c r="E1008" s="18">
        <f>SUMIFS(Despesas!$F:$F,Despesas!$J:$J,"&lt;="&amp;$A1008,Despesas!$L:$L,"&gt;="&amp;$A1008,Despesas!$C:$C,E$1,Despesas!$M:$M,"Mensal")+SUMIFS(Despesas!$F:$F,Despesas!$J:$J,"&lt;="&amp;$A1008,Despesas!$L:$L,"&gt;="&amp;$A1008,Despesas!$C:$C,E$1,Despesas!$M:$M,$B1008)</f>
        <v>0</v>
      </c>
      <c r="F1008" s="5">
        <f>SUMIFS(Despesas!$F:$F,Despesas!$J:$J,"&lt;="&amp;$A1008,Despesas!$L:$L,"&gt;="&amp;$A1008,Despesas!$C:$C,F$1,Despesas!$M:$M,"Mensal")+SUMIFS(Despesas!$F:$F,Despesas!$J:$J,"&lt;="&amp;$A1008,Despesas!$L:$L,"&gt;="&amp;$A1008,Despesas!$C:$C,F$1,Despesas!$M:$M,$B1008)</f>
        <v>0</v>
      </c>
      <c r="G1008" s="5">
        <f>SUMIFS(Despesas!$F:$F,Despesas!$J:$J,"&lt;="&amp;$A1008,Despesas!$L:$L,"&gt;="&amp;$A1008,Despesas!$C:$C,G$1,Despesas!$M:$M,"Mensal")+SUMIFS(Despesas!$F:$F,Despesas!$J:$J,"&lt;="&amp;$A1008,Despesas!$L:$L,"&gt;="&amp;$A1008,Despesas!$C:$C,G$1,Despesas!$M:$M,$B1008)</f>
        <v>0</v>
      </c>
      <c r="H1008" s="18">
        <f>SUMIFS(Despesas!$F:$F,Despesas!$J:$J,"&lt;="&amp;$A1008,Despesas!$L:$L,"&gt;="&amp;$A1008,Despesas!$C:$C,H$1,Despesas!$M:$M,"Mensal")+SUMIFS(Despesas!$F:$F,Despesas!$J:$J,"&lt;="&amp;$A1008,Despesas!$L:$L,"&gt;="&amp;$A1008,Despesas!$C:$C,H$1,Despesas!$M:$M,$B1008)</f>
        <v>0</v>
      </c>
      <c r="I1008" s="18">
        <f>IF(Imóveis!$F$2="PRICE",IF(AND(Dados!$A1008&gt;=Imóveis!$Q$2,Dados!$A1008&lt;=Imóveis!$T$2),Imóveis!$U$2,0),IF((IF(AND(Dados!$A1008&gt;=Imóveis!$Q$2,Dados!$A1008&lt;=Imóveis!$T$2),Imóveis!$S$2-(DATEDIF(Imóveis!$Q$2,Dados!$A1008,"m")),0))=0,0,((Imóveis!$N$2/Imóveis!$S$2)+((Imóveis!$N$2-((Imóveis!$S$2-(IF(AND(Dados!$A1008&gt;=Imóveis!$Q$2,Dados!$A1008&lt;=Imóveis!$T$2),Imóveis!$S$2-(DATEDIF(Imóveis!$Q$2,Dados!$A1008,"m")),)))*(Imóveis!$N$2/Imóveis!$S$2)))*Imóveis!$P$2))))*IF(AND(Imóveis!$E$2&gt;0,Dados!$A1008&gt;Imóveis!$E$2),0,1)</f>
        <v>0</v>
      </c>
      <c r="J1008" s="18">
        <f>IF(Imóveis!$F$3="PRICE",IF(AND(Dados!$A1008&gt;=Imóveis!$Q$3,Dados!$A1008&lt;=Imóveis!$T$3),Imóveis!$U$3,0),IF((IF(AND(Dados!$A1008&gt;=Imóveis!$Q$3,Dados!$A1008&lt;=Imóveis!$T$3),Imóveis!$S$3-(DATEDIF(Imóveis!$Q$3,Dados!$A1008,"m")),0))=0,0,((Imóveis!$N$3/Imóveis!$S$3)+((Imóveis!$N$3-((Imóveis!$S$3-(IF(AND(Dados!$A1008&gt;=Imóveis!$Q$3,Dados!$A1008&lt;=Imóveis!$T$3),Imóveis!$S$3-(DATEDIF(Imóveis!$Q$3,Dados!$A1008,"m")),)))*(Imóveis!$N$3/Imóveis!$S$3)))*Imóveis!$P$3))))*IF(AND(Imóveis!$E$3&gt;0,Dados!$A1008&gt;Imóveis!$E$3),0,1)</f>
        <v>0</v>
      </c>
      <c r="K1008" s="18">
        <f>IF(Imóveis!$F$4="PRICE",IF(AND(Dados!$A1008&gt;=Imóveis!$Q$4,Dados!$A1008&lt;=Imóveis!$T$4),Imóveis!$U$4,0),IF((IF(AND(Dados!$A1008&gt;=Imóveis!$Q$4,Dados!$A1008&lt;=Imóveis!$T$4),Imóveis!$S$4-(DATEDIF(Imóveis!$Q$4,Dados!$A1008,"m")),0))=0,0,((Imóveis!$N$4/Imóveis!$S$4)+((Imóveis!$N$4-((Imóveis!$S$4-(IF(AND(Dados!$A1008&gt;=Imóveis!$Q$4,Dados!$A1008&lt;=Imóveis!$T$4),Imóveis!$S$4-(DATEDIF(Imóveis!$Q$4,Dados!$A1008,"m")),)))*(Imóveis!$N$4/Imóveis!$S$4)))*Imóveis!$P$4))))*IF(AND(Imóveis!$E$4&gt;0,Dados!$A1008&gt;Imóveis!$E$4),0,1)</f>
        <v>0</v>
      </c>
      <c r="L1008" s="18">
        <f>IF(Imóveis!$F$5="PRICE",IF(AND(Dados!$A1008&gt;=Imóveis!$Q$5,Dados!$A1008&lt;=Imóveis!$T$5),Imóveis!$U$5,0),IF((IF(AND(Dados!$A1008&gt;=Imóveis!$Q$5,Dados!$A1008&lt;=Imóveis!$T$5),Imóveis!$S$5-(DATEDIF(Imóveis!$Q$5,Dados!$A1008,"m")),0))=0,0,((Imóveis!$N$5/Imóveis!$S$5)+((Imóveis!$N$5-((Imóveis!$S$5-(IF(AND(Dados!$A1008 &gt;=Imóveis!$Q$5,Dados!$A1008&lt;=Imóveis!$T$5),Imóveis!$S$5-(DATEDIF(Imóveis!$Q$5,Dados!$A1008,"m")),)))*(Imóveis!$N$5/Imóveis!$S$5)))*Imóveis!$P$5))))*IF(AND(Imóveis!$E$5&gt;0,Dados!$A1008&gt;Imóveis!$E$5),0,1)*Imóveis!$I$5</f>
        <v>0</v>
      </c>
      <c r="M1008" s="18">
        <f>IF(Imóveis!$F$6="PRICE",IF(AND(Dados!$A1008&gt;=Imóveis!$Q$6,Dados!$A1008&lt;=Imóveis!$T$6),Imóveis!$U$6,0),IF((IF(AND(Dados!$A1008&gt;=Imóveis!$Q$6,Dados!$A1008&lt;=Imóveis!$T$6),Imóveis!$S$6-(DATEDIF(Imóveis!$Q$6,Dados!$A1008,"m")),0))=0,0,((Imóveis!$N$6/Imóveis!$S$6)+((Imóveis!$N$6-((Imóveis!$S$6-(IF(AND(Dados!$A1008&gt;=Imóveis!$Q$6,Dados!$A1008&lt;=Imóveis!$T$6),Imóveis!$S$6-(DATEDIF(Imóveis!$Q$6,Dados!$A1008,"m")),)))*(Imóveis!$N$6/Imóveis!$S$6)))*Imóveis!$P$6))))*IF(AND(Imóveis!$E$6&gt;0,Dados!$A1008&gt;Imóveis!$E$6),0,1)*Imóveis!$I$6</f>
        <v>0</v>
      </c>
      <c r="N1008" s="18">
        <f t="shared" si="125"/>
        <v>0</v>
      </c>
      <c r="O1008" s="18">
        <f>SUMIFS(Receitas!$F:$F,Receitas!$J:$J,"&lt;="&amp;$A1008,Receitas!$L:$L,"&gt;="&amp;$A1008,Receitas!$C:$C,O$1,Receitas!$M:$M,"Mensal")+SUMIFS(Receitas!$F:$F,Receitas!$J:$J,"&lt;="&amp;$A1008,Receitas!$L:$L,"&gt;="&amp;$A1008,Receitas!$C:$C,O$1,Receitas!$M:$M,$B1008)</f>
        <v>0</v>
      </c>
      <c r="P1008" s="18">
        <f>SUMIFS(Receitas!$F:$F,Receitas!$J:$J,"&lt;="&amp;$A1008,Receitas!$L:$L,"&gt;="&amp;$A1008,Receitas!$C:$C,P$1,Receitas!$M:$M,"Mensal")+SUMIFS(Receitas!$F:$F,Receitas!$J:$J,"&lt;="&amp;$A1008,Receitas!$L:$L,"&gt;="&amp;$A1008,Receitas!$C:$C,P$1,Receitas!$M:$M,$B1008)</f>
        <v>0</v>
      </c>
      <c r="Q1008" s="18">
        <f>SUMIFS(Receitas!$F:$F,Receitas!$J:$J,"&lt;="&amp;$A1008,Receitas!$L:$L,"&gt;="&amp;$A1008,Receitas!$C:$C,Q$1,Receitas!$M:$M,"Mensal")+SUMIFS(Receitas!$F:$F,Receitas!$J:$J,"&lt;="&amp;$A1008,Receitas!$L:$L,"&gt;="&amp;$A1008,Receitas!$C:$C,Q$1,Receitas!$M:$M,$B1008)</f>
        <v>0</v>
      </c>
      <c r="R1008" s="18" cm="1">
        <f t="array" ref="R1008">(IF(AND(Membros!$F$2="Sim",A1008&lt;=MAX(Membros!$E$2:$E$5)),Membros!K$2,IF(AND(A1008&gt;=Membros!J$2,A1008&lt;=MAX(Membros!$E$2:$E$5)),Membros!K$2,0))+IF(AND(Membros!$F$3="Sim",A1008&lt;=MAX(Membros!$E$2:$E$5)),Membros!K$3,IF(AND(A1008&gt;=Membros!J$3,A1008&lt;=MAX(Membros!$E$2:$E$5)),Membros!K$3,0)))*IF(AND(COUNTIFS(Tabela3[Tipo],"Provedor",Tabela3[Simulação Seguro],"Sim")=2,A1008&gt;=MAX(IF(Tabela3[Tipo]="Dependente",Tabela3[Expectativa de Vida (Data)]))),0,1)</f>
        <v>0</v>
      </c>
      <c r="S1008" s="18">
        <f t="shared" si="126"/>
        <v>0</v>
      </c>
      <c r="U1008" s="18">
        <f t="shared" ca="1" si="129"/>
        <v>126661061.00161025</v>
      </c>
      <c r="V1008" s="18">
        <f>SUMIF(Imóveis!E:E,Dados!A:A,Imóveis!Z:Z)-SUMIF(Imóveis!E:E,Dados!A:A,Imóveis!Y:Y)</f>
        <v>0</v>
      </c>
      <c r="W1008" s="18">
        <f>-SUMIF(Projetos!N:N,A1008,Projetos!F:F)</f>
        <v>0</v>
      </c>
      <c r="X1008" s="18">
        <f t="shared" si="123"/>
        <v>0</v>
      </c>
      <c r="Y1008" s="26">
        <f ca="1">(U1008*((Indicadores_Economicos!D$2+1)^(1/12)-1))</f>
        <v>414655.35425649496</v>
      </c>
      <c r="Z1008" s="18">
        <f t="shared" ca="1" si="127"/>
        <v>127075716.35586675</v>
      </c>
      <c r="AA1008" s="18">
        <f ca="1">Auxiliar_Projetos!E1008</f>
        <v>1.0475077209744433E-8</v>
      </c>
      <c r="AB1008" s="18">
        <f ca="1">Auxiliar_Projetos!K1008</f>
        <v>8.0577516998034076E-9</v>
      </c>
      <c r="AC1008" s="18">
        <f ca="1">IF(Z1008-AA1008-AB1008&gt;Investimentos!$C$14,Investimentos!$C$14,IF(Z1008-AA1008-AB1008&lt;Investimentos!$C$14,Z1008-AA1008-AB1008,0))</f>
        <v>300000</v>
      </c>
      <c r="AD1008" s="18">
        <f t="shared" ca="1" si="128"/>
        <v>126775716.35586672</v>
      </c>
      <c r="AE1008" s="18"/>
    </row>
    <row r="1009" spans="1:31" x14ac:dyDescent="0.2">
      <c r="A1009" s="4">
        <v>76307</v>
      </c>
      <c r="B1009" s="5" t="str">
        <f t="shared" si="124"/>
        <v>dezembro</v>
      </c>
      <c r="C1009" s="5" t="str">
        <f t="shared" si="130"/>
        <v>2108</v>
      </c>
      <c r="D1009" s="5">
        <f>SUMIFS(Despesas!$F:$F,Despesas!$J:$J,"&lt;="&amp;$A1009,Despesas!$L:$L,"&gt;="&amp;$A1009,Despesas!$C:$C,D$1,Despesas!$M:$M,"Mensal")+SUMIFS(Despesas!$F:$F,Despesas!$J:$J,"&lt;="&amp;$A1009,Despesas!$L:$L,"&gt;="&amp;$A1009,Despesas!$C:$C,D$1,Despesas!$M:$M,$B1009)</f>
        <v>0</v>
      </c>
      <c r="E1009" s="18">
        <f>SUMIFS(Despesas!$F:$F,Despesas!$J:$J,"&lt;="&amp;$A1009,Despesas!$L:$L,"&gt;="&amp;$A1009,Despesas!$C:$C,E$1,Despesas!$M:$M,"Mensal")+SUMIFS(Despesas!$F:$F,Despesas!$J:$J,"&lt;="&amp;$A1009,Despesas!$L:$L,"&gt;="&amp;$A1009,Despesas!$C:$C,E$1,Despesas!$M:$M,$B1009)</f>
        <v>0</v>
      </c>
      <c r="F1009" s="5">
        <f>SUMIFS(Despesas!$F:$F,Despesas!$J:$J,"&lt;="&amp;$A1009,Despesas!$L:$L,"&gt;="&amp;$A1009,Despesas!$C:$C,F$1,Despesas!$M:$M,"Mensal")+SUMIFS(Despesas!$F:$F,Despesas!$J:$J,"&lt;="&amp;$A1009,Despesas!$L:$L,"&gt;="&amp;$A1009,Despesas!$C:$C,F$1,Despesas!$M:$M,$B1009)</f>
        <v>0</v>
      </c>
      <c r="G1009" s="5">
        <f>SUMIFS(Despesas!$F:$F,Despesas!$J:$J,"&lt;="&amp;$A1009,Despesas!$L:$L,"&gt;="&amp;$A1009,Despesas!$C:$C,G$1,Despesas!$M:$M,"Mensal")+SUMIFS(Despesas!$F:$F,Despesas!$J:$J,"&lt;="&amp;$A1009,Despesas!$L:$L,"&gt;="&amp;$A1009,Despesas!$C:$C,G$1,Despesas!$M:$M,$B1009)</f>
        <v>0</v>
      </c>
      <c r="H1009" s="18">
        <f>SUMIFS(Despesas!$F:$F,Despesas!$J:$J,"&lt;="&amp;$A1009,Despesas!$L:$L,"&gt;="&amp;$A1009,Despesas!$C:$C,H$1,Despesas!$M:$M,"Mensal")+SUMIFS(Despesas!$F:$F,Despesas!$J:$J,"&lt;="&amp;$A1009,Despesas!$L:$L,"&gt;="&amp;$A1009,Despesas!$C:$C,H$1,Despesas!$M:$M,$B1009)</f>
        <v>0</v>
      </c>
      <c r="I1009" s="18">
        <f>IF(Imóveis!$F$2="PRICE",IF(AND(Dados!$A1009&gt;=Imóveis!$Q$2,Dados!$A1009&lt;=Imóveis!$T$2),Imóveis!$U$2,0),IF((IF(AND(Dados!$A1009&gt;=Imóveis!$Q$2,Dados!$A1009&lt;=Imóveis!$T$2),Imóveis!$S$2-(DATEDIF(Imóveis!$Q$2,Dados!$A1009,"m")),0))=0,0,((Imóveis!$N$2/Imóveis!$S$2)+((Imóveis!$N$2-((Imóveis!$S$2-(IF(AND(Dados!$A1009&gt;=Imóveis!$Q$2,Dados!$A1009&lt;=Imóveis!$T$2),Imóveis!$S$2-(DATEDIF(Imóveis!$Q$2,Dados!$A1009,"m")),)))*(Imóveis!$N$2/Imóveis!$S$2)))*Imóveis!$P$2))))*IF(AND(Imóveis!$E$2&gt;0,Dados!$A1009&gt;Imóveis!$E$2),0,1)</f>
        <v>0</v>
      </c>
      <c r="J1009" s="18">
        <f>IF(Imóveis!$F$3="PRICE",IF(AND(Dados!$A1009&gt;=Imóveis!$Q$3,Dados!$A1009&lt;=Imóveis!$T$3),Imóveis!$U$3,0),IF((IF(AND(Dados!$A1009&gt;=Imóveis!$Q$3,Dados!$A1009&lt;=Imóveis!$T$3),Imóveis!$S$3-(DATEDIF(Imóveis!$Q$3,Dados!$A1009,"m")),0))=0,0,((Imóveis!$N$3/Imóveis!$S$3)+((Imóveis!$N$3-((Imóveis!$S$3-(IF(AND(Dados!$A1009&gt;=Imóveis!$Q$3,Dados!$A1009&lt;=Imóveis!$T$3),Imóveis!$S$3-(DATEDIF(Imóveis!$Q$3,Dados!$A1009,"m")),)))*(Imóveis!$N$3/Imóveis!$S$3)))*Imóveis!$P$3))))*IF(AND(Imóveis!$E$3&gt;0,Dados!$A1009&gt;Imóveis!$E$3),0,1)</f>
        <v>0</v>
      </c>
      <c r="K1009" s="18">
        <f>IF(Imóveis!$F$4="PRICE",IF(AND(Dados!$A1009&gt;=Imóveis!$Q$4,Dados!$A1009&lt;=Imóveis!$T$4),Imóveis!$U$4,0),IF((IF(AND(Dados!$A1009&gt;=Imóveis!$Q$4,Dados!$A1009&lt;=Imóveis!$T$4),Imóveis!$S$4-(DATEDIF(Imóveis!$Q$4,Dados!$A1009,"m")),0))=0,0,((Imóveis!$N$4/Imóveis!$S$4)+((Imóveis!$N$4-((Imóveis!$S$4-(IF(AND(Dados!$A1009&gt;=Imóveis!$Q$4,Dados!$A1009&lt;=Imóveis!$T$4),Imóveis!$S$4-(DATEDIF(Imóveis!$Q$4,Dados!$A1009,"m")),)))*(Imóveis!$N$4/Imóveis!$S$4)))*Imóveis!$P$4))))*IF(AND(Imóveis!$E$4&gt;0,Dados!$A1009&gt;Imóveis!$E$4),0,1)</f>
        <v>0</v>
      </c>
      <c r="L1009" s="18">
        <f>IF(Imóveis!$F$5="PRICE",IF(AND(Dados!$A1009&gt;=Imóveis!$Q$5,Dados!$A1009&lt;=Imóveis!$T$5),Imóveis!$U$5,0),IF((IF(AND(Dados!$A1009&gt;=Imóveis!$Q$5,Dados!$A1009&lt;=Imóveis!$T$5),Imóveis!$S$5-(DATEDIF(Imóveis!$Q$5,Dados!$A1009,"m")),0))=0,0,((Imóveis!$N$5/Imóveis!$S$5)+((Imóveis!$N$5-((Imóveis!$S$5-(IF(AND(Dados!$A1009 &gt;=Imóveis!$Q$5,Dados!$A1009&lt;=Imóveis!$T$5),Imóveis!$S$5-(DATEDIF(Imóveis!$Q$5,Dados!$A1009,"m")),)))*(Imóveis!$N$5/Imóveis!$S$5)))*Imóveis!$P$5))))*IF(AND(Imóveis!$E$5&gt;0,Dados!$A1009&gt;Imóveis!$E$5),0,1)*Imóveis!$I$5</f>
        <v>0</v>
      </c>
      <c r="M1009" s="18">
        <f>IF(Imóveis!$F$6="PRICE",IF(AND(Dados!$A1009&gt;=Imóveis!$Q$6,Dados!$A1009&lt;=Imóveis!$T$6),Imóveis!$U$6,0),IF((IF(AND(Dados!$A1009&gt;=Imóveis!$Q$6,Dados!$A1009&lt;=Imóveis!$T$6),Imóveis!$S$6-(DATEDIF(Imóveis!$Q$6,Dados!$A1009,"m")),0))=0,0,((Imóveis!$N$6/Imóveis!$S$6)+((Imóveis!$N$6-((Imóveis!$S$6-(IF(AND(Dados!$A1009&gt;=Imóveis!$Q$6,Dados!$A1009&lt;=Imóveis!$T$6),Imóveis!$S$6-(DATEDIF(Imóveis!$Q$6,Dados!$A1009,"m")),)))*(Imóveis!$N$6/Imóveis!$S$6)))*Imóveis!$P$6))))*IF(AND(Imóveis!$E$6&gt;0,Dados!$A1009&gt;Imóveis!$E$6),0,1)*Imóveis!$I$6</f>
        <v>0</v>
      </c>
      <c r="N1009" s="18">
        <f t="shared" si="125"/>
        <v>0</v>
      </c>
      <c r="O1009" s="18">
        <f>SUMIFS(Receitas!$F:$F,Receitas!$J:$J,"&lt;="&amp;$A1009,Receitas!$L:$L,"&gt;="&amp;$A1009,Receitas!$C:$C,O$1,Receitas!$M:$M,"Mensal")+SUMIFS(Receitas!$F:$F,Receitas!$J:$J,"&lt;="&amp;$A1009,Receitas!$L:$L,"&gt;="&amp;$A1009,Receitas!$C:$C,O$1,Receitas!$M:$M,$B1009)</f>
        <v>0</v>
      </c>
      <c r="P1009" s="18">
        <f>SUMIFS(Receitas!$F:$F,Receitas!$J:$J,"&lt;="&amp;$A1009,Receitas!$L:$L,"&gt;="&amp;$A1009,Receitas!$C:$C,P$1,Receitas!$M:$M,"Mensal")+SUMIFS(Receitas!$F:$F,Receitas!$J:$J,"&lt;="&amp;$A1009,Receitas!$L:$L,"&gt;="&amp;$A1009,Receitas!$C:$C,P$1,Receitas!$M:$M,$B1009)</f>
        <v>0</v>
      </c>
      <c r="Q1009" s="18">
        <f>SUMIFS(Receitas!$F:$F,Receitas!$J:$J,"&lt;="&amp;$A1009,Receitas!$L:$L,"&gt;="&amp;$A1009,Receitas!$C:$C,Q$1,Receitas!$M:$M,"Mensal")+SUMIFS(Receitas!$F:$F,Receitas!$J:$J,"&lt;="&amp;$A1009,Receitas!$L:$L,"&gt;="&amp;$A1009,Receitas!$C:$C,Q$1,Receitas!$M:$M,$B1009)</f>
        <v>0</v>
      </c>
      <c r="R1009" s="18" cm="1">
        <f t="array" ref="R1009">(IF(AND(Membros!$F$2="Sim",A1009&lt;=MAX(Membros!$E$2:$E$5)),Membros!K$2,IF(AND(A1009&gt;=Membros!J$2,A1009&lt;=MAX(Membros!$E$2:$E$5)),Membros!K$2,0))+IF(AND(Membros!$F$3="Sim",A1009&lt;=MAX(Membros!$E$2:$E$5)),Membros!K$3,IF(AND(A1009&gt;=Membros!J$3,A1009&lt;=MAX(Membros!$E$2:$E$5)),Membros!K$3,0)))*IF(AND(COUNTIFS(Tabela3[Tipo],"Provedor",Tabela3[Simulação Seguro],"Sim")=2,A1009&gt;=MAX(IF(Tabela3[Tipo]="Dependente",Tabela3[Expectativa de Vida (Data)]))),0,1)</f>
        <v>0</v>
      </c>
      <c r="S1009" s="18">
        <f t="shared" si="126"/>
        <v>0</v>
      </c>
      <c r="U1009" s="18">
        <f t="shared" ca="1" si="129"/>
        <v>127075716.35586675</v>
      </c>
      <c r="V1009" s="18">
        <f>SUMIF(Imóveis!E:E,Dados!A:A,Imóveis!Z:Z)-SUMIF(Imóveis!E:E,Dados!A:A,Imóveis!Y:Y)</f>
        <v>0</v>
      </c>
      <c r="W1009" s="18">
        <f>-SUMIF(Projetos!N:N,A1009,Projetos!F:F)</f>
        <v>0</v>
      </c>
      <c r="X1009" s="18">
        <f t="shared" si="123"/>
        <v>0</v>
      </c>
      <c r="Y1009" s="26">
        <f ca="1">(U1009*((Indicadores_Economicos!D$2+1)^(1/12)-1))</f>
        <v>416012.82798562624</v>
      </c>
      <c r="Z1009" s="18">
        <f t="shared" ca="1" si="127"/>
        <v>127491729.18385237</v>
      </c>
      <c r="AA1009" s="18">
        <f ca="1">Auxiliar_Projetos!E1009</f>
        <v>1.0509369886727578E-8</v>
      </c>
      <c r="AB1009" s="18">
        <f ca="1">Auxiliar_Projetos!K1009</f>
        <v>8.0841306820981358E-9</v>
      </c>
      <c r="AC1009" s="18">
        <f ca="1">IF(Z1009-AA1009-AB1009&gt;Investimentos!$C$14,Investimentos!$C$14,IF(Z1009-AA1009-AB1009&lt;Investimentos!$C$14,Z1009-AA1009-AB1009,0))</f>
        <v>300000</v>
      </c>
      <c r="AD1009" s="18">
        <f t="shared" ca="1" si="128"/>
        <v>127191729.18385234</v>
      </c>
      <c r="AE1009" s="18"/>
    </row>
    <row r="1010" spans="1:31" x14ac:dyDescent="0.2">
      <c r="A1010" s="4">
        <v>76338</v>
      </c>
      <c r="B1010" s="5" t="str">
        <f t="shared" si="124"/>
        <v>janeiro</v>
      </c>
      <c r="C1010" s="5" t="str">
        <f t="shared" si="130"/>
        <v>2109</v>
      </c>
      <c r="D1010" s="5">
        <f>SUMIFS(Despesas!$F:$F,Despesas!$J:$J,"&lt;="&amp;$A1010,Despesas!$L:$L,"&gt;="&amp;$A1010,Despesas!$C:$C,D$1,Despesas!$M:$M,"Mensal")+SUMIFS(Despesas!$F:$F,Despesas!$J:$J,"&lt;="&amp;$A1010,Despesas!$L:$L,"&gt;="&amp;$A1010,Despesas!$C:$C,D$1,Despesas!$M:$M,$B1010)</f>
        <v>0</v>
      </c>
      <c r="E1010" s="18">
        <f>SUMIFS(Despesas!$F:$F,Despesas!$J:$J,"&lt;="&amp;$A1010,Despesas!$L:$L,"&gt;="&amp;$A1010,Despesas!$C:$C,E$1,Despesas!$M:$M,"Mensal")+SUMIFS(Despesas!$F:$F,Despesas!$J:$J,"&lt;="&amp;$A1010,Despesas!$L:$L,"&gt;="&amp;$A1010,Despesas!$C:$C,E$1,Despesas!$M:$M,$B1010)</f>
        <v>0</v>
      </c>
      <c r="F1010" s="5">
        <f>SUMIFS(Despesas!$F:$F,Despesas!$J:$J,"&lt;="&amp;$A1010,Despesas!$L:$L,"&gt;="&amp;$A1010,Despesas!$C:$C,F$1,Despesas!$M:$M,"Mensal")+SUMIFS(Despesas!$F:$F,Despesas!$J:$J,"&lt;="&amp;$A1010,Despesas!$L:$L,"&gt;="&amp;$A1010,Despesas!$C:$C,F$1,Despesas!$M:$M,$B1010)</f>
        <v>0</v>
      </c>
      <c r="G1010" s="5">
        <f>SUMIFS(Despesas!$F:$F,Despesas!$J:$J,"&lt;="&amp;$A1010,Despesas!$L:$L,"&gt;="&amp;$A1010,Despesas!$C:$C,G$1,Despesas!$M:$M,"Mensal")+SUMIFS(Despesas!$F:$F,Despesas!$J:$J,"&lt;="&amp;$A1010,Despesas!$L:$L,"&gt;="&amp;$A1010,Despesas!$C:$C,G$1,Despesas!$M:$M,$B1010)</f>
        <v>0</v>
      </c>
      <c r="H1010" s="18">
        <f>SUMIFS(Despesas!$F:$F,Despesas!$J:$J,"&lt;="&amp;$A1010,Despesas!$L:$L,"&gt;="&amp;$A1010,Despesas!$C:$C,H$1,Despesas!$M:$M,"Mensal")+SUMIFS(Despesas!$F:$F,Despesas!$J:$J,"&lt;="&amp;$A1010,Despesas!$L:$L,"&gt;="&amp;$A1010,Despesas!$C:$C,H$1,Despesas!$M:$M,$B1010)</f>
        <v>0</v>
      </c>
      <c r="I1010" s="18">
        <f>IF(Imóveis!$F$2="PRICE",IF(AND(Dados!$A1010&gt;=Imóveis!$Q$2,Dados!$A1010&lt;=Imóveis!$T$2),Imóveis!$U$2,0),IF((IF(AND(Dados!$A1010&gt;=Imóveis!$Q$2,Dados!$A1010&lt;=Imóveis!$T$2),Imóveis!$S$2-(DATEDIF(Imóveis!$Q$2,Dados!$A1010,"m")),0))=0,0,((Imóveis!$N$2/Imóveis!$S$2)+((Imóveis!$N$2-((Imóveis!$S$2-(IF(AND(Dados!$A1010&gt;=Imóveis!$Q$2,Dados!$A1010&lt;=Imóveis!$T$2),Imóveis!$S$2-(DATEDIF(Imóveis!$Q$2,Dados!$A1010,"m")),)))*(Imóveis!$N$2/Imóveis!$S$2)))*Imóveis!$P$2))))*IF(AND(Imóveis!$E$2&gt;0,Dados!$A1010&gt;Imóveis!$E$2),0,1)</f>
        <v>0</v>
      </c>
      <c r="J1010" s="18">
        <f>IF(Imóveis!$F$3="PRICE",IF(AND(Dados!$A1010&gt;=Imóveis!$Q$3,Dados!$A1010&lt;=Imóveis!$T$3),Imóveis!$U$3,0),IF((IF(AND(Dados!$A1010&gt;=Imóveis!$Q$3,Dados!$A1010&lt;=Imóveis!$T$3),Imóveis!$S$3-(DATEDIF(Imóveis!$Q$3,Dados!$A1010,"m")),0))=0,0,((Imóveis!$N$3/Imóveis!$S$3)+((Imóveis!$N$3-((Imóveis!$S$3-(IF(AND(Dados!$A1010&gt;=Imóveis!$Q$3,Dados!$A1010&lt;=Imóveis!$T$3),Imóveis!$S$3-(DATEDIF(Imóveis!$Q$3,Dados!$A1010,"m")),)))*(Imóveis!$N$3/Imóveis!$S$3)))*Imóveis!$P$3))))*IF(AND(Imóveis!$E$3&gt;0,Dados!$A1010&gt;Imóveis!$E$3),0,1)</f>
        <v>0</v>
      </c>
      <c r="K1010" s="18">
        <f>IF(Imóveis!$F$4="PRICE",IF(AND(Dados!$A1010&gt;=Imóveis!$Q$4,Dados!$A1010&lt;=Imóveis!$T$4),Imóveis!$U$4,0),IF((IF(AND(Dados!$A1010&gt;=Imóveis!$Q$4,Dados!$A1010&lt;=Imóveis!$T$4),Imóveis!$S$4-(DATEDIF(Imóveis!$Q$4,Dados!$A1010,"m")),0))=0,0,((Imóveis!$N$4/Imóveis!$S$4)+((Imóveis!$N$4-((Imóveis!$S$4-(IF(AND(Dados!$A1010&gt;=Imóveis!$Q$4,Dados!$A1010&lt;=Imóveis!$T$4),Imóveis!$S$4-(DATEDIF(Imóveis!$Q$4,Dados!$A1010,"m")),)))*(Imóveis!$N$4/Imóveis!$S$4)))*Imóveis!$P$4))))*IF(AND(Imóveis!$E$4&gt;0,Dados!$A1010&gt;Imóveis!$E$4),0,1)</f>
        <v>0</v>
      </c>
      <c r="L1010" s="18">
        <f>IF(Imóveis!$F$5="PRICE",IF(AND(Dados!$A1010&gt;=Imóveis!$Q$5,Dados!$A1010&lt;=Imóveis!$T$5),Imóveis!$U$5,0),IF((IF(AND(Dados!$A1010&gt;=Imóveis!$Q$5,Dados!$A1010&lt;=Imóveis!$T$5),Imóveis!$S$5-(DATEDIF(Imóveis!$Q$5,Dados!$A1010,"m")),0))=0,0,((Imóveis!$N$5/Imóveis!$S$5)+((Imóveis!$N$5-((Imóveis!$S$5-(IF(AND(Dados!$A1010 &gt;=Imóveis!$Q$5,Dados!$A1010&lt;=Imóveis!$T$5),Imóveis!$S$5-(DATEDIF(Imóveis!$Q$5,Dados!$A1010,"m")),)))*(Imóveis!$N$5/Imóveis!$S$5)))*Imóveis!$P$5))))*IF(AND(Imóveis!$E$5&gt;0,Dados!$A1010&gt;Imóveis!$E$5),0,1)*Imóveis!$I$5</f>
        <v>0</v>
      </c>
      <c r="M1010" s="18">
        <f>IF(Imóveis!$F$6="PRICE",IF(AND(Dados!$A1010&gt;=Imóveis!$Q$6,Dados!$A1010&lt;=Imóveis!$T$6),Imóveis!$U$6,0),IF((IF(AND(Dados!$A1010&gt;=Imóveis!$Q$6,Dados!$A1010&lt;=Imóveis!$T$6),Imóveis!$S$6-(DATEDIF(Imóveis!$Q$6,Dados!$A1010,"m")),0))=0,0,((Imóveis!$N$6/Imóveis!$S$6)+((Imóveis!$N$6-((Imóveis!$S$6-(IF(AND(Dados!$A1010&gt;=Imóveis!$Q$6,Dados!$A1010&lt;=Imóveis!$T$6),Imóveis!$S$6-(DATEDIF(Imóveis!$Q$6,Dados!$A1010,"m")),)))*(Imóveis!$N$6/Imóveis!$S$6)))*Imóveis!$P$6))))*IF(AND(Imóveis!$E$6&gt;0,Dados!$A1010&gt;Imóveis!$E$6),0,1)*Imóveis!$I$6</f>
        <v>0</v>
      </c>
      <c r="N1010" s="18">
        <f t="shared" si="125"/>
        <v>0</v>
      </c>
      <c r="O1010" s="18">
        <f>SUMIFS(Receitas!$F:$F,Receitas!$J:$J,"&lt;="&amp;$A1010,Receitas!$L:$L,"&gt;="&amp;$A1010,Receitas!$C:$C,O$1,Receitas!$M:$M,"Mensal")+SUMIFS(Receitas!$F:$F,Receitas!$J:$J,"&lt;="&amp;$A1010,Receitas!$L:$L,"&gt;="&amp;$A1010,Receitas!$C:$C,O$1,Receitas!$M:$M,$B1010)</f>
        <v>0</v>
      </c>
      <c r="P1010" s="18">
        <f>SUMIFS(Receitas!$F:$F,Receitas!$J:$J,"&lt;="&amp;$A1010,Receitas!$L:$L,"&gt;="&amp;$A1010,Receitas!$C:$C,P$1,Receitas!$M:$M,"Mensal")+SUMIFS(Receitas!$F:$F,Receitas!$J:$J,"&lt;="&amp;$A1010,Receitas!$L:$L,"&gt;="&amp;$A1010,Receitas!$C:$C,P$1,Receitas!$M:$M,$B1010)</f>
        <v>0</v>
      </c>
      <c r="Q1010" s="18">
        <f>SUMIFS(Receitas!$F:$F,Receitas!$J:$J,"&lt;="&amp;$A1010,Receitas!$L:$L,"&gt;="&amp;$A1010,Receitas!$C:$C,Q$1,Receitas!$M:$M,"Mensal")+SUMIFS(Receitas!$F:$F,Receitas!$J:$J,"&lt;="&amp;$A1010,Receitas!$L:$L,"&gt;="&amp;$A1010,Receitas!$C:$C,Q$1,Receitas!$M:$M,$B1010)</f>
        <v>0</v>
      </c>
      <c r="R1010" s="18" cm="1">
        <f t="array" ref="R1010">(IF(AND(Membros!$F$2="Sim",A1010&lt;=MAX(Membros!$E$2:$E$5)),Membros!K$2,IF(AND(A1010&gt;=Membros!J$2,A1010&lt;=MAX(Membros!$E$2:$E$5)),Membros!K$2,0))+IF(AND(Membros!$F$3="Sim",A1010&lt;=MAX(Membros!$E$2:$E$5)),Membros!K$3,IF(AND(A1010&gt;=Membros!J$3,A1010&lt;=MAX(Membros!$E$2:$E$5)),Membros!K$3,0)))*IF(AND(COUNTIFS(Tabela3[Tipo],"Provedor",Tabela3[Simulação Seguro],"Sim")=2,A1010&gt;=MAX(IF(Tabela3[Tipo]="Dependente",Tabela3[Expectativa de Vida (Data)]))),0,1)</f>
        <v>0</v>
      </c>
      <c r="S1010" s="18">
        <f t="shared" si="126"/>
        <v>0</v>
      </c>
      <c r="U1010" s="18">
        <f t="shared" ca="1" si="129"/>
        <v>127491729.18385237</v>
      </c>
      <c r="V1010" s="18">
        <f>SUMIF(Imóveis!E:E,Dados!A:A,Imóveis!Z:Z)-SUMIF(Imóveis!E:E,Dados!A:A,Imóveis!Y:Y)</f>
        <v>0</v>
      </c>
      <c r="W1010" s="18">
        <f>-SUMIF(Projetos!N:N,A1010,Projetos!F:F)</f>
        <v>0</v>
      </c>
      <c r="X1010" s="18">
        <f t="shared" si="123"/>
        <v>0</v>
      </c>
      <c r="Y1010" s="26">
        <f ca="1">(U1010*((Indicadores_Economicos!D$2+1)^(1/12)-1))</f>
        <v>417374.74573050789</v>
      </c>
      <c r="Z1010" s="18">
        <f t="shared" ca="1" si="127"/>
        <v>127909103.92958288</v>
      </c>
      <c r="AA1010" s="18">
        <f ca="1">Auxiliar_Projetos!E1010</f>
        <v>1.0543774829011601E-8</v>
      </c>
      <c r="AB1010" s="18">
        <f ca="1">Auxiliar_Projetos!K1010</f>
        <v>8.1105960223166158E-9</v>
      </c>
      <c r="AC1010" s="18">
        <f ca="1">IF(Z1010-AA1010-AB1010&gt;Investimentos!$C$14,Investimentos!$C$14,IF(Z1010-AA1010-AB1010&lt;Investimentos!$C$14,Z1010-AA1010-AB1010,0))</f>
        <v>300000</v>
      </c>
      <c r="AD1010" s="18">
        <f t="shared" ca="1" si="128"/>
        <v>127609103.92958285</v>
      </c>
      <c r="AE1010" s="18"/>
    </row>
    <row r="1011" spans="1:31" x14ac:dyDescent="0.2">
      <c r="A1011" s="4">
        <v>76369</v>
      </c>
      <c r="B1011" s="5" t="str">
        <f t="shared" si="124"/>
        <v>fevereiro</v>
      </c>
      <c r="C1011" s="5" t="str">
        <f t="shared" si="130"/>
        <v>2109</v>
      </c>
      <c r="D1011" s="5">
        <f>SUMIFS(Despesas!$F:$F,Despesas!$J:$J,"&lt;="&amp;$A1011,Despesas!$L:$L,"&gt;="&amp;$A1011,Despesas!$C:$C,D$1,Despesas!$M:$M,"Mensal")+SUMIFS(Despesas!$F:$F,Despesas!$J:$J,"&lt;="&amp;$A1011,Despesas!$L:$L,"&gt;="&amp;$A1011,Despesas!$C:$C,D$1,Despesas!$M:$M,$B1011)</f>
        <v>0</v>
      </c>
      <c r="E1011" s="18">
        <f>SUMIFS(Despesas!$F:$F,Despesas!$J:$J,"&lt;="&amp;$A1011,Despesas!$L:$L,"&gt;="&amp;$A1011,Despesas!$C:$C,E$1,Despesas!$M:$M,"Mensal")+SUMIFS(Despesas!$F:$F,Despesas!$J:$J,"&lt;="&amp;$A1011,Despesas!$L:$L,"&gt;="&amp;$A1011,Despesas!$C:$C,E$1,Despesas!$M:$M,$B1011)</f>
        <v>0</v>
      </c>
      <c r="F1011" s="5">
        <f>SUMIFS(Despesas!$F:$F,Despesas!$J:$J,"&lt;="&amp;$A1011,Despesas!$L:$L,"&gt;="&amp;$A1011,Despesas!$C:$C,F$1,Despesas!$M:$M,"Mensal")+SUMIFS(Despesas!$F:$F,Despesas!$J:$J,"&lt;="&amp;$A1011,Despesas!$L:$L,"&gt;="&amp;$A1011,Despesas!$C:$C,F$1,Despesas!$M:$M,$B1011)</f>
        <v>0</v>
      </c>
      <c r="G1011" s="5">
        <f>SUMIFS(Despesas!$F:$F,Despesas!$J:$J,"&lt;="&amp;$A1011,Despesas!$L:$L,"&gt;="&amp;$A1011,Despesas!$C:$C,G$1,Despesas!$M:$M,"Mensal")+SUMIFS(Despesas!$F:$F,Despesas!$J:$J,"&lt;="&amp;$A1011,Despesas!$L:$L,"&gt;="&amp;$A1011,Despesas!$C:$C,G$1,Despesas!$M:$M,$B1011)</f>
        <v>0</v>
      </c>
      <c r="H1011" s="18">
        <f>SUMIFS(Despesas!$F:$F,Despesas!$J:$J,"&lt;="&amp;$A1011,Despesas!$L:$L,"&gt;="&amp;$A1011,Despesas!$C:$C,H$1,Despesas!$M:$M,"Mensal")+SUMIFS(Despesas!$F:$F,Despesas!$J:$J,"&lt;="&amp;$A1011,Despesas!$L:$L,"&gt;="&amp;$A1011,Despesas!$C:$C,H$1,Despesas!$M:$M,$B1011)</f>
        <v>0</v>
      </c>
      <c r="I1011" s="18">
        <f>IF(Imóveis!$F$2="PRICE",IF(AND(Dados!$A1011&gt;=Imóveis!$Q$2,Dados!$A1011&lt;=Imóveis!$T$2),Imóveis!$U$2,0),IF((IF(AND(Dados!$A1011&gt;=Imóveis!$Q$2,Dados!$A1011&lt;=Imóveis!$T$2),Imóveis!$S$2-(DATEDIF(Imóveis!$Q$2,Dados!$A1011,"m")),0))=0,0,((Imóveis!$N$2/Imóveis!$S$2)+((Imóveis!$N$2-((Imóveis!$S$2-(IF(AND(Dados!$A1011&gt;=Imóveis!$Q$2,Dados!$A1011&lt;=Imóveis!$T$2),Imóveis!$S$2-(DATEDIF(Imóveis!$Q$2,Dados!$A1011,"m")),)))*(Imóveis!$N$2/Imóveis!$S$2)))*Imóveis!$P$2))))*IF(AND(Imóveis!$E$2&gt;0,Dados!$A1011&gt;Imóveis!$E$2),0,1)</f>
        <v>0</v>
      </c>
      <c r="J1011" s="18">
        <f>IF(Imóveis!$F$3="PRICE",IF(AND(Dados!$A1011&gt;=Imóveis!$Q$3,Dados!$A1011&lt;=Imóveis!$T$3),Imóveis!$U$3,0),IF((IF(AND(Dados!$A1011&gt;=Imóveis!$Q$3,Dados!$A1011&lt;=Imóveis!$T$3),Imóveis!$S$3-(DATEDIF(Imóveis!$Q$3,Dados!$A1011,"m")),0))=0,0,((Imóveis!$N$3/Imóveis!$S$3)+((Imóveis!$N$3-((Imóveis!$S$3-(IF(AND(Dados!$A1011&gt;=Imóveis!$Q$3,Dados!$A1011&lt;=Imóveis!$T$3),Imóveis!$S$3-(DATEDIF(Imóveis!$Q$3,Dados!$A1011,"m")),)))*(Imóveis!$N$3/Imóveis!$S$3)))*Imóveis!$P$3))))*IF(AND(Imóveis!$E$3&gt;0,Dados!$A1011&gt;Imóveis!$E$3),0,1)</f>
        <v>0</v>
      </c>
      <c r="K1011" s="18">
        <f>IF(Imóveis!$F$4="PRICE",IF(AND(Dados!$A1011&gt;=Imóveis!$Q$4,Dados!$A1011&lt;=Imóveis!$T$4),Imóveis!$U$4,0),IF((IF(AND(Dados!$A1011&gt;=Imóveis!$Q$4,Dados!$A1011&lt;=Imóveis!$T$4),Imóveis!$S$4-(DATEDIF(Imóveis!$Q$4,Dados!$A1011,"m")),0))=0,0,((Imóveis!$N$4/Imóveis!$S$4)+((Imóveis!$N$4-((Imóveis!$S$4-(IF(AND(Dados!$A1011&gt;=Imóveis!$Q$4,Dados!$A1011&lt;=Imóveis!$T$4),Imóveis!$S$4-(DATEDIF(Imóveis!$Q$4,Dados!$A1011,"m")),)))*(Imóveis!$N$4/Imóveis!$S$4)))*Imóveis!$P$4))))*IF(AND(Imóveis!$E$4&gt;0,Dados!$A1011&gt;Imóveis!$E$4),0,1)</f>
        <v>0</v>
      </c>
      <c r="L1011" s="18">
        <f>IF(Imóveis!$F$5="PRICE",IF(AND(Dados!$A1011&gt;=Imóveis!$Q$5,Dados!$A1011&lt;=Imóveis!$T$5),Imóveis!$U$5,0),IF((IF(AND(Dados!$A1011&gt;=Imóveis!$Q$5,Dados!$A1011&lt;=Imóveis!$T$5),Imóveis!$S$5-(DATEDIF(Imóveis!$Q$5,Dados!$A1011,"m")),0))=0,0,((Imóveis!$N$5/Imóveis!$S$5)+((Imóveis!$N$5-((Imóveis!$S$5-(IF(AND(Dados!$A1011 &gt;=Imóveis!$Q$5,Dados!$A1011&lt;=Imóveis!$T$5),Imóveis!$S$5-(DATEDIF(Imóveis!$Q$5,Dados!$A1011,"m")),)))*(Imóveis!$N$5/Imóveis!$S$5)))*Imóveis!$P$5))))*IF(AND(Imóveis!$E$5&gt;0,Dados!$A1011&gt;Imóveis!$E$5),0,1)*Imóveis!$I$5</f>
        <v>0</v>
      </c>
      <c r="M1011" s="18">
        <f>IF(Imóveis!$F$6="PRICE",IF(AND(Dados!$A1011&gt;=Imóveis!$Q$6,Dados!$A1011&lt;=Imóveis!$T$6),Imóveis!$U$6,0),IF((IF(AND(Dados!$A1011&gt;=Imóveis!$Q$6,Dados!$A1011&lt;=Imóveis!$T$6),Imóveis!$S$6-(DATEDIF(Imóveis!$Q$6,Dados!$A1011,"m")),0))=0,0,((Imóveis!$N$6/Imóveis!$S$6)+((Imóveis!$N$6-((Imóveis!$S$6-(IF(AND(Dados!$A1011&gt;=Imóveis!$Q$6,Dados!$A1011&lt;=Imóveis!$T$6),Imóveis!$S$6-(DATEDIF(Imóveis!$Q$6,Dados!$A1011,"m")),)))*(Imóveis!$N$6/Imóveis!$S$6)))*Imóveis!$P$6))))*IF(AND(Imóveis!$E$6&gt;0,Dados!$A1011&gt;Imóveis!$E$6),0,1)*Imóveis!$I$6</f>
        <v>0</v>
      </c>
      <c r="N1011" s="18">
        <f t="shared" si="125"/>
        <v>0</v>
      </c>
      <c r="O1011" s="18">
        <f>SUMIFS(Receitas!$F:$F,Receitas!$J:$J,"&lt;="&amp;$A1011,Receitas!$L:$L,"&gt;="&amp;$A1011,Receitas!$C:$C,O$1,Receitas!$M:$M,"Mensal")+SUMIFS(Receitas!$F:$F,Receitas!$J:$J,"&lt;="&amp;$A1011,Receitas!$L:$L,"&gt;="&amp;$A1011,Receitas!$C:$C,O$1,Receitas!$M:$M,$B1011)</f>
        <v>0</v>
      </c>
      <c r="P1011" s="18">
        <f>SUMIFS(Receitas!$F:$F,Receitas!$J:$J,"&lt;="&amp;$A1011,Receitas!$L:$L,"&gt;="&amp;$A1011,Receitas!$C:$C,P$1,Receitas!$M:$M,"Mensal")+SUMIFS(Receitas!$F:$F,Receitas!$J:$J,"&lt;="&amp;$A1011,Receitas!$L:$L,"&gt;="&amp;$A1011,Receitas!$C:$C,P$1,Receitas!$M:$M,$B1011)</f>
        <v>0</v>
      </c>
      <c r="Q1011" s="18">
        <f>SUMIFS(Receitas!$F:$F,Receitas!$J:$J,"&lt;="&amp;$A1011,Receitas!$L:$L,"&gt;="&amp;$A1011,Receitas!$C:$C,Q$1,Receitas!$M:$M,"Mensal")+SUMIFS(Receitas!$F:$F,Receitas!$J:$J,"&lt;="&amp;$A1011,Receitas!$L:$L,"&gt;="&amp;$A1011,Receitas!$C:$C,Q$1,Receitas!$M:$M,$B1011)</f>
        <v>0</v>
      </c>
      <c r="R1011" s="18" cm="1">
        <f t="array" ref="R1011">(IF(AND(Membros!$F$2="Sim",A1011&lt;=MAX(Membros!$E$2:$E$5)),Membros!K$2,IF(AND(A1011&gt;=Membros!J$2,A1011&lt;=MAX(Membros!$E$2:$E$5)),Membros!K$2,0))+IF(AND(Membros!$F$3="Sim",A1011&lt;=MAX(Membros!$E$2:$E$5)),Membros!K$3,IF(AND(A1011&gt;=Membros!J$3,A1011&lt;=MAX(Membros!$E$2:$E$5)),Membros!K$3,0)))*IF(AND(COUNTIFS(Tabela3[Tipo],"Provedor",Tabela3[Simulação Seguro],"Sim")=2,A1011&gt;=MAX(IF(Tabela3[Tipo]="Dependente",Tabela3[Expectativa de Vida (Data)]))),0,1)</f>
        <v>0</v>
      </c>
      <c r="S1011" s="18">
        <f t="shared" si="126"/>
        <v>0</v>
      </c>
      <c r="U1011" s="18">
        <f t="shared" ca="1" si="129"/>
        <v>127909103.92958288</v>
      </c>
      <c r="V1011" s="18">
        <f>SUMIF(Imóveis!E:E,Dados!A:A,Imóveis!Z:Z)-SUMIF(Imóveis!E:E,Dados!A:A,Imóveis!Y:Y)</f>
        <v>0</v>
      </c>
      <c r="W1011" s="18">
        <f>-SUMIF(Projetos!N:N,A1011,Projetos!F:F)</f>
        <v>0</v>
      </c>
      <c r="X1011" s="18">
        <f t="shared" si="123"/>
        <v>0</v>
      </c>
      <c r="Y1011" s="26">
        <f ca="1">(U1011*((Indicadores_Economicos!D$2+1)^(1/12)-1))</f>
        <v>418741.12203969096</v>
      </c>
      <c r="Z1011" s="18">
        <f t="shared" ca="1" si="127"/>
        <v>128327845.05162257</v>
      </c>
      <c r="AA1011" s="18">
        <f ca="1">Auxiliar_Projetos!E1011</f>
        <v>1.0578292404123884E-8</v>
      </c>
      <c r="AB1011" s="18">
        <f ca="1">Auxiliar_Projetos!K1011</f>
        <v>8.1371480031722173E-9</v>
      </c>
      <c r="AC1011" s="18">
        <f ca="1">IF(Z1011-AA1011-AB1011&gt;Investimentos!$C$14,Investimentos!$C$14,IF(Z1011-AA1011-AB1011&lt;Investimentos!$C$14,Z1011-AA1011-AB1011,0))</f>
        <v>300000</v>
      </c>
      <c r="AD1011" s="18">
        <f t="shared" ca="1" si="128"/>
        <v>128027845.05162254</v>
      </c>
      <c r="AE1011" s="18"/>
    </row>
    <row r="1012" spans="1:31" x14ac:dyDescent="0.2">
      <c r="A1012" s="4">
        <v>76397</v>
      </c>
      <c r="B1012" s="5" t="str">
        <f t="shared" si="124"/>
        <v>março</v>
      </c>
      <c r="C1012" s="5" t="str">
        <f t="shared" si="130"/>
        <v>2109</v>
      </c>
      <c r="D1012" s="5">
        <f>SUMIFS(Despesas!$F:$F,Despesas!$J:$J,"&lt;="&amp;$A1012,Despesas!$L:$L,"&gt;="&amp;$A1012,Despesas!$C:$C,D$1,Despesas!$M:$M,"Mensal")+SUMIFS(Despesas!$F:$F,Despesas!$J:$J,"&lt;="&amp;$A1012,Despesas!$L:$L,"&gt;="&amp;$A1012,Despesas!$C:$C,D$1,Despesas!$M:$M,$B1012)</f>
        <v>0</v>
      </c>
      <c r="E1012" s="18">
        <f>SUMIFS(Despesas!$F:$F,Despesas!$J:$J,"&lt;="&amp;$A1012,Despesas!$L:$L,"&gt;="&amp;$A1012,Despesas!$C:$C,E$1,Despesas!$M:$M,"Mensal")+SUMIFS(Despesas!$F:$F,Despesas!$J:$J,"&lt;="&amp;$A1012,Despesas!$L:$L,"&gt;="&amp;$A1012,Despesas!$C:$C,E$1,Despesas!$M:$M,$B1012)</f>
        <v>0</v>
      </c>
      <c r="F1012" s="5">
        <f>SUMIFS(Despesas!$F:$F,Despesas!$J:$J,"&lt;="&amp;$A1012,Despesas!$L:$L,"&gt;="&amp;$A1012,Despesas!$C:$C,F$1,Despesas!$M:$M,"Mensal")+SUMIFS(Despesas!$F:$F,Despesas!$J:$J,"&lt;="&amp;$A1012,Despesas!$L:$L,"&gt;="&amp;$A1012,Despesas!$C:$C,F$1,Despesas!$M:$M,$B1012)</f>
        <v>0</v>
      </c>
      <c r="G1012" s="5">
        <f>SUMIFS(Despesas!$F:$F,Despesas!$J:$J,"&lt;="&amp;$A1012,Despesas!$L:$L,"&gt;="&amp;$A1012,Despesas!$C:$C,G$1,Despesas!$M:$M,"Mensal")+SUMIFS(Despesas!$F:$F,Despesas!$J:$J,"&lt;="&amp;$A1012,Despesas!$L:$L,"&gt;="&amp;$A1012,Despesas!$C:$C,G$1,Despesas!$M:$M,$B1012)</f>
        <v>0</v>
      </c>
      <c r="H1012" s="18">
        <f>SUMIFS(Despesas!$F:$F,Despesas!$J:$J,"&lt;="&amp;$A1012,Despesas!$L:$L,"&gt;="&amp;$A1012,Despesas!$C:$C,H$1,Despesas!$M:$M,"Mensal")+SUMIFS(Despesas!$F:$F,Despesas!$J:$J,"&lt;="&amp;$A1012,Despesas!$L:$L,"&gt;="&amp;$A1012,Despesas!$C:$C,H$1,Despesas!$M:$M,$B1012)</f>
        <v>0</v>
      </c>
      <c r="I1012" s="18">
        <f>IF(Imóveis!$F$2="PRICE",IF(AND(Dados!$A1012&gt;=Imóveis!$Q$2,Dados!$A1012&lt;=Imóveis!$T$2),Imóveis!$U$2,0),IF((IF(AND(Dados!$A1012&gt;=Imóveis!$Q$2,Dados!$A1012&lt;=Imóveis!$T$2),Imóveis!$S$2-(DATEDIF(Imóveis!$Q$2,Dados!$A1012,"m")),0))=0,0,((Imóveis!$N$2/Imóveis!$S$2)+((Imóveis!$N$2-((Imóveis!$S$2-(IF(AND(Dados!$A1012&gt;=Imóveis!$Q$2,Dados!$A1012&lt;=Imóveis!$T$2),Imóveis!$S$2-(DATEDIF(Imóveis!$Q$2,Dados!$A1012,"m")),)))*(Imóveis!$N$2/Imóveis!$S$2)))*Imóveis!$P$2))))*IF(AND(Imóveis!$E$2&gt;0,Dados!$A1012&gt;Imóveis!$E$2),0,1)</f>
        <v>0</v>
      </c>
      <c r="J1012" s="18">
        <f>IF(Imóveis!$F$3="PRICE",IF(AND(Dados!$A1012&gt;=Imóveis!$Q$3,Dados!$A1012&lt;=Imóveis!$T$3),Imóveis!$U$3,0),IF((IF(AND(Dados!$A1012&gt;=Imóveis!$Q$3,Dados!$A1012&lt;=Imóveis!$T$3),Imóveis!$S$3-(DATEDIF(Imóveis!$Q$3,Dados!$A1012,"m")),0))=0,0,((Imóveis!$N$3/Imóveis!$S$3)+((Imóveis!$N$3-((Imóveis!$S$3-(IF(AND(Dados!$A1012&gt;=Imóveis!$Q$3,Dados!$A1012&lt;=Imóveis!$T$3),Imóveis!$S$3-(DATEDIF(Imóveis!$Q$3,Dados!$A1012,"m")),)))*(Imóveis!$N$3/Imóveis!$S$3)))*Imóveis!$P$3))))*IF(AND(Imóveis!$E$3&gt;0,Dados!$A1012&gt;Imóveis!$E$3),0,1)</f>
        <v>0</v>
      </c>
      <c r="K1012" s="18">
        <f>IF(Imóveis!$F$4="PRICE",IF(AND(Dados!$A1012&gt;=Imóveis!$Q$4,Dados!$A1012&lt;=Imóveis!$T$4),Imóveis!$U$4,0),IF((IF(AND(Dados!$A1012&gt;=Imóveis!$Q$4,Dados!$A1012&lt;=Imóveis!$T$4),Imóveis!$S$4-(DATEDIF(Imóveis!$Q$4,Dados!$A1012,"m")),0))=0,0,((Imóveis!$N$4/Imóveis!$S$4)+((Imóveis!$N$4-((Imóveis!$S$4-(IF(AND(Dados!$A1012&gt;=Imóveis!$Q$4,Dados!$A1012&lt;=Imóveis!$T$4),Imóveis!$S$4-(DATEDIF(Imóveis!$Q$4,Dados!$A1012,"m")),)))*(Imóveis!$N$4/Imóveis!$S$4)))*Imóveis!$P$4))))*IF(AND(Imóveis!$E$4&gt;0,Dados!$A1012&gt;Imóveis!$E$4),0,1)</f>
        <v>0</v>
      </c>
      <c r="L1012" s="18">
        <f>IF(Imóveis!$F$5="PRICE",IF(AND(Dados!$A1012&gt;=Imóveis!$Q$5,Dados!$A1012&lt;=Imóveis!$T$5),Imóveis!$U$5,0),IF((IF(AND(Dados!$A1012&gt;=Imóveis!$Q$5,Dados!$A1012&lt;=Imóveis!$T$5),Imóveis!$S$5-(DATEDIF(Imóveis!$Q$5,Dados!$A1012,"m")),0))=0,0,((Imóveis!$N$5/Imóveis!$S$5)+((Imóveis!$N$5-((Imóveis!$S$5-(IF(AND(Dados!$A1012 &gt;=Imóveis!$Q$5,Dados!$A1012&lt;=Imóveis!$T$5),Imóveis!$S$5-(DATEDIF(Imóveis!$Q$5,Dados!$A1012,"m")),)))*(Imóveis!$N$5/Imóveis!$S$5)))*Imóveis!$P$5))))*IF(AND(Imóveis!$E$5&gt;0,Dados!$A1012&gt;Imóveis!$E$5),0,1)*Imóveis!$I$5</f>
        <v>0</v>
      </c>
      <c r="M1012" s="18">
        <f>IF(Imóveis!$F$6="PRICE",IF(AND(Dados!$A1012&gt;=Imóveis!$Q$6,Dados!$A1012&lt;=Imóveis!$T$6),Imóveis!$U$6,0),IF((IF(AND(Dados!$A1012&gt;=Imóveis!$Q$6,Dados!$A1012&lt;=Imóveis!$T$6),Imóveis!$S$6-(DATEDIF(Imóveis!$Q$6,Dados!$A1012,"m")),0))=0,0,((Imóveis!$N$6/Imóveis!$S$6)+((Imóveis!$N$6-((Imóveis!$S$6-(IF(AND(Dados!$A1012&gt;=Imóveis!$Q$6,Dados!$A1012&lt;=Imóveis!$T$6),Imóveis!$S$6-(DATEDIF(Imóveis!$Q$6,Dados!$A1012,"m")),)))*(Imóveis!$N$6/Imóveis!$S$6)))*Imóveis!$P$6))))*IF(AND(Imóveis!$E$6&gt;0,Dados!$A1012&gt;Imóveis!$E$6),0,1)*Imóveis!$I$6</f>
        <v>0</v>
      </c>
      <c r="N1012" s="18">
        <f t="shared" si="125"/>
        <v>0</v>
      </c>
      <c r="O1012" s="18">
        <f>SUMIFS(Receitas!$F:$F,Receitas!$J:$J,"&lt;="&amp;$A1012,Receitas!$L:$L,"&gt;="&amp;$A1012,Receitas!$C:$C,O$1,Receitas!$M:$M,"Mensal")+SUMIFS(Receitas!$F:$F,Receitas!$J:$J,"&lt;="&amp;$A1012,Receitas!$L:$L,"&gt;="&amp;$A1012,Receitas!$C:$C,O$1,Receitas!$M:$M,$B1012)</f>
        <v>0</v>
      </c>
      <c r="P1012" s="18">
        <f>SUMIFS(Receitas!$F:$F,Receitas!$J:$J,"&lt;="&amp;$A1012,Receitas!$L:$L,"&gt;="&amp;$A1012,Receitas!$C:$C,P$1,Receitas!$M:$M,"Mensal")+SUMIFS(Receitas!$F:$F,Receitas!$J:$J,"&lt;="&amp;$A1012,Receitas!$L:$L,"&gt;="&amp;$A1012,Receitas!$C:$C,P$1,Receitas!$M:$M,$B1012)</f>
        <v>0</v>
      </c>
      <c r="Q1012" s="18">
        <f>SUMIFS(Receitas!$F:$F,Receitas!$J:$J,"&lt;="&amp;$A1012,Receitas!$L:$L,"&gt;="&amp;$A1012,Receitas!$C:$C,Q$1,Receitas!$M:$M,"Mensal")+SUMIFS(Receitas!$F:$F,Receitas!$J:$J,"&lt;="&amp;$A1012,Receitas!$L:$L,"&gt;="&amp;$A1012,Receitas!$C:$C,Q$1,Receitas!$M:$M,$B1012)</f>
        <v>0</v>
      </c>
      <c r="R1012" s="18" cm="1">
        <f t="array" ref="R1012">(IF(AND(Membros!$F$2="Sim",A1012&lt;=MAX(Membros!$E$2:$E$5)),Membros!K$2,IF(AND(A1012&gt;=Membros!J$2,A1012&lt;=MAX(Membros!$E$2:$E$5)),Membros!K$2,0))+IF(AND(Membros!$F$3="Sim",A1012&lt;=MAX(Membros!$E$2:$E$5)),Membros!K$3,IF(AND(A1012&gt;=Membros!J$3,A1012&lt;=MAX(Membros!$E$2:$E$5)),Membros!K$3,0)))*IF(AND(COUNTIFS(Tabela3[Tipo],"Provedor",Tabela3[Simulação Seguro],"Sim")=2,A1012&gt;=MAX(IF(Tabela3[Tipo]="Dependente",Tabela3[Expectativa de Vida (Data)]))),0,1)</f>
        <v>0</v>
      </c>
      <c r="S1012" s="18">
        <f t="shared" si="126"/>
        <v>0</v>
      </c>
      <c r="U1012" s="18">
        <f t="shared" ca="1" si="129"/>
        <v>128327845.05162257</v>
      </c>
      <c r="V1012" s="18">
        <f>SUMIF(Imóveis!E:E,Dados!A:A,Imóveis!Z:Z)-SUMIF(Imóveis!E:E,Dados!A:A,Imóveis!Y:Y)</f>
        <v>0</v>
      </c>
      <c r="W1012" s="18">
        <f>-SUMIF(Projetos!N:N,A1012,Projetos!F:F)</f>
        <v>0</v>
      </c>
      <c r="X1012" s="18">
        <f t="shared" si="123"/>
        <v>0</v>
      </c>
      <c r="Y1012" s="26">
        <f ca="1">(U1012*((Indicadores_Economicos!D$2+1)^(1/12)-1))</f>
        <v>420111.97150935489</v>
      </c>
      <c r="Z1012" s="18">
        <f t="shared" ca="1" si="127"/>
        <v>128747957.02313192</v>
      </c>
      <c r="AA1012" s="18">
        <f ca="1">Auxiliar_Projetos!E1012</f>
        <v>1.0612922980794996E-8</v>
      </c>
      <c r="AB1012" s="18">
        <f ca="1">Auxiliar_Projetos!K1012</f>
        <v>8.1637869083038422E-9</v>
      </c>
      <c r="AC1012" s="18">
        <f ca="1">IF(Z1012-AA1012-AB1012&gt;Investimentos!$C$14,Investimentos!$C$14,IF(Z1012-AA1012-AB1012&lt;Investimentos!$C$14,Z1012-AA1012-AB1012,0))</f>
        <v>300000</v>
      </c>
      <c r="AD1012" s="18">
        <f t="shared" ca="1" si="128"/>
        <v>128447957.02313189</v>
      </c>
      <c r="AE1012" s="18"/>
    </row>
    <row r="1013" spans="1:31" x14ac:dyDescent="0.2">
      <c r="A1013" s="4">
        <v>76428</v>
      </c>
      <c r="B1013" s="5" t="str">
        <f t="shared" si="124"/>
        <v>abril</v>
      </c>
      <c r="C1013" s="5" t="str">
        <f t="shared" si="130"/>
        <v>2109</v>
      </c>
      <c r="D1013" s="5">
        <f>SUMIFS(Despesas!$F:$F,Despesas!$J:$J,"&lt;="&amp;$A1013,Despesas!$L:$L,"&gt;="&amp;$A1013,Despesas!$C:$C,D$1,Despesas!$M:$M,"Mensal")+SUMIFS(Despesas!$F:$F,Despesas!$J:$J,"&lt;="&amp;$A1013,Despesas!$L:$L,"&gt;="&amp;$A1013,Despesas!$C:$C,D$1,Despesas!$M:$M,$B1013)</f>
        <v>0</v>
      </c>
      <c r="E1013" s="18">
        <f>SUMIFS(Despesas!$F:$F,Despesas!$J:$J,"&lt;="&amp;$A1013,Despesas!$L:$L,"&gt;="&amp;$A1013,Despesas!$C:$C,E$1,Despesas!$M:$M,"Mensal")+SUMIFS(Despesas!$F:$F,Despesas!$J:$J,"&lt;="&amp;$A1013,Despesas!$L:$L,"&gt;="&amp;$A1013,Despesas!$C:$C,E$1,Despesas!$M:$M,$B1013)</f>
        <v>0</v>
      </c>
      <c r="F1013" s="5">
        <f>SUMIFS(Despesas!$F:$F,Despesas!$J:$J,"&lt;="&amp;$A1013,Despesas!$L:$L,"&gt;="&amp;$A1013,Despesas!$C:$C,F$1,Despesas!$M:$M,"Mensal")+SUMIFS(Despesas!$F:$F,Despesas!$J:$J,"&lt;="&amp;$A1013,Despesas!$L:$L,"&gt;="&amp;$A1013,Despesas!$C:$C,F$1,Despesas!$M:$M,$B1013)</f>
        <v>0</v>
      </c>
      <c r="G1013" s="5">
        <f>SUMIFS(Despesas!$F:$F,Despesas!$J:$J,"&lt;="&amp;$A1013,Despesas!$L:$L,"&gt;="&amp;$A1013,Despesas!$C:$C,G$1,Despesas!$M:$M,"Mensal")+SUMIFS(Despesas!$F:$F,Despesas!$J:$J,"&lt;="&amp;$A1013,Despesas!$L:$L,"&gt;="&amp;$A1013,Despesas!$C:$C,G$1,Despesas!$M:$M,$B1013)</f>
        <v>0</v>
      </c>
      <c r="H1013" s="18">
        <f>SUMIFS(Despesas!$F:$F,Despesas!$J:$J,"&lt;="&amp;$A1013,Despesas!$L:$L,"&gt;="&amp;$A1013,Despesas!$C:$C,H$1,Despesas!$M:$M,"Mensal")+SUMIFS(Despesas!$F:$F,Despesas!$J:$J,"&lt;="&amp;$A1013,Despesas!$L:$L,"&gt;="&amp;$A1013,Despesas!$C:$C,H$1,Despesas!$M:$M,$B1013)</f>
        <v>0</v>
      </c>
      <c r="I1013" s="18">
        <f>IF(Imóveis!$F$2="PRICE",IF(AND(Dados!$A1013&gt;=Imóveis!$Q$2,Dados!$A1013&lt;=Imóveis!$T$2),Imóveis!$U$2,0),IF((IF(AND(Dados!$A1013&gt;=Imóveis!$Q$2,Dados!$A1013&lt;=Imóveis!$T$2),Imóveis!$S$2-(DATEDIF(Imóveis!$Q$2,Dados!$A1013,"m")),0))=0,0,((Imóveis!$N$2/Imóveis!$S$2)+((Imóveis!$N$2-((Imóveis!$S$2-(IF(AND(Dados!$A1013&gt;=Imóveis!$Q$2,Dados!$A1013&lt;=Imóveis!$T$2),Imóveis!$S$2-(DATEDIF(Imóveis!$Q$2,Dados!$A1013,"m")),)))*(Imóveis!$N$2/Imóveis!$S$2)))*Imóveis!$P$2))))*IF(AND(Imóveis!$E$2&gt;0,Dados!$A1013&gt;Imóveis!$E$2),0,1)</f>
        <v>0</v>
      </c>
      <c r="J1013" s="18">
        <f>IF(Imóveis!$F$3="PRICE",IF(AND(Dados!$A1013&gt;=Imóveis!$Q$3,Dados!$A1013&lt;=Imóveis!$T$3),Imóveis!$U$3,0),IF((IF(AND(Dados!$A1013&gt;=Imóveis!$Q$3,Dados!$A1013&lt;=Imóveis!$T$3),Imóveis!$S$3-(DATEDIF(Imóveis!$Q$3,Dados!$A1013,"m")),0))=0,0,((Imóveis!$N$3/Imóveis!$S$3)+((Imóveis!$N$3-((Imóveis!$S$3-(IF(AND(Dados!$A1013&gt;=Imóveis!$Q$3,Dados!$A1013&lt;=Imóveis!$T$3),Imóveis!$S$3-(DATEDIF(Imóveis!$Q$3,Dados!$A1013,"m")),)))*(Imóveis!$N$3/Imóveis!$S$3)))*Imóveis!$P$3))))*IF(AND(Imóveis!$E$3&gt;0,Dados!$A1013&gt;Imóveis!$E$3),0,1)</f>
        <v>0</v>
      </c>
      <c r="K1013" s="18">
        <f>IF(Imóveis!$F$4="PRICE",IF(AND(Dados!$A1013&gt;=Imóveis!$Q$4,Dados!$A1013&lt;=Imóveis!$T$4),Imóveis!$U$4,0),IF((IF(AND(Dados!$A1013&gt;=Imóveis!$Q$4,Dados!$A1013&lt;=Imóveis!$T$4),Imóveis!$S$4-(DATEDIF(Imóveis!$Q$4,Dados!$A1013,"m")),0))=0,0,((Imóveis!$N$4/Imóveis!$S$4)+((Imóveis!$N$4-((Imóveis!$S$4-(IF(AND(Dados!$A1013&gt;=Imóveis!$Q$4,Dados!$A1013&lt;=Imóveis!$T$4),Imóveis!$S$4-(DATEDIF(Imóveis!$Q$4,Dados!$A1013,"m")),)))*(Imóveis!$N$4/Imóveis!$S$4)))*Imóveis!$P$4))))*IF(AND(Imóveis!$E$4&gt;0,Dados!$A1013&gt;Imóveis!$E$4),0,1)</f>
        <v>0</v>
      </c>
      <c r="L1013" s="18">
        <f>IF(Imóveis!$F$5="PRICE",IF(AND(Dados!$A1013&gt;=Imóveis!$Q$5,Dados!$A1013&lt;=Imóveis!$T$5),Imóveis!$U$5,0),IF((IF(AND(Dados!$A1013&gt;=Imóveis!$Q$5,Dados!$A1013&lt;=Imóveis!$T$5),Imóveis!$S$5-(DATEDIF(Imóveis!$Q$5,Dados!$A1013,"m")),0))=0,0,((Imóveis!$N$5/Imóveis!$S$5)+((Imóveis!$N$5-((Imóveis!$S$5-(IF(AND(Dados!$A1013 &gt;=Imóveis!$Q$5,Dados!$A1013&lt;=Imóveis!$T$5),Imóveis!$S$5-(DATEDIF(Imóveis!$Q$5,Dados!$A1013,"m")),)))*(Imóveis!$N$5/Imóveis!$S$5)))*Imóveis!$P$5))))*IF(AND(Imóveis!$E$5&gt;0,Dados!$A1013&gt;Imóveis!$E$5),0,1)*Imóveis!$I$5</f>
        <v>0</v>
      </c>
      <c r="M1013" s="18">
        <f>IF(Imóveis!$F$6="PRICE",IF(AND(Dados!$A1013&gt;=Imóveis!$Q$6,Dados!$A1013&lt;=Imóveis!$T$6),Imóveis!$U$6,0),IF((IF(AND(Dados!$A1013&gt;=Imóveis!$Q$6,Dados!$A1013&lt;=Imóveis!$T$6),Imóveis!$S$6-(DATEDIF(Imóveis!$Q$6,Dados!$A1013,"m")),0))=0,0,((Imóveis!$N$6/Imóveis!$S$6)+((Imóveis!$N$6-((Imóveis!$S$6-(IF(AND(Dados!$A1013&gt;=Imóveis!$Q$6,Dados!$A1013&lt;=Imóveis!$T$6),Imóveis!$S$6-(DATEDIF(Imóveis!$Q$6,Dados!$A1013,"m")),)))*(Imóveis!$N$6/Imóveis!$S$6)))*Imóveis!$P$6))))*IF(AND(Imóveis!$E$6&gt;0,Dados!$A1013&gt;Imóveis!$E$6),0,1)*Imóveis!$I$6</f>
        <v>0</v>
      </c>
      <c r="N1013" s="18">
        <f t="shared" si="125"/>
        <v>0</v>
      </c>
      <c r="O1013" s="18">
        <f>SUMIFS(Receitas!$F:$F,Receitas!$J:$J,"&lt;="&amp;$A1013,Receitas!$L:$L,"&gt;="&amp;$A1013,Receitas!$C:$C,O$1,Receitas!$M:$M,"Mensal")+SUMIFS(Receitas!$F:$F,Receitas!$J:$J,"&lt;="&amp;$A1013,Receitas!$L:$L,"&gt;="&amp;$A1013,Receitas!$C:$C,O$1,Receitas!$M:$M,$B1013)</f>
        <v>0</v>
      </c>
      <c r="P1013" s="18">
        <f>SUMIFS(Receitas!$F:$F,Receitas!$J:$J,"&lt;="&amp;$A1013,Receitas!$L:$L,"&gt;="&amp;$A1013,Receitas!$C:$C,P$1,Receitas!$M:$M,"Mensal")+SUMIFS(Receitas!$F:$F,Receitas!$J:$J,"&lt;="&amp;$A1013,Receitas!$L:$L,"&gt;="&amp;$A1013,Receitas!$C:$C,P$1,Receitas!$M:$M,$B1013)</f>
        <v>0</v>
      </c>
      <c r="Q1013" s="18">
        <f>SUMIFS(Receitas!$F:$F,Receitas!$J:$J,"&lt;="&amp;$A1013,Receitas!$L:$L,"&gt;="&amp;$A1013,Receitas!$C:$C,Q$1,Receitas!$M:$M,"Mensal")+SUMIFS(Receitas!$F:$F,Receitas!$J:$J,"&lt;="&amp;$A1013,Receitas!$L:$L,"&gt;="&amp;$A1013,Receitas!$C:$C,Q$1,Receitas!$M:$M,$B1013)</f>
        <v>0</v>
      </c>
      <c r="R1013" s="18" cm="1">
        <f t="array" ref="R1013">(IF(AND(Membros!$F$2="Sim",A1013&lt;=MAX(Membros!$E$2:$E$5)),Membros!K$2,IF(AND(A1013&gt;=Membros!J$2,A1013&lt;=MAX(Membros!$E$2:$E$5)),Membros!K$2,0))+IF(AND(Membros!$F$3="Sim",A1013&lt;=MAX(Membros!$E$2:$E$5)),Membros!K$3,IF(AND(A1013&gt;=Membros!J$3,A1013&lt;=MAX(Membros!$E$2:$E$5)),Membros!K$3,0)))*IF(AND(COUNTIFS(Tabela3[Tipo],"Provedor",Tabela3[Simulação Seguro],"Sim")=2,A1013&gt;=MAX(IF(Tabela3[Tipo]="Dependente",Tabela3[Expectativa de Vida (Data)]))),0,1)</f>
        <v>0</v>
      </c>
      <c r="S1013" s="18">
        <f t="shared" si="126"/>
        <v>0</v>
      </c>
      <c r="U1013" s="18">
        <f t="shared" ca="1" si="129"/>
        <v>128747957.02313192</v>
      </c>
      <c r="V1013" s="18">
        <f>SUMIF(Imóveis!E:E,Dados!A:A,Imóveis!Z:Z)-SUMIF(Imóveis!E:E,Dados!A:A,Imóveis!Y:Y)</f>
        <v>0</v>
      </c>
      <c r="W1013" s="18">
        <f>-SUMIF(Projetos!N:N,A1013,Projetos!F:F)</f>
        <v>0</v>
      </c>
      <c r="X1013" s="18">
        <f t="shared" si="123"/>
        <v>0</v>
      </c>
      <c r="Y1013" s="26">
        <f ca="1">(U1013*((Indicadores_Economicos!D$2+1)^(1/12)-1))</f>
        <v>421487.30878346309</v>
      </c>
      <c r="Z1013" s="18">
        <f t="shared" ca="1" si="127"/>
        <v>129169444.33191538</v>
      </c>
      <c r="AA1013" s="18">
        <f ca="1">Auxiliar_Projetos!E1013</f>
        <v>1.0647666928962637E-8</v>
      </c>
      <c r="AB1013" s="18">
        <f ca="1">Auxiliar_Projetos!K1013</f>
        <v>8.1905130222789507E-9</v>
      </c>
      <c r="AC1013" s="18">
        <f ca="1">IF(Z1013-AA1013-AB1013&gt;Investimentos!$C$14,Investimentos!$C$14,IF(Z1013-AA1013-AB1013&lt;Investimentos!$C$14,Z1013-AA1013-AB1013,0))</f>
        <v>300000</v>
      </c>
      <c r="AD1013" s="18">
        <f t="shared" ca="1" si="128"/>
        <v>128869444.33191535</v>
      </c>
      <c r="AE1013" s="18"/>
    </row>
    <row r="1014" spans="1:31" x14ac:dyDescent="0.2">
      <c r="A1014" s="4">
        <v>76458</v>
      </c>
      <c r="B1014" s="5" t="str">
        <f t="shared" si="124"/>
        <v>maio</v>
      </c>
      <c r="C1014" s="5" t="str">
        <f t="shared" si="130"/>
        <v>2109</v>
      </c>
      <c r="D1014" s="5">
        <f>SUMIFS(Despesas!$F:$F,Despesas!$J:$J,"&lt;="&amp;$A1014,Despesas!$L:$L,"&gt;="&amp;$A1014,Despesas!$C:$C,D$1,Despesas!$M:$M,"Mensal")+SUMIFS(Despesas!$F:$F,Despesas!$J:$J,"&lt;="&amp;$A1014,Despesas!$L:$L,"&gt;="&amp;$A1014,Despesas!$C:$C,D$1,Despesas!$M:$M,$B1014)</f>
        <v>0</v>
      </c>
      <c r="E1014" s="18">
        <f>SUMIFS(Despesas!$F:$F,Despesas!$J:$J,"&lt;="&amp;$A1014,Despesas!$L:$L,"&gt;="&amp;$A1014,Despesas!$C:$C,E$1,Despesas!$M:$M,"Mensal")+SUMIFS(Despesas!$F:$F,Despesas!$J:$J,"&lt;="&amp;$A1014,Despesas!$L:$L,"&gt;="&amp;$A1014,Despesas!$C:$C,E$1,Despesas!$M:$M,$B1014)</f>
        <v>0</v>
      </c>
      <c r="F1014" s="5">
        <f>SUMIFS(Despesas!$F:$F,Despesas!$J:$J,"&lt;="&amp;$A1014,Despesas!$L:$L,"&gt;="&amp;$A1014,Despesas!$C:$C,F$1,Despesas!$M:$M,"Mensal")+SUMIFS(Despesas!$F:$F,Despesas!$J:$J,"&lt;="&amp;$A1014,Despesas!$L:$L,"&gt;="&amp;$A1014,Despesas!$C:$C,F$1,Despesas!$M:$M,$B1014)</f>
        <v>0</v>
      </c>
      <c r="G1014" s="5">
        <f>SUMIFS(Despesas!$F:$F,Despesas!$J:$J,"&lt;="&amp;$A1014,Despesas!$L:$L,"&gt;="&amp;$A1014,Despesas!$C:$C,G$1,Despesas!$M:$M,"Mensal")+SUMIFS(Despesas!$F:$F,Despesas!$J:$J,"&lt;="&amp;$A1014,Despesas!$L:$L,"&gt;="&amp;$A1014,Despesas!$C:$C,G$1,Despesas!$M:$M,$B1014)</f>
        <v>0</v>
      </c>
      <c r="H1014" s="18">
        <f>SUMIFS(Despesas!$F:$F,Despesas!$J:$J,"&lt;="&amp;$A1014,Despesas!$L:$L,"&gt;="&amp;$A1014,Despesas!$C:$C,H$1,Despesas!$M:$M,"Mensal")+SUMIFS(Despesas!$F:$F,Despesas!$J:$J,"&lt;="&amp;$A1014,Despesas!$L:$L,"&gt;="&amp;$A1014,Despesas!$C:$C,H$1,Despesas!$M:$M,$B1014)</f>
        <v>0</v>
      </c>
      <c r="I1014" s="18">
        <f>IF(Imóveis!$F$2="PRICE",IF(AND(Dados!$A1014&gt;=Imóveis!$Q$2,Dados!$A1014&lt;=Imóveis!$T$2),Imóveis!$U$2,0),IF((IF(AND(Dados!$A1014&gt;=Imóveis!$Q$2,Dados!$A1014&lt;=Imóveis!$T$2),Imóveis!$S$2-(DATEDIF(Imóveis!$Q$2,Dados!$A1014,"m")),0))=0,0,((Imóveis!$N$2/Imóveis!$S$2)+((Imóveis!$N$2-((Imóveis!$S$2-(IF(AND(Dados!$A1014&gt;=Imóveis!$Q$2,Dados!$A1014&lt;=Imóveis!$T$2),Imóveis!$S$2-(DATEDIF(Imóveis!$Q$2,Dados!$A1014,"m")),)))*(Imóveis!$N$2/Imóveis!$S$2)))*Imóveis!$P$2))))*IF(AND(Imóveis!$E$2&gt;0,Dados!$A1014&gt;Imóveis!$E$2),0,1)</f>
        <v>0</v>
      </c>
      <c r="J1014" s="18">
        <f>IF(Imóveis!$F$3="PRICE",IF(AND(Dados!$A1014&gt;=Imóveis!$Q$3,Dados!$A1014&lt;=Imóveis!$T$3),Imóveis!$U$3,0),IF((IF(AND(Dados!$A1014&gt;=Imóveis!$Q$3,Dados!$A1014&lt;=Imóveis!$T$3),Imóveis!$S$3-(DATEDIF(Imóveis!$Q$3,Dados!$A1014,"m")),0))=0,0,((Imóveis!$N$3/Imóveis!$S$3)+((Imóveis!$N$3-((Imóveis!$S$3-(IF(AND(Dados!$A1014&gt;=Imóveis!$Q$3,Dados!$A1014&lt;=Imóveis!$T$3),Imóveis!$S$3-(DATEDIF(Imóveis!$Q$3,Dados!$A1014,"m")),)))*(Imóveis!$N$3/Imóveis!$S$3)))*Imóveis!$P$3))))*IF(AND(Imóveis!$E$3&gt;0,Dados!$A1014&gt;Imóveis!$E$3),0,1)</f>
        <v>0</v>
      </c>
      <c r="K1014" s="18">
        <f>IF(Imóveis!$F$4="PRICE",IF(AND(Dados!$A1014&gt;=Imóveis!$Q$4,Dados!$A1014&lt;=Imóveis!$T$4),Imóveis!$U$4,0),IF((IF(AND(Dados!$A1014&gt;=Imóveis!$Q$4,Dados!$A1014&lt;=Imóveis!$T$4),Imóveis!$S$4-(DATEDIF(Imóveis!$Q$4,Dados!$A1014,"m")),0))=0,0,((Imóveis!$N$4/Imóveis!$S$4)+((Imóveis!$N$4-((Imóveis!$S$4-(IF(AND(Dados!$A1014&gt;=Imóveis!$Q$4,Dados!$A1014&lt;=Imóveis!$T$4),Imóveis!$S$4-(DATEDIF(Imóveis!$Q$4,Dados!$A1014,"m")),)))*(Imóveis!$N$4/Imóveis!$S$4)))*Imóveis!$P$4))))*IF(AND(Imóveis!$E$4&gt;0,Dados!$A1014&gt;Imóveis!$E$4),0,1)</f>
        <v>0</v>
      </c>
      <c r="L1014" s="18">
        <f>IF(Imóveis!$F$5="PRICE",IF(AND(Dados!$A1014&gt;=Imóveis!$Q$5,Dados!$A1014&lt;=Imóveis!$T$5),Imóveis!$U$5,0),IF((IF(AND(Dados!$A1014&gt;=Imóveis!$Q$5,Dados!$A1014&lt;=Imóveis!$T$5),Imóveis!$S$5-(DATEDIF(Imóveis!$Q$5,Dados!$A1014,"m")),0))=0,0,((Imóveis!$N$5/Imóveis!$S$5)+((Imóveis!$N$5-((Imóveis!$S$5-(IF(AND(Dados!$A1014 &gt;=Imóveis!$Q$5,Dados!$A1014&lt;=Imóveis!$T$5),Imóveis!$S$5-(DATEDIF(Imóveis!$Q$5,Dados!$A1014,"m")),)))*(Imóveis!$N$5/Imóveis!$S$5)))*Imóveis!$P$5))))*IF(AND(Imóveis!$E$5&gt;0,Dados!$A1014&gt;Imóveis!$E$5),0,1)*Imóveis!$I$5</f>
        <v>0</v>
      </c>
      <c r="M1014" s="18">
        <f>IF(Imóveis!$F$6="PRICE",IF(AND(Dados!$A1014&gt;=Imóveis!$Q$6,Dados!$A1014&lt;=Imóveis!$T$6),Imóveis!$U$6,0),IF((IF(AND(Dados!$A1014&gt;=Imóveis!$Q$6,Dados!$A1014&lt;=Imóveis!$T$6),Imóveis!$S$6-(DATEDIF(Imóveis!$Q$6,Dados!$A1014,"m")),0))=0,0,((Imóveis!$N$6/Imóveis!$S$6)+((Imóveis!$N$6-((Imóveis!$S$6-(IF(AND(Dados!$A1014&gt;=Imóveis!$Q$6,Dados!$A1014&lt;=Imóveis!$T$6),Imóveis!$S$6-(DATEDIF(Imóveis!$Q$6,Dados!$A1014,"m")),)))*(Imóveis!$N$6/Imóveis!$S$6)))*Imóveis!$P$6))))*IF(AND(Imóveis!$E$6&gt;0,Dados!$A1014&gt;Imóveis!$E$6),0,1)*Imóveis!$I$6</f>
        <v>0</v>
      </c>
      <c r="N1014" s="18">
        <f t="shared" si="125"/>
        <v>0</v>
      </c>
      <c r="O1014" s="18">
        <f>SUMIFS(Receitas!$F:$F,Receitas!$J:$J,"&lt;="&amp;$A1014,Receitas!$L:$L,"&gt;="&amp;$A1014,Receitas!$C:$C,O$1,Receitas!$M:$M,"Mensal")+SUMIFS(Receitas!$F:$F,Receitas!$J:$J,"&lt;="&amp;$A1014,Receitas!$L:$L,"&gt;="&amp;$A1014,Receitas!$C:$C,O$1,Receitas!$M:$M,$B1014)</f>
        <v>0</v>
      </c>
      <c r="P1014" s="18">
        <f>SUMIFS(Receitas!$F:$F,Receitas!$J:$J,"&lt;="&amp;$A1014,Receitas!$L:$L,"&gt;="&amp;$A1014,Receitas!$C:$C,P$1,Receitas!$M:$M,"Mensal")+SUMIFS(Receitas!$F:$F,Receitas!$J:$J,"&lt;="&amp;$A1014,Receitas!$L:$L,"&gt;="&amp;$A1014,Receitas!$C:$C,P$1,Receitas!$M:$M,$B1014)</f>
        <v>0</v>
      </c>
      <c r="Q1014" s="18">
        <f>SUMIFS(Receitas!$F:$F,Receitas!$J:$J,"&lt;="&amp;$A1014,Receitas!$L:$L,"&gt;="&amp;$A1014,Receitas!$C:$C,Q$1,Receitas!$M:$M,"Mensal")+SUMIFS(Receitas!$F:$F,Receitas!$J:$J,"&lt;="&amp;$A1014,Receitas!$L:$L,"&gt;="&amp;$A1014,Receitas!$C:$C,Q$1,Receitas!$M:$M,$B1014)</f>
        <v>0</v>
      </c>
      <c r="R1014" s="18" cm="1">
        <f t="array" ref="R1014">(IF(AND(Membros!$F$2="Sim",A1014&lt;=MAX(Membros!$E$2:$E$5)),Membros!K$2,IF(AND(A1014&gt;=Membros!J$2,A1014&lt;=MAX(Membros!$E$2:$E$5)),Membros!K$2,0))+IF(AND(Membros!$F$3="Sim",A1014&lt;=MAX(Membros!$E$2:$E$5)),Membros!K$3,IF(AND(A1014&gt;=Membros!J$3,A1014&lt;=MAX(Membros!$E$2:$E$5)),Membros!K$3,0)))*IF(AND(COUNTIFS(Tabela3[Tipo],"Provedor",Tabela3[Simulação Seguro],"Sim")=2,A1014&gt;=MAX(IF(Tabela3[Tipo]="Dependente",Tabela3[Expectativa de Vida (Data)]))),0,1)</f>
        <v>0</v>
      </c>
      <c r="S1014" s="18">
        <f t="shared" si="126"/>
        <v>0</v>
      </c>
      <c r="U1014" s="18">
        <f t="shared" ca="1" si="129"/>
        <v>129169444.33191538</v>
      </c>
      <c r="V1014" s="18">
        <f>SUMIF(Imóveis!E:E,Dados!A:A,Imóveis!Z:Z)-SUMIF(Imóveis!E:E,Dados!A:A,Imóveis!Y:Y)</f>
        <v>0</v>
      </c>
      <c r="W1014" s="18">
        <f>-SUMIF(Projetos!N:N,A1014,Projetos!F:F)</f>
        <v>0</v>
      </c>
      <c r="X1014" s="18">
        <f t="shared" si="123"/>
        <v>0</v>
      </c>
      <c r="Y1014" s="26">
        <f ca="1">(U1014*((Indicadores_Economicos!D$2+1)^(1/12)-1))</f>
        <v>422867.14855391945</v>
      </c>
      <c r="Z1014" s="18">
        <f t="shared" ca="1" si="127"/>
        <v>129592311.4804693</v>
      </c>
      <c r="AA1014" s="18">
        <f ca="1">Auxiliar_Projetos!E1014</f>
        <v>1.0682524619775587E-8</v>
      </c>
      <c r="AB1014" s="18">
        <f ca="1">Auxiliar_Projetos!K1014</f>
        <v>8.2173266305966035E-9</v>
      </c>
      <c r="AC1014" s="18">
        <f ca="1">IF(Z1014-AA1014-AB1014&gt;Investimentos!$C$14,Investimentos!$C$14,IF(Z1014-AA1014-AB1014&lt;Investimentos!$C$14,Z1014-AA1014-AB1014,0))</f>
        <v>300000</v>
      </c>
      <c r="AD1014" s="18">
        <f t="shared" ca="1" si="128"/>
        <v>129292311.48046927</v>
      </c>
      <c r="AE1014" s="18"/>
    </row>
    <row r="1015" spans="1:31" x14ac:dyDescent="0.2">
      <c r="A1015" s="4">
        <v>76489</v>
      </c>
      <c r="B1015" s="5" t="str">
        <f t="shared" si="124"/>
        <v>junho</v>
      </c>
      <c r="C1015" s="5" t="str">
        <f t="shared" si="130"/>
        <v>2109</v>
      </c>
      <c r="D1015" s="5">
        <f>SUMIFS(Despesas!$F:$F,Despesas!$J:$J,"&lt;="&amp;$A1015,Despesas!$L:$L,"&gt;="&amp;$A1015,Despesas!$C:$C,D$1,Despesas!$M:$M,"Mensal")+SUMIFS(Despesas!$F:$F,Despesas!$J:$J,"&lt;="&amp;$A1015,Despesas!$L:$L,"&gt;="&amp;$A1015,Despesas!$C:$C,D$1,Despesas!$M:$M,$B1015)</f>
        <v>0</v>
      </c>
      <c r="E1015" s="18">
        <f>SUMIFS(Despesas!$F:$F,Despesas!$J:$J,"&lt;="&amp;$A1015,Despesas!$L:$L,"&gt;="&amp;$A1015,Despesas!$C:$C,E$1,Despesas!$M:$M,"Mensal")+SUMIFS(Despesas!$F:$F,Despesas!$J:$J,"&lt;="&amp;$A1015,Despesas!$L:$L,"&gt;="&amp;$A1015,Despesas!$C:$C,E$1,Despesas!$M:$M,$B1015)</f>
        <v>0</v>
      </c>
      <c r="F1015" s="5">
        <f>SUMIFS(Despesas!$F:$F,Despesas!$J:$J,"&lt;="&amp;$A1015,Despesas!$L:$L,"&gt;="&amp;$A1015,Despesas!$C:$C,F$1,Despesas!$M:$M,"Mensal")+SUMIFS(Despesas!$F:$F,Despesas!$J:$J,"&lt;="&amp;$A1015,Despesas!$L:$L,"&gt;="&amp;$A1015,Despesas!$C:$C,F$1,Despesas!$M:$M,$B1015)</f>
        <v>0</v>
      </c>
      <c r="G1015" s="5">
        <f>SUMIFS(Despesas!$F:$F,Despesas!$J:$J,"&lt;="&amp;$A1015,Despesas!$L:$L,"&gt;="&amp;$A1015,Despesas!$C:$C,G$1,Despesas!$M:$M,"Mensal")+SUMIFS(Despesas!$F:$F,Despesas!$J:$J,"&lt;="&amp;$A1015,Despesas!$L:$L,"&gt;="&amp;$A1015,Despesas!$C:$C,G$1,Despesas!$M:$M,$B1015)</f>
        <v>0</v>
      </c>
      <c r="H1015" s="18">
        <f>SUMIFS(Despesas!$F:$F,Despesas!$J:$J,"&lt;="&amp;$A1015,Despesas!$L:$L,"&gt;="&amp;$A1015,Despesas!$C:$C,H$1,Despesas!$M:$M,"Mensal")+SUMIFS(Despesas!$F:$F,Despesas!$J:$J,"&lt;="&amp;$A1015,Despesas!$L:$L,"&gt;="&amp;$A1015,Despesas!$C:$C,H$1,Despesas!$M:$M,$B1015)</f>
        <v>0</v>
      </c>
      <c r="I1015" s="18">
        <f>IF(Imóveis!$F$2="PRICE",IF(AND(Dados!$A1015&gt;=Imóveis!$Q$2,Dados!$A1015&lt;=Imóveis!$T$2),Imóveis!$U$2,0),IF((IF(AND(Dados!$A1015&gt;=Imóveis!$Q$2,Dados!$A1015&lt;=Imóveis!$T$2),Imóveis!$S$2-(DATEDIF(Imóveis!$Q$2,Dados!$A1015,"m")),0))=0,0,((Imóveis!$N$2/Imóveis!$S$2)+((Imóveis!$N$2-((Imóveis!$S$2-(IF(AND(Dados!$A1015&gt;=Imóveis!$Q$2,Dados!$A1015&lt;=Imóveis!$T$2),Imóveis!$S$2-(DATEDIF(Imóveis!$Q$2,Dados!$A1015,"m")),)))*(Imóveis!$N$2/Imóveis!$S$2)))*Imóveis!$P$2))))*IF(AND(Imóveis!$E$2&gt;0,Dados!$A1015&gt;Imóveis!$E$2),0,1)</f>
        <v>0</v>
      </c>
      <c r="J1015" s="18">
        <f>IF(Imóveis!$F$3="PRICE",IF(AND(Dados!$A1015&gt;=Imóveis!$Q$3,Dados!$A1015&lt;=Imóveis!$T$3),Imóveis!$U$3,0),IF((IF(AND(Dados!$A1015&gt;=Imóveis!$Q$3,Dados!$A1015&lt;=Imóveis!$T$3),Imóveis!$S$3-(DATEDIF(Imóveis!$Q$3,Dados!$A1015,"m")),0))=0,0,((Imóveis!$N$3/Imóveis!$S$3)+((Imóveis!$N$3-((Imóveis!$S$3-(IF(AND(Dados!$A1015&gt;=Imóveis!$Q$3,Dados!$A1015&lt;=Imóveis!$T$3),Imóveis!$S$3-(DATEDIF(Imóveis!$Q$3,Dados!$A1015,"m")),)))*(Imóveis!$N$3/Imóveis!$S$3)))*Imóveis!$P$3))))*IF(AND(Imóveis!$E$3&gt;0,Dados!$A1015&gt;Imóveis!$E$3),0,1)</f>
        <v>0</v>
      </c>
      <c r="K1015" s="18">
        <f>IF(Imóveis!$F$4="PRICE",IF(AND(Dados!$A1015&gt;=Imóveis!$Q$4,Dados!$A1015&lt;=Imóveis!$T$4),Imóveis!$U$4,0),IF((IF(AND(Dados!$A1015&gt;=Imóveis!$Q$4,Dados!$A1015&lt;=Imóveis!$T$4),Imóveis!$S$4-(DATEDIF(Imóveis!$Q$4,Dados!$A1015,"m")),0))=0,0,((Imóveis!$N$4/Imóveis!$S$4)+((Imóveis!$N$4-((Imóveis!$S$4-(IF(AND(Dados!$A1015&gt;=Imóveis!$Q$4,Dados!$A1015&lt;=Imóveis!$T$4),Imóveis!$S$4-(DATEDIF(Imóveis!$Q$4,Dados!$A1015,"m")),)))*(Imóveis!$N$4/Imóveis!$S$4)))*Imóveis!$P$4))))*IF(AND(Imóveis!$E$4&gt;0,Dados!$A1015&gt;Imóveis!$E$4),0,1)</f>
        <v>0</v>
      </c>
      <c r="L1015" s="18">
        <f>IF(Imóveis!$F$5="PRICE",IF(AND(Dados!$A1015&gt;=Imóveis!$Q$5,Dados!$A1015&lt;=Imóveis!$T$5),Imóveis!$U$5,0),IF((IF(AND(Dados!$A1015&gt;=Imóveis!$Q$5,Dados!$A1015&lt;=Imóveis!$T$5),Imóveis!$S$5-(DATEDIF(Imóveis!$Q$5,Dados!$A1015,"m")),0))=0,0,((Imóveis!$N$5/Imóveis!$S$5)+((Imóveis!$N$5-((Imóveis!$S$5-(IF(AND(Dados!$A1015 &gt;=Imóveis!$Q$5,Dados!$A1015&lt;=Imóveis!$T$5),Imóveis!$S$5-(DATEDIF(Imóveis!$Q$5,Dados!$A1015,"m")),)))*(Imóveis!$N$5/Imóveis!$S$5)))*Imóveis!$P$5))))*IF(AND(Imóveis!$E$5&gt;0,Dados!$A1015&gt;Imóveis!$E$5),0,1)*Imóveis!$I$5</f>
        <v>0</v>
      </c>
      <c r="M1015" s="18">
        <f>IF(Imóveis!$F$6="PRICE",IF(AND(Dados!$A1015&gt;=Imóveis!$Q$6,Dados!$A1015&lt;=Imóveis!$T$6),Imóveis!$U$6,0),IF((IF(AND(Dados!$A1015&gt;=Imóveis!$Q$6,Dados!$A1015&lt;=Imóveis!$T$6),Imóveis!$S$6-(DATEDIF(Imóveis!$Q$6,Dados!$A1015,"m")),0))=0,0,((Imóveis!$N$6/Imóveis!$S$6)+((Imóveis!$N$6-((Imóveis!$S$6-(IF(AND(Dados!$A1015&gt;=Imóveis!$Q$6,Dados!$A1015&lt;=Imóveis!$T$6),Imóveis!$S$6-(DATEDIF(Imóveis!$Q$6,Dados!$A1015,"m")),)))*(Imóveis!$N$6/Imóveis!$S$6)))*Imóveis!$P$6))))*IF(AND(Imóveis!$E$6&gt;0,Dados!$A1015&gt;Imóveis!$E$6),0,1)*Imóveis!$I$6</f>
        <v>0</v>
      </c>
      <c r="N1015" s="18">
        <f t="shared" si="125"/>
        <v>0</v>
      </c>
      <c r="O1015" s="18">
        <f>SUMIFS(Receitas!$F:$F,Receitas!$J:$J,"&lt;="&amp;$A1015,Receitas!$L:$L,"&gt;="&amp;$A1015,Receitas!$C:$C,O$1,Receitas!$M:$M,"Mensal")+SUMIFS(Receitas!$F:$F,Receitas!$J:$J,"&lt;="&amp;$A1015,Receitas!$L:$L,"&gt;="&amp;$A1015,Receitas!$C:$C,O$1,Receitas!$M:$M,$B1015)</f>
        <v>0</v>
      </c>
      <c r="P1015" s="18">
        <f>SUMIFS(Receitas!$F:$F,Receitas!$J:$J,"&lt;="&amp;$A1015,Receitas!$L:$L,"&gt;="&amp;$A1015,Receitas!$C:$C,P$1,Receitas!$M:$M,"Mensal")+SUMIFS(Receitas!$F:$F,Receitas!$J:$J,"&lt;="&amp;$A1015,Receitas!$L:$L,"&gt;="&amp;$A1015,Receitas!$C:$C,P$1,Receitas!$M:$M,$B1015)</f>
        <v>0</v>
      </c>
      <c r="Q1015" s="18">
        <f>SUMIFS(Receitas!$F:$F,Receitas!$J:$J,"&lt;="&amp;$A1015,Receitas!$L:$L,"&gt;="&amp;$A1015,Receitas!$C:$C,Q$1,Receitas!$M:$M,"Mensal")+SUMIFS(Receitas!$F:$F,Receitas!$J:$J,"&lt;="&amp;$A1015,Receitas!$L:$L,"&gt;="&amp;$A1015,Receitas!$C:$C,Q$1,Receitas!$M:$M,$B1015)</f>
        <v>0</v>
      </c>
      <c r="R1015" s="18" cm="1">
        <f t="array" ref="R1015">(IF(AND(Membros!$F$2="Sim",A1015&lt;=MAX(Membros!$E$2:$E$5)),Membros!K$2,IF(AND(A1015&gt;=Membros!J$2,A1015&lt;=MAX(Membros!$E$2:$E$5)),Membros!K$2,0))+IF(AND(Membros!$F$3="Sim",A1015&lt;=MAX(Membros!$E$2:$E$5)),Membros!K$3,IF(AND(A1015&gt;=Membros!J$3,A1015&lt;=MAX(Membros!$E$2:$E$5)),Membros!K$3,0)))*IF(AND(COUNTIFS(Tabela3[Tipo],"Provedor",Tabela3[Simulação Seguro],"Sim")=2,A1015&gt;=MAX(IF(Tabela3[Tipo]="Dependente",Tabela3[Expectativa de Vida (Data)]))),0,1)</f>
        <v>0</v>
      </c>
      <c r="S1015" s="18">
        <f t="shared" si="126"/>
        <v>0</v>
      </c>
      <c r="U1015" s="18">
        <f t="shared" ca="1" si="129"/>
        <v>129592311.4804693</v>
      </c>
      <c r="V1015" s="18">
        <f>SUMIF(Imóveis!E:E,Dados!A:A,Imóveis!Z:Z)-SUMIF(Imóveis!E:E,Dados!A:A,Imóveis!Y:Y)</f>
        <v>0</v>
      </c>
      <c r="W1015" s="18">
        <f>-SUMIF(Projetos!N:N,A1015,Projetos!F:F)</f>
        <v>0</v>
      </c>
      <c r="X1015" s="18">
        <f t="shared" si="123"/>
        <v>0</v>
      </c>
      <c r="Y1015" s="26">
        <f ca="1">(U1015*((Indicadores_Economicos!D$2+1)^(1/12)-1))</f>
        <v>424251.50556072546</v>
      </c>
      <c r="Z1015" s="18">
        <f t="shared" ca="1" si="127"/>
        <v>130016562.98603003</v>
      </c>
      <c r="AA1015" s="18">
        <f ca="1">Auxiliar_Projetos!E1015</f>
        <v>1.0717496425597665E-8</v>
      </c>
      <c r="AB1015" s="18">
        <f ca="1">Auxiliar_Projetos!K1015</f>
        <v>8.2442280196905108E-9</v>
      </c>
      <c r="AC1015" s="18">
        <f ca="1">IF(Z1015-AA1015-AB1015&gt;Investimentos!$C$14,Investimentos!$C$14,IF(Z1015-AA1015-AB1015&lt;Investimentos!$C$14,Z1015-AA1015-AB1015,0))</f>
        <v>300000</v>
      </c>
      <c r="AD1015" s="18">
        <f t="shared" ca="1" si="128"/>
        <v>129716562.98603</v>
      </c>
      <c r="AE1015" s="18"/>
    </row>
    <row r="1016" spans="1:31" x14ac:dyDescent="0.2">
      <c r="A1016" s="4">
        <v>76519</v>
      </c>
      <c r="B1016" s="5" t="str">
        <f t="shared" si="124"/>
        <v>julho</v>
      </c>
      <c r="C1016" s="5" t="str">
        <f t="shared" si="130"/>
        <v>2109</v>
      </c>
      <c r="D1016" s="5">
        <f>SUMIFS(Despesas!$F:$F,Despesas!$J:$J,"&lt;="&amp;$A1016,Despesas!$L:$L,"&gt;="&amp;$A1016,Despesas!$C:$C,D$1,Despesas!$M:$M,"Mensal")+SUMIFS(Despesas!$F:$F,Despesas!$J:$J,"&lt;="&amp;$A1016,Despesas!$L:$L,"&gt;="&amp;$A1016,Despesas!$C:$C,D$1,Despesas!$M:$M,$B1016)</f>
        <v>0</v>
      </c>
      <c r="E1016" s="18">
        <f>SUMIFS(Despesas!$F:$F,Despesas!$J:$J,"&lt;="&amp;$A1016,Despesas!$L:$L,"&gt;="&amp;$A1016,Despesas!$C:$C,E$1,Despesas!$M:$M,"Mensal")+SUMIFS(Despesas!$F:$F,Despesas!$J:$J,"&lt;="&amp;$A1016,Despesas!$L:$L,"&gt;="&amp;$A1016,Despesas!$C:$C,E$1,Despesas!$M:$M,$B1016)</f>
        <v>0</v>
      </c>
      <c r="F1016" s="5">
        <f>SUMIFS(Despesas!$F:$F,Despesas!$J:$J,"&lt;="&amp;$A1016,Despesas!$L:$L,"&gt;="&amp;$A1016,Despesas!$C:$C,F$1,Despesas!$M:$M,"Mensal")+SUMIFS(Despesas!$F:$F,Despesas!$J:$J,"&lt;="&amp;$A1016,Despesas!$L:$L,"&gt;="&amp;$A1016,Despesas!$C:$C,F$1,Despesas!$M:$M,$B1016)</f>
        <v>0</v>
      </c>
      <c r="G1016" s="5">
        <f>SUMIFS(Despesas!$F:$F,Despesas!$J:$J,"&lt;="&amp;$A1016,Despesas!$L:$L,"&gt;="&amp;$A1016,Despesas!$C:$C,G$1,Despesas!$M:$M,"Mensal")+SUMIFS(Despesas!$F:$F,Despesas!$J:$J,"&lt;="&amp;$A1016,Despesas!$L:$L,"&gt;="&amp;$A1016,Despesas!$C:$C,G$1,Despesas!$M:$M,$B1016)</f>
        <v>0</v>
      </c>
      <c r="H1016" s="18">
        <f>SUMIFS(Despesas!$F:$F,Despesas!$J:$J,"&lt;="&amp;$A1016,Despesas!$L:$L,"&gt;="&amp;$A1016,Despesas!$C:$C,H$1,Despesas!$M:$M,"Mensal")+SUMIFS(Despesas!$F:$F,Despesas!$J:$J,"&lt;="&amp;$A1016,Despesas!$L:$L,"&gt;="&amp;$A1016,Despesas!$C:$C,H$1,Despesas!$M:$M,$B1016)</f>
        <v>0</v>
      </c>
      <c r="I1016" s="18">
        <f>IF(Imóveis!$F$2="PRICE",IF(AND(Dados!$A1016&gt;=Imóveis!$Q$2,Dados!$A1016&lt;=Imóveis!$T$2),Imóveis!$U$2,0),IF((IF(AND(Dados!$A1016&gt;=Imóveis!$Q$2,Dados!$A1016&lt;=Imóveis!$T$2),Imóveis!$S$2-(DATEDIF(Imóveis!$Q$2,Dados!$A1016,"m")),0))=0,0,((Imóveis!$N$2/Imóveis!$S$2)+((Imóveis!$N$2-((Imóveis!$S$2-(IF(AND(Dados!$A1016&gt;=Imóveis!$Q$2,Dados!$A1016&lt;=Imóveis!$T$2),Imóveis!$S$2-(DATEDIF(Imóveis!$Q$2,Dados!$A1016,"m")),)))*(Imóveis!$N$2/Imóveis!$S$2)))*Imóveis!$P$2))))*IF(AND(Imóveis!$E$2&gt;0,Dados!$A1016&gt;Imóveis!$E$2),0,1)</f>
        <v>0</v>
      </c>
      <c r="J1016" s="18">
        <f>IF(Imóveis!$F$3="PRICE",IF(AND(Dados!$A1016&gt;=Imóveis!$Q$3,Dados!$A1016&lt;=Imóveis!$T$3),Imóveis!$U$3,0),IF((IF(AND(Dados!$A1016&gt;=Imóveis!$Q$3,Dados!$A1016&lt;=Imóveis!$T$3),Imóveis!$S$3-(DATEDIF(Imóveis!$Q$3,Dados!$A1016,"m")),0))=0,0,((Imóveis!$N$3/Imóveis!$S$3)+((Imóveis!$N$3-((Imóveis!$S$3-(IF(AND(Dados!$A1016&gt;=Imóveis!$Q$3,Dados!$A1016&lt;=Imóveis!$T$3),Imóveis!$S$3-(DATEDIF(Imóveis!$Q$3,Dados!$A1016,"m")),)))*(Imóveis!$N$3/Imóveis!$S$3)))*Imóveis!$P$3))))*IF(AND(Imóveis!$E$3&gt;0,Dados!$A1016&gt;Imóveis!$E$3),0,1)</f>
        <v>0</v>
      </c>
      <c r="K1016" s="18">
        <f>IF(Imóveis!$F$4="PRICE",IF(AND(Dados!$A1016&gt;=Imóveis!$Q$4,Dados!$A1016&lt;=Imóveis!$T$4),Imóveis!$U$4,0),IF((IF(AND(Dados!$A1016&gt;=Imóveis!$Q$4,Dados!$A1016&lt;=Imóveis!$T$4),Imóveis!$S$4-(DATEDIF(Imóveis!$Q$4,Dados!$A1016,"m")),0))=0,0,((Imóveis!$N$4/Imóveis!$S$4)+((Imóveis!$N$4-((Imóveis!$S$4-(IF(AND(Dados!$A1016&gt;=Imóveis!$Q$4,Dados!$A1016&lt;=Imóveis!$T$4),Imóveis!$S$4-(DATEDIF(Imóveis!$Q$4,Dados!$A1016,"m")),)))*(Imóveis!$N$4/Imóveis!$S$4)))*Imóveis!$P$4))))*IF(AND(Imóveis!$E$4&gt;0,Dados!$A1016&gt;Imóveis!$E$4),0,1)</f>
        <v>0</v>
      </c>
      <c r="L1016" s="18">
        <f>IF(Imóveis!$F$5="PRICE",IF(AND(Dados!$A1016&gt;=Imóveis!$Q$5,Dados!$A1016&lt;=Imóveis!$T$5),Imóveis!$U$5,0),IF((IF(AND(Dados!$A1016&gt;=Imóveis!$Q$5,Dados!$A1016&lt;=Imóveis!$T$5),Imóveis!$S$5-(DATEDIF(Imóveis!$Q$5,Dados!$A1016,"m")),0))=0,0,((Imóveis!$N$5/Imóveis!$S$5)+((Imóveis!$N$5-((Imóveis!$S$5-(IF(AND(Dados!$A1016 &gt;=Imóveis!$Q$5,Dados!$A1016&lt;=Imóveis!$T$5),Imóveis!$S$5-(DATEDIF(Imóveis!$Q$5,Dados!$A1016,"m")),)))*(Imóveis!$N$5/Imóveis!$S$5)))*Imóveis!$P$5))))*IF(AND(Imóveis!$E$5&gt;0,Dados!$A1016&gt;Imóveis!$E$5),0,1)*Imóveis!$I$5</f>
        <v>0</v>
      </c>
      <c r="M1016" s="18">
        <f>IF(Imóveis!$F$6="PRICE",IF(AND(Dados!$A1016&gt;=Imóveis!$Q$6,Dados!$A1016&lt;=Imóveis!$T$6),Imóveis!$U$6,0),IF((IF(AND(Dados!$A1016&gt;=Imóveis!$Q$6,Dados!$A1016&lt;=Imóveis!$T$6),Imóveis!$S$6-(DATEDIF(Imóveis!$Q$6,Dados!$A1016,"m")),0))=0,0,((Imóveis!$N$6/Imóveis!$S$6)+((Imóveis!$N$6-((Imóveis!$S$6-(IF(AND(Dados!$A1016&gt;=Imóveis!$Q$6,Dados!$A1016&lt;=Imóveis!$T$6),Imóveis!$S$6-(DATEDIF(Imóveis!$Q$6,Dados!$A1016,"m")),)))*(Imóveis!$N$6/Imóveis!$S$6)))*Imóveis!$P$6))))*IF(AND(Imóveis!$E$6&gt;0,Dados!$A1016&gt;Imóveis!$E$6),0,1)*Imóveis!$I$6</f>
        <v>0</v>
      </c>
      <c r="N1016" s="18">
        <f t="shared" si="125"/>
        <v>0</v>
      </c>
      <c r="O1016" s="18">
        <f>SUMIFS(Receitas!$F:$F,Receitas!$J:$J,"&lt;="&amp;$A1016,Receitas!$L:$L,"&gt;="&amp;$A1016,Receitas!$C:$C,O$1,Receitas!$M:$M,"Mensal")+SUMIFS(Receitas!$F:$F,Receitas!$J:$J,"&lt;="&amp;$A1016,Receitas!$L:$L,"&gt;="&amp;$A1016,Receitas!$C:$C,O$1,Receitas!$M:$M,$B1016)</f>
        <v>0</v>
      </c>
      <c r="P1016" s="18">
        <f>SUMIFS(Receitas!$F:$F,Receitas!$J:$J,"&lt;="&amp;$A1016,Receitas!$L:$L,"&gt;="&amp;$A1016,Receitas!$C:$C,P$1,Receitas!$M:$M,"Mensal")+SUMIFS(Receitas!$F:$F,Receitas!$J:$J,"&lt;="&amp;$A1016,Receitas!$L:$L,"&gt;="&amp;$A1016,Receitas!$C:$C,P$1,Receitas!$M:$M,$B1016)</f>
        <v>0</v>
      </c>
      <c r="Q1016" s="18">
        <f>SUMIFS(Receitas!$F:$F,Receitas!$J:$J,"&lt;="&amp;$A1016,Receitas!$L:$L,"&gt;="&amp;$A1016,Receitas!$C:$C,Q$1,Receitas!$M:$M,"Mensal")+SUMIFS(Receitas!$F:$F,Receitas!$J:$J,"&lt;="&amp;$A1016,Receitas!$L:$L,"&gt;="&amp;$A1016,Receitas!$C:$C,Q$1,Receitas!$M:$M,$B1016)</f>
        <v>0</v>
      </c>
      <c r="R1016" s="18" cm="1">
        <f t="array" ref="R1016">(IF(AND(Membros!$F$2="Sim",A1016&lt;=MAX(Membros!$E$2:$E$5)),Membros!K$2,IF(AND(A1016&gt;=Membros!J$2,A1016&lt;=MAX(Membros!$E$2:$E$5)),Membros!K$2,0))+IF(AND(Membros!$F$3="Sim",A1016&lt;=MAX(Membros!$E$2:$E$5)),Membros!K$3,IF(AND(A1016&gt;=Membros!J$3,A1016&lt;=MAX(Membros!$E$2:$E$5)),Membros!K$3,0)))*IF(AND(COUNTIFS(Tabela3[Tipo],"Provedor",Tabela3[Simulação Seguro],"Sim")=2,A1016&gt;=MAX(IF(Tabela3[Tipo]="Dependente",Tabela3[Expectativa de Vida (Data)]))),0,1)</f>
        <v>0</v>
      </c>
      <c r="S1016" s="18">
        <f t="shared" si="126"/>
        <v>0</v>
      </c>
      <c r="U1016" s="18">
        <f t="shared" ca="1" si="129"/>
        <v>130016562.98603003</v>
      </c>
      <c r="V1016" s="18">
        <f>SUMIF(Imóveis!E:E,Dados!A:A,Imóveis!Z:Z)-SUMIF(Imóveis!E:E,Dados!A:A,Imóveis!Y:Y)</f>
        <v>0</v>
      </c>
      <c r="W1016" s="18">
        <f>-SUMIF(Projetos!N:N,A1016,Projetos!F:F)</f>
        <v>0</v>
      </c>
      <c r="X1016" s="18">
        <f t="shared" si="123"/>
        <v>0</v>
      </c>
      <c r="Y1016" s="26">
        <f ca="1">(U1016*((Indicadores_Economicos!D$2+1)^(1/12)-1))</f>
        <v>425640.39459213737</v>
      </c>
      <c r="Z1016" s="18">
        <f t="shared" ca="1" si="127"/>
        <v>130442203.38062216</v>
      </c>
      <c r="AA1016" s="18">
        <f ca="1">Auxiliar_Projetos!E1016</f>
        <v>1.0752582720011719E-8</v>
      </c>
      <c r="AB1016" s="18">
        <f ca="1">Auxiliar_Projetos!K1016</f>
        <v>8.2712174769320899E-9</v>
      </c>
      <c r="AC1016" s="18">
        <f ca="1">IF(Z1016-AA1016-AB1016&gt;Investimentos!$C$14,Investimentos!$C$14,IF(Z1016-AA1016-AB1016&lt;Investimentos!$C$14,Z1016-AA1016-AB1016,0))</f>
        <v>300000</v>
      </c>
      <c r="AD1016" s="18">
        <f t="shared" ca="1" si="128"/>
        <v>130142203.38062213</v>
      </c>
      <c r="AE1016" s="18"/>
    </row>
    <row r="1017" spans="1:31" x14ac:dyDescent="0.2">
      <c r="A1017" s="4">
        <v>76550</v>
      </c>
      <c r="B1017" s="5" t="str">
        <f t="shared" si="124"/>
        <v>agosto</v>
      </c>
      <c r="C1017" s="5" t="str">
        <f t="shared" si="130"/>
        <v>2109</v>
      </c>
      <c r="D1017" s="5">
        <f>SUMIFS(Despesas!$F:$F,Despesas!$J:$J,"&lt;="&amp;$A1017,Despesas!$L:$L,"&gt;="&amp;$A1017,Despesas!$C:$C,D$1,Despesas!$M:$M,"Mensal")+SUMIFS(Despesas!$F:$F,Despesas!$J:$J,"&lt;="&amp;$A1017,Despesas!$L:$L,"&gt;="&amp;$A1017,Despesas!$C:$C,D$1,Despesas!$M:$M,$B1017)</f>
        <v>0</v>
      </c>
      <c r="E1017" s="18">
        <f>SUMIFS(Despesas!$F:$F,Despesas!$J:$J,"&lt;="&amp;$A1017,Despesas!$L:$L,"&gt;="&amp;$A1017,Despesas!$C:$C,E$1,Despesas!$M:$M,"Mensal")+SUMIFS(Despesas!$F:$F,Despesas!$J:$J,"&lt;="&amp;$A1017,Despesas!$L:$L,"&gt;="&amp;$A1017,Despesas!$C:$C,E$1,Despesas!$M:$M,$B1017)</f>
        <v>0</v>
      </c>
      <c r="F1017" s="5">
        <f>SUMIFS(Despesas!$F:$F,Despesas!$J:$J,"&lt;="&amp;$A1017,Despesas!$L:$L,"&gt;="&amp;$A1017,Despesas!$C:$C,F$1,Despesas!$M:$M,"Mensal")+SUMIFS(Despesas!$F:$F,Despesas!$J:$J,"&lt;="&amp;$A1017,Despesas!$L:$L,"&gt;="&amp;$A1017,Despesas!$C:$C,F$1,Despesas!$M:$M,$B1017)</f>
        <v>0</v>
      </c>
      <c r="G1017" s="5">
        <f>SUMIFS(Despesas!$F:$F,Despesas!$J:$J,"&lt;="&amp;$A1017,Despesas!$L:$L,"&gt;="&amp;$A1017,Despesas!$C:$C,G$1,Despesas!$M:$M,"Mensal")+SUMIFS(Despesas!$F:$F,Despesas!$J:$J,"&lt;="&amp;$A1017,Despesas!$L:$L,"&gt;="&amp;$A1017,Despesas!$C:$C,G$1,Despesas!$M:$M,$B1017)</f>
        <v>0</v>
      </c>
      <c r="H1017" s="18">
        <f>SUMIFS(Despesas!$F:$F,Despesas!$J:$J,"&lt;="&amp;$A1017,Despesas!$L:$L,"&gt;="&amp;$A1017,Despesas!$C:$C,H$1,Despesas!$M:$M,"Mensal")+SUMIFS(Despesas!$F:$F,Despesas!$J:$J,"&lt;="&amp;$A1017,Despesas!$L:$L,"&gt;="&amp;$A1017,Despesas!$C:$C,H$1,Despesas!$M:$M,$B1017)</f>
        <v>0</v>
      </c>
      <c r="I1017" s="18">
        <f>IF(Imóveis!$F$2="PRICE",IF(AND(Dados!$A1017&gt;=Imóveis!$Q$2,Dados!$A1017&lt;=Imóveis!$T$2),Imóveis!$U$2,0),IF((IF(AND(Dados!$A1017&gt;=Imóveis!$Q$2,Dados!$A1017&lt;=Imóveis!$T$2),Imóveis!$S$2-(DATEDIF(Imóveis!$Q$2,Dados!$A1017,"m")),0))=0,0,((Imóveis!$N$2/Imóveis!$S$2)+((Imóveis!$N$2-((Imóveis!$S$2-(IF(AND(Dados!$A1017&gt;=Imóveis!$Q$2,Dados!$A1017&lt;=Imóveis!$T$2),Imóveis!$S$2-(DATEDIF(Imóveis!$Q$2,Dados!$A1017,"m")),)))*(Imóveis!$N$2/Imóveis!$S$2)))*Imóveis!$P$2))))*IF(AND(Imóveis!$E$2&gt;0,Dados!$A1017&gt;Imóveis!$E$2),0,1)</f>
        <v>0</v>
      </c>
      <c r="J1017" s="18">
        <f>IF(Imóveis!$F$3="PRICE",IF(AND(Dados!$A1017&gt;=Imóveis!$Q$3,Dados!$A1017&lt;=Imóveis!$T$3),Imóveis!$U$3,0),IF((IF(AND(Dados!$A1017&gt;=Imóveis!$Q$3,Dados!$A1017&lt;=Imóveis!$T$3),Imóveis!$S$3-(DATEDIF(Imóveis!$Q$3,Dados!$A1017,"m")),0))=0,0,((Imóveis!$N$3/Imóveis!$S$3)+((Imóveis!$N$3-((Imóveis!$S$3-(IF(AND(Dados!$A1017&gt;=Imóveis!$Q$3,Dados!$A1017&lt;=Imóveis!$T$3),Imóveis!$S$3-(DATEDIF(Imóveis!$Q$3,Dados!$A1017,"m")),)))*(Imóveis!$N$3/Imóveis!$S$3)))*Imóveis!$P$3))))*IF(AND(Imóveis!$E$3&gt;0,Dados!$A1017&gt;Imóveis!$E$3),0,1)</f>
        <v>0</v>
      </c>
      <c r="K1017" s="18">
        <f>IF(Imóveis!$F$4="PRICE",IF(AND(Dados!$A1017&gt;=Imóveis!$Q$4,Dados!$A1017&lt;=Imóveis!$T$4),Imóveis!$U$4,0),IF((IF(AND(Dados!$A1017&gt;=Imóveis!$Q$4,Dados!$A1017&lt;=Imóveis!$T$4),Imóveis!$S$4-(DATEDIF(Imóveis!$Q$4,Dados!$A1017,"m")),0))=0,0,((Imóveis!$N$4/Imóveis!$S$4)+((Imóveis!$N$4-((Imóveis!$S$4-(IF(AND(Dados!$A1017&gt;=Imóveis!$Q$4,Dados!$A1017&lt;=Imóveis!$T$4),Imóveis!$S$4-(DATEDIF(Imóveis!$Q$4,Dados!$A1017,"m")),)))*(Imóveis!$N$4/Imóveis!$S$4)))*Imóveis!$P$4))))*IF(AND(Imóveis!$E$4&gt;0,Dados!$A1017&gt;Imóveis!$E$4),0,1)</f>
        <v>0</v>
      </c>
      <c r="L1017" s="18">
        <f>IF(Imóveis!$F$5="PRICE",IF(AND(Dados!$A1017&gt;=Imóveis!$Q$5,Dados!$A1017&lt;=Imóveis!$T$5),Imóveis!$U$5,0),IF((IF(AND(Dados!$A1017&gt;=Imóveis!$Q$5,Dados!$A1017&lt;=Imóveis!$T$5),Imóveis!$S$5-(DATEDIF(Imóveis!$Q$5,Dados!$A1017,"m")),0))=0,0,((Imóveis!$N$5/Imóveis!$S$5)+((Imóveis!$N$5-((Imóveis!$S$5-(IF(AND(Dados!$A1017 &gt;=Imóveis!$Q$5,Dados!$A1017&lt;=Imóveis!$T$5),Imóveis!$S$5-(DATEDIF(Imóveis!$Q$5,Dados!$A1017,"m")),)))*(Imóveis!$N$5/Imóveis!$S$5)))*Imóveis!$P$5))))*IF(AND(Imóveis!$E$5&gt;0,Dados!$A1017&gt;Imóveis!$E$5),0,1)*Imóveis!$I$5</f>
        <v>0</v>
      </c>
      <c r="M1017" s="18">
        <f>IF(Imóveis!$F$6="PRICE",IF(AND(Dados!$A1017&gt;=Imóveis!$Q$6,Dados!$A1017&lt;=Imóveis!$T$6),Imóveis!$U$6,0),IF((IF(AND(Dados!$A1017&gt;=Imóveis!$Q$6,Dados!$A1017&lt;=Imóveis!$T$6),Imóveis!$S$6-(DATEDIF(Imóveis!$Q$6,Dados!$A1017,"m")),0))=0,0,((Imóveis!$N$6/Imóveis!$S$6)+((Imóveis!$N$6-((Imóveis!$S$6-(IF(AND(Dados!$A1017&gt;=Imóveis!$Q$6,Dados!$A1017&lt;=Imóveis!$T$6),Imóveis!$S$6-(DATEDIF(Imóveis!$Q$6,Dados!$A1017,"m")),)))*(Imóveis!$N$6/Imóveis!$S$6)))*Imóveis!$P$6))))*IF(AND(Imóveis!$E$6&gt;0,Dados!$A1017&gt;Imóveis!$E$6),0,1)*Imóveis!$I$6</f>
        <v>0</v>
      </c>
      <c r="N1017" s="18">
        <f t="shared" si="125"/>
        <v>0</v>
      </c>
      <c r="O1017" s="18">
        <f>SUMIFS(Receitas!$F:$F,Receitas!$J:$J,"&lt;="&amp;$A1017,Receitas!$L:$L,"&gt;="&amp;$A1017,Receitas!$C:$C,O$1,Receitas!$M:$M,"Mensal")+SUMIFS(Receitas!$F:$F,Receitas!$J:$J,"&lt;="&amp;$A1017,Receitas!$L:$L,"&gt;="&amp;$A1017,Receitas!$C:$C,O$1,Receitas!$M:$M,$B1017)</f>
        <v>0</v>
      </c>
      <c r="P1017" s="18">
        <f>SUMIFS(Receitas!$F:$F,Receitas!$J:$J,"&lt;="&amp;$A1017,Receitas!$L:$L,"&gt;="&amp;$A1017,Receitas!$C:$C,P$1,Receitas!$M:$M,"Mensal")+SUMIFS(Receitas!$F:$F,Receitas!$J:$J,"&lt;="&amp;$A1017,Receitas!$L:$L,"&gt;="&amp;$A1017,Receitas!$C:$C,P$1,Receitas!$M:$M,$B1017)</f>
        <v>0</v>
      </c>
      <c r="Q1017" s="18">
        <f>SUMIFS(Receitas!$F:$F,Receitas!$J:$J,"&lt;="&amp;$A1017,Receitas!$L:$L,"&gt;="&amp;$A1017,Receitas!$C:$C,Q$1,Receitas!$M:$M,"Mensal")+SUMIFS(Receitas!$F:$F,Receitas!$J:$J,"&lt;="&amp;$A1017,Receitas!$L:$L,"&gt;="&amp;$A1017,Receitas!$C:$C,Q$1,Receitas!$M:$M,$B1017)</f>
        <v>0</v>
      </c>
      <c r="R1017" s="18" cm="1">
        <f t="array" ref="R1017">(IF(AND(Membros!$F$2="Sim",A1017&lt;=MAX(Membros!$E$2:$E$5)),Membros!K$2,IF(AND(A1017&gt;=Membros!J$2,A1017&lt;=MAX(Membros!$E$2:$E$5)),Membros!K$2,0))+IF(AND(Membros!$F$3="Sim",A1017&lt;=MAX(Membros!$E$2:$E$5)),Membros!K$3,IF(AND(A1017&gt;=Membros!J$3,A1017&lt;=MAX(Membros!$E$2:$E$5)),Membros!K$3,0)))*IF(AND(COUNTIFS(Tabela3[Tipo],"Provedor",Tabela3[Simulação Seguro],"Sim")=2,A1017&gt;=MAX(IF(Tabela3[Tipo]="Dependente",Tabela3[Expectativa de Vida (Data)]))),0,1)</f>
        <v>0</v>
      </c>
      <c r="S1017" s="18">
        <f t="shared" si="126"/>
        <v>0</v>
      </c>
      <c r="U1017" s="18">
        <f t="shared" ca="1" si="129"/>
        <v>130442203.38062216</v>
      </c>
      <c r="V1017" s="18">
        <f>SUMIF(Imóveis!E:E,Dados!A:A,Imóveis!Z:Z)-SUMIF(Imóveis!E:E,Dados!A:A,Imóveis!Y:Y)</f>
        <v>0</v>
      </c>
      <c r="W1017" s="18">
        <f>-SUMIF(Projetos!N:N,A1017,Projetos!F:F)</f>
        <v>0</v>
      </c>
      <c r="X1017" s="18">
        <f t="shared" si="123"/>
        <v>0</v>
      </c>
      <c r="Y1017" s="26">
        <f ca="1">(U1017*((Indicadores_Economicos!D$2+1)^(1/12)-1))</f>
        <v>427033.83048482449</v>
      </c>
      <c r="Z1017" s="18">
        <f t="shared" ca="1" si="127"/>
        <v>130869237.21110699</v>
      </c>
      <c r="AA1017" s="18">
        <f ca="1">Auxiliar_Projetos!E1017</f>
        <v>1.0787783877823606E-8</v>
      </c>
      <c r="AB1017" s="18">
        <f ca="1">Auxiliar_Projetos!K1017</f>
        <v>8.2982952906335419E-9</v>
      </c>
      <c r="AC1017" s="18">
        <f ca="1">IF(Z1017-AA1017-AB1017&gt;Investimentos!$C$14,Investimentos!$C$14,IF(Z1017-AA1017-AB1017&lt;Investimentos!$C$14,Z1017-AA1017-AB1017,0))</f>
        <v>300000</v>
      </c>
      <c r="AD1017" s="18">
        <f t="shared" ca="1" si="128"/>
        <v>130569237.21110696</v>
      </c>
      <c r="AE1017" s="18"/>
    </row>
    <row r="1018" spans="1:31" x14ac:dyDescent="0.2">
      <c r="A1018" s="4">
        <v>76581</v>
      </c>
      <c r="B1018" s="5" t="str">
        <f t="shared" si="124"/>
        <v>setembro</v>
      </c>
      <c r="C1018" s="5" t="str">
        <f t="shared" si="130"/>
        <v>2109</v>
      </c>
      <c r="D1018" s="5">
        <f>SUMIFS(Despesas!$F:$F,Despesas!$J:$J,"&lt;="&amp;$A1018,Despesas!$L:$L,"&gt;="&amp;$A1018,Despesas!$C:$C,D$1,Despesas!$M:$M,"Mensal")+SUMIFS(Despesas!$F:$F,Despesas!$J:$J,"&lt;="&amp;$A1018,Despesas!$L:$L,"&gt;="&amp;$A1018,Despesas!$C:$C,D$1,Despesas!$M:$M,$B1018)</f>
        <v>0</v>
      </c>
      <c r="E1018" s="18">
        <f>SUMIFS(Despesas!$F:$F,Despesas!$J:$J,"&lt;="&amp;$A1018,Despesas!$L:$L,"&gt;="&amp;$A1018,Despesas!$C:$C,E$1,Despesas!$M:$M,"Mensal")+SUMIFS(Despesas!$F:$F,Despesas!$J:$J,"&lt;="&amp;$A1018,Despesas!$L:$L,"&gt;="&amp;$A1018,Despesas!$C:$C,E$1,Despesas!$M:$M,$B1018)</f>
        <v>0</v>
      </c>
      <c r="F1018" s="5">
        <f>SUMIFS(Despesas!$F:$F,Despesas!$J:$J,"&lt;="&amp;$A1018,Despesas!$L:$L,"&gt;="&amp;$A1018,Despesas!$C:$C,F$1,Despesas!$M:$M,"Mensal")+SUMIFS(Despesas!$F:$F,Despesas!$J:$J,"&lt;="&amp;$A1018,Despesas!$L:$L,"&gt;="&amp;$A1018,Despesas!$C:$C,F$1,Despesas!$M:$M,$B1018)</f>
        <v>0</v>
      </c>
      <c r="G1018" s="5">
        <f>SUMIFS(Despesas!$F:$F,Despesas!$J:$J,"&lt;="&amp;$A1018,Despesas!$L:$L,"&gt;="&amp;$A1018,Despesas!$C:$C,G$1,Despesas!$M:$M,"Mensal")+SUMIFS(Despesas!$F:$F,Despesas!$J:$J,"&lt;="&amp;$A1018,Despesas!$L:$L,"&gt;="&amp;$A1018,Despesas!$C:$C,G$1,Despesas!$M:$M,$B1018)</f>
        <v>0</v>
      </c>
      <c r="H1018" s="18">
        <f>SUMIFS(Despesas!$F:$F,Despesas!$J:$J,"&lt;="&amp;$A1018,Despesas!$L:$L,"&gt;="&amp;$A1018,Despesas!$C:$C,H$1,Despesas!$M:$M,"Mensal")+SUMIFS(Despesas!$F:$F,Despesas!$J:$J,"&lt;="&amp;$A1018,Despesas!$L:$L,"&gt;="&amp;$A1018,Despesas!$C:$C,H$1,Despesas!$M:$M,$B1018)</f>
        <v>0</v>
      </c>
      <c r="I1018" s="18">
        <f>IF(Imóveis!$F$2="PRICE",IF(AND(Dados!$A1018&gt;=Imóveis!$Q$2,Dados!$A1018&lt;=Imóveis!$T$2),Imóveis!$U$2,0),IF((IF(AND(Dados!$A1018&gt;=Imóveis!$Q$2,Dados!$A1018&lt;=Imóveis!$T$2),Imóveis!$S$2-(DATEDIF(Imóveis!$Q$2,Dados!$A1018,"m")),0))=0,0,((Imóveis!$N$2/Imóveis!$S$2)+((Imóveis!$N$2-((Imóveis!$S$2-(IF(AND(Dados!$A1018&gt;=Imóveis!$Q$2,Dados!$A1018&lt;=Imóveis!$T$2),Imóveis!$S$2-(DATEDIF(Imóveis!$Q$2,Dados!$A1018,"m")),)))*(Imóveis!$N$2/Imóveis!$S$2)))*Imóveis!$P$2))))*IF(AND(Imóveis!$E$2&gt;0,Dados!$A1018&gt;Imóveis!$E$2),0,1)</f>
        <v>0</v>
      </c>
      <c r="J1018" s="18">
        <f>IF(Imóveis!$F$3="PRICE",IF(AND(Dados!$A1018&gt;=Imóveis!$Q$3,Dados!$A1018&lt;=Imóveis!$T$3),Imóveis!$U$3,0),IF((IF(AND(Dados!$A1018&gt;=Imóveis!$Q$3,Dados!$A1018&lt;=Imóveis!$T$3),Imóveis!$S$3-(DATEDIF(Imóveis!$Q$3,Dados!$A1018,"m")),0))=0,0,((Imóveis!$N$3/Imóveis!$S$3)+((Imóveis!$N$3-((Imóveis!$S$3-(IF(AND(Dados!$A1018&gt;=Imóveis!$Q$3,Dados!$A1018&lt;=Imóveis!$T$3),Imóveis!$S$3-(DATEDIF(Imóveis!$Q$3,Dados!$A1018,"m")),)))*(Imóveis!$N$3/Imóveis!$S$3)))*Imóveis!$P$3))))*IF(AND(Imóveis!$E$3&gt;0,Dados!$A1018&gt;Imóveis!$E$3),0,1)</f>
        <v>0</v>
      </c>
      <c r="K1018" s="18">
        <f>IF(Imóveis!$F$4="PRICE",IF(AND(Dados!$A1018&gt;=Imóveis!$Q$4,Dados!$A1018&lt;=Imóveis!$T$4),Imóveis!$U$4,0),IF((IF(AND(Dados!$A1018&gt;=Imóveis!$Q$4,Dados!$A1018&lt;=Imóveis!$T$4),Imóveis!$S$4-(DATEDIF(Imóveis!$Q$4,Dados!$A1018,"m")),0))=0,0,((Imóveis!$N$4/Imóveis!$S$4)+((Imóveis!$N$4-((Imóveis!$S$4-(IF(AND(Dados!$A1018&gt;=Imóveis!$Q$4,Dados!$A1018&lt;=Imóveis!$T$4),Imóveis!$S$4-(DATEDIF(Imóveis!$Q$4,Dados!$A1018,"m")),)))*(Imóveis!$N$4/Imóveis!$S$4)))*Imóveis!$P$4))))*IF(AND(Imóveis!$E$4&gt;0,Dados!$A1018&gt;Imóveis!$E$4),0,1)</f>
        <v>0</v>
      </c>
      <c r="L1018" s="18">
        <f>IF(Imóveis!$F$5="PRICE",IF(AND(Dados!$A1018&gt;=Imóveis!$Q$5,Dados!$A1018&lt;=Imóveis!$T$5),Imóveis!$U$5,0),IF((IF(AND(Dados!$A1018&gt;=Imóveis!$Q$5,Dados!$A1018&lt;=Imóveis!$T$5),Imóveis!$S$5-(DATEDIF(Imóveis!$Q$5,Dados!$A1018,"m")),0))=0,0,((Imóveis!$N$5/Imóveis!$S$5)+((Imóveis!$N$5-((Imóveis!$S$5-(IF(AND(Dados!$A1018 &gt;=Imóveis!$Q$5,Dados!$A1018&lt;=Imóveis!$T$5),Imóveis!$S$5-(DATEDIF(Imóveis!$Q$5,Dados!$A1018,"m")),)))*(Imóveis!$N$5/Imóveis!$S$5)))*Imóveis!$P$5))))*IF(AND(Imóveis!$E$5&gt;0,Dados!$A1018&gt;Imóveis!$E$5),0,1)*Imóveis!$I$5</f>
        <v>0</v>
      </c>
      <c r="M1018" s="18">
        <f>IF(Imóveis!$F$6="PRICE",IF(AND(Dados!$A1018&gt;=Imóveis!$Q$6,Dados!$A1018&lt;=Imóveis!$T$6),Imóveis!$U$6,0),IF((IF(AND(Dados!$A1018&gt;=Imóveis!$Q$6,Dados!$A1018&lt;=Imóveis!$T$6),Imóveis!$S$6-(DATEDIF(Imóveis!$Q$6,Dados!$A1018,"m")),0))=0,0,((Imóveis!$N$6/Imóveis!$S$6)+((Imóveis!$N$6-((Imóveis!$S$6-(IF(AND(Dados!$A1018&gt;=Imóveis!$Q$6,Dados!$A1018&lt;=Imóveis!$T$6),Imóveis!$S$6-(DATEDIF(Imóveis!$Q$6,Dados!$A1018,"m")),)))*(Imóveis!$N$6/Imóveis!$S$6)))*Imóveis!$P$6))))*IF(AND(Imóveis!$E$6&gt;0,Dados!$A1018&gt;Imóveis!$E$6),0,1)*Imóveis!$I$6</f>
        <v>0</v>
      </c>
      <c r="N1018" s="18">
        <f t="shared" si="125"/>
        <v>0</v>
      </c>
      <c r="O1018" s="18">
        <f>SUMIFS(Receitas!$F:$F,Receitas!$J:$J,"&lt;="&amp;$A1018,Receitas!$L:$L,"&gt;="&amp;$A1018,Receitas!$C:$C,O$1,Receitas!$M:$M,"Mensal")+SUMIFS(Receitas!$F:$F,Receitas!$J:$J,"&lt;="&amp;$A1018,Receitas!$L:$L,"&gt;="&amp;$A1018,Receitas!$C:$C,O$1,Receitas!$M:$M,$B1018)</f>
        <v>0</v>
      </c>
      <c r="P1018" s="18">
        <f>SUMIFS(Receitas!$F:$F,Receitas!$J:$J,"&lt;="&amp;$A1018,Receitas!$L:$L,"&gt;="&amp;$A1018,Receitas!$C:$C,P$1,Receitas!$M:$M,"Mensal")+SUMIFS(Receitas!$F:$F,Receitas!$J:$J,"&lt;="&amp;$A1018,Receitas!$L:$L,"&gt;="&amp;$A1018,Receitas!$C:$C,P$1,Receitas!$M:$M,$B1018)</f>
        <v>0</v>
      </c>
      <c r="Q1018" s="18">
        <f>SUMIFS(Receitas!$F:$F,Receitas!$J:$J,"&lt;="&amp;$A1018,Receitas!$L:$L,"&gt;="&amp;$A1018,Receitas!$C:$C,Q$1,Receitas!$M:$M,"Mensal")+SUMIFS(Receitas!$F:$F,Receitas!$J:$J,"&lt;="&amp;$A1018,Receitas!$L:$L,"&gt;="&amp;$A1018,Receitas!$C:$C,Q$1,Receitas!$M:$M,$B1018)</f>
        <v>0</v>
      </c>
      <c r="R1018" s="18" cm="1">
        <f t="array" ref="R1018">(IF(AND(Membros!$F$2="Sim",A1018&lt;=MAX(Membros!$E$2:$E$5)),Membros!K$2,IF(AND(A1018&gt;=Membros!J$2,A1018&lt;=MAX(Membros!$E$2:$E$5)),Membros!K$2,0))+IF(AND(Membros!$F$3="Sim",A1018&lt;=MAX(Membros!$E$2:$E$5)),Membros!K$3,IF(AND(A1018&gt;=Membros!J$3,A1018&lt;=MAX(Membros!$E$2:$E$5)),Membros!K$3,0)))*IF(AND(COUNTIFS(Tabela3[Tipo],"Provedor",Tabela3[Simulação Seguro],"Sim")=2,A1018&gt;=MAX(IF(Tabela3[Tipo]="Dependente",Tabela3[Expectativa de Vida (Data)]))),0,1)</f>
        <v>0</v>
      </c>
      <c r="S1018" s="18">
        <f t="shared" si="126"/>
        <v>0</v>
      </c>
      <c r="U1018" s="18">
        <f t="shared" ca="1" si="129"/>
        <v>130869237.21110699</v>
      </c>
      <c r="V1018" s="18">
        <f>SUMIF(Imóveis!E:E,Dados!A:A,Imóveis!Z:Z)-SUMIF(Imóveis!E:E,Dados!A:A,Imóveis!Y:Y)</f>
        <v>0</v>
      </c>
      <c r="W1018" s="18">
        <f>-SUMIF(Projetos!N:N,A1018,Projetos!F:F)</f>
        <v>0</v>
      </c>
      <c r="X1018" s="18">
        <f t="shared" si="123"/>
        <v>0</v>
      </c>
      <c r="Y1018" s="26">
        <f ca="1">(U1018*((Indicadores_Economicos!D$2+1)^(1/12)-1))</f>
        <v>428431.82812402747</v>
      </c>
      <c r="Z1018" s="18">
        <f t="shared" ca="1" si="127"/>
        <v>131297669.03923102</v>
      </c>
      <c r="AA1018" s="18">
        <f ca="1">Auxiliar_Projetos!E1018</f>
        <v>1.0823100275066201E-8</v>
      </c>
      <c r="AB1018" s="18">
        <f ca="1">Auxiliar_Projetos!K1018</f>
        <v>8.3254617500509221E-9</v>
      </c>
      <c r="AC1018" s="18">
        <f ca="1">IF(Z1018-AA1018-AB1018&gt;Investimentos!$C$14,Investimentos!$C$14,IF(Z1018-AA1018-AB1018&lt;Investimentos!$C$14,Z1018-AA1018-AB1018,0))</f>
        <v>300000</v>
      </c>
      <c r="AD1018" s="18">
        <f t="shared" ca="1" si="128"/>
        <v>130997669.03923099</v>
      </c>
      <c r="AE1018" s="18"/>
    </row>
    <row r="1019" spans="1:31" x14ac:dyDescent="0.2">
      <c r="A1019" s="4">
        <v>76611</v>
      </c>
      <c r="B1019" s="5" t="str">
        <f t="shared" si="124"/>
        <v>outubro</v>
      </c>
      <c r="C1019" s="5" t="str">
        <f t="shared" si="130"/>
        <v>2109</v>
      </c>
      <c r="D1019" s="5">
        <f>SUMIFS(Despesas!$F:$F,Despesas!$J:$J,"&lt;="&amp;$A1019,Despesas!$L:$L,"&gt;="&amp;$A1019,Despesas!$C:$C,D$1,Despesas!$M:$M,"Mensal")+SUMIFS(Despesas!$F:$F,Despesas!$J:$J,"&lt;="&amp;$A1019,Despesas!$L:$L,"&gt;="&amp;$A1019,Despesas!$C:$C,D$1,Despesas!$M:$M,$B1019)</f>
        <v>0</v>
      </c>
      <c r="E1019" s="18">
        <f>SUMIFS(Despesas!$F:$F,Despesas!$J:$J,"&lt;="&amp;$A1019,Despesas!$L:$L,"&gt;="&amp;$A1019,Despesas!$C:$C,E$1,Despesas!$M:$M,"Mensal")+SUMIFS(Despesas!$F:$F,Despesas!$J:$J,"&lt;="&amp;$A1019,Despesas!$L:$L,"&gt;="&amp;$A1019,Despesas!$C:$C,E$1,Despesas!$M:$M,$B1019)</f>
        <v>0</v>
      </c>
      <c r="F1019" s="5">
        <f>SUMIFS(Despesas!$F:$F,Despesas!$J:$J,"&lt;="&amp;$A1019,Despesas!$L:$L,"&gt;="&amp;$A1019,Despesas!$C:$C,F$1,Despesas!$M:$M,"Mensal")+SUMIFS(Despesas!$F:$F,Despesas!$J:$J,"&lt;="&amp;$A1019,Despesas!$L:$L,"&gt;="&amp;$A1019,Despesas!$C:$C,F$1,Despesas!$M:$M,$B1019)</f>
        <v>0</v>
      </c>
      <c r="G1019" s="5">
        <f>SUMIFS(Despesas!$F:$F,Despesas!$J:$J,"&lt;="&amp;$A1019,Despesas!$L:$L,"&gt;="&amp;$A1019,Despesas!$C:$C,G$1,Despesas!$M:$M,"Mensal")+SUMIFS(Despesas!$F:$F,Despesas!$J:$J,"&lt;="&amp;$A1019,Despesas!$L:$L,"&gt;="&amp;$A1019,Despesas!$C:$C,G$1,Despesas!$M:$M,$B1019)</f>
        <v>0</v>
      </c>
      <c r="H1019" s="18">
        <f>SUMIFS(Despesas!$F:$F,Despesas!$J:$J,"&lt;="&amp;$A1019,Despesas!$L:$L,"&gt;="&amp;$A1019,Despesas!$C:$C,H$1,Despesas!$M:$M,"Mensal")+SUMIFS(Despesas!$F:$F,Despesas!$J:$J,"&lt;="&amp;$A1019,Despesas!$L:$L,"&gt;="&amp;$A1019,Despesas!$C:$C,H$1,Despesas!$M:$M,$B1019)</f>
        <v>0</v>
      </c>
      <c r="I1019" s="18">
        <f>IF(Imóveis!$F$2="PRICE",IF(AND(Dados!$A1019&gt;=Imóveis!$Q$2,Dados!$A1019&lt;=Imóveis!$T$2),Imóveis!$U$2,0),IF((IF(AND(Dados!$A1019&gt;=Imóveis!$Q$2,Dados!$A1019&lt;=Imóveis!$T$2),Imóveis!$S$2-(DATEDIF(Imóveis!$Q$2,Dados!$A1019,"m")),0))=0,0,((Imóveis!$N$2/Imóveis!$S$2)+((Imóveis!$N$2-((Imóveis!$S$2-(IF(AND(Dados!$A1019&gt;=Imóveis!$Q$2,Dados!$A1019&lt;=Imóveis!$T$2),Imóveis!$S$2-(DATEDIF(Imóveis!$Q$2,Dados!$A1019,"m")),)))*(Imóveis!$N$2/Imóveis!$S$2)))*Imóveis!$P$2))))*IF(AND(Imóveis!$E$2&gt;0,Dados!$A1019&gt;Imóveis!$E$2),0,1)</f>
        <v>0</v>
      </c>
      <c r="J1019" s="18">
        <f>IF(Imóveis!$F$3="PRICE",IF(AND(Dados!$A1019&gt;=Imóveis!$Q$3,Dados!$A1019&lt;=Imóveis!$T$3),Imóveis!$U$3,0),IF((IF(AND(Dados!$A1019&gt;=Imóveis!$Q$3,Dados!$A1019&lt;=Imóveis!$T$3),Imóveis!$S$3-(DATEDIF(Imóveis!$Q$3,Dados!$A1019,"m")),0))=0,0,((Imóveis!$N$3/Imóveis!$S$3)+((Imóveis!$N$3-((Imóveis!$S$3-(IF(AND(Dados!$A1019&gt;=Imóveis!$Q$3,Dados!$A1019&lt;=Imóveis!$T$3),Imóveis!$S$3-(DATEDIF(Imóveis!$Q$3,Dados!$A1019,"m")),)))*(Imóveis!$N$3/Imóveis!$S$3)))*Imóveis!$P$3))))*IF(AND(Imóveis!$E$3&gt;0,Dados!$A1019&gt;Imóveis!$E$3),0,1)</f>
        <v>0</v>
      </c>
      <c r="K1019" s="18">
        <f>IF(Imóveis!$F$4="PRICE",IF(AND(Dados!$A1019&gt;=Imóveis!$Q$4,Dados!$A1019&lt;=Imóveis!$T$4),Imóveis!$U$4,0),IF((IF(AND(Dados!$A1019&gt;=Imóveis!$Q$4,Dados!$A1019&lt;=Imóveis!$T$4),Imóveis!$S$4-(DATEDIF(Imóveis!$Q$4,Dados!$A1019,"m")),0))=0,0,((Imóveis!$N$4/Imóveis!$S$4)+((Imóveis!$N$4-((Imóveis!$S$4-(IF(AND(Dados!$A1019&gt;=Imóveis!$Q$4,Dados!$A1019&lt;=Imóveis!$T$4),Imóveis!$S$4-(DATEDIF(Imóveis!$Q$4,Dados!$A1019,"m")),)))*(Imóveis!$N$4/Imóveis!$S$4)))*Imóveis!$P$4))))*IF(AND(Imóveis!$E$4&gt;0,Dados!$A1019&gt;Imóveis!$E$4),0,1)</f>
        <v>0</v>
      </c>
      <c r="L1019" s="18">
        <f>IF(Imóveis!$F$5="PRICE",IF(AND(Dados!$A1019&gt;=Imóveis!$Q$5,Dados!$A1019&lt;=Imóveis!$T$5),Imóveis!$U$5,0),IF((IF(AND(Dados!$A1019&gt;=Imóveis!$Q$5,Dados!$A1019&lt;=Imóveis!$T$5),Imóveis!$S$5-(DATEDIF(Imóveis!$Q$5,Dados!$A1019,"m")),0))=0,0,((Imóveis!$N$5/Imóveis!$S$5)+((Imóveis!$N$5-((Imóveis!$S$5-(IF(AND(Dados!$A1019 &gt;=Imóveis!$Q$5,Dados!$A1019&lt;=Imóveis!$T$5),Imóveis!$S$5-(DATEDIF(Imóveis!$Q$5,Dados!$A1019,"m")),)))*(Imóveis!$N$5/Imóveis!$S$5)))*Imóveis!$P$5))))*IF(AND(Imóveis!$E$5&gt;0,Dados!$A1019&gt;Imóveis!$E$5),0,1)*Imóveis!$I$5</f>
        <v>0</v>
      </c>
      <c r="M1019" s="18">
        <f>IF(Imóveis!$F$6="PRICE",IF(AND(Dados!$A1019&gt;=Imóveis!$Q$6,Dados!$A1019&lt;=Imóveis!$T$6),Imóveis!$U$6,0),IF((IF(AND(Dados!$A1019&gt;=Imóveis!$Q$6,Dados!$A1019&lt;=Imóveis!$T$6),Imóveis!$S$6-(DATEDIF(Imóveis!$Q$6,Dados!$A1019,"m")),0))=0,0,((Imóveis!$N$6/Imóveis!$S$6)+((Imóveis!$N$6-((Imóveis!$S$6-(IF(AND(Dados!$A1019&gt;=Imóveis!$Q$6,Dados!$A1019&lt;=Imóveis!$T$6),Imóveis!$S$6-(DATEDIF(Imóveis!$Q$6,Dados!$A1019,"m")),)))*(Imóveis!$N$6/Imóveis!$S$6)))*Imóveis!$P$6))))*IF(AND(Imóveis!$E$6&gt;0,Dados!$A1019&gt;Imóveis!$E$6),0,1)*Imóveis!$I$6</f>
        <v>0</v>
      </c>
      <c r="N1019" s="18">
        <f t="shared" si="125"/>
        <v>0</v>
      </c>
      <c r="O1019" s="18">
        <f>SUMIFS(Receitas!$F:$F,Receitas!$J:$J,"&lt;="&amp;$A1019,Receitas!$L:$L,"&gt;="&amp;$A1019,Receitas!$C:$C,O$1,Receitas!$M:$M,"Mensal")+SUMIFS(Receitas!$F:$F,Receitas!$J:$J,"&lt;="&amp;$A1019,Receitas!$L:$L,"&gt;="&amp;$A1019,Receitas!$C:$C,O$1,Receitas!$M:$M,$B1019)</f>
        <v>0</v>
      </c>
      <c r="P1019" s="18">
        <f>SUMIFS(Receitas!$F:$F,Receitas!$J:$J,"&lt;="&amp;$A1019,Receitas!$L:$L,"&gt;="&amp;$A1019,Receitas!$C:$C,P$1,Receitas!$M:$M,"Mensal")+SUMIFS(Receitas!$F:$F,Receitas!$J:$J,"&lt;="&amp;$A1019,Receitas!$L:$L,"&gt;="&amp;$A1019,Receitas!$C:$C,P$1,Receitas!$M:$M,$B1019)</f>
        <v>0</v>
      </c>
      <c r="Q1019" s="18">
        <f>SUMIFS(Receitas!$F:$F,Receitas!$J:$J,"&lt;="&amp;$A1019,Receitas!$L:$L,"&gt;="&amp;$A1019,Receitas!$C:$C,Q$1,Receitas!$M:$M,"Mensal")+SUMIFS(Receitas!$F:$F,Receitas!$J:$J,"&lt;="&amp;$A1019,Receitas!$L:$L,"&gt;="&amp;$A1019,Receitas!$C:$C,Q$1,Receitas!$M:$M,$B1019)</f>
        <v>0</v>
      </c>
      <c r="R1019" s="18" cm="1">
        <f t="array" ref="R1019">(IF(AND(Membros!$F$2="Sim",A1019&lt;=MAX(Membros!$E$2:$E$5)),Membros!K$2,IF(AND(A1019&gt;=Membros!J$2,A1019&lt;=MAX(Membros!$E$2:$E$5)),Membros!K$2,0))+IF(AND(Membros!$F$3="Sim",A1019&lt;=MAX(Membros!$E$2:$E$5)),Membros!K$3,IF(AND(A1019&gt;=Membros!J$3,A1019&lt;=MAX(Membros!$E$2:$E$5)),Membros!K$3,0)))*IF(AND(COUNTIFS(Tabela3[Tipo],"Provedor",Tabela3[Simulação Seguro],"Sim")=2,A1019&gt;=MAX(IF(Tabela3[Tipo]="Dependente",Tabela3[Expectativa de Vida (Data)]))),0,1)</f>
        <v>0</v>
      </c>
      <c r="S1019" s="18">
        <f t="shared" si="126"/>
        <v>0</v>
      </c>
      <c r="U1019" s="18">
        <f t="shared" ca="1" si="129"/>
        <v>131297669.03923102</v>
      </c>
      <c r="V1019" s="18">
        <f>SUMIF(Imóveis!E:E,Dados!A:A,Imóveis!Z:Z)-SUMIF(Imóveis!E:E,Dados!A:A,Imóveis!Y:Y)</f>
        <v>0</v>
      </c>
      <c r="W1019" s="18">
        <f>-SUMIF(Projetos!N:N,A1019,Projetos!F:F)</f>
        <v>0</v>
      </c>
      <c r="X1019" s="18">
        <f t="shared" si="123"/>
        <v>0</v>
      </c>
      <c r="Y1019" s="26">
        <f ca="1">(U1019*((Indicadores_Economicos!D$2+1)^(1/12)-1))</f>
        <v>429834.40244371729</v>
      </c>
      <c r="Z1019" s="18">
        <f t="shared" ca="1" si="127"/>
        <v>131727503.44167474</v>
      </c>
      <c r="AA1019" s="18">
        <f ca="1">Auxiliar_Projetos!E1019</f>
        <v>1.0858532289003414E-8</v>
      </c>
      <c r="AB1019" s="18">
        <f ca="1">Auxiliar_Projetos!K1019</f>
        <v>8.3527171453872393E-9</v>
      </c>
      <c r="AC1019" s="18">
        <f ca="1">IF(Z1019-AA1019-AB1019&gt;Investimentos!$C$14,Investimentos!$C$14,IF(Z1019-AA1019-AB1019&lt;Investimentos!$C$14,Z1019-AA1019-AB1019,0))</f>
        <v>300000</v>
      </c>
      <c r="AD1019" s="18">
        <f t="shared" ca="1" si="128"/>
        <v>131427503.44167471</v>
      </c>
      <c r="AE1019" s="18"/>
    </row>
    <row r="1020" spans="1:31" x14ac:dyDescent="0.2">
      <c r="A1020" s="4">
        <v>76642</v>
      </c>
      <c r="B1020" s="5" t="str">
        <f t="shared" si="124"/>
        <v>novembro</v>
      </c>
      <c r="C1020" s="5" t="str">
        <f t="shared" si="130"/>
        <v>2109</v>
      </c>
      <c r="D1020" s="5">
        <f>SUMIFS(Despesas!$F:$F,Despesas!$J:$J,"&lt;="&amp;$A1020,Despesas!$L:$L,"&gt;="&amp;$A1020,Despesas!$C:$C,D$1,Despesas!$M:$M,"Mensal")+SUMIFS(Despesas!$F:$F,Despesas!$J:$J,"&lt;="&amp;$A1020,Despesas!$L:$L,"&gt;="&amp;$A1020,Despesas!$C:$C,D$1,Despesas!$M:$M,$B1020)</f>
        <v>0</v>
      </c>
      <c r="E1020" s="18">
        <f>SUMIFS(Despesas!$F:$F,Despesas!$J:$J,"&lt;="&amp;$A1020,Despesas!$L:$L,"&gt;="&amp;$A1020,Despesas!$C:$C,E$1,Despesas!$M:$M,"Mensal")+SUMIFS(Despesas!$F:$F,Despesas!$J:$J,"&lt;="&amp;$A1020,Despesas!$L:$L,"&gt;="&amp;$A1020,Despesas!$C:$C,E$1,Despesas!$M:$M,$B1020)</f>
        <v>0</v>
      </c>
      <c r="F1020" s="5">
        <f>SUMIFS(Despesas!$F:$F,Despesas!$J:$J,"&lt;="&amp;$A1020,Despesas!$L:$L,"&gt;="&amp;$A1020,Despesas!$C:$C,F$1,Despesas!$M:$M,"Mensal")+SUMIFS(Despesas!$F:$F,Despesas!$J:$J,"&lt;="&amp;$A1020,Despesas!$L:$L,"&gt;="&amp;$A1020,Despesas!$C:$C,F$1,Despesas!$M:$M,$B1020)</f>
        <v>0</v>
      </c>
      <c r="G1020" s="5">
        <f>SUMIFS(Despesas!$F:$F,Despesas!$J:$J,"&lt;="&amp;$A1020,Despesas!$L:$L,"&gt;="&amp;$A1020,Despesas!$C:$C,G$1,Despesas!$M:$M,"Mensal")+SUMIFS(Despesas!$F:$F,Despesas!$J:$J,"&lt;="&amp;$A1020,Despesas!$L:$L,"&gt;="&amp;$A1020,Despesas!$C:$C,G$1,Despesas!$M:$M,$B1020)</f>
        <v>0</v>
      </c>
      <c r="H1020" s="18">
        <f>SUMIFS(Despesas!$F:$F,Despesas!$J:$J,"&lt;="&amp;$A1020,Despesas!$L:$L,"&gt;="&amp;$A1020,Despesas!$C:$C,H$1,Despesas!$M:$M,"Mensal")+SUMIFS(Despesas!$F:$F,Despesas!$J:$J,"&lt;="&amp;$A1020,Despesas!$L:$L,"&gt;="&amp;$A1020,Despesas!$C:$C,H$1,Despesas!$M:$M,$B1020)</f>
        <v>0</v>
      </c>
      <c r="I1020" s="18">
        <f>IF(Imóveis!$F$2="PRICE",IF(AND(Dados!$A1020&gt;=Imóveis!$Q$2,Dados!$A1020&lt;=Imóveis!$T$2),Imóveis!$U$2,0),IF((IF(AND(Dados!$A1020&gt;=Imóveis!$Q$2,Dados!$A1020&lt;=Imóveis!$T$2),Imóveis!$S$2-(DATEDIF(Imóveis!$Q$2,Dados!$A1020,"m")),0))=0,0,((Imóveis!$N$2/Imóveis!$S$2)+((Imóveis!$N$2-((Imóveis!$S$2-(IF(AND(Dados!$A1020&gt;=Imóveis!$Q$2,Dados!$A1020&lt;=Imóveis!$T$2),Imóveis!$S$2-(DATEDIF(Imóveis!$Q$2,Dados!$A1020,"m")),)))*(Imóveis!$N$2/Imóveis!$S$2)))*Imóveis!$P$2))))*IF(AND(Imóveis!$E$2&gt;0,Dados!$A1020&gt;Imóveis!$E$2),0,1)</f>
        <v>0</v>
      </c>
      <c r="J1020" s="18">
        <f>IF(Imóveis!$F$3="PRICE",IF(AND(Dados!$A1020&gt;=Imóveis!$Q$3,Dados!$A1020&lt;=Imóveis!$T$3),Imóveis!$U$3,0),IF((IF(AND(Dados!$A1020&gt;=Imóveis!$Q$3,Dados!$A1020&lt;=Imóveis!$T$3),Imóveis!$S$3-(DATEDIF(Imóveis!$Q$3,Dados!$A1020,"m")),0))=0,0,((Imóveis!$N$3/Imóveis!$S$3)+((Imóveis!$N$3-((Imóveis!$S$3-(IF(AND(Dados!$A1020&gt;=Imóveis!$Q$3,Dados!$A1020&lt;=Imóveis!$T$3),Imóveis!$S$3-(DATEDIF(Imóveis!$Q$3,Dados!$A1020,"m")),)))*(Imóveis!$N$3/Imóveis!$S$3)))*Imóveis!$P$3))))*IF(AND(Imóveis!$E$3&gt;0,Dados!$A1020&gt;Imóveis!$E$3),0,1)</f>
        <v>0</v>
      </c>
      <c r="K1020" s="18">
        <f>IF(Imóveis!$F$4="PRICE",IF(AND(Dados!$A1020&gt;=Imóveis!$Q$4,Dados!$A1020&lt;=Imóveis!$T$4),Imóveis!$U$4,0),IF((IF(AND(Dados!$A1020&gt;=Imóveis!$Q$4,Dados!$A1020&lt;=Imóveis!$T$4),Imóveis!$S$4-(DATEDIF(Imóveis!$Q$4,Dados!$A1020,"m")),0))=0,0,((Imóveis!$N$4/Imóveis!$S$4)+((Imóveis!$N$4-((Imóveis!$S$4-(IF(AND(Dados!$A1020&gt;=Imóveis!$Q$4,Dados!$A1020&lt;=Imóveis!$T$4),Imóveis!$S$4-(DATEDIF(Imóveis!$Q$4,Dados!$A1020,"m")),)))*(Imóveis!$N$4/Imóveis!$S$4)))*Imóveis!$P$4))))*IF(AND(Imóveis!$E$4&gt;0,Dados!$A1020&gt;Imóveis!$E$4),0,1)</f>
        <v>0</v>
      </c>
      <c r="L1020" s="18">
        <f>IF(Imóveis!$F$5="PRICE",IF(AND(Dados!$A1020&gt;=Imóveis!$Q$5,Dados!$A1020&lt;=Imóveis!$T$5),Imóveis!$U$5,0),IF((IF(AND(Dados!$A1020&gt;=Imóveis!$Q$5,Dados!$A1020&lt;=Imóveis!$T$5),Imóveis!$S$5-(DATEDIF(Imóveis!$Q$5,Dados!$A1020,"m")),0))=0,0,((Imóveis!$N$5/Imóveis!$S$5)+((Imóveis!$N$5-((Imóveis!$S$5-(IF(AND(Dados!$A1020 &gt;=Imóveis!$Q$5,Dados!$A1020&lt;=Imóveis!$T$5),Imóveis!$S$5-(DATEDIF(Imóveis!$Q$5,Dados!$A1020,"m")),)))*(Imóveis!$N$5/Imóveis!$S$5)))*Imóveis!$P$5))))*IF(AND(Imóveis!$E$5&gt;0,Dados!$A1020&gt;Imóveis!$E$5),0,1)*Imóveis!$I$5</f>
        <v>0</v>
      </c>
      <c r="M1020" s="18">
        <f>IF(Imóveis!$F$6="PRICE",IF(AND(Dados!$A1020&gt;=Imóveis!$Q$6,Dados!$A1020&lt;=Imóveis!$T$6),Imóveis!$U$6,0),IF((IF(AND(Dados!$A1020&gt;=Imóveis!$Q$6,Dados!$A1020&lt;=Imóveis!$T$6),Imóveis!$S$6-(DATEDIF(Imóveis!$Q$6,Dados!$A1020,"m")),0))=0,0,((Imóveis!$N$6/Imóveis!$S$6)+((Imóveis!$N$6-((Imóveis!$S$6-(IF(AND(Dados!$A1020&gt;=Imóveis!$Q$6,Dados!$A1020&lt;=Imóveis!$T$6),Imóveis!$S$6-(DATEDIF(Imóveis!$Q$6,Dados!$A1020,"m")),)))*(Imóveis!$N$6/Imóveis!$S$6)))*Imóveis!$P$6))))*IF(AND(Imóveis!$E$6&gt;0,Dados!$A1020&gt;Imóveis!$E$6),0,1)*Imóveis!$I$6</f>
        <v>0</v>
      </c>
      <c r="N1020" s="18">
        <f t="shared" si="125"/>
        <v>0</v>
      </c>
      <c r="O1020" s="18">
        <f>SUMIFS(Receitas!$F:$F,Receitas!$J:$J,"&lt;="&amp;$A1020,Receitas!$L:$L,"&gt;="&amp;$A1020,Receitas!$C:$C,O$1,Receitas!$M:$M,"Mensal")+SUMIFS(Receitas!$F:$F,Receitas!$J:$J,"&lt;="&amp;$A1020,Receitas!$L:$L,"&gt;="&amp;$A1020,Receitas!$C:$C,O$1,Receitas!$M:$M,$B1020)</f>
        <v>0</v>
      </c>
      <c r="P1020" s="18">
        <f>SUMIFS(Receitas!$F:$F,Receitas!$J:$J,"&lt;="&amp;$A1020,Receitas!$L:$L,"&gt;="&amp;$A1020,Receitas!$C:$C,P$1,Receitas!$M:$M,"Mensal")+SUMIFS(Receitas!$F:$F,Receitas!$J:$J,"&lt;="&amp;$A1020,Receitas!$L:$L,"&gt;="&amp;$A1020,Receitas!$C:$C,P$1,Receitas!$M:$M,$B1020)</f>
        <v>0</v>
      </c>
      <c r="Q1020" s="18">
        <f>SUMIFS(Receitas!$F:$F,Receitas!$J:$J,"&lt;="&amp;$A1020,Receitas!$L:$L,"&gt;="&amp;$A1020,Receitas!$C:$C,Q$1,Receitas!$M:$M,"Mensal")+SUMIFS(Receitas!$F:$F,Receitas!$J:$J,"&lt;="&amp;$A1020,Receitas!$L:$L,"&gt;="&amp;$A1020,Receitas!$C:$C,Q$1,Receitas!$M:$M,$B1020)</f>
        <v>0</v>
      </c>
      <c r="R1020" s="18" cm="1">
        <f t="array" ref="R1020">(IF(AND(Membros!$F$2="Sim",A1020&lt;=MAX(Membros!$E$2:$E$5)),Membros!K$2,IF(AND(A1020&gt;=Membros!J$2,A1020&lt;=MAX(Membros!$E$2:$E$5)),Membros!K$2,0))+IF(AND(Membros!$F$3="Sim",A1020&lt;=MAX(Membros!$E$2:$E$5)),Membros!K$3,IF(AND(A1020&gt;=Membros!J$3,A1020&lt;=MAX(Membros!$E$2:$E$5)),Membros!K$3,0)))*IF(AND(COUNTIFS(Tabela3[Tipo],"Provedor",Tabela3[Simulação Seguro],"Sim")=2,A1020&gt;=MAX(IF(Tabela3[Tipo]="Dependente",Tabela3[Expectativa de Vida (Data)]))),0,1)</f>
        <v>0</v>
      </c>
      <c r="S1020" s="18">
        <f t="shared" si="126"/>
        <v>0</v>
      </c>
      <c r="U1020" s="18">
        <f t="shared" ca="1" si="129"/>
        <v>131727503.44167474</v>
      </c>
      <c r="V1020" s="18">
        <f>SUMIF(Imóveis!E:E,Dados!A:A,Imóveis!Z:Z)-SUMIF(Imóveis!E:E,Dados!A:A,Imóveis!Y:Y)</f>
        <v>0</v>
      </c>
      <c r="W1020" s="18">
        <f>-SUMIF(Projetos!N:N,A1020,Projetos!F:F)</f>
        <v>0</v>
      </c>
      <c r="X1020" s="18">
        <f t="shared" si="123"/>
        <v>0</v>
      </c>
      <c r="Y1020" s="26">
        <f ca="1">(U1020*((Indicadores_Economicos!D$2+1)^(1/12)-1))</f>
        <v>431241.56842675502</v>
      </c>
      <c r="Z1020" s="18">
        <f t="shared" ca="1" si="127"/>
        <v>132158745.0101015</v>
      </c>
      <c r="AA1020" s="18">
        <f ca="1">Auxiliar_Projetos!E1020</f>
        <v>1.0894080298134217E-8</v>
      </c>
      <c r="AB1020" s="18">
        <f ca="1">Auxiliar_Projetos!K1020</f>
        <v>8.3800617677955487E-9</v>
      </c>
      <c r="AC1020" s="18">
        <f ca="1">IF(Z1020-AA1020-AB1020&gt;Investimentos!$C$14,Investimentos!$C$14,IF(Z1020-AA1020-AB1020&lt;Investimentos!$C$14,Z1020-AA1020-AB1020,0))</f>
        <v>300000</v>
      </c>
      <c r="AD1020" s="18">
        <f t="shared" ca="1" si="128"/>
        <v>131858745.01010147</v>
      </c>
      <c r="AE1020" s="18"/>
    </row>
    <row r="1021" spans="1:31" x14ac:dyDescent="0.2">
      <c r="A1021" s="4">
        <v>76672</v>
      </c>
      <c r="B1021" s="5" t="str">
        <f t="shared" si="124"/>
        <v>dezembro</v>
      </c>
      <c r="C1021" s="5" t="str">
        <f t="shared" si="130"/>
        <v>2109</v>
      </c>
      <c r="D1021" s="5">
        <f>SUMIFS(Despesas!$F:$F,Despesas!$J:$J,"&lt;="&amp;$A1021,Despesas!$L:$L,"&gt;="&amp;$A1021,Despesas!$C:$C,D$1,Despesas!$M:$M,"Mensal")+SUMIFS(Despesas!$F:$F,Despesas!$J:$J,"&lt;="&amp;$A1021,Despesas!$L:$L,"&gt;="&amp;$A1021,Despesas!$C:$C,D$1,Despesas!$M:$M,$B1021)</f>
        <v>0</v>
      </c>
      <c r="E1021" s="18">
        <f>SUMIFS(Despesas!$F:$F,Despesas!$J:$J,"&lt;="&amp;$A1021,Despesas!$L:$L,"&gt;="&amp;$A1021,Despesas!$C:$C,E$1,Despesas!$M:$M,"Mensal")+SUMIFS(Despesas!$F:$F,Despesas!$J:$J,"&lt;="&amp;$A1021,Despesas!$L:$L,"&gt;="&amp;$A1021,Despesas!$C:$C,E$1,Despesas!$M:$M,$B1021)</f>
        <v>0</v>
      </c>
      <c r="F1021" s="5">
        <f>SUMIFS(Despesas!$F:$F,Despesas!$J:$J,"&lt;="&amp;$A1021,Despesas!$L:$L,"&gt;="&amp;$A1021,Despesas!$C:$C,F$1,Despesas!$M:$M,"Mensal")+SUMIFS(Despesas!$F:$F,Despesas!$J:$J,"&lt;="&amp;$A1021,Despesas!$L:$L,"&gt;="&amp;$A1021,Despesas!$C:$C,F$1,Despesas!$M:$M,$B1021)</f>
        <v>0</v>
      </c>
      <c r="G1021" s="5">
        <f>SUMIFS(Despesas!$F:$F,Despesas!$J:$J,"&lt;="&amp;$A1021,Despesas!$L:$L,"&gt;="&amp;$A1021,Despesas!$C:$C,G$1,Despesas!$M:$M,"Mensal")+SUMIFS(Despesas!$F:$F,Despesas!$J:$J,"&lt;="&amp;$A1021,Despesas!$L:$L,"&gt;="&amp;$A1021,Despesas!$C:$C,G$1,Despesas!$M:$M,$B1021)</f>
        <v>0</v>
      </c>
      <c r="H1021" s="18">
        <f>SUMIFS(Despesas!$F:$F,Despesas!$J:$J,"&lt;="&amp;$A1021,Despesas!$L:$L,"&gt;="&amp;$A1021,Despesas!$C:$C,H$1,Despesas!$M:$M,"Mensal")+SUMIFS(Despesas!$F:$F,Despesas!$J:$J,"&lt;="&amp;$A1021,Despesas!$L:$L,"&gt;="&amp;$A1021,Despesas!$C:$C,H$1,Despesas!$M:$M,$B1021)</f>
        <v>0</v>
      </c>
      <c r="I1021" s="18">
        <f>IF(Imóveis!$F$2="PRICE",IF(AND(Dados!$A1021&gt;=Imóveis!$Q$2,Dados!$A1021&lt;=Imóveis!$T$2),Imóveis!$U$2,0),IF((IF(AND(Dados!$A1021&gt;=Imóveis!$Q$2,Dados!$A1021&lt;=Imóveis!$T$2),Imóveis!$S$2-(DATEDIF(Imóveis!$Q$2,Dados!$A1021,"m")),0))=0,0,((Imóveis!$N$2/Imóveis!$S$2)+((Imóveis!$N$2-((Imóveis!$S$2-(IF(AND(Dados!$A1021&gt;=Imóveis!$Q$2,Dados!$A1021&lt;=Imóveis!$T$2),Imóveis!$S$2-(DATEDIF(Imóveis!$Q$2,Dados!$A1021,"m")),)))*(Imóveis!$N$2/Imóveis!$S$2)))*Imóveis!$P$2))))*IF(AND(Imóveis!$E$2&gt;0,Dados!$A1021&gt;Imóveis!$E$2),0,1)</f>
        <v>0</v>
      </c>
      <c r="J1021" s="18">
        <f>IF(Imóveis!$F$3="PRICE",IF(AND(Dados!$A1021&gt;=Imóveis!$Q$3,Dados!$A1021&lt;=Imóveis!$T$3),Imóveis!$U$3,0),IF((IF(AND(Dados!$A1021&gt;=Imóveis!$Q$3,Dados!$A1021&lt;=Imóveis!$T$3),Imóveis!$S$3-(DATEDIF(Imóveis!$Q$3,Dados!$A1021,"m")),0))=0,0,((Imóveis!$N$3/Imóveis!$S$3)+((Imóveis!$N$3-((Imóveis!$S$3-(IF(AND(Dados!$A1021&gt;=Imóveis!$Q$3,Dados!$A1021&lt;=Imóveis!$T$3),Imóveis!$S$3-(DATEDIF(Imóveis!$Q$3,Dados!$A1021,"m")),)))*(Imóveis!$N$3/Imóveis!$S$3)))*Imóveis!$P$3))))*IF(AND(Imóveis!$E$3&gt;0,Dados!$A1021&gt;Imóveis!$E$3),0,1)</f>
        <v>0</v>
      </c>
      <c r="K1021" s="18">
        <f>IF(Imóveis!$F$4="PRICE",IF(AND(Dados!$A1021&gt;=Imóveis!$Q$4,Dados!$A1021&lt;=Imóveis!$T$4),Imóveis!$U$4,0),IF((IF(AND(Dados!$A1021&gt;=Imóveis!$Q$4,Dados!$A1021&lt;=Imóveis!$T$4),Imóveis!$S$4-(DATEDIF(Imóveis!$Q$4,Dados!$A1021,"m")),0))=0,0,((Imóveis!$N$4/Imóveis!$S$4)+((Imóveis!$N$4-((Imóveis!$S$4-(IF(AND(Dados!$A1021&gt;=Imóveis!$Q$4,Dados!$A1021&lt;=Imóveis!$T$4),Imóveis!$S$4-(DATEDIF(Imóveis!$Q$4,Dados!$A1021,"m")),)))*(Imóveis!$N$4/Imóveis!$S$4)))*Imóveis!$P$4))))*IF(AND(Imóveis!$E$4&gt;0,Dados!$A1021&gt;Imóveis!$E$4),0,1)</f>
        <v>0</v>
      </c>
      <c r="L1021" s="18">
        <f>IF(Imóveis!$F$5="PRICE",IF(AND(Dados!$A1021&gt;=Imóveis!$Q$5,Dados!$A1021&lt;=Imóveis!$T$5),Imóveis!$U$5,0),IF((IF(AND(Dados!$A1021&gt;=Imóveis!$Q$5,Dados!$A1021&lt;=Imóveis!$T$5),Imóveis!$S$5-(DATEDIF(Imóveis!$Q$5,Dados!$A1021,"m")),0))=0,0,((Imóveis!$N$5/Imóveis!$S$5)+((Imóveis!$N$5-((Imóveis!$S$5-(IF(AND(Dados!$A1021 &gt;=Imóveis!$Q$5,Dados!$A1021&lt;=Imóveis!$T$5),Imóveis!$S$5-(DATEDIF(Imóveis!$Q$5,Dados!$A1021,"m")),)))*(Imóveis!$N$5/Imóveis!$S$5)))*Imóveis!$P$5))))*IF(AND(Imóveis!$E$5&gt;0,Dados!$A1021&gt;Imóveis!$E$5),0,1)*Imóveis!$I$5</f>
        <v>0</v>
      </c>
      <c r="M1021" s="18">
        <f>IF(Imóveis!$F$6="PRICE",IF(AND(Dados!$A1021&gt;=Imóveis!$Q$6,Dados!$A1021&lt;=Imóveis!$T$6),Imóveis!$U$6,0),IF((IF(AND(Dados!$A1021&gt;=Imóveis!$Q$6,Dados!$A1021&lt;=Imóveis!$T$6),Imóveis!$S$6-(DATEDIF(Imóveis!$Q$6,Dados!$A1021,"m")),0))=0,0,((Imóveis!$N$6/Imóveis!$S$6)+((Imóveis!$N$6-((Imóveis!$S$6-(IF(AND(Dados!$A1021&gt;=Imóveis!$Q$6,Dados!$A1021&lt;=Imóveis!$T$6),Imóveis!$S$6-(DATEDIF(Imóveis!$Q$6,Dados!$A1021,"m")),)))*(Imóveis!$N$6/Imóveis!$S$6)))*Imóveis!$P$6))))*IF(AND(Imóveis!$E$6&gt;0,Dados!$A1021&gt;Imóveis!$E$6),0,1)*Imóveis!$I$6</f>
        <v>0</v>
      </c>
      <c r="N1021" s="18">
        <f t="shared" si="125"/>
        <v>0</v>
      </c>
      <c r="O1021" s="18">
        <f>SUMIFS(Receitas!$F:$F,Receitas!$J:$J,"&lt;="&amp;$A1021,Receitas!$L:$L,"&gt;="&amp;$A1021,Receitas!$C:$C,O$1,Receitas!$M:$M,"Mensal")+SUMIFS(Receitas!$F:$F,Receitas!$J:$J,"&lt;="&amp;$A1021,Receitas!$L:$L,"&gt;="&amp;$A1021,Receitas!$C:$C,O$1,Receitas!$M:$M,$B1021)</f>
        <v>0</v>
      </c>
      <c r="P1021" s="18">
        <f>SUMIFS(Receitas!$F:$F,Receitas!$J:$J,"&lt;="&amp;$A1021,Receitas!$L:$L,"&gt;="&amp;$A1021,Receitas!$C:$C,P$1,Receitas!$M:$M,"Mensal")+SUMIFS(Receitas!$F:$F,Receitas!$J:$J,"&lt;="&amp;$A1021,Receitas!$L:$L,"&gt;="&amp;$A1021,Receitas!$C:$C,P$1,Receitas!$M:$M,$B1021)</f>
        <v>0</v>
      </c>
      <c r="Q1021" s="18">
        <f>SUMIFS(Receitas!$F:$F,Receitas!$J:$J,"&lt;="&amp;$A1021,Receitas!$L:$L,"&gt;="&amp;$A1021,Receitas!$C:$C,Q$1,Receitas!$M:$M,"Mensal")+SUMIFS(Receitas!$F:$F,Receitas!$J:$J,"&lt;="&amp;$A1021,Receitas!$L:$L,"&gt;="&amp;$A1021,Receitas!$C:$C,Q$1,Receitas!$M:$M,$B1021)</f>
        <v>0</v>
      </c>
      <c r="R1021" s="18" cm="1">
        <f t="array" ref="R1021">(IF(AND(Membros!$F$2="Sim",A1021&lt;=MAX(Membros!$E$2:$E$5)),Membros!K$2,IF(AND(A1021&gt;=Membros!J$2,A1021&lt;=MAX(Membros!$E$2:$E$5)),Membros!K$2,0))+IF(AND(Membros!$F$3="Sim",A1021&lt;=MAX(Membros!$E$2:$E$5)),Membros!K$3,IF(AND(A1021&gt;=Membros!J$3,A1021&lt;=MAX(Membros!$E$2:$E$5)),Membros!K$3,0)))*IF(AND(COUNTIFS(Tabela3[Tipo],"Provedor",Tabela3[Simulação Seguro],"Sim")=2,A1021&gt;=MAX(IF(Tabela3[Tipo]="Dependente",Tabela3[Expectativa de Vida (Data)]))),0,1)</f>
        <v>0</v>
      </c>
      <c r="S1021" s="18">
        <f t="shared" si="126"/>
        <v>0</v>
      </c>
      <c r="U1021" s="18">
        <f t="shared" ca="1" si="129"/>
        <v>132158745.0101015</v>
      </c>
      <c r="V1021" s="18">
        <f>SUMIF(Imóveis!E:E,Dados!A:A,Imóveis!Z:Z)-SUMIF(Imóveis!E:E,Dados!A:A,Imóveis!Y:Y)</f>
        <v>0</v>
      </c>
      <c r="W1021" s="18">
        <f>-SUMIF(Projetos!N:N,A1021,Projetos!F:F)</f>
        <v>0</v>
      </c>
      <c r="X1021" s="18">
        <f t="shared" si="123"/>
        <v>0</v>
      </c>
      <c r="Y1021" s="26">
        <f ca="1">(U1021*((Indicadores_Economicos!D$2+1)^(1/12)-1))</f>
        <v>432653.34110505157</v>
      </c>
      <c r="Z1021" s="18">
        <f t="shared" ca="1" si="127"/>
        <v>132591398.35120656</v>
      </c>
      <c r="AA1021" s="18">
        <f ca="1">Auxiliar_Projetos!E1021</f>
        <v>1.0929744682196688E-8</v>
      </c>
      <c r="AB1021" s="18">
        <f ca="1">Auxiliar_Projetos!K1021</f>
        <v>8.4074959093820658E-9</v>
      </c>
      <c r="AC1021" s="18">
        <f ca="1">IF(Z1021-AA1021-AB1021&gt;Investimentos!$C$14,Investimentos!$C$14,IF(Z1021-AA1021-AB1021&lt;Investimentos!$C$14,Z1021-AA1021-AB1021,0))</f>
        <v>300000</v>
      </c>
      <c r="AD1021" s="18">
        <f t="shared" ca="1" si="128"/>
        <v>132291398.35120653</v>
      </c>
      <c r="AE1021" s="18"/>
    </row>
    <row r="1022" spans="1:31" x14ac:dyDescent="0.2">
      <c r="A1022" s="4">
        <v>76703</v>
      </c>
      <c r="B1022" s="5" t="str">
        <f t="shared" si="124"/>
        <v>janeiro</v>
      </c>
      <c r="C1022" s="5" t="str">
        <f t="shared" si="130"/>
        <v>2110</v>
      </c>
      <c r="D1022" s="5">
        <f>SUMIFS(Despesas!$F:$F,Despesas!$J:$J,"&lt;="&amp;$A1022,Despesas!$L:$L,"&gt;="&amp;$A1022,Despesas!$C:$C,D$1,Despesas!$M:$M,"Mensal")+SUMIFS(Despesas!$F:$F,Despesas!$J:$J,"&lt;="&amp;$A1022,Despesas!$L:$L,"&gt;="&amp;$A1022,Despesas!$C:$C,D$1,Despesas!$M:$M,$B1022)</f>
        <v>0</v>
      </c>
      <c r="E1022" s="18">
        <f>SUMIFS(Despesas!$F:$F,Despesas!$J:$J,"&lt;="&amp;$A1022,Despesas!$L:$L,"&gt;="&amp;$A1022,Despesas!$C:$C,E$1,Despesas!$M:$M,"Mensal")+SUMIFS(Despesas!$F:$F,Despesas!$J:$J,"&lt;="&amp;$A1022,Despesas!$L:$L,"&gt;="&amp;$A1022,Despesas!$C:$C,E$1,Despesas!$M:$M,$B1022)</f>
        <v>0</v>
      </c>
      <c r="F1022" s="5">
        <f>SUMIFS(Despesas!$F:$F,Despesas!$J:$J,"&lt;="&amp;$A1022,Despesas!$L:$L,"&gt;="&amp;$A1022,Despesas!$C:$C,F$1,Despesas!$M:$M,"Mensal")+SUMIFS(Despesas!$F:$F,Despesas!$J:$J,"&lt;="&amp;$A1022,Despesas!$L:$L,"&gt;="&amp;$A1022,Despesas!$C:$C,F$1,Despesas!$M:$M,$B1022)</f>
        <v>0</v>
      </c>
      <c r="G1022" s="5">
        <f>SUMIFS(Despesas!$F:$F,Despesas!$J:$J,"&lt;="&amp;$A1022,Despesas!$L:$L,"&gt;="&amp;$A1022,Despesas!$C:$C,G$1,Despesas!$M:$M,"Mensal")+SUMIFS(Despesas!$F:$F,Despesas!$J:$J,"&lt;="&amp;$A1022,Despesas!$L:$L,"&gt;="&amp;$A1022,Despesas!$C:$C,G$1,Despesas!$M:$M,$B1022)</f>
        <v>0</v>
      </c>
      <c r="H1022" s="18">
        <f>SUMIFS(Despesas!$F:$F,Despesas!$J:$J,"&lt;="&amp;$A1022,Despesas!$L:$L,"&gt;="&amp;$A1022,Despesas!$C:$C,H$1,Despesas!$M:$M,"Mensal")+SUMIFS(Despesas!$F:$F,Despesas!$J:$J,"&lt;="&amp;$A1022,Despesas!$L:$L,"&gt;="&amp;$A1022,Despesas!$C:$C,H$1,Despesas!$M:$M,$B1022)</f>
        <v>0</v>
      </c>
      <c r="I1022" s="18">
        <f>IF(Imóveis!$F$2="PRICE",IF(AND(Dados!$A1022&gt;=Imóveis!$Q$2,Dados!$A1022&lt;=Imóveis!$T$2),Imóveis!$U$2,0),IF((IF(AND(Dados!$A1022&gt;=Imóveis!$Q$2,Dados!$A1022&lt;=Imóveis!$T$2),Imóveis!$S$2-(DATEDIF(Imóveis!$Q$2,Dados!$A1022,"m")),0))=0,0,((Imóveis!$N$2/Imóveis!$S$2)+((Imóveis!$N$2-((Imóveis!$S$2-(IF(AND(Dados!$A1022&gt;=Imóveis!$Q$2,Dados!$A1022&lt;=Imóveis!$T$2),Imóveis!$S$2-(DATEDIF(Imóveis!$Q$2,Dados!$A1022,"m")),)))*(Imóveis!$N$2/Imóveis!$S$2)))*Imóveis!$P$2))))*IF(AND(Imóveis!$E$2&gt;0,Dados!$A1022&gt;Imóveis!$E$2),0,1)</f>
        <v>0</v>
      </c>
      <c r="J1022" s="18">
        <f>IF(Imóveis!$F$3="PRICE",IF(AND(Dados!$A1022&gt;=Imóveis!$Q$3,Dados!$A1022&lt;=Imóveis!$T$3),Imóveis!$U$3,0),IF((IF(AND(Dados!$A1022&gt;=Imóveis!$Q$3,Dados!$A1022&lt;=Imóveis!$T$3),Imóveis!$S$3-(DATEDIF(Imóveis!$Q$3,Dados!$A1022,"m")),0))=0,0,((Imóveis!$N$3/Imóveis!$S$3)+((Imóveis!$N$3-((Imóveis!$S$3-(IF(AND(Dados!$A1022&gt;=Imóveis!$Q$3,Dados!$A1022&lt;=Imóveis!$T$3),Imóveis!$S$3-(DATEDIF(Imóveis!$Q$3,Dados!$A1022,"m")),)))*(Imóveis!$N$3/Imóveis!$S$3)))*Imóveis!$P$3))))*IF(AND(Imóveis!$E$3&gt;0,Dados!$A1022&gt;Imóveis!$E$3),0,1)</f>
        <v>0</v>
      </c>
      <c r="K1022" s="18">
        <f>IF(Imóveis!$F$4="PRICE",IF(AND(Dados!$A1022&gt;=Imóveis!$Q$4,Dados!$A1022&lt;=Imóveis!$T$4),Imóveis!$U$4,0),IF((IF(AND(Dados!$A1022&gt;=Imóveis!$Q$4,Dados!$A1022&lt;=Imóveis!$T$4),Imóveis!$S$4-(DATEDIF(Imóveis!$Q$4,Dados!$A1022,"m")),0))=0,0,((Imóveis!$N$4/Imóveis!$S$4)+((Imóveis!$N$4-((Imóveis!$S$4-(IF(AND(Dados!$A1022&gt;=Imóveis!$Q$4,Dados!$A1022&lt;=Imóveis!$T$4),Imóveis!$S$4-(DATEDIF(Imóveis!$Q$4,Dados!$A1022,"m")),)))*(Imóveis!$N$4/Imóveis!$S$4)))*Imóveis!$P$4))))*IF(AND(Imóveis!$E$4&gt;0,Dados!$A1022&gt;Imóveis!$E$4),0,1)</f>
        <v>0</v>
      </c>
      <c r="L1022" s="18">
        <f>IF(Imóveis!$F$5="PRICE",IF(AND(Dados!$A1022&gt;=Imóveis!$Q$5,Dados!$A1022&lt;=Imóveis!$T$5),Imóveis!$U$5,0),IF((IF(AND(Dados!$A1022&gt;=Imóveis!$Q$5,Dados!$A1022&lt;=Imóveis!$T$5),Imóveis!$S$5-(DATEDIF(Imóveis!$Q$5,Dados!$A1022,"m")),0))=0,0,((Imóveis!$N$5/Imóveis!$S$5)+((Imóveis!$N$5-((Imóveis!$S$5-(IF(AND(Dados!$A1022 &gt;=Imóveis!$Q$5,Dados!$A1022&lt;=Imóveis!$T$5),Imóveis!$S$5-(DATEDIF(Imóveis!$Q$5,Dados!$A1022,"m")),)))*(Imóveis!$N$5/Imóveis!$S$5)))*Imóveis!$P$5))))*IF(AND(Imóveis!$E$5&gt;0,Dados!$A1022&gt;Imóveis!$E$5),0,1)*Imóveis!$I$5</f>
        <v>0</v>
      </c>
      <c r="M1022" s="18">
        <f>IF(Imóveis!$F$6="PRICE",IF(AND(Dados!$A1022&gt;=Imóveis!$Q$6,Dados!$A1022&lt;=Imóveis!$T$6),Imóveis!$U$6,0),IF((IF(AND(Dados!$A1022&gt;=Imóveis!$Q$6,Dados!$A1022&lt;=Imóveis!$T$6),Imóveis!$S$6-(DATEDIF(Imóveis!$Q$6,Dados!$A1022,"m")),0))=0,0,((Imóveis!$N$6/Imóveis!$S$6)+((Imóveis!$N$6-((Imóveis!$S$6-(IF(AND(Dados!$A1022&gt;=Imóveis!$Q$6,Dados!$A1022&lt;=Imóveis!$T$6),Imóveis!$S$6-(DATEDIF(Imóveis!$Q$6,Dados!$A1022,"m")),)))*(Imóveis!$N$6/Imóveis!$S$6)))*Imóveis!$P$6))))*IF(AND(Imóveis!$E$6&gt;0,Dados!$A1022&gt;Imóveis!$E$6),0,1)*Imóveis!$I$6</f>
        <v>0</v>
      </c>
      <c r="N1022" s="18">
        <f t="shared" si="125"/>
        <v>0</v>
      </c>
      <c r="O1022" s="18">
        <f>SUMIFS(Receitas!$F:$F,Receitas!$J:$J,"&lt;="&amp;$A1022,Receitas!$L:$L,"&gt;="&amp;$A1022,Receitas!$C:$C,O$1,Receitas!$M:$M,"Mensal")+SUMIFS(Receitas!$F:$F,Receitas!$J:$J,"&lt;="&amp;$A1022,Receitas!$L:$L,"&gt;="&amp;$A1022,Receitas!$C:$C,O$1,Receitas!$M:$M,$B1022)</f>
        <v>0</v>
      </c>
      <c r="P1022" s="18">
        <f>SUMIFS(Receitas!$F:$F,Receitas!$J:$J,"&lt;="&amp;$A1022,Receitas!$L:$L,"&gt;="&amp;$A1022,Receitas!$C:$C,P$1,Receitas!$M:$M,"Mensal")+SUMIFS(Receitas!$F:$F,Receitas!$J:$J,"&lt;="&amp;$A1022,Receitas!$L:$L,"&gt;="&amp;$A1022,Receitas!$C:$C,P$1,Receitas!$M:$M,$B1022)</f>
        <v>0</v>
      </c>
      <c r="Q1022" s="18">
        <f>SUMIFS(Receitas!$F:$F,Receitas!$J:$J,"&lt;="&amp;$A1022,Receitas!$L:$L,"&gt;="&amp;$A1022,Receitas!$C:$C,Q$1,Receitas!$M:$M,"Mensal")+SUMIFS(Receitas!$F:$F,Receitas!$J:$J,"&lt;="&amp;$A1022,Receitas!$L:$L,"&gt;="&amp;$A1022,Receitas!$C:$C,Q$1,Receitas!$M:$M,$B1022)</f>
        <v>0</v>
      </c>
      <c r="R1022" s="18" cm="1">
        <f t="array" ref="R1022">(IF(AND(Membros!$F$2="Sim",A1022&lt;=MAX(Membros!$E$2:$E$5)),Membros!K$2,IF(AND(A1022&gt;=Membros!J$2,A1022&lt;=MAX(Membros!$E$2:$E$5)),Membros!K$2,0))+IF(AND(Membros!$F$3="Sim",A1022&lt;=MAX(Membros!$E$2:$E$5)),Membros!K$3,IF(AND(A1022&gt;=Membros!J$3,A1022&lt;=MAX(Membros!$E$2:$E$5)),Membros!K$3,0)))*IF(AND(COUNTIFS(Tabela3[Tipo],"Provedor",Tabela3[Simulação Seguro],"Sim")=2,A1022&gt;=MAX(IF(Tabela3[Tipo]="Dependente",Tabela3[Expectativa de Vida (Data)]))),0,1)</f>
        <v>0</v>
      </c>
      <c r="S1022" s="18">
        <f t="shared" si="126"/>
        <v>0</v>
      </c>
      <c r="U1022" s="18">
        <f t="shared" ca="1" si="129"/>
        <v>132591398.35120656</v>
      </c>
      <c r="V1022" s="18">
        <f>SUMIF(Imóveis!E:E,Dados!A:A,Imóveis!Z:Z)-SUMIF(Imóveis!E:E,Dados!A:A,Imóveis!Y:Y)</f>
        <v>0</v>
      </c>
      <c r="W1022" s="18">
        <f>-SUMIF(Projetos!N:N,A1022,Projetos!F:F)</f>
        <v>0</v>
      </c>
      <c r="X1022" s="18">
        <f t="shared" si="123"/>
        <v>0</v>
      </c>
      <c r="Y1022" s="26">
        <f ca="1">(U1022*((Indicadores_Economicos!D$2+1)^(1/12)-1))</f>
        <v>434069.73555972846</v>
      </c>
      <c r="Z1022" s="18">
        <f t="shared" ca="1" si="127"/>
        <v>133025468.08676629</v>
      </c>
      <c r="AA1022" s="18">
        <f ca="1">Auxiliar_Projetos!E1022</f>
        <v>1.0965525822172073E-8</v>
      </c>
      <c r="AB1022" s="18">
        <f ca="1">Auxiliar_Projetos!K1022</f>
        <v>8.4350198632092849E-9</v>
      </c>
      <c r="AC1022" s="18">
        <f ca="1">IF(Z1022-AA1022-AB1022&gt;Investimentos!$C$14,Investimentos!$C$14,IF(Z1022-AA1022-AB1022&lt;Investimentos!$C$14,Z1022-AA1022-AB1022,0))</f>
        <v>300000</v>
      </c>
      <c r="AD1022" s="18">
        <f t="shared" ca="1" si="128"/>
        <v>132725468.08676626</v>
      </c>
      <c r="AE1022" s="18"/>
    </row>
    <row r="1023" spans="1:31" x14ac:dyDescent="0.2">
      <c r="A1023" s="4">
        <v>76734</v>
      </c>
      <c r="B1023" s="5" t="str">
        <f t="shared" si="124"/>
        <v>fevereiro</v>
      </c>
      <c r="C1023" s="5" t="str">
        <f t="shared" si="130"/>
        <v>2110</v>
      </c>
      <c r="D1023" s="5">
        <f>SUMIFS(Despesas!$F:$F,Despesas!$J:$J,"&lt;="&amp;$A1023,Despesas!$L:$L,"&gt;="&amp;$A1023,Despesas!$C:$C,D$1,Despesas!$M:$M,"Mensal")+SUMIFS(Despesas!$F:$F,Despesas!$J:$J,"&lt;="&amp;$A1023,Despesas!$L:$L,"&gt;="&amp;$A1023,Despesas!$C:$C,D$1,Despesas!$M:$M,$B1023)</f>
        <v>0</v>
      </c>
      <c r="E1023" s="18">
        <f>SUMIFS(Despesas!$F:$F,Despesas!$J:$J,"&lt;="&amp;$A1023,Despesas!$L:$L,"&gt;="&amp;$A1023,Despesas!$C:$C,E$1,Despesas!$M:$M,"Mensal")+SUMIFS(Despesas!$F:$F,Despesas!$J:$J,"&lt;="&amp;$A1023,Despesas!$L:$L,"&gt;="&amp;$A1023,Despesas!$C:$C,E$1,Despesas!$M:$M,$B1023)</f>
        <v>0</v>
      </c>
      <c r="F1023" s="5">
        <f>SUMIFS(Despesas!$F:$F,Despesas!$J:$J,"&lt;="&amp;$A1023,Despesas!$L:$L,"&gt;="&amp;$A1023,Despesas!$C:$C,F$1,Despesas!$M:$M,"Mensal")+SUMIFS(Despesas!$F:$F,Despesas!$J:$J,"&lt;="&amp;$A1023,Despesas!$L:$L,"&gt;="&amp;$A1023,Despesas!$C:$C,F$1,Despesas!$M:$M,$B1023)</f>
        <v>0</v>
      </c>
      <c r="G1023" s="5">
        <f>SUMIFS(Despesas!$F:$F,Despesas!$J:$J,"&lt;="&amp;$A1023,Despesas!$L:$L,"&gt;="&amp;$A1023,Despesas!$C:$C,G$1,Despesas!$M:$M,"Mensal")+SUMIFS(Despesas!$F:$F,Despesas!$J:$J,"&lt;="&amp;$A1023,Despesas!$L:$L,"&gt;="&amp;$A1023,Despesas!$C:$C,G$1,Despesas!$M:$M,$B1023)</f>
        <v>0</v>
      </c>
      <c r="H1023" s="18">
        <f>SUMIFS(Despesas!$F:$F,Despesas!$J:$J,"&lt;="&amp;$A1023,Despesas!$L:$L,"&gt;="&amp;$A1023,Despesas!$C:$C,H$1,Despesas!$M:$M,"Mensal")+SUMIFS(Despesas!$F:$F,Despesas!$J:$J,"&lt;="&amp;$A1023,Despesas!$L:$L,"&gt;="&amp;$A1023,Despesas!$C:$C,H$1,Despesas!$M:$M,$B1023)</f>
        <v>0</v>
      </c>
      <c r="I1023" s="18">
        <f>IF(Imóveis!$F$2="PRICE",IF(AND(Dados!$A1023&gt;=Imóveis!$Q$2,Dados!$A1023&lt;=Imóveis!$T$2),Imóveis!$U$2,0),IF((IF(AND(Dados!$A1023&gt;=Imóveis!$Q$2,Dados!$A1023&lt;=Imóveis!$T$2),Imóveis!$S$2-(DATEDIF(Imóveis!$Q$2,Dados!$A1023,"m")),0))=0,0,((Imóveis!$N$2/Imóveis!$S$2)+((Imóveis!$N$2-((Imóveis!$S$2-(IF(AND(Dados!$A1023&gt;=Imóveis!$Q$2,Dados!$A1023&lt;=Imóveis!$T$2),Imóveis!$S$2-(DATEDIF(Imóveis!$Q$2,Dados!$A1023,"m")),)))*(Imóveis!$N$2/Imóveis!$S$2)))*Imóveis!$P$2))))*IF(AND(Imóveis!$E$2&gt;0,Dados!$A1023&gt;Imóveis!$E$2),0,1)</f>
        <v>0</v>
      </c>
      <c r="J1023" s="18">
        <f>IF(Imóveis!$F$3="PRICE",IF(AND(Dados!$A1023&gt;=Imóveis!$Q$3,Dados!$A1023&lt;=Imóveis!$T$3),Imóveis!$U$3,0),IF((IF(AND(Dados!$A1023&gt;=Imóveis!$Q$3,Dados!$A1023&lt;=Imóveis!$T$3),Imóveis!$S$3-(DATEDIF(Imóveis!$Q$3,Dados!$A1023,"m")),0))=0,0,((Imóveis!$N$3/Imóveis!$S$3)+((Imóveis!$N$3-((Imóveis!$S$3-(IF(AND(Dados!$A1023&gt;=Imóveis!$Q$3,Dados!$A1023&lt;=Imóveis!$T$3),Imóveis!$S$3-(DATEDIF(Imóveis!$Q$3,Dados!$A1023,"m")),)))*(Imóveis!$N$3/Imóveis!$S$3)))*Imóveis!$P$3))))*IF(AND(Imóveis!$E$3&gt;0,Dados!$A1023&gt;Imóveis!$E$3),0,1)</f>
        <v>0</v>
      </c>
      <c r="K1023" s="18">
        <f>IF(Imóveis!$F$4="PRICE",IF(AND(Dados!$A1023&gt;=Imóveis!$Q$4,Dados!$A1023&lt;=Imóveis!$T$4),Imóveis!$U$4,0),IF((IF(AND(Dados!$A1023&gt;=Imóveis!$Q$4,Dados!$A1023&lt;=Imóveis!$T$4),Imóveis!$S$4-(DATEDIF(Imóveis!$Q$4,Dados!$A1023,"m")),0))=0,0,((Imóveis!$N$4/Imóveis!$S$4)+((Imóveis!$N$4-((Imóveis!$S$4-(IF(AND(Dados!$A1023&gt;=Imóveis!$Q$4,Dados!$A1023&lt;=Imóveis!$T$4),Imóveis!$S$4-(DATEDIF(Imóveis!$Q$4,Dados!$A1023,"m")),)))*(Imóveis!$N$4/Imóveis!$S$4)))*Imóveis!$P$4))))*IF(AND(Imóveis!$E$4&gt;0,Dados!$A1023&gt;Imóveis!$E$4),0,1)</f>
        <v>0</v>
      </c>
      <c r="L1023" s="18">
        <f>IF(Imóveis!$F$5="PRICE",IF(AND(Dados!$A1023&gt;=Imóveis!$Q$5,Dados!$A1023&lt;=Imóveis!$T$5),Imóveis!$U$5,0),IF((IF(AND(Dados!$A1023&gt;=Imóveis!$Q$5,Dados!$A1023&lt;=Imóveis!$T$5),Imóveis!$S$5-(DATEDIF(Imóveis!$Q$5,Dados!$A1023,"m")),0))=0,0,((Imóveis!$N$5/Imóveis!$S$5)+((Imóveis!$N$5-((Imóveis!$S$5-(IF(AND(Dados!$A1023 &gt;=Imóveis!$Q$5,Dados!$A1023&lt;=Imóveis!$T$5),Imóveis!$S$5-(DATEDIF(Imóveis!$Q$5,Dados!$A1023,"m")),)))*(Imóveis!$N$5/Imóveis!$S$5)))*Imóveis!$P$5))))*IF(AND(Imóveis!$E$5&gt;0,Dados!$A1023&gt;Imóveis!$E$5),0,1)*Imóveis!$I$5</f>
        <v>0</v>
      </c>
      <c r="M1023" s="18">
        <f>IF(Imóveis!$F$6="PRICE",IF(AND(Dados!$A1023&gt;=Imóveis!$Q$6,Dados!$A1023&lt;=Imóveis!$T$6),Imóveis!$U$6,0),IF((IF(AND(Dados!$A1023&gt;=Imóveis!$Q$6,Dados!$A1023&lt;=Imóveis!$T$6),Imóveis!$S$6-(DATEDIF(Imóveis!$Q$6,Dados!$A1023,"m")),0))=0,0,((Imóveis!$N$6/Imóveis!$S$6)+((Imóveis!$N$6-((Imóveis!$S$6-(IF(AND(Dados!$A1023&gt;=Imóveis!$Q$6,Dados!$A1023&lt;=Imóveis!$T$6),Imóveis!$S$6-(DATEDIF(Imóveis!$Q$6,Dados!$A1023,"m")),)))*(Imóveis!$N$6/Imóveis!$S$6)))*Imóveis!$P$6))))*IF(AND(Imóveis!$E$6&gt;0,Dados!$A1023&gt;Imóveis!$E$6),0,1)*Imóveis!$I$6</f>
        <v>0</v>
      </c>
      <c r="N1023" s="18">
        <f t="shared" si="125"/>
        <v>0</v>
      </c>
      <c r="O1023" s="18">
        <f>SUMIFS(Receitas!$F:$F,Receitas!$J:$J,"&lt;="&amp;$A1023,Receitas!$L:$L,"&gt;="&amp;$A1023,Receitas!$C:$C,O$1,Receitas!$M:$M,"Mensal")+SUMIFS(Receitas!$F:$F,Receitas!$J:$J,"&lt;="&amp;$A1023,Receitas!$L:$L,"&gt;="&amp;$A1023,Receitas!$C:$C,O$1,Receitas!$M:$M,$B1023)</f>
        <v>0</v>
      </c>
      <c r="P1023" s="18">
        <f>SUMIFS(Receitas!$F:$F,Receitas!$J:$J,"&lt;="&amp;$A1023,Receitas!$L:$L,"&gt;="&amp;$A1023,Receitas!$C:$C,P$1,Receitas!$M:$M,"Mensal")+SUMIFS(Receitas!$F:$F,Receitas!$J:$J,"&lt;="&amp;$A1023,Receitas!$L:$L,"&gt;="&amp;$A1023,Receitas!$C:$C,P$1,Receitas!$M:$M,$B1023)</f>
        <v>0</v>
      </c>
      <c r="Q1023" s="18">
        <f>SUMIFS(Receitas!$F:$F,Receitas!$J:$J,"&lt;="&amp;$A1023,Receitas!$L:$L,"&gt;="&amp;$A1023,Receitas!$C:$C,Q$1,Receitas!$M:$M,"Mensal")+SUMIFS(Receitas!$F:$F,Receitas!$J:$J,"&lt;="&amp;$A1023,Receitas!$L:$L,"&gt;="&amp;$A1023,Receitas!$C:$C,Q$1,Receitas!$M:$M,$B1023)</f>
        <v>0</v>
      </c>
      <c r="R1023" s="18" cm="1">
        <f t="array" ref="R1023">(IF(AND(Membros!$F$2="Sim",A1023&lt;=MAX(Membros!$E$2:$E$5)),Membros!K$2,IF(AND(A1023&gt;=Membros!J$2,A1023&lt;=MAX(Membros!$E$2:$E$5)),Membros!K$2,0))+IF(AND(Membros!$F$3="Sim",A1023&lt;=MAX(Membros!$E$2:$E$5)),Membros!K$3,IF(AND(A1023&gt;=Membros!J$3,A1023&lt;=MAX(Membros!$E$2:$E$5)),Membros!K$3,0)))*IF(AND(COUNTIFS(Tabela3[Tipo],"Provedor",Tabela3[Simulação Seguro],"Sim")=2,A1023&gt;=MAX(IF(Tabela3[Tipo]="Dependente",Tabela3[Expectativa de Vida (Data)]))),0,1)</f>
        <v>0</v>
      </c>
      <c r="S1023" s="18">
        <f t="shared" si="126"/>
        <v>0</v>
      </c>
      <c r="U1023" s="18">
        <f t="shared" ca="1" si="129"/>
        <v>133025468.08676629</v>
      </c>
      <c r="V1023" s="18">
        <f>SUMIF(Imóveis!E:E,Dados!A:A,Imóveis!Z:Z)-SUMIF(Imóveis!E:E,Dados!A:A,Imóveis!Y:Y)</f>
        <v>0</v>
      </c>
      <c r="W1023" s="18">
        <f>-SUMIF(Projetos!N:N,A1023,Projetos!F:F)</f>
        <v>0</v>
      </c>
      <c r="X1023" s="18">
        <f t="shared" si="123"/>
        <v>0</v>
      </c>
      <c r="Y1023" s="26">
        <f ca="1">(U1023*((Indicadores_Economicos!D$2+1)^(1/12)-1))</f>
        <v>435490.7669212789</v>
      </c>
      <c r="Z1023" s="18">
        <f t="shared" ca="1" si="127"/>
        <v>133460958.85368757</v>
      </c>
      <c r="AA1023" s="18">
        <f ca="1">Auxiliar_Projetos!E1023</f>
        <v>1.1001424100288848E-8</v>
      </c>
      <c r="AB1023" s="18">
        <f ca="1">Auxiliar_Projetos!K1023</f>
        <v>8.4626339232991105E-9</v>
      </c>
      <c r="AC1023" s="18">
        <f ca="1">IF(Z1023-AA1023-AB1023&gt;Investimentos!$C$14,Investimentos!$C$14,IF(Z1023-AA1023-AB1023&lt;Investimentos!$C$14,Z1023-AA1023-AB1023,0))</f>
        <v>300000</v>
      </c>
      <c r="AD1023" s="18">
        <f t="shared" ca="1" si="128"/>
        <v>133160958.85368754</v>
      </c>
      <c r="AE1023" s="18"/>
    </row>
    <row r="1024" spans="1:31" x14ac:dyDescent="0.2">
      <c r="A1024" s="4">
        <v>76762</v>
      </c>
      <c r="B1024" s="5" t="str">
        <f t="shared" si="124"/>
        <v>março</v>
      </c>
      <c r="C1024" s="5" t="str">
        <f t="shared" si="130"/>
        <v>2110</v>
      </c>
      <c r="D1024" s="5">
        <f>SUMIFS(Despesas!$F:$F,Despesas!$J:$J,"&lt;="&amp;$A1024,Despesas!$L:$L,"&gt;="&amp;$A1024,Despesas!$C:$C,D$1,Despesas!$M:$M,"Mensal")+SUMIFS(Despesas!$F:$F,Despesas!$J:$J,"&lt;="&amp;$A1024,Despesas!$L:$L,"&gt;="&amp;$A1024,Despesas!$C:$C,D$1,Despesas!$M:$M,$B1024)</f>
        <v>0</v>
      </c>
      <c r="E1024" s="18">
        <f>SUMIFS(Despesas!$F:$F,Despesas!$J:$J,"&lt;="&amp;$A1024,Despesas!$L:$L,"&gt;="&amp;$A1024,Despesas!$C:$C,E$1,Despesas!$M:$M,"Mensal")+SUMIFS(Despesas!$F:$F,Despesas!$J:$J,"&lt;="&amp;$A1024,Despesas!$L:$L,"&gt;="&amp;$A1024,Despesas!$C:$C,E$1,Despesas!$M:$M,$B1024)</f>
        <v>0</v>
      </c>
      <c r="F1024" s="5">
        <f>SUMIFS(Despesas!$F:$F,Despesas!$J:$J,"&lt;="&amp;$A1024,Despesas!$L:$L,"&gt;="&amp;$A1024,Despesas!$C:$C,F$1,Despesas!$M:$M,"Mensal")+SUMIFS(Despesas!$F:$F,Despesas!$J:$J,"&lt;="&amp;$A1024,Despesas!$L:$L,"&gt;="&amp;$A1024,Despesas!$C:$C,F$1,Despesas!$M:$M,$B1024)</f>
        <v>0</v>
      </c>
      <c r="G1024" s="5">
        <f>SUMIFS(Despesas!$F:$F,Despesas!$J:$J,"&lt;="&amp;$A1024,Despesas!$L:$L,"&gt;="&amp;$A1024,Despesas!$C:$C,G$1,Despesas!$M:$M,"Mensal")+SUMIFS(Despesas!$F:$F,Despesas!$J:$J,"&lt;="&amp;$A1024,Despesas!$L:$L,"&gt;="&amp;$A1024,Despesas!$C:$C,G$1,Despesas!$M:$M,$B1024)</f>
        <v>0</v>
      </c>
      <c r="H1024" s="18">
        <f>SUMIFS(Despesas!$F:$F,Despesas!$J:$J,"&lt;="&amp;$A1024,Despesas!$L:$L,"&gt;="&amp;$A1024,Despesas!$C:$C,H$1,Despesas!$M:$M,"Mensal")+SUMIFS(Despesas!$F:$F,Despesas!$J:$J,"&lt;="&amp;$A1024,Despesas!$L:$L,"&gt;="&amp;$A1024,Despesas!$C:$C,H$1,Despesas!$M:$M,$B1024)</f>
        <v>0</v>
      </c>
      <c r="I1024" s="18">
        <f>IF(Imóveis!$F$2="PRICE",IF(AND(Dados!$A1024&gt;=Imóveis!$Q$2,Dados!$A1024&lt;=Imóveis!$T$2),Imóveis!$U$2,0),IF((IF(AND(Dados!$A1024&gt;=Imóveis!$Q$2,Dados!$A1024&lt;=Imóveis!$T$2),Imóveis!$S$2-(DATEDIF(Imóveis!$Q$2,Dados!$A1024,"m")),0))=0,0,((Imóveis!$N$2/Imóveis!$S$2)+((Imóveis!$N$2-((Imóveis!$S$2-(IF(AND(Dados!$A1024&gt;=Imóveis!$Q$2,Dados!$A1024&lt;=Imóveis!$T$2),Imóveis!$S$2-(DATEDIF(Imóveis!$Q$2,Dados!$A1024,"m")),)))*(Imóveis!$N$2/Imóveis!$S$2)))*Imóveis!$P$2))))*IF(AND(Imóveis!$E$2&gt;0,Dados!$A1024&gt;Imóveis!$E$2),0,1)</f>
        <v>0</v>
      </c>
      <c r="J1024" s="18">
        <f>IF(Imóveis!$F$3="PRICE",IF(AND(Dados!$A1024&gt;=Imóveis!$Q$3,Dados!$A1024&lt;=Imóveis!$T$3),Imóveis!$U$3,0),IF((IF(AND(Dados!$A1024&gt;=Imóveis!$Q$3,Dados!$A1024&lt;=Imóveis!$T$3),Imóveis!$S$3-(DATEDIF(Imóveis!$Q$3,Dados!$A1024,"m")),0))=0,0,((Imóveis!$N$3/Imóveis!$S$3)+((Imóveis!$N$3-((Imóveis!$S$3-(IF(AND(Dados!$A1024&gt;=Imóveis!$Q$3,Dados!$A1024&lt;=Imóveis!$T$3),Imóveis!$S$3-(DATEDIF(Imóveis!$Q$3,Dados!$A1024,"m")),)))*(Imóveis!$N$3/Imóveis!$S$3)))*Imóveis!$P$3))))*IF(AND(Imóveis!$E$3&gt;0,Dados!$A1024&gt;Imóveis!$E$3),0,1)</f>
        <v>0</v>
      </c>
      <c r="K1024" s="18">
        <f>IF(Imóveis!$F$4="PRICE",IF(AND(Dados!$A1024&gt;=Imóveis!$Q$4,Dados!$A1024&lt;=Imóveis!$T$4),Imóveis!$U$4,0),IF((IF(AND(Dados!$A1024&gt;=Imóveis!$Q$4,Dados!$A1024&lt;=Imóveis!$T$4),Imóveis!$S$4-(DATEDIF(Imóveis!$Q$4,Dados!$A1024,"m")),0))=0,0,((Imóveis!$N$4/Imóveis!$S$4)+((Imóveis!$N$4-((Imóveis!$S$4-(IF(AND(Dados!$A1024&gt;=Imóveis!$Q$4,Dados!$A1024&lt;=Imóveis!$T$4),Imóveis!$S$4-(DATEDIF(Imóveis!$Q$4,Dados!$A1024,"m")),)))*(Imóveis!$N$4/Imóveis!$S$4)))*Imóveis!$P$4))))*IF(AND(Imóveis!$E$4&gt;0,Dados!$A1024&gt;Imóveis!$E$4),0,1)</f>
        <v>0</v>
      </c>
      <c r="L1024" s="18">
        <f>IF(Imóveis!$F$5="PRICE",IF(AND(Dados!$A1024&gt;=Imóveis!$Q$5,Dados!$A1024&lt;=Imóveis!$T$5),Imóveis!$U$5,0),IF((IF(AND(Dados!$A1024&gt;=Imóveis!$Q$5,Dados!$A1024&lt;=Imóveis!$T$5),Imóveis!$S$5-(DATEDIF(Imóveis!$Q$5,Dados!$A1024,"m")),0))=0,0,((Imóveis!$N$5/Imóveis!$S$5)+((Imóveis!$N$5-((Imóveis!$S$5-(IF(AND(Dados!$A1024 &gt;=Imóveis!$Q$5,Dados!$A1024&lt;=Imóveis!$T$5),Imóveis!$S$5-(DATEDIF(Imóveis!$Q$5,Dados!$A1024,"m")),)))*(Imóveis!$N$5/Imóveis!$S$5)))*Imóveis!$P$5))))*IF(AND(Imóveis!$E$5&gt;0,Dados!$A1024&gt;Imóveis!$E$5),0,1)*Imóveis!$I$5</f>
        <v>0</v>
      </c>
      <c r="M1024" s="18">
        <f>IF(Imóveis!$F$6="PRICE",IF(AND(Dados!$A1024&gt;=Imóveis!$Q$6,Dados!$A1024&lt;=Imóveis!$T$6),Imóveis!$U$6,0),IF((IF(AND(Dados!$A1024&gt;=Imóveis!$Q$6,Dados!$A1024&lt;=Imóveis!$T$6),Imóveis!$S$6-(DATEDIF(Imóveis!$Q$6,Dados!$A1024,"m")),0))=0,0,((Imóveis!$N$6/Imóveis!$S$6)+((Imóveis!$N$6-((Imóveis!$S$6-(IF(AND(Dados!$A1024&gt;=Imóveis!$Q$6,Dados!$A1024&lt;=Imóveis!$T$6),Imóveis!$S$6-(DATEDIF(Imóveis!$Q$6,Dados!$A1024,"m")),)))*(Imóveis!$N$6/Imóveis!$S$6)))*Imóveis!$P$6))))*IF(AND(Imóveis!$E$6&gt;0,Dados!$A1024&gt;Imóveis!$E$6),0,1)*Imóveis!$I$6</f>
        <v>0</v>
      </c>
      <c r="N1024" s="18">
        <f t="shared" si="125"/>
        <v>0</v>
      </c>
      <c r="O1024" s="18">
        <f>SUMIFS(Receitas!$F:$F,Receitas!$J:$J,"&lt;="&amp;$A1024,Receitas!$L:$L,"&gt;="&amp;$A1024,Receitas!$C:$C,O$1,Receitas!$M:$M,"Mensal")+SUMIFS(Receitas!$F:$F,Receitas!$J:$J,"&lt;="&amp;$A1024,Receitas!$L:$L,"&gt;="&amp;$A1024,Receitas!$C:$C,O$1,Receitas!$M:$M,$B1024)</f>
        <v>0</v>
      </c>
      <c r="P1024" s="18">
        <f>SUMIFS(Receitas!$F:$F,Receitas!$J:$J,"&lt;="&amp;$A1024,Receitas!$L:$L,"&gt;="&amp;$A1024,Receitas!$C:$C,P$1,Receitas!$M:$M,"Mensal")+SUMIFS(Receitas!$F:$F,Receitas!$J:$J,"&lt;="&amp;$A1024,Receitas!$L:$L,"&gt;="&amp;$A1024,Receitas!$C:$C,P$1,Receitas!$M:$M,$B1024)</f>
        <v>0</v>
      </c>
      <c r="Q1024" s="18">
        <f>SUMIFS(Receitas!$F:$F,Receitas!$J:$J,"&lt;="&amp;$A1024,Receitas!$L:$L,"&gt;="&amp;$A1024,Receitas!$C:$C,Q$1,Receitas!$M:$M,"Mensal")+SUMIFS(Receitas!$F:$F,Receitas!$J:$J,"&lt;="&amp;$A1024,Receitas!$L:$L,"&gt;="&amp;$A1024,Receitas!$C:$C,Q$1,Receitas!$M:$M,$B1024)</f>
        <v>0</v>
      </c>
      <c r="R1024" s="18" cm="1">
        <f t="array" ref="R1024">(IF(AND(Membros!$F$2="Sim",A1024&lt;=MAX(Membros!$E$2:$E$5)),Membros!K$2,IF(AND(A1024&gt;=Membros!J$2,A1024&lt;=MAX(Membros!$E$2:$E$5)),Membros!K$2,0))+IF(AND(Membros!$F$3="Sim",A1024&lt;=MAX(Membros!$E$2:$E$5)),Membros!K$3,IF(AND(A1024&gt;=Membros!J$3,A1024&lt;=MAX(Membros!$E$2:$E$5)),Membros!K$3,0)))*IF(AND(COUNTIFS(Tabela3[Tipo],"Provedor",Tabela3[Simulação Seguro],"Sim")=2,A1024&gt;=MAX(IF(Tabela3[Tipo]="Dependente",Tabela3[Expectativa de Vida (Data)]))),0,1)</f>
        <v>0</v>
      </c>
      <c r="S1024" s="18">
        <f t="shared" si="126"/>
        <v>0</v>
      </c>
      <c r="U1024" s="18">
        <f t="shared" ca="1" si="129"/>
        <v>133460958.85368757</v>
      </c>
      <c r="V1024" s="18">
        <f>SUMIF(Imóveis!E:E,Dados!A:A,Imóveis!Z:Z)-SUMIF(Imóveis!E:E,Dados!A:A,Imóveis!Y:Y)</f>
        <v>0</v>
      </c>
      <c r="W1024" s="18">
        <f>-SUMIF(Projetos!N:N,A1024,Projetos!F:F)</f>
        <v>0</v>
      </c>
      <c r="X1024" s="18">
        <f t="shared" si="123"/>
        <v>0</v>
      </c>
      <c r="Y1024" s="26">
        <f ca="1">(U1024*((Indicadores_Economicos!D$2+1)^(1/12)-1))</f>
        <v>436916.45036972943</v>
      </c>
      <c r="Z1024" s="18">
        <f t="shared" ca="1" si="127"/>
        <v>133897875.3040573</v>
      </c>
      <c r="AA1024" s="18">
        <f ca="1">Auxiliar_Projetos!E1024</f>
        <v>1.1037439900026805E-8</v>
      </c>
      <c r="AB1024" s="18">
        <f ca="1">Auxiliar_Projetos!K1024</f>
        <v>8.4903383846360008E-9</v>
      </c>
      <c r="AC1024" s="18">
        <f ca="1">IF(Z1024-AA1024-AB1024&gt;Investimentos!$C$14,Investimentos!$C$14,IF(Z1024-AA1024-AB1024&lt;Investimentos!$C$14,Z1024-AA1024-AB1024,0))</f>
        <v>300000</v>
      </c>
      <c r="AD1024" s="18">
        <f t="shared" ca="1" si="128"/>
        <v>133597875.30405727</v>
      </c>
      <c r="AE1024" s="18"/>
    </row>
    <row r="1025" spans="1:31" x14ac:dyDescent="0.2">
      <c r="A1025" s="4">
        <v>76793</v>
      </c>
      <c r="B1025" s="5" t="str">
        <f t="shared" si="124"/>
        <v>abril</v>
      </c>
      <c r="C1025" s="5" t="str">
        <f t="shared" si="130"/>
        <v>2110</v>
      </c>
      <c r="D1025" s="5">
        <f>SUMIFS(Despesas!$F:$F,Despesas!$J:$J,"&lt;="&amp;$A1025,Despesas!$L:$L,"&gt;="&amp;$A1025,Despesas!$C:$C,D$1,Despesas!$M:$M,"Mensal")+SUMIFS(Despesas!$F:$F,Despesas!$J:$J,"&lt;="&amp;$A1025,Despesas!$L:$L,"&gt;="&amp;$A1025,Despesas!$C:$C,D$1,Despesas!$M:$M,$B1025)</f>
        <v>0</v>
      </c>
      <c r="E1025" s="18">
        <f>SUMIFS(Despesas!$F:$F,Despesas!$J:$J,"&lt;="&amp;$A1025,Despesas!$L:$L,"&gt;="&amp;$A1025,Despesas!$C:$C,E$1,Despesas!$M:$M,"Mensal")+SUMIFS(Despesas!$F:$F,Despesas!$J:$J,"&lt;="&amp;$A1025,Despesas!$L:$L,"&gt;="&amp;$A1025,Despesas!$C:$C,E$1,Despesas!$M:$M,$B1025)</f>
        <v>0</v>
      </c>
      <c r="F1025" s="5">
        <f>SUMIFS(Despesas!$F:$F,Despesas!$J:$J,"&lt;="&amp;$A1025,Despesas!$L:$L,"&gt;="&amp;$A1025,Despesas!$C:$C,F$1,Despesas!$M:$M,"Mensal")+SUMIFS(Despesas!$F:$F,Despesas!$J:$J,"&lt;="&amp;$A1025,Despesas!$L:$L,"&gt;="&amp;$A1025,Despesas!$C:$C,F$1,Despesas!$M:$M,$B1025)</f>
        <v>0</v>
      </c>
      <c r="G1025" s="5">
        <f>SUMIFS(Despesas!$F:$F,Despesas!$J:$J,"&lt;="&amp;$A1025,Despesas!$L:$L,"&gt;="&amp;$A1025,Despesas!$C:$C,G$1,Despesas!$M:$M,"Mensal")+SUMIFS(Despesas!$F:$F,Despesas!$J:$J,"&lt;="&amp;$A1025,Despesas!$L:$L,"&gt;="&amp;$A1025,Despesas!$C:$C,G$1,Despesas!$M:$M,$B1025)</f>
        <v>0</v>
      </c>
      <c r="H1025" s="18">
        <f>SUMIFS(Despesas!$F:$F,Despesas!$J:$J,"&lt;="&amp;$A1025,Despesas!$L:$L,"&gt;="&amp;$A1025,Despesas!$C:$C,H$1,Despesas!$M:$M,"Mensal")+SUMIFS(Despesas!$F:$F,Despesas!$J:$J,"&lt;="&amp;$A1025,Despesas!$L:$L,"&gt;="&amp;$A1025,Despesas!$C:$C,H$1,Despesas!$M:$M,$B1025)</f>
        <v>0</v>
      </c>
      <c r="I1025" s="18">
        <f>IF(Imóveis!$F$2="PRICE",IF(AND(Dados!$A1025&gt;=Imóveis!$Q$2,Dados!$A1025&lt;=Imóveis!$T$2),Imóveis!$U$2,0),IF((IF(AND(Dados!$A1025&gt;=Imóveis!$Q$2,Dados!$A1025&lt;=Imóveis!$T$2),Imóveis!$S$2-(DATEDIF(Imóveis!$Q$2,Dados!$A1025,"m")),0))=0,0,((Imóveis!$N$2/Imóveis!$S$2)+((Imóveis!$N$2-((Imóveis!$S$2-(IF(AND(Dados!$A1025&gt;=Imóveis!$Q$2,Dados!$A1025&lt;=Imóveis!$T$2),Imóveis!$S$2-(DATEDIF(Imóveis!$Q$2,Dados!$A1025,"m")),)))*(Imóveis!$N$2/Imóveis!$S$2)))*Imóveis!$P$2))))*IF(AND(Imóveis!$E$2&gt;0,Dados!$A1025&gt;Imóveis!$E$2),0,1)</f>
        <v>0</v>
      </c>
      <c r="J1025" s="18">
        <f>IF(Imóveis!$F$3="PRICE",IF(AND(Dados!$A1025&gt;=Imóveis!$Q$3,Dados!$A1025&lt;=Imóveis!$T$3),Imóveis!$U$3,0),IF((IF(AND(Dados!$A1025&gt;=Imóveis!$Q$3,Dados!$A1025&lt;=Imóveis!$T$3),Imóveis!$S$3-(DATEDIF(Imóveis!$Q$3,Dados!$A1025,"m")),0))=0,0,((Imóveis!$N$3/Imóveis!$S$3)+((Imóveis!$N$3-((Imóveis!$S$3-(IF(AND(Dados!$A1025&gt;=Imóveis!$Q$3,Dados!$A1025&lt;=Imóveis!$T$3),Imóveis!$S$3-(DATEDIF(Imóveis!$Q$3,Dados!$A1025,"m")),)))*(Imóveis!$N$3/Imóveis!$S$3)))*Imóveis!$P$3))))*IF(AND(Imóveis!$E$3&gt;0,Dados!$A1025&gt;Imóveis!$E$3),0,1)</f>
        <v>0</v>
      </c>
      <c r="K1025" s="18">
        <f>IF(Imóveis!$F$4="PRICE",IF(AND(Dados!$A1025&gt;=Imóveis!$Q$4,Dados!$A1025&lt;=Imóveis!$T$4),Imóveis!$U$4,0),IF((IF(AND(Dados!$A1025&gt;=Imóveis!$Q$4,Dados!$A1025&lt;=Imóveis!$T$4),Imóveis!$S$4-(DATEDIF(Imóveis!$Q$4,Dados!$A1025,"m")),0))=0,0,((Imóveis!$N$4/Imóveis!$S$4)+((Imóveis!$N$4-((Imóveis!$S$4-(IF(AND(Dados!$A1025&gt;=Imóveis!$Q$4,Dados!$A1025&lt;=Imóveis!$T$4),Imóveis!$S$4-(DATEDIF(Imóveis!$Q$4,Dados!$A1025,"m")),)))*(Imóveis!$N$4/Imóveis!$S$4)))*Imóveis!$P$4))))*IF(AND(Imóveis!$E$4&gt;0,Dados!$A1025&gt;Imóveis!$E$4),0,1)</f>
        <v>0</v>
      </c>
      <c r="L1025" s="18">
        <f>IF(Imóveis!$F$5="PRICE",IF(AND(Dados!$A1025&gt;=Imóveis!$Q$5,Dados!$A1025&lt;=Imóveis!$T$5),Imóveis!$U$5,0),IF((IF(AND(Dados!$A1025&gt;=Imóveis!$Q$5,Dados!$A1025&lt;=Imóveis!$T$5),Imóveis!$S$5-(DATEDIF(Imóveis!$Q$5,Dados!$A1025,"m")),0))=0,0,((Imóveis!$N$5/Imóveis!$S$5)+((Imóveis!$N$5-((Imóveis!$S$5-(IF(AND(Dados!$A1025 &gt;=Imóveis!$Q$5,Dados!$A1025&lt;=Imóveis!$T$5),Imóveis!$S$5-(DATEDIF(Imóveis!$Q$5,Dados!$A1025,"m")),)))*(Imóveis!$N$5/Imóveis!$S$5)))*Imóveis!$P$5))))*IF(AND(Imóveis!$E$5&gt;0,Dados!$A1025&gt;Imóveis!$E$5),0,1)*Imóveis!$I$5</f>
        <v>0</v>
      </c>
      <c r="M1025" s="18">
        <f>IF(Imóveis!$F$6="PRICE",IF(AND(Dados!$A1025&gt;=Imóveis!$Q$6,Dados!$A1025&lt;=Imóveis!$T$6),Imóveis!$U$6,0),IF((IF(AND(Dados!$A1025&gt;=Imóveis!$Q$6,Dados!$A1025&lt;=Imóveis!$T$6),Imóveis!$S$6-(DATEDIF(Imóveis!$Q$6,Dados!$A1025,"m")),0))=0,0,((Imóveis!$N$6/Imóveis!$S$6)+((Imóveis!$N$6-((Imóveis!$S$6-(IF(AND(Dados!$A1025&gt;=Imóveis!$Q$6,Dados!$A1025&lt;=Imóveis!$T$6),Imóveis!$S$6-(DATEDIF(Imóveis!$Q$6,Dados!$A1025,"m")),)))*(Imóveis!$N$6/Imóveis!$S$6)))*Imóveis!$P$6))))*IF(AND(Imóveis!$E$6&gt;0,Dados!$A1025&gt;Imóveis!$E$6),0,1)*Imóveis!$I$6</f>
        <v>0</v>
      </c>
      <c r="N1025" s="18">
        <f t="shared" si="125"/>
        <v>0</v>
      </c>
      <c r="O1025" s="18">
        <f>SUMIFS(Receitas!$F:$F,Receitas!$J:$J,"&lt;="&amp;$A1025,Receitas!$L:$L,"&gt;="&amp;$A1025,Receitas!$C:$C,O$1,Receitas!$M:$M,"Mensal")+SUMIFS(Receitas!$F:$F,Receitas!$J:$J,"&lt;="&amp;$A1025,Receitas!$L:$L,"&gt;="&amp;$A1025,Receitas!$C:$C,O$1,Receitas!$M:$M,$B1025)</f>
        <v>0</v>
      </c>
      <c r="P1025" s="18">
        <f>SUMIFS(Receitas!$F:$F,Receitas!$J:$J,"&lt;="&amp;$A1025,Receitas!$L:$L,"&gt;="&amp;$A1025,Receitas!$C:$C,P$1,Receitas!$M:$M,"Mensal")+SUMIFS(Receitas!$F:$F,Receitas!$J:$J,"&lt;="&amp;$A1025,Receitas!$L:$L,"&gt;="&amp;$A1025,Receitas!$C:$C,P$1,Receitas!$M:$M,$B1025)</f>
        <v>0</v>
      </c>
      <c r="Q1025" s="18">
        <f>SUMIFS(Receitas!$F:$F,Receitas!$J:$J,"&lt;="&amp;$A1025,Receitas!$L:$L,"&gt;="&amp;$A1025,Receitas!$C:$C,Q$1,Receitas!$M:$M,"Mensal")+SUMIFS(Receitas!$F:$F,Receitas!$J:$J,"&lt;="&amp;$A1025,Receitas!$L:$L,"&gt;="&amp;$A1025,Receitas!$C:$C,Q$1,Receitas!$M:$M,$B1025)</f>
        <v>0</v>
      </c>
      <c r="R1025" s="18" cm="1">
        <f t="array" ref="R1025">(IF(AND(Membros!$F$2="Sim",A1025&lt;=MAX(Membros!$E$2:$E$5)),Membros!K$2,IF(AND(A1025&gt;=Membros!J$2,A1025&lt;=MAX(Membros!$E$2:$E$5)),Membros!K$2,0))+IF(AND(Membros!$F$3="Sim",A1025&lt;=MAX(Membros!$E$2:$E$5)),Membros!K$3,IF(AND(A1025&gt;=Membros!J$3,A1025&lt;=MAX(Membros!$E$2:$E$5)),Membros!K$3,0)))*IF(AND(COUNTIFS(Tabela3[Tipo],"Provedor",Tabela3[Simulação Seguro],"Sim")=2,A1025&gt;=MAX(IF(Tabela3[Tipo]="Dependente",Tabela3[Expectativa de Vida (Data)]))),0,1)</f>
        <v>0</v>
      </c>
      <c r="S1025" s="18">
        <f t="shared" si="126"/>
        <v>0</v>
      </c>
      <c r="U1025" s="18">
        <f t="shared" ca="1" si="129"/>
        <v>133897875.3040573</v>
      </c>
      <c r="V1025" s="18">
        <f>SUMIF(Imóveis!E:E,Dados!A:A,Imóveis!Z:Z)-SUMIF(Imóveis!E:E,Dados!A:A,Imóveis!Y:Y)</f>
        <v>0</v>
      </c>
      <c r="W1025" s="18">
        <f>-SUMIF(Projetos!N:N,A1025,Projetos!F:F)</f>
        <v>0</v>
      </c>
      <c r="X1025" s="18">
        <f t="shared" si="123"/>
        <v>0</v>
      </c>
      <c r="Y1025" s="26">
        <f ca="1">(U1025*((Indicadores_Economicos!D$2+1)^(1/12)-1))</f>
        <v>438346.80113480194</v>
      </c>
      <c r="Z1025" s="18">
        <f t="shared" ca="1" si="127"/>
        <v>134336222.1051921</v>
      </c>
      <c r="AA1025" s="18">
        <f ca="1">Auxiliar_Projetos!E1025</f>
        <v>1.1073573606121153E-8</v>
      </c>
      <c r="AB1025" s="18">
        <f ca="1">Auxiliar_Projetos!K1025</f>
        <v>8.5181335431701146E-9</v>
      </c>
      <c r="AC1025" s="18">
        <f ca="1">IF(Z1025-AA1025-AB1025&gt;Investimentos!$C$14,Investimentos!$C$14,IF(Z1025-AA1025-AB1025&lt;Investimentos!$C$14,Z1025-AA1025-AB1025,0))</f>
        <v>300000</v>
      </c>
      <c r="AD1025" s="18">
        <f t="shared" ca="1" si="128"/>
        <v>134036222.1051921</v>
      </c>
      <c r="AE1025" s="18"/>
    </row>
    <row r="1026" spans="1:31" x14ac:dyDescent="0.2">
      <c r="A1026" s="4">
        <v>76823</v>
      </c>
      <c r="B1026" s="5" t="str">
        <f t="shared" si="124"/>
        <v>maio</v>
      </c>
      <c r="C1026" s="5" t="str">
        <f t="shared" si="130"/>
        <v>2110</v>
      </c>
      <c r="D1026" s="5">
        <f>SUMIFS(Despesas!$F:$F,Despesas!$J:$J,"&lt;="&amp;$A1026,Despesas!$L:$L,"&gt;="&amp;$A1026,Despesas!$C:$C,D$1,Despesas!$M:$M,"Mensal")+SUMIFS(Despesas!$F:$F,Despesas!$J:$J,"&lt;="&amp;$A1026,Despesas!$L:$L,"&gt;="&amp;$A1026,Despesas!$C:$C,D$1,Despesas!$M:$M,$B1026)</f>
        <v>0</v>
      </c>
      <c r="E1026" s="18">
        <f>SUMIFS(Despesas!$F:$F,Despesas!$J:$J,"&lt;="&amp;$A1026,Despesas!$L:$L,"&gt;="&amp;$A1026,Despesas!$C:$C,E$1,Despesas!$M:$M,"Mensal")+SUMIFS(Despesas!$F:$F,Despesas!$J:$J,"&lt;="&amp;$A1026,Despesas!$L:$L,"&gt;="&amp;$A1026,Despesas!$C:$C,E$1,Despesas!$M:$M,$B1026)</f>
        <v>0</v>
      </c>
      <c r="F1026" s="5">
        <f>SUMIFS(Despesas!$F:$F,Despesas!$J:$J,"&lt;="&amp;$A1026,Despesas!$L:$L,"&gt;="&amp;$A1026,Despesas!$C:$C,F$1,Despesas!$M:$M,"Mensal")+SUMIFS(Despesas!$F:$F,Despesas!$J:$J,"&lt;="&amp;$A1026,Despesas!$L:$L,"&gt;="&amp;$A1026,Despesas!$C:$C,F$1,Despesas!$M:$M,$B1026)</f>
        <v>0</v>
      </c>
      <c r="G1026" s="5">
        <f>SUMIFS(Despesas!$F:$F,Despesas!$J:$J,"&lt;="&amp;$A1026,Despesas!$L:$L,"&gt;="&amp;$A1026,Despesas!$C:$C,G$1,Despesas!$M:$M,"Mensal")+SUMIFS(Despesas!$F:$F,Despesas!$J:$J,"&lt;="&amp;$A1026,Despesas!$L:$L,"&gt;="&amp;$A1026,Despesas!$C:$C,G$1,Despesas!$M:$M,$B1026)</f>
        <v>0</v>
      </c>
      <c r="H1026" s="18">
        <f>SUMIFS(Despesas!$F:$F,Despesas!$J:$J,"&lt;="&amp;$A1026,Despesas!$L:$L,"&gt;="&amp;$A1026,Despesas!$C:$C,H$1,Despesas!$M:$M,"Mensal")+SUMIFS(Despesas!$F:$F,Despesas!$J:$J,"&lt;="&amp;$A1026,Despesas!$L:$L,"&gt;="&amp;$A1026,Despesas!$C:$C,H$1,Despesas!$M:$M,$B1026)</f>
        <v>0</v>
      </c>
      <c r="I1026" s="18">
        <f>IF(Imóveis!$F$2="PRICE",IF(AND(Dados!$A1026&gt;=Imóveis!$Q$2,Dados!$A1026&lt;=Imóveis!$T$2),Imóveis!$U$2,0),IF((IF(AND(Dados!$A1026&gt;=Imóveis!$Q$2,Dados!$A1026&lt;=Imóveis!$T$2),Imóveis!$S$2-(DATEDIF(Imóveis!$Q$2,Dados!$A1026,"m")),0))=0,0,((Imóveis!$N$2/Imóveis!$S$2)+((Imóveis!$N$2-((Imóveis!$S$2-(IF(AND(Dados!$A1026&gt;=Imóveis!$Q$2,Dados!$A1026&lt;=Imóveis!$T$2),Imóveis!$S$2-(DATEDIF(Imóveis!$Q$2,Dados!$A1026,"m")),)))*(Imóveis!$N$2/Imóveis!$S$2)))*Imóveis!$P$2))))*IF(AND(Imóveis!$E$2&gt;0,Dados!$A1026&gt;Imóveis!$E$2),0,1)</f>
        <v>0</v>
      </c>
      <c r="J1026" s="18">
        <f>IF(Imóveis!$F$3="PRICE",IF(AND(Dados!$A1026&gt;=Imóveis!$Q$3,Dados!$A1026&lt;=Imóveis!$T$3),Imóveis!$U$3,0),IF((IF(AND(Dados!$A1026&gt;=Imóveis!$Q$3,Dados!$A1026&lt;=Imóveis!$T$3),Imóveis!$S$3-(DATEDIF(Imóveis!$Q$3,Dados!$A1026,"m")),0))=0,0,((Imóveis!$N$3/Imóveis!$S$3)+((Imóveis!$N$3-((Imóveis!$S$3-(IF(AND(Dados!$A1026&gt;=Imóveis!$Q$3,Dados!$A1026&lt;=Imóveis!$T$3),Imóveis!$S$3-(DATEDIF(Imóveis!$Q$3,Dados!$A1026,"m")),)))*(Imóveis!$N$3/Imóveis!$S$3)))*Imóveis!$P$3))))*IF(AND(Imóveis!$E$3&gt;0,Dados!$A1026&gt;Imóveis!$E$3),0,1)</f>
        <v>0</v>
      </c>
      <c r="K1026" s="18">
        <f>IF(Imóveis!$F$4="PRICE",IF(AND(Dados!$A1026&gt;=Imóveis!$Q$4,Dados!$A1026&lt;=Imóveis!$T$4),Imóveis!$U$4,0),IF((IF(AND(Dados!$A1026&gt;=Imóveis!$Q$4,Dados!$A1026&lt;=Imóveis!$T$4),Imóveis!$S$4-(DATEDIF(Imóveis!$Q$4,Dados!$A1026,"m")),0))=0,0,((Imóveis!$N$4/Imóveis!$S$4)+((Imóveis!$N$4-((Imóveis!$S$4-(IF(AND(Dados!$A1026&gt;=Imóveis!$Q$4,Dados!$A1026&lt;=Imóveis!$T$4),Imóveis!$S$4-(DATEDIF(Imóveis!$Q$4,Dados!$A1026,"m")),)))*(Imóveis!$N$4/Imóveis!$S$4)))*Imóveis!$P$4))))*IF(AND(Imóveis!$E$4&gt;0,Dados!$A1026&gt;Imóveis!$E$4),0,1)</f>
        <v>0</v>
      </c>
      <c r="L1026" s="18">
        <f>IF(Imóveis!$F$5="PRICE",IF(AND(Dados!$A1026&gt;=Imóveis!$Q$5,Dados!$A1026&lt;=Imóveis!$T$5),Imóveis!$U$5,0),IF((IF(AND(Dados!$A1026&gt;=Imóveis!$Q$5,Dados!$A1026&lt;=Imóveis!$T$5),Imóveis!$S$5-(DATEDIF(Imóveis!$Q$5,Dados!$A1026,"m")),0))=0,0,((Imóveis!$N$5/Imóveis!$S$5)+((Imóveis!$N$5-((Imóveis!$S$5-(IF(AND(Dados!$A1026 &gt;=Imóveis!$Q$5,Dados!$A1026&lt;=Imóveis!$T$5),Imóveis!$S$5-(DATEDIF(Imóveis!$Q$5,Dados!$A1026,"m")),)))*(Imóveis!$N$5/Imóveis!$S$5)))*Imóveis!$P$5))))*IF(AND(Imóveis!$E$5&gt;0,Dados!$A1026&gt;Imóveis!$E$5),0,1)*Imóveis!$I$5</f>
        <v>0</v>
      </c>
      <c r="M1026" s="18">
        <f>IF(Imóveis!$F$6="PRICE",IF(AND(Dados!$A1026&gt;=Imóveis!$Q$6,Dados!$A1026&lt;=Imóveis!$T$6),Imóveis!$U$6,0),IF((IF(AND(Dados!$A1026&gt;=Imóveis!$Q$6,Dados!$A1026&lt;=Imóveis!$T$6),Imóveis!$S$6-(DATEDIF(Imóveis!$Q$6,Dados!$A1026,"m")),0))=0,0,((Imóveis!$N$6/Imóveis!$S$6)+((Imóveis!$N$6-((Imóveis!$S$6-(IF(AND(Dados!$A1026&gt;=Imóveis!$Q$6,Dados!$A1026&lt;=Imóveis!$T$6),Imóveis!$S$6-(DATEDIF(Imóveis!$Q$6,Dados!$A1026,"m")),)))*(Imóveis!$N$6/Imóveis!$S$6)))*Imóveis!$P$6))))*IF(AND(Imóveis!$E$6&gt;0,Dados!$A1026&gt;Imóveis!$E$6),0,1)*Imóveis!$I$6</f>
        <v>0</v>
      </c>
      <c r="N1026" s="18">
        <f t="shared" si="125"/>
        <v>0</v>
      </c>
      <c r="O1026" s="18">
        <f>SUMIFS(Receitas!$F:$F,Receitas!$J:$J,"&lt;="&amp;$A1026,Receitas!$L:$L,"&gt;="&amp;$A1026,Receitas!$C:$C,O$1,Receitas!$M:$M,"Mensal")+SUMIFS(Receitas!$F:$F,Receitas!$J:$J,"&lt;="&amp;$A1026,Receitas!$L:$L,"&gt;="&amp;$A1026,Receitas!$C:$C,O$1,Receitas!$M:$M,$B1026)</f>
        <v>0</v>
      </c>
      <c r="P1026" s="18">
        <f>SUMIFS(Receitas!$F:$F,Receitas!$J:$J,"&lt;="&amp;$A1026,Receitas!$L:$L,"&gt;="&amp;$A1026,Receitas!$C:$C,P$1,Receitas!$M:$M,"Mensal")+SUMIFS(Receitas!$F:$F,Receitas!$J:$J,"&lt;="&amp;$A1026,Receitas!$L:$L,"&gt;="&amp;$A1026,Receitas!$C:$C,P$1,Receitas!$M:$M,$B1026)</f>
        <v>0</v>
      </c>
      <c r="Q1026" s="18">
        <f>SUMIFS(Receitas!$F:$F,Receitas!$J:$J,"&lt;="&amp;$A1026,Receitas!$L:$L,"&gt;="&amp;$A1026,Receitas!$C:$C,Q$1,Receitas!$M:$M,"Mensal")+SUMIFS(Receitas!$F:$F,Receitas!$J:$J,"&lt;="&amp;$A1026,Receitas!$L:$L,"&gt;="&amp;$A1026,Receitas!$C:$C,Q$1,Receitas!$M:$M,$B1026)</f>
        <v>0</v>
      </c>
      <c r="R1026" s="18" cm="1">
        <f t="array" ref="R1026">(IF(AND(Membros!$F$2="Sim",A1026&lt;=MAX(Membros!$E$2:$E$5)),Membros!K$2,IF(AND(A1026&gt;=Membros!J$2,A1026&lt;=MAX(Membros!$E$2:$E$5)),Membros!K$2,0))+IF(AND(Membros!$F$3="Sim",A1026&lt;=MAX(Membros!$E$2:$E$5)),Membros!K$3,IF(AND(A1026&gt;=Membros!J$3,A1026&lt;=MAX(Membros!$E$2:$E$5)),Membros!K$3,0)))*IF(AND(COUNTIFS(Tabela3[Tipo],"Provedor",Tabela3[Simulação Seguro],"Sim")=2,A1026&gt;=MAX(IF(Tabela3[Tipo]="Dependente",Tabela3[Expectativa de Vida (Data)]))),0,1)</f>
        <v>0</v>
      </c>
      <c r="S1026" s="18">
        <f t="shared" si="126"/>
        <v>0</v>
      </c>
      <c r="U1026" s="18">
        <f t="shared" ca="1" si="129"/>
        <v>134336222.1051921</v>
      </c>
      <c r="V1026" s="18">
        <f>SUMIF(Imóveis!E:E,Dados!A:A,Imóveis!Z:Z)-SUMIF(Imóveis!E:E,Dados!A:A,Imóveis!Y:Y)</f>
        <v>0</v>
      </c>
      <c r="W1026" s="18">
        <f>-SUMIF(Projetos!N:N,A1026,Projetos!F:F)</f>
        <v>0</v>
      </c>
      <c r="X1026" s="18">
        <f t="shared" ref="X1026:X1089" si="131">(S1026-N1026)</f>
        <v>0</v>
      </c>
      <c r="Y1026" s="26">
        <f ca="1">(U1026*((Indicadores_Economicos!D$2+1)^(1/12)-1))</f>
        <v>439781.83449607657</v>
      </c>
      <c r="Z1026" s="18">
        <f t="shared" ca="1" si="127"/>
        <v>134776003.93968818</v>
      </c>
      <c r="AA1026" s="18">
        <f ca="1">Auxiliar_Projetos!E1026</f>
        <v>1.110982560456662E-8</v>
      </c>
      <c r="AB1026" s="18">
        <f ca="1">Auxiliar_Projetos!K1026</f>
        <v>8.5460196958204736E-9</v>
      </c>
      <c r="AC1026" s="18">
        <f ca="1">IF(Z1026-AA1026-AB1026&gt;Investimentos!$C$14,Investimentos!$C$14,IF(Z1026-AA1026-AB1026&lt;Investimentos!$C$14,Z1026-AA1026-AB1026,0))</f>
        <v>300000</v>
      </c>
      <c r="AD1026" s="18">
        <f t="shared" ca="1" si="128"/>
        <v>134476003.93968818</v>
      </c>
      <c r="AE1026" s="18"/>
    </row>
    <row r="1027" spans="1:31" x14ac:dyDescent="0.2">
      <c r="A1027" s="4">
        <v>76854</v>
      </c>
      <c r="B1027" s="5" t="str">
        <f t="shared" ref="B1027:B1090" si="132">TEXT(A1027,"MMMM")</f>
        <v>junho</v>
      </c>
      <c r="C1027" s="5" t="str">
        <f t="shared" si="130"/>
        <v>2110</v>
      </c>
      <c r="D1027" s="5">
        <f>SUMIFS(Despesas!$F:$F,Despesas!$J:$J,"&lt;="&amp;$A1027,Despesas!$L:$L,"&gt;="&amp;$A1027,Despesas!$C:$C,D$1,Despesas!$M:$M,"Mensal")+SUMIFS(Despesas!$F:$F,Despesas!$J:$J,"&lt;="&amp;$A1027,Despesas!$L:$L,"&gt;="&amp;$A1027,Despesas!$C:$C,D$1,Despesas!$M:$M,$B1027)</f>
        <v>0</v>
      </c>
      <c r="E1027" s="18">
        <f>SUMIFS(Despesas!$F:$F,Despesas!$J:$J,"&lt;="&amp;$A1027,Despesas!$L:$L,"&gt;="&amp;$A1027,Despesas!$C:$C,E$1,Despesas!$M:$M,"Mensal")+SUMIFS(Despesas!$F:$F,Despesas!$J:$J,"&lt;="&amp;$A1027,Despesas!$L:$L,"&gt;="&amp;$A1027,Despesas!$C:$C,E$1,Despesas!$M:$M,$B1027)</f>
        <v>0</v>
      </c>
      <c r="F1027" s="5">
        <f>SUMIFS(Despesas!$F:$F,Despesas!$J:$J,"&lt;="&amp;$A1027,Despesas!$L:$L,"&gt;="&amp;$A1027,Despesas!$C:$C,F$1,Despesas!$M:$M,"Mensal")+SUMIFS(Despesas!$F:$F,Despesas!$J:$J,"&lt;="&amp;$A1027,Despesas!$L:$L,"&gt;="&amp;$A1027,Despesas!$C:$C,F$1,Despesas!$M:$M,$B1027)</f>
        <v>0</v>
      </c>
      <c r="G1027" s="5">
        <f>SUMIFS(Despesas!$F:$F,Despesas!$J:$J,"&lt;="&amp;$A1027,Despesas!$L:$L,"&gt;="&amp;$A1027,Despesas!$C:$C,G$1,Despesas!$M:$M,"Mensal")+SUMIFS(Despesas!$F:$F,Despesas!$J:$J,"&lt;="&amp;$A1027,Despesas!$L:$L,"&gt;="&amp;$A1027,Despesas!$C:$C,G$1,Despesas!$M:$M,$B1027)</f>
        <v>0</v>
      </c>
      <c r="H1027" s="18">
        <f>SUMIFS(Despesas!$F:$F,Despesas!$J:$J,"&lt;="&amp;$A1027,Despesas!$L:$L,"&gt;="&amp;$A1027,Despesas!$C:$C,H$1,Despesas!$M:$M,"Mensal")+SUMIFS(Despesas!$F:$F,Despesas!$J:$J,"&lt;="&amp;$A1027,Despesas!$L:$L,"&gt;="&amp;$A1027,Despesas!$C:$C,H$1,Despesas!$M:$M,$B1027)</f>
        <v>0</v>
      </c>
      <c r="I1027" s="18">
        <f>IF(Imóveis!$F$2="PRICE",IF(AND(Dados!$A1027&gt;=Imóveis!$Q$2,Dados!$A1027&lt;=Imóveis!$T$2),Imóveis!$U$2,0),IF((IF(AND(Dados!$A1027&gt;=Imóveis!$Q$2,Dados!$A1027&lt;=Imóveis!$T$2),Imóveis!$S$2-(DATEDIF(Imóveis!$Q$2,Dados!$A1027,"m")),0))=0,0,((Imóveis!$N$2/Imóveis!$S$2)+((Imóveis!$N$2-((Imóveis!$S$2-(IF(AND(Dados!$A1027&gt;=Imóveis!$Q$2,Dados!$A1027&lt;=Imóveis!$T$2),Imóveis!$S$2-(DATEDIF(Imóveis!$Q$2,Dados!$A1027,"m")),)))*(Imóveis!$N$2/Imóveis!$S$2)))*Imóveis!$P$2))))*IF(AND(Imóveis!$E$2&gt;0,Dados!$A1027&gt;Imóveis!$E$2),0,1)</f>
        <v>0</v>
      </c>
      <c r="J1027" s="18">
        <f>IF(Imóveis!$F$3="PRICE",IF(AND(Dados!$A1027&gt;=Imóveis!$Q$3,Dados!$A1027&lt;=Imóveis!$T$3),Imóveis!$U$3,0),IF((IF(AND(Dados!$A1027&gt;=Imóveis!$Q$3,Dados!$A1027&lt;=Imóveis!$T$3),Imóveis!$S$3-(DATEDIF(Imóveis!$Q$3,Dados!$A1027,"m")),0))=0,0,((Imóveis!$N$3/Imóveis!$S$3)+((Imóveis!$N$3-((Imóveis!$S$3-(IF(AND(Dados!$A1027&gt;=Imóveis!$Q$3,Dados!$A1027&lt;=Imóveis!$T$3),Imóveis!$S$3-(DATEDIF(Imóveis!$Q$3,Dados!$A1027,"m")),)))*(Imóveis!$N$3/Imóveis!$S$3)))*Imóveis!$P$3))))*IF(AND(Imóveis!$E$3&gt;0,Dados!$A1027&gt;Imóveis!$E$3),0,1)</f>
        <v>0</v>
      </c>
      <c r="K1027" s="18">
        <f>IF(Imóveis!$F$4="PRICE",IF(AND(Dados!$A1027&gt;=Imóveis!$Q$4,Dados!$A1027&lt;=Imóveis!$T$4),Imóveis!$U$4,0),IF((IF(AND(Dados!$A1027&gt;=Imóveis!$Q$4,Dados!$A1027&lt;=Imóveis!$T$4),Imóveis!$S$4-(DATEDIF(Imóveis!$Q$4,Dados!$A1027,"m")),0))=0,0,((Imóveis!$N$4/Imóveis!$S$4)+((Imóveis!$N$4-((Imóveis!$S$4-(IF(AND(Dados!$A1027&gt;=Imóveis!$Q$4,Dados!$A1027&lt;=Imóveis!$T$4),Imóveis!$S$4-(DATEDIF(Imóveis!$Q$4,Dados!$A1027,"m")),)))*(Imóveis!$N$4/Imóveis!$S$4)))*Imóveis!$P$4))))*IF(AND(Imóveis!$E$4&gt;0,Dados!$A1027&gt;Imóveis!$E$4),0,1)</f>
        <v>0</v>
      </c>
      <c r="L1027" s="18">
        <f>IF(Imóveis!$F$5="PRICE",IF(AND(Dados!$A1027&gt;=Imóveis!$Q$5,Dados!$A1027&lt;=Imóveis!$T$5),Imóveis!$U$5,0),IF((IF(AND(Dados!$A1027&gt;=Imóveis!$Q$5,Dados!$A1027&lt;=Imóveis!$T$5),Imóveis!$S$5-(DATEDIF(Imóveis!$Q$5,Dados!$A1027,"m")),0))=0,0,((Imóveis!$N$5/Imóveis!$S$5)+((Imóveis!$N$5-((Imóveis!$S$5-(IF(AND(Dados!$A1027 &gt;=Imóveis!$Q$5,Dados!$A1027&lt;=Imóveis!$T$5),Imóveis!$S$5-(DATEDIF(Imóveis!$Q$5,Dados!$A1027,"m")),)))*(Imóveis!$N$5/Imóveis!$S$5)))*Imóveis!$P$5))))*IF(AND(Imóveis!$E$5&gt;0,Dados!$A1027&gt;Imóveis!$E$5),0,1)*Imóveis!$I$5</f>
        <v>0</v>
      </c>
      <c r="M1027" s="18">
        <f>IF(Imóveis!$F$6="PRICE",IF(AND(Dados!$A1027&gt;=Imóveis!$Q$6,Dados!$A1027&lt;=Imóveis!$T$6),Imóveis!$U$6,0),IF((IF(AND(Dados!$A1027&gt;=Imóveis!$Q$6,Dados!$A1027&lt;=Imóveis!$T$6),Imóveis!$S$6-(DATEDIF(Imóveis!$Q$6,Dados!$A1027,"m")),0))=0,0,((Imóveis!$N$6/Imóveis!$S$6)+((Imóveis!$N$6-((Imóveis!$S$6-(IF(AND(Dados!$A1027&gt;=Imóveis!$Q$6,Dados!$A1027&lt;=Imóveis!$T$6),Imóveis!$S$6-(DATEDIF(Imóveis!$Q$6,Dados!$A1027,"m")),)))*(Imóveis!$N$6/Imóveis!$S$6)))*Imóveis!$P$6))))*IF(AND(Imóveis!$E$6&gt;0,Dados!$A1027&gt;Imóveis!$E$6),0,1)*Imóveis!$I$6</f>
        <v>0</v>
      </c>
      <c r="N1027" s="18">
        <f t="shared" ref="N1027:N1090" si="133">SUM(D1027:M1027)</f>
        <v>0</v>
      </c>
      <c r="O1027" s="18">
        <f>SUMIFS(Receitas!$F:$F,Receitas!$J:$J,"&lt;="&amp;$A1027,Receitas!$L:$L,"&gt;="&amp;$A1027,Receitas!$C:$C,O$1,Receitas!$M:$M,"Mensal")+SUMIFS(Receitas!$F:$F,Receitas!$J:$J,"&lt;="&amp;$A1027,Receitas!$L:$L,"&gt;="&amp;$A1027,Receitas!$C:$C,O$1,Receitas!$M:$M,$B1027)</f>
        <v>0</v>
      </c>
      <c r="P1027" s="18">
        <f>SUMIFS(Receitas!$F:$F,Receitas!$J:$J,"&lt;="&amp;$A1027,Receitas!$L:$L,"&gt;="&amp;$A1027,Receitas!$C:$C,P$1,Receitas!$M:$M,"Mensal")+SUMIFS(Receitas!$F:$F,Receitas!$J:$J,"&lt;="&amp;$A1027,Receitas!$L:$L,"&gt;="&amp;$A1027,Receitas!$C:$C,P$1,Receitas!$M:$M,$B1027)</f>
        <v>0</v>
      </c>
      <c r="Q1027" s="18">
        <f>SUMIFS(Receitas!$F:$F,Receitas!$J:$J,"&lt;="&amp;$A1027,Receitas!$L:$L,"&gt;="&amp;$A1027,Receitas!$C:$C,Q$1,Receitas!$M:$M,"Mensal")+SUMIFS(Receitas!$F:$F,Receitas!$J:$J,"&lt;="&amp;$A1027,Receitas!$L:$L,"&gt;="&amp;$A1027,Receitas!$C:$C,Q$1,Receitas!$M:$M,$B1027)</f>
        <v>0</v>
      </c>
      <c r="R1027" s="18" cm="1">
        <f t="array" ref="R1027">(IF(AND(Membros!$F$2="Sim",A1027&lt;=MAX(Membros!$E$2:$E$5)),Membros!K$2,IF(AND(A1027&gt;=Membros!J$2,A1027&lt;=MAX(Membros!$E$2:$E$5)),Membros!K$2,0))+IF(AND(Membros!$F$3="Sim",A1027&lt;=MAX(Membros!$E$2:$E$5)),Membros!K$3,IF(AND(A1027&gt;=Membros!J$3,A1027&lt;=MAX(Membros!$E$2:$E$5)),Membros!K$3,0)))*IF(AND(COUNTIFS(Tabela3[Tipo],"Provedor",Tabela3[Simulação Seguro],"Sim")=2,A1027&gt;=MAX(IF(Tabela3[Tipo]="Dependente",Tabela3[Expectativa de Vida (Data)]))),0,1)</f>
        <v>0</v>
      </c>
      <c r="S1027" s="18">
        <f t="shared" ref="S1027:S1090" si="134">O1027+P1027+Q1027+R1027</f>
        <v>0</v>
      </c>
      <c r="U1027" s="18">
        <f t="shared" ca="1" si="129"/>
        <v>134776003.93968818</v>
      </c>
      <c r="V1027" s="18">
        <f>SUMIF(Imóveis!E:E,Dados!A:A,Imóveis!Z:Z)-SUMIF(Imóveis!E:E,Dados!A:A,Imóveis!Y:Y)</f>
        <v>0</v>
      </c>
      <c r="W1027" s="18">
        <f>-SUMIF(Projetos!N:N,A1027,Projetos!F:F)</f>
        <v>0</v>
      </c>
      <c r="X1027" s="18">
        <f t="shared" si="131"/>
        <v>0</v>
      </c>
      <c r="Y1027" s="26">
        <f ca="1">(U1027*((Indicadores_Economicos!D$2+1)^(1/12)-1))</f>
        <v>441221.5657831548</v>
      </c>
      <c r="Z1027" s="18">
        <f t="shared" ref="Z1027:Z1090" ca="1" si="135">U1027+V1027+W1027+X1027+Y1027</f>
        <v>135217225.50547132</v>
      </c>
      <c r="AA1027" s="18">
        <f ca="1">Auxiliar_Projetos!E1027</f>
        <v>1.1146196282621581E-8</v>
      </c>
      <c r="AB1027" s="18">
        <f ca="1">Auxiliar_Projetos!K1027</f>
        <v>8.5739971404781365E-9</v>
      </c>
      <c r="AC1027" s="18">
        <f ca="1">IF(Z1027-AA1027-AB1027&gt;Investimentos!$C$14,Investimentos!$C$14,IF(Z1027-AA1027-AB1027&lt;Investimentos!$C$14,Z1027-AA1027-AB1027,0))</f>
        <v>300000</v>
      </c>
      <c r="AD1027" s="18">
        <f t="shared" ref="AD1027:AD1090" ca="1" si="136">Z1027-AA1027-AB1027-AC1027</f>
        <v>134917225.50547132</v>
      </c>
      <c r="AE1027" s="18"/>
    </row>
    <row r="1028" spans="1:31" x14ac:dyDescent="0.2">
      <c r="A1028" s="4">
        <v>76884</v>
      </c>
      <c r="B1028" s="5" t="str">
        <f t="shared" si="132"/>
        <v>julho</v>
      </c>
      <c r="C1028" s="5" t="str">
        <f t="shared" si="130"/>
        <v>2110</v>
      </c>
      <c r="D1028" s="5">
        <f>SUMIFS(Despesas!$F:$F,Despesas!$J:$J,"&lt;="&amp;$A1028,Despesas!$L:$L,"&gt;="&amp;$A1028,Despesas!$C:$C,D$1,Despesas!$M:$M,"Mensal")+SUMIFS(Despesas!$F:$F,Despesas!$J:$J,"&lt;="&amp;$A1028,Despesas!$L:$L,"&gt;="&amp;$A1028,Despesas!$C:$C,D$1,Despesas!$M:$M,$B1028)</f>
        <v>0</v>
      </c>
      <c r="E1028" s="18">
        <f>SUMIFS(Despesas!$F:$F,Despesas!$J:$J,"&lt;="&amp;$A1028,Despesas!$L:$L,"&gt;="&amp;$A1028,Despesas!$C:$C,E$1,Despesas!$M:$M,"Mensal")+SUMIFS(Despesas!$F:$F,Despesas!$J:$J,"&lt;="&amp;$A1028,Despesas!$L:$L,"&gt;="&amp;$A1028,Despesas!$C:$C,E$1,Despesas!$M:$M,$B1028)</f>
        <v>0</v>
      </c>
      <c r="F1028" s="5">
        <f>SUMIFS(Despesas!$F:$F,Despesas!$J:$J,"&lt;="&amp;$A1028,Despesas!$L:$L,"&gt;="&amp;$A1028,Despesas!$C:$C,F$1,Despesas!$M:$M,"Mensal")+SUMIFS(Despesas!$F:$F,Despesas!$J:$J,"&lt;="&amp;$A1028,Despesas!$L:$L,"&gt;="&amp;$A1028,Despesas!$C:$C,F$1,Despesas!$M:$M,$B1028)</f>
        <v>0</v>
      </c>
      <c r="G1028" s="5">
        <f>SUMIFS(Despesas!$F:$F,Despesas!$J:$J,"&lt;="&amp;$A1028,Despesas!$L:$L,"&gt;="&amp;$A1028,Despesas!$C:$C,G$1,Despesas!$M:$M,"Mensal")+SUMIFS(Despesas!$F:$F,Despesas!$J:$J,"&lt;="&amp;$A1028,Despesas!$L:$L,"&gt;="&amp;$A1028,Despesas!$C:$C,G$1,Despesas!$M:$M,$B1028)</f>
        <v>0</v>
      </c>
      <c r="H1028" s="18">
        <f>SUMIFS(Despesas!$F:$F,Despesas!$J:$J,"&lt;="&amp;$A1028,Despesas!$L:$L,"&gt;="&amp;$A1028,Despesas!$C:$C,H$1,Despesas!$M:$M,"Mensal")+SUMIFS(Despesas!$F:$F,Despesas!$J:$J,"&lt;="&amp;$A1028,Despesas!$L:$L,"&gt;="&amp;$A1028,Despesas!$C:$C,H$1,Despesas!$M:$M,$B1028)</f>
        <v>0</v>
      </c>
      <c r="I1028" s="18">
        <f>IF(Imóveis!$F$2="PRICE",IF(AND(Dados!$A1028&gt;=Imóveis!$Q$2,Dados!$A1028&lt;=Imóveis!$T$2),Imóveis!$U$2,0),IF((IF(AND(Dados!$A1028&gt;=Imóveis!$Q$2,Dados!$A1028&lt;=Imóveis!$T$2),Imóveis!$S$2-(DATEDIF(Imóveis!$Q$2,Dados!$A1028,"m")),0))=0,0,((Imóveis!$N$2/Imóveis!$S$2)+((Imóveis!$N$2-((Imóveis!$S$2-(IF(AND(Dados!$A1028&gt;=Imóveis!$Q$2,Dados!$A1028&lt;=Imóveis!$T$2),Imóveis!$S$2-(DATEDIF(Imóveis!$Q$2,Dados!$A1028,"m")),)))*(Imóveis!$N$2/Imóveis!$S$2)))*Imóveis!$P$2))))*IF(AND(Imóveis!$E$2&gt;0,Dados!$A1028&gt;Imóveis!$E$2),0,1)</f>
        <v>0</v>
      </c>
      <c r="J1028" s="18">
        <f>IF(Imóveis!$F$3="PRICE",IF(AND(Dados!$A1028&gt;=Imóveis!$Q$3,Dados!$A1028&lt;=Imóveis!$T$3),Imóveis!$U$3,0),IF((IF(AND(Dados!$A1028&gt;=Imóveis!$Q$3,Dados!$A1028&lt;=Imóveis!$T$3),Imóveis!$S$3-(DATEDIF(Imóveis!$Q$3,Dados!$A1028,"m")),0))=0,0,((Imóveis!$N$3/Imóveis!$S$3)+((Imóveis!$N$3-((Imóveis!$S$3-(IF(AND(Dados!$A1028&gt;=Imóveis!$Q$3,Dados!$A1028&lt;=Imóveis!$T$3),Imóveis!$S$3-(DATEDIF(Imóveis!$Q$3,Dados!$A1028,"m")),)))*(Imóveis!$N$3/Imóveis!$S$3)))*Imóveis!$P$3))))*IF(AND(Imóveis!$E$3&gt;0,Dados!$A1028&gt;Imóveis!$E$3),0,1)</f>
        <v>0</v>
      </c>
      <c r="K1028" s="18">
        <f>IF(Imóveis!$F$4="PRICE",IF(AND(Dados!$A1028&gt;=Imóveis!$Q$4,Dados!$A1028&lt;=Imóveis!$T$4),Imóveis!$U$4,0),IF((IF(AND(Dados!$A1028&gt;=Imóveis!$Q$4,Dados!$A1028&lt;=Imóveis!$T$4),Imóveis!$S$4-(DATEDIF(Imóveis!$Q$4,Dados!$A1028,"m")),0))=0,0,((Imóveis!$N$4/Imóveis!$S$4)+((Imóveis!$N$4-((Imóveis!$S$4-(IF(AND(Dados!$A1028&gt;=Imóveis!$Q$4,Dados!$A1028&lt;=Imóveis!$T$4),Imóveis!$S$4-(DATEDIF(Imóveis!$Q$4,Dados!$A1028,"m")),)))*(Imóveis!$N$4/Imóveis!$S$4)))*Imóveis!$P$4))))*IF(AND(Imóveis!$E$4&gt;0,Dados!$A1028&gt;Imóveis!$E$4),0,1)</f>
        <v>0</v>
      </c>
      <c r="L1028" s="18">
        <f>IF(Imóveis!$F$5="PRICE",IF(AND(Dados!$A1028&gt;=Imóveis!$Q$5,Dados!$A1028&lt;=Imóveis!$T$5),Imóveis!$U$5,0),IF((IF(AND(Dados!$A1028&gt;=Imóveis!$Q$5,Dados!$A1028&lt;=Imóveis!$T$5),Imóveis!$S$5-(DATEDIF(Imóveis!$Q$5,Dados!$A1028,"m")),0))=0,0,((Imóveis!$N$5/Imóveis!$S$5)+((Imóveis!$N$5-((Imóveis!$S$5-(IF(AND(Dados!$A1028 &gt;=Imóveis!$Q$5,Dados!$A1028&lt;=Imóveis!$T$5),Imóveis!$S$5-(DATEDIF(Imóveis!$Q$5,Dados!$A1028,"m")),)))*(Imóveis!$N$5/Imóveis!$S$5)))*Imóveis!$P$5))))*IF(AND(Imóveis!$E$5&gt;0,Dados!$A1028&gt;Imóveis!$E$5),0,1)*Imóveis!$I$5</f>
        <v>0</v>
      </c>
      <c r="M1028" s="18">
        <f>IF(Imóveis!$F$6="PRICE",IF(AND(Dados!$A1028&gt;=Imóveis!$Q$6,Dados!$A1028&lt;=Imóveis!$T$6),Imóveis!$U$6,0),IF((IF(AND(Dados!$A1028&gt;=Imóveis!$Q$6,Dados!$A1028&lt;=Imóveis!$T$6),Imóveis!$S$6-(DATEDIF(Imóveis!$Q$6,Dados!$A1028,"m")),0))=0,0,((Imóveis!$N$6/Imóveis!$S$6)+((Imóveis!$N$6-((Imóveis!$S$6-(IF(AND(Dados!$A1028&gt;=Imóveis!$Q$6,Dados!$A1028&lt;=Imóveis!$T$6),Imóveis!$S$6-(DATEDIF(Imóveis!$Q$6,Dados!$A1028,"m")),)))*(Imóveis!$N$6/Imóveis!$S$6)))*Imóveis!$P$6))))*IF(AND(Imóveis!$E$6&gt;0,Dados!$A1028&gt;Imóveis!$E$6),0,1)*Imóveis!$I$6</f>
        <v>0</v>
      </c>
      <c r="N1028" s="18">
        <f t="shared" si="133"/>
        <v>0</v>
      </c>
      <c r="O1028" s="18">
        <f>SUMIFS(Receitas!$F:$F,Receitas!$J:$J,"&lt;="&amp;$A1028,Receitas!$L:$L,"&gt;="&amp;$A1028,Receitas!$C:$C,O$1,Receitas!$M:$M,"Mensal")+SUMIFS(Receitas!$F:$F,Receitas!$J:$J,"&lt;="&amp;$A1028,Receitas!$L:$L,"&gt;="&amp;$A1028,Receitas!$C:$C,O$1,Receitas!$M:$M,$B1028)</f>
        <v>0</v>
      </c>
      <c r="P1028" s="18">
        <f>SUMIFS(Receitas!$F:$F,Receitas!$J:$J,"&lt;="&amp;$A1028,Receitas!$L:$L,"&gt;="&amp;$A1028,Receitas!$C:$C,P$1,Receitas!$M:$M,"Mensal")+SUMIFS(Receitas!$F:$F,Receitas!$J:$J,"&lt;="&amp;$A1028,Receitas!$L:$L,"&gt;="&amp;$A1028,Receitas!$C:$C,P$1,Receitas!$M:$M,$B1028)</f>
        <v>0</v>
      </c>
      <c r="Q1028" s="18">
        <f>SUMIFS(Receitas!$F:$F,Receitas!$J:$J,"&lt;="&amp;$A1028,Receitas!$L:$L,"&gt;="&amp;$A1028,Receitas!$C:$C,Q$1,Receitas!$M:$M,"Mensal")+SUMIFS(Receitas!$F:$F,Receitas!$J:$J,"&lt;="&amp;$A1028,Receitas!$L:$L,"&gt;="&amp;$A1028,Receitas!$C:$C,Q$1,Receitas!$M:$M,$B1028)</f>
        <v>0</v>
      </c>
      <c r="R1028" s="18" cm="1">
        <f t="array" ref="R1028">(IF(AND(Membros!$F$2="Sim",A1028&lt;=MAX(Membros!$E$2:$E$5)),Membros!K$2,IF(AND(A1028&gt;=Membros!J$2,A1028&lt;=MAX(Membros!$E$2:$E$5)),Membros!K$2,0))+IF(AND(Membros!$F$3="Sim",A1028&lt;=MAX(Membros!$E$2:$E$5)),Membros!K$3,IF(AND(A1028&gt;=Membros!J$3,A1028&lt;=MAX(Membros!$E$2:$E$5)),Membros!K$3,0)))*IF(AND(COUNTIFS(Tabela3[Tipo],"Provedor",Tabela3[Simulação Seguro],"Sim")=2,A1028&gt;=MAX(IF(Tabela3[Tipo]="Dependente",Tabela3[Expectativa de Vida (Data)]))),0,1)</f>
        <v>0</v>
      </c>
      <c r="S1028" s="18">
        <f t="shared" si="134"/>
        <v>0</v>
      </c>
      <c r="U1028" s="18">
        <f t="shared" ref="U1028:U1091" ca="1" si="137">Z1027</f>
        <v>135217225.50547132</v>
      </c>
      <c r="V1028" s="18">
        <f>SUMIF(Imóveis!E:E,Dados!A:A,Imóveis!Z:Z)-SUMIF(Imóveis!E:E,Dados!A:A,Imóveis!Y:Y)</f>
        <v>0</v>
      </c>
      <c r="W1028" s="18">
        <f>-SUMIF(Projetos!N:N,A1028,Projetos!F:F)</f>
        <v>0</v>
      </c>
      <c r="X1028" s="18">
        <f t="shared" si="131"/>
        <v>0</v>
      </c>
      <c r="Y1028" s="26">
        <f ca="1">(U1028*((Indicadores_Economicos!D$2+1)^(1/12)-1))</f>
        <v>442666.01037582319</v>
      </c>
      <c r="Z1028" s="18">
        <f t="shared" ca="1" si="135"/>
        <v>135659891.51584715</v>
      </c>
      <c r="AA1028" s="18">
        <f ca="1">Auxiliar_Projetos!E1028</f>
        <v>1.1182686028812197E-8</v>
      </c>
      <c r="AB1028" s="18">
        <f ca="1">Auxiliar_Projetos!K1028</f>
        <v>8.6020661760093794E-9</v>
      </c>
      <c r="AC1028" s="18">
        <f ca="1">IF(Z1028-AA1028-AB1028&gt;Investimentos!$C$14,Investimentos!$C$14,IF(Z1028-AA1028-AB1028&lt;Investimentos!$C$14,Z1028-AA1028-AB1028,0))</f>
        <v>300000</v>
      </c>
      <c r="AD1028" s="18">
        <f t="shared" ca="1" si="136"/>
        <v>135359891.51584715</v>
      </c>
      <c r="AE1028" s="18"/>
    </row>
    <row r="1029" spans="1:31" x14ac:dyDescent="0.2">
      <c r="A1029" s="4">
        <v>76915</v>
      </c>
      <c r="B1029" s="5" t="str">
        <f t="shared" si="132"/>
        <v>agosto</v>
      </c>
      <c r="C1029" s="5" t="str">
        <f t="shared" si="130"/>
        <v>2110</v>
      </c>
      <c r="D1029" s="5">
        <f>SUMIFS(Despesas!$F:$F,Despesas!$J:$J,"&lt;="&amp;$A1029,Despesas!$L:$L,"&gt;="&amp;$A1029,Despesas!$C:$C,D$1,Despesas!$M:$M,"Mensal")+SUMIFS(Despesas!$F:$F,Despesas!$J:$J,"&lt;="&amp;$A1029,Despesas!$L:$L,"&gt;="&amp;$A1029,Despesas!$C:$C,D$1,Despesas!$M:$M,$B1029)</f>
        <v>0</v>
      </c>
      <c r="E1029" s="18">
        <f>SUMIFS(Despesas!$F:$F,Despesas!$J:$J,"&lt;="&amp;$A1029,Despesas!$L:$L,"&gt;="&amp;$A1029,Despesas!$C:$C,E$1,Despesas!$M:$M,"Mensal")+SUMIFS(Despesas!$F:$F,Despesas!$J:$J,"&lt;="&amp;$A1029,Despesas!$L:$L,"&gt;="&amp;$A1029,Despesas!$C:$C,E$1,Despesas!$M:$M,$B1029)</f>
        <v>0</v>
      </c>
      <c r="F1029" s="5">
        <f>SUMIFS(Despesas!$F:$F,Despesas!$J:$J,"&lt;="&amp;$A1029,Despesas!$L:$L,"&gt;="&amp;$A1029,Despesas!$C:$C,F$1,Despesas!$M:$M,"Mensal")+SUMIFS(Despesas!$F:$F,Despesas!$J:$J,"&lt;="&amp;$A1029,Despesas!$L:$L,"&gt;="&amp;$A1029,Despesas!$C:$C,F$1,Despesas!$M:$M,$B1029)</f>
        <v>0</v>
      </c>
      <c r="G1029" s="5">
        <f>SUMIFS(Despesas!$F:$F,Despesas!$J:$J,"&lt;="&amp;$A1029,Despesas!$L:$L,"&gt;="&amp;$A1029,Despesas!$C:$C,G$1,Despesas!$M:$M,"Mensal")+SUMIFS(Despesas!$F:$F,Despesas!$J:$J,"&lt;="&amp;$A1029,Despesas!$L:$L,"&gt;="&amp;$A1029,Despesas!$C:$C,G$1,Despesas!$M:$M,$B1029)</f>
        <v>0</v>
      </c>
      <c r="H1029" s="18">
        <f>SUMIFS(Despesas!$F:$F,Despesas!$J:$J,"&lt;="&amp;$A1029,Despesas!$L:$L,"&gt;="&amp;$A1029,Despesas!$C:$C,H$1,Despesas!$M:$M,"Mensal")+SUMIFS(Despesas!$F:$F,Despesas!$J:$J,"&lt;="&amp;$A1029,Despesas!$L:$L,"&gt;="&amp;$A1029,Despesas!$C:$C,H$1,Despesas!$M:$M,$B1029)</f>
        <v>0</v>
      </c>
      <c r="I1029" s="18">
        <f>IF(Imóveis!$F$2="PRICE",IF(AND(Dados!$A1029&gt;=Imóveis!$Q$2,Dados!$A1029&lt;=Imóveis!$T$2),Imóveis!$U$2,0),IF((IF(AND(Dados!$A1029&gt;=Imóveis!$Q$2,Dados!$A1029&lt;=Imóveis!$T$2),Imóveis!$S$2-(DATEDIF(Imóveis!$Q$2,Dados!$A1029,"m")),0))=0,0,((Imóveis!$N$2/Imóveis!$S$2)+((Imóveis!$N$2-((Imóveis!$S$2-(IF(AND(Dados!$A1029&gt;=Imóveis!$Q$2,Dados!$A1029&lt;=Imóveis!$T$2),Imóveis!$S$2-(DATEDIF(Imóveis!$Q$2,Dados!$A1029,"m")),)))*(Imóveis!$N$2/Imóveis!$S$2)))*Imóveis!$P$2))))*IF(AND(Imóveis!$E$2&gt;0,Dados!$A1029&gt;Imóveis!$E$2),0,1)</f>
        <v>0</v>
      </c>
      <c r="J1029" s="18">
        <f>IF(Imóveis!$F$3="PRICE",IF(AND(Dados!$A1029&gt;=Imóveis!$Q$3,Dados!$A1029&lt;=Imóveis!$T$3),Imóveis!$U$3,0),IF((IF(AND(Dados!$A1029&gt;=Imóveis!$Q$3,Dados!$A1029&lt;=Imóveis!$T$3),Imóveis!$S$3-(DATEDIF(Imóveis!$Q$3,Dados!$A1029,"m")),0))=0,0,((Imóveis!$N$3/Imóveis!$S$3)+((Imóveis!$N$3-((Imóveis!$S$3-(IF(AND(Dados!$A1029&gt;=Imóveis!$Q$3,Dados!$A1029&lt;=Imóveis!$T$3),Imóveis!$S$3-(DATEDIF(Imóveis!$Q$3,Dados!$A1029,"m")),)))*(Imóveis!$N$3/Imóveis!$S$3)))*Imóveis!$P$3))))*IF(AND(Imóveis!$E$3&gt;0,Dados!$A1029&gt;Imóveis!$E$3),0,1)</f>
        <v>0</v>
      </c>
      <c r="K1029" s="18">
        <f>IF(Imóveis!$F$4="PRICE",IF(AND(Dados!$A1029&gt;=Imóveis!$Q$4,Dados!$A1029&lt;=Imóveis!$T$4),Imóveis!$U$4,0),IF((IF(AND(Dados!$A1029&gt;=Imóveis!$Q$4,Dados!$A1029&lt;=Imóveis!$T$4),Imóveis!$S$4-(DATEDIF(Imóveis!$Q$4,Dados!$A1029,"m")),0))=0,0,((Imóveis!$N$4/Imóveis!$S$4)+((Imóveis!$N$4-((Imóveis!$S$4-(IF(AND(Dados!$A1029&gt;=Imóveis!$Q$4,Dados!$A1029&lt;=Imóveis!$T$4),Imóveis!$S$4-(DATEDIF(Imóveis!$Q$4,Dados!$A1029,"m")),)))*(Imóveis!$N$4/Imóveis!$S$4)))*Imóveis!$P$4))))*IF(AND(Imóveis!$E$4&gt;0,Dados!$A1029&gt;Imóveis!$E$4),0,1)</f>
        <v>0</v>
      </c>
      <c r="L1029" s="18">
        <f>IF(Imóveis!$F$5="PRICE",IF(AND(Dados!$A1029&gt;=Imóveis!$Q$5,Dados!$A1029&lt;=Imóveis!$T$5),Imóveis!$U$5,0),IF((IF(AND(Dados!$A1029&gt;=Imóveis!$Q$5,Dados!$A1029&lt;=Imóveis!$T$5),Imóveis!$S$5-(DATEDIF(Imóveis!$Q$5,Dados!$A1029,"m")),0))=0,0,((Imóveis!$N$5/Imóveis!$S$5)+((Imóveis!$N$5-((Imóveis!$S$5-(IF(AND(Dados!$A1029 &gt;=Imóveis!$Q$5,Dados!$A1029&lt;=Imóveis!$T$5),Imóveis!$S$5-(DATEDIF(Imóveis!$Q$5,Dados!$A1029,"m")),)))*(Imóveis!$N$5/Imóveis!$S$5)))*Imóveis!$P$5))))*IF(AND(Imóveis!$E$5&gt;0,Dados!$A1029&gt;Imóveis!$E$5),0,1)*Imóveis!$I$5</f>
        <v>0</v>
      </c>
      <c r="M1029" s="18">
        <f>IF(Imóveis!$F$6="PRICE",IF(AND(Dados!$A1029&gt;=Imóveis!$Q$6,Dados!$A1029&lt;=Imóveis!$T$6),Imóveis!$U$6,0),IF((IF(AND(Dados!$A1029&gt;=Imóveis!$Q$6,Dados!$A1029&lt;=Imóveis!$T$6),Imóveis!$S$6-(DATEDIF(Imóveis!$Q$6,Dados!$A1029,"m")),0))=0,0,((Imóveis!$N$6/Imóveis!$S$6)+((Imóveis!$N$6-((Imóveis!$S$6-(IF(AND(Dados!$A1029&gt;=Imóveis!$Q$6,Dados!$A1029&lt;=Imóveis!$T$6),Imóveis!$S$6-(DATEDIF(Imóveis!$Q$6,Dados!$A1029,"m")),)))*(Imóveis!$N$6/Imóveis!$S$6)))*Imóveis!$P$6))))*IF(AND(Imóveis!$E$6&gt;0,Dados!$A1029&gt;Imóveis!$E$6),0,1)*Imóveis!$I$6</f>
        <v>0</v>
      </c>
      <c r="N1029" s="18">
        <f t="shared" si="133"/>
        <v>0</v>
      </c>
      <c r="O1029" s="18">
        <f>SUMIFS(Receitas!$F:$F,Receitas!$J:$J,"&lt;="&amp;$A1029,Receitas!$L:$L,"&gt;="&amp;$A1029,Receitas!$C:$C,O$1,Receitas!$M:$M,"Mensal")+SUMIFS(Receitas!$F:$F,Receitas!$J:$J,"&lt;="&amp;$A1029,Receitas!$L:$L,"&gt;="&amp;$A1029,Receitas!$C:$C,O$1,Receitas!$M:$M,$B1029)</f>
        <v>0</v>
      </c>
      <c r="P1029" s="18">
        <f>SUMIFS(Receitas!$F:$F,Receitas!$J:$J,"&lt;="&amp;$A1029,Receitas!$L:$L,"&gt;="&amp;$A1029,Receitas!$C:$C,P$1,Receitas!$M:$M,"Mensal")+SUMIFS(Receitas!$F:$F,Receitas!$J:$J,"&lt;="&amp;$A1029,Receitas!$L:$L,"&gt;="&amp;$A1029,Receitas!$C:$C,P$1,Receitas!$M:$M,$B1029)</f>
        <v>0</v>
      </c>
      <c r="Q1029" s="18">
        <f>SUMIFS(Receitas!$F:$F,Receitas!$J:$J,"&lt;="&amp;$A1029,Receitas!$L:$L,"&gt;="&amp;$A1029,Receitas!$C:$C,Q$1,Receitas!$M:$M,"Mensal")+SUMIFS(Receitas!$F:$F,Receitas!$J:$J,"&lt;="&amp;$A1029,Receitas!$L:$L,"&gt;="&amp;$A1029,Receitas!$C:$C,Q$1,Receitas!$M:$M,$B1029)</f>
        <v>0</v>
      </c>
      <c r="R1029" s="18" cm="1">
        <f t="array" ref="R1029">(IF(AND(Membros!$F$2="Sim",A1029&lt;=MAX(Membros!$E$2:$E$5)),Membros!K$2,IF(AND(A1029&gt;=Membros!J$2,A1029&lt;=MAX(Membros!$E$2:$E$5)),Membros!K$2,0))+IF(AND(Membros!$F$3="Sim",A1029&lt;=MAX(Membros!$E$2:$E$5)),Membros!K$3,IF(AND(A1029&gt;=Membros!J$3,A1029&lt;=MAX(Membros!$E$2:$E$5)),Membros!K$3,0)))*IF(AND(COUNTIFS(Tabela3[Tipo],"Provedor",Tabela3[Simulação Seguro],"Sim")=2,A1029&gt;=MAX(IF(Tabela3[Tipo]="Dependente",Tabela3[Expectativa de Vida (Data)]))),0,1)</f>
        <v>0</v>
      </c>
      <c r="S1029" s="18">
        <f t="shared" si="134"/>
        <v>0</v>
      </c>
      <c r="U1029" s="18">
        <f t="shared" ca="1" si="137"/>
        <v>135659891.51584715</v>
      </c>
      <c r="V1029" s="18">
        <f>SUMIF(Imóveis!E:E,Dados!A:A,Imóveis!Z:Z)-SUMIF(Imóveis!E:E,Dados!A:A,Imóveis!Y:Y)</f>
        <v>0</v>
      </c>
      <c r="W1029" s="18">
        <f>-SUMIF(Projetos!N:N,A1029,Projetos!F:F)</f>
        <v>0</v>
      </c>
      <c r="X1029" s="18">
        <f t="shared" si="131"/>
        <v>0</v>
      </c>
      <c r="Y1029" s="26">
        <f ca="1">(U1029*((Indicadores_Economicos!D$2+1)^(1/12)-1))</f>
        <v>444115.18370421778</v>
      </c>
      <c r="Z1029" s="18">
        <f t="shared" ca="1" si="135"/>
        <v>136104006.69955137</v>
      </c>
      <c r="AA1029" s="18">
        <f ca="1">Auxiliar_Projetos!E1029</f>
        <v>1.1219295232936559E-8</v>
      </c>
      <c r="AB1029" s="18">
        <f ca="1">Auxiliar_Projetos!K1029</f>
        <v>8.6302271022588894E-9</v>
      </c>
      <c r="AC1029" s="18">
        <f ca="1">IF(Z1029-AA1029-AB1029&gt;Investimentos!$C$14,Investimentos!$C$14,IF(Z1029-AA1029-AB1029&lt;Investimentos!$C$14,Z1029-AA1029-AB1029,0))</f>
        <v>300000</v>
      </c>
      <c r="AD1029" s="18">
        <f t="shared" ca="1" si="136"/>
        <v>135804006.69955137</v>
      </c>
      <c r="AE1029" s="18"/>
    </row>
    <row r="1030" spans="1:31" x14ac:dyDescent="0.2">
      <c r="A1030" s="4">
        <v>76946</v>
      </c>
      <c r="B1030" s="5" t="str">
        <f t="shared" si="132"/>
        <v>setembro</v>
      </c>
      <c r="C1030" s="5" t="str">
        <f t="shared" si="130"/>
        <v>2110</v>
      </c>
      <c r="D1030" s="5">
        <f>SUMIFS(Despesas!$F:$F,Despesas!$J:$J,"&lt;="&amp;$A1030,Despesas!$L:$L,"&gt;="&amp;$A1030,Despesas!$C:$C,D$1,Despesas!$M:$M,"Mensal")+SUMIFS(Despesas!$F:$F,Despesas!$J:$J,"&lt;="&amp;$A1030,Despesas!$L:$L,"&gt;="&amp;$A1030,Despesas!$C:$C,D$1,Despesas!$M:$M,$B1030)</f>
        <v>0</v>
      </c>
      <c r="E1030" s="18">
        <f>SUMIFS(Despesas!$F:$F,Despesas!$J:$J,"&lt;="&amp;$A1030,Despesas!$L:$L,"&gt;="&amp;$A1030,Despesas!$C:$C,E$1,Despesas!$M:$M,"Mensal")+SUMIFS(Despesas!$F:$F,Despesas!$J:$J,"&lt;="&amp;$A1030,Despesas!$L:$L,"&gt;="&amp;$A1030,Despesas!$C:$C,E$1,Despesas!$M:$M,$B1030)</f>
        <v>0</v>
      </c>
      <c r="F1030" s="5">
        <f>SUMIFS(Despesas!$F:$F,Despesas!$J:$J,"&lt;="&amp;$A1030,Despesas!$L:$L,"&gt;="&amp;$A1030,Despesas!$C:$C,F$1,Despesas!$M:$M,"Mensal")+SUMIFS(Despesas!$F:$F,Despesas!$J:$J,"&lt;="&amp;$A1030,Despesas!$L:$L,"&gt;="&amp;$A1030,Despesas!$C:$C,F$1,Despesas!$M:$M,$B1030)</f>
        <v>0</v>
      </c>
      <c r="G1030" s="5">
        <f>SUMIFS(Despesas!$F:$F,Despesas!$J:$J,"&lt;="&amp;$A1030,Despesas!$L:$L,"&gt;="&amp;$A1030,Despesas!$C:$C,G$1,Despesas!$M:$M,"Mensal")+SUMIFS(Despesas!$F:$F,Despesas!$J:$J,"&lt;="&amp;$A1030,Despesas!$L:$L,"&gt;="&amp;$A1030,Despesas!$C:$C,G$1,Despesas!$M:$M,$B1030)</f>
        <v>0</v>
      </c>
      <c r="H1030" s="18">
        <f>SUMIFS(Despesas!$F:$F,Despesas!$J:$J,"&lt;="&amp;$A1030,Despesas!$L:$L,"&gt;="&amp;$A1030,Despesas!$C:$C,H$1,Despesas!$M:$M,"Mensal")+SUMIFS(Despesas!$F:$F,Despesas!$J:$J,"&lt;="&amp;$A1030,Despesas!$L:$L,"&gt;="&amp;$A1030,Despesas!$C:$C,H$1,Despesas!$M:$M,$B1030)</f>
        <v>0</v>
      </c>
      <c r="I1030" s="18">
        <f>IF(Imóveis!$F$2="PRICE",IF(AND(Dados!$A1030&gt;=Imóveis!$Q$2,Dados!$A1030&lt;=Imóveis!$T$2),Imóveis!$U$2,0),IF((IF(AND(Dados!$A1030&gt;=Imóveis!$Q$2,Dados!$A1030&lt;=Imóveis!$T$2),Imóveis!$S$2-(DATEDIF(Imóveis!$Q$2,Dados!$A1030,"m")),0))=0,0,((Imóveis!$N$2/Imóveis!$S$2)+((Imóveis!$N$2-((Imóveis!$S$2-(IF(AND(Dados!$A1030&gt;=Imóveis!$Q$2,Dados!$A1030&lt;=Imóveis!$T$2),Imóveis!$S$2-(DATEDIF(Imóveis!$Q$2,Dados!$A1030,"m")),)))*(Imóveis!$N$2/Imóveis!$S$2)))*Imóveis!$P$2))))*IF(AND(Imóveis!$E$2&gt;0,Dados!$A1030&gt;Imóveis!$E$2),0,1)</f>
        <v>0</v>
      </c>
      <c r="J1030" s="18">
        <f>IF(Imóveis!$F$3="PRICE",IF(AND(Dados!$A1030&gt;=Imóveis!$Q$3,Dados!$A1030&lt;=Imóveis!$T$3),Imóveis!$U$3,0),IF((IF(AND(Dados!$A1030&gt;=Imóveis!$Q$3,Dados!$A1030&lt;=Imóveis!$T$3),Imóveis!$S$3-(DATEDIF(Imóveis!$Q$3,Dados!$A1030,"m")),0))=0,0,((Imóveis!$N$3/Imóveis!$S$3)+((Imóveis!$N$3-((Imóveis!$S$3-(IF(AND(Dados!$A1030&gt;=Imóveis!$Q$3,Dados!$A1030&lt;=Imóveis!$T$3),Imóveis!$S$3-(DATEDIF(Imóveis!$Q$3,Dados!$A1030,"m")),)))*(Imóveis!$N$3/Imóveis!$S$3)))*Imóveis!$P$3))))*IF(AND(Imóveis!$E$3&gt;0,Dados!$A1030&gt;Imóveis!$E$3),0,1)</f>
        <v>0</v>
      </c>
      <c r="K1030" s="18">
        <f>IF(Imóveis!$F$4="PRICE",IF(AND(Dados!$A1030&gt;=Imóveis!$Q$4,Dados!$A1030&lt;=Imóveis!$T$4),Imóveis!$U$4,0),IF((IF(AND(Dados!$A1030&gt;=Imóveis!$Q$4,Dados!$A1030&lt;=Imóveis!$T$4),Imóveis!$S$4-(DATEDIF(Imóveis!$Q$4,Dados!$A1030,"m")),0))=0,0,((Imóveis!$N$4/Imóveis!$S$4)+((Imóveis!$N$4-((Imóveis!$S$4-(IF(AND(Dados!$A1030&gt;=Imóveis!$Q$4,Dados!$A1030&lt;=Imóveis!$T$4),Imóveis!$S$4-(DATEDIF(Imóveis!$Q$4,Dados!$A1030,"m")),)))*(Imóveis!$N$4/Imóveis!$S$4)))*Imóveis!$P$4))))*IF(AND(Imóveis!$E$4&gt;0,Dados!$A1030&gt;Imóveis!$E$4),0,1)</f>
        <v>0</v>
      </c>
      <c r="L1030" s="18">
        <f>IF(Imóveis!$F$5="PRICE",IF(AND(Dados!$A1030&gt;=Imóveis!$Q$5,Dados!$A1030&lt;=Imóveis!$T$5),Imóveis!$U$5,0),IF((IF(AND(Dados!$A1030&gt;=Imóveis!$Q$5,Dados!$A1030&lt;=Imóveis!$T$5),Imóveis!$S$5-(DATEDIF(Imóveis!$Q$5,Dados!$A1030,"m")),0))=0,0,((Imóveis!$N$5/Imóveis!$S$5)+((Imóveis!$N$5-((Imóveis!$S$5-(IF(AND(Dados!$A1030 &gt;=Imóveis!$Q$5,Dados!$A1030&lt;=Imóveis!$T$5),Imóveis!$S$5-(DATEDIF(Imóveis!$Q$5,Dados!$A1030,"m")),)))*(Imóveis!$N$5/Imóveis!$S$5)))*Imóveis!$P$5))))*IF(AND(Imóveis!$E$5&gt;0,Dados!$A1030&gt;Imóveis!$E$5),0,1)*Imóveis!$I$5</f>
        <v>0</v>
      </c>
      <c r="M1030" s="18">
        <f>IF(Imóveis!$F$6="PRICE",IF(AND(Dados!$A1030&gt;=Imóveis!$Q$6,Dados!$A1030&lt;=Imóveis!$T$6),Imóveis!$U$6,0),IF((IF(AND(Dados!$A1030&gt;=Imóveis!$Q$6,Dados!$A1030&lt;=Imóveis!$T$6),Imóveis!$S$6-(DATEDIF(Imóveis!$Q$6,Dados!$A1030,"m")),0))=0,0,((Imóveis!$N$6/Imóveis!$S$6)+((Imóveis!$N$6-((Imóveis!$S$6-(IF(AND(Dados!$A1030&gt;=Imóveis!$Q$6,Dados!$A1030&lt;=Imóveis!$T$6),Imóveis!$S$6-(DATEDIF(Imóveis!$Q$6,Dados!$A1030,"m")),)))*(Imóveis!$N$6/Imóveis!$S$6)))*Imóveis!$P$6))))*IF(AND(Imóveis!$E$6&gt;0,Dados!$A1030&gt;Imóveis!$E$6),0,1)*Imóveis!$I$6</f>
        <v>0</v>
      </c>
      <c r="N1030" s="18">
        <f t="shared" si="133"/>
        <v>0</v>
      </c>
      <c r="O1030" s="18">
        <f>SUMIFS(Receitas!$F:$F,Receitas!$J:$J,"&lt;="&amp;$A1030,Receitas!$L:$L,"&gt;="&amp;$A1030,Receitas!$C:$C,O$1,Receitas!$M:$M,"Mensal")+SUMIFS(Receitas!$F:$F,Receitas!$J:$J,"&lt;="&amp;$A1030,Receitas!$L:$L,"&gt;="&amp;$A1030,Receitas!$C:$C,O$1,Receitas!$M:$M,$B1030)</f>
        <v>0</v>
      </c>
      <c r="P1030" s="18">
        <f>SUMIFS(Receitas!$F:$F,Receitas!$J:$J,"&lt;="&amp;$A1030,Receitas!$L:$L,"&gt;="&amp;$A1030,Receitas!$C:$C,P$1,Receitas!$M:$M,"Mensal")+SUMIFS(Receitas!$F:$F,Receitas!$J:$J,"&lt;="&amp;$A1030,Receitas!$L:$L,"&gt;="&amp;$A1030,Receitas!$C:$C,P$1,Receitas!$M:$M,$B1030)</f>
        <v>0</v>
      </c>
      <c r="Q1030" s="18">
        <f>SUMIFS(Receitas!$F:$F,Receitas!$J:$J,"&lt;="&amp;$A1030,Receitas!$L:$L,"&gt;="&amp;$A1030,Receitas!$C:$C,Q$1,Receitas!$M:$M,"Mensal")+SUMIFS(Receitas!$F:$F,Receitas!$J:$J,"&lt;="&amp;$A1030,Receitas!$L:$L,"&gt;="&amp;$A1030,Receitas!$C:$C,Q$1,Receitas!$M:$M,$B1030)</f>
        <v>0</v>
      </c>
      <c r="R1030" s="18" cm="1">
        <f t="array" ref="R1030">(IF(AND(Membros!$F$2="Sim",A1030&lt;=MAX(Membros!$E$2:$E$5)),Membros!K$2,IF(AND(A1030&gt;=Membros!J$2,A1030&lt;=MAX(Membros!$E$2:$E$5)),Membros!K$2,0))+IF(AND(Membros!$F$3="Sim",A1030&lt;=MAX(Membros!$E$2:$E$5)),Membros!K$3,IF(AND(A1030&gt;=Membros!J$3,A1030&lt;=MAX(Membros!$E$2:$E$5)),Membros!K$3,0)))*IF(AND(COUNTIFS(Tabela3[Tipo],"Provedor",Tabela3[Simulação Seguro],"Sim")=2,A1030&gt;=MAX(IF(Tabela3[Tipo]="Dependente",Tabela3[Expectativa de Vida (Data)]))),0,1)</f>
        <v>0</v>
      </c>
      <c r="S1030" s="18">
        <f t="shared" si="134"/>
        <v>0</v>
      </c>
      <c r="U1030" s="18">
        <f t="shared" ca="1" si="137"/>
        <v>136104006.69955137</v>
      </c>
      <c r="V1030" s="18">
        <f>SUMIF(Imóveis!E:E,Dados!A:A,Imóveis!Z:Z)-SUMIF(Imóveis!E:E,Dados!A:A,Imóveis!Y:Y)</f>
        <v>0</v>
      </c>
      <c r="W1030" s="18">
        <f>-SUMIF(Projetos!N:N,A1030,Projetos!F:F)</f>
        <v>0</v>
      </c>
      <c r="X1030" s="18">
        <f t="shared" si="131"/>
        <v>0</v>
      </c>
      <c r="Y1030" s="26">
        <f ca="1">(U1030*((Indicadores_Economicos!D$2+1)^(1/12)-1))</f>
        <v>445569.10124898894</v>
      </c>
      <c r="Z1030" s="18">
        <f t="shared" ca="1" si="135"/>
        <v>136549575.80080035</v>
      </c>
      <c r="AA1030" s="18">
        <f ca="1">Auxiliar_Projetos!E1030</f>
        <v>1.1256024286068859E-8</v>
      </c>
      <c r="AB1030" s="18">
        <f ca="1">Auxiliar_Projetos!K1030</f>
        <v>8.6584802200529654E-9</v>
      </c>
      <c r="AC1030" s="18">
        <f ca="1">IF(Z1030-AA1030-AB1030&gt;Investimentos!$C$14,Investimentos!$C$14,IF(Z1030-AA1030-AB1030&lt;Investimentos!$C$14,Z1030-AA1030-AB1030,0))</f>
        <v>300000</v>
      </c>
      <c r="AD1030" s="18">
        <f t="shared" ca="1" si="136"/>
        <v>136249575.80080035</v>
      </c>
      <c r="AE1030" s="18"/>
    </row>
    <row r="1031" spans="1:31" x14ac:dyDescent="0.2">
      <c r="A1031" s="4">
        <v>76976</v>
      </c>
      <c r="B1031" s="5" t="str">
        <f t="shared" si="132"/>
        <v>outubro</v>
      </c>
      <c r="C1031" s="5" t="str">
        <f t="shared" si="130"/>
        <v>2110</v>
      </c>
      <c r="D1031" s="5">
        <f>SUMIFS(Despesas!$F:$F,Despesas!$J:$J,"&lt;="&amp;$A1031,Despesas!$L:$L,"&gt;="&amp;$A1031,Despesas!$C:$C,D$1,Despesas!$M:$M,"Mensal")+SUMIFS(Despesas!$F:$F,Despesas!$J:$J,"&lt;="&amp;$A1031,Despesas!$L:$L,"&gt;="&amp;$A1031,Despesas!$C:$C,D$1,Despesas!$M:$M,$B1031)</f>
        <v>0</v>
      </c>
      <c r="E1031" s="18">
        <f>SUMIFS(Despesas!$F:$F,Despesas!$J:$J,"&lt;="&amp;$A1031,Despesas!$L:$L,"&gt;="&amp;$A1031,Despesas!$C:$C,E$1,Despesas!$M:$M,"Mensal")+SUMIFS(Despesas!$F:$F,Despesas!$J:$J,"&lt;="&amp;$A1031,Despesas!$L:$L,"&gt;="&amp;$A1031,Despesas!$C:$C,E$1,Despesas!$M:$M,$B1031)</f>
        <v>0</v>
      </c>
      <c r="F1031" s="5">
        <f>SUMIFS(Despesas!$F:$F,Despesas!$J:$J,"&lt;="&amp;$A1031,Despesas!$L:$L,"&gt;="&amp;$A1031,Despesas!$C:$C,F$1,Despesas!$M:$M,"Mensal")+SUMIFS(Despesas!$F:$F,Despesas!$J:$J,"&lt;="&amp;$A1031,Despesas!$L:$L,"&gt;="&amp;$A1031,Despesas!$C:$C,F$1,Despesas!$M:$M,$B1031)</f>
        <v>0</v>
      </c>
      <c r="G1031" s="5">
        <f>SUMIFS(Despesas!$F:$F,Despesas!$J:$J,"&lt;="&amp;$A1031,Despesas!$L:$L,"&gt;="&amp;$A1031,Despesas!$C:$C,G$1,Despesas!$M:$M,"Mensal")+SUMIFS(Despesas!$F:$F,Despesas!$J:$J,"&lt;="&amp;$A1031,Despesas!$L:$L,"&gt;="&amp;$A1031,Despesas!$C:$C,G$1,Despesas!$M:$M,$B1031)</f>
        <v>0</v>
      </c>
      <c r="H1031" s="18">
        <f>SUMIFS(Despesas!$F:$F,Despesas!$J:$J,"&lt;="&amp;$A1031,Despesas!$L:$L,"&gt;="&amp;$A1031,Despesas!$C:$C,H$1,Despesas!$M:$M,"Mensal")+SUMIFS(Despesas!$F:$F,Despesas!$J:$J,"&lt;="&amp;$A1031,Despesas!$L:$L,"&gt;="&amp;$A1031,Despesas!$C:$C,H$1,Despesas!$M:$M,$B1031)</f>
        <v>0</v>
      </c>
      <c r="I1031" s="18">
        <f>IF(Imóveis!$F$2="PRICE",IF(AND(Dados!$A1031&gt;=Imóveis!$Q$2,Dados!$A1031&lt;=Imóveis!$T$2),Imóveis!$U$2,0),IF((IF(AND(Dados!$A1031&gt;=Imóveis!$Q$2,Dados!$A1031&lt;=Imóveis!$T$2),Imóveis!$S$2-(DATEDIF(Imóveis!$Q$2,Dados!$A1031,"m")),0))=0,0,((Imóveis!$N$2/Imóveis!$S$2)+((Imóveis!$N$2-((Imóveis!$S$2-(IF(AND(Dados!$A1031&gt;=Imóveis!$Q$2,Dados!$A1031&lt;=Imóveis!$T$2),Imóveis!$S$2-(DATEDIF(Imóveis!$Q$2,Dados!$A1031,"m")),)))*(Imóveis!$N$2/Imóveis!$S$2)))*Imóveis!$P$2))))*IF(AND(Imóveis!$E$2&gt;0,Dados!$A1031&gt;Imóveis!$E$2),0,1)</f>
        <v>0</v>
      </c>
      <c r="J1031" s="18">
        <f>IF(Imóveis!$F$3="PRICE",IF(AND(Dados!$A1031&gt;=Imóveis!$Q$3,Dados!$A1031&lt;=Imóveis!$T$3),Imóveis!$U$3,0),IF((IF(AND(Dados!$A1031&gt;=Imóveis!$Q$3,Dados!$A1031&lt;=Imóveis!$T$3),Imóveis!$S$3-(DATEDIF(Imóveis!$Q$3,Dados!$A1031,"m")),0))=0,0,((Imóveis!$N$3/Imóveis!$S$3)+((Imóveis!$N$3-((Imóveis!$S$3-(IF(AND(Dados!$A1031&gt;=Imóveis!$Q$3,Dados!$A1031&lt;=Imóveis!$T$3),Imóveis!$S$3-(DATEDIF(Imóveis!$Q$3,Dados!$A1031,"m")),)))*(Imóveis!$N$3/Imóveis!$S$3)))*Imóveis!$P$3))))*IF(AND(Imóveis!$E$3&gt;0,Dados!$A1031&gt;Imóveis!$E$3),0,1)</f>
        <v>0</v>
      </c>
      <c r="K1031" s="18">
        <f>IF(Imóveis!$F$4="PRICE",IF(AND(Dados!$A1031&gt;=Imóveis!$Q$4,Dados!$A1031&lt;=Imóveis!$T$4),Imóveis!$U$4,0),IF((IF(AND(Dados!$A1031&gt;=Imóveis!$Q$4,Dados!$A1031&lt;=Imóveis!$T$4),Imóveis!$S$4-(DATEDIF(Imóveis!$Q$4,Dados!$A1031,"m")),0))=0,0,((Imóveis!$N$4/Imóveis!$S$4)+((Imóveis!$N$4-((Imóveis!$S$4-(IF(AND(Dados!$A1031&gt;=Imóveis!$Q$4,Dados!$A1031&lt;=Imóveis!$T$4),Imóveis!$S$4-(DATEDIF(Imóveis!$Q$4,Dados!$A1031,"m")),)))*(Imóveis!$N$4/Imóveis!$S$4)))*Imóveis!$P$4))))*IF(AND(Imóveis!$E$4&gt;0,Dados!$A1031&gt;Imóveis!$E$4),0,1)</f>
        <v>0</v>
      </c>
      <c r="L1031" s="18">
        <f>IF(Imóveis!$F$5="PRICE",IF(AND(Dados!$A1031&gt;=Imóveis!$Q$5,Dados!$A1031&lt;=Imóveis!$T$5),Imóveis!$U$5,0),IF((IF(AND(Dados!$A1031&gt;=Imóveis!$Q$5,Dados!$A1031&lt;=Imóveis!$T$5),Imóveis!$S$5-(DATEDIF(Imóveis!$Q$5,Dados!$A1031,"m")),0))=0,0,((Imóveis!$N$5/Imóveis!$S$5)+((Imóveis!$N$5-((Imóveis!$S$5-(IF(AND(Dados!$A1031 &gt;=Imóveis!$Q$5,Dados!$A1031&lt;=Imóveis!$T$5),Imóveis!$S$5-(DATEDIF(Imóveis!$Q$5,Dados!$A1031,"m")),)))*(Imóveis!$N$5/Imóveis!$S$5)))*Imóveis!$P$5))))*IF(AND(Imóveis!$E$5&gt;0,Dados!$A1031&gt;Imóveis!$E$5),0,1)*Imóveis!$I$5</f>
        <v>0</v>
      </c>
      <c r="M1031" s="18">
        <f>IF(Imóveis!$F$6="PRICE",IF(AND(Dados!$A1031&gt;=Imóveis!$Q$6,Dados!$A1031&lt;=Imóveis!$T$6),Imóveis!$U$6,0),IF((IF(AND(Dados!$A1031&gt;=Imóveis!$Q$6,Dados!$A1031&lt;=Imóveis!$T$6),Imóveis!$S$6-(DATEDIF(Imóveis!$Q$6,Dados!$A1031,"m")),0))=0,0,((Imóveis!$N$6/Imóveis!$S$6)+((Imóveis!$N$6-((Imóveis!$S$6-(IF(AND(Dados!$A1031&gt;=Imóveis!$Q$6,Dados!$A1031&lt;=Imóveis!$T$6),Imóveis!$S$6-(DATEDIF(Imóveis!$Q$6,Dados!$A1031,"m")),)))*(Imóveis!$N$6/Imóveis!$S$6)))*Imóveis!$P$6))))*IF(AND(Imóveis!$E$6&gt;0,Dados!$A1031&gt;Imóveis!$E$6),0,1)*Imóveis!$I$6</f>
        <v>0</v>
      </c>
      <c r="N1031" s="18">
        <f t="shared" si="133"/>
        <v>0</v>
      </c>
      <c r="O1031" s="18">
        <f>SUMIFS(Receitas!$F:$F,Receitas!$J:$J,"&lt;="&amp;$A1031,Receitas!$L:$L,"&gt;="&amp;$A1031,Receitas!$C:$C,O$1,Receitas!$M:$M,"Mensal")+SUMIFS(Receitas!$F:$F,Receitas!$J:$J,"&lt;="&amp;$A1031,Receitas!$L:$L,"&gt;="&amp;$A1031,Receitas!$C:$C,O$1,Receitas!$M:$M,$B1031)</f>
        <v>0</v>
      </c>
      <c r="P1031" s="18">
        <f>SUMIFS(Receitas!$F:$F,Receitas!$J:$J,"&lt;="&amp;$A1031,Receitas!$L:$L,"&gt;="&amp;$A1031,Receitas!$C:$C,P$1,Receitas!$M:$M,"Mensal")+SUMIFS(Receitas!$F:$F,Receitas!$J:$J,"&lt;="&amp;$A1031,Receitas!$L:$L,"&gt;="&amp;$A1031,Receitas!$C:$C,P$1,Receitas!$M:$M,$B1031)</f>
        <v>0</v>
      </c>
      <c r="Q1031" s="18">
        <f>SUMIFS(Receitas!$F:$F,Receitas!$J:$J,"&lt;="&amp;$A1031,Receitas!$L:$L,"&gt;="&amp;$A1031,Receitas!$C:$C,Q$1,Receitas!$M:$M,"Mensal")+SUMIFS(Receitas!$F:$F,Receitas!$J:$J,"&lt;="&amp;$A1031,Receitas!$L:$L,"&gt;="&amp;$A1031,Receitas!$C:$C,Q$1,Receitas!$M:$M,$B1031)</f>
        <v>0</v>
      </c>
      <c r="R1031" s="18" cm="1">
        <f t="array" ref="R1031">(IF(AND(Membros!$F$2="Sim",A1031&lt;=MAX(Membros!$E$2:$E$5)),Membros!K$2,IF(AND(A1031&gt;=Membros!J$2,A1031&lt;=MAX(Membros!$E$2:$E$5)),Membros!K$2,0))+IF(AND(Membros!$F$3="Sim",A1031&lt;=MAX(Membros!$E$2:$E$5)),Membros!K$3,IF(AND(A1031&gt;=Membros!J$3,A1031&lt;=MAX(Membros!$E$2:$E$5)),Membros!K$3,0)))*IF(AND(COUNTIFS(Tabela3[Tipo],"Provedor",Tabela3[Simulação Seguro],"Sim")=2,A1031&gt;=MAX(IF(Tabela3[Tipo]="Dependente",Tabela3[Expectativa de Vida (Data)]))),0,1)</f>
        <v>0</v>
      </c>
      <c r="S1031" s="18">
        <f t="shared" si="134"/>
        <v>0</v>
      </c>
      <c r="U1031" s="18">
        <f t="shared" ca="1" si="137"/>
        <v>136549575.80080035</v>
      </c>
      <c r="V1031" s="18">
        <f>SUMIF(Imóveis!E:E,Dados!A:A,Imóveis!Z:Z)-SUMIF(Imóveis!E:E,Dados!A:A,Imóveis!Y:Y)</f>
        <v>0</v>
      </c>
      <c r="W1031" s="18">
        <f>-SUMIF(Projetos!N:N,A1031,Projetos!F:F)</f>
        <v>0</v>
      </c>
      <c r="X1031" s="18">
        <f t="shared" si="131"/>
        <v>0</v>
      </c>
      <c r="Y1031" s="26">
        <f ca="1">(U1031*((Indicadores_Economicos!D$2+1)^(1/12)-1))</f>
        <v>447027.77854146634</v>
      </c>
      <c r="Z1031" s="18">
        <f t="shared" ca="1" si="135"/>
        <v>136996603.57934183</v>
      </c>
      <c r="AA1031" s="18">
        <f ca="1">Auxiliar_Projetos!E1031</f>
        <v>1.1292873580563558E-8</v>
      </c>
      <c r="AB1031" s="18">
        <f ca="1">Auxiliar_Projetos!K1031</f>
        <v>8.686825831202736E-9</v>
      </c>
      <c r="AC1031" s="18">
        <f ca="1">IF(Z1031-AA1031-AB1031&gt;Investimentos!$C$14,Investimentos!$C$14,IF(Z1031-AA1031-AB1031&lt;Investimentos!$C$14,Z1031-AA1031-AB1031,0))</f>
        <v>300000</v>
      </c>
      <c r="AD1031" s="18">
        <f t="shared" ca="1" si="136"/>
        <v>136696603.57934183</v>
      </c>
      <c r="AE1031" s="18"/>
    </row>
    <row r="1032" spans="1:31" x14ac:dyDescent="0.2">
      <c r="A1032" s="4">
        <v>77007</v>
      </c>
      <c r="B1032" s="5" t="str">
        <f t="shared" si="132"/>
        <v>novembro</v>
      </c>
      <c r="C1032" s="5" t="str">
        <f t="shared" si="130"/>
        <v>2110</v>
      </c>
      <c r="D1032" s="5">
        <f>SUMIFS(Despesas!$F:$F,Despesas!$J:$J,"&lt;="&amp;$A1032,Despesas!$L:$L,"&gt;="&amp;$A1032,Despesas!$C:$C,D$1,Despesas!$M:$M,"Mensal")+SUMIFS(Despesas!$F:$F,Despesas!$J:$J,"&lt;="&amp;$A1032,Despesas!$L:$L,"&gt;="&amp;$A1032,Despesas!$C:$C,D$1,Despesas!$M:$M,$B1032)</f>
        <v>0</v>
      </c>
      <c r="E1032" s="18">
        <f>SUMIFS(Despesas!$F:$F,Despesas!$J:$J,"&lt;="&amp;$A1032,Despesas!$L:$L,"&gt;="&amp;$A1032,Despesas!$C:$C,E$1,Despesas!$M:$M,"Mensal")+SUMIFS(Despesas!$F:$F,Despesas!$J:$J,"&lt;="&amp;$A1032,Despesas!$L:$L,"&gt;="&amp;$A1032,Despesas!$C:$C,E$1,Despesas!$M:$M,$B1032)</f>
        <v>0</v>
      </c>
      <c r="F1032" s="5">
        <f>SUMIFS(Despesas!$F:$F,Despesas!$J:$J,"&lt;="&amp;$A1032,Despesas!$L:$L,"&gt;="&amp;$A1032,Despesas!$C:$C,F$1,Despesas!$M:$M,"Mensal")+SUMIFS(Despesas!$F:$F,Despesas!$J:$J,"&lt;="&amp;$A1032,Despesas!$L:$L,"&gt;="&amp;$A1032,Despesas!$C:$C,F$1,Despesas!$M:$M,$B1032)</f>
        <v>0</v>
      </c>
      <c r="G1032" s="5">
        <f>SUMIFS(Despesas!$F:$F,Despesas!$J:$J,"&lt;="&amp;$A1032,Despesas!$L:$L,"&gt;="&amp;$A1032,Despesas!$C:$C,G$1,Despesas!$M:$M,"Mensal")+SUMIFS(Despesas!$F:$F,Despesas!$J:$J,"&lt;="&amp;$A1032,Despesas!$L:$L,"&gt;="&amp;$A1032,Despesas!$C:$C,G$1,Despesas!$M:$M,$B1032)</f>
        <v>0</v>
      </c>
      <c r="H1032" s="18">
        <f>SUMIFS(Despesas!$F:$F,Despesas!$J:$J,"&lt;="&amp;$A1032,Despesas!$L:$L,"&gt;="&amp;$A1032,Despesas!$C:$C,H$1,Despesas!$M:$M,"Mensal")+SUMIFS(Despesas!$F:$F,Despesas!$J:$J,"&lt;="&amp;$A1032,Despesas!$L:$L,"&gt;="&amp;$A1032,Despesas!$C:$C,H$1,Despesas!$M:$M,$B1032)</f>
        <v>0</v>
      </c>
      <c r="I1032" s="18">
        <f>IF(Imóveis!$F$2="PRICE",IF(AND(Dados!$A1032&gt;=Imóveis!$Q$2,Dados!$A1032&lt;=Imóveis!$T$2),Imóveis!$U$2,0),IF((IF(AND(Dados!$A1032&gt;=Imóveis!$Q$2,Dados!$A1032&lt;=Imóveis!$T$2),Imóveis!$S$2-(DATEDIF(Imóveis!$Q$2,Dados!$A1032,"m")),0))=0,0,((Imóveis!$N$2/Imóveis!$S$2)+((Imóveis!$N$2-((Imóveis!$S$2-(IF(AND(Dados!$A1032&gt;=Imóveis!$Q$2,Dados!$A1032&lt;=Imóveis!$T$2),Imóveis!$S$2-(DATEDIF(Imóveis!$Q$2,Dados!$A1032,"m")),)))*(Imóveis!$N$2/Imóveis!$S$2)))*Imóveis!$P$2))))*IF(AND(Imóveis!$E$2&gt;0,Dados!$A1032&gt;Imóveis!$E$2),0,1)</f>
        <v>0</v>
      </c>
      <c r="J1032" s="18">
        <f>IF(Imóveis!$F$3="PRICE",IF(AND(Dados!$A1032&gt;=Imóveis!$Q$3,Dados!$A1032&lt;=Imóveis!$T$3),Imóveis!$U$3,0),IF((IF(AND(Dados!$A1032&gt;=Imóveis!$Q$3,Dados!$A1032&lt;=Imóveis!$T$3),Imóveis!$S$3-(DATEDIF(Imóveis!$Q$3,Dados!$A1032,"m")),0))=0,0,((Imóveis!$N$3/Imóveis!$S$3)+((Imóveis!$N$3-((Imóveis!$S$3-(IF(AND(Dados!$A1032&gt;=Imóveis!$Q$3,Dados!$A1032&lt;=Imóveis!$T$3),Imóveis!$S$3-(DATEDIF(Imóveis!$Q$3,Dados!$A1032,"m")),)))*(Imóveis!$N$3/Imóveis!$S$3)))*Imóveis!$P$3))))*IF(AND(Imóveis!$E$3&gt;0,Dados!$A1032&gt;Imóveis!$E$3),0,1)</f>
        <v>0</v>
      </c>
      <c r="K1032" s="18">
        <f>IF(Imóveis!$F$4="PRICE",IF(AND(Dados!$A1032&gt;=Imóveis!$Q$4,Dados!$A1032&lt;=Imóveis!$T$4),Imóveis!$U$4,0),IF((IF(AND(Dados!$A1032&gt;=Imóveis!$Q$4,Dados!$A1032&lt;=Imóveis!$T$4),Imóveis!$S$4-(DATEDIF(Imóveis!$Q$4,Dados!$A1032,"m")),0))=0,0,((Imóveis!$N$4/Imóveis!$S$4)+((Imóveis!$N$4-((Imóveis!$S$4-(IF(AND(Dados!$A1032&gt;=Imóveis!$Q$4,Dados!$A1032&lt;=Imóveis!$T$4),Imóveis!$S$4-(DATEDIF(Imóveis!$Q$4,Dados!$A1032,"m")),)))*(Imóveis!$N$4/Imóveis!$S$4)))*Imóveis!$P$4))))*IF(AND(Imóveis!$E$4&gt;0,Dados!$A1032&gt;Imóveis!$E$4),0,1)</f>
        <v>0</v>
      </c>
      <c r="L1032" s="18">
        <f>IF(Imóveis!$F$5="PRICE",IF(AND(Dados!$A1032&gt;=Imóveis!$Q$5,Dados!$A1032&lt;=Imóveis!$T$5),Imóveis!$U$5,0),IF((IF(AND(Dados!$A1032&gt;=Imóveis!$Q$5,Dados!$A1032&lt;=Imóveis!$T$5),Imóveis!$S$5-(DATEDIF(Imóveis!$Q$5,Dados!$A1032,"m")),0))=0,0,((Imóveis!$N$5/Imóveis!$S$5)+((Imóveis!$N$5-((Imóveis!$S$5-(IF(AND(Dados!$A1032 &gt;=Imóveis!$Q$5,Dados!$A1032&lt;=Imóveis!$T$5),Imóveis!$S$5-(DATEDIF(Imóveis!$Q$5,Dados!$A1032,"m")),)))*(Imóveis!$N$5/Imóveis!$S$5)))*Imóveis!$P$5))))*IF(AND(Imóveis!$E$5&gt;0,Dados!$A1032&gt;Imóveis!$E$5),0,1)*Imóveis!$I$5</f>
        <v>0</v>
      </c>
      <c r="M1032" s="18">
        <f>IF(Imóveis!$F$6="PRICE",IF(AND(Dados!$A1032&gt;=Imóveis!$Q$6,Dados!$A1032&lt;=Imóveis!$T$6),Imóveis!$U$6,0),IF((IF(AND(Dados!$A1032&gt;=Imóveis!$Q$6,Dados!$A1032&lt;=Imóveis!$T$6),Imóveis!$S$6-(DATEDIF(Imóveis!$Q$6,Dados!$A1032,"m")),0))=0,0,((Imóveis!$N$6/Imóveis!$S$6)+((Imóveis!$N$6-((Imóveis!$S$6-(IF(AND(Dados!$A1032&gt;=Imóveis!$Q$6,Dados!$A1032&lt;=Imóveis!$T$6),Imóveis!$S$6-(DATEDIF(Imóveis!$Q$6,Dados!$A1032,"m")),)))*(Imóveis!$N$6/Imóveis!$S$6)))*Imóveis!$P$6))))*IF(AND(Imóveis!$E$6&gt;0,Dados!$A1032&gt;Imóveis!$E$6),0,1)*Imóveis!$I$6</f>
        <v>0</v>
      </c>
      <c r="N1032" s="18">
        <f t="shared" si="133"/>
        <v>0</v>
      </c>
      <c r="O1032" s="18">
        <f>SUMIFS(Receitas!$F:$F,Receitas!$J:$J,"&lt;="&amp;$A1032,Receitas!$L:$L,"&gt;="&amp;$A1032,Receitas!$C:$C,O$1,Receitas!$M:$M,"Mensal")+SUMIFS(Receitas!$F:$F,Receitas!$J:$J,"&lt;="&amp;$A1032,Receitas!$L:$L,"&gt;="&amp;$A1032,Receitas!$C:$C,O$1,Receitas!$M:$M,$B1032)</f>
        <v>0</v>
      </c>
      <c r="P1032" s="18">
        <f>SUMIFS(Receitas!$F:$F,Receitas!$J:$J,"&lt;="&amp;$A1032,Receitas!$L:$L,"&gt;="&amp;$A1032,Receitas!$C:$C,P$1,Receitas!$M:$M,"Mensal")+SUMIFS(Receitas!$F:$F,Receitas!$J:$J,"&lt;="&amp;$A1032,Receitas!$L:$L,"&gt;="&amp;$A1032,Receitas!$C:$C,P$1,Receitas!$M:$M,$B1032)</f>
        <v>0</v>
      </c>
      <c r="Q1032" s="18">
        <f>SUMIFS(Receitas!$F:$F,Receitas!$J:$J,"&lt;="&amp;$A1032,Receitas!$L:$L,"&gt;="&amp;$A1032,Receitas!$C:$C,Q$1,Receitas!$M:$M,"Mensal")+SUMIFS(Receitas!$F:$F,Receitas!$J:$J,"&lt;="&amp;$A1032,Receitas!$L:$L,"&gt;="&amp;$A1032,Receitas!$C:$C,Q$1,Receitas!$M:$M,$B1032)</f>
        <v>0</v>
      </c>
      <c r="R1032" s="18" cm="1">
        <f t="array" ref="R1032">(IF(AND(Membros!$F$2="Sim",A1032&lt;=MAX(Membros!$E$2:$E$5)),Membros!K$2,IF(AND(A1032&gt;=Membros!J$2,A1032&lt;=MAX(Membros!$E$2:$E$5)),Membros!K$2,0))+IF(AND(Membros!$F$3="Sim",A1032&lt;=MAX(Membros!$E$2:$E$5)),Membros!K$3,IF(AND(A1032&gt;=Membros!J$3,A1032&lt;=MAX(Membros!$E$2:$E$5)),Membros!K$3,0)))*IF(AND(COUNTIFS(Tabela3[Tipo],"Provedor",Tabela3[Simulação Seguro],"Sim")=2,A1032&gt;=MAX(IF(Tabela3[Tipo]="Dependente",Tabela3[Expectativa de Vida (Data)]))),0,1)</f>
        <v>0</v>
      </c>
      <c r="S1032" s="18">
        <f t="shared" si="134"/>
        <v>0</v>
      </c>
      <c r="U1032" s="18">
        <f t="shared" ca="1" si="137"/>
        <v>136996603.57934183</v>
      </c>
      <c r="V1032" s="18">
        <f>SUMIF(Imóveis!E:E,Dados!A:A,Imóveis!Z:Z)-SUMIF(Imóveis!E:E,Dados!A:A,Imóveis!Y:Y)</f>
        <v>0</v>
      </c>
      <c r="W1032" s="18">
        <f>-SUMIF(Projetos!N:N,A1032,Projetos!F:F)</f>
        <v>0</v>
      </c>
      <c r="X1032" s="18">
        <f t="shared" si="131"/>
        <v>0</v>
      </c>
      <c r="Y1032" s="26">
        <f ca="1">(U1032*((Indicadores_Economicos!D$2+1)^(1/12)-1))</f>
        <v>448491.23116382555</v>
      </c>
      <c r="Z1032" s="18">
        <f t="shared" ca="1" si="135"/>
        <v>137445094.81050566</v>
      </c>
      <c r="AA1032" s="18">
        <f ca="1">Auxiliar_Projetos!E1032</f>
        <v>1.1329843510059593E-8</v>
      </c>
      <c r="AB1032" s="18">
        <f ca="1">Auxiliar_Projetos!K1032</f>
        <v>8.7152642385073772E-9</v>
      </c>
      <c r="AC1032" s="18">
        <f ca="1">IF(Z1032-AA1032-AB1032&gt;Investimentos!$C$14,Investimentos!$C$14,IF(Z1032-AA1032-AB1032&lt;Investimentos!$C$14,Z1032-AA1032-AB1032,0))</f>
        <v>300000</v>
      </c>
      <c r="AD1032" s="18">
        <f t="shared" ca="1" si="136"/>
        <v>137145094.81050566</v>
      </c>
      <c r="AE1032" s="18"/>
    </row>
    <row r="1033" spans="1:31" x14ac:dyDescent="0.2">
      <c r="A1033" s="4">
        <v>77037</v>
      </c>
      <c r="B1033" s="5" t="str">
        <f t="shared" si="132"/>
        <v>dezembro</v>
      </c>
      <c r="C1033" s="5" t="str">
        <f t="shared" si="130"/>
        <v>2110</v>
      </c>
      <c r="D1033" s="5">
        <f>SUMIFS(Despesas!$F:$F,Despesas!$J:$J,"&lt;="&amp;$A1033,Despesas!$L:$L,"&gt;="&amp;$A1033,Despesas!$C:$C,D$1,Despesas!$M:$M,"Mensal")+SUMIFS(Despesas!$F:$F,Despesas!$J:$J,"&lt;="&amp;$A1033,Despesas!$L:$L,"&gt;="&amp;$A1033,Despesas!$C:$C,D$1,Despesas!$M:$M,$B1033)</f>
        <v>0</v>
      </c>
      <c r="E1033" s="18">
        <f>SUMIFS(Despesas!$F:$F,Despesas!$J:$J,"&lt;="&amp;$A1033,Despesas!$L:$L,"&gt;="&amp;$A1033,Despesas!$C:$C,E$1,Despesas!$M:$M,"Mensal")+SUMIFS(Despesas!$F:$F,Despesas!$J:$J,"&lt;="&amp;$A1033,Despesas!$L:$L,"&gt;="&amp;$A1033,Despesas!$C:$C,E$1,Despesas!$M:$M,$B1033)</f>
        <v>0</v>
      </c>
      <c r="F1033" s="5">
        <f>SUMIFS(Despesas!$F:$F,Despesas!$J:$J,"&lt;="&amp;$A1033,Despesas!$L:$L,"&gt;="&amp;$A1033,Despesas!$C:$C,F$1,Despesas!$M:$M,"Mensal")+SUMIFS(Despesas!$F:$F,Despesas!$J:$J,"&lt;="&amp;$A1033,Despesas!$L:$L,"&gt;="&amp;$A1033,Despesas!$C:$C,F$1,Despesas!$M:$M,$B1033)</f>
        <v>0</v>
      </c>
      <c r="G1033" s="5">
        <f>SUMIFS(Despesas!$F:$F,Despesas!$J:$J,"&lt;="&amp;$A1033,Despesas!$L:$L,"&gt;="&amp;$A1033,Despesas!$C:$C,G$1,Despesas!$M:$M,"Mensal")+SUMIFS(Despesas!$F:$F,Despesas!$J:$J,"&lt;="&amp;$A1033,Despesas!$L:$L,"&gt;="&amp;$A1033,Despesas!$C:$C,G$1,Despesas!$M:$M,$B1033)</f>
        <v>0</v>
      </c>
      <c r="H1033" s="18">
        <f>SUMIFS(Despesas!$F:$F,Despesas!$J:$J,"&lt;="&amp;$A1033,Despesas!$L:$L,"&gt;="&amp;$A1033,Despesas!$C:$C,H$1,Despesas!$M:$M,"Mensal")+SUMIFS(Despesas!$F:$F,Despesas!$J:$J,"&lt;="&amp;$A1033,Despesas!$L:$L,"&gt;="&amp;$A1033,Despesas!$C:$C,H$1,Despesas!$M:$M,$B1033)</f>
        <v>0</v>
      </c>
      <c r="I1033" s="18">
        <f>IF(Imóveis!$F$2="PRICE",IF(AND(Dados!$A1033&gt;=Imóveis!$Q$2,Dados!$A1033&lt;=Imóveis!$T$2),Imóveis!$U$2,0),IF((IF(AND(Dados!$A1033&gt;=Imóveis!$Q$2,Dados!$A1033&lt;=Imóveis!$T$2),Imóveis!$S$2-(DATEDIF(Imóveis!$Q$2,Dados!$A1033,"m")),0))=0,0,((Imóveis!$N$2/Imóveis!$S$2)+((Imóveis!$N$2-((Imóveis!$S$2-(IF(AND(Dados!$A1033&gt;=Imóveis!$Q$2,Dados!$A1033&lt;=Imóveis!$T$2),Imóveis!$S$2-(DATEDIF(Imóveis!$Q$2,Dados!$A1033,"m")),)))*(Imóveis!$N$2/Imóveis!$S$2)))*Imóveis!$P$2))))*IF(AND(Imóveis!$E$2&gt;0,Dados!$A1033&gt;Imóveis!$E$2),0,1)</f>
        <v>0</v>
      </c>
      <c r="J1033" s="18">
        <f>IF(Imóveis!$F$3="PRICE",IF(AND(Dados!$A1033&gt;=Imóveis!$Q$3,Dados!$A1033&lt;=Imóveis!$T$3),Imóveis!$U$3,0),IF((IF(AND(Dados!$A1033&gt;=Imóveis!$Q$3,Dados!$A1033&lt;=Imóveis!$T$3),Imóveis!$S$3-(DATEDIF(Imóveis!$Q$3,Dados!$A1033,"m")),0))=0,0,((Imóveis!$N$3/Imóveis!$S$3)+((Imóveis!$N$3-((Imóveis!$S$3-(IF(AND(Dados!$A1033&gt;=Imóveis!$Q$3,Dados!$A1033&lt;=Imóveis!$T$3),Imóveis!$S$3-(DATEDIF(Imóveis!$Q$3,Dados!$A1033,"m")),)))*(Imóveis!$N$3/Imóveis!$S$3)))*Imóveis!$P$3))))*IF(AND(Imóveis!$E$3&gt;0,Dados!$A1033&gt;Imóveis!$E$3),0,1)</f>
        <v>0</v>
      </c>
      <c r="K1033" s="18">
        <f>IF(Imóveis!$F$4="PRICE",IF(AND(Dados!$A1033&gt;=Imóveis!$Q$4,Dados!$A1033&lt;=Imóveis!$T$4),Imóveis!$U$4,0),IF((IF(AND(Dados!$A1033&gt;=Imóveis!$Q$4,Dados!$A1033&lt;=Imóveis!$T$4),Imóveis!$S$4-(DATEDIF(Imóveis!$Q$4,Dados!$A1033,"m")),0))=0,0,((Imóveis!$N$4/Imóveis!$S$4)+((Imóveis!$N$4-((Imóveis!$S$4-(IF(AND(Dados!$A1033&gt;=Imóveis!$Q$4,Dados!$A1033&lt;=Imóveis!$T$4),Imóveis!$S$4-(DATEDIF(Imóveis!$Q$4,Dados!$A1033,"m")),)))*(Imóveis!$N$4/Imóveis!$S$4)))*Imóveis!$P$4))))*IF(AND(Imóveis!$E$4&gt;0,Dados!$A1033&gt;Imóveis!$E$4),0,1)</f>
        <v>0</v>
      </c>
      <c r="L1033" s="18">
        <f>IF(Imóveis!$F$5="PRICE",IF(AND(Dados!$A1033&gt;=Imóveis!$Q$5,Dados!$A1033&lt;=Imóveis!$T$5),Imóveis!$U$5,0),IF((IF(AND(Dados!$A1033&gt;=Imóveis!$Q$5,Dados!$A1033&lt;=Imóveis!$T$5),Imóveis!$S$5-(DATEDIF(Imóveis!$Q$5,Dados!$A1033,"m")),0))=0,0,((Imóveis!$N$5/Imóveis!$S$5)+((Imóveis!$N$5-((Imóveis!$S$5-(IF(AND(Dados!$A1033 &gt;=Imóveis!$Q$5,Dados!$A1033&lt;=Imóveis!$T$5),Imóveis!$S$5-(DATEDIF(Imóveis!$Q$5,Dados!$A1033,"m")),)))*(Imóveis!$N$5/Imóveis!$S$5)))*Imóveis!$P$5))))*IF(AND(Imóveis!$E$5&gt;0,Dados!$A1033&gt;Imóveis!$E$5),0,1)*Imóveis!$I$5</f>
        <v>0</v>
      </c>
      <c r="M1033" s="18">
        <f>IF(Imóveis!$F$6="PRICE",IF(AND(Dados!$A1033&gt;=Imóveis!$Q$6,Dados!$A1033&lt;=Imóveis!$T$6),Imóveis!$U$6,0),IF((IF(AND(Dados!$A1033&gt;=Imóveis!$Q$6,Dados!$A1033&lt;=Imóveis!$T$6),Imóveis!$S$6-(DATEDIF(Imóveis!$Q$6,Dados!$A1033,"m")),0))=0,0,((Imóveis!$N$6/Imóveis!$S$6)+((Imóveis!$N$6-((Imóveis!$S$6-(IF(AND(Dados!$A1033&gt;=Imóveis!$Q$6,Dados!$A1033&lt;=Imóveis!$T$6),Imóveis!$S$6-(DATEDIF(Imóveis!$Q$6,Dados!$A1033,"m")),)))*(Imóveis!$N$6/Imóveis!$S$6)))*Imóveis!$P$6))))*IF(AND(Imóveis!$E$6&gt;0,Dados!$A1033&gt;Imóveis!$E$6),0,1)*Imóveis!$I$6</f>
        <v>0</v>
      </c>
      <c r="N1033" s="18">
        <f t="shared" si="133"/>
        <v>0</v>
      </c>
      <c r="O1033" s="18">
        <f>SUMIFS(Receitas!$F:$F,Receitas!$J:$J,"&lt;="&amp;$A1033,Receitas!$L:$L,"&gt;="&amp;$A1033,Receitas!$C:$C,O$1,Receitas!$M:$M,"Mensal")+SUMIFS(Receitas!$F:$F,Receitas!$J:$J,"&lt;="&amp;$A1033,Receitas!$L:$L,"&gt;="&amp;$A1033,Receitas!$C:$C,O$1,Receitas!$M:$M,$B1033)</f>
        <v>0</v>
      </c>
      <c r="P1033" s="18">
        <f>SUMIFS(Receitas!$F:$F,Receitas!$J:$J,"&lt;="&amp;$A1033,Receitas!$L:$L,"&gt;="&amp;$A1033,Receitas!$C:$C,P$1,Receitas!$M:$M,"Mensal")+SUMIFS(Receitas!$F:$F,Receitas!$J:$J,"&lt;="&amp;$A1033,Receitas!$L:$L,"&gt;="&amp;$A1033,Receitas!$C:$C,P$1,Receitas!$M:$M,$B1033)</f>
        <v>0</v>
      </c>
      <c r="Q1033" s="18">
        <f>SUMIFS(Receitas!$F:$F,Receitas!$J:$J,"&lt;="&amp;$A1033,Receitas!$L:$L,"&gt;="&amp;$A1033,Receitas!$C:$C,Q$1,Receitas!$M:$M,"Mensal")+SUMIFS(Receitas!$F:$F,Receitas!$J:$J,"&lt;="&amp;$A1033,Receitas!$L:$L,"&gt;="&amp;$A1033,Receitas!$C:$C,Q$1,Receitas!$M:$M,$B1033)</f>
        <v>0</v>
      </c>
      <c r="R1033" s="18" cm="1">
        <f t="array" ref="R1033">(IF(AND(Membros!$F$2="Sim",A1033&lt;=MAX(Membros!$E$2:$E$5)),Membros!K$2,IF(AND(A1033&gt;=Membros!J$2,A1033&lt;=MAX(Membros!$E$2:$E$5)),Membros!K$2,0))+IF(AND(Membros!$F$3="Sim",A1033&lt;=MAX(Membros!$E$2:$E$5)),Membros!K$3,IF(AND(A1033&gt;=Membros!J$3,A1033&lt;=MAX(Membros!$E$2:$E$5)),Membros!K$3,0)))*IF(AND(COUNTIFS(Tabela3[Tipo],"Provedor",Tabela3[Simulação Seguro],"Sim")=2,A1033&gt;=MAX(IF(Tabela3[Tipo]="Dependente",Tabela3[Expectativa de Vida (Data)]))),0,1)</f>
        <v>0</v>
      </c>
      <c r="S1033" s="18">
        <f t="shared" si="134"/>
        <v>0</v>
      </c>
      <c r="U1033" s="18">
        <f t="shared" ca="1" si="137"/>
        <v>137445094.81050566</v>
      </c>
      <c r="V1033" s="18">
        <f>SUMIF(Imóveis!E:E,Dados!A:A,Imóveis!Z:Z)-SUMIF(Imóveis!E:E,Dados!A:A,Imóveis!Y:Y)</f>
        <v>0</v>
      </c>
      <c r="W1033" s="18">
        <f>-SUMIF(Projetos!N:N,A1033,Projetos!F:F)</f>
        <v>0</v>
      </c>
      <c r="X1033" s="18">
        <f t="shared" si="131"/>
        <v>0</v>
      </c>
      <c r="Y1033" s="26">
        <f ca="1">(U1033*((Indicadores_Economicos!D$2+1)^(1/12)-1))</f>
        <v>449959.47474925395</v>
      </c>
      <c r="Z1033" s="18">
        <f t="shared" ca="1" si="135"/>
        <v>137895054.28525493</v>
      </c>
      <c r="AA1033" s="18">
        <f ca="1">Auxiliar_Projetos!E1033</f>
        <v>1.1366934469484564E-8</v>
      </c>
      <c r="AB1033" s="18">
        <f ca="1">Auxiliar_Projetos!K1033</f>
        <v>8.7437957457573549E-9</v>
      </c>
      <c r="AC1033" s="18">
        <f ca="1">IF(Z1033-AA1033-AB1033&gt;Investimentos!$C$14,Investimentos!$C$14,IF(Z1033-AA1033-AB1033&lt;Investimentos!$C$14,Z1033-AA1033-AB1033,0))</f>
        <v>300000</v>
      </c>
      <c r="AD1033" s="18">
        <f t="shared" ca="1" si="136"/>
        <v>137595054.28525493</v>
      </c>
      <c r="AE1033" s="18"/>
    </row>
    <row r="1034" spans="1:31" x14ac:dyDescent="0.2">
      <c r="A1034" s="4">
        <v>77068</v>
      </c>
      <c r="B1034" s="5" t="str">
        <f t="shared" si="132"/>
        <v>janeiro</v>
      </c>
      <c r="C1034" s="5" t="str">
        <f t="shared" si="130"/>
        <v>2111</v>
      </c>
      <c r="D1034" s="5">
        <f>SUMIFS(Despesas!$F:$F,Despesas!$J:$J,"&lt;="&amp;$A1034,Despesas!$L:$L,"&gt;="&amp;$A1034,Despesas!$C:$C,D$1,Despesas!$M:$M,"Mensal")+SUMIFS(Despesas!$F:$F,Despesas!$J:$J,"&lt;="&amp;$A1034,Despesas!$L:$L,"&gt;="&amp;$A1034,Despesas!$C:$C,D$1,Despesas!$M:$M,$B1034)</f>
        <v>0</v>
      </c>
      <c r="E1034" s="18">
        <f>SUMIFS(Despesas!$F:$F,Despesas!$J:$J,"&lt;="&amp;$A1034,Despesas!$L:$L,"&gt;="&amp;$A1034,Despesas!$C:$C,E$1,Despesas!$M:$M,"Mensal")+SUMIFS(Despesas!$F:$F,Despesas!$J:$J,"&lt;="&amp;$A1034,Despesas!$L:$L,"&gt;="&amp;$A1034,Despesas!$C:$C,E$1,Despesas!$M:$M,$B1034)</f>
        <v>0</v>
      </c>
      <c r="F1034" s="5">
        <f>SUMIFS(Despesas!$F:$F,Despesas!$J:$J,"&lt;="&amp;$A1034,Despesas!$L:$L,"&gt;="&amp;$A1034,Despesas!$C:$C,F$1,Despesas!$M:$M,"Mensal")+SUMIFS(Despesas!$F:$F,Despesas!$J:$J,"&lt;="&amp;$A1034,Despesas!$L:$L,"&gt;="&amp;$A1034,Despesas!$C:$C,F$1,Despesas!$M:$M,$B1034)</f>
        <v>0</v>
      </c>
      <c r="G1034" s="5">
        <f>SUMIFS(Despesas!$F:$F,Despesas!$J:$J,"&lt;="&amp;$A1034,Despesas!$L:$L,"&gt;="&amp;$A1034,Despesas!$C:$C,G$1,Despesas!$M:$M,"Mensal")+SUMIFS(Despesas!$F:$F,Despesas!$J:$J,"&lt;="&amp;$A1034,Despesas!$L:$L,"&gt;="&amp;$A1034,Despesas!$C:$C,G$1,Despesas!$M:$M,$B1034)</f>
        <v>0</v>
      </c>
      <c r="H1034" s="18">
        <f>SUMIFS(Despesas!$F:$F,Despesas!$J:$J,"&lt;="&amp;$A1034,Despesas!$L:$L,"&gt;="&amp;$A1034,Despesas!$C:$C,H$1,Despesas!$M:$M,"Mensal")+SUMIFS(Despesas!$F:$F,Despesas!$J:$J,"&lt;="&amp;$A1034,Despesas!$L:$L,"&gt;="&amp;$A1034,Despesas!$C:$C,H$1,Despesas!$M:$M,$B1034)</f>
        <v>0</v>
      </c>
      <c r="I1034" s="18">
        <f>IF(Imóveis!$F$2="PRICE",IF(AND(Dados!$A1034&gt;=Imóveis!$Q$2,Dados!$A1034&lt;=Imóveis!$T$2),Imóveis!$U$2,0),IF((IF(AND(Dados!$A1034&gt;=Imóveis!$Q$2,Dados!$A1034&lt;=Imóveis!$T$2),Imóveis!$S$2-(DATEDIF(Imóveis!$Q$2,Dados!$A1034,"m")),0))=0,0,((Imóveis!$N$2/Imóveis!$S$2)+((Imóveis!$N$2-((Imóveis!$S$2-(IF(AND(Dados!$A1034&gt;=Imóveis!$Q$2,Dados!$A1034&lt;=Imóveis!$T$2),Imóveis!$S$2-(DATEDIF(Imóveis!$Q$2,Dados!$A1034,"m")),)))*(Imóveis!$N$2/Imóveis!$S$2)))*Imóveis!$P$2))))*IF(AND(Imóveis!$E$2&gt;0,Dados!$A1034&gt;Imóveis!$E$2),0,1)</f>
        <v>0</v>
      </c>
      <c r="J1034" s="18">
        <f>IF(Imóveis!$F$3="PRICE",IF(AND(Dados!$A1034&gt;=Imóveis!$Q$3,Dados!$A1034&lt;=Imóveis!$T$3),Imóveis!$U$3,0),IF((IF(AND(Dados!$A1034&gt;=Imóveis!$Q$3,Dados!$A1034&lt;=Imóveis!$T$3),Imóveis!$S$3-(DATEDIF(Imóveis!$Q$3,Dados!$A1034,"m")),0))=0,0,((Imóveis!$N$3/Imóveis!$S$3)+((Imóveis!$N$3-((Imóveis!$S$3-(IF(AND(Dados!$A1034&gt;=Imóveis!$Q$3,Dados!$A1034&lt;=Imóveis!$T$3),Imóveis!$S$3-(DATEDIF(Imóveis!$Q$3,Dados!$A1034,"m")),)))*(Imóveis!$N$3/Imóveis!$S$3)))*Imóveis!$P$3))))*IF(AND(Imóveis!$E$3&gt;0,Dados!$A1034&gt;Imóveis!$E$3),0,1)</f>
        <v>0</v>
      </c>
      <c r="K1034" s="18">
        <f>IF(Imóveis!$F$4="PRICE",IF(AND(Dados!$A1034&gt;=Imóveis!$Q$4,Dados!$A1034&lt;=Imóveis!$T$4),Imóveis!$U$4,0),IF((IF(AND(Dados!$A1034&gt;=Imóveis!$Q$4,Dados!$A1034&lt;=Imóveis!$T$4),Imóveis!$S$4-(DATEDIF(Imóveis!$Q$4,Dados!$A1034,"m")),0))=0,0,((Imóveis!$N$4/Imóveis!$S$4)+((Imóveis!$N$4-((Imóveis!$S$4-(IF(AND(Dados!$A1034&gt;=Imóveis!$Q$4,Dados!$A1034&lt;=Imóveis!$T$4),Imóveis!$S$4-(DATEDIF(Imóveis!$Q$4,Dados!$A1034,"m")),)))*(Imóveis!$N$4/Imóveis!$S$4)))*Imóveis!$P$4))))*IF(AND(Imóveis!$E$4&gt;0,Dados!$A1034&gt;Imóveis!$E$4),0,1)</f>
        <v>0</v>
      </c>
      <c r="L1034" s="18">
        <f>IF(Imóveis!$F$5="PRICE",IF(AND(Dados!$A1034&gt;=Imóveis!$Q$5,Dados!$A1034&lt;=Imóveis!$T$5),Imóveis!$U$5,0),IF((IF(AND(Dados!$A1034&gt;=Imóveis!$Q$5,Dados!$A1034&lt;=Imóveis!$T$5),Imóveis!$S$5-(DATEDIF(Imóveis!$Q$5,Dados!$A1034,"m")),0))=0,0,((Imóveis!$N$5/Imóveis!$S$5)+((Imóveis!$N$5-((Imóveis!$S$5-(IF(AND(Dados!$A1034 &gt;=Imóveis!$Q$5,Dados!$A1034&lt;=Imóveis!$T$5),Imóveis!$S$5-(DATEDIF(Imóveis!$Q$5,Dados!$A1034,"m")),)))*(Imóveis!$N$5/Imóveis!$S$5)))*Imóveis!$P$5))))*IF(AND(Imóveis!$E$5&gt;0,Dados!$A1034&gt;Imóveis!$E$5),0,1)*Imóveis!$I$5</f>
        <v>0</v>
      </c>
      <c r="M1034" s="18">
        <f>IF(Imóveis!$F$6="PRICE",IF(AND(Dados!$A1034&gt;=Imóveis!$Q$6,Dados!$A1034&lt;=Imóveis!$T$6),Imóveis!$U$6,0),IF((IF(AND(Dados!$A1034&gt;=Imóveis!$Q$6,Dados!$A1034&lt;=Imóveis!$T$6),Imóveis!$S$6-(DATEDIF(Imóveis!$Q$6,Dados!$A1034,"m")),0))=0,0,((Imóveis!$N$6/Imóveis!$S$6)+((Imóveis!$N$6-((Imóveis!$S$6-(IF(AND(Dados!$A1034&gt;=Imóveis!$Q$6,Dados!$A1034&lt;=Imóveis!$T$6),Imóveis!$S$6-(DATEDIF(Imóveis!$Q$6,Dados!$A1034,"m")),)))*(Imóveis!$N$6/Imóveis!$S$6)))*Imóveis!$P$6))))*IF(AND(Imóveis!$E$6&gt;0,Dados!$A1034&gt;Imóveis!$E$6),0,1)*Imóveis!$I$6</f>
        <v>0</v>
      </c>
      <c r="N1034" s="18">
        <f t="shared" si="133"/>
        <v>0</v>
      </c>
      <c r="O1034" s="18">
        <f>SUMIFS(Receitas!$F:$F,Receitas!$J:$J,"&lt;="&amp;$A1034,Receitas!$L:$L,"&gt;="&amp;$A1034,Receitas!$C:$C,O$1,Receitas!$M:$M,"Mensal")+SUMIFS(Receitas!$F:$F,Receitas!$J:$J,"&lt;="&amp;$A1034,Receitas!$L:$L,"&gt;="&amp;$A1034,Receitas!$C:$C,O$1,Receitas!$M:$M,$B1034)</f>
        <v>0</v>
      </c>
      <c r="P1034" s="18">
        <f>SUMIFS(Receitas!$F:$F,Receitas!$J:$J,"&lt;="&amp;$A1034,Receitas!$L:$L,"&gt;="&amp;$A1034,Receitas!$C:$C,P$1,Receitas!$M:$M,"Mensal")+SUMIFS(Receitas!$F:$F,Receitas!$J:$J,"&lt;="&amp;$A1034,Receitas!$L:$L,"&gt;="&amp;$A1034,Receitas!$C:$C,P$1,Receitas!$M:$M,$B1034)</f>
        <v>0</v>
      </c>
      <c r="Q1034" s="18">
        <f>SUMIFS(Receitas!$F:$F,Receitas!$J:$J,"&lt;="&amp;$A1034,Receitas!$L:$L,"&gt;="&amp;$A1034,Receitas!$C:$C,Q$1,Receitas!$M:$M,"Mensal")+SUMIFS(Receitas!$F:$F,Receitas!$J:$J,"&lt;="&amp;$A1034,Receitas!$L:$L,"&gt;="&amp;$A1034,Receitas!$C:$C,Q$1,Receitas!$M:$M,$B1034)</f>
        <v>0</v>
      </c>
      <c r="R1034" s="18" cm="1">
        <f t="array" ref="R1034">(IF(AND(Membros!$F$2="Sim",A1034&lt;=MAX(Membros!$E$2:$E$5)),Membros!K$2,IF(AND(A1034&gt;=Membros!J$2,A1034&lt;=MAX(Membros!$E$2:$E$5)),Membros!K$2,0))+IF(AND(Membros!$F$3="Sim",A1034&lt;=MAX(Membros!$E$2:$E$5)),Membros!K$3,IF(AND(A1034&gt;=Membros!J$3,A1034&lt;=MAX(Membros!$E$2:$E$5)),Membros!K$3,0)))*IF(AND(COUNTIFS(Tabela3[Tipo],"Provedor",Tabela3[Simulação Seguro],"Sim")=2,A1034&gt;=MAX(IF(Tabela3[Tipo]="Dependente",Tabela3[Expectativa de Vida (Data)]))),0,1)</f>
        <v>0</v>
      </c>
      <c r="S1034" s="18">
        <f t="shared" si="134"/>
        <v>0</v>
      </c>
      <c r="U1034" s="18">
        <f t="shared" ca="1" si="137"/>
        <v>137895054.28525493</v>
      </c>
      <c r="V1034" s="18">
        <f>SUMIF(Imóveis!E:E,Dados!A:A,Imóveis!Z:Z)-SUMIF(Imóveis!E:E,Dados!A:A,Imóveis!Y:Y)</f>
        <v>0</v>
      </c>
      <c r="W1034" s="18">
        <f>-SUMIF(Projetos!N:N,A1034,Projetos!F:F)</f>
        <v>0</v>
      </c>
      <c r="X1034" s="18">
        <f t="shared" si="131"/>
        <v>0</v>
      </c>
      <c r="Y1034" s="26">
        <f ca="1">(U1034*((Indicadores_Economicos!D$2+1)^(1/12)-1))</f>
        <v>451432.52498211793</v>
      </c>
      <c r="Z1034" s="18">
        <f t="shared" ca="1" si="135"/>
        <v>138346486.81023705</v>
      </c>
      <c r="AA1034" s="18">
        <f ca="1">Auxiliar_Projetos!E1034</f>
        <v>1.1404146855058963E-8</v>
      </c>
      <c r="AB1034" s="18">
        <f ca="1">Auxiliar_Projetos!K1034</f>
        <v>8.7724206577376625E-9</v>
      </c>
      <c r="AC1034" s="18">
        <f ca="1">IF(Z1034-AA1034-AB1034&gt;Investimentos!$C$14,Investimentos!$C$14,IF(Z1034-AA1034-AB1034&lt;Investimentos!$C$14,Z1034-AA1034-AB1034,0))</f>
        <v>300000</v>
      </c>
      <c r="AD1034" s="18">
        <f t="shared" ca="1" si="136"/>
        <v>138046486.81023705</v>
      </c>
      <c r="AE1034" s="18"/>
    </row>
    <row r="1035" spans="1:31" x14ac:dyDescent="0.2">
      <c r="A1035" s="4">
        <v>77099</v>
      </c>
      <c r="B1035" s="5" t="str">
        <f t="shared" si="132"/>
        <v>fevereiro</v>
      </c>
      <c r="C1035" s="5" t="str">
        <f t="shared" si="130"/>
        <v>2111</v>
      </c>
      <c r="D1035" s="5">
        <f>SUMIFS(Despesas!$F:$F,Despesas!$J:$J,"&lt;="&amp;$A1035,Despesas!$L:$L,"&gt;="&amp;$A1035,Despesas!$C:$C,D$1,Despesas!$M:$M,"Mensal")+SUMIFS(Despesas!$F:$F,Despesas!$J:$J,"&lt;="&amp;$A1035,Despesas!$L:$L,"&gt;="&amp;$A1035,Despesas!$C:$C,D$1,Despesas!$M:$M,$B1035)</f>
        <v>0</v>
      </c>
      <c r="E1035" s="18">
        <f>SUMIFS(Despesas!$F:$F,Despesas!$J:$J,"&lt;="&amp;$A1035,Despesas!$L:$L,"&gt;="&amp;$A1035,Despesas!$C:$C,E$1,Despesas!$M:$M,"Mensal")+SUMIFS(Despesas!$F:$F,Despesas!$J:$J,"&lt;="&amp;$A1035,Despesas!$L:$L,"&gt;="&amp;$A1035,Despesas!$C:$C,E$1,Despesas!$M:$M,$B1035)</f>
        <v>0</v>
      </c>
      <c r="F1035" s="5">
        <f>SUMIFS(Despesas!$F:$F,Despesas!$J:$J,"&lt;="&amp;$A1035,Despesas!$L:$L,"&gt;="&amp;$A1035,Despesas!$C:$C,F$1,Despesas!$M:$M,"Mensal")+SUMIFS(Despesas!$F:$F,Despesas!$J:$J,"&lt;="&amp;$A1035,Despesas!$L:$L,"&gt;="&amp;$A1035,Despesas!$C:$C,F$1,Despesas!$M:$M,$B1035)</f>
        <v>0</v>
      </c>
      <c r="G1035" s="5">
        <f>SUMIFS(Despesas!$F:$F,Despesas!$J:$J,"&lt;="&amp;$A1035,Despesas!$L:$L,"&gt;="&amp;$A1035,Despesas!$C:$C,G$1,Despesas!$M:$M,"Mensal")+SUMIFS(Despesas!$F:$F,Despesas!$J:$J,"&lt;="&amp;$A1035,Despesas!$L:$L,"&gt;="&amp;$A1035,Despesas!$C:$C,G$1,Despesas!$M:$M,$B1035)</f>
        <v>0</v>
      </c>
      <c r="H1035" s="18">
        <f>SUMIFS(Despesas!$F:$F,Despesas!$J:$J,"&lt;="&amp;$A1035,Despesas!$L:$L,"&gt;="&amp;$A1035,Despesas!$C:$C,H$1,Despesas!$M:$M,"Mensal")+SUMIFS(Despesas!$F:$F,Despesas!$J:$J,"&lt;="&amp;$A1035,Despesas!$L:$L,"&gt;="&amp;$A1035,Despesas!$C:$C,H$1,Despesas!$M:$M,$B1035)</f>
        <v>0</v>
      </c>
      <c r="I1035" s="18">
        <f>IF(Imóveis!$F$2="PRICE",IF(AND(Dados!$A1035&gt;=Imóveis!$Q$2,Dados!$A1035&lt;=Imóveis!$T$2),Imóveis!$U$2,0),IF((IF(AND(Dados!$A1035&gt;=Imóveis!$Q$2,Dados!$A1035&lt;=Imóveis!$T$2),Imóveis!$S$2-(DATEDIF(Imóveis!$Q$2,Dados!$A1035,"m")),0))=0,0,((Imóveis!$N$2/Imóveis!$S$2)+((Imóveis!$N$2-((Imóveis!$S$2-(IF(AND(Dados!$A1035&gt;=Imóveis!$Q$2,Dados!$A1035&lt;=Imóveis!$T$2),Imóveis!$S$2-(DATEDIF(Imóveis!$Q$2,Dados!$A1035,"m")),)))*(Imóveis!$N$2/Imóveis!$S$2)))*Imóveis!$P$2))))*IF(AND(Imóveis!$E$2&gt;0,Dados!$A1035&gt;Imóveis!$E$2),0,1)</f>
        <v>0</v>
      </c>
      <c r="J1035" s="18">
        <f>IF(Imóveis!$F$3="PRICE",IF(AND(Dados!$A1035&gt;=Imóveis!$Q$3,Dados!$A1035&lt;=Imóveis!$T$3),Imóveis!$U$3,0),IF((IF(AND(Dados!$A1035&gt;=Imóveis!$Q$3,Dados!$A1035&lt;=Imóveis!$T$3),Imóveis!$S$3-(DATEDIF(Imóveis!$Q$3,Dados!$A1035,"m")),0))=0,0,((Imóveis!$N$3/Imóveis!$S$3)+((Imóveis!$N$3-((Imóveis!$S$3-(IF(AND(Dados!$A1035&gt;=Imóveis!$Q$3,Dados!$A1035&lt;=Imóveis!$T$3),Imóveis!$S$3-(DATEDIF(Imóveis!$Q$3,Dados!$A1035,"m")),)))*(Imóveis!$N$3/Imóveis!$S$3)))*Imóveis!$P$3))))*IF(AND(Imóveis!$E$3&gt;0,Dados!$A1035&gt;Imóveis!$E$3),0,1)</f>
        <v>0</v>
      </c>
      <c r="K1035" s="18">
        <f>IF(Imóveis!$F$4="PRICE",IF(AND(Dados!$A1035&gt;=Imóveis!$Q$4,Dados!$A1035&lt;=Imóveis!$T$4),Imóveis!$U$4,0),IF((IF(AND(Dados!$A1035&gt;=Imóveis!$Q$4,Dados!$A1035&lt;=Imóveis!$T$4),Imóveis!$S$4-(DATEDIF(Imóveis!$Q$4,Dados!$A1035,"m")),0))=0,0,((Imóveis!$N$4/Imóveis!$S$4)+((Imóveis!$N$4-((Imóveis!$S$4-(IF(AND(Dados!$A1035&gt;=Imóveis!$Q$4,Dados!$A1035&lt;=Imóveis!$T$4),Imóveis!$S$4-(DATEDIF(Imóveis!$Q$4,Dados!$A1035,"m")),)))*(Imóveis!$N$4/Imóveis!$S$4)))*Imóveis!$P$4))))*IF(AND(Imóveis!$E$4&gt;0,Dados!$A1035&gt;Imóveis!$E$4),0,1)</f>
        <v>0</v>
      </c>
      <c r="L1035" s="18">
        <f>IF(Imóveis!$F$5="PRICE",IF(AND(Dados!$A1035&gt;=Imóveis!$Q$5,Dados!$A1035&lt;=Imóveis!$T$5),Imóveis!$U$5,0),IF((IF(AND(Dados!$A1035&gt;=Imóveis!$Q$5,Dados!$A1035&lt;=Imóveis!$T$5),Imóveis!$S$5-(DATEDIF(Imóveis!$Q$5,Dados!$A1035,"m")),0))=0,0,((Imóveis!$N$5/Imóveis!$S$5)+((Imóveis!$N$5-((Imóveis!$S$5-(IF(AND(Dados!$A1035 &gt;=Imóveis!$Q$5,Dados!$A1035&lt;=Imóveis!$T$5),Imóveis!$S$5-(DATEDIF(Imóveis!$Q$5,Dados!$A1035,"m")),)))*(Imóveis!$N$5/Imóveis!$S$5)))*Imóveis!$P$5))))*IF(AND(Imóveis!$E$5&gt;0,Dados!$A1035&gt;Imóveis!$E$5),0,1)*Imóveis!$I$5</f>
        <v>0</v>
      </c>
      <c r="M1035" s="18">
        <f>IF(Imóveis!$F$6="PRICE",IF(AND(Dados!$A1035&gt;=Imóveis!$Q$6,Dados!$A1035&lt;=Imóveis!$T$6),Imóveis!$U$6,0),IF((IF(AND(Dados!$A1035&gt;=Imóveis!$Q$6,Dados!$A1035&lt;=Imóveis!$T$6),Imóveis!$S$6-(DATEDIF(Imóveis!$Q$6,Dados!$A1035,"m")),0))=0,0,((Imóveis!$N$6/Imóveis!$S$6)+((Imóveis!$N$6-((Imóveis!$S$6-(IF(AND(Dados!$A1035&gt;=Imóveis!$Q$6,Dados!$A1035&lt;=Imóveis!$T$6),Imóveis!$S$6-(DATEDIF(Imóveis!$Q$6,Dados!$A1035,"m")),)))*(Imóveis!$N$6/Imóveis!$S$6)))*Imóveis!$P$6))))*IF(AND(Imóveis!$E$6&gt;0,Dados!$A1035&gt;Imóveis!$E$6),0,1)*Imóveis!$I$6</f>
        <v>0</v>
      </c>
      <c r="N1035" s="18">
        <f t="shared" si="133"/>
        <v>0</v>
      </c>
      <c r="O1035" s="18">
        <f>SUMIFS(Receitas!$F:$F,Receitas!$J:$J,"&lt;="&amp;$A1035,Receitas!$L:$L,"&gt;="&amp;$A1035,Receitas!$C:$C,O$1,Receitas!$M:$M,"Mensal")+SUMIFS(Receitas!$F:$F,Receitas!$J:$J,"&lt;="&amp;$A1035,Receitas!$L:$L,"&gt;="&amp;$A1035,Receitas!$C:$C,O$1,Receitas!$M:$M,$B1035)</f>
        <v>0</v>
      </c>
      <c r="P1035" s="18">
        <f>SUMIFS(Receitas!$F:$F,Receitas!$J:$J,"&lt;="&amp;$A1035,Receitas!$L:$L,"&gt;="&amp;$A1035,Receitas!$C:$C,P$1,Receitas!$M:$M,"Mensal")+SUMIFS(Receitas!$F:$F,Receitas!$J:$J,"&lt;="&amp;$A1035,Receitas!$L:$L,"&gt;="&amp;$A1035,Receitas!$C:$C,P$1,Receitas!$M:$M,$B1035)</f>
        <v>0</v>
      </c>
      <c r="Q1035" s="18">
        <f>SUMIFS(Receitas!$F:$F,Receitas!$J:$J,"&lt;="&amp;$A1035,Receitas!$L:$L,"&gt;="&amp;$A1035,Receitas!$C:$C,Q$1,Receitas!$M:$M,"Mensal")+SUMIFS(Receitas!$F:$F,Receitas!$J:$J,"&lt;="&amp;$A1035,Receitas!$L:$L,"&gt;="&amp;$A1035,Receitas!$C:$C,Q$1,Receitas!$M:$M,$B1035)</f>
        <v>0</v>
      </c>
      <c r="R1035" s="18" cm="1">
        <f t="array" ref="R1035">(IF(AND(Membros!$F$2="Sim",A1035&lt;=MAX(Membros!$E$2:$E$5)),Membros!K$2,IF(AND(A1035&gt;=Membros!J$2,A1035&lt;=MAX(Membros!$E$2:$E$5)),Membros!K$2,0))+IF(AND(Membros!$F$3="Sim",A1035&lt;=MAX(Membros!$E$2:$E$5)),Membros!K$3,IF(AND(A1035&gt;=Membros!J$3,A1035&lt;=MAX(Membros!$E$2:$E$5)),Membros!K$3,0)))*IF(AND(COUNTIFS(Tabela3[Tipo],"Provedor",Tabela3[Simulação Seguro],"Sim")=2,A1035&gt;=MAX(IF(Tabela3[Tipo]="Dependente",Tabela3[Expectativa de Vida (Data)]))),0,1)</f>
        <v>0</v>
      </c>
      <c r="S1035" s="18">
        <f t="shared" si="134"/>
        <v>0</v>
      </c>
      <c r="U1035" s="18">
        <f t="shared" ca="1" si="137"/>
        <v>138346486.81023705</v>
      </c>
      <c r="V1035" s="18">
        <f>SUMIF(Imóveis!E:E,Dados!A:A,Imóveis!Z:Z)-SUMIF(Imóveis!E:E,Dados!A:A,Imóveis!Y:Y)</f>
        <v>0</v>
      </c>
      <c r="W1035" s="18">
        <f>-SUMIF(Projetos!N:N,A1035,Projetos!F:F)</f>
        <v>0</v>
      </c>
      <c r="X1035" s="18">
        <f t="shared" si="131"/>
        <v>0</v>
      </c>
      <c r="Y1035" s="26">
        <f ca="1">(U1035*((Indicadores_Economicos!D$2+1)^(1/12)-1))</f>
        <v>452910.39759813045</v>
      </c>
      <c r="Z1035" s="18">
        <f t="shared" ca="1" si="135"/>
        <v>138799397.20783517</v>
      </c>
      <c r="AA1035" s="18">
        <f ca="1">Auxiliar_Projetos!E1035</f>
        <v>1.1441481064300408E-8</v>
      </c>
      <c r="AB1035" s="18">
        <f ca="1">Auxiliar_Projetos!K1035</f>
        <v>8.8011392802310818E-9</v>
      </c>
      <c r="AC1035" s="18">
        <f ca="1">IF(Z1035-AA1035-AB1035&gt;Investimentos!$C$14,Investimentos!$C$14,IF(Z1035-AA1035-AB1035&lt;Investimentos!$C$14,Z1035-AA1035-AB1035,0))</f>
        <v>300000</v>
      </c>
      <c r="AD1035" s="18">
        <f t="shared" ca="1" si="136"/>
        <v>138499397.20783517</v>
      </c>
      <c r="AE1035" s="18"/>
    </row>
    <row r="1036" spans="1:31" x14ac:dyDescent="0.2">
      <c r="A1036" s="4">
        <v>77127</v>
      </c>
      <c r="B1036" s="5" t="str">
        <f t="shared" si="132"/>
        <v>março</v>
      </c>
      <c r="C1036" s="5" t="str">
        <f t="shared" si="130"/>
        <v>2111</v>
      </c>
      <c r="D1036" s="5">
        <f>SUMIFS(Despesas!$F:$F,Despesas!$J:$J,"&lt;="&amp;$A1036,Despesas!$L:$L,"&gt;="&amp;$A1036,Despesas!$C:$C,D$1,Despesas!$M:$M,"Mensal")+SUMIFS(Despesas!$F:$F,Despesas!$J:$J,"&lt;="&amp;$A1036,Despesas!$L:$L,"&gt;="&amp;$A1036,Despesas!$C:$C,D$1,Despesas!$M:$M,$B1036)</f>
        <v>0</v>
      </c>
      <c r="E1036" s="18">
        <f>SUMIFS(Despesas!$F:$F,Despesas!$J:$J,"&lt;="&amp;$A1036,Despesas!$L:$L,"&gt;="&amp;$A1036,Despesas!$C:$C,E$1,Despesas!$M:$M,"Mensal")+SUMIFS(Despesas!$F:$F,Despesas!$J:$J,"&lt;="&amp;$A1036,Despesas!$L:$L,"&gt;="&amp;$A1036,Despesas!$C:$C,E$1,Despesas!$M:$M,$B1036)</f>
        <v>0</v>
      </c>
      <c r="F1036" s="5">
        <f>SUMIFS(Despesas!$F:$F,Despesas!$J:$J,"&lt;="&amp;$A1036,Despesas!$L:$L,"&gt;="&amp;$A1036,Despesas!$C:$C,F$1,Despesas!$M:$M,"Mensal")+SUMIFS(Despesas!$F:$F,Despesas!$J:$J,"&lt;="&amp;$A1036,Despesas!$L:$L,"&gt;="&amp;$A1036,Despesas!$C:$C,F$1,Despesas!$M:$M,$B1036)</f>
        <v>0</v>
      </c>
      <c r="G1036" s="5">
        <f>SUMIFS(Despesas!$F:$F,Despesas!$J:$J,"&lt;="&amp;$A1036,Despesas!$L:$L,"&gt;="&amp;$A1036,Despesas!$C:$C,G$1,Despesas!$M:$M,"Mensal")+SUMIFS(Despesas!$F:$F,Despesas!$J:$J,"&lt;="&amp;$A1036,Despesas!$L:$L,"&gt;="&amp;$A1036,Despesas!$C:$C,G$1,Despesas!$M:$M,$B1036)</f>
        <v>0</v>
      </c>
      <c r="H1036" s="18">
        <f>SUMIFS(Despesas!$F:$F,Despesas!$J:$J,"&lt;="&amp;$A1036,Despesas!$L:$L,"&gt;="&amp;$A1036,Despesas!$C:$C,H$1,Despesas!$M:$M,"Mensal")+SUMIFS(Despesas!$F:$F,Despesas!$J:$J,"&lt;="&amp;$A1036,Despesas!$L:$L,"&gt;="&amp;$A1036,Despesas!$C:$C,H$1,Despesas!$M:$M,$B1036)</f>
        <v>0</v>
      </c>
      <c r="I1036" s="18">
        <f>IF(Imóveis!$F$2="PRICE",IF(AND(Dados!$A1036&gt;=Imóveis!$Q$2,Dados!$A1036&lt;=Imóveis!$T$2),Imóveis!$U$2,0),IF((IF(AND(Dados!$A1036&gt;=Imóveis!$Q$2,Dados!$A1036&lt;=Imóveis!$T$2),Imóveis!$S$2-(DATEDIF(Imóveis!$Q$2,Dados!$A1036,"m")),0))=0,0,((Imóveis!$N$2/Imóveis!$S$2)+((Imóveis!$N$2-((Imóveis!$S$2-(IF(AND(Dados!$A1036&gt;=Imóveis!$Q$2,Dados!$A1036&lt;=Imóveis!$T$2),Imóveis!$S$2-(DATEDIF(Imóveis!$Q$2,Dados!$A1036,"m")),)))*(Imóveis!$N$2/Imóveis!$S$2)))*Imóveis!$P$2))))*IF(AND(Imóveis!$E$2&gt;0,Dados!$A1036&gt;Imóveis!$E$2),0,1)</f>
        <v>0</v>
      </c>
      <c r="J1036" s="18">
        <f>IF(Imóveis!$F$3="PRICE",IF(AND(Dados!$A1036&gt;=Imóveis!$Q$3,Dados!$A1036&lt;=Imóveis!$T$3),Imóveis!$U$3,0),IF((IF(AND(Dados!$A1036&gt;=Imóveis!$Q$3,Dados!$A1036&lt;=Imóveis!$T$3),Imóveis!$S$3-(DATEDIF(Imóveis!$Q$3,Dados!$A1036,"m")),0))=0,0,((Imóveis!$N$3/Imóveis!$S$3)+((Imóveis!$N$3-((Imóveis!$S$3-(IF(AND(Dados!$A1036&gt;=Imóveis!$Q$3,Dados!$A1036&lt;=Imóveis!$T$3),Imóveis!$S$3-(DATEDIF(Imóveis!$Q$3,Dados!$A1036,"m")),)))*(Imóveis!$N$3/Imóveis!$S$3)))*Imóveis!$P$3))))*IF(AND(Imóveis!$E$3&gt;0,Dados!$A1036&gt;Imóveis!$E$3),0,1)</f>
        <v>0</v>
      </c>
      <c r="K1036" s="18">
        <f>IF(Imóveis!$F$4="PRICE",IF(AND(Dados!$A1036&gt;=Imóveis!$Q$4,Dados!$A1036&lt;=Imóveis!$T$4),Imóveis!$U$4,0),IF((IF(AND(Dados!$A1036&gt;=Imóveis!$Q$4,Dados!$A1036&lt;=Imóveis!$T$4),Imóveis!$S$4-(DATEDIF(Imóveis!$Q$4,Dados!$A1036,"m")),0))=0,0,((Imóveis!$N$4/Imóveis!$S$4)+((Imóveis!$N$4-((Imóveis!$S$4-(IF(AND(Dados!$A1036&gt;=Imóveis!$Q$4,Dados!$A1036&lt;=Imóveis!$T$4),Imóveis!$S$4-(DATEDIF(Imóveis!$Q$4,Dados!$A1036,"m")),)))*(Imóveis!$N$4/Imóveis!$S$4)))*Imóveis!$P$4))))*IF(AND(Imóveis!$E$4&gt;0,Dados!$A1036&gt;Imóveis!$E$4),0,1)</f>
        <v>0</v>
      </c>
      <c r="L1036" s="18">
        <f>IF(Imóveis!$F$5="PRICE",IF(AND(Dados!$A1036&gt;=Imóveis!$Q$5,Dados!$A1036&lt;=Imóveis!$T$5),Imóveis!$U$5,0),IF((IF(AND(Dados!$A1036&gt;=Imóveis!$Q$5,Dados!$A1036&lt;=Imóveis!$T$5),Imóveis!$S$5-(DATEDIF(Imóveis!$Q$5,Dados!$A1036,"m")),0))=0,0,((Imóveis!$N$5/Imóveis!$S$5)+((Imóveis!$N$5-((Imóveis!$S$5-(IF(AND(Dados!$A1036 &gt;=Imóveis!$Q$5,Dados!$A1036&lt;=Imóveis!$T$5),Imóveis!$S$5-(DATEDIF(Imóveis!$Q$5,Dados!$A1036,"m")),)))*(Imóveis!$N$5/Imóveis!$S$5)))*Imóveis!$P$5))))*IF(AND(Imóveis!$E$5&gt;0,Dados!$A1036&gt;Imóveis!$E$5),0,1)*Imóveis!$I$5</f>
        <v>0</v>
      </c>
      <c r="M1036" s="18">
        <f>IF(Imóveis!$F$6="PRICE",IF(AND(Dados!$A1036&gt;=Imóveis!$Q$6,Dados!$A1036&lt;=Imóveis!$T$6),Imóveis!$U$6,0),IF((IF(AND(Dados!$A1036&gt;=Imóveis!$Q$6,Dados!$A1036&lt;=Imóveis!$T$6),Imóveis!$S$6-(DATEDIF(Imóveis!$Q$6,Dados!$A1036,"m")),0))=0,0,((Imóveis!$N$6/Imóveis!$S$6)+((Imóveis!$N$6-((Imóveis!$S$6-(IF(AND(Dados!$A1036&gt;=Imóveis!$Q$6,Dados!$A1036&lt;=Imóveis!$T$6),Imóveis!$S$6-(DATEDIF(Imóveis!$Q$6,Dados!$A1036,"m")),)))*(Imóveis!$N$6/Imóveis!$S$6)))*Imóveis!$P$6))))*IF(AND(Imóveis!$E$6&gt;0,Dados!$A1036&gt;Imóveis!$E$6),0,1)*Imóveis!$I$6</f>
        <v>0</v>
      </c>
      <c r="N1036" s="18">
        <f t="shared" si="133"/>
        <v>0</v>
      </c>
      <c r="O1036" s="18">
        <f>SUMIFS(Receitas!$F:$F,Receitas!$J:$J,"&lt;="&amp;$A1036,Receitas!$L:$L,"&gt;="&amp;$A1036,Receitas!$C:$C,O$1,Receitas!$M:$M,"Mensal")+SUMIFS(Receitas!$F:$F,Receitas!$J:$J,"&lt;="&amp;$A1036,Receitas!$L:$L,"&gt;="&amp;$A1036,Receitas!$C:$C,O$1,Receitas!$M:$M,$B1036)</f>
        <v>0</v>
      </c>
      <c r="P1036" s="18">
        <f>SUMIFS(Receitas!$F:$F,Receitas!$J:$J,"&lt;="&amp;$A1036,Receitas!$L:$L,"&gt;="&amp;$A1036,Receitas!$C:$C,P$1,Receitas!$M:$M,"Mensal")+SUMIFS(Receitas!$F:$F,Receitas!$J:$J,"&lt;="&amp;$A1036,Receitas!$L:$L,"&gt;="&amp;$A1036,Receitas!$C:$C,P$1,Receitas!$M:$M,$B1036)</f>
        <v>0</v>
      </c>
      <c r="Q1036" s="18">
        <f>SUMIFS(Receitas!$F:$F,Receitas!$J:$J,"&lt;="&amp;$A1036,Receitas!$L:$L,"&gt;="&amp;$A1036,Receitas!$C:$C,Q$1,Receitas!$M:$M,"Mensal")+SUMIFS(Receitas!$F:$F,Receitas!$J:$J,"&lt;="&amp;$A1036,Receitas!$L:$L,"&gt;="&amp;$A1036,Receitas!$C:$C,Q$1,Receitas!$M:$M,$B1036)</f>
        <v>0</v>
      </c>
      <c r="R1036" s="18" cm="1">
        <f t="array" ref="R1036">(IF(AND(Membros!$F$2="Sim",A1036&lt;=MAX(Membros!$E$2:$E$5)),Membros!K$2,IF(AND(A1036&gt;=Membros!J$2,A1036&lt;=MAX(Membros!$E$2:$E$5)),Membros!K$2,0))+IF(AND(Membros!$F$3="Sim",A1036&lt;=MAX(Membros!$E$2:$E$5)),Membros!K$3,IF(AND(A1036&gt;=Membros!J$3,A1036&lt;=MAX(Membros!$E$2:$E$5)),Membros!K$3,0)))*IF(AND(COUNTIFS(Tabela3[Tipo],"Provedor",Tabela3[Simulação Seguro],"Sim")=2,A1036&gt;=MAX(IF(Tabela3[Tipo]="Dependente",Tabela3[Expectativa de Vida (Data)]))),0,1)</f>
        <v>0</v>
      </c>
      <c r="S1036" s="18">
        <f t="shared" si="134"/>
        <v>0</v>
      </c>
      <c r="U1036" s="18">
        <f t="shared" ca="1" si="137"/>
        <v>138799397.20783517</v>
      </c>
      <c r="V1036" s="18">
        <f>SUMIF(Imóveis!E:E,Dados!A:A,Imóveis!Z:Z)-SUMIF(Imóveis!E:E,Dados!A:A,Imóveis!Y:Y)</f>
        <v>0</v>
      </c>
      <c r="W1036" s="18">
        <f>-SUMIF(Projetos!N:N,A1036,Projetos!F:F)</f>
        <v>0</v>
      </c>
      <c r="X1036" s="18">
        <f t="shared" si="131"/>
        <v>0</v>
      </c>
      <c r="Y1036" s="26">
        <f ca="1">(U1036*((Indicadores_Economicos!D$2+1)^(1/12)-1))</f>
        <v>454393.10838451894</v>
      </c>
      <c r="Z1036" s="18">
        <f t="shared" ca="1" si="135"/>
        <v>139253790.31621969</v>
      </c>
      <c r="AA1036" s="18">
        <f ca="1">Auxiliar_Projetos!E1036</f>
        <v>1.1478937496027883E-8</v>
      </c>
      <c r="AB1036" s="18">
        <f ca="1">Auxiliar_Projetos!K1036</f>
        <v>8.8299519200214483E-9</v>
      </c>
      <c r="AC1036" s="18">
        <f ca="1">IF(Z1036-AA1036-AB1036&gt;Investimentos!$C$14,Investimentos!$C$14,IF(Z1036-AA1036-AB1036&lt;Investimentos!$C$14,Z1036-AA1036-AB1036,0))</f>
        <v>300000</v>
      </c>
      <c r="AD1036" s="18">
        <f t="shared" ca="1" si="136"/>
        <v>138953790.31621969</v>
      </c>
      <c r="AE1036" s="18"/>
    </row>
    <row r="1037" spans="1:31" x14ac:dyDescent="0.2">
      <c r="A1037" s="4">
        <v>77158</v>
      </c>
      <c r="B1037" s="5" t="str">
        <f t="shared" si="132"/>
        <v>abril</v>
      </c>
      <c r="C1037" s="5" t="str">
        <f t="shared" si="130"/>
        <v>2111</v>
      </c>
      <c r="D1037" s="5">
        <f>SUMIFS(Despesas!$F:$F,Despesas!$J:$J,"&lt;="&amp;$A1037,Despesas!$L:$L,"&gt;="&amp;$A1037,Despesas!$C:$C,D$1,Despesas!$M:$M,"Mensal")+SUMIFS(Despesas!$F:$F,Despesas!$J:$J,"&lt;="&amp;$A1037,Despesas!$L:$L,"&gt;="&amp;$A1037,Despesas!$C:$C,D$1,Despesas!$M:$M,$B1037)</f>
        <v>0</v>
      </c>
      <c r="E1037" s="18">
        <f>SUMIFS(Despesas!$F:$F,Despesas!$J:$J,"&lt;="&amp;$A1037,Despesas!$L:$L,"&gt;="&amp;$A1037,Despesas!$C:$C,E$1,Despesas!$M:$M,"Mensal")+SUMIFS(Despesas!$F:$F,Despesas!$J:$J,"&lt;="&amp;$A1037,Despesas!$L:$L,"&gt;="&amp;$A1037,Despesas!$C:$C,E$1,Despesas!$M:$M,$B1037)</f>
        <v>0</v>
      </c>
      <c r="F1037" s="5">
        <f>SUMIFS(Despesas!$F:$F,Despesas!$J:$J,"&lt;="&amp;$A1037,Despesas!$L:$L,"&gt;="&amp;$A1037,Despesas!$C:$C,F$1,Despesas!$M:$M,"Mensal")+SUMIFS(Despesas!$F:$F,Despesas!$J:$J,"&lt;="&amp;$A1037,Despesas!$L:$L,"&gt;="&amp;$A1037,Despesas!$C:$C,F$1,Despesas!$M:$M,$B1037)</f>
        <v>0</v>
      </c>
      <c r="G1037" s="5">
        <f>SUMIFS(Despesas!$F:$F,Despesas!$J:$J,"&lt;="&amp;$A1037,Despesas!$L:$L,"&gt;="&amp;$A1037,Despesas!$C:$C,G$1,Despesas!$M:$M,"Mensal")+SUMIFS(Despesas!$F:$F,Despesas!$J:$J,"&lt;="&amp;$A1037,Despesas!$L:$L,"&gt;="&amp;$A1037,Despesas!$C:$C,G$1,Despesas!$M:$M,$B1037)</f>
        <v>0</v>
      </c>
      <c r="H1037" s="18">
        <f>SUMIFS(Despesas!$F:$F,Despesas!$J:$J,"&lt;="&amp;$A1037,Despesas!$L:$L,"&gt;="&amp;$A1037,Despesas!$C:$C,H$1,Despesas!$M:$M,"Mensal")+SUMIFS(Despesas!$F:$F,Despesas!$J:$J,"&lt;="&amp;$A1037,Despesas!$L:$L,"&gt;="&amp;$A1037,Despesas!$C:$C,H$1,Despesas!$M:$M,$B1037)</f>
        <v>0</v>
      </c>
      <c r="I1037" s="18">
        <f>IF(Imóveis!$F$2="PRICE",IF(AND(Dados!$A1037&gt;=Imóveis!$Q$2,Dados!$A1037&lt;=Imóveis!$T$2),Imóveis!$U$2,0),IF((IF(AND(Dados!$A1037&gt;=Imóveis!$Q$2,Dados!$A1037&lt;=Imóveis!$T$2),Imóveis!$S$2-(DATEDIF(Imóveis!$Q$2,Dados!$A1037,"m")),0))=0,0,((Imóveis!$N$2/Imóveis!$S$2)+((Imóveis!$N$2-((Imóveis!$S$2-(IF(AND(Dados!$A1037&gt;=Imóveis!$Q$2,Dados!$A1037&lt;=Imóveis!$T$2),Imóveis!$S$2-(DATEDIF(Imóveis!$Q$2,Dados!$A1037,"m")),)))*(Imóveis!$N$2/Imóveis!$S$2)))*Imóveis!$P$2))))*IF(AND(Imóveis!$E$2&gt;0,Dados!$A1037&gt;Imóveis!$E$2),0,1)</f>
        <v>0</v>
      </c>
      <c r="J1037" s="18">
        <f>IF(Imóveis!$F$3="PRICE",IF(AND(Dados!$A1037&gt;=Imóveis!$Q$3,Dados!$A1037&lt;=Imóveis!$T$3),Imóveis!$U$3,0),IF((IF(AND(Dados!$A1037&gt;=Imóveis!$Q$3,Dados!$A1037&lt;=Imóveis!$T$3),Imóveis!$S$3-(DATEDIF(Imóveis!$Q$3,Dados!$A1037,"m")),0))=0,0,((Imóveis!$N$3/Imóveis!$S$3)+((Imóveis!$N$3-((Imóveis!$S$3-(IF(AND(Dados!$A1037&gt;=Imóveis!$Q$3,Dados!$A1037&lt;=Imóveis!$T$3),Imóveis!$S$3-(DATEDIF(Imóveis!$Q$3,Dados!$A1037,"m")),)))*(Imóveis!$N$3/Imóveis!$S$3)))*Imóveis!$P$3))))*IF(AND(Imóveis!$E$3&gt;0,Dados!$A1037&gt;Imóveis!$E$3),0,1)</f>
        <v>0</v>
      </c>
      <c r="K1037" s="18">
        <f>IF(Imóveis!$F$4="PRICE",IF(AND(Dados!$A1037&gt;=Imóveis!$Q$4,Dados!$A1037&lt;=Imóveis!$T$4),Imóveis!$U$4,0),IF((IF(AND(Dados!$A1037&gt;=Imóveis!$Q$4,Dados!$A1037&lt;=Imóveis!$T$4),Imóveis!$S$4-(DATEDIF(Imóveis!$Q$4,Dados!$A1037,"m")),0))=0,0,((Imóveis!$N$4/Imóveis!$S$4)+((Imóveis!$N$4-((Imóveis!$S$4-(IF(AND(Dados!$A1037&gt;=Imóveis!$Q$4,Dados!$A1037&lt;=Imóveis!$T$4),Imóveis!$S$4-(DATEDIF(Imóveis!$Q$4,Dados!$A1037,"m")),)))*(Imóveis!$N$4/Imóveis!$S$4)))*Imóveis!$P$4))))*IF(AND(Imóveis!$E$4&gt;0,Dados!$A1037&gt;Imóveis!$E$4),0,1)</f>
        <v>0</v>
      </c>
      <c r="L1037" s="18">
        <f>IF(Imóveis!$F$5="PRICE",IF(AND(Dados!$A1037&gt;=Imóveis!$Q$5,Dados!$A1037&lt;=Imóveis!$T$5),Imóveis!$U$5,0),IF((IF(AND(Dados!$A1037&gt;=Imóveis!$Q$5,Dados!$A1037&lt;=Imóveis!$T$5),Imóveis!$S$5-(DATEDIF(Imóveis!$Q$5,Dados!$A1037,"m")),0))=0,0,((Imóveis!$N$5/Imóveis!$S$5)+((Imóveis!$N$5-((Imóveis!$S$5-(IF(AND(Dados!$A1037 &gt;=Imóveis!$Q$5,Dados!$A1037&lt;=Imóveis!$T$5),Imóveis!$S$5-(DATEDIF(Imóveis!$Q$5,Dados!$A1037,"m")),)))*(Imóveis!$N$5/Imóveis!$S$5)))*Imóveis!$P$5))))*IF(AND(Imóveis!$E$5&gt;0,Dados!$A1037&gt;Imóveis!$E$5),0,1)*Imóveis!$I$5</f>
        <v>0</v>
      </c>
      <c r="M1037" s="18">
        <f>IF(Imóveis!$F$6="PRICE",IF(AND(Dados!$A1037&gt;=Imóveis!$Q$6,Dados!$A1037&lt;=Imóveis!$T$6),Imóveis!$U$6,0),IF((IF(AND(Dados!$A1037&gt;=Imóveis!$Q$6,Dados!$A1037&lt;=Imóveis!$T$6),Imóveis!$S$6-(DATEDIF(Imóveis!$Q$6,Dados!$A1037,"m")),0))=0,0,((Imóveis!$N$6/Imóveis!$S$6)+((Imóveis!$N$6-((Imóveis!$S$6-(IF(AND(Dados!$A1037&gt;=Imóveis!$Q$6,Dados!$A1037&lt;=Imóveis!$T$6),Imóveis!$S$6-(DATEDIF(Imóveis!$Q$6,Dados!$A1037,"m")),)))*(Imóveis!$N$6/Imóveis!$S$6)))*Imóveis!$P$6))))*IF(AND(Imóveis!$E$6&gt;0,Dados!$A1037&gt;Imóveis!$E$6),0,1)*Imóveis!$I$6</f>
        <v>0</v>
      </c>
      <c r="N1037" s="18">
        <f t="shared" si="133"/>
        <v>0</v>
      </c>
      <c r="O1037" s="18">
        <f>SUMIFS(Receitas!$F:$F,Receitas!$J:$J,"&lt;="&amp;$A1037,Receitas!$L:$L,"&gt;="&amp;$A1037,Receitas!$C:$C,O$1,Receitas!$M:$M,"Mensal")+SUMIFS(Receitas!$F:$F,Receitas!$J:$J,"&lt;="&amp;$A1037,Receitas!$L:$L,"&gt;="&amp;$A1037,Receitas!$C:$C,O$1,Receitas!$M:$M,$B1037)</f>
        <v>0</v>
      </c>
      <c r="P1037" s="18">
        <f>SUMIFS(Receitas!$F:$F,Receitas!$J:$J,"&lt;="&amp;$A1037,Receitas!$L:$L,"&gt;="&amp;$A1037,Receitas!$C:$C,P$1,Receitas!$M:$M,"Mensal")+SUMIFS(Receitas!$F:$F,Receitas!$J:$J,"&lt;="&amp;$A1037,Receitas!$L:$L,"&gt;="&amp;$A1037,Receitas!$C:$C,P$1,Receitas!$M:$M,$B1037)</f>
        <v>0</v>
      </c>
      <c r="Q1037" s="18">
        <f>SUMIFS(Receitas!$F:$F,Receitas!$J:$J,"&lt;="&amp;$A1037,Receitas!$L:$L,"&gt;="&amp;$A1037,Receitas!$C:$C,Q$1,Receitas!$M:$M,"Mensal")+SUMIFS(Receitas!$F:$F,Receitas!$J:$J,"&lt;="&amp;$A1037,Receitas!$L:$L,"&gt;="&amp;$A1037,Receitas!$C:$C,Q$1,Receitas!$M:$M,$B1037)</f>
        <v>0</v>
      </c>
      <c r="R1037" s="18" cm="1">
        <f t="array" ref="R1037">(IF(AND(Membros!$F$2="Sim",A1037&lt;=MAX(Membros!$E$2:$E$5)),Membros!K$2,IF(AND(A1037&gt;=Membros!J$2,A1037&lt;=MAX(Membros!$E$2:$E$5)),Membros!K$2,0))+IF(AND(Membros!$F$3="Sim",A1037&lt;=MAX(Membros!$E$2:$E$5)),Membros!K$3,IF(AND(A1037&gt;=Membros!J$3,A1037&lt;=MAX(Membros!$E$2:$E$5)),Membros!K$3,0)))*IF(AND(COUNTIFS(Tabela3[Tipo],"Provedor",Tabela3[Simulação Seguro],"Sim")=2,A1037&gt;=MAX(IF(Tabela3[Tipo]="Dependente",Tabela3[Expectativa de Vida (Data)]))),0,1)</f>
        <v>0</v>
      </c>
      <c r="S1037" s="18">
        <f t="shared" si="134"/>
        <v>0</v>
      </c>
      <c r="U1037" s="18">
        <f t="shared" ca="1" si="137"/>
        <v>139253790.31621969</v>
      </c>
      <c r="V1037" s="18">
        <f>SUMIF(Imóveis!E:E,Dados!A:A,Imóveis!Z:Z)-SUMIF(Imóveis!E:E,Dados!A:A,Imóveis!Y:Y)</f>
        <v>0</v>
      </c>
      <c r="W1037" s="18">
        <f>-SUMIF(Projetos!N:N,A1037,Projetos!F:F)</f>
        <v>0</v>
      </c>
      <c r="X1037" s="18">
        <f t="shared" si="131"/>
        <v>0</v>
      </c>
      <c r="Y1037" s="26">
        <f ca="1">(U1037*((Indicadores_Economicos!D$2+1)^(1/12)-1))</f>
        <v>455880.67318019434</v>
      </c>
      <c r="Z1037" s="18">
        <f t="shared" ca="1" si="135"/>
        <v>139709670.98939988</v>
      </c>
      <c r="AA1037" s="18">
        <f ca="1">Auxiliar_Projetos!E1037</f>
        <v>1.1516516550366005E-8</v>
      </c>
      <c r="AB1037" s="18">
        <f ca="1">Auxiliar_Projetos!K1037</f>
        <v>8.8588588848969259E-9</v>
      </c>
      <c r="AC1037" s="18">
        <f ca="1">IF(Z1037-AA1037-AB1037&gt;Investimentos!$C$14,Investimentos!$C$14,IF(Z1037-AA1037-AB1037&lt;Investimentos!$C$14,Z1037-AA1037-AB1037,0))</f>
        <v>300000</v>
      </c>
      <c r="AD1037" s="18">
        <f t="shared" ca="1" si="136"/>
        <v>139409670.98939988</v>
      </c>
      <c r="AE1037" s="18"/>
    </row>
    <row r="1038" spans="1:31" x14ac:dyDescent="0.2">
      <c r="A1038" s="4">
        <v>77188</v>
      </c>
      <c r="B1038" s="5" t="str">
        <f t="shared" si="132"/>
        <v>maio</v>
      </c>
      <c r="C1038" s="5" t="str">
        <f t="shared" si="130"/>
        <v>2111</v>
      </c>
      <c r="D1038" s="5">
        <f>SUMIFS(Despesas!$F:$F,Despesas!$J:$J,"&lt;="&amp;$A1038,Despesas!$L:$L,"&gt;="&amp;$A1038,Despesas!$C:$C,D$1,Despesas!$M:$M,"Mensal")+SUMIFS(Despesas!$F:$F,Despesas!$J:$J,"&lt;="&amp;$A1038,Despesas!$L:$L,"&gt;="&amp;$A1038,Despesas!$C:$C,D$1,Despesas!$M:$M,$B1038)</f>
        <v>0</v>
      </c>
      <c r="E1038" s="18">
        <f>SUMIFS(Despesas!$F:$F,Despesas!$J:$J,"&lt;="&amp;$A1038,Despesas!$L:$L,"&gt;="&amp;$A1038,Despesas!$C:$C,E$1,Despesas!$M:$M,"Mensal")+SUMIFS(Despesas!$F:$F,Despesas!$J:$J,"&lt;="&amp;$A1038,Despesas!$L:$L,"&gt;="&amp;$A1038,Despesas!$C:$C,E$1,Despesas!$M:$M,$B1038)</f>
        <v>0</v>
      </c>
      <c r="F1038" s="5">
        <f>SUMIFS(Despesas!$F:$F,Despesas!$J:$J,"&lt;="&amp;$A1038,Despesas!$L:$L,"&gt;="&amp;$A1038,Despesas!$C:$C,F$1,Despesas!$M:$M,"Mensal")+SUMIFS(Despesas!$F:$F,Despesas!$J:$J,"&lt;="&amp;$A1038,Despesas!$L:$L,"&gt;="&amp;$A1038,Despesas!$C:$C,F$1,Despesas!$M:$M,$B1038)</f>
        <v>0</v>
      </c>
      <c r="G1038" s="5">
        <f>SUMIFS(Despesas!$F:$F,Despesas!$J:$J,"&lt;="&amp;$A1038,Despesas!$L:$L,"&gt;="&amp;$A1038,Despesas!$C:$C,G$1,Despesas!$M:$M,"Mensal")+SUMIFS(Despesas!$F:$F,Despesas!$J:$J,"&lt;="&amp;$A1038,Despesas!$L:$L,"&gt;="&amp;$A1038,Despesas!$C:$C,G$1,Despesas!$M:$M,$B1038)</f>
        <v>0</v>
      </c>
      <c r="H1038" s="18">
        <f>SUMIFS(Despesas!$F:$F,Despesas!$J:$J,"&lt;="&amp;$A1038,Despesas!$L:$L,"&gt;="&amp;$A1038,Despesas!$C:$C,H$1,Despesas!$M:$M,"Mensal")+SUMIFS(Despesas!$F:$F,Despesas!$J:$J,"&lt;="&amp;$A1038,Despesas!$L:$L,"&gt;="&amp;$A1038,Despesas!$C:$C,H$1,Despesas!$M:$M,$B1038)</f>
        <v>0</v>
      </c>
      <c r="I1038" s="18">
        <f>IF(Imóveis!$F$2="PRICE",IF(AND(Dados!$A1038&gt;=Imóveis!$Q$2,Dados!$A1038&lt;=Imóveis!$T$2),Imóveis!$U$2,0),IF((IF(AND(Dados!$A1038&gt;=Imóveis!$Q$2,Dados!$A1038&lt;=Imóveis!$T$2),Imóveis!$S$2-(DATEDIF(Imóveis!$Q$2,Dados!$A1038,"m")),0))=0,0,((Imóveis!$N$2/Imóveis!$S$2)+((Imóveis!$N$2-((Imóveis!$S$2-(IF(AND(Dados!$A1038&gt;=Imóveis!$Q$2,Dados!$A1038&lt;=Imóveis!$T$2),Imóveis!$S$2-(DATEDIF(Imóveis!$Q$2,Dados!$A1038,"m")),)))*(Imóveis!$N$2/Imóveis!$S$2)))*Imóveis!$P$2))))*IF(AND(Imóveis!$E$2&gt;0,Dados!$A1038&gt;Imóveis!$E$2),0,1)</f>
        <v>0</v>
      </c>
      <c r="J1038" s="18">
        <f>IF(Imóveis!$F$3="PRICE",IF(AND(Dados!$A1038&gt;=Imóveis!$Q$3,Dados!$A1038&lt;=Imóveis!$T$3),Imóveis!$U$3,0),IF((IF(AND(Dados!$A1038&gt;=Imóveis!$Q$3,Dados!$A1038&lt;=Imóveis!$T$3),Imóveis!$S$3-(DATEDIF(Imóveis!$Q$3,Dados!$A1038,"m")),0))=0,0,((Imóveis!$N$3/Imóveis!$S$3)+((Imóveis!$N$3-((Imóveis!$S$3-(IF(AND(Dados!$A1038&gt;=Imóveis!$Q$3,Dados!$A1038&lt;=Imóveis!$T$3),Imóveis!$S$3-(DATEDIF(Imóveis!$Q$3,Dados!$A1038,"m")),)))*(Imóveis!$N$3/Imóveis!$S$3)))*Imóveis!$P$3))))*IF(AND(Imóveis!$E$3&gt;0,Dados!$A1038&gt;Imóveis!$E$3),0,1)</f>
        <v>0</v>
      </c>
      <c r="K1038" s="18">
        <f>IF(Imóveis!$F$4="PRICE",IF(AND(Dados!$A1038&gt;=Imóveis!$Q$4,Dados!$A1038&lt;=Imóveis!$T$4),Imóveis!$U$4,0),IF((IF(AND(Dados!$A1038&gt;=Imóveis!$Q$4,Dados!$A1038&lt;=Imóveis!$T$4),Imóveis!$S$4-(DATEDIF(Imóveis!$Q$4,Dados!$A1038,"m")),0))=0,0,((Imóveis!$N$4/Imóveis!$S$4)+((Imóveis!$N$4-((Imóveis!$S$4-(IF(AND(Dados!$A1038&gt;=Imóveis!$Q$4,Dados!$A1038&lt;=Imóveis!$T$4),Imóveis!$S$4-(DATEDIF(Imóveis!$Q$4,Dados!$A1038,"m")),)))*(Imóveis!$N$4/Imóveis!$S$4)))*Imóveis!$P$4))))*IF(AND(Imóveis!$E$4&gt;0,Dados!$A1038&gt;Imóveis!$E$4),0,1)</f>
        <v>0</v>
      </c>
      <c r="L1038" s="18">
        <f>IF(Imóveis!$F$5="PRICE",IF(AND(Dados!$A1038&gt;=Imóveis!$Q$5,Dados!$A1038&lt;=Imóveis!$T$5),Imóveis!$U$5,0),IF((IF(AND(Dados!$A1038&gt;=Imóveis!$Q$5,Dados!$A1038&lt;=Imóveis!$T$5),Imóveis!$S$5-(DATEDIF(Imóveis!$Q$5,Dados!$A1038,"m")),0))=0,0,((Imóveis!$N$5/Imóveis!$S$5)+((Imóveis!$N$5-((Imóveis!$S$5-(IF(AND(Dados!$A1038 &gt;=Imóveis!$Q$5,Dados!$A1038&lt;=Imóveis!$T$5),Imóveis!$S$5-(DATEDIF(Imóveis!$Q$5,Dados!$A1038,"m")),)))*(Imóveis!$N$5/Imóveis!$S$5)))*Imóveis!$P$5))))*IF(AND(Imóveis!$E$5&gt;0,Dados!$A1038&gt;Imóveis!$E$5),0,1)*Imóveis!$I$5</f>
        <v>0</v>
      </c>
      <c r="M1038" s="18">
        <f>IF(Imóveis!$F$6="PRICE",IF(AND(Dados!$A1038&gt;=Imóveis!$Q$6,Dados!$A1038&lt;=Imóveis!$T$6),Imóveis!$U$6,0),IF((IF(AND(Dados!$A1038&gt;=Imóveis!$Q$6,Dados!$A1038&lt;=Imóveis!$T$6),Imóveis!$S$6-(DATEDIF(Imóveis!$Q$6,Dados!$A1038,"m")),0))=0,0,((Imóveis!$N$6/Imóveis!$S$6)+((Imóveis!$N$6-((Imóveis!$S$6-(IF(AND(Dados!$A1038&gt;=Imóveis!$Q$6,Dados!$A1038&lt;=Imóveis!$T$6),Imóveis!$S$6-(DATEDIF(Imóveis!$Q$6,Dados!$A1038,"m")),)))*(Imóveis!$N$6/Imóveis!$S$6)))*Imóveis!$P$6))))*IF(AND(Imóveis!$E$6&gt;0,Dados!$A1038&gt;Imóveis!$E$6),0,1)*Imóveis!$I$6</f>
        <v>0</v>
      </c>
      <c r="N1038" s="18">
        <f t="shared" si="133"/>
        <v>0</v>
      </c>
      <c r="O1038" s="18">
        <f>SUMIFS(Receitas!$F:$F,Receitas!$J:$J,"&lt;="&amp;$A1038,Receitas!$L:$L,"&gt;="&amp;$A1038,Receitas!$C:$C,O$1,Receitas!$M:$M,"Mensal")+SUMIFS(Receitas!$F:$F,Receitas!$J:$J,"&lt;="&amp;$A1038,Receitas!$L:$L,"&gt;="&amp;$A1038,Receitas!$C:$C,O$1,Receitas!$M:$M,$B1038)</f>
        <v>0</v>
      </c>
      <c r="P1038" s="18">
        <f>SUMIFS(Receitas!$F:$F,Receitas!$J:$J,"&lt;="&amp;$A1038,Receitas!$L:$L,"&gt;="&amp;$A1038,Receitas!$C:$C,P$1,Receitas!$M:$M,"Mensal")+SUMIFS(Receitas!$F:$F,Receitas!$J:$J,"&lt;="&amp;$A1038,Receitas!$L:$L,"&gt;="&amp;$A1038,Receitas!$C:$C,P$1,Receitas!$M:$M,$B1038)</f>
        <v>0</v>
      </c>
      <c r="Q1038" s="18">
        <f>SUMIFS(Receitas!$F:$F,Receitas!$J:$J,"&lt;="&amp;$A1038,Receitas!$L:$L,"&gt;="&amp;$A1038,Receitas!$C:$C,Q$1,Receitas!$M:$M,"Mensal")+SUMIFS(Receitas!$F:$F,Receitas!$J:$J,"&lt;="&amp;$A1038,Receitas!$L:$L,"&gt;="&amp;$A1038,Receitas!$C:$C,Q$1,Receitas!$M:$M,$B1038)</f>
        <v>0</v>
      </c>
      <c r="R1038" s="18" cm="1">
        <f t="array" ref="R1038">(IF(AND(Membros!$F$2="Sim",A1038&lt;=MAX(Membros!$E$2:$E$5)),Membros!K$2,IF(AND(A1038&gt;=Membros!J$2,A1038&lt;=MAX(Membros!$E$2:$E$5)),Membros!K$2,0))+IF(AND(Membros!$F$3="Sim",A1038&lt;=MAX(Membros!$E$2:$E$5)),Membros!K$3,IF(AND(A1038&gt;=Membros!J$3,A1038&lt;=MAX(Membros!$E$2:$E$5)),Membros!K$3,0)))*IF(AND(COUNTIFS(Tabela3[Tipo],"Provedor",Tabela3[Simulação Seguro],"Sim")=2,A1038&gt;=MAX(IF(Tabela3[Tipo]="Dependente",Tabela3[Expectativa de Vida (Data)]))),0,1)</f>
        <v>0</v>
      </c>
      <c r="S1038" s="18">
        <f t="shared" si="134"/>
        <v>0</v>
      </c>
      <c r="U1038" s="18">
        <f t="shared" ca="1" si="137"/>
        <v>139709670.98939988</v>
      </c>
      <c r="V1038" s="18">
        <f>SUMIF(Imóveis!E:E,Dados!A:A,Imóveis!Z:Z)-SUMIF(Imóveis!E:E,Dados!A:A,Imóveis!Y:Y)</f>
        <v>0</v>
      </c>
      <c r="W1038" s="18">
        <f>-SUMIF(Projetos!N:N,A1038,Projetos!F:F)</f>
        <v>0</v>
      </c>
      <c r="X1038" s="18">
        <f t="shared" si="131"/>
        <v>0</v>
      </c>
      <c r="Y1038" s="26">
        <f ca="1">(U1038*((Indicadores_Economicos!D$2+1)^(1/12)-1))</f>
        <v>457373.10787591996</v>
      </c>
      <c r="Z1038" s="18">
        <f t="shared" ca="1" si="135"/>
        <v>140167044.09727579</v>
      </c>
      <c r="AA1038" s="18">
        <f ca="1">Auxiliar_Projetos!E1038</f>
        <v>1.155421862874929E-8</v>
      </c>
      <c r="AB1038" s="18">
        <f ca="1">Auxiliar_Projetos!K1038</f>
        <v>8.8878604836532999E-9</v>
      </c>
      <c r="AC1038" s="18">
        <f ca="1">IF(Z1038-AA1038-AB1038&gt;Investimentos!$C$14,Investimentos!$C$14,IF(Z1038-AA1038-AB1038&lt;Investimentos!$C$14,Z1038-AA1038-AB1038,0))</f>
        <v>300000</v>
      </c>
      <c r="AD1038" s="18">
        <f t="shared" ca="1" si="136"/>
        <v>139867044.09727579</v>
      </c>
      <c r="AE1038" s="18"/>
    </row>
    <row r="1039" spans="1:31" x14ac:dyDescent="0.2">
      <c r="A1039" s="4">
        <v>77219</v>
      </c>
      <c r="B1039" s="5" t="str">
        <f t="shared" si="132"/>
        <v>junho</v>
      </c>
      <c r="C1039" s="5" t="str">
        <f t="shared" si="130"/>
        <v>2111</v>
      </c>
      <c r="D1039" s="5">
        <f>SUMIFS(Despesas!$F:$F,Despesas!$J:$J,"&lt;="&amp;$A1039,Despesas!$L:$L,"&gt;="&amp;$A1039,Despesas!$C:$C,D$1,Despesas!$M:$M,"Mensal")+SUMIFS(Despesas!$F:$F,Despesas!$J:$J,"&lt;="&amp;$A1039,Despesas!$L:$L,"&gt;="&amp;$A1039,Despesas!$C:$C,D$1,Despesas!$M:$M,$B1039)</f>
        <v>0</v>
      </c>
      <c r="E1039" s="18">
        <f>SUMIFS(Despesas!$F:$F,Despesas!$J:$J,"&lt;="&amp;$A1039,Despesas!$L:$L,"&gt;="&amp;$A1039,Despesas!$C:$C,E$1,Despesas!$M:$M,"Mensal")+SUMIFS(Despesas!$F:$F,Despesas!$J:$J,"&lt;="&amp;$A1039,Despesas!$L:$L,"&gt;="&amp;$A1039,Despesas!$C:$C,E$1,Despesas!$M:$M,$B1039)</f>
        <v>0</v>
      </c>
      <c r="F1039" s="5">
        <f>SUMIFS(Despesas!$F:$F,Despesas!$J:$J,"&lt;="&amp;$A1039,Despesas!$L:$L,"&gt;="&amp;$A1039,Despesas!$C:$C,F$1,Despesas!$M:$M,"Mensal")+SUMIFS(Despesas!$F:$F,Despesas!$J:$J,"&lt;="&amp;$A1039,Despesas!$L:$L,"&gt;="&amp;$A1039,Despesas!$C:$C,F$1,Despesas!$M:$M,$B1039)</f>
        <v>0</v>
      </c>
      <c r="G1039" s="5">
        <f>SUMIFS(Despesas!$F:$F,Despesas!$J:$J,"&lt;="&amp;$A1039,Despesas!$L:$L,"&gt;="&amp;$A1039,Despesas!$C:$C,G$1,Despesas!$M:$M,"Mensal")+SUMIFS(Despesas!$F:$F,Despesas!$J:$J,"&lt;="&amp;$A1039,Despesas!$L:$L,"&gt;="&amp;$A1039,Despesas!$C:$C,G$1,Despesas!$M:$M,$B1039)</f>
        <v>0</v>
      </c>
      <c r="H1039" s="18">
        <f>SUMIFS(Despesas!$F:$F,Despesas!$J:$J,"&lt;="&amp;$A1039,Despesas!$L:$L,"&gt;="&amp;$A1039,Despesas!$C:$C,H$1,Despesas!$M:$M,"Mensal")+SUMIFS(Despesas!$F:$F,Despesas!$J:$J,"&lt;="&amp;$A1039,Despesas!$L:$L,"&gt;="&amp;$A1039,Despesas!$C:$C,H$1,Despesas!$M:$M,$B1039)</f>
        <v>0</v>
      </c>
      <c r="I1039" s="18">
        <f>IF(Imóveis!$F$2="PRICE",IF(AND(Dados!$A1039&gt;=Imóveis!$Q$2,Dados!$A1039&lt;=Imóveis!$T$2),Imóveis!$U$2,0),IF((IF(AND(Dados!$A1039&gt;=Imóveis!$Q$2,Dados!$A1039&lt;=Imóveis!$T$2),Imóveis!$S$2-(DATEDIF(Imóveis!$Q$2,Dados!$A1039,"m")),0))=0,0,((Imóveis!$N$2/Imóveis!$S$2)+((Imóveis!$N$2-((Imóveis!$S$2-(IF(AND(Dados!$A1039&gt;=Imóveis!$Q$2,Dados!$A1039&lt;=Imóveis!$T$2),Imóveis!$S$2-(DATEDIF(Imóveis!$Q$2,Dados!$A1039,"m")),)))*(Imóveis!$N$2/Imóveis!$S$2)))*Imóveis!$P$2))))*IF(AND(Imóveis!$E$2&gt;0,Dados!$A1039&gt;Imóveis!$E$2),0,1)</f>
        <v>0</v>
      </c>
      <c r="J1039" s="18">
        <f>IF(Imóveis!$F$3="PRICE",IF(AND(Dados!$A1039&gt;=Imóveis!$Q$3,Dados!$A1039&lt;=Imóveis!$T$3),Imóveis!$U$3,0),IF((IF(AND(Dados!$A1039&gt;=Imóveis!$Q$3,Dados!$A1039&lt;=Imóveis!$T$3),Imóveis!$S$3-(DATEDIF(Imóveis!$Q$3,Dados!$A1039,"m")),0))=0,0,((Imóveis!$N$3/Imóveis!$S$3)+((Imóveis!$N$3-((Imóveis!$S$3-(IF(AND(Dados!$A1039&gt;=Imóveis!$Q$3,Dados!$A1039&lt;=Imóveis!$T$3),Imóveis!$S$3-(DATEDIF(Imóveis!$Q$3,Dados!$A1039,"m")),)))*(Imóveis!$N$3/Imóveis!$S$3)))*Imóveis!$P$3))))*IF(AND(Imóveis!$E$3&gt;0,Dados!$A1039&gt;Imóveis!$E$3),0,1)</f>
        <v>0</v>
      </c>
      <c r="K1039" s="18">
        <f>IF(Imóveis!$F$4="PRICE",IF(AND(Dados!$A1039&gt;=Imóveis!$Q$4,Dados!$A1039&lt;=Imóveis!$T$4),Imóveis!$U$4,0),IF((IF(AND(Dados!$A1039&gt;=Imóveis!$Q$4,Dados!$A1039&lt;=Imóveis!$T$4),Imóveis!$S$4-(DATEDIF(Imóveis!$Q$4,Dados!$A1039,"m")),0))=0,0,((Imóveis!$N$4/Imóveis!$S$4)+((Imóveis!$N$4-((Imóveis!$S$4-(IF(AND(Dados!$A1039&gt;=Imóveis!$Q$4,Dados!$A1039&lt;=Imóveis!$T$4),Imóveis!$S$4-(DATEDIF(Imóveis!$Q$4,Dados!$A1039,"m")),)))*(Imóveis!$N$4/Imóveis!$S$4)))*Imóveis!$P$4))))*IF(AND(Imóveis!$E$4&gt;0,Dados!$A1039&gt;Imóveis!$E$4),0,1)</f>
        <v>0</v>
      </c>
      <c r="L1039" s="18">
        <f>IF(Imóveis!$F$5="PRICE",IF(AND(Dados!$A1039&gt;=Imóveis!$Q$5,Dados!$A1039&lt;=Imóveis!$T$5),Imóveis!$U$5,0),IF((IF(AND(Dados!$A1039&gt;=Imóveis!$Q$5,Dados!$A1039&lt;=Imóveis!$T$5),Imóveis!$S$5-(DATEDIF(Imóveis!$Q$5,Dados!$A1039,"m")),0))=0,0,((Imóveis!$N$5/Imóveis!$S$5)+((Imóveis!$N$5-((Imóveis!$S$5-(IF(AND(Dados!$A1039 &gt;=Imóveis!$Q$5,Dados!$A1039&lt;=Imóveis!$T$5),Imóveis!$S$5-(DATEDIF(Imóveis!$Q$5,Dados!$A1039,"m")),)))*(Imóveis!$N$5/Imóveis!$S$5)))*Imóveis!$P$5))))*IF(AND(Imóveis!$E$5&gt;0,Dados!$A1039&gt;Imóveis!$E$5),0,1)*Imóveis!$I$5</f>
        <v>0</v>
      </c>
      <c r="M1039" s="18">
        <f>IF(Imóveis!$F$6="PRICE",IF(AND(Dados!$A1039&gt;=Imóveis!$Q$6,Dados!$A1039&lt;=Imóveis!$T$6),Imóveis!$U$6,0),IF((IF(AND(Dados!$A1039&gt;=Imóveis!$Q$6,Dados!$A1039&lt;=Imóveis!$T$6),Imóveis!$S$6-(DATEDIF(Imóveis!$Q$6,Dados!$A1039,"m")),0))=0,0,((Imóveis!$N$6/Imóveis!$S$6)+((Imóveis!$N$6-((Imóveis!$S$6-(IF(AND(Dados!$A1039&gt;=Imóveis!$Q$6,Dados!$A1039&lt;=Imóveis!$T$6),Imóveis!$S$6-(DATEDIF(Imóveis!$Q$6,Dados!$A1039,"m")),)))*(Imóveis!$N$6/Imóveis!$S$6)))*Imóveis!$P$6))))*IF(AND(Imóveis!$E$6&gt;0,Dados!$A1039&gt;Imóveis!$E$6),0,1)*Imóveis!$I$6</f>
        <v>0</v>
      </c>
      <c r="N1039" s="18">
        <f t="shared" si="133"/>
        <v>0</v>
      </c>
      <c r="O1039" s="18">
        <f>SUMIFS(Receitas!$F:$F,Receitas!$J:$J,"&lt;="&amp;$A1039,Receitas!$L:$L,"&gt;="&amp;$A1039,Receitas!$C:$C,O$1,Receitas!$M:$M,"Mensal")+SUMIFS(Receitas!$F:$F,Receitas!$J:$J,"&lt;="&amp;$A1039,Receitas!$L:$L,"&gt;="&amp;$A1039,Receitas!$C:$C,O$1,Receitas!$M:$M,$B1039)</f>
        <v>0</v>
      </c>
      <c r="P1039" s="18">
        <f>SUMIFS(Receitas!$F:$F,Receitas!$J:$J,"&lt;="&amp;$A1039,Receitas!$L:$L,"&gt;="&amp;$A1039,Receitas!$C:$C,P$1,Receitas!$M:$M,"Mensal")+SUMIFS(Receitas!$F:$F,Receitas!$J:$J,"&lt;="&amp;$A1039,Receitas!$L:$L,"&gt;="&amp;$A1039,Receitas!$C:$C,P$1,Receitas!$M:$M,$B1039)</f>
        <v>0</v>
      </c>
      <c r="Q1039" s="18">
        <f>SUMIFS(Receitas!$F:$F,Receitas!$J:$J,"&lt;="&amp;$A1039,Receitas!$L:$L,"&gt;="&amp;$A1039,Receitas!$C:$C,Q$1,Receitas!$M:$M,"Mensal")+SUMIFS(Receitas!$F:$F,Receitas!$J:$J,"&lt;="&amp;$A1039,Receitas!$L:$L,"&gt;="&amp;$A1039,Receitas!$C:$C,Q$1,Receitas!$M:$M,$B1039)</f>
        <v>0</v>
      </c>
      <c r="R1039" s="18" cm="1">
        <f t="array" ref="R1039">(IF(AND(Membros!$F$2="Sim",A1039&lt;=MAX(Membros!$E$2:$E$5)),Membros!K$2,IF(AND(A1039&gt;=Membros!J$2,A1039&lt;=MAX(Membros!$E$2:$E$5)),Membros!K$2,0))+IF(AND(Membros!$F$3="Sim",A1039&lt;=MAX(Membros!$E$2:$E$5)),Membros!K$3,IF(AND(A1039&gt;=Membros!J$3,A1039&lt;=MAX(Membros!$E$2:$E$5)),Membros!K$3,0)))*IF(AND(COUNTIFS(Tabela3[Tipo],"Provedor",Tabela3[Simulação Seguro],"Sim")=2,A1039&gt;=MAX(IF(Tabela3[Tipo]="Dependente",Tabela3[Expectativa de Vida (Data)]))),0,1)</f>
        <v>0</v>
      </c>
      <c r="S1039" s="18">
        <f t="shared" si="134"/>
        <v>0</v>
      </c>
      <c r="U1039" s="18">
        <f t="shared" ca="1" si="137"/>
        <v>140167044.09727579</v>
      </c>
      <c r="V1039" s="18">
        <f>SUMIF(Imóveis!E:E,Dados!A:A,Imóveis!Z:Z)-SUMIF(Imóveis!E:E,Dados!A:A,Imóveis!Y:Y)</f>
        <v>0</v>
      </c>
      <c r="W1039" s="18">
        <f>-SUMIF(Projetos!N:N,A1039,Projetos!F:F)</f>
        <v>0</v>
      </c>
      <c r="X1039" s="18">
        <f t="shared" si="131"/>
        <v>0</v>
      </c>
      <c r="Y1039" s="26">
        <f ca="1">(U1039*((Indicadores_Economicos!D$2+1)^(1/12)-1))</f>
        <v>458870.42841448128</v>
      </c>
      <c r="Z1039" s="18">
        <f t="shared" ca="1" si="135"/>
        <v>140625914.52569029</v>
      </c>
      <c r="AA1039" s="18">
        <f ca="1">Auxiliar_Projetos!E1039</f>
        <v>1.159204413392645E-8</v>
      </c>
      <c r="AB1039" s="18">
        <f ca="1">Auxiliar_Projetos!K1039</f>
        <v>8.9169570260972696E-9</v>
      </c>
      <c r="AC1039" s="18">
        <f ca="1">IF(Z1039-AA1039-AB1039&gt;Investimentos!$C$14,Investimentos!$C$14,IF(Z1039-AA1039-AB1039&lt;Investimentos!$C$14,Z1039-AA1039-AB1039,0))</f>
        <v>300000</v>
      </c>
      <c r="AD1039" s="18">
        <f t="shared" ca="1" si="136"/>
        <v>140325914.52569029</v>
      </c>
      <c r="AE1039" s="18"/>
    </row>
    <row r="1040" spans="1:31" x14ac:dyDescent="0.2">
      <c r="A1040" s="4">
        <v>77249</v>
      </c>
      <c r="B1040" s="5" t="str">
        <f t="shared" si="132"/>
        <v>julho</v>
      </c>
      <c r="C1040" s="5" t="str">
        <f t="shared" si="130"/>
        <v>2111</v>
      </c>
      <c r="D1040" s="5">
        <f>SUMIFS(Despesas!$F:$F,Despesas!$J:$J,"&lt;="&amp;$A1040,Despesas!$L:$L,"&gt;="&amp;$A1040,Despesas!$C:$C,D$1,Despesas!$M:$M,"Mensal")+SUMIFS(Despesas!$F:$F,Despesas!$J:$J,"&lt;="&amp;$A1040,Despesas!$L:$L,"&gt;="&amp;$A1040,Despesas!$C:$C,D$1,Despesas!$M:$M,$B1040)</f>
        <v>0</v>
      </c>
      <c r="E1040" s="18">
        <f>SUMIFS(Despesas!$F:$F,Despesas!$J:$J,"&lt;="&amp;$A1040,Despesas!$L:$L,"&gt;="&amp;$A1040,Despesas!$C:$C,E$1,Despesas!$M:$M,"Mensal")+SUMIFS(Despesas!$F:$F,Despesas!$J:$J,"&lt;="&amp;$A1040,Despesas!$L:$L,"&gt;="&amp;$A1040,Despesas!$C:$C,E$1,Despesas!$M:$M,$B1040)</f>
        <v>0</v>
      </c>
      <c r="F1040" s="5">
        <f>SUMIFS(Despesas!$F:$F,Despesas!$J:$J,"&lt;="&amp;$A1040,Despesas!$L:$L,"&gt;="&amp;$A1040,Despesas!$C:$C,F$1,Despesas!$M:$M,"Mensal")+SUMIFS(Despesas!$F:$F,Despesas!$J:$J,"&lt;="&amp;$A1040,Despesas!$L:$L,"&gt;="&amp;$A1040,Despesas!$C:$C,F$1,Despesas!$M:$M,$B1040)</f>
        <v>0</v>
      </c>
      <c r="G1040" s="5">
        <f>SUMIFS(Despesas!$F:$F,Despesas!$J:$J,"&lt;="&amp;$A1040,Despesas!$L:$L,"&gt;="&amp;$A1040,Despesas!$C:$C,G$1,Despesas!$M:$M,"Mensal")+SUMIFS(Despesas!$F:$F,Despesas!$J:$J,"&lt;="&amp;$A1040,Despesas!$L:$L,"&gt;="&amp;$A1040,Despesas!$C:$C,G$1,Despesas!$M:$M,$B1040)</f>
        <v>0</v>
      </c>
      <c r="H1040" s="18">
        <f>SUMIFS(Despesas!$F:$F,Despesas!$J:$J,"&lt;="&amp;$A1040,Despesas!$L:$L,"&gt;="&amp;$A1040,Despesas!$C:$C,H$1,Despesas!$M:$M,"Mensal")+SUMIFS(Despesas!$F:$F,Despesas!$J:$J,"&lt;="&amp;$A1040,Despesas!$L:$L,"&gt;="&amp;$A1040,Despesas!$C:$C,H$1,Despesas!$M:$M,$B1040)</f>
        <v>0</v>
      </c>
      <c r="I1040" s="18">
        <f>IF(Imóveis!$F$2="PRICE",IF(AND(Dados!$A1040&gt;=Imóveis!$Q$2,Dados!$A1040&lt;=Imóveis!$T$2),Imóveis!$U$2,0),IF((IF(AND(Dados!$A1040&gt;=Imóveis!$Q$2,Dados!$A1040&lt;=Imóveis!$T$2),Imóveis!$S$2-(DATEDIF(Imóveis!$Q$2,Dados!$A1040,"m")),0))=0,0,((Imóveis!$N$2/Imóveis!$S$2)+((Imóveis!$N$2-((Imóveis!$S$2-(IF(AND(Dados!$A1040&gt;=Imóveis!$Q$2,Dados!$A1040&lt;=Imóveis!$T$2),Imóveis!$S$2-(DATEDIF(Imóveis!$Q$2,Dados!$A1040,"m")),)))*(Imóveis!$N$2/Imóveis!$S$2)))*Imóveis!$P$2))))*IF(AND(Imóveis!$E$2&gt;0,Dados!$A1040&gt;Imóveis!$E$2),0,1)</f>
        <v>0</v>
      </c>
      <c r="J1040" s="18">
        <f>IF(Imóveis!$F$3="PRICE",IF(AND(Dados!$A1040&gt;=Imóveis!$Q$3,Dados!$A1040&lt;=Imóveis!$T$3),Imóveis!$U$3,0),IF((IF(AND(Dados!$A1040&gt;=Imóveis!$Q$3,Dados!$A1040&lt;=Imóveis!$T$3),Imóveis!$S$3-(DATEDIF(Imóveis!$Q$3,Dados!$A1040,"m")),0))=0,0,((Imóveis!$N$3/Imóveis!$S$3)+((Imóveis!$N$3-((Imóveis!$S$3-(IF(AND(Dados!$A1040&gt;=Imóveis!$Q$3,Dados!$A1040&lt;=Imóveis!$T$3),Imóveis!$S$3-(DATEDIF(Imóveis!$Q$3,Dados!$A1040,"m")),)))*(Imóveis!$N$3/Imóveis!$S$3)))*Imóveis!$P$3))))*IF(AND(Imóveis!$E$3&gt;0,Dados!$A1040&gt;Imóveis!$E$3),0,1)</f>
        <v>0</v>
      </c>
      <c r="K1040" s="18">
        <f>IF(Imóveis!$F$4="PRICE",IF(AND(Dados!$A1040&gt;=Imóveis!$Q$4,Dados!$A1040&lt;=Imóveis!$T$4),Imóveis!$U$4,0),IF((IF(AND(Dados!$A1040&gt;=Imóveis!$Q$4,Dados!$A1040&lt;=Imóveis!$T$4),Imóveis!$S$4-(DATEDIF(Imóveis!$Q$4,Dados!$A1040,"m")),0))=0,0,((Imóveis!$N$4/Imóveis!$S$4)+((Imóveis!$N$4-((Imóveis!$S$4-(IF(AND(Dados!$A1040&gt;=Imóveis!$Q$4,Dados!$A1040&lt;=Imóveis!$T$4),Imóveis!$S$4-(DATEDIF(Imóveis!$Q$4,Dados!$A1040,"m")),)))*(Imóveis!$N$4/Imóveis!$S$4)))*Imóveis!$P$4))))*IF(AND(Imóveis!$E$4&gt;0,Dados!$A1040&gt;Imóveis!$E$4),0,1)</f>
        <v>0</v>
      </c>
      <c r="L1040" s="18">
        <f>IF(Imóveis!$F$5="PRICE",IF(AND(Dados!$A1040&gt;=Imóveis!$Q$5,Dados!$A1040&lt;=Imóveis!$T$5),Imóveis!$U$5,0),IF((IF(AND(Dados!$A1040&gt;=Imóveis!$Q$5,Dados!$A1040&lt;=Imóveis!$T$5),Imóveis!$S$5-(DATEDIF(Imóveis!$Q$5,Dados!$A1040,"m")),0))=0,0,((Imóveis!$N$5/Imóveis!$S$5)+((Imóveis!$N$5-((Imóveis!$S$5-(IF(AND(Dados!$A1040 &gt;=Imóveis!$Q$5,Dados!$A1040&lt;=Imóveis!$T$5),Imóveis!$S$5-(DATEDIF(Imóveis!$Q$5,Dados!$A1040,"m")),)))*(Imóveis!$N$5/Imóveis!$S$5)))*Imóveis!$P$5))))*IF(AND(Imóveis!$E$5&gt;0,Dados!$A1040&gt;Imóveis!$E$5),0,1)*Imóveis!$I$5</f>
        <v>0</v>
      </c>
      <c r="M1040" s="18">
        <f>IF(Imóveis!$F$6="PRICE",IF(AND(Dados!$A1040&gt;=Imóveis!$Q$6,Dados!$A1040&lt;=Imóveis!$T$6),Imóveis!$U$6,0),IF((IF(AND(Dados!$A1040&gt;=Imóveis!$Q$6,Dados!$A1040&lt;=Imóveis!$T$6),Imóveis!$S$6-(DATEDIF(Imóveis!$Q$6,Dados!$A1040,"m")),0))=0,0,((Imóveis!$N$6/Imóveis!$S$6)+((Imóveis!$N$6-((Imóveis!$S$6-(IF(AND(Dados!$A1040&gt;=Imóveis!$Q$6,Dados!$A1040&lt;=Imóveis!$T$6),Imóveis!$S$6-(DATEDIF(Imóveis!$Q$6,Dados!$A1040,"m")),)))*(Imóveis!$N$6/Imóveis!$S$6)))*Imóveis!$P$6))))*IF(AND(Imóveis!$E$6&gt;0,Dados!$A1040&gt;Imóveis!$E$6),0,1)*Imóveis!$I$6</f>
        <v>0</v>
      </c>
      <c r="N1040" s="18">
        <f t="shared" si="133"/>
        <v>0</v>
      </c>
      <c r="O1040" s="18">
        <f>SUMIFS(Receitas!$F:$F,Receitas!$J:$J,"&lt;="&amp;$A1040,Receitas!$L:$L,"&gt;="&amp;$A1040,Receitas!$C:$C,O$1,Receitas!$M:$M,"Mensal")+SUMIFS(Receitas!$F:$F,Receitas!$J:$J,"&lt;="&amp;$A1040,Receitas!$L:$L,"&gt;="&amp;$A1040,Receitas!$C:$C,O$1,Receitas!$M:$M,$B1040)</f>
        <v>0</v>
      </c>
      <c r="P1040" s="18">
        <f>SUMIFS(Receitas!$F:$F,Receitas!$J:$J,"&lt;="&amp;$A1040,Receitas!$L:$L,"&gt;="&amp;$A1040,Receitas!$C:$C,P$1,Receitas!$M:$M,"Mensal")+SUMIFS(Receitas!$F:$F,Receitas!$J:$J,"&lt;="&amp;$A1040,Receitas!$L:$L,"&gt;="&amp;$A1040,Receitas!$C:$C,P$1,Receitas!$M:$M,$B1040)</f>
        <v>0</v>
      </c>
      <c r="Q1040" s="18">
        <f>SUMIFS(Receitas!$F:$F,Receitas!$J:$J,"&lt;="&amp;$A1040,Receitas!$L:$L,"&gt;="&amp;$A1040,Receitas!$C:$C,Q$1,Receitas!$M:$M,"Mensal")+SUMIFS(Receitas!$F:$F,Receitas!$J:$J,"&lt;="&amp;$A1040,Receitas!$L:$L,"&gt;="&amp;$A1040,Receitas!$C:$C,Q$1,Receitas!$M:$M,$B1040)</f>
        <v>0</v>
      </c>
      <c r="R1040" s="18" cm="1">
        <f t="array" ref="R1040">(IF(AND(Membros!$F$2="Sim",A1040&lt;=MAX(Membros!$E$2:$E$5)),Membros!K$2,IF(AND(A1040&gt;=Membros!J$2,A1040&lt;=MAX(Membros!$E$2:$E$5)),Membros!K$2,0))+IF(AND(Membros!$F$3="Sim",A1040&lt;=MAX(Membros!$E$2:$E$5)),Membros!K$3,IF(AND(A1040&gt;=Membros!J$3,A1040&lt;=MAX(Membros!$E$2:$E$5)),Membros!K$3,0)))*IF(AND(COUNTIFS(Tabela3[Tipo],"Provedor",Tabela3[Simulação Seguro],"Sim")=2,A1040&gt;=MAX(IF(Tabela3[Tipo]="Dependente",Tabela3[Expectativa de Vida (Data)]))),0,1)</f>
        <v>0</v>
      </c>
      <c r="S1040" s="18">
        <f t="shared" si="134"/>
        <v>0</v>
      </c>
      <c r="U1040" s="18">
        <f t="shared" ca="1" si="137"/>
        <v>140625914.52569029</v>
      </c>
      <c r="V1040" s="18">
        <f>SUMIF(Imóveis!E:E,Dados!A:A,Imóveis!Z:Z)-SUMIF(Imóveis!E:E,Dados!A:A,Imóveis!Y:Y)</f>
        <v>0</v>
      </c>
      <c r="W1040" s="18">
        <f>-SUMIF(Projetos!N:N,A1040,Projetos!F:F)</f>
        <v>0</v>
      </c>
      <c r="X1040" s="18">
        <f t="shared" si="131"/>
        <v>0</v>
      </c>
      <c r="Y1040" s="26">
        <f ca="1">(U1040*((Indicadores_Economicos!D$2+1)^(1/12)-1))</f>
        <v>460372.65079085651</v>
      </c>
      <c r="Z1040" s="18">
        <f t="shared" ca="1" si="135"/>
        <v>141086287.17648116</v>
      </c>
      <c r="AA1040" s="18">
        <f ca="1">Auxiliar_Projetos!E1040</f>
        <v>1.162999346996469E-8</v>
      </c>
      <c r="AB1040" s="18">
        <f ca="1">Auxiliar_Projetos!K1040</f>
        <v>8.9461488230497623E-9</v>
      </c>
      <c r="AC1040" s="18">
        <f ca="1">IF(Z1040-AA1040-AB1040&gt;Investimentos!$C$14,Investimentos!$C$14,IF(Z1040-AA1040-AB1040&lt;Investimentos!$C$14,Z1040-AA1040-AB1040,0))</f>
        <v>300000</v>
      </c>
      <c r="AD1040" s="18">
        <f t="shared" ca="1" si="136"/>
        <v>140786287.17648116</v>
      </c>
      <c r="AE1040" s="18"/>
    </row>
    <row r="1041" spans="1:31" x14ac:dyDescent="0.2">
      <c r="A1041" s="4">
        <v>77280</v>
      </c>
      <c r="B1041" s="5" t="str">
        <f t="shared" si="132"/>
        <v>agosto</v>
      </c>
      <c r="C1041" s="5" t="str">
        <f t="shared" si="130"/>
        <v>2111</v>
      </c>
      <c r="D1041" s="5">
        <f>SUMIFS(Despesas!$F:$F,Despesas!$J:$J,"&lt;="&amp;$A1041,Despesas!$L:$L,"&gt;="&amp;$A1041,Despesas!$C:$C,D$1,Despesas!$M:$M,"Mensal")+SUMIFS(Despesas!$F:$F,Despesas!$J:$J,"&lt;="&amp;$A1041,Despesas!$L:$L,"&gt;="&amp;$A1041,Despesas!$C:$C,D$1,Despesas!$M:$M,$B1041)</f>
        <v>0</v>
      </c>
      <c r="E1041" s="18">
        <f>SUMIFS(Despesas!$F:$F,Despesas!$J:$J,"&lt;="&amp;$A1041,Despesas!$L:$L,"&gt;="&amp;$A1041,Despesas!$C:$C,E$1,Despesas!$M:$M,"Mensal")+SUMIFS(Despesas!$F:$F,Despesas!$J:$J,"&lt;="&amp;$A1041,Despesas!$L:$L,"&gt;="&amp;$A1041,Despesas!$C:$C,E$1,Despesas!$M:$M,$B1041)</f>
        <v>0</v>
      </c>
      <c r="F1041" s="5">
        <f>SUMIFS(Despesas!$F:$F,Despesas!$J:$J,"&lt;="&amp;$A1041,Despesas!$L:$L,"&gt;="&amp;$A1041,Despesas!$C:$C,F$1,Despesas!$M:$M,"Mensal")+SUMIFS(Despesas!$F:$F,Despesas!$J:$J,"&lt;="&amp;$A1041,Despesas!$L:$L,"&gt;="&amp;$A1041,Despesas!$C:$C,F$1,Despesas!$M:$M,$B1041)</f>
        <v>0</v>
      </c>
      <c r="G1041" s="5">
        <f>SUMIFS(Despesas!$F:$F,Despesas!$J:$J,"&lt;="&amp;$A1041,Despesas!$L:$L,"&gt;="&amp;$A1041,Despesas!$C:$C,G$1,Despesas!$M:$M,"Mensal")+SUMIFS(Despesas!$F:$F,Despesas!$J:$J,"&lt;="&amp;$A1041,Despesas!$L:$L,"&gt;="&amp;$A1041,Despesas!$C:$C,G$1,Despesas!$M:$M,$B1041)</f>
        <v>0</v>
      </c>
      <c r="H1041" s="18">
        <f>SUMIFS(Despesas!$F:$F,Despesas!$J:$J,"&lt;="&amp;$A1041,Despesas!$L:$L,"&gt;="&amp;$A1041,Despesas!$C:$C,H$1,Despesas!$M:$M,"Mensal")+SUMIFS(Despesas!$F:$F,Despesas!$J:$J,"&lt;="&amp;$A1041,Despesas!$L:$L,"&gt;="&amp;$A1041,Despesas!$C:$C,H$1,Despesas!$M:$M,$B1041)</f>
        <v>0</v>
      </c>
      <c r="I1041" s="18">
        <f>IF(Imóveis!$F$2="PRICE",IF(AND(Dados!$A1041&gt;=Imóveis!$Q$2,Dados!$A1041&lt;=Imóveis!$T$2),Imóveis!$U$2,0),IF((IF(AND(Dados!$A1041&gt;=Imóveis!$Q$2,Dados!$A1041&lt;=Imóveis!$T$2),Imóveis!$S$2-(DATEDIF(Imóveis!$Q$2,Dados!$A1041,"m")),0))=0,0,((Imóveis!$N$2/Imóveis!$S$2)+((Imóveis!$N$2-((Imóveis!$S$2-(IF(AND(Dados!$A1041&gt;=Imóveis!$Q$2,Dados!$A1041&lt;=Imóveis!$T$2),Imóveis!$S$2-(DATEDIF(Imóveis!$Q$2,Dados!$A1041,"m")),)))*(Imóveis!$N$2/Imóveis!$S$2)))*Imóveis!$P$2))))*IF(AND(Imóveis!$E$2&gt;0,Dados!$A1041&gt;Imóveis!$E$2),0,1)</f>
        <v>0</v>
      </c>
      <c r="J1041" s="18">
        <f>IF(Imóveis!$F$3="PRICE",IF(AND(Dados!$A1041&gt;=Imóveis!$Q$3,Dados!$A1041&lt;=Imóveis!$T$3),Imóveis!$U$3,0),IF((IF(AND(Dados!$A1041&gt;=Imóveis!$Q$3,Dados!$A1041&lt;=Imóveis!$T$3),Imóveis!$S$3-(DATEDIF(Imóveis!$Q$3,Dados!$A1041,"m")),0))=0,0,((Imóveis!$N$3/Imóveis!$S$3)+((Imóveis!$N$3-((Imóveis!$S$3-(IF(AND(Dados!$A1041&gt;=Imóveis!$Q$3,Dados!$A1041&lt;=Imóveis!$T$3),Imóveis!$S$3-(DATEDIF(Imóveis!$Q$3,Dados!$A1041,"m")),)))*(Imóveis!$N$3/Imóveis!$S$3)))*Imóveis!$P$3))))*IF(AND(Imóveis!$E$3&gt;0,Dados!$A1041&gt;Imóveis!$E$3),0,1)</f>
        <v>0</v>
      </c>
      <c r="K1041" s="18">
        <f>IF(Imóveis!$F$4="PRICE",IF(AND(Dados!$A1041&gt;=Imóveis!$Q$4,Dados!$A1041&lt;=Imóveis!$T$4),Imóveis!$U$4,0),IF((IF(AND(Dados!$A1041&gt;=Imóveis!$Q$4,Dados!$A1041&lt;=Imóveis!$T$4),Imóveis!$S$4-(DATEDIF(Imóveis!$Q$4,Dados!$A1041,"m")),0))=0,0,((Imóveis!$N$4/Imóveis!$S$4)+((Imóveis!$N$4-((Imóveis!$S$4-(IF(AND(Dados!$A1041&gt;=Imóveis!$Q$4,Dados!$A1041&lt;=Imóveis!$T$4),Imóveis!$S$4-(DATEDIF(Imóveis!$Q$4,Dados!$A1041,"m")),)))*(Imóveis!$N$4/Imóveis!$S$4)))*Imóveis!$P$4))))*IF(AND(Imóveis!$E$4&gt;0,Dados!$A1041&gt;Imóveis!$E$4),0,1)</f>
        <v>0</v>
      </c>
      <c r="L1041" s="18">
        <f>IF(Imóveis!$F$5="PRICE",IF(AND(Dados!$A1041&gt;=Imóveis!$Q$5,Dados!$A1041&lt;=Imóveis!$T$5),Imóveis!$U$5,0),IF((IF(AND(Dados!$A1041&gt;=Imóveis!$Q$5,Dados!$A1041&lt;=Imóveis!$T$5),Imóveis!$S$5-(DATEDIF(Imóveis!$Q$5,Dados!$A1041,"m")),0))=0,0,((Imóveis!$N$5/Imóveis!$S$5)+((Imóveis!$N$5-((Imóveis!$S$5-(IF(AND(Dados!$A1041 &gt;=Imóveis!$Q$5,Dados!$A1041&lt;=Imóveis!$T$5),Imóveis!$S$5-(DATEDIF(Imóveis!$Q$5,Dados!$A1041,"m")),)))*(Imóveis!$N$5/Imóveis!$S$5)))*Imóveis!$P$5))))*IF(AND(Imóveis!$E$5&gt;0,Dados!$A1041&gt;Imóveis!$E$5),0,1)*Imóveis!$I$5</f>
        <v>0</v>
      </c>
      <c r="M1041" s="18">
        <f>IF(Imóveis!$F$6="PRICE",IF(AND(Dados!$A1041&gt;=Imóveis!$Q$6,Dados!$A1041&lt;=Imóveis!$T$6),Imóveis!$U$6,0),IF((IF(AND(Dados!$A1041&gt;=Imóveis!$Q$6,Dados!$A1041&lt;=Imóveis!$T$6),Imóveis!$S$6-(DATEDIF(Imóveis!$Q$6,Dados!$A1041,"m")),0))=0,0,((Imóveis!$N$6/Imóveis!$S$6)+((Imóveis!$N$6-((Imóveis!$S$6-(IF(AND(Dados!$A1041&gt;=Imóveis!$Q$6,Dados!$A1041&lt;=Imóveis!$T$6),Imóveis!$S$6-(DATEDIF(Imóveis!$Q$6,Dados!$A1041,"m")),)))*(Imóveis!$N$6/Imóveis!$S$6)))*Imóveis!$P$6))))*IF(AND(Imóveis!$E$6&gt;0,Dados!$A1041&gt;Imóveis!$E$6),0,1)*Imóveis!$I$6</f>
        <v>0</v>
      </c>
      <c r="N1041" s="18">
        <f t="shared" si="133"/>
        <v>0</v>
      </c>
      <c r="O1041" s="18">
        <f>SUMIFS(Receitas!$F:$F,Receitas!$J:$J,"&lt;="&amp;$A1041,Receitas!$L:$L,"&gt;="&amp;$A1041,Receitas!$C:$C,O$1,Receitas!$M:$M,"Mensal")+SUMIFS(Receitas!$F:$F,Receitas!$J:$J,"&lt;="&amp;$A1041,Receitas!$L:$L,"&gt;="&amp;$A1041,Receitas!$C:$C,O$1,Receitas!$M:$M,$B1041)</f>
        <v>0</v>
      </c>
      <c r="P1041" s="18">
        <f>SUMIFS(Receitas!$F:$F,Receitas!$J:$J,"&lt;="&amp;$A1041,Receitas!$L:$L,"&gt;="&amp;$A1041,Receitas!$C:$C,P$1,Receitas!$M:$M,"Mensal")+SUMIFS(Receitas!$F:$F,Receitas!$J:$J,"&lt;="&amp;$A1041,Receitas!$L:$L,"&gt;="&amp;$A1041,Receitas!$C:$C,P$1,Receitas!$M:$M,$B1041)</f>
        <v>0</v>
      </c>
      <c r="Q1041" s="18">
        <f>SUMIFS(Receitas!$F:$F,Receitas!$J:$J,"&lt;="&amp;$A1041,Receitas!$L:$L,"&gt;="&amp;$A1041,Receitas!$C:$C,Q$1,Receitas!$M:$M,"Mensal")+SUMIFS(Receitas!$F:$F,Receitas!$J:$J,"&lt;="&amp;$A1041,Receitas!$L:$L,"&gt;="&amp;$A1041,Receitas!$C:$C,Q$1,Receitas!$M:$M,$B1041)</f>
        <v>0</v>
      </c>
      <c r="R1041" s="18" cm="1">
        <f t="array" ref="R1041">(IF(AND(Membros!$F$2="Sim",A1041&lt;=MAX(Membros!$E$2:$E$5)),Membros!K$2,IF(AND(A1041&gt;=Membros!J$2,A1041&lt;=MAX(Membros!$E$2:$E$5)),Membros!K$2,0))+IF(AND(Membros!$F$3="Sim",A1041&lt;=MAX(Membros!$E$2:$E$5)),Membros!K$3,IF(AND(A1041&gt;=Membros!J$3,A1041&lt;=MAX(Membros!$E$2:$E$5)),Membros!K$3,0)))*IF(AND(COUNTIFS(Tabela3[Tipo],"Provedor",Tabela3[Simulação Seguro],"Sim")=2,A1041&gt;=MAX(IF(Tabela3[Tipo]="Dependente",Tabela3[Expectativa de Vida (Data)]))),0,1)</f>
        <v>0</v>
      </c>
      <c r="S1041" s="18">
        <f t="shared" si="134"/>
        <v>0</v>
      </c>
      <c r="U1041" s="18">
        <f t="shared" ca="1" si="137"/>
        <v>141086287.17648116</v>
      </c>
      <c r="V1041" s="18">
        <f>SUMIF(Imóveis!E:E,Dados!A:A,Imóveis!Z:Z)-SUMIF(Imóveis!E:E,Dados!A:A,Imóveis!Y:Y)</f>
        <v>0</v>
      </c>
      <c r="W1041" s="18">
        <f>-SUMIF(Projetos!N:N,A1041,Projetos!F:F)</f>
        <v>0</v>
      </c>
      <c r="X1041" s="18">
        <f t="shared" si="131"/>
        <v>0</v>
      </c>
      <c r="Y1041" s="26">
        <f ca="1">(U1041*((Indicadores_Economicos!D$2+1)^(1/12)-1))</f>
        <v>461879.79105238692</v>
      </c>
      <c r="Z1041" s="18">
        <f t="shared" ca="1" si="135"/>
        <v>141548166.96753356</v>
      </c>
      <c r="AA1041" s="18">
        <f ca="1">Auxiliar_Projetos!E1041</f>
        <v>1.1668067042254027E-8</v>
      </c>
      <c r="AB1041" s="18">
        <f ca="1">Auxiliar_Projetos!K1041</f>
        <v>8.9754361863492528E-9</v>
      </c>
      <c r="AC1041" s="18">
        <f ca="1">IF(Z1041-AA1041-AB1041&gt;Investimentos!$C$14,Investimentos!$C$14,IF(Z1041-AA1041-AB1041&lt;Investimentos!$C$14,Z1041-AA1041-AB1041,0))</f>
        <v>300000</v>
      </c>
      <c r="AD1041" s="18">
        <f t="shared" ca="1" si="136"/>
        <v>141248166.96753356</v>
      </c>
      <c r="AE1041" s="18"/>
    </row>
    <row r="1042" spans="1:31" x14ac:dyDescent="0.2">
      <c r="A1042" s="4">
        <v>77311</v>
      </c>
      <c r="B1042" s="5" t="str">
        <f t="shared" si="132"/>
        <v>setembro</v>
      </c>
      <c r="C1042" s="5" t="str">
        <f t="shared" si="130"/>
        <v>2111</v>
      </c>
      <c r="D1042" s="5">
        <f>SUMIFS(Despesas!$F:$F,Despesas!$J:$J,"&lt;="&amp;$A1042,Despesas!$L:$L,"&gt;="&amp;$A1042,Despesas!$C:$C,D$1,Despesas!$M:$M,"Mensal")+SUMIFS(Despesas!$F:$F,Despesas!$J:$J,"&lt;="&amp;$A1042,Despesas!$L:$L,"&gt;="&amp;$A1042,Despesas!$C:$C,D$1,Despesas!$M:$M,$B1042)</f>
        <v>0</v>
      </c>
      <c r="E1042" s="18">
        <f>SUMIFS(Despesas!$F:$F,Despesas!$J:$J,"&lt;="&amp;$A1042,Despesas!$L:$L,"&gt;="&amp;$A1042,Despesas!$C:$C,E$1,Despesas!$M:$M,"Mensal")+SUMIFS(Despesas!$F:$F,Despesas!$J:$J,"&lt;="&amp;$A1042,Despesas!$L:$L,"&gt;="&amp;$A1042,Despesas!$C:$C,E$1,Despesas!$M:$M,$B1042)</f>
        <v>0</v>
      </c>
      <c r="F1042" s="5">
        <f>SUMIFS(Despesas!$F:$F,Despesas!$J:$J,"&lt;="&amp;$A1042,Despesas!$L:$L,"&gt;="&amp;$A1042,Despesas!$C:$C,F$1,Despesas!$M:$M,"Mensal")+SUMIFS(Despesas!$F:$F,Despesas!$J:$J,"&lt;="&amp;$A1042,Despesas!$L:$L,"&gt;="&amp;$A1042,Despesas!$C:$C,F$1,Despesas!$M:$M,$B1042)</f>
        <v>0</v>
      </c>
      <c r="G1042" s="5">
        <f>SUMIFS(Despesas!$F:$F,Despesas!$J:$J,"&lt;="&amp;$A1042,Despesas!$L:$L,"&gt;="&amp;$A1042,Despesas!$C:$C,G$1,Despesas!$M:$M,"Mensal")+SUMIFS(Despesas!$F:$F,Despesas!$J:$J,"&lt;="&amp;$A1042,Despesas!$L:$L,"&gt;="&amp;$A1042,Despesas!$C:$C,G$1,Despesas!$M:$M,$B1042)</f>
        <v>0</v>
      </c>
      <c r="H1042" s="18">
        <f>SUMIFS(Despesas!$F:$F,Despesas!$J:$J,"&lt;="&amp;$A1042,Despesas!$L:$L,"&gt;="&amp;$A1042,Despesas!$C:$C,H$1,Despesas!$M:$M,"Mensal")+SUMIFS(Despesas!$F:$F,Despesas!$J:$J,"&lt;="&amp;$A1042,Despesas!$L:$L,"&gt;="&amp;$A1042,Despesas!$C:$C,H$1,Despesas!$M:$M,$B1042)</f>
        <v>0</v>
      </c>
      <c r="I1042" s="18">
        <f>IF(Imóveis!$F$2="PRICE",IF(AND(Dados!$A1042&gt;=Imóveis!$Q$2,Dados!$A1042&lt;=Imóveis!$T$2),Imóveis!$U$2,0),IF((IF(AND(Dados!$A1042&gt;=Imóveis!$Q$2,Dados!$A1042&lt;=Imóveis!$T$2),Imóveis!$S$2-(DATEDIF(Imóveis!$Q$2,Dados!$A1042,"m")),0))=0,0,((Imóveis!$N$2/Imóveis!$S$2)+((Imóveis!$N$2-((Imóveis!$S$2-(IF(AND(Dados!$A1042&gt;=Imóveis!$Q$2,Dados!$A1042&lt;=Imóveis!$T$2),Imóveis!$S$2-(DATEDIF(Imóveis!$Q$2,Dados!$A1042,"m")),)))*(Imóveis!$N$2/Imóveis!$S$2)))*Imóveis!$P$2))))*IF(AND(Imóveis!$E$2&gt;0,Dados!$A1042&gt;Imóveis!$E$2),0,1)</f>
        <v>0</v>
      </c>
      <c r="J1042" s="18">
        <f>IF(Imóveis!$F$3="PRICE",IF(AND(Dados!$A1042&gt;=Imóveis!$Q$3,Dados!$A1042&lt;=Imóveis!$T$3),Imóveis!$U$3,0),IF((IF(AND(Dados!$A1042&gt;=Imóveis!$Q$3,Dados!$A1042&lt;=Imóveis!$T$3),Imóveis!$S$3-(DATEDIF(Imóveis!$Q$3,Dados!$A1042,"m")),0))=0,0,((Imóveis!$N$3/Imóveis!$S$3)+((Imóveis!$N$3-((Imóveis!$S$3-(IF(AND(Dados!$A1042&gt;=Imóveis!$Q$3,Dados!$A1042&lt;=Imóveis!$T$3),Imóveis!$S$3-(DATEDIF(Imóveis!$Q$3,Dados!$A1042,"m")),)))*(Imóveis!$N$3/Imóveis!$S$3)))*Imóveis!$P$3))))*IF(AND(Imóveis!$E$3&gt;0,Dados!$A1042&gt;Imóveis!$E$3),0,1)</f>
        <v>0</v>
      </c>
      <c r="K1042" s="18">
        <f>IF(Imóveis!$F$4="PRICE",IF(AND(Dados!$A1042&gt;=Imóveis!$Q$4,Dados!$A1042&lt;=Imóveis!$T$4),Imóveis!$U$4,0),IF((IF(AND(Dados!$A1042&gt;=Imóveis!$Q$4,Dados!$A1042&lt;=Imóveis!$T$4),Imóveis!$S$4-(DATEDIF(Imóveis!$Q$4,Dados!$A1042,"m")),0))=0,0,((Imóveis!$N$4/Imóveis!$S$4)+((Imóveis!$N$4-((Imóveis!$S$4-(IF(AND(Dados!$A1042&gt;=Imóveis!$Q$4,Dados!$A1042&lt;=Imóveis!$T$4),Imóveis!$S$4-(DATEDIF(Imóveis!$Q$4,Dados!$A1042,"m")),)))*(Imóveis!$N$4/Imóveis!$S$4)))*Imóveis!$P$4))))*IF(AND(Imóveis!$E$4&gt;0,Dados!$A1042&gt;Imóveis!$E$4),0,1)</f>
        <v>0</v>
      </c>
      <c r="L1042" s="18">
        <f>IF(Imóveis!$F$5="PRICE",IF(AND(Dados!$A1042&gt;=Imóveis!$Q$5,Dados!$A1042&lt;=Imóveis!$T$5),Imóveis!$U$5,0),IF((IF(AND(Dados!$A1042&gt;=Imóveis!$Q$5,Dados!$A1042&lt;=Imóveis!$T$5),Imóveis!$S$5-(DATEDIF(Imóveis!$Q$5,Dados!$A1042,"m")),0))=0,0,((Imóveis!$N$5/Imóveis!$S$5)+((Imóveis!$N$5-((Imóveis!$S$5-(IF(AND(Dados!$A1042 &gt;=Imóveis!$Q$5,Dados!$A1042&lt;=Imóveis!$T$5),Imóveis!$S$5-(DATEDIF(Imóveis!$Q$5,Dados!$A1042,"m")),)))*(Imóveis!$N$5/Imóveis!$S$5)))*Imóveis!$P$5))))*IF(AND(Imóveis!$E$5&gt;0,Dados!$A1042&gt;Imóveis!$E$5),0,1)*Imóveis!$I$5</f>
        <v>0</v>
      </c>
      <c r="M1042" s="18">
        <f>IF(Imóveis!$F$6="PRICE",IF(AND(Dados!$A1042&gt;=Imóveis!$Q$6,Dados!$A1042&lt;=Imóveis!$T$6),Imóveis!$U$6,0),IF((IF(AND(Dados!$A1042&gt;=Imóveis!$Q$6,Dados!$A1042&lt;=Imóveis!$T$6),Imóveis!$S$6-(DATEDIF(Imóveis!$Q$6,Dados!$A1042,"m")),0))=0,0,((Imóveis!$N$6/Imóveis!$S$6)+((Imóveis!$N$6-((Imóveis!$S$6-(IF(AND(Dados!$A1042&gt;=Imóveis!$Q$6,Dados!$A1042&lt;=Imóveis!$T$6),Imóveis!$S$6-(DATEDIF(Imóveis!$Q$6,Dados!$A1042,"m")),)))*(Imóveis!$N$6/Imóveis!$S$6)))*Imóveis!$P$6))))*IF(AND(Imóveis!$E$6&gt;0,Dados!$A1042&gt;Imóveis!$E$6),0,1)*Imóveis!$I$6</f>
        <v>0</v>
      </c>
      <c r="N1042" s="18">
        <f t="shared" si="133"/>
        <v>0</v>
      </c>
      <c r="O1042" s="18">
        <f>SUMIFS(Receitas!$F:$F,Receitas!$J:$J,"&lt;="&amp;$A1042,Receitas!$L:$L,"&gt;="&amp;$A1042,Receitas!$C:$C,O$1,Receitas!$M:$M,"Mensal")+SUMIFS(Receitas!$F:$F,Receitas!$J:$J,"&lt;="&amp;$A1042,Receitas!$L:$L,"&gt;="&amp;$A1042,Receitas!$C:$C,O$1,Receitas!$M:$M,$B1042)</f>
        <v>0</v>
      </c>
      <c r="P1042" s="18">
        <f>SUMIFS(Receitas!$F:$F,Receitas!$J:$J,"&lt;="&amp;$A1042,Receitas!$L:$L,"&gt;="&amp;$A1042,Receitas!$C:$C,P$1,Receitas!$M:$M,"Mensal")+SUMIFS(Receitas!$F:$F,Receitas!$J:$J,"&lt;="&amp;$A1042,Receitas!$L:$L,"&gt;="&amp;$A1042,Receitas!$C:$C,P$1,Receitas!$M:$M,$B1042)</f>
        <v>0</v>
      </c>
      <c r="Q1042" s="18">
        <f>SUMIFS(Receitas!$F:$F,Receitas!$J:$J,"&lt;="&amp;$A1042,Receitas!$L:$L,"&gt;="&amp;$A1042,Receitas!$C:$C,Q$1,Receitas!$M:$M,"Mensal")+SUMIFS(Receitas!$F:$F,Receitas!$J:$J,"&lt;="&amp;$A1042,Receitas!$L:$L,"&gt;="&amp;$A1042,Receitas!$C:$C,Q$1,Receitas!$M:$M,$B1042)</f>
        <v>0</v>
      </c>
      <c r="R1042" s="18" cm="1">
        <f t="array" ref="R1042">(IF(AND(Membros!$F$2="Sim",A1042&lt;=MAX(Membros!$E$2:$E$5)),Membros!K$2,IF(AND(A1042&gt;=Membros!J$2,A1042&lt;=MAX(Membros!$E$2:$E$5)),Membros!K$2,0))+IF(AND(Membros!$F$3="Sim",A1042&lt;=MAX(Membros!$E$2:$E$5)),Membros!K$3,IF(AND(A1042&gt;=Membros!J$3,A1042&lt;=MAX(Membros!$E$2:$E$5)),Membros!K$3,0)))*IF(AND(COUNTIFS(Tabela3[Tipo],"Provedor",Tabela3[Simulação Seguro],"Sim")=2,A1042&gt;=MAX(IF(Tabela3[Tipo]="Dependente",Tabela3[Expectativa de Vida (Data)]))),0,1)</f>
        <v>0</v>
      </c>
      <c r="S1042" s="18">
        <f t="shared" si="134"/>
        <v>0</v>
      </c>
      <c r="U1042" s="18">
        <f t="shared" ca="1" si="137"/>
        <v>141548166.96753356</v>
      </c>
      <c r="V1042" s="18">
        <f>SUMIF(Imóveis!E:E,Dados!A:A,Imóveis!Z:Z)-SUMIF(Imóveis!E:E,Dados!A:A,Imóveis!Y:Y)</f>
        <v>0</v>
      </c>
      <c r="W1042" s="18">
        <f>-SUMIF(Projetos!N:N,A1042,Projetos!F:F)</f>
        <v>0</v>
      </c>
      <c r="X1042" s="18">
        <f t="shared" si="131"/>
        <v>0</v>
      </c>
      <c r="Y1042" s="26">
        <f ca="1">(U1042*((Indicadores_Economicos!D$2+1)^(1/12)-1))</f>
        <v>463391.86529894889</v>
      </c>
      <c r="Z1042" s="18">
        <f t="shared" ca="1" si="135"/>
        <v>142011558.83283252</v>
      </c>
      <c r="AA1042" s="18">
        <f ca="1">Auxiliar_Projetos!E1042</f>
        <v>1.1706265257511619E-8</v>
      </c>
      <c r="AB1042" s="18">
        <f ca="1">Auxiliar_Projetos!K1042</f>
        <v>9.0048194288550928E-9</v>
      </c>
      <c r="AC1042" s="18">
        <f ca="1">IF(Z1042-AA1042-AB1042&gt;Investimentos!$C$14,Investimentos!$C$14,IF(Z1042-AA1042-AB1042&lt;Investimentos!$C$14,Z1042-AA1042-AB1042,0))</f>
        <v>300000</v>
      </c>
      <c r="AD1042" s="18">
        <f t="shared" ca="1" si="136"/>
        <v>141711558.83283252</v>
      </c>
      <c r="AE1042" s="18"/>
    </row>
    <row r="1043" spans="1:31" x14ac:dyDescent="0.2">
      <c r="A1043" s="4">
        <v>77341</v>
      </c>
      <c r="B1043" s="5" t="str">
        <f t="shared" si="132"/>
        <v>outubro</v>
      </c>
      <c r="C1043" s="5" t="str">
        <f t="shared" si="130"/>
        <v>2111</v>
      </c>
      <c r="D1043" s="5">
        <f>SUMIFS(Despesas!$F:$F,Despesas!$J:$J,"&lt;="&amp;$A1043,Despesas!$L:$L,"&gt;="&amp;$A1043,Despesas!$C:$C,D$1,Despesas!$M:$M,"Mensal")+SUMIFS(Despesas!$F:$F,Despesas!$J:$J,"&lt;="&amp;$A1043,Despesas!$L:$L,"&gt;="&amp;$A1043,Despesas!$C:$C,D$1,Despesas!$M:$M,$B1043)</f>
        <v>0</v>
      </c>
      <c r="E1043" s="18">
        <f>SUMIFS(Despesas!$F:$F,Despesas!$J:$J,"&lt;="&amp;$A1043,Despesas!$L:$L,"&gt;="&amp;$A1043,Despesas!$C:$C,E$1,Despesas!$M:$M,"Mensal")+SUMIFS(Despesas!$F:$F,Despesas!$J:$J,"&lt;="&amp;$A1043,Despesas!$L:$L,"&gt;="&amp;$A1043,Despesas!$C:$C,E$1,Despesas!$M:$M,$B1043)</f>
        <v>0</v>
      </c>
      <c r="F1043" s="5">
        <f>SUMIFS(Despesas!$F:$F,Despesas!$J:$J,"&lt;="&amp;$A1043,Despesas!$L:$L,"&gt;="&amp;$A1043,Despesas!$C:$C,F$1,Despesas!$M:$M,"Mensal")+SUMIFS(Despesas!$F:$F,Despesas!$J:$J,"&lt;="&amp;$A1043,Despesas!$L:$L,"&gt;="&amp;$A1043,Despesas!$C:$C,F$1,Despesas!$M:$M,$B1043)</f>
        <v>0</v>
      </c>
      <c r="G1043" s="5">
        <f>SUMIFS(Despesas!$F:$F,Despesas!$J:$J,"&lt;="&amp;$A1043,Despesas!$L:$L,"&gt;="&amp;$A1043,Despesas!$C:$C,G$1,Despesas!$M:$M,"Mensal")+SUMIFS(Despesas!$F:$F,Despesas!$J:$J,"&lt;="&amp;$A1043,Despesas!$L:$L,"&gt;="&amp;$A1043,Despesas!$C:$C,G$1,Despesas!$M:$M,$B1043)</f>
        <v>0</v>
      </c>
      <c r="H1043" s="18">
        <f>SUMIFS(Despesas!$F:$F,Despesas!$J:$J,"&lt;="&amp;$A1043,Despesas!$L:$L,"&gt;="&amp;$A1043,Despesas!$C:$C,H$1,Despesas!$M:$M,"Mensal")+SUMIFS(Despesas!$F:$F,Despesas!$J:$J,"&lt;="&amp;$A1043,Despesas!$L:$L,"&gt;="&amp;$A1043,Despesas!$C:$C,H$1,Despesas!$M:$M,$B1043)</f>
        <v>0</v>
      </c>
      <c r="I1043" s="18">
        <f>IF(Imóveis!$F$2="PRICE",IF(AND(Dados!$A1043&gt;=Imóveis!$Q$2,Dados!$A1043&lt;=Imóveis!$T$2),Imóveis!$U$2,0),IF((IF(AND(Dados!$A1043&gt;=Imóveis!$Q$2,Dados!$A1043&lt;=Imóveis!$T$2),Imóveis!$S$2-(DATEDIF(Imóveis!$Q$2,Dados!$A1043,"m")),0))=0,0,((Imóveis!$N$2/Imóveis!$S$2)+((Imóveis!$N$2-((Imóveis!$S$2-(IF(AND(Dados!$A1043&gt;=Imóveis!$Q$2,Dados!$A1043&lt;=Imóveis!$T$2),Imóveis!$S$2-(DATEDIF(Imóveis!$Q$2,Dados!$A1043,"m")),)))*(Imóveis!$N$2/Imóveis!$S$2)))*Imóveis!$P$2))))*IF(AND(Imóveis!$E$2&gt;0,Dados!$A1043&gt;Imóveis!$E$2),0,1)</f>
        <v>0</v>
      </c>
      <c r="J1043" s="18">
        <f>IF(Imóveis!$F$3="PRICE",IF(AND(Dados!$A1043&gt;=Imóveis!$Q$3,Dados!$A1043&lt;=Imóveis!$T$3),Imóveis!$U$3,0),IF((IF(AND(Dados!$A1043&gt;=Imóveis!$Q$3,Dados!$A1043&lt;=Imóveis!$T$3),Imóveis!$S$3-(DATEDIF(Imóveis!$Q$3,Dados!$A1043,"m")),0))=0,0,((Imóveis!$N$3/Imóveis!$S$3)+((Imóveis!$N$3-((Imóveis!$S$3-(IF(AND(Dados!$A1043&gt;=Imóveis!$Q$3,Dados!$A1043&lt;=Imóveis!$T$3),Imóveis!$S$3-(DATEDIF(Imóveis!$Q$3,Dados!$A1043,"m")),)))*(Imóveis!$N$3/Imóveis!$S$3)))*Imóveis!$P$3))))*IF(AND(Imóveis!$E$3&gt;0,Dados!$A1043&gt;Imóveis!$E$3),0,1)</f>
        <v>0</v>
      </c>
      <c r="K1043" s="18">
        <f>IF(Imóveis!$F$4="PRICE",IF(AND(Dados!$A1043&gt;=Imóveis!$Q$4,Dados!$A1043&lt;=Imóveis!$T$4),Imóveis!$U$4,0),IF((IF(AND(Dados!$A1043&gt;=Imóveis!$Q$4,Dados!$A1043&lt;=Imóveis!$T$4),Imóveis!$S$4-(DATEDIF(Imóveis!$Q$4,Dados!$A1043,"m")),0))=0,0,((Imóveis!$N$4/Imóveis!$S$4)+((Imóveis!$N$4-((Imóveis!$S$4-(IF(AND(Dados!$A1043&gt;=Imóveis!$Q$4,Dados!$A1043&lt;=Imóveis!$T$4),Imóveis!$S$4-(DATEDIF(Imóveis!$Q$4,Dados!$A1043,"m")),)))*(Imóveis!$N$4/Imóveis!$S$4)))*Imóveis!$P$4))))*IF(AND(Imóveis!$E$4&gt;0,Dados!$A1043&gt;Imóveis!$E$4),0,1)</f>
        <v>0</v>
      </c>
      <c r="L1043" s="18">
        <f>IF(Imóveis!$F$5="PRICE",IF(AND(Dados!$A1043&gt;=Imóveis!$Q$5,Dados!$A1043&lt;=Imóveis!$T$5),Imóveis!$U$5,0),IF((IF(AND(Dados!$A1043&gt;=Imóveis!$Q$5,Dados!$A1043&lt;=Imóveis!$T$5),Imóveis!$S$5-(DATEDIF(Imóveis!$Q$5,Dados!$A1043,"m")),0))=0,0,((Imóveis!$N$5/Imóveis!$S$5)+((Imóveis!$N$5-((Imóveis!$S$5-(IF(AND(Dados!$A1043 &gt;=Imóveis!$Q$5,Dados!$A1043&lt;=Imóveis!$T$5),Imóveis!$S$5-(DATEDIF(Imóveis!$Q$5,Dados!$A1043,"m")),)))*(Imóveis!$N$5/Imóveis!$S$5)))*Imóveis!$P$5))))*IF(AND(Imóveis!$E$5&gt;0,Dados!$A1043&gt;Imóveis!$E$5),0,1)*Imóveis!$I$5</f>
        <v>0</v>
      </c>
      <c r="M1043" s="18">
        <f>IF(Imóveis!$F$6="PRICE",IF(AND(Dados!$A1043&gt;=Imóveis!$Q$6,Dados!$A1043&lt;=Imóveis!$T$6),Imóveis!$U$6,0),IF((IF(AND(Dados!$A1043&gt;=Imóveis!$Q$6,Dados!$A1043&lt;=Imóveis!$T$6),Imóveis!$S$6-(DATEDIF(Imóveis!$Q$6,Dados!$A1043,"m")),0))=0,0,((Imóveis!$N$6/Imóveis!$S$6)+((Imóveis!$N$6-((Imóveis!$S$6-(IF(AND(Dados!$A1043&gt;=Imóveis!$Q$6,Dados!$A1043&lt;=Imóveis!$T$6),Imóveis!$S$6-(DATEDIF(Imóveis!$Q$6,Dados!$A1043,"m")),)))*(Imóveis!$N$6/Imóveis!$S$6)))*Imóveis!$P$6))))*IF(AND(Imóveis!$E$6&gt;0,Dados!$A1043&gt;Imóveis!$E$6),0,1)*Imóveis!$I$6</f>
        <v>0</v>
      </c>
      <c r="N1043" s="18">
        <f t="shared" si="133"/>
        <v>0</v>
      </c>
      <c r="O1043" s="18">
        <f>SUMIFS(Receitas!$F:$F,Receitas!$J:$J,"&lt;="&amp;$A1043,Receitas!$L:$L,"&gt;="&amp;$A1043,Receitas!$C:$C,O$1,Receitas!$M:$M,"Mensal")+SUMIFS(Receitas!$F:$F,Receitas!$J:$J,"&lt;="&amp;$A1043,Receitas!$L:$L,"&gt;="&amp;$A1043,Receitas!$C:$C,O$1,Receitas!$M:$M,$B1043)</f>
        <v>0</v>
      </c>
      <c r="P1043" s="18">
        <f>SUMIFS(Receitas!$F:$F,Receitas!$J:$J,"&lt;="&amp;$A1043,Receitas!$L:$L,"&gt;="&amp;$A1043,Receitas!$C:$C,P$1,Receitas!$M:$M,"Mensal")+SUMIFS(Receitas!$F:$F,Receitas!$J:$J,"&lt;="&amp;$A1043,Receitas!$L:$L,"&gt;="&amp;$A1043,Receitas!$C:$C,P$1,Receitas!$M:$M,$B1043)</f>
        <v>0</v>
      </c>
      <c r="Q1043" s="18">
        <f>SUMIFS(Receitas!$F:$F,Receitas!$J:$J,"&lt;="&amp;$A1043,Receitas!$L:$L,"&gt;="&amp;$A1043,Receitas!$C:$C,Q$1,Receitas!$M:$M,"Mensal")+SUMIFS(Receitas!$F:$F,Receitas!$J:$J,"&lt;="&amp;$A1043,Receitas!$L:$L,"&gt;="&amp;$A1043,Receitas!$C:$C,Q$1,Receitas!$M:$M,$B1043)</f>
        <v>0</v>
      </c>
      <c r="R1043" s="18" cm="1">
        <f t="array" ref="R1043">(IF(AND(Membros!$F$2="Sim",A1043&lt;=MAX(Membros!$E$2:$E$5)),Membros!K$2,IF(AND(A1043&gt;=Membros!J$2,A1043&lt;=MAX(Membros!$E$2:$E$5)),Membros!K$2,0))+IF(AND(Membros!$F$3="Sim",A1043&lt;=MAX(Membros!$E$2:$E$5)),Membros!K$3,IF(AND(A1043&gt;=Membros!J$3,A1043&lt;=MAX(Membros!$E$2:$E$5)),Membros!K$3,0)))*IF(AND(COUNTIFS(Tabela3[Tipo],"Provedor",Tabela3[Simulação Seguro],"Sim")=2,A1043&gt;=MAX(IF(Tabela3[Tipo]="Dependente",Tabela3[Expectativa de Vida (Data)]))),0,1)</f>
        <v>0</v>
      </c>
      <c r="S1043" s="18">
        <f t="shared" si="134"/>
        <v>0</v>
      </c>
      <c r="U1043" s="18">
        <f t="shared" ca="1" si="137"/>
        <v>142011558.83283252</v>
      </c>
      <c r="V1043" s="18">
        <f>SUMIF(Imóveis!E:E,Dados!A:A,Imóveis!Z:Z)-SUMIF(Imóveis!E:E,Dados!A:A,Imóveis!Y:Y)</f>
        <v>0</v>
      </c>
      <c r="W1043" s="18">
        <f>-SUMIF(Projetos!N:N,A1043,Projetos!F:F)</f>
        <v>0</v>
      </c>
      <c r="X1043" s="18">
        <f t="shared" si="131"/>
        <v>0</v>
      </c>
      <c r="Y1043" s="26">
        <f ca="1">(U1043*((Indicadores_Economicos!D$2+1)^(1/12)-1))</f>
        <v>464908.88968312542</v>
      </c>
      <c r="Z1043" s="18">
        <f t="shared" ca="1" si="135"/>
        <v>142476467.72251564</v>
      </c>
      <c r="AA1043" s="18">
        <f ca="1">Auxiliar_Projetos!E1043</f>
        <v>1.1744588523786108E-8</v>
      </c>
      <c r="AB1043" s="18">
        <f ca="1">Auxiliar_Projetos!K1043</f>
        <v>9.0342988644508537E-9</v>
      </c>
      <c r="AC1043" s="18">
        <f ca="1">IF(Z1043-AA1043-AB1043&gt;Investimentos!$C$14,Investimentos!$C$14,IF(Z1043-AA1043-AB1043&lt;Investimentos!$C$14,Z1043-AA1043-AB1043,0))</f>
        <v>300000</v>
      </c>
      <c r="AD1043" s="18">
        <f t="shared" ca="1" si="136"/>
        <v>142176467.72251564</v>
      </c>
      <c r="AE1043" s="18"/>
    </row>
    <row r="1044" spans="1:31" x14ac:dyDescent="0.2">
      <c r="A1044" s="4">
        <v>77372</v>
      </c>
      <c r="B1044" s="5" t="str">
        <f t="shared" si="132"/>
        <v>novembro</v>
      </c>
      <c r="C1044" s="5" t="str">
        <f t="shared" si="130"/>
        <v>2111</v>
      </c>
      <c r="D1044" s="5">
        <f>SUMIFS(Despesas!$F:$F,Despesas!$J:$J,"&lt;="&amp;$A1044,Despesas!$L:$L,"&gt;="&amp;$A1044,Despesas!$C:$C,D$1,Despesas!$M:$M,"Mensal")+SUMIFS(Despesas!$F:$F,Despesas!$J:$J,"&lt;="&amp;$A1044,Despesas!$L:$L,"&gt;="&amp;$A1044,Despesas!$C:$C,D$1,Despesas!$M:$M,$B1044)</f>
        <v>0</v>
      </c>
      <c r="E1044" s="18">
        <f>SUMIFS(Despesas!$F:$F,Despesas!$J:$J,"&lt;="&amp;$A1044,Despesas!$L:$L,"&gt;="&amp;$A1044,Despesas!$C:$C,E$1,Despesas!$M:$M,"Mensal")+SUMIFS(Despesas!$F:$F,Despesas!$J:$J,"&lt;="&amp;$A1044,Despesas!$L:$L,"&gt;="&amp;$A1044,Despesas!$C:$C,E$1,Despesas!$M:$M,$B1044)</f>
        <v>0</v>
      </c>
      <c r="F1044" s="5">
        <f>SUMIFS(Despesas!$F:$F,Despesas!$J:$J,"&lt;="&amp;$A1044,Despesas!$L:$L,"&gt;="&amp;$A1044,Despesas!$C:$C,F$1,Despesas!$M:$M,"Mensal")+SUMIFS(Despesas!$F:$F,Despesas!$J:$J,"&lt;="&amp;$A1044,Despesas!$L:$L,"&gt;="&amp;$A1044,Despesas!$C:$C,F$1,Despesas!$M:$M,$B1044)</f>
        <v>0</v>
      </c>
      <c r="G1044" s="5">
        <f>SUMIFS(Despesas!$F:$F,Despesas!$J:$J,"&lt;="&amp;$A1044,Despesas!$L:$L,"&gt;="&amp;$A1044,Despesas!$C:$C,G$1,Despesas!$M:$M,"Mensal")+SUMIFS(Despesas!$F:$F,Despesas!$J:$J,"&lt;="&amp;$A1044,Despesas!$L:$L,"&gt;="&amp;$A1044,Despesas!$C:$C,G$1,Despesas!$M:$M,$B1044)</f>
        <v>0</v>
      </c>
      <c r="H1044" s="18">
        <f>SUMIFS(Despesas!$F:$F,Despesas!$J:$J,"&lt;="&amp;$A1044,Despesas!$L:$L,"&gt;="&amp;$A1044,Despesas!$C:$C,H$1,Despesas!$M:$M,"Mensal")+SUMIFS(Despesas!$F:$F,Despesas!$J:$J,"&lt;="&amp;$A1044,Despesas!$L:$L,"&gt;="&amp;$A1044,Despesas!$C:$C,H$1,Despesas!$M:$M,$B1044)</f>
        <v>0</v>
      </c>
      <c r="I1044" s="18">
        <f>IF(Imóveis!$F$2="PRICE",IF(AND(Dados!$A1044&gt;=Imóveis!$Q$2,Dados!$A1044&lt;=Imóveis!$T$2),Imóveis!$U$2,0),IF((IF(AND(Dados!$A1044&gt;=Imóveis!$Q$2,Dados!$A1044&lt;=Imóveis!$T$2),Imóveis!$S$2-(DATEDIF(Imóveis!$Q$2,Dados!$A1044,"m")),0))=0,0,((Imóveis!$N$2/Imóveis!$S$2)+((Imóveis!$N$2-((Imóveis!$S$2-(IF(AND(Dados!$A1044&gt;=Imóveis!$Q$2,Dados!$A1044&lt;=Imóveis!$T$2),Imóveis!$S$2-(DATEDIF(Imóveis!$Q$2,Dados!$A1044,"m")),)))*(Imóveis!$N$2/Imóveis!$S$2)))*Imóveis!$P$2))))*IF(AND(Imóveis!$E$2&gt;0,Dados!$A1044&gt;Imóveis!$E$2),0,1)</f>
        <v>0</v>
      </c>
      <c r="J1044" s="18">
        <f>IF(Imóveis!$F$3="PRICE",IF(AND(Dados!$A1044&gt;=Imóveis!$Q$3,Dados!$A1044&lt;=Imóveis!$T$3),Imóveis!$U$3,0),IF((IF(AND(Dados!$A1044&gt;=Imóveis!$Q$3,Dados!$A1044&lt;=Imóveis!$T$3),Imóveis!$S$3-(DATEDIF(Imóveis!$Q$3,Dados!$A1044,"m")),0))=0,0,((Imóveis!$N$3/Imóveis!$S$3)+((Imóveis!$N$3-((Imóveis!$S$3-(IF(AND(Dados!$A1044&gt;=Imóveis!$Q$3,Dados!$A1044&lt;=Imóveis!$T$3),Imóveis!$S$3-(DATEDIF(Imóveis!$Q$3,Dados!$A1044,"m")),)))*(Imóveis!$N$3/Imóveis!$S$3)))*Imóveis!$P$3))))*IF(AND(Imóveis!$E$3&gt;0,Dados!$A1044&gt;Imóveis!$E$3),0,1)</f>
        <v>0</v>
      </c>
      <c r="K1044" s="18">
        <f>IF(Imóveis!$F$4="PRICE",IF(AND(Dados!$A1044&gt;=Imóveis!$Q$4,Dados!$A1044&lt;=Imóveis!$T$4),Imóveis!$U$4,0),IF((IF(AND(Dados!$A1044&gt;=Imóveis!$Q$4,Dados!$A1044&lt;=Imóveis!$T$4),Imóveis!$S$4-(DATEDIF(Imóveis!$Q$4,Dados!$A1044,"m")),0))=0,0,((Imóveis!$N$4/Imóveis!$S$4)+((Imóveis!$N$4-((Imóveis!$S$4-(IF(AND(Dados!$A1044&gt;=Imóveis!$Q$4,Dados!$A1044&lt;=Imóveis!$T$4),Imóveis!$S$4-(DATEDIF(Imóveis!$Q$4,Dados!$A1044,"m")),)))*(Imóveis!$N$4/Imóveis!$S$4)))*Imóveis!$P$4))))*IF(AND(Imóveis!$E$4&gt;0,Dados!$A1044&gt;Imóveis!$E$4),0,1)</f>
        <v>0</v>
      </c>
      <c r="L1044" s="18">
        <f>IF(Imóveis!$F$5="PRICE",IF(AND(Dados!$A1044&gt;=Imóveis!$Q$5,Dados!$A1044&lt;=Imóveis!$T$5),Imóveis!$U$5,0),IF((IF(AND(Dados!$A1044&gt;=Imóveis!$Q$5,Dados!$A1044&lt;=Imóveis!$T$5),Imóveis!$S$5-(DATEDIF(Imóveis!$Q$5,Dados!$A1044,"m")),0))=0,0,((Imóveis!$N$5/Imóveis!$S$5)+((Imóveis!$N$5-((Imóveis!$S$5-(IF(AND(Dados!$A1044 &gt;=Imóveis!$Q$5,Dados!$A1044&lt;=Imóveis!$T$5),Imóveis!$S$5-(DATEDIF(Imóveis!$Q$5,Dados!$A1044,"m")),)))*(Imóveis!$N$5/Imóveis!$S$5)))*Imóveis!$P$5))))*IF(AND(Imóveis!$E$5&gt;0,Dados!$A1044&gt;Imóveis!$E$5),0,1)*Imóveis!$I$5</f>
        <v>0</v>
      </c>
      <c r="M1044" s="18">
        <f>IF(Imóveis!$F$6="PRICE",IF(AND(Dados!$A1044&gt;=Imóveis!$Q$6,Dados!$A1044&lt;=Imóveis!$T$6),Imóveis!$U$6,0),IF((IF(AND(Dados!$A1044&gt;=Imóveis!$Q$6,Dados!$A1044&lt;=Imóveis!$T$6),Imóveis!$S$6-(DATEDIF(Imóveis!$Q$6,Dados!$A1044,"m")),0))=0,0,((Imóveis!$N$6/Imóveis!$S$6)+((Imóveis!$N$6-((Imóveis!$S$6-(IF(AND(Dados!$A1044&gt;=Imóveis!$Q$6,Dados!$A1044&lt;=Imóveis!$T$6),Imóveis!$S$6-(DATEDIF(Imóveis!$Q$6,Dados!$A1044,"m")),)))*(Imóveis!$N$6/Imóveis!$S$6)))*Imóveis!$P$6))))*IF(AND(Imóveis!$E$6&gt;0,Dados!$A1044&gt;Imóveis!$E$6),0,1)*Imóveis!$I$6</f>
        <v>0</v>
      </c>
      <c r="N1044" s="18">
        <f t="shared" si="133"/>
        <v>0</v>
      </c>
      <c r="O1044" s="18">
        <f>SUMIFS(Receitas!$F:$F,Receitas!$J:$J,"&lt;="&amp;$A1044,Receitas!$L:$L,"&gt;="&amp;$A1044,Receitas!$C:$C,O$1,Receitas!$M:$M,"Mensal")+SUMIFS(Receitas!$F:$F,Receitas!$J:$J,"&lt;="&amp;$A1044,Receitas!$L:$L,"&gt;="&amp;$A1044,Receitas!$C:$C,O$1,Receitas!$M:$M,$B1044)</f>
        <v>0</v>
      </c>
      <c r="P1044" s="18">
        <f>SUMIFS(Receitas!$F:$F,Receitas!$J:$J,"&lt;="&amp;$A1044,Receitas!$L:$L,"&gt;="&amp;$A1044,Receitas!$C:$C,P$1,Receitas!$M:$M,"Mensal")+SUMIFS(Receitas!$F:$F,Receitas!$J:$J,"&lt;="&amp;$A1044,Receitas!$L:$L,"&gt;="&amp;$A1044,Receitas!$C:$C,P$1,Receitas!$M:$M,$B1044)</f>
        <v>0</v>
      </c>
      <c r="Q1044" s="18">
        <f>SUMIFS(Receitas!$F:$F,Receitas!$J:$J,"&lt;="&amp;$A1044,Receitas!$L:$L,"&gt;="&amp;$A1044,Receitas!$C:$C,Q$1,Receitas!$M:$M,"Mensal")+SUMIFS(Receitas!$F:$F,Receitas!$J:$J,"&lt;="&amp;$A1044,Receitas!$L:$L,"&gt;="&amp;$A1044,Receitas!$C:$C,Q$1,Receitas!$M:$M,$B1044)</f>
        <v>0</v>
      </c>
      <c r="R1044" s="18" cm="1">
        <f t="array" ref="R1044">(IF(AND(Membros!$F$2="Sim",A1044&lt;=MAX(Membros!$E$2:$E$5)),Membros!K$2,IF(AND(A1044&gt;=Membros!J$2,A1044&lt;=MAX(Membros!$E$2:$E$5)),Membros!K$2,0))+IF(AND(Membros!$F$3="Sim",A1044&lt;=MAX(Membros!$E$2:$E$5)),Membros!K$3,IF(AND(A1044&gt;=Membros!J$3,A1044&lt;=MAX(Membros!$E$2:$E$5)),Membros!K$3,0)))*IF(AND(COUNTIFS(Tabela3[Tipo],"Provedor",Tabela3[Simulação Seguro],"Sim")=2,A1044&gt;=MAX(IF(Tabela3[Tipo]="Dependente",Tabela3[Expectativa de Vida (Data)]))),0,1)</f>
        <v>0</v>
      </c>
      <c r="S1044" s="18">
        <f t="shared" si="134"/>
        <v>0</v>
      </c>
      <c r="U1044" s="18">
        <f t="shared" ca="1" si="137"/>
        <v>142476467.72251564</v>
      </c>
      <c r="V1044" s="18">
        <f>SUMIF(Imóveis!E:E,Dados!A:A,Imóveis!Z:Z)-SUMIF(Imóveis!E:E,Dados!A:A,Imóveis!Y:Y)</f>
        <v>0</v>
      </c>
      <c r="W1044" s="18">
        <f>-SUMIF(Projetos!N:N,A1044,Projetos!F:F)</f>
        <v>0</v>
      </c>
      <c r="X1044" s="18">
        <f t="shared" si="131"/>
        <v>0</v>
      </c>
      <c r="Y1044" s="26">
        <f ca="1">(U1044*((Indicadores_Economicos!D$2+1)^(1/12)-1))</f>
        <v>466430.88041037903</v>
      </c>
      <c r="Z1044" s="18">
        <f t="shared" ca="1" si="135"/>
        <v>142942898.60292602</v>
      </c>
      <c r="AA1044" s="18">
        <f ca="1">Auxiliar_Projetos!E1044</f>
        <v>1.1783037250461984E-8</v>
      </c>
      <c r="AB1044" s="18">
        <f ca="1">Auxiliar_Projetos!K1044</f>
        <v>9.0638748080476806E-9</v>
      </c>
      <c r="AC1044" s="18">
        <f ca="1">IF(Z1044-AA1044-AB1044&gt;Investimentos!$C$14,Investimentos!$C$14,IF(Z1044-AA1044-AB1044&lt;Investimentos!$C$14,Z1044-AA1044-AB1044,0))</f>
        <v>300000</v>
      </c>
      <c r="AD1044" s="18">
        <f t="shared" ca="1" si="136"/>
        <v>142642898.60292602</v>
      </c>
      <c r="AE1044" s="18"/>
    </row>
    <row r="1045" spans="1:31" x14ac:dyDescent="0.2">
      <c r="A1045" s="4">
        <v>77402</v>
      </c>
      <c r="B1045" s="5" t="str">
        <f t="shared" si="132"/>
        <v>dezembro</v>
      </c>
      <c r="C1045" s="5" t="str">
        <f t="shared" si="130"/>
        <v>2111</v>
      </c>
      <c r="D1045" s="5">
        <f>SUMIFS(Despesas!$F:$F,Despesas!$J:$J,"&lt;="&amp;$A1045,Despesas!$L:$L,"&gt;="&amp;$A1045,Despesas!$C:$C,D$1,Despesas!$M:$M,"Mensal")+SUMIFS(Despesas!$F:$F,Despesas!$J:$J,"&lt;="&amp;$A1045,Despesas!$L:$L,"&gt;="&amp;$A1045,Despesas!$C:$C,D$1,Despesas!$M:$M,$B1045)</f>
        <v>0</v>
      </c>
      <c r="E1045" s="18">
        <f>SUMIFS(Despesas!$F:$F,Despesas!$J:$J,"&lt;="&amp;$A1045,Despesas!$L:$L,"&gt;="&amp;$A1045,Despesas!$C:$C,E$1,Despesas!$M:$M,"Mensal")+SUMIFS(Despesas!$F:$F,Despesas!$J:$J,"&lt;="&amp;$A1045,Despesas!$L:$L,"&gt;="&amp;$A1045,Despesas!$C:$C,E$1,Despesas!$M:$M,$B1045)</f>
        <v>0</v>
      </c>
      <c r="F1045" s="5">
        <f>SUMIFS(Despesas!$F:$F,Despesas!$J:$J,"&lt;="&amp;$A1045,Despesas!$L:$L,"&gt;="&amp;$A1045,Despesas!$C:$C,F$1,Despesas!$M:$M,"Mensal")+SUMIFS(Despesas!$F:$F,Despesas!$J:$J,"&lt;="&amp;$A1045,Despesas!$L:$L,"&gt;="&amp;$A1045,Despesas!$C:$C,F$1,Despesas!$M:$M,$B1045)</f>
        <v>0</v>
      </c>
      <c r="G1045" s="5">
        <f>SUMIFS(Despesas!$F:$F,Despesas!$J:$J,"&lt;="&amp;$A1045,Despesas!$L:$L,"&gt;="&amp;$A1045,Despesas!$C:$C,G$1,Despesas!$M:$M,"Mensal")+SUMIFS(Despesas!$F:$F,Despesas!$J:$J,"&lt;="&amp;$A1045,Despesas!$L:$L,"&gt;="&amp;$A1045,Despesas!$C:$C,G$1,Despesas!$M:$M,$B1045)</f>
        <v>0</v>
      </c>
      <c r="H1045" s="18">
        <f>SUMIFS(Despesas!$F:$F,Despesas!$J:$J,"&lt;="&amp;$A1045,Despesas!$L:$L,"&gt;="&amp;$A1045,Despesas!$C:$C,H$1,Despesas!$M:$M,"Mensal")+SUMIFS(Despesas!$F:$F,Despesas!$J:$J,"&lt;="&amp;$A1045,Despesas!$L:$L,"&gt;="&amp;$A1045,Despesas!$C:$C,H$1,Despesas!$M:$M,$B1045)</f>
        <v>0</v>
      </c>
      <c r="I1045" s="18">
        <f>IF(Imóveis!$F$2="PRICE",IF(AND(Dados!$A1045&gt;=Imóveis!$Q$2,Dados!$A1045&lt;=Imóveis!$T$2),Imóveis!$U$2,0),IF((IF(AND(Dados!$A1045&gt;=Imóveis!$Q$2,Dados!$A1045&lt;=Imóveis!$T$2),Imóveis!$S$2-(DATEDIF(Imóveis!$Q$2,Dados!$A1045,"m")),0))=0,0,((Imóveis!$N$2/Imóveis!$S$2)+((Imóveis!$N$2-((Imóveis!$S$2-(IF(AND(Dados!$A1045&gt;=Imóveis!$Q$2,Dados!$A1045&lt;=Imóveis!$T$2),Imóveis!$S$2-(DATEDIF(Imóveis!$Q$2,Dados!$A1045,"m")),)))*(Imóveis!$N$2/Imóveis!$S$2)))*Imóveis!$P$2))))*IF(AND(Imóveis!$E$2&gt;0,Dados!$A1045&gt;Imóveis!$E$2),0,1)</f>
        <v>0</v>
      </c>
      <c r="J1045" s="18">
        <f>IF(Imóveis!$F$3="PRICE",IF(AND(Dados!$A1045&gt;=Imóveis!$Q$3,Dados!$A1045&lt;=Imóveis!$T$3),Imóveis!$U$3,0),IF((IF(AND(Dados!$A1045&gt;=Imóveis!$Q$3,Dados!$A1045&lt;=Imóveis!$T$3),Imóveis!$S$3-(DATEDIF(Imóveis!$Q$3,Dados!$A1045,"m")),0))=0,0,((Imóveis!$N$3/Imóveis!$S$3)+((Imóveis!$N$3-((Imóveis!$S$3-(IF(AND(Dados!$A1045&gt;=Imóveis!$Q$3,Dados!$A1045&lt;=Imóveis!$T$3),Imóveis!$S$3-(DATEDIF(Imóveis!$Q$3,Dados!$A1045,"m")),)))*(Imóveis!$N$3/Imóveis!$S$3)))*Imóveis!$P$3))))*IF(AND(Imóveis!$E$3&gt;0,Dados!$A1045&gt;Imóveis!$E$3),0,1)</f>
        <v>0</v>
      </c>
      <c r="K1045" s="18">
        <f>IF(Imóveis!$F$4="PRICE",IF(AND(Dados!$A1045&gt;=Imóveis!$Q$4,Dados!$A1045&lt;=Imóveis!$T$4),Imóveis!$U$4,0),IF((IF(AND(Dados!$A1045&gt;=Imóveis!$Q$4,Dados!$A1045&lt;=Imóveis!$T$4),Imóveis!$S$4-(DATEDIF(Imóveis!$Q$4,Dados!$A1045,"m")),0))=0,0,((Imóveis!$N$4/Imóveis!$S$4)+((Imóveis!$N$4-((Imóveis!$S$4-(IF(AND(Dados!$A1045&gt;=Imóveis!$Q$4,Dados!$A1045&lt;=Imóveis!$T$4),Imóveis!$S$4-(DATEDIF(Imóveis!$Q$4,Dados!$A1045,"m")),)))*(Imóveis!$N$4/Imóveis!$S$4)))*Imóveis!$P$4))))*IF(AND(Imóveis!$E$4&gt;0,Dados!$A1045&gt;Imóveis!$E$4),0,1)</f>
        <v>0</v>
      </c>
      <c r="L1045" s="18">
        <f>IF(Imóveis!$F$5="PRICE",IF(AND(Dados!$A1045&gt;=Imóveis!$Q$5,Dados!$A1045&lt;=Imóveis!$T$5),Imóveis!$U$5,0),IF((IF(AND(Dados!$A1045&gt;=Imóveis!$Q$5,Dados!$A1045&lt;=Imóveis!$T$5),Imóveis!$S$5-(DATEDIF(Imóveis!$Q$5,Dados!$A1045,"m")),0))=0,0,((Imóveis!$N$5/Imóveis!$S$5)+((Imóveis!$N$5-((Imóveis!$S$5-(IF(AND(Dados!$A1045 &gt;=Imóveis!$Q$5,Dados!$A1045&lt;=Imóveis!$T$5),Imóveis!$S$5-(DATEDIF(Imóveis!$Q$5,Dados!$A1045,"m")),)))*(Imóveis!$N$5/Imóveis!$S$5)))*Imóveis!$P$5))))*IF(AND(Imóveis!$E$5&gt;0,Dados!$A1045&gt;Imóveis!$E$5),0,1)*Imóveis!$I$5</f>
        <v>0</v>
      </c>
      <c r="M1045" s="18">
        <f>IF(Imóveis!$F$6="PRICE",IF(AND(Dados!$A1045&gt;=Imóveis!$Q$6,Dados!$A1045&lt;=Imóveis!$T$6),Imóveis!$U$6,0),IF((IF(AND(Dados!$A1045&gt;=Imóveis!$Q$6,Dados!$A1045&lt;=Imóveis!$T$6),Imóveis!$S$6-(DATEDIF(Imóveis!$Q$6,Dados!$A1045,"m")),0))=0,0,((Imóveis!$N$6/Imóveis!$S$6)+((Imóveis!$N$6-((Imóveis!$S$6-(IF(AND(Dados!$A1045&gt;=Imóveis!$Q$6,Dados!$A1045&lt;=Imóveis!$T$6),Imóveis!$S$6-(DATEDIF(Imóveis!$Q$6,Dados!$A1045,"m")),)))*(Imóveis!$N$6/Imóveis!$S$6)))*Imóveis!$P$6))))*IF(AND(Imóveis!$E$6&gt;0,Dados!$A1045&gt;Imóveis!$E$6),0,1)*Imóveis!$I$6</f>
        <v>0</v>
      </c>
      <c r="N1045" s="18">
        <f t="shared" si="133"/>
        <v>0</v>
      </c>
      <c r="O1045" s="18">
        <f>SUMIFS(Receitas!$F:$F,Receitas!$J:$J,"&lt;="&amp;$A1045,Receitas!$L:$L,"&gt;="&amp;$A1045,Receitas!$C:$C,O$1,Receitas!$M:$M,"Mensal")+SUMIFS(Receitas!$F:$F,Receitas!$J:$J,"&lt;="&amp;$A1045,Receitas!$L:$L,"&gt;="&amp;$A1045,Receitas!$C:$C,O$1,Receitas!$M:$M,$B1045)</f>
        <v>0</v>
      </c>
      <c r="P1045" s="18">
        <f>SUMIFS(Receitas!$F:$F,Receitas!$J:$J,"&lt;="&amp;$A1045,Receitas!$L:$L,"&gt;="&amp;$A1045,Receitas!$C:$C,P$1,Receitas!$M:$M,"Mensal")+SUMIFS(Receitas!$F:$F,Receitas!$J:$J,"&lt;="&amp;$A1045,Receitas!$L:$L,"&gt;="&amp;$A1045,Receitas!$C:$C,P$1,Receitas!$M:$M,$B1045)</f>
        <v>0</v>
      </c>
      <c r="Q1045" s="18">
        <f>SUMIFS(Receitas!$F:$F,Receitas!$J:$J,"&lt;="&amp;$A1045,Receitas!$L:$L,"&gt;="&amp;$A1045,Receitas!$C:$C,Q$1,Receitas!$M:$M,"Mensal")+SUMIFS(Receitas!$F:$F,Receitas!$J:$J,"&lt;="&amp;$A1045,Receitas!$L:$L,"&gt;="&amp;$A1045,Receitas!$C:$C,Q$1,Receitas!$M:$M,$B1045)</f>
        <v>0</v>
      </c>
      <c r="R1045" s="18" cm="1">
        <f t="array" ref="R1045">(IF(AND(Membros!$F$2="Sim",A1045&lt;=MAX(Membros!$E$2:$E$5)),Membros!K$2,IF(AND(A1045&gt;=Membros!J$2,A1045&lt;=MAX(Membros!$E$2:$E$5)),Membros!K$2,0))+IF(AND(Membros!$F$3="Sim",A1045&lt;=MAX(Membros!$E$2:$E$5)),Membros!K$3,IF(AND(A1045&gt;=Membros!J$3,A1045&lt;=MAX(Membros!$E$2:$E$5)),Membros!K$3,0)))*IF(AND(COUNTIFS(Tabela3[Tipo],"Provedor",Tabela3[Simulação Seguro],"Sim")=2,A1045&gt;=MAX(IF(Tabela3[Tipo]="Dependente",Tabela3[Expectativa de Vida (Data)]))),0,1)</f>
        <v>0</v>
      </c>
      <c r="S1045" s="18">
        <f t="shared" si="134"/>
        <v>0</v>
      </c>
      <c r="U1045" s="18">
        <f t="shared" ca="1" si="137"/>
        <v>142942898.60292602</v>
      </c>
      <c r="V1045" s="18">
        <f>SUMIF(Imóveis!E:E,Dados!A:A,Imóveis!Z:Z)-SUMIF(Imóveis!E:E,Dados!A:A,Imóveis!Y:Y)</f>
        <v>0</v>
      </c>
      <c r="W1045" s="18">
        <f>-SUMIF(Projetos!N:N,A1045,Projetos!F:F)</f>
        <v>0</v>
      </c>
      <c r="X1045" s="18">
        <f t="shared" si="131"/>
        <v>0</v>
      </c>
      <c r="Y1045" s="26">
        <f ca="1">(U1045*((Indicadores_Economicos!D$2+1)^(1/12)-1))</f>
        <v>467957.85373922455</v>
      </c>
      <c r="Z1045" s="18">
        <f t="shared" ca="1" si="135"/>
        <v>143410856.45666525</v>
      </c>
      <c r="AA1045" s="18">
        <f ca="1">Auxiliar_Projetos!E1045</f>
        <v>1.1821611848263952E-8</v>
      </c>
      <c r="AB1045" s="18">
        <f ca="1">Auxiliar_Projetos!K1045</f>
        <v>9.0935475755876568E-9</v>
      </c>
      <c r="AC1045" s="18">
        <f ca="1">IF(Z1045-AA1045-AB1045&gt;Investimentos!$C$14,Investimentos!$C$14,IF(Z1045-AA1045-AB1045&lt;Investimentos!$C$14,Z1045-AA1045-AB1045,0))</f>
        <v>300000</v>
      </c>
      <c r="AD1045" s="18">
        <f t="shared" ca="1" si="136"/>
        <v>143110856.45666525</v>
      </c>
      <c r="AE1045" s="18"/>
    </row>
    <row r="1046" spans="1:31" x14ac:dyDescent="0.2">
      <c r="A1046" s="4">
        <v>77433</v>
      </c>
      <c r="B1046" s="5" t="str">
        <f t="shared" si="132"/>
        <v>janeiro</v>
      </c>
      <c r="C1046" s="5" t="str">
        <f t="shared" si="130"/>
        <v>2112</v>
      </c>
      <c r="D1046" s="5">
        <f>SUMIFS(Despesas!$F:$F,Despesas!$J:$J,"&lt;="&amp;$A1046,Despesas!$L:$L,"&gt;="&amp;$A1046,Despesas!$C:$C,D$1,Despesas!$M:$M,"Mensal")+SUMIFS(Despesas!$F:$F,Despesas!$J:$J,"&lt;="&amp;$A1046,Despesas!$L:$L,"&gt;="&amp;$A1046,Despesas!$C:$C,D$1,Despesas!$M:$M,$B1046)</f>
        <v>0</v>
      </c>
      <c r="E1046" s="18">
        <f>SUMIFS(Despesas!$F:$F,Despesas!$J:$J,"&lt;="&amp;$A1046,Despesas!$L:$L,"&gt;="&amp;$A1046,Despesas!$C:$C,E$1,Despesas!$M:$M,"Mensal")+SUMIFS(Despesas!$F:$F,Despesas!$J:$J,"&lt;="&amp;$A1046,Despesas!$L:$L,"&gt;="&amp;$A1046,Despesas!$C:$C,E$1,Despesas!$M:$M,$B1046)</f>
        <v>0</v>
      </c>
      <c r="F1046" s="5">
        <f>SUMIFS(Despesas!$F:$F,Despesas!$J:$J,"&lt;="&amp;$A1046,Despesas!$L:$L,"&gt;="&amp;$A1046,Despesas!$C:$C,F$1,Despesas!$M:$M,"Mensal")+SUMIFS(Despesas!$F:$F,Despesas!$J:$J,"&lt;="&amp;$A1046,Despesas!$L:$L,"&gt;="&amp;$A1046,Despesas!$C:$C,F$1,Despesas!$M:$M,$B1046)</f>
        <v>0</v>
      </c>
      <c r="G1046" s="5">
        <f>SUMIFS(Despesas!$F:$F,Despesas!$J:$J,"&lt;="&amp;$A1046,Despesas!$L:$L,"&gt;="&amp;$A1046,Despesas!$C:$C,G$1,Despesas!$M:$M,"Mensal")+SUMIFS(Despesas!$F:$F,Despesas!$J:$J,"&lt;="&amp;$A1046,Despesas!$L:$L,"&gt;="&amp;$A1046,Despesas!$C:$C,G$1,Despesas!$M:$M,$B1046)</f>
        <v>0</v>
      </c>
      <c r="H1046" s="18">
        <f>SUMIFS(Despesas!$F:$F,Despesas!$J:$J,"&lt;="&amp;$A1046,Despesas!$L:$L,"&gt;="&amp;$A1046,Despesas!$C:$C,H$1,Despesas!$M:$M,"Mensal")+SUMIFS(Despesas!$F:$F,Despesas!$J:$J,"&lt;="&amp;$A1046,Despesas!$L:$L,"&gt;="&amp;$A1046,Despesas!$C:$C,H$1,Despesas!$M:$M,$B1046)</f>
        <v>0</v>
      </c>
      <c r="I1046" s="18">
        <f>IF(Imóveis!$F$2="PRICE",IF(AND(Dados!$A1046&gt;=Imóveis!$Q$2,Dados!$A1046&lt;=Imóveis!$T$2),Imóveis!$U$2,0),IF((IF(AND(Dados!$A1046&gt;=Imóveis!$Q$2,Dados!$A1046&lt;=Imóveis!$T$2),Imóveis!$S$2-(DATEDIF(Imóveis!$Q$2,Dados!$A1046,"m")),0))=0,0,((Imóveis!$N$2/Imóveis!$S$2)+((Imóveis!$N$2-((Imóveis!$S$2-(IF(AND(Dados!$A1046&gt;=Imóveis!$Q$2,Dados!$A1046&lt;=Imóveis!$T$2),Imóveis!$S$2-(DATEDIF(Imóveis!$Q$2,Dados!$A1046,"m")),)))*(Imóveis!$N$2/Imóveis!$S$2)))*Imóveis!$P$2))))*IF(AND(Imóveis!$E$2&gt;0,Dados!$A1046&gt;Imóveis!$E$2),0,1)</f>
        <v>0</v>
      </c>
      <c r="J1046" s="18">
        <f>IF(Imóveis!$F$3="PRICE",IF(AND(Dados!$A1046&gt;=Imóveis!$Q$3,Dados!$A1046&lt;=Imóveis!$T$3),Imóveis!$U$3,0),IF((IF(AND(Dados!$A1046&gt;=Imóveis!$Q$3,Dados!$A1046&lt;=Imóveis!$T$3),Imóveis!$S$3-(DATEDIF(Imóveis!$Q$3,Dados!$A1046,"m")),0))=0,0,((Imóveis!$N$3/Imóveis!$S$3)+((Imóveis!$N$3-((Imóveis!$S$3-(IF(AND(Dados!$A1046&gt;=Imóveis!$Q$3,Dados!$A1046&lt;=Imóveis!$T$3),Imóveis!$S$3-(DATEDIF(Imóveis!$Q$3,Dados!$A1046,"m")),)))*(Imóveis!$N$3/Imóveis!$S$3)))*Imóveis!$P$3))))*IF(AND(Imóveis!$E$3&gt;0,Dados!$A1046&gt;Imóveis!$E$3),0,1)</f>
        <v>0</v>
      </c>
      <c r="K1046" s="18">
        <f>IF(Imóveis!$F$4="PRICE",IF(AND(Dados!$A1046&gt;=Imóveis!$Q$4,Dados!$A1046&lt;=Imóveis!$T$4),Imóveis!$U$4,0),IF((IF(AND(Dados!$A1046&gt;=Imóveis!$Q$4,Dados!$A1046&lt;=Imóveis!$T$4),Imóveis!$S$4-(DATEDIF(Imóveis!$Q$4,Dados!$A1046,"m")),0))=0,0,((Imóveis!$N$4/Imóveis!$S$4)+((Imóveis!$N$4-((Imóveis!$S$4-(IF(AND(Dados!$A1046&gt;=Imóveis!$Q$4,Dados!$A1046&lt;=Imóveis!$T$4),Imóveis!$S$4-(DATEDIF(Imóveis!$Q$4,Dados!$A1046,"m")),)))*(Imóveis!$N$4/Imóveis!$S$4)))*Imóveis!$P$4))))*IF(AND(Imóveis!$E$4&gt;0,Dados!$A1046&gt;Imóveis!$E$4),0,1)</f>
        <v>0</v>
      </c>
      <c r="L1046" s="18">
        <f>IF(Imóveis!$F$5="PRICE",IF(AND(Dados!$A1046&gt;=Imóveis!$Q$5,Dados!$A1046&lt;=Imóveis!$T$5),Imóveis!$U$5,0),IF((IF(AND(Dados!$A1046&gt;=Imóveis!$Q$5,Dados!$A1046&lt;=Imóveis!$T$5),Imóveis!$S$5-(DATEDIF(Imóveis!$Q$5,Dados!$A1046,"m")),0))=0,0,((Imóveis!$N$5/Imóveis!$S$5)+((Imóveis!$N$5-((Imóveis!$S$5-(IF(AND(Dados!$A1046 &gt;=Imóveis!$Q$5,Dados!$A1046&lt;=Imóveis!$T$5),Imóveis!$S$5-(DATEDIF(Imóveis!$Q$5,Dados!$A1046,"m")),)))*(Imóveis!$N$5/Imóveis!$S$5)))*Imóveis!$P$5))))*IF(AND(Imóveis!$E$5&gt;0,Dados!$A1046&gt;Imóveis!$E$5),0,1)*Imóveis!$I$5</f>
        <v>0</v>
      </c>
      <c r="M1046" s="18">
        <f>IF(Imóveis!$F$6="PRICE",IF(AND(Dados!$A1046&gt;=Imóveis!$Q$6,Dados!$A1046&lt;=Imóveis!$T$6),Imóveis!$U$6,0),IF((IF(AND(Dados!$A1046&gt;=Imóveis!$Q$6,Dados!$A1046&lt;=Imóveis!$T$6),Imóveis!$S$6-(DATEDIF(Imóveis!$Q$6,Dados!$A1046,"m")),0))=0,0,((Imóveis!$N$6/Imóveis!$S$6)+((Imóveis!$N$6-((Imóveis!$S$6-(IF(AND(Dados!$A1046&gt;=Imóveis!$Q$6,Dados!$A1046&lt;=Imóveis!$T$6),Imóveis!$S$6-(DATEDIF(Imóveis!$Q$6,Dados!$A1046,"m")),)))*(Imóveis!$N$6/Imóveis!$S$6)))*Imóveis!$P$6))))*IF(AND(Imóveis!$E$6&gt;0,Dados!$A1046&gt;Imóveis!$E$6),0,1)*Imóveis!$I$6</f>
        <v>0</v>
      </c>
      <c r="N1046" s="18">
        <f t="shared" si="133"/>
        <v>0</v>
      </c>
      <c r="O1046" s="18">
        <f>SUMIFS(Receitas!$F:$F,Receitas!$J:$J,"&lt;="&amp;$A1046,Receitas!$L:$L,"&gt;="&amp;$A1046,Receitas!$C:$C,O$1,Receitas!$M:$M,"Mensal")+SUMIFS(Receitas!$F:$F,Receitas!$J:$J,"&lt;="&amp;$A1046,Receitas!$L:$L,"&gt;="&amp;$A1046,Receitas!$C:$C,O$1,Receitas!$M:$M,$B1046)</f>
        <v>0</v>
      </c>
      <c r="P1046" s="18">
        <f>SUMIFS(Receitas!$F:$F,Receitas!$J:$J,"&lt;="&amp;$A1046,Receitas!$L:$L,"&gt;="&amp;$A1046,Receitas!$C:$C,P$1,Receitas!$M:$M,"Mensal")+SUMIFS(Receitas!$F:$F,Receitas!$J:$J,"&lt;="&amp;$A1046,Receitas!$L:$L,"&gt;="&amp;$A1046,Receitas!$C:$C,P$1,Receitas!$M:$M,$B1046)</f>
        <v>0</v>
      </c>
      <c r="Q1046" s="18">
        <f>SUMIFS(Receitas!$F:$F,Receitas!$J:$J,"&lt;="&amp;$A1046,Receitas!$L:$L,"&gt;="&amp;$A1046,Receitas!$C:$C,Q$1,Receitas!$M:$M,"Mensal")+SUMIFS(Receitas!$F:$F,Receitas!$J:$J,"&lt;="&amp;$A1046,Receitas!$L:$L,"&gt;="&amp;$A1046,Receitas!$C:$C,Q$1,Receitas!$M:$M,$B1046)</f>
        <v>0</v>
      </c>
      <c r="R1046" s="18" cm="1">
        <f t="array" ref="R1046">(IF(AND(Membros!$F$2="Sim",A1046&lt;=MAX(Membros!$E$2:$E$5)),Membros!K$2,IF(AND(A1046&gt;=Membros!J$2,A1046&lt;=MAX(Membros!$E$2:$E$5)),Membros!K$2,0))+IF(AND(Membros!$F$3="Sim",A1046&lt;=MAX(Membros!$E$2:$E$5)),Membros!K$3,IF(AND(A1046&gt;=Membros!J$3,A1046&lt;=MAX(Membros!$E$2:$E$5)),Membros!K$3,0)))*IF(AND(COUNTIFS(Tabela3[Tipo],"Provedor",Tabela3[Simulação Seguro],"Sim")=2,A1046&gt;=MAX(IF(Tabela3[Tipo]="Dependente",Tabela3[Expectativa de Vida (Data)]))),0,1)</f>
        <v>0</v>
      </c>
      <c r="S1046" s="18">
        <f t="shared" si="134"/>
        <v>0</v>
      </c>
      <c r="U1046" s="18">
        <f t="shared" ca="1" si="137"/>
        <v>143410856.45666525</v>
      </c>
      <c r="V1046" s="18">
        <f>SUMIF(Imóveis!E:E,Dados!A:A,Imóveis!Z:Z)-SUMIF(Imóveis!E:E,Dados!A:A,Imóveis!Y:Y)</f>
        <v>0</v>
      </c>
      <c r="W1046" s="18">
        <f>-SUMIF(Projetos!N:N,A1046,Projetos!F:F)</f>
        <v>0</v>
      </c>
      <c r="X1046" s="18">
        <f t="shared" si="131"/>
        <v>0</v>
      </c>
      <c r="Y1046" s="26">
        <f ca="1">(U1046*((Indicadores_Economicos!D$2+1)^(1/12)-1))</f>
        <v>469489.82598140306</v>
      </c>
      <c r="Z1046" s="18">
        <f t="shared" ca="1" si="135"/>
        <v>143880346.28264666</v>
      </c>
      <c r="AA1046" s="18">
        <f ca="1">Auxiliar_Projetos!E1046</f>
        <v>1.1860312729261328E-8</v>
      </c>
      <c r="AB1046" s="18">
        <f ca="1">Auxiliar_Projetos!K1046</f>
        <v>9.123317484047177E-9</v>
      </c>
      <c r="AC1046" s="18">
        <f ca="1">IF(Z1046-AA1046-AB1046&gt;Investimentos!$C$14,Investimentos!$C$14,IF(Z1046-AA1046-AB1046&lt;Investimentos!$C$14,Z1046-AA1046-AB1046,0))</f>
        <v>300000</v>
      </c>
      <c r="AD1046" s="18">
        <f t="shared" ca="1" si="136"/>
        <v>143580346.28264666</v>
      </c>
      <c r="AE1046" s="18"/>
    </row>
    <row r="1047" spans="1:31" x14ac:dyDescent="0.2">
      <c r="A1047" s="4">
        <v>77464</v>
      </c>
      <c r="B1047" s="5" t="str">
        <f t="shared" si="132"/>
        <v>fevereiro</v>
      </c>
      <c r="C1047" s="5" t="str">
        <f t="shared" si="130"/>
        <v>2112</v>
      </c>
      <c r="D1047" s="5">
        <f>SUMIFS(Despesas!$F:$F,Despesas!$J:$J,"&lt;="&amp;$A1047,Despesas!$L:$L,"&gt;="&amp;$A1047,Despesas!$C:$C,D$1,Despesas!$M:$M,"Mensal")+SUMIFS(Despesas!$F:$F,Despesas!$J:$J,"&lt;="&amp;$A1047,Despesas!$L:$L,"&gt;="&amp;$A1047,Despesas!$C:$C,D$1,Despesas!$M:$M,$B1047)</f>
        <v>0</v>
      </c>
      <c r="E1047" s="18">
        <f>SUMIFS(Despesas!$F:$F,Despesas!$J:$J,"&lt;="&amp;$A1047,Despesas!$L:$L,"&gt;="&amp;$A1047,Despesas!$C:$C,E$1,Despesas!$M:$M,"Mensal")+SUMIFS(Despesas!$F:$F,Despesas!$J:$J,"&lt;="&amp;$A1047,Despesas!$L:$L,"&gt;="&amp;$A1047,Despesas!$C:$C,E$1,Despesas!$M:$M,$B1047)</f>
        <v>0</v>
      </c>
      <c r="F1047" s="5">
        <f>SUMIFS(Despesas!$F:$F,Despesas!$J:$J,"&lt;="&amp;$A1047,Despesas!$L:$L,"&gt;="&amp;$A1047,Despesas!$C:$C,F$1,Despesas!$M:$M,"Mensal")+SUMIFS(Despesas!$F:$F,Despesas!$J:$J,"&lt;="&amp;$A1047,Despesas!$L:$L,"&gt;="&amp;$A1047,Despesas!$C:$C,F$1,Despesas!$M:$M,$B1047)</f>
        <v>0</v>
      </c>
      <c r="G1047" s="5">
        <f>SUMIFS(Despesas!$F:$F,Despesas!$J:$J,"&lt;="&amp;$A1047,Despesas!$L:$L,"&gt;="&amp;$A1047,Despesas!$C:$C,G$1,Despesas!$M:$M,"Mensal")+SUMIFS(Despesas!$F:$F,Despesas!$J:$J,"&lt;="&amp;$A1047,Despesas!$L:$L,"&gt;="&amp;$A1047,Despesas!$C:$C,G$1,Despesas!$M:$M,$B1047)</f>
        <v>0</v>
      </c>
      <c r="H1047" s="18">
        <f>SUMIFS(Despesas!$F:$F,Despesas!$J:$J,"&lt;="&amp;$A1047,Despesas!$L:$L,"&gt;="&amp;$A1047,Despesas!$C:$C,H$1,Despesas!$M:$M,"Mensal")+SUMIFS(Despesas!$F:$F,Despesas!$J:$J,"&lt;="&amp;$A1047,Despesas!$L:$L,"&gt;="&amp;$A1047,Despesas!$C:$C,H$1,Despesas!$M:$M,$B1047)</f>
        <v>0</v>
      </c>
      <c r="I1047" s="18">
        <f>IF(Imóveis!$F$2="PRICE",IF(AND(Dados!$A1047&gt;=Imóveis!$Q$2,Dados!$A1047&lt;=Imóveis!$T$2),Imóveis!$U$2,0),IF((IF(AND(Dados!$A1047&gt;=Imóveis!$Q$2,Dados!$A1047&lt;=Imóveis!$T$2),Imóveis!$S$2-(DATEDIF(Imóveis!$Q$2,Dados!$A1047,"m")),0))=0,0,((Imóveis!$N$2/Imóveis!$S$2)+((Imóveis!$N$2-((Imóveis!$S$2-(IF(AND(Dados!$A1047&gt;=Imóveis!$Q$2,Dados!$A1047&lt;=Imóveis!$T$2),Imóveis!$S$2-(DATEDIF(Imóveis!$Q$2,Dados!$A1047,"m")),)))*(Imóveis!$N$2/Imóveis!$S$2)))*Imóveis!$P$2))))*IF(AND(Imóveis!$E$2&gt;0,Dados!$A1047&gt;Imóveis!$E$2),0,1)</f>
        <v>0</v>
      </c>
      <c r="J1047" s="18">
        <f>IF(Imóveis!$F$3="PRICE",IF(AND(Dados!$A1047&gt;=Imóveis!$Q$3,Dados!$A1047&lt;=Imóveis!$T$3),Imóveis!$U$3,0),IF((IF(AND(Dados!$A1047&gt;=Imóveis!$Q$3,Dados!$A1047&lt;=Imóveis!$T$3),Imóveis!$S$3-(DATEDIF(Imóveis!$Q$3,Dados!$A1047,"m")),0))=0,0,((Imóveis!$N$3/Imóveis!$S$3)+((Imóveis!$N$3-((Imóveis!$S$3-(IF(AND(Dados!$A1047&gt;=Imóveis!$Q$3,Dados!$A1047&lt;=Imóveis!$T$3),Imóveis!$S$3-(DATEDIF(Imóveis!$Q$3,Dados!$A1047,"m")),)))*(Imóveis!$N$3/Imóveis!$S$3)))*Imóveis!$P$3))))*IF(AND(Imóveis!$E$3&gt;0,Dados!$A1047&gt;Imóveis!$E$3),0,1)</f>
        <v>0</v>
      </c>
      <c r="K1047" s="18">
        <f>IF(Imóveis!$F$4="PRICE",IF(AND(Dados!$A1047&gt;=Imóveis!$Q$4,Dados!$A1047&lt;=Imóveis!$T$4),Imóveis!$U$4,0),IF((IF(AND(Dados!$A1047&gt;=Imóveis!$Q$4,Dados!$A1047&lt;=Imóveis!$T$4),Imóveis!$S$4-(DATEDIF(Imóveis!$Q$4,Dados!$A1047,"m")),0))=0,0,((Imóveis!$N$4/Imóveis!$S$4)+((Imóveis!$N$4-((Imóveis!$S$4-(IF(AND(Dados!$A1047&gt;=Imóveis!$Q$4,Dados!$A1047&lt;=Imóveis!$T$4),Imóveis!$S$4-(DATEDIF(Imóveis!$Q$4,Dados!$A1047,"m")),)))*(Imóveis!$N$4/Imóveis!$S$4)))*Imóveis!$P$4))))*IF(AND(Imóveis!$E$4&gt;0,Dados!$A1047&gt;Imóveis!$E$4),0,1)</f>
        <v>0</v>
      </c>
      <c r="L1047" s="18">
        <f>IF(Imóveis!$F$5="PRICE",IF(AND(Dados!$A1047&gt;=Imóveis!$Q$5,Dados!$A1047&lt;=Imóveis!$T$5),Imóveis!$U$5,0),IF((IF(AND(Dados!$A1047&gt;=Imóveis!$Q$5,Dados!$A1047&lt;=Imóveis!$T$5),Imóveis!$S$5-(DATEDIF(Imóveis!$Q$5,Dados!$A1047,"m")),0))=0,0,((Imóveis!$N$5/Imóveis!$S$5)+((Imóveis!$N$5-((Imóveis!$S$5-(IF(AND(Dados!$A1047 &gt;=Imóveis!$Q$5,Dados!$A1047&lt;=Imóveis!$T$5),Imóveis!$S$5-(DATEDIF(Imóveis!$Q$5,Dados!$A1047,"m")),)))*(Imóveis!$N$5/Imóveis!$S$5)))*Imóveis!$P$5))))*IF(AND(Imóveis!$E$5&gt;0,Dados!$A1047&gt;Imóveis!$E$5),0,1)*Imóveis!$I$5</f>
        <v>0</v>
      </c>
      <c r="M1047" s="18">
        <f>IF(Imóveis!$F$6="PRICE",IF(AND(Dados!$A1047&gt;=Imóveis!$Q$6,Dados!$A1047&lt;=Imóveis!$T$6),Imóveis!$U$6,0),IF((IF(AND(Dados!$A1047&gt;=Imóveis!$Q$6,Dados!$A1047&lt;=Imóveis!$T$6),Imóveis!$S$6-(DATEDIF(Imóveis!$Q$6,Dados!$A1047,"m")),0))=0,0,((Imóveis!$N$6/Imóveis!$S$6)+((Imóveis!$N$6-((Imóveis!$S$6-(IF(AND(Dados!$A1047&gt;=Imóveis!$Q$6,Dados!$A1047&lt;=Imóveis!$T$6),Imóveis!$S$6-(DATEDIF(Imóveis!$Q$6,Dados!$A1047,"m")),)))*(Imóveis!$N$6/Imóveis!$S$6)))*Imóveis!$P$6))))*IF(AND(Imóveis!$E$6&gt;0,Dados!$A1047&gt;Imóveis!$E$6),0,1)*Imóveis!$I$6</f>
        <v>0</v>
      </c>
      <c r="N1047" s="18">
        <f t="shared" si="133"/>
        <v>0</v>
      </c>
      <c r="O1047" s="18">
        <f>SUMIFS(Receitas!$F:$F,Receitas!$J:$J,"&lt;="&amp;$A1047,Receitas!$L:$L,"&gt;="&amp;$A1047,Receitas!$C:$C,O$1,Receitas!$M:$M,"Mensal")+SUMIFS(Receitas!$F:$F,Receitas!$J:$J,"&lt;="&amp;$A1047,Receitas!$L:$L,"&gt;="&amp;$A1047,Receitas!$C:$C,O$1,Receitas!$M:$M,$B1047)</f>
        <v>0</v>
      </c>
      <c r="P1047" s="18">
        <f>SUMIFS(Receitas!$F:$F,Receitas!$J:$J,"&lt;="&amp;$A1047,Receitas!$L:$L,"&gt;="&amp;$A1047,Receitas!$C:$C,P$1,Receitas!$M:$M,"Mensal")+SUMIFS(Receitas!$F:$F,Receitas!$J:$J,"&lt;="&amp;$A1047,Receitas!$L:$L,"&gt;="&amp;$A1047,Receitas!$C:$C,P$1,Receitas!$M:$M,$B1047)</f>
        <v>0</v>
      </c>
      <c r="Q1047" s="18">
        <f>SUMIFS(Receitas!$F:$F,Receitas!$J:$J,"&lt;="&amp;$A1047,Receitas!$L:$L,"&gt;="&amp;$A1047,Receitas!$C:$C,Q$1,Receitas!$M:$M,"Mensal")+SUMIFS(Receitas!$F:$F,Receitas!$J:$J,"&lt;="&amp;$A1047,Receitas!$L:$L,"&gt;="&amp;$A1047,Receitas!$C:$C,Q$1,Receitas!$M:$M,$B1047)</f>
        <v>0</v>
      </c>
      <c r="R1047" s="18" cm="1">
        <f t="array" ref="R1047">(IF(AND(Membros!$F$2="Sim",A1047&lt;=MAX(Membros!$E$2:$E$5)),Membros!K$2,IF(AND(A1047&gt;=Membros!J$2,A1047&lt;=MAX(Membros!$E$2:$E$5)),Membros!K$2,0))+IF(AND(Membros!$F$3="Sim",A1047&lt;=MAX(Membros!$E$2:$E$5)),Membros!K$3,IF(AND(A1047&gt;=Membros!J$3,A1047&lt;=MAX(Membros!$E$2:$E$5)),Membros!K$3,0)))*IF(AND(COUNTIFS(Tabela3[Tipo],"Provedor",Tabela3[Simulação Seguro],"Sim")=2,A1047&gt;=MAX(IF(Tabela3[Tipo]="Dependente",Tabela3[Expectativa de Vida (Data)]))),0,1)</f>
        <v>0</v>
      </c>
      <c r="S1047" s="18">
        <f t="shared" si="134"/>
        <v>0</v>
      </c>
      <c r="U1047" s="18">
        <f t="shared" ca="1" si="137"/>
        <v>143880346.28264666</v>
      </c>
      <c r="V1047" s="18">
        <f>SUMIF(Imóveis!E:E,Dados!A:A,Imóveis!Z:Z)-SUMIF(Imóveis!E:E,Dados!A:A,Imóveis!Y:Y)</f>
        <v>0</v>
      </c>
      <c r="W1047" s="18">
        <f>-SUMIF(Projetos!N:N,A1047,Projetos!F:F)</f>
        <v>0</v>
      </c>
      <c r="X1047" s="18">
        <f t="shared" si="131"/>
        <v>0</v>
      </c>
      <c r="Y1047" s="26">
        <f ca="1">(U1047*((Indicadores_Economicos!D$2+1)^(1/12)-1))</f>
        <v>471026.81350205606</v>
      </c>
      <c r="Z1047" s="18">
        <f t="shared" ca="1" si="135"/>
        <v>144351373.0961487</v>
      </c>
      <c r="AA1047" s="18">
        <f ca="1">Auxiliar_Projetos!E1047</f>
        <v>1.1899140306872431E-8</v>
      </c>
      <c r="AB1047" s="18">
        <f ca="1">Auxiliar_Projetos!K1047</f>
        <v>9.1531848514403327E-9</v>
      </c>
      <c r="AC1047" s="18">
        <f ca="1">IF(Z1047-AA1047-AB1047&gt;Investimentos!$C$14,Investimentos!$C$14,IF(Z1047-AA1047-AB1047&lt;Investimentos!$C$14,Z1047-AA1047-AB1047,0))</f>
        <v>300000</v>
      </c>
      <c r="AD1047" s="18">
        <f t="shared" ca="1" si="136"/>
        <v>144051373.0961487</v>
      </c>
      <c r="AE1047" s="18"/>
    </row>
    <row r="1048" spans="1:31" x14ac:dyDescent="0.2">
      <c r="A1048" s="4">
        <v>77493</v>
      </c>
      <c r="B1048" s="5" t="str">
        <f t="shared" si="132"/>
        <v>março</v>
      </c>
      <c r="C1048" s="5" t="str">
        <f t="shared" ref="C1048:C1111" si="138">TEXT(A1048,"AAAA")</f>
        <v>2112</v>
      </c>
      <c r="D1048" s="5">
        <f>SUMIFS(Despesas!$F:$F,Despesas!$J:$J,"&lt;="&amp;$A1048,Despesas!$L:$L,"&gt;="&amp;$A1048,Despesas!$C:$C,D$1,Despesas!$M:$M,"Mensal")+SUMIFS(Despesas!$F:$F,Despesas!$J:$J,"&lt;="&amp;$A1048,Despesas!$L:$L,"&gt;="&amp;$A1048,Despesas!$C:$C,D$1,Despesas!$M:$M,$B1048)</f>
        <v>0</v>
      </c>
      <c r="E1048" s="18">
        <f>SUMIFS(Despesas!$F:$F,Despesas!$J:$J,"&lt;="&amp;$A1048,Despesas!$L:$L,"&gt;="&amp;$A1048,Despesas!$C:$C,E$1,Despesas!$M:$M,"Mensal")+SUMIFS(Despesas!$F:$F,Despesas!$J:$J,"&lt;="&amp;$A1048,Despesas!$L:$L,"&gt;="&amp;$A1048,Despesas!$C:$C,E$1,Despesas!$M:$M,$B1048)</f>
        <v>0</v>
      </c>
      <c r="F1048" s="5">
        <f>SUMIFS(Despesas!$F:$F,Despesas!$J:$J,"&lt;="&amp;$A1048,Despesas!$L:$L,"&gt;="&amp;$A1048,Despesas!$C:$C,F$1,Despesas!$M:$M,"Mensal")+SUMIFS(Despesas!$F:$F,Despesas!$J:$J,"&lt;="&amp;$A1048,Despesas!$L:$L,"&gt;="&amp;$A1048,Despesas!$C:$C,F$1,Despesas!$M:$M,$B1048)</f>
        <v>0</v>
      </c>
      <c r="G1048" s="5">
        <f>SUMIFS(Despesas!$F:$F,Despesas!$J:$J,"&lt;="&amp;$A1048,Despesas!$L:$L,"&gt;="&amp;$A1048,Despesas!$C:$C,G$1,Despesas!$M:$M,"Mensal")+SUMIFS(Despesas!$F:$F,Despesas!$J:$J,"&lt;="&amp;$A1048,Despesas!$L:$L,"&gt;="&amp;$A1048,Despesas!$C:$C,G$1,Despesas!$M:$M,$B1048)</f>
        <v>0</v>
      </c>
      <c r="H1048" s="18">
        <f>SUMIFS(Despesas!$F:$F,Despesas!$J:$J,"&lt;="&amp;$A1048,Despesas!$L:$L,"&gt;="&amp;$A1048,Despesas!$C:$C,H$1,Despesas!$M:$M,"Mensal")+SUMIFS(Despesas!$F:$F,Despesas!$J:$J,"&lt;="&amp;$A1048,Despesas!$L:$L,"&gt;="&amp;$A1048,Despesas!$C:$C,H$1,Despesas!$M:$M,$B1048)</f>
        <v>0</v>
      </c>
      <c r="I1048" s="18">
        <f>IF(Imóveis!$F$2="PRICE",IF(AND(Dados!$A1048&gt;=Imóveis!$Q$2,Dados!$A1048&lt;=Imóveis!$T$2),Imóveis!$U$2,0),IF((IF(AND(Dados!$A1048&gt;=Imóveis!$Q$2,Dados!$A1048&lt;=Imóveis!$T$2),Imóveis!$S$2-(DATEDIF(Imóveis!$Q$2,Dados!$A1048,"m")),0))=0,0,((Imóveis!$N$2/Imóveis!$S$2)+((Imóveis!$N$2-((Imóveis!$S$2-(IF(AND(Dados!$A1048&gt;=Imóveis!$Q$2,Dados!$A1048&lt;=Imóveis!$T$2),Imóveis!$S$2-(DATEDIF(Imóveis!$Q$2,Dados!$A1048,"m")),)))*(Imóveis!$N$2/Imóveis!$S$2)))*Imóveis!$P$2))))*IF(AND(Imóveis!$E$2&gt;0,Dados!$A1048&gt;Imóveis!$E$2),0,1)</f>
        <v>0</v>
      </c>
      <c r="J1048" s="18">
        <f>IF(Imóveis!$F$3="PRICE",IF(AND(Dados!$A1048&gt;=Imóveis!$Q$3,Dados!$A1048&lt;=Imóveis!$T$3),Imóveis!$U$3,0),IF((IF(AND(Dados!$A1048&gt;=Imóveis!$Q$3,Dados!$A1048&lt;=Imóveis!$T$3),Imóveis!$S$3-(DATEDIF(Imóveis!$Q$3,Dados!$A1048,"m")),0))=0,0,((Imóveis!$N$3/Imóveis!$S$3)+((Imóveis!$N$3-((Imóveis!$S$3-(IF(AND(Dados!$A1048&gt;=Imóveis!$Q$3,Dados!$A1048&lt;=Imóveis!$T$3),Imóveis!$S$3-(DATEDIF(Imóveis!$Q$3,Dados!$A1048,"m")),)))*(Imóveis!$N$3/Imóveis!$S$3)))*Imóveis!$P$3))))*IF(AND(Imóveis!$E$3&gt;0,Dados!$A1048&gt;Imóveis!$E$3),0,1)</f>
        <v>0</v>
      </c>
      <c r="K1048" s="18">
        <f>IF(Imóveis!$F$4="PRICE",IF(AND(Dados!$A1048&gt;=Imóveis!$Q$4,Dados!$A1048&lt;=Imóveis!$T$4),Imóveis!$U$4,0),IF((IF(AND(Dados!$A1048&gt;=Imóveis!$Q$4,Dados!$A1048&lt;=Imóveis!$T$4),Imóveis!$S$4-(DATEDIF(Imóveis!$Q$4,Dados!$A1048,"m")),0))=0,0,((Imóveis!$N$4/Imóveis!$S$4)+((Imóveis!$N$4-((Imóveis!$S$4-(IF(AND(Dados!$A1048&gt;=Imóveis!$Q$4,Dados!$A1048&lt;=Imóveis!$T$4),Imóveis!$S$4-(DATEDIF(Imóveis!$Q$4,Dados!$A1048,"m")),)))*(Imóveis!$N$4/Imóveis!$S$4)))*Imóveis!$P$4))))*IF(AND(Imóveis!$E$4&gt;0,Dados!$A1048&gt;Imóveis!$E$4),0,1)</f>
        <v>0</v>
      </c>
      <c r="L1048" s="18">
        <f>IF(Imóveis!$F$5="PRICE",IF(AND(Dados!$A1048&gt;=Imóveis!$Q$5,Dados!$A1048&lt;=Imóveis!$T$5),Imóveis!$U$5,0),IF((IF(AND(Dados!$A1048&gt;=Imóveis!$Q$5,Dados!$A1048&lt;=Imóveis!$T$5),Imóveis!$S$5-(DATEDIF(Imóveis!$Q$5,Dados!$A1048,"m")),0))=0,0,((Imóveis!$N$5/Imóveis!$S$5)+((Imóveis!$N$5-((Imóveis!$S$5-(IF(AND(Dados!$A1048 &gt;=Imóveis!$Q$5,Dados!$A1048&lt;=Imóveis!$T$5),Imóveis!$S$5-(DATEDIF(Imóveis!$Q$5,Dados!$A1048,"m")),)))*(Imóveis!$N$5/Imóveis!$S$5)))*Imóveis!$P$5))))*IF(AND(Imóveis!$E$5&gt;0,Dados!$A1048&gt;Imóveis!$E$5),0,1)*Imóveis!$I$5</f>
        <v>0</v>
      </c>
      <c r="M1048" s="18">
        <f>IF(Imóveis!$F$6="PRICE",IF(AND(Dados!$A1048&gt;=Imóveis!$Q$6,Dados!$A1048&lt;=Imóveis!$T$6),Imóveis!$U$6,0),IF((IF(AND(Dados!$A1048&gt;=Imóveis!$Q$6,Dados!$A1048&lt;=Imóveis!$T$6),Imóveis!$S$6-(DATEDIF(Imóveis!$Q$6,Dados!$A1048,"m")),0))=0,0,((Imóveis!$N$6/Imóveis!$S$6)+((Imóveis!$N$6-((Imóveis!$S$6-(IF(AND(Dados!$A1048&gt;=Imóveis!$Q$6,Dados!$A1048&lt;=Imóveis!$T$6),Imóveis!$S$6-(DATEDIF(Imóveis!$Q$6,Dados!$A1048,"m")),)))*(Imóveis!$N$6/Imóveis!$S$6)))*Imóveis!$P$6))))*IF(AND(Imóveis!$E$6&gt;0,Dados!$A1048&gt;Imóveis!$E$6),0,1)*Imóveis!$I$6</f>
        <v>0</v>
      </c>
      <c r="N1048" s="18">
        <f t="shared" si="133"/>
        <v>0</v>
      </c>
      <c r="O1048" s="18">
        <f>SUMIFS(Receitas!$F:$F,Receitas!$J:$J,"&lt;="&amp;$A1048,Receitas!$L:$L,"&gt;="&amp;$A1048,Receitas!$C:$C,O$1,Receitas!$M:$M,"Mensal")+SUMIFS(Receitas!$F:$F,Receitas!$J:$J,"&lt;="&amp;$A1048,Receitas!$L:$L,"&gt;="&amp;$A1048,Receitas!$C:$C,O$1,Receitas!$M:$M,$B1048)</f>
        <v>0</v>
      </c>
      <c r="P1048" s="18">
        <f>SUMIFS(Receitas!$F:$F,Receitas!$J:$J,"&lt;="&amp;$A1048,Receitas!$L:$L,"&gt;="&amp;$A1048,Receitas!$C:$C,P$1,Receitas!$M:$M,"Mensal")+SUMIFS(Receitas!$F:$F,Receitas!$J:$J,"&lt;="&amp;$A1048,Receitas!$L:$L,"&gt;="&amp;$A1048,Receitas!$C:$C,P$1,Receitas!$M:$M,$B1048)</f>
        <v>0</v>
      </c>
      <c r="Q1048" s="18">
        <f>SUMIFS(Receitas!$F:$F,Receitas!$J:$J,"&lt;="&amp;$A1048,Receitas!$L:$L,"&gt;="&amp;$A1048,Receitas!$C:$C,Q$1,Receitas!$M:$M,"Mensal")+SUMIFS(Receitas!$F:$F,Receitas!$J:$J,"&lt;="&amp;$A1048,Receitas!$L:$L,"&gt;="&amp;$A1048,Receitas!$C:$C,Q$1,Receitas!$M:$M,$B1048)</f>
        <v>0</v>
      </c>
      <c r="R1048" s="18" cm="1">
        <f t="array" ref="R1048">(IF(AND(Membros!$F$2="Sim",A1048&lt;=MAX(Membros!$E$2:$E$5)),Membros!K$2,IF(AND(A1048&gt;=Membros!J$2,A1048&lt;=MAX(Membros!$E$2:$E$5)),Membros!K$2,0))+IF(AND(Membros!$F$3="Sim",A1048&lt;=MAX(Membros!$E$2:$E$5)),Membros!K$3,IF(AND(A1048&gt;=Membros!J$3,A1048&lt;=MAX(Membros!$E$2:$E$5)),Membros!K$3,0)))*IF(AND(COUNTIFS(Tabela3[Tipo],"Provedor",Tabela3[Simulação Seguro],"Sim")=2,A1048&gt;=MAX(IF(Tabela3[Tipo]="Dependente",Tabela3[Expectativa de Vida (Data)]))),0,1)</f>
        <v>0</v>
      </c>
      <c r="S1048" s="18">
        <f t="shared" si="134"/>
        <v>0</v>
      </c>
      <c r="U1048" s="18">
        <f t="shared" ca="1" si="137"/>
        <v>144351373.0961487</v>
      </c>
      <c r="V1048" s="18">
        <f>SUMIF(Imóveis!E:E,Dados!A:A,Imóveis!Z:Z)-SUMIF(Imóveis!E:E,Dados!A:A,Imóveis!Y:Y)</f>
        <v>0</v>
      </c>
      <c r="W1048" s="18">
        <f>-SUMIF(Projetos!N:N,A1048,Projetos!F:F)</f>
        <v>0</v>
      </c>
      <c r="X1048" s="18">
        <f t="shared" si="131"/>
        <v>0</v>
      </c>
      <c r="Y1048" s="26">
        <f ca="1">(U1048*((Indicadores_Economicos!D$2+1)^(1/12)-1))</f>
        <v>472568.83271990006</v>
      </c>
      <c r="Z1048" s="18">
        <f t="shared" ca="1" si="135"/>
        <v>144823941.92886859</v>
      </c>
      <c r="AA1048" s="18">
        <f ca="1">Auxiliar_Projetos!E1048</f>
        <v>1.1938094995869007E-8</v>
      </c>
      <c r="AB1048" s="18">
        <f ca="1">Auxiliar_Projetos!K1048</f>
        <v>9.183149996822313E-9</v>
      </c>
      <c r="AC1048" s="18">
        <f ca="1">IF(Z1048-AA1048-AB1048&gt;Investimentos!$C$14,Investimentos!$C$14,IF(Z1048-AA1048-AB1048&lt;Investimentos!$C$14,Z1048-AA1048-AB1048,0))</f>
        <v>300000</v>
      </c>
      <c r="AD1048" s="18">
        <f t="shared" ca="1" si="136"/>
        <v>144523941.92886859</v>
      </c>
      <c r="AE1048" s="18"/>
    </row>
    <row r="1049" spans="1:31" x14ac:dyDescent="0.2">
      <c r="A1049" s="4">
        <v>77524</v>
      </c>
      <c r="B1049" s="5" t="str">
        <f t="shared" si="132"/>
        <v>abril</v>
      </c>
      <c r="C1049" s="5" t="str">
        <f t="shared" si="138"/>
        <v>2112</v>
      </c>
      <c r="D1049" s="5">
        <f>SUMIFS(Despesas!$F:$F,Despesas!$J:$J,"&lt;="&amp;$A1049,Despesas!$L:$L,"&gt;="&amp;$A1049,Despesas!$C:$C,D$1,Despesas!$M:$M,"Mensal")+SUMIFS(Despesas!$F:$F,Despesas!$J:$J,"&lt;="&amp;$A1049,Despesas!$L:$L,"&gt;="&amp;$A1049,Despesas!$C:$C,D$1,Despesas!$M:$M,$B1049)</f>
        <v>0</v>
      </c>
      <c r="E1049" s="18">
        <f>SUMIFS(Despesas!$F:$F,Despesas!$J:$J,"&lt;="&amp;$A1049,Despesas!$L:$L,"&gt;="&amp;$A1049,Despesas!$C:$C,E$1,Despesas!$M:$M,"Mensal")+SUMIFS(Despesas!$F:$F,Despesas!$J:$J,"&lt;="&amp;$A1049,Despesas!$L:$L,"&gt;="&amp;$A1049,Despesas!$C:$C,E$1,Despesas!$M:$M,$B1049)</f>
        <v>0</v>
      </c>
      <c r="F1049" s="5">
        <f>SUMIFS(Despesas!$F:$F,Despesas!$J:$J,"&lt;="&amp;$A1049,Despesas!$L:$L,"&gt;="&amp;$A1049,Despesas!$C:$C,F$1,Despesas!$M:$M,"Mensal")+SUMIFS(Despesas!$F:$F,Despesas!$J:$J,"&lt;="&amp;$A1049,Despesas!$L:$L,"&gt;="&amp;$A1049,Despesas!$C:$C,F$1,Despesas!$M:$M,$B1049)</f>
        <v>0</v>
      </c>
      <c r="G1049" s="5">
        <f>SUMIFS(Despesas!$F:$F,Despesas!$J:$J,"&lt;="&amp;$A1049,Despesas!$L:$L,"&gt;="&amp;$A1049,Despesas!$C:$C,G$1,Despesas!$M:$M,"Mensal")+SUMIFS(Despesas!$F:$F,Despesas!$J:$J,"&lt;="&amp;$A1049,Despesas!$L:$L,"&gt;="&amp;$A1049,Despesas!$C:$C,G$1,Despesas!$M:$M,$B1049)</f>
        <v>0</v>
      </c>
      <c r="H1049" s="18">
        <f>SUMIFS(Despesas!$F:$F,Despesas!$J:$J,"&lt;="&amp;$A1049,Despesas!$L:$L,"&gt;="&amp;$A1049,Despesas!$C:$C,H$1,Despesas!$M:$M,"Mensal")+SUMIFS(Despesas!$F:$F,Despesas!$J:$J,"&lt;="&amp;$A1049,Despesas!$L:$L,"&gt;="&amp;$A1049,Despesas!$C:$C,H$1,Despesas!$M:$M,$B1049)</f>
        <v>0</v>
      </c>
      <c r="I1049" s="18">
        <f>IF(Imóveis!$F$2="PRICE",IF(AND(Dados!$A1049&gt;=Imóveis!$Q$2,Dados!$A1049&lt;=Imóveis!$T$2),Imóveis!$U$2,0),IF((IF(AND(Dados!$A1049&gt;=Imóveis!$Q$2,Dados!$A1049&lt;=Imóveis!$T$2),Imóveis!$S$2-(DATEDIF(Imóveis!$Q$2,Dados!$A1049,"m")),0))=0,0,((Imóveis!$N$2/Imóveis!$S$2)+((Imóveis!$N$2-((Imóveis!$S$2-(IF(AND(Dados!$A1049&gt;=Imóveis!$Q$2,Dados!$A1049&lt;=Imóveis!$T$2),Imóveis!$S$2-(DATEDIF(Imóveis!$Q$2,Dados!$A1049,"m")),)))*(Imóveis!$N$2/Imóveis!$S$2)))*Imóveis!$P$2))))*IF(AND(Imóveis!$E$2&gt;0,Dados!$A1049&gt;Imóveis!$E$2),0,1)</f>
        <v>0</v>
      </c>
      <c r="J1049" s="18">
        <f>IF(Imóveis!$F$3="PRICE",IF(AND(Dados!$A1049&gt;=Imóveis!$Q$3,Dados!$A1049&lt;=Imóveis!$T$3),Imóveis!$U$3,0),IF((IF(AND(Dados!$A1049&gt;=Imóveis!$Q$3,Dados!$A1049&lt;=Imóveis!$T$3),Imóveis!$S$3-(DATEDIF(Imóveis!$Q$3,Dados!$A1049,"m")),0))=0,0,((Imóveis!$N$3/Imóveis!$S$3)+((Imóveis!$N$3-((Imóveis!$S$3-(IF(AND(Dados!$A1049&gt;=Imóveis!$Q$3,Dados!$A1049&lt;=Imóveis!$T$3),Imóveis!$S$3-(DATEDIF(Imóveis!$Q$3,Dados!$A1049,"m")),)))*(Imóveis!$N$3/Imóveis!$S$3)))*Imóveis!$P$3))))*IF(AND(Imóveis!$E$3&gt;0,Dados!$A1049&gt;Imóveis!$E$3),0,1)</f>
        <v>0</v>
      </c>
      <c r="K1049" s="18">
        <f>IF(Imóveis!$F$4="PRICE",IF(AND(Dados!$A1049&gt;=Imóveis!$Q$4,Dados!$A1049&lt;=Imóveis!$T$4),Imóveis!$U$4,0),IF((IF(AND(Dados!$A1049&gt;=Imóveis!$Q$4,Dados!$A1049&lt;=Imóveis!$T$4),Imóveis!$S$4-(DATEDIF(Imóveis!$Q$4,Dados!$A1049,"m")),0))=0,0,((Imóveis!$N$4/Imóveis!$S$4)+((Imóveis!$N$4-((Imóveis!$S$4-(IF(AND(Dados!$A1049&gt;=Imóveis!$Q$4,Dados!$A1049&lt;=Imóveis!$T$4),Imóveis!$S$4-(DATEDIF(Imóveis!$Q$4,Dados!$A1049,"m")),)))*(Imóveis!$N$4/Imóveis!$S$4)))*Imóveis!$P$4))))*IF(AND(Imóveis!$E$4&gt;0,Dados!$A1049&gt;Imóveis!$E$4),0,1)</f>
        <v>0</v>
      </c>
      <c r="L1049" s="18">
        <f>IF(Imóveis!$F$5="PRICE",IF(AND(Dados!$A1049&gt;=Imóveis!$Q$5,Dados!$A1049&lt;=Imóveis!$T$5),Imóveis!$U$5,0),IF((IF(AND(Dados!$A1049&gt;=Imóveis!$Q$5,Dados!$A1049&lt;=Imóveis!$T$5),Imóveis!$S$5-(DATEDIF(Imóveis!$Q$5,Dados!$A1049,"m")),0))=0,0,((Imóveis!$N$5/Imóveis!$S$5)+((Imóveis!$N$5-((Imóveis!$S$5-(IF(AND(Dados!$A1049 &gt;=Imóveis!$Q$5,Dados!$A1049&lt;=Imóveis!$T$5),Imóveis!$S$5-(DATEDIF(Imóveis!$Q$5,Dados!$A1049,"m")),)))*(Imóveis!$N$5/Imóveis!$S$5)))*Imóveis!$P$5))))*IF(AND(Imóveis!$E$5&gt;0,Dados!$A1049&gt;Imóveis!$E$5),0,1)*Imóveis!$I$5</f>
        <v>0</v>
      </c>
      <c r="M1049" s="18">
        <f>IF(Imóveis!$F$6="PRICE",IF(AND(Dados!$A1049&gt;=Imóveis!$Q$6,Dados!$A1049&lt;=Imóveis!$T$6),Imóveis!$U$6,0),IF((IF(AND(Dados!$A1049&gt;=Imóveis!$Q$6,Dados!$A1049&lt;=Imóveis!$T$6),Imóveis!$S$6-(DATEDIF(Imóveis!$Q$6,Dados!$A1049,"m")),0))=0,0,((Imóveis!$N$6/Imóveis!$S$6)+((Imóveis!$N$6-((Imóveis!$S$6-(IF(AND(Dados!$A1049&gt;=Imóveis!$Q$6,Dados!$A1049&lt;=Imóveis!$T$6),Imóveis!$S$6-(DATEDIF(Imóveis!$Q$6,Dados!$A1049,"m")),)))*(Imóveis!$N$6/Imóveis!$S$6)))*Imóveis!$P$6))))*IF(AND(Imóveis!$E$6&gt;0,Dados!$A1049&gt;Imóveis!$E$6),0,1)*Imóveis!$I$6</f>
        <v>0</v>
      </c>
      <c r="N1049" s="18">
        <f t="shared" si="133"/>
        <v>0</v>
      </c>
      <c r="O1049" s="18">
        <f>SUMIFS(Receitas!$F:$F,Receitas!$J:$J,"&lt;="&amp;$A1049,Receitas!$L:$L,"&gt;="&amp;$A1049,Receitas!$C:$C,O$1,Receitas!$M:$M,"Mensal")+SUMIFS(Receitas!$F:$F,Receitas!$J:$J,"&lt;="&amp;$A1049,Receitas!$L:$L,"&gt;="&amp;$A1049,Receitas!$C:$C,O$1,Receitas!$M:$M,$B1049)</f>
        <v>0</v>
      </c>
      <c r="P1049" s="18">
        <f>SUMIFS(Receitas!$F:$F,Receitas!$J:$J,"&lt;="&amp;$A1049,Receitas!$L:$L,"&gt;="&amp;$A1049,Receitas!$C:$C,P$1,Receitas!$M:$M,"Mensal")+SUMIFS(Receitas!$F:$F,Receitas!$J:$J,"&lt;="&amp;$A1049,Receitas!$L:$L,"&gt;="&amp;$A1049,Receitas!$C:$C,P$1,Receitas!$M:$M,$B1049)</f>
        <v>0</v>
      </c>
      <c r="Q1049" s="18">
        <f>SUMIFS(Receitas!$F:$F,Receitas!$J:$J,"&lt;="&amp;$A1049,Receitas!$L:$L,"&gt;="&amp;$A1049,Receitas!$C:$C,Q$1,Receitas!$M:$M,"Mensal")+SUMIFS(Receitas!$F:$F,Receitas!$J:$J,"&lt;="&amp;$A1049,Receitas!$L:$L,"&gt;="&amp;$A1049,Receitas!$C:$C,Q$1,Receitas!$M:$M,$B1049)</f>
        <v>0</v>
      </c>
      <c r="R1049" s="18" cm="1">
        <f t="array" ref="R1049">(IF(AND(Membros!$F$2="Sim",A1049&lt;=MAX(Membros!$E$2:$E$5)),Membros!K$2,IF(AND(A1049&gt;=Membros!J$2,A1049&lt;=MAX(Membros!$E$2:$E$5)),Membros!K$2,0))+IF(AND(Membros!$F$3="Sim",A1049&lt;=MAX(Membros!$E$2:$E$5)),Membros!K$3,IF(AND(A1049&gt;=Membros!J$3,A1049&lt;=MAX(Membros!$E$2:$E$5)),Membros!K$3,0)))*IF(AND(COUNTIFS(Tabela3[Tipo],"Provedor",Tabela3[Simulação Seguro],"Sim")=2,A1049&gt;=MAX(IF(Tabela3[Tipo]="Dependente",Tabela3[Expectativa de Vida (Data)]))),0,1)</f>
        <v>0</v>
      </c>
      <c r="S1049" s="18">
        <f t="shared" si="134"/>
        <v>0</v>
      </c>
      <c r="U1049" s="18">
        <f t="shared" ca="1" si="137"/>
        <v>144823941.92886859</v>
      </c>
      <c r="V1049" s="18">
        <f>SUMIF(Imóveis!E:E,Dados!A:A,Imóveis!Z:Z)-SUMIF(Imóveis!E:E,Dados!A:A,Imóveis!Y:Y)</f>
        <v>0</v>
      </c>
      <c r="W1049" s="18">
        <f>-SUMIF(Projetos!N:N,A1049,Projetos!F:F)</f>
        <v>0</v>
      </c>
      <c r="X1049" s="18">
        <f t="shared" si="131"/>
        <v>0</v>
      </c>
      <c r="Y1049" s="26">
        <f ca="1">(U1049*((Indicadores_Economicos!D$2+1)^(1/12)-1))</f>
        <v>474115.90010740253</v>
      </c>
      <c r="Z1049" s="18">
        <f t="shared" ca="1" si="135"/>
        <v>145298057.82897601</v>
      </c>
      <c r="AA1049" s="18">
        <f ca="1">Auxiliar_Projetos!E1049</f>
        <v>1.1977177212380653E-8</v>
      </c>
      <c r="AB1049" s="18">
        <f ca="1">Auxiliar_Projetos!K1049</f>
        <v>9.2132132402928094E-9</v>
      </c>
      <c r="AC1049" s="18">
        <f ca="1">IF(Z1049-AA1049-AB1049&gt;Investimentos!$C$14,Investimentos!$C$14,IF(Z1049-AA1049-AB1049&lt;Investimentos!$C$14,Z1049-AA1049-AB1049,0))</f>
        <v>300000</v>
      </c>
      <c r="AD1049" s="18">
        <f t="shared" ca="1" si="136"/>
        <v>144998057.82897601</v>
      </c>
      <c r="AE1049" s="18"/>
    </row>
    <row r="1050" spans="1:31" x14ac:dyDescent="0.2">
      <c r="A1050" s="4">
        <v>77554</v>
      </c>
      <c r="B1050" s="5" t="str">
        <f t="shared" si="132"/>
        <v>maio</v>
      </c>
      <c r="C1050" s="5" t="str">
        <f t="shared" si="138"/>
        <v>2112</v>
      </c>
      <c r="D1050" s="5">
        <f>SUMIFS(Despesas!$F:$F,Despesas!$J:$J,"&lt;="&amp;$A1050,Despesas!$L:$L,"&gt;="&amp;$A1050,Despesas!$C:$C,D$1,Despesas!$M:$M,"Mensal")+SUMIFS(Despesas!$F:$F,Despesas!$J:$J,"&lt;="&amp;$A1050,Despesas!$L:$L,"&gt;="&amp;$A1050,Despesas!$C:$C,D$1,Despesas!$M:$M,$B1050)</f>
        <v>0</v>
      </c>
      <c r="E1050" s="18">
        <f>SUMIFS(Despesas!$F:$F,Despesas!$J:$J,"&lt;="&amp;$A1050,Despesas!$L:$L,"&gt;="&amp;$A1050,Despesas!$C:$C,E$1,Despesas!$M:$M,"Mensal")+SUMIFS(Despesas!$F:$F,Despesas!$J:$J,"&lt;="&amp;$A1050,Despesas!$L:$L,"&gt;="&amp;$A1050,Despesas!$C:$C,E$1,Despesas!$M:$M,$B1050)</f>
        <v>0</v>
      </c>
      <c r="F1050" s="5">
        <f>SUMIFS(Despesas!$F:$F,Despesas!$J:$J,"&lt;="&amp;$A1050,Despesas!$L:$L,"&gt;="&amp;$A1050,Despesas!$C:$C,F$1,Despesas!$M:$M,"Mensal")+SUMIFS(Despesas!$F:$F,Despesas!$J:$J,"&lt;="&amp;$A1050,Despesas!$L:$L,"&gt;="&amp;$A1050,Despesas!$C:$C,F$1,Despesas!$M:$M,$B1050)</f>
        <v>0</v>
      </c>
      <c r="G1050" s="5">
        <f>SUMIFS(Despesas!$F:$F,Despesas!$J:$J,"&lt;="&amp;$A1050,Despesas!$L:$L,"&gt;="&amp;$A1050,Despesas!$C:$C,G$1,Despesas!$M:$M,"Mensal")+SUMIFS(Despesas!$F:$F,Despesas!$J:$J,"&lt;="&amp;$A1050,Despesas!$L:$L,"&gt;="&amp;$A1050,Despesas!$C:$C,G$1,Despesas!$M:$M,$B1050)</f>
        <v>0</v>
      </c>
      <c r="H1050" s="18">
        <f>SUMIFS(Despesas!$F:$F,Despesas!$J:$J,"&lt;="&amp;$A1050,Despesas!$L:$L,"&gt;="&amp;$A1050,Despesas!$C:$C,H$1,Despesas!$M:$M,"Mensal")+SUMIFS(Despesas!$F:$F,Despesas!$J:$J,"&lt;="&amp;$A1050,Despesas!$L:$L,"&gt;="&amp;$A1050,Despesas!$C:$C,H$1,Despesas!$M:$M,$B1050)</f>
        <v>0</v>
      </c>
      <c r="I1050" s="18">
        <f>IF(Imóveis!$F$2="PRICE",IF(AND(Dados!$A1050&gt;=Imóveis!$Q$2,Dados!$A1050&lt;=Imóveis!$T$2),Imóveis!$U$2,0),IF((IF(AND(Dados!$A1050&gt;=Imóveis!$Q$2,Dados!$A1050&lt;=Imóveis!$T$2),Imóveis!$S$2-(DATEDIF(Imóveis!$Q$2,Dados!$A1050,"m")),0))=0,0,((Imóveis!$N$2/Imóveis!$S$2)+((Imóveis!$N$2-((Imóveis!$S$2-(IF(AND(Dados!$A1050&gt;=Imóveis!$Q$2,Dados!$A1050&lt;=Imóveis!$T$2),Imóveis!$S$2-(DATEDIF(Imóveis!$Q$2,Dados!$A1050,"m")),)))*(Imóveis!$N$2/Imóveis!$S$2)))*Imóveis!$P$2))))*IF(AND(Imóveis!$E$2&gt;0,Dados!$A1050&gt;Imóveis!$E$2),0,1)</f>
        <v>0</v>
      </c>
      <c r="J1050" s="18">
        <f>IF(Imóveis!$F$3="PRICE",IF(AND(Dados!$A1050&gt;=Imóveis!$Q$3,Dados!$A1050&lt;=Imóveis!$T$3),Imóveis!$U$3,0),IF((IF(AND(Dados!$A1050&gt;=Imóveis!$Q$3,Dados!$A1050&lt;=Imóveis!$T$3),Imóveis!$S$3-(DATEDIF(Imóveis!$Q$3,Dados!$A1050,"m")),0))=0,0,((Imóveis!$N$3/Imóveis!$S$3)+((Imóveis!$N$3-((Imóveis!$S$3-(IF(AND(Dados!$A1050&gt;=Imóveis!$Q$3,Dados!$A1050&lt;=Imóveis!$T$3),Imóveis!$S$3-(DATEDIF(Imóveis!$Q$3,Dados!$A1050,"m")),)))*(Imóveis!$N$3/Imóveis!$S$3)))*Imóveis!$P$3))))*IF(AND(Imóveis!$E$3&gt;0,Dados!$A1050&gt;Imóveis!$E$3),0,1)</f>
        <v>0</v>
      </c>
      <c r="K1050" s="18">
        <f>IF(Imóveis!$F$4="PRICE",IF(AND(Dados!$A1050&gt;=Imóveis!$Q$4,Dados!$A1050&lt;=Imóveis!$T$4),Imóveis!$U$4,0),IF((IF(AND(Dados!$A1050&gt;=Imóveis!$Q$4,Dados!$A1050&lt;=Imóveis!$T$4),Imóveis!$S$4-(DATEDIF(Imóveis!$Q$4,Dados!$A1050,"m")),0))=0,0,((Imóveis!$N$4/Imóveis!$S$4)+((Imóveis!$N$4-((Imóveis!$S$4-(IF(AND(Dados!$A1050&gt;=Imóveis!$Q$4,Dados!$A1050&lt;=Imóveis!$T$4),Imóveis!$S$4-(DATEDIF(Imóveis!$Q$4,Dados!$A1050,"m")),)))*(Imóveis!$N$4/Imóveis!$S$4)))*Imóveis!$P$4))))*IF(AND(Imóveis!$E$4&gt;0,Dados!$A1050&gt;Imóveis!$E$4),0,1)</f>
        <v>0</v>
      </c>
      <c r="L1050" s="18">
        <f>IF(Imóveis!$F$5="PRICE",IF(AND(Dados!$A1050&gt;=Imóveis!$Q$5,Dados!$A1050&lt;=Imóveis!$T$5),Imóveis!$U$5,0),IF((IF(AND(Dados!$A1050&gt;=Imóveis!$Q$5,Dados!$A1050&lt;=Imóveis!$T$5),Imóveis!$S$5-(DATEDIF(Imóveis!$Q$5,Dados!$A1050,"m")),0))=0,0,((Imóveis!$N$5/Imóveis!$S$5)+((Imóveis!$N$5-((Imóveis!$S$5-(IF(AND(Dados!$A1050 &gt;=Imóveis!$Q$5,Dados!$A1050&lt;=Imóveis!$T$5),Imóveis!$S$5-(DATEDIF(Imóveis!$Q$5,Dados!$A1050,"m")),)))*(Imóveis!$N$5/Imóveis!$S$5)))*Imóveis!$P$5))))*IF(AND(Imóveis!$E$5&gt;0,Dados!$A1050&gt;Imóveis!$E$5),0,1)*Imóveis!$I$5</f>
        <v>0</v>
      </c>
      <c r="M1050" s="18">
        <f>IF(Imóveis!$F$6="PRICE",IF(AND(Dados!$A1050&gt;=Imóveis!$Q$6,Dados!$A1050&lt;=Imóveis!$T$6),Imóveis!$U$6,0),IF((IF(AND(Dados!$A1050&gt;=Imóveis!$Q$6,Dados!$A1050&lt;=Imóveis!$T$6),Imóveis!$S$6-(DATEDIF(Imóveis!$Q$6,Dados!$A1050,"m")),0))=0,0,((Imóveis!$N$6/Imóveis!$S$6)+((Imóveis!$N$6-((Imóveis!$S$6-(IF(AND(Dados!$A1050&gt;=Imóveis!$Q$6,Dados!$A1050&lt;=Imóveis!$T$6),Imóveis!$S$6-(DATEDIF(Imóveis!$Q$6,Dados!$A1050,"m")),)))*(Imóveis!$N$6/Imóveis!$S$6)))*Imóveis!$P$6))))*IF(AND(Imóveis!$E$6&gt;0,Dados!$A1050&gt;Imóveis!$E$6),0,1)*Imóveis!$I$6</f>
        <v>0</v>
      </c>
      <c r="N1050" s="18">
        <f t="shared" si="133"/>
        <v>0</v>
      </c>
      <c r="O1050" s="18">
        <f>SUMIFS(Receitas!$F:$F,Receitas!$J:$J,"&lt;="&amp;$A1050,Receitas!$L:$L,"&gt;="&amp;$A1050,Receitas!$C:$C,O$1,Receitas!$M:$M,"Mensal")+SUMIFS(Receitas!$F:$F,Receitas!$J:$J,"&lt;="&amp;$A1050,Receitas!$L:$L,"&gt;="&amp;$A1050,Receitas!$C:$C,O$1,Receitas!$M:$M,$B1050)</f>
        <v>0</v>
      </c>
      <c r="P1050" s="18">
        <f>SUMIFS(Receitas!$F:$F,Receitas!$J:$J,"&lt;="&amp;$A1050,Receitas!$L:$L,"&gt;="&amp;$A1050,Receitas!$C:$C,P$1,Receitas!$M:$M,"Mensal")+SUMIFS(Receitas!$F:$F,Receitas!$J:$J,"&lt;="&amp;$A1050,Receitas!$L:$L,"&gt;="&amp;$A1050,Receitas!$C:$C,P$1,Receitas!$M:$M,$B1050)</f>
        <v>0</v>
      </c>
      <c r="Q1050" s="18">
        <f>SUMIFS(Receitas!$F:$F,Receitas!$J:$J,"&lt;="&amp;$A1050,Receitas!$L:$L,"&gt;="&amp;$A1050,Receitas!$C:$C,Q$1,Receitas!$M:$M,"Mensal")+SUMIFS(Receitas!$F:$F,Receitas!$J:$J,"&lt;="&amp;$A1050,Receitas!$L:$L,"&gt;="&amp;$A1050,Receitas!$C:$C,Q$1,Receitas!$M:$M,$B1050)</f>
        <v>0</v>
      </c>
      <c r="R1050" s="18" cm="1">
        <f t="array" ref="R1050">(IF(AND(Membros!$F$2="Sim",A1050&lt;=MAX(Membros!$E$2:$E$5)),Membros!K$2,IF(AND(A1050&gt;=Membros!J$2,A1050&lt;=MAX(Membros!$E$2:$E$5)),Membros!K$2,0))+IF(AND(Membros!$F$3="Sim",A1050&lt;=MAX(Membros!$E$2:$E$5)),Membros!K$3,IF(AND(A1050&gt;=Membros!J$3,A1050&lt;=MAX(Membros!$E$2:$E$5)),Membros!K$3,0)))*IF(AND(COUNTIFS(Tabela3[Tipo],"Provedor",Tabela3[Simulação Seguro],"Sim")=2,A1050&gt;=MAX(IF(Tabela3[Tipo]="Dependente",Tabela3[Expectativa de Vida (Data)]))),0,1)</f>
        <v>0</v>
      </c>
      <c r="S1050" s="18">
        <f t="shared" si="134"/>
        <v>0</v>
      </c>
      <c r="U1050" s="18">
        <f t="shared" ca="1" si="137"/>
        <v>145298057.82897601</v>
      </c>
      <c r="V1050" s="18">
        <f>SUMIF(Imóveis!E:E,Dados!A:A,Imóveis!Z:Z)-SUMIF(Imóveis!E:E,Dados!A:A,Imóveis!Y:Y)</f>
        <v>0</v>
      </c>
      <c r="W1050" s="18">
        <f>-SUMIF(Projetos!N:N,A1050,Projetos!F:F)</f>
        <v>0</v>
      </c>
      <c r="X1050" s="18">
        <f t="shared" si="131"/>
        <v>0</v>
      </c>
      <c r="Y1050" s="26">
        <f ca="1">(U1050*((Indicadores_Economicos!D$2+1)^(1/12)-1))</f>
        <v>475668.03219095716</v>
      </c>
      <c r="Z1050" s="18">
        <f t="shared" ca="1" si="135"/>
        <v>145773725.86116695</v>
      </c>
      <c r="AA1050" s="18">
        <f ca="1">Auxiliar_Projetos!E1050</f>
        <v>1.201638737389927E-8</v>
      </c>
      <c r="AB1050" s="18">
        <f ca="1">Auxiliar_Projetos!K1050</f>
        <v>9.2433749029994371E-9</v>
      </c>
      <c r="AC1050" s="18">
        <f ca="1">IF(Z1050-AA1050-AB1050&gt;Investimentos!$C$14,Investimentos!$C$14,IF(Z1050-AA1050-AB1050&lt;Investimentos!$C$14,Z1050-AA1050-AB1050,0))</f>
        <v>300000</v>
      </c>
      <c r="AD1050" s="18">
        <f t="shared" ca="1" si="136"/>
        <v>145473725.86116695</v>
      </c>
      <c r="AE1050" s="18"/>
    </row>
    <row r="1051" spans="1:31" x14ac:dyDescent="0.2">
      <c r="A1051" s="4">
        <v>77585</v>
      </c>
      <c r="B1051" s="5" t="str">
        <f t="shared" si="132"/>
        <v>junho</v>
      </c>
      <c r="C1051" s="5" t="str">
        <f t="shared" si="138"/>
        <v>2112</v>
      </c>
      <c r="D1051" s="5">
        <f>SUMIFS(Despesas!$F:$F,Despesas!$J:$J,"&lt;="&amp;$A1051,Despesas!$L:$L,"&gt;="&amp;$A1051,Despesas!$C:$C,D$1,Despesas!$M:$M,"Mensal")+SUMIFS(Despesas!$F:$F,Despesas!$J:$J,"&lt;="&amp;$A1051,Despesas!$L:$L,"&gt;="&amp;$A1051,Despesas!$C:$C,D$1,Despesas!$M:$M,$B1051)</f>
        <v>0</v>
      </c>
      <c r="E1051" s="18">
        <f>SUMIFS(Despesas!$F:$F,Despesas!$J:$J,"&lt;="&amp;$A1051,Despesas!$L:$L,"&gt;="&amp;$A1051,Despesas!$C:$C,E$1,Despesas!$M:$M,"Mensal")+SUMIFS(Despesas!$F:$F,Despesas!$J:$J,"&lt;="&amp;$A1051,Despesas!$L:$L,"&gt;="&amp;$A1051,Despesas!$C:$C,E$1,Despesas!$M:$M,$B1051)</f>
        <v>0</v>
      </c>
      <c r="F1051" s="5">
        <f>SUMIFS(Despesas!$F:$F,Despesas!$J:$J,"&lt;="&amp;$A1051,Despesas!$L:$L,"&gt;="&amp;$A1051,Despesas!$C:$C,F$1,Despesas!$M:$M,"Mensal")+SUMIFS(Despesas!$F:$F,Despesas!$J:$J,"&lt;="&amp;$A1051,Despesas!$L:$L,"&gt;="&amp;$A1051,Despesas!$C:$C,F$1,Despesas!$M:$M,$B1051)</f>
        <v>0</v>
      </c>
      <c r="G1051" s="5">
        <f>SUMIFS(Despesas!$F:$F,Despesas!$J:$J,"&lt;="&amp;$A1051,Despesas!$L:$L,"&gt;="&amp;$A1051,Despesas!$C:$C,G$1,Despesas!$M:$M,"Mensal")+SUMIFS(Despesas!$F:$F,Despesas!$J:$J,"&lt;="&amp;$A1051,Despesas!$L:$L,"&gt;="&amp;$A1051,Despesas!$C:$C,G$1,Despesas!$M:$M,$B1051)</f>
        <v>0</v>
      </c>
      <c r="H1051" s="18">
        <f>SUMIFS(Despesas!$F:$F,Despesas!$J:$J,"&lt;="&amp;$A1051,Despesas!$L:$L,"&gt;="&amp;$A1051,Despesas!$C:$C,H$1,Despesas!$M:$M,"Mensal")+SUMIFS(Despesas!$F:$F,Despesas!$J:$J,"&lt;="&amp;$A1051,Despesas!$L:$L,"&gt;="&amp;$A1051,Despesas!$C:$C,H$1,Despesas!$M:$M,$B1051)</f>
        <v>0</v>
      </c>
      <c r="I1051" s="18">
        <f>IF(Imóveis!$F$2="PRICE",IF(AND(Dados!$A1051&gt;=Imóveis!$Q$2,Dados!$A1051&lt;=Imóveis!$T$2),Imóveis!$U$2,0),IF((IF(AND(Dados!$A1051&gt;=Imóveis!$Q$2,Dados!$A1051&lt;=Imóveis!$T$2),Imóveis!$S$2-(DATEDIF(Imóveis!$Q$2,Dados!$A1051,"m")),0))=0,0,((Imóveis!$N$2/Imóveis!$S$2)+((Imóveis!$N$2-((Imóveis!$S$2-(IF(AND(Dados!$A1051&gt;=Imóveis!$Q$2,Dados!$A1051&lt;=Imóveis!$T$2),Imóveis!$S$2-(DATEDIF(Imóveis!$Q$2,Dados!$A1051,"m")),)))*(Imóveis!$N$2/Imóveis!$S$2)))*Imóveis!$P$2))))*IF(AND(Imóveis!$E$2&gt;0,Dados!$A1051&gt;Imóveis!$E$2),0,1)</f>
        <v>0</v>
      </c>
      <c r="J1051" s="18">
        <f>IF(Imóveis!$F$3="PRICE",IF(AND(Dados!$A1051&gt;=Imóveis!$Q$3,Dados!$A1051&lt;=Imóveis!$T$3),Imóveis!$U$3,0),IF((IF(AND(Dados!$A1051&gt;=Imóveis!$Q$3,Dados!$A1051&lt;=Imóveis!$T$3),Imóveis!$S$3-(DATEDIF(Imóveis!$Q$3,Dados!$A1051,"m")),0))=0,0,((Imóveis!$N$3/Imóveis!$S$3)+((Imóveis!$N$3-((Imóveis!$S$3-(IF(AND(Dados!$A1051&gt;=Imóveis!$Q$3,Dados!$A1051&lt;=Imóveis!$T$3),Imóveis!$S$3-(DATEDIF(Imóveis!$Q$3,Dados!$A1051,"m")),)))*(Imóveis!$N$3/Imóveis!$S$3)))*Imóveis!$P$3))))*IF(AND(Imóveis!$E$3&gt;0,Dados!$A1051&gt;Imóveis!$E$3),0,1)</f>
        <v>0</v>
      </c>
      <c r="K1051" s="18">
        <f>IF(Imóveis!$F$4="PRICE",IF(AND(Dados!$A1051&gt;=Imóveis!$Q$4,Dados!$A1051&lt;=Imóveis!$T$4),Imóveis!$U$4,0),IF((IF(AND(Dados!$A1051&gt;=Imóveis!$Q$4,Dados!$A1051&lt;=Imóveis!$T$4),Imóveis!$S$4-(DATEDIF(Imóveis!$Q$4,Dados!$A1051,"m")),0))=0,0,((Imóveis!$N$4/Imóveis!$S$4)+((Imóveis!$N$4-((Imóveis!$S$4-(IF(AND(Dados!$A1051&gt;=Imóveis!$Q$4,Dados!$A1051&lt;=Imóveis!$T$4),Imóveis!$S$4-(DATEDIF(Imóveis!$Q$4,Dados!$A1051,"m")),)))*(Imóveis!$N$4/Imóveis!$S$4)))*Imóveis!$P$4))))*IF(AND(Imóveis!$E$4&gt;0,Dados!$A1051&gt;Imóveis!$E$4),0,1)</f>
        <v>0</v>
      </c>
      <c r="L1051" s="18">
        <f>IF(Imóveis!$F$5="PRICE",IF(AND(Dados!$A1051&gt;=Imóveis!$Q$5,Dados!$A1051&lt;=Imóveis!$T$5),Imóveis!$U$5,0),IF((IF(AND(Dados!$A1051&gt;=Imóveis!$Q$5,Dados!$A1051&lt;=Imóveis!$T$5),Imóveis!$S$5-(DATEDIF(Imóveis!$Q$5,Dados!$A1051,"m")),0))=0,0,((Imóveis!$N$5/Imóveis!$S$5)+((Imóveis!$N$5-((Imóveis!$S$5-(IF(AND(Dados!$A1051 &gt;=Imóveis!$Q$5,Dados!$A1051&lt;=Imóveis!$T$5),Imóveis!$S$5-(DATEDIF(Imóveis!$Q$5,Dados!$A1051,"m")),)))*(Imóveis!$N$5/Imóveis!$S$5)))*Imóveis!$P$5))))*IF(AND(Imóveis!$E$5&gt;0,Dados!$A1051&gt;Imóveis!$E$5),0,1)*Imóveis!$I$5</f>
        <v>0</v>
      </c>
      <c r="M1051" s="18">
        <f>IF(Imóveis!$F$6="PRICE",IF(AND(Dados!$A1051&gt;=Imóveis!$Q$6,Dados!$A1051&lt;=Imóveis!$T$6),Imóveis!$U$6,0),IF((IF(AND(Dados!$A1051&gt;=Imóveis!$Q$6,Dados!$A1051&lt;=Imóveis!$T$6),Imóveis!$S$6-(DATEDIF(Imóveis!$Q$6,Dados!$A1051,"m")),0))=0,0,((Imóveis!$N$6/Imóveis!$S$6)+((Imóveis!$N$6-((Imóveis!$S$6-(IF(AND(Dados!$A1051&gt;=Imóveis!$Q$6,Dados!$A1051&lt;=Imóveis!$T$6),Imóveis!$S$6-(DATEDIF(Imóveis!$Q$6,Dados!$A1051,"m")),)))*(Imóveis!$N$6/Imóveis!$S$6)))*Imóveis!$P$6))))*IF(AND(Imóveis!$E$6&gt;0,Dados!$A1051&gt;Imóveis!$E$6),0,1)*Imóveis!$I$6</f>
        <v>0</v>
      </c>
      <c r="N1051" s="18">
        <f t="shared" si="133"/>
        <v>0</v>
      </c>
      <c r="O1051" s="18">
        <f>SUMIFS(Receitas!$F:$F,Receitas!$J:$J,"&lt;="&amp;$A1051,Receitas!$L:$L,"&gt;="&amp;$A1051,Receitas!$C:$C,O$1,Receitas!$M:$M,"Mensal")+SUMIFS(Receitas!$F:$F,Receitas!$J:$J,"&lt;="&amp;$A1051,Receitas!$L:$L,"&gt;="&amp;$A1051,Receitas!$C:$C,O$1,Receitas!$M:$M,$B1051)</f>
        <v>0</v>
      </c>
      <c r="P1051" s="18">
        <f>SUMIFS(Receitas!$F:$F,Receitas!$J:$J,"&lt;="&amp;$A1051,Receitas!$L:$L,"&gt;="&amp;$A1051,Receitas!$C:$C,P$1,Receitas!$M:$M,"Mensal")+SUMIFS(Receitas!$F:$F,Receitas!$J:$J,"&lt;="&amp;$A1051,Receitas!$L:$L,"&gt;="&amp;$A1051,Receitas!$C:$C,P$1,Receitas!$M:$M,$B1051)</f>
        <v>0</v>
      </c>
      <c r="Q1051" s="18">
        <f>SUMIFS(Receitas!$F:$F,Receitas!$J:$J,"&lt;="&amp;$A1051,Receitas!$L:$L,"&gt;="&amp;$A1051,Receitas!$C:$C,Q$1,Receitas!$M:$M,"Mensal")+SUMIFS(Receitas!$F:$F,Receitas!$J:$J,"&lt;="&amp;$A1051,Receitas!$L:$L,"&gt;="&amp;$A1051,Receitas!$C:$C,Q$1,Receitas!$M:$M,$B1051)</f>
        <v>0</v>
      </c>
      <c r="R1051" s="18" cm="1">
        <f t="array" ref="R1051">(IF(AND(Membros!$F$2="Sim",A1051&lt;=MAX(Membros!$E$2:$E$5)),Membros!K$2,IF(AND(A1051&gt;=Membros!J$2,A1051&lt;=MAX(Membros!$E$2:$E$5)),Membros!K$2,0))+IF(AND(Membros!$F$3="Sim",A1051&lt;=MAX(Membros!$E$2:$E$5)),Membros!K$3,IF(AND(A1051&gt;=Membros!J$3,A1051&lt;=MAX(Membros!$E$2:$E$5)),Membros!K$3,0)))*IF(AND(COUNTIFS(Tabela3[Tipo],"Provedor",Tabela3[Simulação Seguro],"Sim")=2,A1051&gt;=MAX(IF(Tabela3[Tipo]="Dependente",Tabela3[Expectativa de Vida (Data)]))),0,1)</f>
        <v>0</v>
      </c>
      <c r="S1051" s="18">
        <f t="shared" si="134"/>
        <v>0</v>
      </c>
      <c r="U1051" s="18">
        <f t="shared" ca="1" si="137"/>
        <v>145773725.86116695</v>
      </c>
      <c r="V1051" s="18">
        <f>SUMIF(Imóveis!E:E,Dados!A:A,Imóveis!Z:Z)-SUMIF(Imóveis!E:E,Dados!A:A,Imóveis!Y:Y)</f>
        <v>0</v>
      </c>
      <c r="W1051" s="18">
        <f>-SUMIF(Projetos!N:N,A1051,Projetos!F:F)</f>
        <v>0</v>
      </c>
      <c r="X1051" s="18">
        <f t="shared" si="131"/>
        <v>0</v>
      </c>
      <c r="Y1051" s="26">
        <f ca="1">(U1051*((Indicadores_Economicos!D$2+1)^(1/12)-1))</f>
        <v>477225.24555106094</v>
      </c>
      <c r="Z1051" s="18">
        <f t="shared" ca="1" si="135"/>
        <v>146250951.106718</v>
      </c>
      <c r="AA1051" s="18">
        <f ca="1">Auxiliar_Projetos!E1051</f>
        <v>1.2055725899283517E-8</v>
      </c>
      <c r="AB1051" s="18">
        <f ca="1">Auxiliar_Projetos!K1051</f>
        <v>9.2736353071411648E-9</v>
      </c>
      <c r="AC1051" s="18">
        <f ca="1">IF(Z1051-AA1051-AB1051&gt;Investimentos!$C$14,Investimentos!$C$14,IF(Z1051-AA1051-AB1051&lt;Investimentos!$C$14,Z1051-AA1051-AB1051,0))</f>
        <v>300000</v>
      </c>
      <c r="AD1051" s="18">
        <f t="shared" ca="1" si="136"/>
        <v>145950951.106718</v>
      </c>
      <c r="AE1051" s="18"/>
    </row>
    <row r="1052" spans="1:31" x14ac:dyDescent="0.2">
      <c r="A1052" s="4">
        <v>77615</v>
      </c>
      <c r="B1052" s="5" t="str">
        <f t="shared" si="132"/>
        <v>julho</v>
      </c>
      <c r="C1052" s="5" t="str">
        <f t="shared" si="138"/>
        <v>2112</v>
      </c>
      <c r="D1052" s="5">
        <f>SUMIFS(Despesas!$F:$F,Despesas!$J:$J,"&lt;="&amp;$A1052,Despesas!$L:$L,"&gt;="&amp;$A1052,Despesas!$C:$C,D$1,Despesas!$M:$M,"Mensal")+SUMIFS(Despesas!$F:$F,Despesas!$J:$J,"&lt;="&amp;$A1052,Despesas!$L:$L,"&gt;="&amp;$A1052,Despesas!$C:$C,D$1,Despesas!$M:$M,$B1052)</f>
        <v>0</v>
      </c>
      <c r="E1052" s="18">
        <f>SUMIFS(Despesas!$F:$F,Despesas!$J:$J,"&lt;="&amp;$A1052,Despesas!$L:$L,"&gt;="&amp;$A1052,Despesas!$C:$C,E$1,Despesas!$M:$M,"Mensal")+SUMIFS(Despesas!$F:$F,Despesas!$J:$J,"&lt;="&amp;$A1052,Despesas!$L:$L,"&gt;="&amp;$A1052,Despesas!$C:$C,E$1,Despesas!$M:$M,$B1052)</f>
        <v>0</v>
      </c>
      <c r="F1052" s="5">
        <f>SUMIFS(Despesas!$F:$F,Despesas!$J:$J,"&lt;="&amp;$A1052,Despesas!$L:$L,"&gt;="&amp;$A1052,Despesas!$C:$C,F$1,Despesas!$M:$M,"Mensal")+SUMIFS(Despesas!$F:$F,Despesas!$J:$J,"&lt;="&amp;$A1052,Despesas!$L:$L,"&gt;="&amp;$A1052,Despesas!$C:$C,F$1,Despesas!$M:$M,$B1052)</f>
        <v>0</v>
      </c>
      <c r="G1052" s="5">
        <f>SUMIFS(Despesas!$F:$F,Despesas!$J:$J,"&lt;="&amp;$A1052,Despesas!$L:$L,"&gt;="&amp;$A1052,Despesas!$C:$C,G$1,Despesas!$M:$M,"Mensal")+SUMIFS(Despesas!$F:$F,Despesas!$J:$J,"&lt;="&amp;$A1052,Despesas!$L:$L,"&gt;="&amp;$A1052,Despesas!$C:$C,G$1,Despesas!$M:$M,$B1052)</f>
        <v>0</v>
      </c>
      <c r="H1052" s="18">
        <f>SUMIFS(Despesas!$F:$F,Despesas!$J:$J,"&lt;="&amp;$A1052,Despesas!$L:$L,"&gt;="&amp;$A1052,Despesas!$C:$C,H$1,Despesas!$M:$M,"Mensal")+SUMIFS(Despesas!$F:$F,Despesas!$J:$J,"&lt;="&amp;$A1052,Despesas!$L:$L,"&gt;="&amp;$A1052,Despesas!$C:$C,H$1,Despesas!$M:$M,$B1052)</f>
        <v>0</v>
      </c>
      <c r="I1052" s="18">
        <f>IF(Imóveis!$F$2="PRICE",IF(AND(Dados!$A1052&gt;=Imóveis!$Q$2,Dados!$A1052&lt;=Imóveis!$T$2),Imóveis!$U$2,0),IF((IF(AND(Dados!$A1052&gt;=Imóveis!$Q$2,Dados!$A1052&lt;=Imóveis!$T$2),Imóveis!$S$2-(DATEDIF(Imóveis!$Q$2,Dados!$A1052,"m")),0))=0,0,((Imóveis!$N$2/Imóveis!$S$2)+((Imóveis!$N$2-((Imóveis!$S$2-(IF(AND(Dados!$A1052&gt;=Imóveis!$Q$2,Dados!$A1052&lt;=Imóveis!$T$2),Imóveis!$S$2-(DATEDIF(Imóveis!$Q$2,Dados!$A1052,"m")),)))*(Imóveis!$N$2/Imóveis!$S$2)))*Imóveis!$P$2))))*IF(AND(Imóveis!$E$2&gt;0,Dados!$A1052&gt;Imóveis!$E$2),0,1)</f>
        <v>0</v>
      </c>
      <c r="J1052" s="18">
        <f>IF(Imóveis!$F$3="PRICE",IF(AND(Dados!$A1052&gt;=Imóveis!$Q$3,Dados!$A1052&lt;=Imóveis!$T$3),Imóveis!$U$3,0),IF((IF(AND(Dados!$A1052&gt;=Imóveis!$Q$3,Dados!$A1052&lt;=Imóveis!$T$3),Imóveis!$S$3-(DATEDIF(Imóveis!$Q$3,Dados!$A1052,"m")),0))=0,0,((Imóveis!$N$3/Imóveis!$S$3)+((Imóveis!$N$3-((Imóveis!$S$3-(IF(AND(Dados!$A1052&gt;=Imóveis!$Q$3,Dados!$A1052&lt;=Imóveis!$T$3),Imóveis!$S$3-(DATEDIF(Imóveis!$Q$3,Dados!$A1052,"m")),)))*(Imóveis!$N$3/Imóveis!$S$3)))*Imóveis!$P$3))))*IF(AND(Imóveis!$E$3&gt;0,Dados!$A1052&gt;Imóveis!$E$3),0,1)</f>
        <v>0</v>
      </c>
      <c r="K1052" s="18">
        <f>IF(Imóveis!$F$4="PRICE",IF(AND(Dados!$A1052&gt;=Imóveis!$Q$4,Dados!$A1052&lt;=Imóveis!$T$4),Imóveis!$U$4,0),IF((IF(AND(Dados!$A1052&gt;=Imóveis!$Q$4,Dados!$A1052&lt;=Imóveis!$T$4),Imóveis!$S$4-(DATEDIF(Imóveis!$Q$4,Dados!$A1052,"m")),0))=0,0,((Imóveis!$N$4/Imóveis!$S$4)+((Imóveis!$N$4-((Imóveis!$S$4-(IF(AND(Dados!$A1052&gt;=Imóveis!$Q$4,Dados!$A1052&lt;=Imóveis!$T$4),Imóveis!$S$4-(DATEDIF(Imóveis!$Q$4,Dados!$A1052,"m")),)))*(Imóveis!$N$4/Imóveis!$S$4)))*Imóveis!$P$4))))*IF(AND(Imóveis!$E$4&gt;0,Dados!$A1052&gt;Imóveis!$E$4),0,1)</f>
        <v>0</v>
      </c>
      <c r="L1052" s="18">
        <f>IF(Imóveis!$F$5="PRICE",IF(AND(Dados!$A1052&gt;=Imóveis!$Q$5,Dados!$A1052&lt;=Imóveis!$T$5),Imóveis!$U$5,0),IF((IF(AND(Dados!$A1052&gt;=Imóveis!$Q$5,Dados!$A1052&lt;=Imóveis!$T$5),Imóveis!$S$5-(DATEDIF(Imóveis!$Q$5,Dados!$A1052,"m")),0))=0,0,((Imóveis!$N$5/Imóveis!$S$5)+((Imóveis!$N$5-((Imóveis!$S$5-(IF(AND(Dados!$A1052 &gt;=Imóveis!$Q$5,Dados!$A1052&lt;=Imóveis!$T$5),Imóveis!$S$5-(DATEDIF(Imóveis!$Q$5,Dados!$A1052,"m")),)))*(Imóveis!$N$5/Imóveis!$S$5)))*Imóveis!$P$5))))*IF(AND(Imóveis!$E$5&gt;0,Dados!$A1052&gt;Imóveis!$E$5),0,1)*Imóveis!$I$5</f>
        <v>0</v>
      </c>
      <c r="M1052" s="18">
        <f>IF(Imóveis!$F$6="PRICE",IF(AND(Dados!$A1052&gt;=Imóveis!$Q$6,Dados!$A1052&lt;=Imóveis!$T$6),Imóveis!$U$6,0),IF((IF(AND(Dados!$A1052&gt;=Imóveis!$Q$6,Dados!$A1052&lt;=Imóveis!$T$6),Imóveis!$S$6-(DATEDIF(Imóveis!$Q$6,Dados!$A1052,"m")),0))=0,0,((Imóveis!$N$6/Imóveis!$S$6)+((Imóveis!$N$6-((Imóveis!$S$6-(IF(AND(Dados!$A1052&gt;=Imóveis!$Q$6,Dados!$A1052&lt;=Imóveis!$T$6),Imóveis!$S$6-(DATEDIF(Imóveis!$Q$6,Dados!$A1052,"m")),)))*(Imóveis!$N$6/Imóveis!$S$6)))*Imóveis!$P$6))))*IF(AND(Imóveis!$E$6&gt;0,Dados!$A1052&gt;Imóveis!$E$6),0,1)*Imóveis!$I$6</f>
        <v>0</v>
      </c>
      <c r="N1052" s="18">
        <f t="shared" si="133"/>
        <v>0</v>
      </c>
      <c r="O1052" s="18">
        <f>SUMIFS(Receitas!$F:$F,Receitas!$J:$J,"&lt;="&amp;$A1052,Receitas!$L:$L,"&gt;="&amp;$A1052,Receitas!$C:$C,O$1,Receitas!$M:$M,"Mensal")+SUMIFS(Receitas!$F:$F,Receitas!$J:$J,"&lt;="&amp;$A1052,Receitas!$L:$L,"&gt;="&amp;$A1052,Receitas!$C:$C,O$1,Receitas!$M:$M,$B1052)</f>
        <v>0</v>
      </c>
      <c r="P1052" s="18">
        <f>SUMIFS(Receitas!$F:$F,Receitas!$J:$J,"&lt;="&amp;$A1052,Receitas!$L:$L,"&gt;="&amp;$A1052,Receitas!$C:$C,P$1,Receitas!$M:$M,"Mensal")+SUMIFS(Receitas!$F:$F,Receitas!$J:$J,"&lt;="&amp;$A1052,Receitas!$L:$L,"&gt;="&amp;$A1052,Receitas!$C:$C,P$1,Receitas!$M:$M,$B1052)</f>
        <v>0</v>
      </c>
      <c r="Q1052" s="18">
        <f>SUMIFS(Receitas!$F:$F,Receitas!$J:$J,"&lt;="&amp;$A1052,Receitas!$L:$L,"&gt;="&amp;$A1052,Receitas!$C:$C,Q$1,Receitas!$M:$M,"Mensal")+SUMIFS(Receitas!$F:$F,Receitas!$J:$J,"&lt;="&amp;$A1052,Receitas!$L:$L,"&gt;="&amp;$A1052,Receitas!$C:$C,Q$1,Receitas!$M:$M,$B1052)</f>
        <v>0</v>
      </c>
      <c r="R1052" s="18" cm="1">
        <f t="array" ref="R1052">(IF(AND(Membros!$F$2="Sim",A1052&lt;=MAX(Membros!$E$2:$E$5)),Membros!K$2,IF(AND(A1052&gt;=Membros!J$2,A1052&lt;=MAX(Membros!$E$2:$E$5)),Membros!K$2,0))+IF(AND(Membros!$F$3="Sim",A1052&lt;=MAX(Membros!$E$2:$E$5)),Membros!K$3,IF(AND(A1052&gt;=Membros!J$3,A1052&lt;=MAX(Membros!$E$2:$E$5)),Membros!K$3,0)))*IF(AND(COUNTIFS(Tabela3[Tipo],"Provedor",Tabela3[Simulação Seguro],"Sim")=2,A1052&gt;=MAX(IF(Tabela3[Tipo]="Dependente",Tabela3[Expectativa de Vida (Data)]))),0,1)</f>
        <v>0</v>
      </c>
      <c r="S1052" s="18">
        <f t="shared" si="134"/>
        <v>0</v>
      </c>
      <c r="U1052" s="18">
        <f t="shared" ca="1" si="137"/>
        <v>146250951.106718</v>
      </c>
      <c r="V1052" s="18">
        <f>SUMIF(Imóveis!E:E,Dados!A:A,Imóveis!Z:Z)-SUMIF(Imóveis!E:E,Dados!A:A,Imóveis!Y:Y)</f>
        <v>0</v>
      </c>
      <c r="W1052" s="18">
        <f>-SUMIF(Projetos!N:N,A1052,Projetos!F:F)</f>
        <v>0</v>
      </c>
      <c r="X1052" s="18">
        <f t="shared" si="131"/>
        <v>0</v>
      </c>
      <c r="Y1052" s="26">
        <f ca="1">(U1052*((Indicadores_Economicos!D$2+1)^(1/12)-1))</f>
        <v>478787.55682249111</v>
      </c>
      <c r="Z1052" s="18">
        <f t="shared" ca="1" si="135"/>
        <v>146729738.66354048</v>
      </c>
      <c r="AA1052" s="18">
        <f ca="1">Auxiliar_Projetos!E1052</f>
        <v>1.2095193208763288E-8</v>
      </c>
      <c r="AB1052" s="18">
        <f ca="1">Auxiliar_Projetos!K1052</f>
        <v>9.3039947759717566E-9</v>
      </c>
      <c r="AC1052" s="18">
        <f ca="1">IF(Z1052-AA1052-AB1052&gt;Investimentos!$C$14,Investimentos!$C$14,IF(Z1052-AA1052-AB1052&lt;Investimentos!$C$14,Z1052-AA1052-AB1052,0))</f>
        <v>300000</v>
      </c>
      <c r="AD1052" s="18">
        <f t="shared" ca="1" si="136"/>
        <v>146429738.66354048</v>
      </c>
      <c r="AE1052" s="18"/>
    </row>
    <row r="1053" spans="1:31" x14ac:dyDescent="0.2">
      <c r="A1053" s="4">
        <v>77646</v>
      </c>
      <c r="B1053" s="5" t="str">
        <f t="shared" si="132"/>
        <v>agosto</v>
      </c>
      <c r="C1053" s="5" t="str">
        <f t="shared" si="138"/>
        <v>2112</v>
      </c>
      <c r="D1053" s="5">
        <f>SUMIFS(Despesas!$F:$F,Despesas!$J:$J,"&lt;="&amp;$A1053,Despesas!$L:$L,"&gt;="&amp;$A1053,Despesas!$C:$C,D$1,Despesas!$M:$M,"Mensal")+SUMIFS(Despesas!$F:$F,Despesas!$J:$J,"&lt;="&amp;$A1053,Despesas!$L:$L,"&gt;="&amp;$A1053,Despesas!$C:$C,D$1,Despesas!$M:$M,$B1053)</f>
        <v>0</v>
      </c>
      <c r="E1053" s="18">
        <f>SUMIFS(Despesas!$F:$F,Despesas!$J:$J,"&lt;="&amp;$A1053,Despesas!$L:$L,"&gt;="&amp;$A1053,Despesas!$C:$C,E$1,Despesas!$M:$M,"Mensal")+SUMIFS(Despesas!$F:$F,Despesas!$J:$J,"&lt;="&amp;$A1053,Despesas!$L:$L,"&gt;="&amp;$A1053,Despesas!$C:$C,E$1,Despesas!$M:$M,$B1053)</f>
        <v>0</v>
      </c>
      <c r="F1053" s="5">
        <f>SUMIFS(Despesas!$F:$F,Despesas!$J:$J,"&lt;="&amp;$A1053,Despesas!$L:$L,"&gt;="&amp;$A1053,Despesas!$C:$C,F$1,Despesas!$M:$M,"Mensal")+SUMIFS(Despesas!$F:$F,Despesas!$J:$J,"&lt;="&amp;$A1053,Despesas!$L:$L,"&gt;="&amp;$A1053,Despesas!$C:$C,F$1,Despesas!$M:$M,$B1053)</f>
        <v>0</v>
      </c>
      <c r="G1053" s="5">
        <f>SUMIFS(Despesas!$F:$F,Despesas!$J:$J,"&lt;="&amp;$A1053,Despesas!$L:$L,"&gt;="&amp;$A1053,Despesas!$C:$C,G$1,Despesas!$M:$M,"Mensal")+SUMIFS(Despesas!$F:$F,Despesas!$J:$J,"&lt;="&amp;$A1053,Despesas!$L:$L,"&gt;="&amp;$A1053,Despesas!$C:$C,G$1,Despesas!$M:$M,$B1053)</f>
        <v>0</v>
      </c>
      <c r="H1053" s="18">
        <f>SUMIFS(Despesas!$F:$F,Despesas!$J:$J,"&lt;="&amp;$A1053,Despesas!$L:$L,"&gt;="&amp;$A1053,Despesas!$C:$C,H$1,Despesas!$M:$M,"Mensal")+SUMIFS(Despesas!$F:$F,Despesas!$J:$J,"&lt;="&amp;$A1053,Despesas!$L:$L,"&gt;="&amp;$A1053,Despesas!$C:$C,H$1,Despesas!$M:$M,$B1053)</f>
        <v>0</v>
      </c>
      <c r="I1053" s="18">
        <f>IF(Imóveis!$F$2="PRICE",IF(AND(Dados!$A1053&gt;=Imóveis!$Q$2,Dados!$A1053&lt;=Imóveis!$T$2),Imóveis!$U$2,0),IF((IF(AND(Dados!$A1053&gt;=Imóveis!$Q$2,Dados!$A1053&lt;=Imóveis!$T$2),Imóveis!$S$2-(DATEDIF(Imóveis!$Q$2,Dados!$A1053,"m")),0))=0,0,((Imóveis!$N$2/Imóveis!$S$2)+((Imóveis!$N$2-((Imóveis!$S$2-(IF(AND(Dados!$A1053&gt;=Imóveis!$Q$2,Dados!$A1053&lt;=Imóveis!$T$2),Imóveis!$S$2-(DATEDIF(Imóveis!$Q$2,Dados!$A1053,"m")),)))*(Imóveis!$N$2/Imóveis!$S$2)))*Imóveis!$P$2))))*IF(AND(Imóveis!$E$2&gt;0,Dados!$A1053&gt;Imóveis!$E$2),0,1)</f>
        <v>0</v>
      </c>
      <c r="J1053" s="18">
        <f>IF(Imóveis!$F$3="PRICE",IF(AND(Dados!$A1053&gt;=Imóveis!$Q$3,Dados!$A1053&lt;=Imóveis!$T$3),Imóveis!$U$3,0),IF((IF(AND(Dados!$A1053&gt;=Imóveis!$Q$3,Dados!$A1053&lt;=Imóveis!$T$3),Imóveis!$S$3-(DATEDIF(Imóveis!$Q$3,Dados!$A1053,"m")),0))=0,0,((Imóveis!$N$3/Imóveis!$S$3)+((Imóveis!$N$3-((Imóveis!$S$3-(IF(AND(Dados!$A1053&gt;=Imóveis!$Q$3,Dados!$A1053&lt;=Imóveis!$T$3),Imóveis!$S$3-(DATEDIF(Imóveis!$Q$3,Dados!$A1053,"m")),)))*(Imóveis!$N$3/Imóveis!$S$3)))*Imóveis!$P$3))))*IF(AND(Imóveis!$E$3&gt;0,Dados!$A1053&gt;Imóveis!$E$3),0,1)</f>
        <v>0</v>
      </c>
      <c r="K1053" s="18">
        <f>IF(Imóveis!$F$4="PRICE",IF(AND(Dados!$A1053&gt;=Imóveis!$Q$4,Dados!$A1053&lt;=Imóveis!$T$4),Imóveis!$U$4,0),IF((IF(AND(Dados!$A1053&gt;=Imóveis!$Q$4,Dados!$A1053&lt;=Imóveis!$T$4),Imóveis!$S$4-(DATEDIF(Imóveis!$Q$4,Dados!$A1053,"m")),0))=0,0,((Imóveis!$N$4/Imóveis!$S$4)+((Imóveis!$N$4-((Imóveis!$S$4-(IF(AND(Dados!$A1053&gt;=Imóveis!$Q$4,Dados!$A1053&lt;=Imóveis!$T$4),Imóveis!$S$4-(DATEDIF(Imóveis!$Q$4,Dados!$A1053,"m")),)))*(Imóveis!$N$4/Imóveis!$S$4)))*Imóveis!$P$4))))*IF(AND(Imóveis!$E$4&gt;0,Dados!$A1053&gt;Imóveis!$E$4),0,1)</f>
        <v>0</v>
      </c>
      <c r="L1053" s="18">
        <f>IF(Imóveis!$F$5="PRICE",IF(AND(Dados!$A1053&gt;=Imóveis!$Q$5,Dados!$A1053&lt;=Imóveis!$T$5),Imóveis!$U$5,0),IF((IF(AND(Dados!$A1053&gt;=Imóveis!$Q$5,Dados!$A1053&lt;=Imóveis!$T$5),Imóveis!$S$5-(DATEDIF(Imóveis!$Q$5,Dados!$A1053,"m")),0))=0,0,((Imóveis!$N$5/Imóveis!$S$5)+((Imóveis!$N$5-((Imóveis!$S$5-(IF(AND(Dados!$A1053 &gt;=Imóveis!$Q$5,Dados!$A1053&lt;=Imóveis!$T$5),Imóveis!$S$5-(DATEDIF(Imóveis!$Q$5,Dados!$A1053,"m")),)))*(Imóveis!$N$5/Imóveis!$S$5)))*Imóveis!$P$5))))*IF(AND(Imóveis!$E$5&gt;0,Dados!$A1053&gt;Imóveis!$E$5),0,1)*Imóveis!$I$5</f>
        <v>0</v>
      </c>
      <c r="M1053" s="18">
        <f>IF(Imóveis!$F$6="PRICE",IF(AND(Dados!$A1053&gt;=Imóveis!$Q$6,Dados!$A1053&lt;=Imóveis!$T$6),Imóveis!$U$6,0),IF((IF(AND(Dados!$A1053&gt;=Imóveis!$Q$6,Dados!$A1053&lt;=Imóveis!$T$6),Imóveis!$S$6-(DATEDIF(Imóveis!$Q$6,Dados!$A1053,"m")),0))=0,0,((Imóveis!$N$6/Imóveis!$S$6)+((Imóveis!$N$6-((Imóveis!$S$6-(IF(AND(Dados!$A1053&gt;=Imóveis!$Q$6,Dados!$A1053&lt;=Imóveis!$T$6),Imóveis!$S$6-(DATEDIF(Imóveis!$Q$6,Dados!$A1053,"m")),)))*(Imóveis!$N$6/Imóveis!$S$6)))*Imóveis!$P$6))))*IF(AND(Imóveis!$E$6&gt;0,Dados!$A1053&gt;Imóveis!$E$6),0,1)*Imóveis!$I$6</f>
        <v>0</v>
      </c>
      <c r="N1053" s="18">
        <f t="shared" si="133"/>
        <v>0</v>
      </c>
      <c r="O1053" s="18">
        <f>SUMIFS(Receitas!$F:$F,Receitas!$J:$J,"&lt;="&amp;$A1053,Receitas!$L:$L,"&gt;="&amp;$A1053,Receitas!$C:$C,O$1,Receitas!$M:$M,"Mensal")+SUMIFS(Receitas!$F:$F,Receitas!$J:$J,"&lt;="&amp;$A1053,Receitas!$L:$L,"&gt;="&amp;$A1053,Receitas!$C:$C,O$1,Receitas!$M:$M,$B1053)</f>
        <v>0</v>
      </c>
      <c r="P1053" s="18">
        <f>SUMIFS(Receitas!$F:$F,Receitas!$J:$J,"&lt;="&amp;$A1053,Receitas!$L:$L,"&gt;="&amp;$A1053,Receitas!$C:$C,P$1,Receitas!$M:$M,"Mensal")+SUMIFS(Receitas!$F:$F,Receitas!$J:$J,"&lt;="&amp;$A1053,Receitas!$L:$L,"&gt;="&amp;$A1053,Receitas!$C:$C,P$1,Receitas!$M:$M,$B1053)</f>
        <v>0</v>
      </c>
      <c r="Q1053" s="18">
        <f>SUMIFS(Receitas!$F:$F,Receitas!$J:$J,"&lt;="&amp;$A1053,Receitas!$L:$L,"&gt;="&amp;$A1053,Receitas!$C:$C,Q$1,Receitas!$M:$M,"Mensal")+SUMIFS(Receitas!$F:$F,Receitas!$J:$J,"&lt;="&amp;$A1053,Receitas!$L:$L,"&gt;="&amp;$A1053,Receitas!$C:$C,Q$1,Receitas!$M:$M,$B1053)</f>
        <v>0</v>
      </c>
      <c r="R1053" s="18" cm="1">
        <f t="array" ref="R1053">(IF(AND(Membros!$F$2="Sim",A1053&lt;=MAX(Membros!$E$2:$E$5)),Membros!K$2,IF(AND(A1053&gt;=Membros!J$2,A1053&lt;=MAX(Membros!$E$2:$E$5)),Membros!K$2,0))+IF(AND(Membros!$F$3="Sim",A1053&lt;=MAX(Membros!$E$2:$E$5)),Membros!K$3,IF(AND(A1053&gt;=Membros!J$3,A1053&lt;=MAX(Membros!$E$2:$E$5)),Membros!K$3,0)))*IF(AND(COUNTIFS(Tabela3[Tipo],"Provedor",Tabela3[Simulação Seguro],"Sim")=2,A1053&gt;=MAX(IF(Tabela3[Tipo]="Dependente",Tabela3[Expectativa de Vida (Data)]))),0,1)</f>
        <v>0</v>
      </c>
      <c r="S1053" s="18">
        <f t="shared" si="134"/>
        <v>0</v>
      </c>
      <c r="U1053" s="18">
        <f t="shared" ca="1" si="137"/>
        <v>146729738.66354048</v>
      </c>
      <c r="V1053" s="18">
        <f>SUMIF(Imóveis!E:E,Dados!A:A,Imóveis!Z:Z)-SUMIF(Imóveis!E:E,Dados!A:A,Imóveis!Y:Y)</f>
        <v>0</v>
      </c>
      <c r="W1053" s="18">
        <f>-SUMIF(Projetos!N:N,A1053,Projetos!F:F)</f>
        <v>0</v>
      </c>
      <c r="X1053" s="18">
        <f t="shared" si="131"/>
        <v>0</v>
      </c>
      <c r="Y1053" s="26">
        <f ca="1">(U1053*((Indicadores_Economicos!D$2+1)^(1/12)-1))</f>
        <v>480354.98269448266</v>
      </c>
      <c r="Z1053" s="18">
        <f t="shared" ca="1" si="135"/>
        <v>147210093.64623496</v>
      </c>
      <c r="AA1053" s="18">
        <f ca="1">Auxiliar_Projetos!E1053</f>
        <v>1.2134789723944199E-8</v>
      </c>
      <c r="AB1053" s="18">
        <f ca="1">Auxiliar_Projetos!K1053</f>
        <v>9.3344536338032255E-9</v>
      </c>
      <c r="AC1053" s="18">
        <f ca="1">IF(Z1053-AA1053-AB1053&gt;Investimentos!$C$14,Investimentos!$C$14,IF(Z1053-AA1053-AB1053&lt;Investimentos!$C$14,Z1053-AA1053-AB1053,0))</f>
        <v>300000</v>
      </c>
      <c r="AD1053" s="18">
        <f t="shared" ca="1" si="136"/>
        <v>146910093.64623496</v>
      </c>
      <c r="AE1053" s="18"/>
    </row>
    <row r="1054" spans="1:31" x14ac:dyDescent="0.2">
      <c r="A1054" s="4">
        <v>77677</v>
      </c>
      <c r="B1054" s="5" t="str">
        <f t="shared" si="132"/>
        <v>setembro</v>
      </c>
      <c r="C1054" s="5" t="str">
        <f t="shared" si="138"/>
        <v>2112</v>
      </c>
      <c r="D1054" s="5">
        <f>SUMIFS(Despesas!$F:$F,Despesas!$J:$J,"&lt;="&amp;$A1054,Despesas!$L:$L,"&gt;="&amp;$A1054,Despesas!$C:$C,D$1,Despesas!$M:$M,"Mensal")+SUMIFS(Despesas!$F:$F,Despesas!$J:$J,"&lt;="&amp;$A1054,Despesas!$L:$L,"&gt;="&amp;$A1054,Despesas!$C:$C,D$1,Despesas!$M:$M,$B1054)</f>
        <v>0</v>
      </c>
      <c r="E1054" s="18">
        <f>SUMIFS(Despesas!$F:$F,Despesas!$J:$J,"&lt;="&amp;$A1054,Despesas!$L:$L,"&gt;="&amp;$A1054,Despesas!$C:$C,E$1,Despesas!$M:$M,"Mensal")+SUMIFS(Despesas!$F:$F,Despesas!$J:$J,"&lt;="&amp;$A1054,Despesas!$L:$L,"&gt;="&amp;$A1054,Despesas!$C:$C,E$1,Despesas!$M:$M,$B1054)</f>
        <v>0</v>
      </c>
      <c r="F1054" s="5">
        <f>SUMIFS(Despesas!$F:$F,Despesas!$J:$J,"&lt;="&amp;$A1054,Despesas!$L:$L,"&gt;="&amp;$A1054,Despesas!$C:$C,F$1,Despesas!$M:$M,"Mensal")+SUMIFS(Despesas!$F:$F,Despesas!$J:$J,"&lt;="&amp;$A1054,Despesas!$L:$L,"&gt;="&amp;$A1054,Despesas!$C:$C,F$1,Despesas!$M:$M,$B1054)</f>
        <v>0</v>
      </c>
      <c r="G1054" s="5">
        <f>SUMIFS(Despesas!$F:$F,Despesas!$J:$J,"&lt;="&amp;$A1054,Despesas!$L:$L,"&gt;="&amp;$A1054,Despesas!$C:$C,G$1,Despesas!$M:$M,"Mensal")+SUMIFS(Despesas!$F:$F,Despesas!$J:$J,"&lt;="&amp;$A1054,Despesas!$L:$L,"&gt;="&amp;$A1054,Despesas!$C:$C,G$1,Despesas!$M:$M,$B1054)</f>
        <v>0</v>
      </c>
      <c r="H1054" s="18">
        <f>SUMIFS(Despesas!$F:$F,Despesas!$J:$J,"&lt;="&amp;$A1054,Despesas!$L:$L,"&gt;="&amp;$A1054,Despesas!$C:$C,H$1,Despesas!$M:$M,"Mensal")+SUMIFS(Despesas!$F:$F,Despesas!$J:$J,"&lt;="&amp;$A1054,Despesas!$L:$L,"&gt;="&amp;$A1054,Despesas!$C:$C,H$1,Despesas!$M:$M,$B1054)</f>
        <v>0</v>
      </c>
      <c r="I1054" s="18">
        <f>IF(Imóveis!$F$2="PRICE",IF(AND(Dados!$A1054&gt;=Imóveis!$Q$2,Dados!$A1054&lt;=Imóveis!$T$2),Imóveis!$U$2,0),IF((IF(AND(Dados!$A1054&gt;=Imóveis!$Q$2,Dados!$A1054&lt;=Imóveis!$T$2),Imóveis!$S$2-(DATEDIF(Imóveis!$Q$2,Dados!$A1054,"m")),0))=0,0,((Imóveis!$N$2/Imóveis!$S$2)+((Imóveis!$N$2-((Imóveis!$S$2-(IF(AND(Dados!$A1054&gt;=Imóveis!$Q$2,Dados!$A1054&lt;=Imóveis!$T$2),Imóveis!$S$2-(DATEDIF(Imóveis!$Q$2,Dados!$A1054,"m")),)))*(Imóveis!$N$2/Imóveis!$S$2)))*Imóveis!$P$2))))*IF(AND(Imóveis!$E$2&gt;0,Dados!$A1054&gt;Imóveis!$E$2),0,1)</f>
        <v>0</v>
      </c>
      <c r="J1054" s="18">
        <f>IF(Imóveis!$F$3="PRICE",IF(AND(Dados!$A1054&gt;=Imóveis!$Q$3,Dados!$A1054&lt;=Imóveis!$T$3),Imóveis!$U$3,0),IF((IF(AND(Dados!$A1054&gt;=Imóveis!$Q$3,Dados!$A1054&lt;=Imóveis!$T$3),Imóveis!$S$3-(DATEDIF(Imóveis!$Q$3,Dados!$A1054,"m")),0))=0,0,((Imóveis!$N$3/Imóveis!$S$3)+((Imóveis!$N$3-((Imóveis!$S$3-(IF(AND(Dados!$A1054&gt;=Imóveis!$Q$3,Dados!$A1054&lt;=Imóveis!$T$3),Imóveis!$S$3-(DATEDIF(Imóveis!$Q$3,Dados!$A1054,"m")),)))*(Imóveis!$N$3/Imóveis!$S$3)))*Imóveis!$P$3))))*IF(AND(Imóveis!$E$3&gt;0,Dados!$A1054&gt;Imóveis!$E$3),0,1)</f>
        <v>0</v>
      </c>
      <c r="K1054" s="18">
        <f>IF(Imóveis!$F$4="PRICE",IF(AND(Dados!$A1054&gt;=Imóveis!$Q$4,Dados!$A1054&lt;=Imóveis!$T$4),Imóveis!$U$4,0),IF((IF(AND(Dados!$A1054&gt;=Imóveis!$Q$4,Dados!$A1054&lt;=Imóveis!$T$4),Imóveis!$S$4-(DATEDIF(Imóveis!$Q$4,Dados!$A1054,"m")),0))=0,0,((Imóveis!$N$4/Imóveis!$S$4)+((Imóveis!$N$4-((Imóveis!$S$4-(IF(AND(Dados!$A1054&gt;=Imóveis!$Q$4,Dados!$A1054&lt;=Imóveis!$T$4),Imóveis!$S$4-(DATEDIF(Imóveis!$Q$4,Dados!$A1054,"m")),)))*(Imóveis!$N$4/Imóveis!$S$4)))*Imóveis!$P$4))))*IF(AND(Imóveis!$E$4&gt;0,Dados!$A1054&gt;Imóveis!$E$4),0,1)</f>
        <v>0</v>
      </c>
      <c r="L1054" s="18">
        <f>IF(Imóveis!$F$5="PRICE",IF(AND(Dados!$A1054&gt;=Imóveis!$Q$5,Dados!$A1054&lt;=Imóveis!$T$5),Imóveis!$U$5,0),IF((IF(AND(Dados!$A1054&gt;=Imóveis!$Q$5,Dados!$A1054&lt;=Imóveis!$T$5),Imóveis!$S$5-(DATEDIF(Imóveis!$Q$5,Dados!$A1054,"m")),0))=0,0,((Imóveis!$N$5/Imóveis!$S$5)+((Imóveis!$N$5-((Imóveis!$S$5-(IF(AND(Dados!$A1054 &gt;=Imóveis!$Q$5,Dados!$A1054&lt;=Imóveis!$T$5),Imóveis!$S$5-(DATEDIF(Imóveis!$Q$5,Dados!$A1054,"m")),)))*(Imóveis!$N$5/Imóveis!$S$5)))*Imóveis!$P$5))))*IF(AND(Imóveis!$E$5&gt;0,Dados!$A1054&gt;Imóveis!$E$5),0,1)*Imóveis!$I$5</f>
        <v>0</v>
      </c>
      <c r="M1054" s="18">
        <f>IF(Imóveis!$F$6="PRICE",IF(AND(Dados!$A1054&gt;=Imóveis!$Q$6,Dados!$A1054&lt;=Imóveis!$T$6),Imóveis!$U$6,0),IF((IF(AND(Dados!$A1054&gt;=Imóveis!$Q$6,Dados!$A1054&lt;=Imóveis!$T$6),Imóveis!$S$6-(DATEDIF(Imóveis!$Q$6,Dados!$A1054,"m")),0))=0,0,((Imóveis!$N$6/Imóveis!$S$6)+((Imóveis!$N$6-((Imóveis!$S$6-(IF(AND(Dados!$A1054&gt;=Imóveis!$Q$6,Dados!$A1054&lt;=Imóveis!$T$6),Imóveis!$S$6-(DATEDIF(Imóveis!$Q$6,Dados!$A1054,"m")),)))*(Imóveis!$N$6/Imóveis!$S$6)))*Imóveis!$P$6))))*IF(AND(Imóveis!$E$6&gt;0,Dados!$A1054&gt;Imóveis!$E$6),0,1)*Imóveis!$I$6</f>
        <v>0</v>
      </c>
      <c r="N1054" s="18">
        <f t="shared" si="133"/>
        <v>0</v>
      </c>
      <c r="O1054" s="18">
        <f>SUMIFS(Receitas!$F:$F,Receitas!$J:$J,"&lt;="&amp;$A1054,Receitas!$L:$L,"&gt;="&amp;$A1054,Receitas!$C:$C,O$1,Receitas!$M:$M,"Mensal")+SUMIFS(Receitas!$F:$F,Receitas!$J:$J,"&lt;="&amp;$A1054,Receitas!$L:$L,"&gt;="&amp;$A1054,Receitas!$C:$C,O$1,Receitas!$M:$M,$B1054)</f>
        <v>0</v>
      </c>
      <c r="P1054" s="18">
        <f>SUMIFS(Receitas!$F:$F,Receitas!$J:$J,"&lt;="&amp;$A1054,Receitas!$L:$L,"&gt;="&amp;$A1054,Receitas!$C:$C,P$1,Receitas!$M:$M,"Mensal")+SUMIFS(Receitas!$F:$F,Receitas!$J:$J,"&lt;="&amp;$A1054,Receitas!$L:$L,"&gt;="&amp;$A1054,Receitas!$C:$C,P$1,Receitas!$M:$M,$B1054)</f>
        <v>0</v>
      </c>
      <c r="Q1054" s="18">
        <f>SUMIFS(Receitas!$F:$F,Receitas!$J:$J,"&lt;="&amp;$A1054,Receitas!$L:$L,"&gt;="&amp;$A1054,Receitas!$C:$C,Q$1,Receitas!$M:$M,"Mensal")+SUMIFS(Receitas!$F:$F,Receitas!$J:$J,"&lt;="&amp;$A1054,Receitas!$L:$L,"&gt;="&amp;$A1054,Receitas!$C:$C,Q$1,Receitas!$M:$M,$B1054)</f>
        <v>0</v>
      </c>
      <c r="R1054" s="18" cm="1">
        <f t="array" ref="R1054">(IF(AND(Membros!$F$2="Sim",A1054&lt;=MAX(Membros!$E$2:$E$5)),Membros!K$2,IF(AND(A1054&gt;=Membros!J$2,A1054&lt;=MAX(Membros!$E$2:$E$5)),Membros!K$2,0))+IF(AND(Membros!$F$3="Sim",A1054&lt;=MAX(Membros!$E$2:$E$5)),Membros!K$3,IF(AND(A1054&gt;=Membros!J$3,A1054&lt;=MAX(Membros!$E$2:$E$5)),Membros!K$3,0)))*IF(AND(COUNTIFS(Tabela3[Tipo],"Provedor",Tabela3[Simulação Seguro],"Sim")=2,A1054&gt;=MAX(IF(Tabela3[Tipo]="Dependente",Tabela3[Expectativa de Vida (Data)]))),0,1)</f>
        <v>0</v>
      </c>
      <c r="S1054" s="18">
        <f t="shared" si="134"/>
        <v>0</v>
      </c>
      <c r="U1054" s="18">
        <f t="shared" ca="1" si="137"/>
        <v>147210093.64623496</v>
      </c>
      <c r="V1054" s="18">
        <f>SUMIF(Imóveis!E:E,Dados!A:A,Imóveis!Z:Z)-SUMIF(Imóveis!E:E,Dados!A:A,Imóveis!Y:Y)</f>
        <v>0</v>
      </c>
      <c r="W1054" s="18">
        <f>-SUMIF(Projetos!N:N,A1054,Projetos!F:F)</f>
        <v>0</v>
      </c>
      <c r="X1054" s="18">
        <f t="shared" si="131"/>
        <v>0</v>
      </c>
      <c r="Y1054" s="26">
        <f ca="1">(U1054*((Indicadores_Economicos!D$2+1)^(1/12)-1))</f>
        <v>481927.53991090704</v>
      </c>
      <c r="Z1054" s="18">
        <f t="shared" ca="1" si="135"/>
        <v>147692021.18614587</v>
      </c>
      <c r="AA1054" s="18">
        <f ca="1">Auxiliar_Projetos!E1054</f>
        <v>1.2174515867812094E-8</v>
      </c>
      <c r="AB1054" s="18">
        <f ca="1">Auxiliar_Projetos!K1054</f>
        <v>9.3650122060092988E-9</v>
      </c>
      <c r="AC1054" s="18">
        <f ca="1">IF(Z1054-AA1054-AB1054&gt;Investimentos!$C$14,Investimentos!$C$14,IF(Z1054-AA1054-AB1054&lt;Investimentos!$C$14,Z1054-AA1054-AB1054,0))</f>
        <v>300000</v>
      </c>
      <c r="AD1054" s="18">
        <f t="shared" ca="1" si="136"/>
        <v>147392021.18614587</v>
      </c>
      <c r="AE1054" s="18"/>
    </row>
    <row r="1055" spans="1:31" x14ac:dyDescent="0.2">
      <c r="A1055" s="4">
        <v>77707</v>
      </c>
      <c r="B1055" s="5" t="str">
        <f t="shared" si="132"/>
        <v>outubro</v>
      </c>
      <c r="C1055" s="5" t="str">
        <f t="shared" si="138"/>
        <v>2112</v>
      </c>
      <c r="D1055" s="5">
        <f>SUMIFS(Despesas!$F:$F,Despesas!$J:$J,"&lt;="&amp;$A1055,Despesas!$L:$L,"&gt;="&amp;$A1055,Despesas!$C:$C,D$1,Despesas!$M:$M,"Mensal")+SUMIFS(Despesas!$F:$F,Despesas!$J:$J,"&lt;="&amp;$A1055,Despesas!$L:$L,"&gt;="&amp;$A1055,Despesas!$C:$C,D$1,Despesas!$M:$M,$B1055)</f>
        <v>0</v>
      </c>
      <c r="E1055" s="18">
        <f>SUMIFS(Despesas!$F:$F,Despesas!$J:$J,"&lt;="&amp;$A1055,Despesas!$L:$L,"&gt;="&amp;$A1055,Despesas!$C:$C,E$1,Despesas!$M:$M,"Mensal")+SUMIFS(Despesas!$F:$F,Despesas!$J:$J,"&lt;="&amp;$A1055,Despesas!$L:$L,"&gt;="&amp;$A1055,Despesas!$C:$C,E$1,Despesas!$M:$M,$B1055)</f>
        <v>0</v>
      </c>
      <c r="F1055" s="5">
        <f>SUMIFS(Despesas!$F:$F,Despesas!$J:$J,"&lt;="&amp;$A1055,Despesas!$L:$L,"&gt;="&amp;$A1055,Despesas!$C:$C,F$1,Despesas!$M:$M,"Mensal")+SUMIFS(Despesas!$F:$F,Despesas!$J:$J,"&lt;="&amp;$A1055,Despesas!$L:$L,"&gt;="&amp;$A1055,Despesas!$C:$C,F$1,Despesas!$M:$M,$B1055)</f>
        <v>0</v>
      </c>
      <c r="G1055" s="5">
        <f>SUMIFS(Despesas!$F:$F,Despesas!$J:$J,"&lt;="&amp;$A1055,Despesas!$L:$L,"&gt;="&amp;$A1055,Despesas!$C:$C,G$1,Despesas!$M:$M,"Mensal")+SUMIFS(Despesas!$F:$F,Despesas!$J:$J,"&lt;="&amp;$A1055,Despesas!$L:$L,"&gt;="&amp;$A1055,Despesas!$C:$C,G$1,Despesas!$M:$M,$B1055)</f>
        <v>0</v>
      </c>
      <c r="H1055" s="18">
        <f>SUMIFS(Despesas!$F:$F,Despesas!$J:$J,"&lt;="&amp;$A1055,Despesas!$L:$L,"&gt;="&amp;$A1055,Despesas!$C:$C,H$1,Despesas!$M:$M,"Mensal")+SUMIFS(Despesas!$F:$F,Despesas!$J:$J,"&lt;="&amp;$A1055,Despesas!$L:$L,"&gt;="&amp;$A1055,Despesas!$C:$C,H$1,Despesas!$M:$M,$B1055)</f>
        <v>0</v>
      </c>
      <c r="I1055" s="18">
        <f>IF(Imóveis!$F$2="PRICE",IF(AND(Dados!$A1055&gt;=Imóveis!$Q$2,Dados!$A1055&lt;=Imóveis!$T$2),Imóveis!$U$2,0),IF((IF(AND(Dados!$A1055&gt;=Imóveis!$Q$2,Dados!$A1055&lt;=Imóveis!$T$2),Imóveis!$S$2-(DATEDIF(Imóveis!$Q$2,Dados!$A1055,"m")),0))=0,0,((Imóveis!$N$2/Imóveis!$S$2)+((Imóveis!$N$2-((Imóveis!$S$2-(IF(AND(Dados!$A1055&gt;=Imóveis!$Q$2,Dados!$A1055&lt;=Imóveis!$T$2),Imóveis!$S$2-(DATEDIF(Imóveis!$Q$2,Dados!$A1055,"m")),)))*(Imóveis!$N$2/Imóveis!$S$2)))*Imóveis!$P$2))))*IF(AND(Imóveis!$E$2&gt;0,Dados!$A1055&gt;Imóveis!$E$2),0,1)</f>
        <v>0</v>
      </c>
      <c r="J1055" s="18">
        <f>IF(Imóveis!$F$3="PRICE",IF(AND(Dados!$A1055&gt;=Imóveis!$Q$3,Dados!$A1055&lt;=Imóveis!$T$3),Imóveis!$U$3,0),IF((IF(AND(Dados!$A1055&gt;=Imóveis!$Q$3,Dados!$A1055&lt;=Imóveis!$T$3),Imóveis!$S$3-(DATEDIF(Imóveis!$Q$3,Dados!$A1055,"m")),0))=0,0,((Imóveis!$N$3/Imóveis!$S$3)+((Imóveis!$N$3-((Imóveis!$S$3-(IF(AND(Dados!$A1055&gt;=Imóveis!$Q$3,Dados!$A1055&lt;=Imóveis!$T$3),Imóveis!$S$3-(DATEDIF(Imóveis!$Q$3,Dados!$A1055,"m")),)))*(Imóveis!$N$3/Imóveis!$S$3)))*Imóveis!$P$3))))*IF(AND(Imóveis!$E$3&gt;0,Dados!$A1055&gt;Imóveis!$E$3),0,1)</f>
        <v>0</v>
      </c>
      <c r="K1055" s="18">
        <f>IF(Imóveis!$F$4="PRICE",IF(AND(Dados!$A1055&gt;=Imóveis!$Q$4,Dados!$A1055&lt;=Imóveis!$T$4),Imóveis!$U$4,0),IF((IF(AND(Dados!$A1055&gt;=Imóveis!$Q$4,Dados!$A1055&lt;=Imóveis!$T$4),Imóveis!$S$4-(DATEDIF(Imóveis!$Q$4,Dados!$A1055,"m")),0))=0,0,((Imóveis!$N$4/Imóveis!$S$4)+((Imóveis!$N$4-((Imóveis!$S$4-(IF(AND(Dados!$A1055&gt;=Imóveis!$Q$4,Dados!$A1055&lt;=Imóveis!$T$4),Imóveis!$S$4-(DATEDIF(Imóveis!$Q$4,Dados!$A1055,"m")),)))*(Imóveis!$N$4/Imóveis!$S$4)))*Imóveis!$P$4))))*IF(AND(Imóveis!$E$4&gt;0,Dados!$A1055&gt;Imóveis!$E$4),0,1)</f>
        <v>0</v>
      </c>
      <c r="L1055" s="18">
        <f>IF(Imóveis!$F$5="PRICE",IF(AND(Dados!$A1055&gt;=Imóveis!$Q$5,Dados!$A1055&lt;=Imóveis!$T$5),Imóveis!$U$5,0),IF((IF(AND(Dados!$A1055&gt;=Imóveis!$Q$5,Dados!$A1055&lt;=Imóveis!$T$5),Imóveis!$S$5-(DATEDIF(Imóveis!$Q$5,Dados!$A1055,"m")),0))=0,0,((Imóveis!$N$5/Imóveis!$S$5)+((Imóveis!$N$5-((Imóveis!$S$5-(IF(AND(Dados!$A1055 &gt;=Imóveis!$Q$5,Dados!$A1055&lt;=Imóveis!$T$5),Imóveis!$S$5-(DATEDIF(Imóveis!$Q$5,Dados!$A1055,"m")),)))*(Imóveis!$N$5/Imóveis!$S$5)))*Imóveis!$P$5))))*IF(AND(Imóveis!$E$5&gt;0,Dados!$A1055&gt;Imóveis!$E$5),0,1)*Imóveis!$I$5</f>
        <v>0</v>
      </c>
      <c r="M1055" s="18">
        <f>IF(Imóveis!$F$6="PRICE",IF(AND(Dados!$A1055&gt;=Imóveis!$Q$6,Dados!$A1055&lt;=Imóveis!$T$6),Imóveis!$U$6,0),IF((IF(AND(Dados!$A1055&gt;=Imóveis!$Q$6,Dados!$A1055&lt;=Imóveis!$T$6),Imóveis!$S$6-(DATEDIF(Imóveis!$Q$6,Dados!$A1055,"m")),0))=0,0,((Imóveis!$N$6/Imóveis!$S$6)+((Imóveis!$N$6-((Imóveis!$S$6-(IF(AND(Dados!$A1055&gt;=Imóveis!$Q$6,Dados!$A1055&lt;=Imóveis!$T$6),Imóveis!$S$6-(DATEDIF(Imóveis!$Q$6,Dados!$A1055,"m")),)))*(Imóveis!$N$6/Imóveis!$S$6)))*Imóveis!$P$6))))*IF(AND(Imóveis!$E$6&gt;0,Dados!$A1055&gt;Imóveis!$E$6),0,1)*Imóveis!$I$6</f>
        <v>0</v>
      </c>
      <c r="N1055" s="18">
        <f t="shared" si="133"/>
        <v>0</v>
      </c>
      <c r="O1055" s="18">
        <f>SUMIFS(Receitas!$F:$F,Receitas!$J:$J,"&lt;="&amp;$A1055,Receitas!$L:$L,"&gt;="&amp;$A1055,Receitas!$C:$C,O$1,Receitas!$M:$M,"Mensal")+SUMIFS(Receitas!$F:$F,Receitas!$J:$J,"&lt;="&amp;$A1055,Receitas!$L:$L,"&gt;="&amp;$A1055,Receitas!$C:$C,O$1,Receitas!$M:$M,$B1055)</f>
        <v>0</v>
      </c>
      <c r="P1055" s="18">
        <f>SUMIFS(Receitas!$F:$F,Receitas!$J:$J,"&lt;="&amp;$A1055,Receitas!$L:$L,"&gt;="&amp;$A1055,Receitas!$C:$C,P$1,Receitas!$M:$M,"Mensal")+SUMIFS(Receitas!$F:$F,Receitas!$J:$J,"&lt;="&amp;$A1055,Receitas!$L:$L,"&gt;="&amp;$A1055,Receitas!$C:$C,P$1,Receitas!$M:$M,$B1055)</f>
        <v>0</v>
      </c>
      <c r="Q1055" s="18">
        <f>SUMIFS(Receitas!$F:$F,Receitas!$J:$J,"&lt;="&amp;$A1055,Receitas!$L:$L,"&gt;="&amp;$A1055,Receitas!$C:$C,Q$1,Receitas!$M:$M,"Mensal")+SUMIFS(Receitas!$F:$F,Receitas!$J:$J,"&lt;="&amp;$A1055,Receitas!$L:$L,"&gt;="&amp;$A1055,Receitas!$C:$C,Q$1,Receitas!$M:$M,$B1055)</f>
        <v>0</v>
      </c>
      <c r="R1055" s="18" cm="1">
        <f t="array" ref="R1055">(IF(AND(Membros!$F$2="Sim",A1055&lt;=MAX(Membros!$E$2:$E$5)),Membros!K$2,IF(AND(A1055&gt;=Membros!J$2,A1055&lt;=MAX(Membros!$E$2:$E$5)),Membros!K$2,0))+IF(AND(Membros!$F$3="Sim",A1055&lt;=MAX(Membros!$E$2:$E$5)),Membros!K$3,IF(AND(A1055&gt;=Membros!J$3,A1055&lt;=MAX(Membros!$E$2:$E$5)),Membros!K$3,0)))*IF(AND(COUNTIFS(Tabela3[Tipo],"Provedor",Tabela3[Simulação Seguro],"Sim")=2,A1055&gt;=MAX(IF(Tabela3[Tipo]="Dependente",Tabela3[Expectativa de Vida (Data)]))),0,1)</f>
        <v>0</v>
      </c>
      <c r="S1055" s="18">
        <f t="shared" si="134"/>
        <v>0</v>
      </c>
      <c r="U1055" s="18">
        <f t="shared" ca="1" si="137"/>
        <v>147692021.18614587</v>
      </c>
      <c r="V1055" s="18">
        <f>SUMIF(Imóveis!E:E,Dados!A:A,Imóveis!Z:Z)-SUMIF(Imóveis!E:E,Dados!A:A,Imóveis!Y:Y)</f>
        <v>0</v>
      </c>
      <c r="W1055" s="18">
        <f>-SUMIF(Projetos!N:N,A1055,Projetos!F:F)</f>
        <v>0</v>
      </c>
      <c r="X1055" s="18">
        <f t="shared" si="131"/>
        <v>0</v>
      </c>
      <c r="Y1055" s="26">
        <f ca="1">(U1055*((Indicadores_Economicos!D$2+1)^(1/12)-1))</f>
        <v>483505.24527045066</v>
      </c>
      <c r="Z1055" s="18">
        <f t="shared" ca="1" si="135"/>
        <v>148175526.43141633</v>
      </c>
      <c r="AA1055" s="18">
        <f ca="1">Auxiliar_Projetos!E1055</f>
        <v>1.2214372064737562E-8</v>
      </c>
      <c r="AB1055" s="18">
        <f ca="1">Auxiliar_Projetos!K1055</f>
        <v>9.3956708190288891E-9</v>
      </c>
      <c r="AC1055" s="18">
        <f ca="1">IF(Z1055-AA1055-AB1055&gt;Investimentos!$C$14,Investimentos!$C$14,IF(Z1055-AA1055-AB1055&lt;Investimentos!$C$14,Z1055-AA1055-AB1055,0))</f>
        <v>300000</v>
      </c>
      <c r="AD1055" s="18">
        <f t="shared" ca="1" si="136"/>
        <v>147875526.43141633</v>
      </c>
      <c r="AE1055" s="18"/>
    </row>
    <row r="1056" spans="1:31" x14ac:dyDescent="0.2">
      <c r="A1056" s="4">
        <v>77738</v>
      </c>
      <c r="B1056" s="5" t="str">
        <f t="shared" si="132"/>
        <v>novembro</v>
      </c>
      <c r="C1056" s="5" t="str">
        <f t="shared" si="138"/>
        <v>2112</v>
      </c>
      <c r="D1056" s="5">
        <f>SUMIFS(Despesas!$F:$F,Despesas!$J:$J,"&lt;="&amp;$A1056,Despesas!$L:$L,"&gt;="&amp;$A1056,Despesas!$C:$C,D$1,Despesas!$M:$M,"Mensal")+SUMIFS(Despesas!$F:$F,Despesas!$J:$J,"&lt;="&amp;$A1056,Despesas!$L:$L,"&gt;="&amp;$A1056,Despesas!$C:$C,D$1,Despesas!$M:$M,$B1056)</f>
        <v>0</v>
      </c>
      <c r="E1056" s="18">
        <f>SUMIFS(Despesas!$F:$F,Despesas!$J:$J,"&lt;="&amp;$A1056,Despesas!$L:$L,"&gt;="&amp;$A1056,Despesas!$C:$C,E$1,Despesas!$M:$M,"Mensal")+SUMIFS(Despesas!$F:$F,Despesas!$J:$J,"&lt;="&amp;$A1056,Despesas!$L:$L,"&gt;="&amp;$A1056,Despesas!$C:$C,E$1,Despesas!$M:$M,$B1056)</f>
        <v>0</v>
      </c>
      <c r="F1056" s="5">
        <f>SUMIFS(Despesas!$F:$F,Despesas!$J:$J,"&lt;="&amp;$A1056,Despesas!$L:$L,"&gt;="&amp;$A1056,Despesas!$C:$C,F$1,Despesas!$M:$M,"Mensal")+SUMIFS(Despesas!$F:$F,Despesas!$J:$J,"&lt;="&amp;$A1056,Despesas!$L:$L,"&gt;="&amp;$A1056,Despesas!$C:$C,F$1,Despesas!$M:$M,$B1056)</f>
        <v>0</v>
      </c>
      <c r="G1056" s="5">
        <f>SUMIFS(Despesas!$F:$F,Despesas!$J:$J,"&lt;="&amp;$A1056,Despesas!$L:$L,"&gt;="&amp;$A1056,Despesas!$C:$C,G$1,Despesas!$M:$M,"Mensal")+SUMIFS(Despesas!$F:$F,Despesas!$J:$J,"&lt;="&amp;$A1056,Despesas!$L:$L,"&gt;="&amp;$A1056,Despesas!$C:$C,G$1,Despesas!$M:$M,$B1056)</f>
        <v>0</v>
      </c>
      <c r="H1056" s="18">
        <f>SUMIFS(Despesas!$F:$F,Despesas!$J:$J,"&lt;="&amp;$A1056,Despesas!$L:$L,"&gt;="&amp;$A1056,Despesas!$C:$C,H$1,Despesas!$M:$M,"Mensal")+SUMIFS(Despesas!$F:$F,Despesas!$J:$J,"&lt;="&amp;$A1056,Despesas!$L:$L,"&gt;="&amp;$A1056,Despesas!$C:$C,H$1,Despesas!$M:$M,$B1056)</f>
        <v>0</v>
      </c>
      <c r="I1056" s="18">
        <f>IF(Imóveis!$F$2="PRICE",IF(AND(Dados!$A1056&gt;=Imóveis!$Q$2,Dados!$A1056&lt;=Imóveis!$T$2),Imóveis!$U$2,0),IF((IF(AND(Dados!$A1056&gt;=Imóveis!$Q$2,Dados!$A1056&lt;=Imóveis!$T$2),Imóveis!$S$2-(DATEDIF(Imóveis!$Q$2,Dados!$A1056,"m")),0))=0,0,((Imóveis!$N$2/Imóveis!$S$2)+((Imóveis!$N$2-((Imóveis!$S$2-(IF(AND(Dados!$A1056&gt;=Imóveis!$Q$2,Dados!$A1056&lt;=Imóveis!$T$2),Imóveis!$S$2-(DATEDIF(Imóveis!$Q$2,Dados!$A1056,"m")),)))*(Imóveis!$N$2/Imóveis!$S$2)))*Imóveis!$P$2))))*IF(AND(Imóveis!$E$2&gt;0,Dados!$A1056&gt;Imóveis!$E$2),0,1)</f>
        <v>0</v>
      </c>
      <c r="J1056" s="18">
        <f>IF(Imóveis!$F$3="PRICE",IF(AND(Dados!$A1056&gt;=Imóveis!$Q$3,Dados!$A1056&lt;=Imóveis!$T$3),Imóveis!$U$3,0),IF((IF(AND(Dados!$A1056&gt;=Imóveis!$Q$3,Dados!$A1056&lt;=Imóveis!$T$3),Imóveis!$S$3-(DATEDIF(Imóveis!$Q$3,Dados!$A1056,"m")),0))=0,0,((Imóveis!$N$3/Imóveis!$S$3)+((Imóveis!$N$3-((Imóveis!$S$3-(IF(AND(Dados!$A1056&gt;=Imóveis!$Q$3,Dados!$A1056&lt;=Imóveis!$T$3),Imóveis!$S$3-(DATEDIF(Imóveis!$Q$3,Dados!$A1056,"m")),)))*(Imóveis!$N$3/Imóveis!$S$3)))*Imóveis!$P$3))))*IF(AND(Imóveis!$E$3&gt;0,Dados!$A1056&gt;Imóveis!$E$3),0,1)</f>
        <v>0</v>
      </c>
      <c r="K1056" s="18">
        <f>IF(Imóveis!$F$4="PRICE",IF(AND(Dados!$A1056&gt;=Imóveis!$Q$4,Dados!$A1056&lt;=Imóveis!$T$4),Imóveis!$U$4,0),IF((IF(AND(Dados!$A1056&gt;=Imóveis!$Q$4,Dados!$A1056&lt;=Imóveis!$T$4),Imóveis!$S$4-(DATEDIF(Imóveis!$Q$4,Dados!$A1056,"m")),0))=0,0,((Imóveis!$N$4/Imóveis!$S$4)+((Imóveis!$N$4-((Imóveis!$S$4-(IF(AND(Dados!$A1056&gt;=Imóveis!$Q$4,Dados!$A1056&lt;=Imóveis!$T$4),Imóveis!$S$4-(DATEDIF(Imóveis!$Q$4,Dados!$A1056,"m")),)))*(Imóveis!$N$4/Imóveis!$S$4)))*Imóveis!$P$4))))*IF(AND(Imóveis!$E$4&gt;0,Dados!$A1056&gt;Imóveis!$E$4),0,1)</f>
        <v>0</v>
      </c>
      <c r="L1056" s="18">
        <f>IF(Imóveis!$F$5="PRICE",IF(AND(Dados!$A1056&gt;=Imóveis!$Q$5,Dados!$A1056&lt;=Imóveis!$T$5),Imóveis!$U$5,0),IF((IF(AND(Dados!$A1056&gt;=Imóveis!$Q$5,Dados!$A1056&lt;=Imóveis!$T$5),Imóveis!$S$5-(DATEDIF(Imóveis!$Q$5,Dados!$A1056,"m")),0))=0,0,((Imóveis!$N$5/Imóveis!$S$5)+((Imóveis!$N$5-((Imóveis!$S$5-(IF(AND(Dados!$A1056 &gt;=Imóveis!$Q$5,Dados!$A1056&lt;=Imóveis!$T$5),Imóveis!$S$5-(DATEDIF(Imóveis!$Q$5,Dados!$A1056,"m")),)))*(Imóveis!$N$5/Imóveis!$S$5)))*Imóveis!$P$5))))*IF(AND(Imóveis!$E$5&gt;0,Dados!$A1056&gt;Imóveis!$E$5),0,1)*Imóveis!$I$5</f>
        <v>0</v>
      </c>
      <c r="M1056" s="18">
        <f>IF(Imóveis!$F$6="PRICE",IF(AND(Dados!$A1056&gt;=Imóveis!$Q$6,Dados!$A1056&lt;=Imóveis!$T$6),Imóveis!$U$6,0),IF((IF(AND(Dados!$A1056&gt;=Imóveis!$Q$6,Dados!$A1056&lt;=Imóveis!$T$6),Imóveis!$S$6-(DATEDIF(Imóveis!$Q$6,Dados!$A1056,"m")),0))=0,0,((Imóveis!$N$6/Imóveis!$S$6)+((Imóveis!$N$6-((Imóveis!$S$6-(IF(AND(Dados!$A1056&gt;=Imóveis!$Q$6,Dados!$A1056&lt;=Imóveis!$T$6),Imóveis!$S$6-(DATEDIF(Imóveis!$Q$6,Dados!$A1056,"m")),)))*(Imóveis!$N$6/Imóveis!$S$6)))*Imóveis!$P$6))))*IF(AND(Imóveis!$E$6&gt;0,Dados!$A1056&gt;Imóveis!$E$6),0,1)*Imóveis!$I$6</f>
        <v>0</v>
      </c>
      <c r="N1056" s="18">
        <f t="shared" si="133"/>
        <v>0</v>
      </c>
      <c r="O1056" s="18">
        <f>SUMIFS(Receitas!$F:$F,Receitas!$J:$J,"&lt;="&amp;$A1056,Receitas!$L:$L,"&gt;="&amp;$A1056,Receitas!$C:$C,O$1,Receitas!$M:$M,"Mensal")+SUMIFS(Receitas!$F:$F,Receitas!$J:$J,"&lt;="&amp;$A1056,Receitas!$L:$L,"&gt;="&amp;$A1056,Receitas!$C:$C,O$1,Receitas!$M:$M,$B1056)</f>
        <v>0</v>
      </c>
      <c r="P1056" s="18">
        <f>SUMIFS(Receitas!$F:$F,Receitas!$J:$J,"&lt;="&amp;$A1056,Receitas!$L:$L,"&gt;="&amp;$A1056,Receitas!$C:$C,P$1,Receitas!$M:$M,"Mensal")+SUMIFS(Receitas!$F:$F,Receitas!$J:$J,"&lt;="&amp;$A1056,Receitas!$L:$L,"&gt;="&amp;$A1056,Receitas!$C:$C,P$1,Receitas!$M:$M,$B1056)</f>
        <v>0</v>
      </c>
      <c r="Q1056" s="18">
        <f>SUMIFS(Receitas!$F:$F,Receitas!$J:$J,"&lt;="&amp;$A1056,Receitas!$L:$L,"&gt;="&amp;$A1056,Receitas!$C:$C,Q$1,Receitas!$M:$M,"Mensal")+SUMIFS(Receitas!$F:$F,Receitas!$J:$J,"&lt;="&amp;$A1056,Receitas!$L:$L,"&gt;="&amp;$A1056,Receitas!$C:$C,Q$1,Receitas!$M:$M,$B1056)</f>
        <v>0</v>
      </c>
      <c r="R1056" s="18" cm="1">
        <f t="array" ref="R1056">(IF(AND(Membros!$F$2="Sim",A1056&lt;=MAX(Membros!$E$2:$E$5)),Membros!K$2,IF(AND(A1056&gt;=Membros!J$2,A1056&lt;=MAX(Membros!$E$2:$E$5)),Membros!K$2,0))+IF(AND(Membros!$F$3="Sim",A1056&lt;=MAX(Membros!$E$2:$E$5)),Membros!K$3,IF(AND(A1056&gt;=Membros!J$3,A1056&lt;=MAX(Membros!$E$2:$E$5)),Membros!K$3,0)))*IF(AND(COUNTIFS(Tabela3[Tipo],"Provedor",Tabela3[Simulação Seguro],"Sim")=2,A1056&gt;=MAX(IF(Tabela3[Tipo]="Dependente",Tabela3[Expectativa de Vida (Data)]))),0,1)</f>
        <v>0</v>
      </c>
      <c r="S1056" s="18">
        <f t="shared" si="134"/>
        <v>0</v>
      </c>
      <c r="U1056" s="18">
        <f t="shared" ca="1" si="137"/>
        <v>148175526.43141633</v>
      </c>
      <c r="V1056" s="18">
        <f>SUMIF(Imóveis!E:E,Dados!A:A,Imóveis!Z:Z)-SUMIF(Imóveis!E:E,Dados!A:A,Imóveis!Y:Y)</f>
        <v>0</v>
      </c>
      <c r="W1056" s="18">
        <f>-SUMIF(Projetos!N:N,A1056,Projetos!F:F)</f>
        <v>0</v>
      </c>
      <c r="X1056" s="18">
        <f t="shared" si="131"/>
        <v>0</v>
      </c>
      <c r="Y1056" s="26">
        <f ca="1">(U1056*((Indicadores_Economicos!D$2+1)^(1/12)-1))</f>
        <v>485088.1156267944</v>
      </c>
      <c r="Z1056" s="18">
        <f t="shared" ca="1" si="135"/>
        <v>148660614.54704311</v>
      </c>
      <c r="AA1056" s="18">
        <f ca="1">Auxiliar_Projetos!E1056</f>
        <v>1.2254358740480472E-8</v>
      </c>
      <c r="AB1056" s="18">
        <f ca="1">Auxiliar_Projetos!K1056</f>
        <v>9.4264298003695901E-9</v>
      </c>
      <c r="AC1056" s="18">
        <f ca="1">IF(Z1056-AA1056-AB1056&gt;Investimentos!$C$14,Investimentos!$C$14,IF(Z1056-AA1056-AB1056&lt;Investimentos!$C$14,Z1056-AA1056-AB1056,0))</f>
        <v>300000</v>
      </c>
      <c r="AD1056" s="18">
        <f t="shared" ca="1" si="136"/>
        <v>148360614.54704311</v>
      </c>
      <c r="AE1056" s="18"/>
    </row>
    <row r="1057" spans="1:31" x14ac:dyDescent="0.2">
      <c r="A1057" s="4">
        <v>77768</v>
      </c>
      <c r="B1057" s="5" t="str">
        <f t="shared" si="132"/>
        <v>dezembro</v>
      </c>
      <c r="C1057" s="5" t="str">
        <f t="shared" si="138"/>
        <v>2112</v>
      </c>
      <c r="D1057" s="5">
        <f>SUMIFS(Despesas!$F:$F,Despesas!$J:$J,"&lt;="&amp;$A1057,Despesas!$L:$L,"&gt;="&amp;$A1057,Despesas!$C:$C,D$1,Despesas!$M:$M,"Mensal")+SUMIFS(Despesas!$F:$F,Despesas!$J:$J,"&lt;="&amp;$A1057,Despesas!$L:$L,"&gt;="&amp;$A1057,Despesas!$C:$C,D$1,Despesas!$M:$M,$B1057)</f>
        <v>0</v>
      </c>
      <c r="E1057" s="18">
        <f>SUMIFS(Despesas!$F:$F,Despesas!$J:$J,"&lt;="&amp;$A1057,Despesas!$L:$L,"&gt;="&amp;$A1057,Despesas!$C:$C,E$1,Despesas!$M:$M,"Mensal")+SUMIFS(Despesas!$F:$F,Despesas!$J:$J,"&lt;="&amp;$A1057,Despesas!$L:$L,"&gt;="&amp;$A1057,Despesas!$C:$C,E$1,Despesas!$M:$M,$B1057)</f>
        <v>0</v>
      </c>
      <c r="F1057" s="5">
        <f>SUMIFS(Despesas!$F:$F,Despesas!$J:$J,"&lt;="&amp;$A1057,Despesas!$L:$L,"&gt;="&amp;$A1057,Despesas!$C:$C,F$1,Despesas!$M:$M,"Mensal")+SUMIFS(Despesas!$F:$F,Despesas!$J:$J,"&lt;="&amp;$A1057,Despesas!$L:$L,"&gt;="&amp;$A1057,Despesas!$C:$C,F$1,Despesas!$M:$M,$B1057)</f>
        <v>0</v>
      </c>
      <c r="G1057" s="5">
        <f>SUMIFS(Despesas!$F:$F,Despesas!$J:$J,"&lt;="&amp;$A1057,Despesas!$L:$L,"&gt;="&amp;$A1057,Despesas!$C:$C,G$1,Despesas!$M:$M,"Mensal")+SUMIFS(Despesas!$F:$F,Despesas!$J:$J,"&lt;="&amp;$A1057,Despesas!$L:$L,"&gt;="&amp;$A1057,Despesas!$C:$C,G$1,Despesas!$M:$M,$B1057)</f>
        <v>0</v>
      </c>
      <c r="H1057" s="18">
        <f>SUMIFS(Despesas!$F:$F,Despesas!$J:$J,"&lt;="&amp;$A1057,Despesas!$L:$L,"&gt;="&amp;$A1057,Despesas!$C:$C,H$1,Despesas!$M:$M,"Mensal")+SUMIFS(Despesas!$F:$F,Despesas!$J:$J,"&lt;="&amp;$A1057,Despesas!$L:$L,"&gt;="&amp;$A1057,Despesas!$C:$C,H$1,Despesas!$M:$M,$B1057)</f>
        <v>0</v>
      </c>
      <c r="I1057" s="18">
        <f>IF(Imóveis!$F$2="PRICE",IF(AND(Dados!$A1057&gt;=Imóveis!$Q$2,Dados!$A1057&lt;=Imóveis!$T$2),Imóveis!$U$2,0),IF((IF(AND(Dados!$A1057&gt;=Imóveis!$Q$2,Dados!$A1057&lt;=Imóveis!$T$2),Imóveis!$S$2-(DATEDIF(Imóveis!$Q$2,Dados!$A1057,"m")),0))=0,0,((Imóveis!$N$2/Imóveis!$S$2)+((Imóveis!$N$2-((Imóveis!$S$2-(IF(AND(Dados!$A1057&gt;=Imóveis!$Q$2,Dados!$A1057&lt;=Imóveis!$T$2),Imóveis!$S$2-(DATEDIF(Imóveis!$Q$2,Dados!$A1057,"m")),)))*(Imóveis!$N$2/Imóveis!$S$2)))*Imóveis!$P$2))))*IF(AND(Imóveis!$E$2&gt;0,Dados!$A1057&gt;Imóveis!$E$2),0,1)</f>
        <v>0</v>
      </c>
      <c r="J1057" s="18">
        <f>IF(Imóveis!$F$3="PRICE",IF(AND(Dados!$A1057&gt;=Imóveis!$Q$3,Dados!$A1057&lt;=Imóveis!$T$3),Imóveis!$U$3,0),IF((IF(AND(Dados!$A1057&gt;=Imóveis!$Q$3,Dados!$A1057&lt;=Imóveis!$T$3),Imóveis!$S$3-(DATEDIF(Imóveis!$Q$3,Dados!$A1057,"m")),0))=0,0,((Imóveis!$N$3/Imóveis!$S$3)+((Imóveis!$N$3-((Imóveis!$S$3-(IF(AND(Dados!$A1057&gt;=Imóveis!$Q$3,Dados!$A1057&lt;=Imóveis!$T$3),Imóveis!$S$3-(DATEDIF(Imóveis!$Q$3,Dados!$A1057,"m")),)))*(Imóveis!$N$3/Imóveis!$S$3)))*Imóveis!$P$3))))*IF(AND(Imóveis!$E$3&gt;0,Dados!$A1057&gt;Imóveis!$E$3),0,1)</f>
        <v>0</v>
      </c>
      <c r="K1057" s="18">
        <f>IF(Imóveis!$F$4="PRICE",IF(AND(Dados!$A1057&gt;=Imóveis!$Q$4,Dados!$A1057&lt;=Imóveis!$T$4),Imóveis!$U$4,0),IF((IF(AND(Dados!$A1057&gt;=Imóveis!$Q$4,Dados!$A1057&lt;=Imóveis!$T$4),Imóveis!$S$4-(DATEDIF(Imóveis!$Q$4,Dados!$A1057,"m")),0))=0,0,((Imóveis!$N$4/Imóveis!$S$4)+((Imóveis!$N$4-((Imóveis!$S$4-(IF(AND(Dados!$A1057&gt;=Imóveis!$Q$4,Dados!$A1057&lt;=Imóveis!$T$4),Imóveis!$S$4-(DATEDIF(Imóveis!$Q$4,Dados!$A1057,"m")),)))*(Imóveis!$N$4/Imóveis!$S$4)))*Imóveis!$P$4))))*IF(AND(Imóveis!$E$4&gt;0,Dados!$A1057&gt;Imóveis!$E$4),0,1)</f>
        <v>0</v>
      </c>
      <c r="L1057" s="18">
        <f>IF(Imóveis!$F$5="PRICE",IF(AND(Dados!$A1057&gt;=Imóveis!$Q$5,Dados!$A1057&lt;=Imóveis!$T$5),Imóveis!$U$5,0),IF((IF(AND(Dados!$A1057&gt;=Imóveis!$Q$5,Dados!$A1057&lt;=Imóveis!$T$5),Imóveis!$S$5-(DATEDIF(Imóveis!$Q$5,Dados!$A1057,"m")),0))=0,0,((Imóveis!$N$5/Imóveis!$S$5)+((Imóveis!$N$5-((Imóveis!$S$5-(IF(AND(Dados!$A1057 &gt;=Imóveis!$Q$5,Dados!$A1057&lt;=Imóveis!$T$5),Imóveis!$S$5-(DATEDIF(Imóveis!$Q$5,Dados!$A1057,"m")),)))*(Imóveis!$N$5/Imóveis!$S$5)))*Imóveis!$P$5))))*IF(AND(Imóveis!$E$5&gt;0,Dados!$A1057&gt;Imóveis!$E$5),0,1)*Imóveis!$I$5</f>
        <v>0</v>
      </c>
      <c r="M1057" s="18">
        <f>IF(Imóveis!$F$6="PRICE",IF(AND(Dados!$A1057&gt;=Imóveis!$Q$6,Dados!$A1057&lt;=Imóveis!$T$6),Imóveis!$U$6,0),IF((IF(AND(Dados!$A1057&gt;=Imóveis!$Q$6,Dados!$A1057&lt;=Imóveis!$T$6),Imóveis!$S$6-(DATEDIF(Imóveis!$Q$6,Dados!$A1057,"m")),0))=0,0,((Imóveis!$N$6/Imóveis!$S$6)+((Imóveis!$N$6-((Imóveis!$S$6-(IF(AND(Dados!$A1057&gt;=Imóveis!$Q$6,Dados!$A1057&lt;=Imóveis!$T$6),Imóveis!$S$6-(DATEDIF(Imóveis!$Q$6,Dados!$A1057,"m")),)))*(Imóveis!$N$6/Imóveis!$S$6)))*Imóveis!$P$6))))*IF(AND(Imóveis!$E$6&gt;0,Dados!$A1057&gt;Imóveis!$E$6),0,1)*Imóveis!$I$6</f>
        <v>0</v>
      </c>
      <c r="N1057" s="18">
        <f t="shared" si="133"/>
        <v>0</v>
      </c>
      <c r="O1057" s="18">
        <f>SUMIFS(Receitas!$F:$F,Receitas!$J:$J,"&lt;="&amp;$A1057,Receitas!$L:$L,"&gt;="&amp;$A1057,Receitas!$C:$C,O$1,Receitas!$M:$M,"Mensal")+SUMIFS(Receitas!$F:$F,Receitas!$J:$J,"&lt;="&amp;$A1057,Receitas!$L:$L,"&gt;="&amp;$A1057,Receitas!$C:$C,O$1,Receitas!$M:$M,$B1057)</f>
        <v>0</v>
      </c>
      <c r="P1057" s="18">
        <f>SUMIFS(Receitas!$F:$F,Receitas!$J:$J,"&lt;="&amp;$A1057,Receitas!$L:$L,"&gt;="&amp;$A1057,Receitas!$C:$C,P$1,Receitas!$M:$M,"Mensal")+SUMIFS(Receitas!$F:$F,Receitas!$J:$J,"&lt;="&amp;$A1057,Receitas!$L:$L,"&gt;="&amp;$A1057,Receitas!$C:$C,P$1,Receitas!$M:$M,$B1057)</f>
        <v>0</v>
      </c>
      <c r="Q1057" s="18">
        <f>SUMIFS(Receitas!$F:$F,Receitas!$J:$J,"&lt;="&amp;$A1057,Receitas!$L:$L,"&gt;="&amp;$A1057,Receitas!$C:$C,Q$1,Receitas!$M:$M,"Mensal")+SUMIFS(Receitas!$F:$F,Receitas!$J:$J,"&lt;="&amp;$A1057,Receitas!$L:$L,"&gt;="&amp;$A1057,Receitas!$C:$C,Q$1,Receitas!$M:$M,$B1057)</f>
        <v>0</v>
      </c>
      <c r="R1057" s="18" cm="1">
        <f t="array" ref="R1057">(IF(AND(Membros!$F$2="Sim",A1057&lt;=MAX(Membros!$E$2:$E$5)),Membros!K$2,IF(AND(A1057&gt;=Membros!J$2,A1057&lt;=MAX(Membros!$E$2:$E$5)),Membros!K$2,0))+IF(AND(Membros!$F$3="Sim",A1057&lt;=MAX(Membros!$E$2:$E$5)),Membros!K$3,IF(AND(A1057&gt;=Membros!J$3,A1057&lt;=MAX(Membros!$E$2:$E$5)),Membros!K$3,0)))*IF(AND(COUNTIFS(Tabela3[Tipo],"Provedor",Tabela3[Simulação Seguro],"Sim")=2,A1057&gt;=MAX(IF(Tabela3[Tipo]="Dependente",Tabela3[Expectativa de Vida (Data)]))),0,1)</f>
        <v>0</v>
      </c>
      <c r="S1057" s="18">
        <f t="shared" si="134"/>
        <v>0</v>
      </c>
      <c r="U1057" s="18">
        <f t="shared" ca="1" si="137"/>
        <v>148660614.54704311</v>
      </c>
      <c r="V1057" s="18">
        <f>SUMIF(Imóveis!E:E,Dados!A:A,Imóveis!Z:Z)-SUMIF(Imóveis!E:E,Dados!A:A,Imóveis!Y:Y)</f>
        <v>0</v>
      </c>
      <c r="W1057" s="18">
        <f>-SUMIF(Projetos!N:N,A1057,Projetos!F:F)</f>
        <v>0</v>
      </c>
      <c r="X1057" s="18">
        <f t="shared" si="131"/>
        <v>0</v>
      </c>
      <c r="Y1057" s="26">
        <f ca="1">(U1057*((Indicadores_Economicos!D$2+1)^(1/12)-1))</f>
        <v>486676.16788879369</v>
      </c>
      <c r="Z1057" s="18">
        <f t="shared" ca="1" si="135"/>
        <v>149147290.71493191</v>
      </c>
      <c r="AA1057" s="18">
        <f ca="1">Auxiliar_Projetos!E1057</f>
        <v>1.229447632219452E-8</v>
      </c>
      <c r="AB1057" s="18">
        <f ca="1">Auxiliar_Projetos!K1057</f>
        <v>9.4572894786111653E-9</v>
      </c>
      <c r="AC1057" s="18">
        <f ca="1">IF(Z1057-AA1057-AB1057&gt;Investimentos!$C$14,Investimentos!$C$14,IF(Z1057-AA1057-AB1057&lt;Investimentos!$C$14,Z1057-AA1057-AB1057,0))</f>
        <v>300000</v>
      </c>
      <c r="AD1057" s="18">
        <f t="shared" ca="1" si="136"/>
        <v>148847290.71493191</v>
      </c>
      <c r="AE1057" s="18"/>
    </row>
    <row r="1058" spans="1:31" x14ac:dyDescent="0.2">
      <c r="A1058" s="4">
        <v>77799</v>
      </c>
      <c r="B1058" s="5" t="str">
        <f t="shared" si="132"/>
        <v>janeiro</v>
      </c>
      <c r="C1058" s="5" t="str">
        <f t="shared" si="138"/>
        <v>2113</v>
      </c>
      <c r="D1058" s="5">
        <f>SUMIFS(Despesas!$F:$F,Despesas!$J:$J,"&lt;="&amp;$A1058,Despesas!$L:$L,"&gt;="&amp;$A1058,Despesas!$C:$C,D$1,Despesas!$M:$M,"Mensal")+SUMIFS(Despesas!$F:$F,Despesas!$J:$J,"&lt;="&amp;$A1058,Despesas!$L:$L,"&gt;="&amp;$A1058,Despesas!$C:$C,D$1,Despesas!$M:$M,$B1058)</f>
        <v>0</v>
      </c>
      <c r="E1058" s="18">
        <f>SUMIFS(Despesas!$F:$F,Despesas!$J:$J,"&lt;="&amp;$A1058,Despesas!$L:$L,"&gt;="&amp;$A1058,Despesas!$C:$C,E$1,Despesas!$M:$M,"Mensal")+SUMIFS(Despesas!$F:$F,Despesas!$J:$J,"&lt;="&amp;$A1058,Despesas!$L:$L,"&gt;="&amp;$A1058,Despesas!$C:$C,E$1,Despesas!$M:$M,$B1058)</f>
        <v>0</v>
      </c>
      <c r="F1058" s="5">
        <f>SUMIFS(Despesas!$F:$F,Despesas!$J:$J,"&lt;="&amp;$A1058,Despesas!$L:$L,"&gt;="&amp;$A1058,Despesas!$C:$C,F$1,Despesas!$M:$M,"Mensal")+SUMIFS(Despesas!$F:$F,Despesas!$J:$J,"&lt;="&amp;$A1058,Despesas!$L:$L,"&gt;="&amp;$A1058,Despesas!$C:$C,F$1,Despesas!$M:$M,$B1058)</f>
        <v>0</v>
      </c>
      <c r="G1058" s="5">
        <f>SUMIFS(Despesas!$F:$F,Despesas!$J:$J,"&lt;="&amp;$A1058,Despesas!$L:$L,"&gt;="&amp;$A1058,Despesas!$C:$C,G$1,Despesas!$M:$M,"Mensal")+SUMIFS(Despesas!$F:$F,Despesas!$J:$J,"&lt;="&amp;$A1058,Despesas!$L:$L,"&gt;="&amp;$A1058,Despesas!$C:$C,G$1,Despesas!$M:$M,$B1058)</f>
        <v>0</v>
      </c>
      <c r="H1058" s="18">
        <f>SUMIFS(Despesas!$F:$F,Despesas!$J:$J,"&lt;="&amp;$A1058,Despesas!$L:$L,"&gt;="&amp;$A1058,Despesas!$C:$C,H$1,Despesas!$M:$M,"Mensal")+SUMIFS(Despesas!$F:$F,Despesas!$J:$J,"&lt;="&amp;$A1058,Despesas!$L:$L,"&gt;="&amp;$A1058,Despesas!$C:$C,H$1,Despesas!$M:$M,$B1058)</f>
        <v>0</v>
      </c>
      <c r="I1058" s="18">
        <f>IF(Imóveis!$F$2="PRICE",IF(AND(Dados!$A1058&gt;=Imóveis!$Q$2,Dados!$A1058&lt;=Imóveis!$T$2),Imóveis!$U$2,0),IF((IF(AND(Dados!$A1058&gt;=Imóveis!$Q$2,Dados!$A1058&lt;=Imóveis!$T$2),Imóveis!$S$2-(DATEDIF(Imóveis!$Q$2,Dados!$A1058,"m")),0))=0,0,((Imóveis!$N$2/Imóveis!$S$2)+((Imóveis!$N$2-((Imóveis!$S$2-(IF(AND(Dados!$A1058&gt;=Imóveis!$Q$2,Dados!$A1058&lt;=Imóveis!$T$2),Imóveis!$S$2-(DATEDIF(Imóveis!$Q$2,Dados!$A1058,"m")),)))*(Imóveis!$N$2/Imóveis!$S$2)))*Imóveis!$P$2))))*IF(AND(Imóveis!$E$2&gt;0,Dados!$A1058&gt;Imóveis!$E$2),0,1)</f>
        <v>0</v>
      </c>
      <c r="J1058" s="18">
        <f>IF(Imóveis!$F$3="PRICE",IF(AND(Dados!$A1058&gt;=Imóveis!$Q$3,Dados!$A1058&lt;=Imóveis!$T$3),Imóveis!$U$3,0),IF((IF(AND(Dados!$A1058&gt;=Imóveis!$Q$3,Dados!$A1058&lt;=Imóveis!$T$3),Imóveis!$S$3-(DATEDIF(Imóveis!$Q$3,Dados!$A1058,"m")),0))=0,0,((Imóveis!$N$3/Imóveis!$S$3)+((Imóveis!$N$3-((Imóveis!$S$3-(IF(AND(Dados!$A1058&gt;=Imóveis!$Q$3,Dados!$A1058&lt;=Imóveis!$T$3),Imóveis!$S$3-(DATEDIF(Imóveis!$Q$3,Dados!$A1058,"m")),)))*(Imóveis!$N$3/Imóveis!$S$3)))*Imóveis!$P$3))))*IF(AND(Imóveis!$E$3&gt;0,Dados!$A1058&gt;Imóveis!$E$3),0,1)</f>
        <v>0</v>
      </c>
      <c r="K1058" s="18">
        <f>IF(Imóveis!$F$4="PRICE",IF(AND(Dados!$A1058&gt;=Imóveis!$Q$4,Dados!$A1058&lt;=Imóveis!$T$4),Imóveis!$U$4,0),IF((IF(AND(Dados!$A1058&gt;=Imóveis!$Q$4,Dados!$A1058&lt;=Imóveis!$T$4),Imóveis!$S$4-(DATEDIF(Imóveis!$Q$4,Dados!$A1058,"m")),0))=0,0,((Imóveis!$N$4/Imóveis!$S$4)+((Imóveis!$N$4-((Imóveis!$S$4-(IF(AND(Dados!$A1058&gt;=Imóveis!$Q$4,Dados!$A1058&lt;=Imóveis!$T$4),Imóveis!$S$4-(DATEDIF(Imóveis!$Q$4,Dados!$A1058,"m")),)))*(Imóveis!$N$4/Imóveis!$S$4)))*Imóveis!$P$4))))*IF(AND(Imóveis!$E$4&gt;0,Dados!$A1058&gt;Imóveis!$E$4),0,1)</f>
        <v>0</v>
      </c>
      <c r="L1058" s="18">
        <f>IF(Imóveis!$F$5="PRICE",IF(AND(Dados!$A1058&gt;=Imóveis!$Q$5,Dados!$A1058&lt;=Imóveis!$T$5),Imóveis!$U$5,0),IF((IF(AND(Dados!$A1058&gt;=Imóveis!$Q$5,Dados!$A1058&lt;=Imóveis!$T$5),Imóveis!$S$5-(DATEDIF(Imóveis!$Q$5,Dados!$A1058,"m")),0))=0,0,((Imóveis!$N$5/Imóveis!$S$5)+((Imóveis!$N$5-((Imóveis!$S$5-(IF(AND(Dados!$A1058 &gt;=Imóveis!$Q$5,Dados!$A1058&lt;=Imóveis!$T$5),Imóveis!$S$5-(DATEDIF(Imóveis!$Q$5,Dados!$A1058,"m")),)))*(Imóveis!$N$5/Imóveis!$S$5)))*Imóveis!$P$5))))*IF(AND(Imóveis!$E$5&gt;0,Dados!$A1058&gt;Imóveis!$E$5),0,1)*Imóveis!$I$5</f>
        <v>0</v>
      </c>
      <c r="M1058" s="18">
        <f>IF(Imóveis!$F$6="PRICE",IF(AND(Dados!$A1058&gt;=Imóveis!$Q$6,Dados!$A1058&lt;=Imóveis!$T$6),Imóveis!$U$6,0),IF((IF(AND(Dados!$A1058&gt;=Imóveis!$Q$6,Dados!$A1058&lt;=Imóveis!$T$6),Imóveis!$S$6-(DATEDIF(Imóveis!$Q$6,Dados!$A1058,"m")),0))=0,0,((Imóveis!$N$6/Imóveis!$S$6)+((Imóveis!$N$6-((Imóveis!$S$6-(IF(AND(Dados!$A1058&gt;=Imóveis!$Q$6,Dados!$A1058&lt;=Imóveis!$T$6),Imóveis!$S$6-(DATEDIF(Imóveis!$Q$6,Dados!$A1058,"m")),)))*(Imóveis!$N$6/Imóveis!$S$6)))*Imóveis!$P$6))))*IF(AND(Imóveis!$E$6&gt;0,Dados!$A1058&gt;Imóveis!$E$6),0,1)*Imóveis!$I$6</f>
        <v>0</v>
      </c>
      <c r="N1058" s="18">
        <f t="shared" si="133"/>
        <v>0</v>
      </c>
      <c r="O1058" s="18">
        <f>SUMIFS(Receitas!$F:$F,Receitas!$J:$J,"&lt;="&amp;$A1058,Receitas!$L:$L,"&gt;="&amp;$A1058,Receitas!$C:$C,O$1,Receitas!$M:$M,"Mensal")+SUMIFS(Receitas!$F:$F,Receitas!$J:$J,"&lt;="&amp;$A1058,Receitas!$L:$L,"&gt;="&amp;$A1058,Receitas!$C:$C,O$1,Receitas!$M:$M,$B1058)</f>
        <v>0</v>
      </c>
      <c r="P1058" s="18">
        <f>SUMIFS(Receitas!$F:$F,Receitas!$J:$J,"&lt;="&amp;$A1058,Receitas!$L:$L,"&gt;="&amp;$A1058,Receitas!$C:$C,P$1,Receitas!$M:$M,"Mensal")+SUMIFS(Receitas!$F:$F,Receitas!$J:$J,"&lt;="&amp;$A1058,Receitas!$L:$L,"&gt;="&amp;$A1058,Receitas!$C:$C,P$1,Receitas!$M:$M,$B1058)</f>
        <v>0</v>
      </c>
      <c r="Q1058" s="18">
        <f>SUMIFS(Receitas!$F:$F,Receitas!$J:$J,"&lt;="&amp;$A1058,Receitas!$L:$L,"&gt;="&amp;$A1058,Receitas!$C:$C,Q$1,Receitas!$M:$M,"Mensal")+SUMIFS(Receitas!$F:$F,Receitas!$J:$J,"&lt;="&amp;$A1058,Receitas!$L:$L,"&gt;="&amp;$A1058,Receitas!$C:$C,Q$1,Receitas!$M:$M,$B1058)</f>
        <v>0</v>
      </c>
      <c r="R1058" s="18" cm="1">
        <f t="array" ref="R1058">(IF(AND(Membros!$F$2="Sim",A1058&lt;=MAX(Membros!$E$2:$E$5)),Membros!K$2,IF(AND(A1058&gt;=Membros!J$2,A1058&lt;=MAX(Membros!$E$2:$E$5)),Membros!K$2,0))+IF(AND(Membros!$F$3="Sim",A1058&lt;=MAX(Membros!$E$2:$E$5)),Membros!K$3,IF(AND(A1058&gt;=Membros!J$3,A1058&lt;=MAX(Membros!$E$2:$E$5)),Membros!K$3,0)))*IF(AND(COUNTIFS(Tabela3[Tipo],"Provedor",Tabela3[Simulação Seguro],"Sim")=2,A1058&gt;=MAX(IF(Tabela3[Tipo]="Dependente",Tabela3[Expectativa de Vida (Data)]))),0,1)</f>
        <v>0</v>
      </c>
      <c r="S1058" s="18">
        <f t="shared" si="134"/>
        <v>0</v>
      </c>
      <c r="U1058" s="18">
        <f t="shared" ca="1" si="137"/>
        <v>149147290.71493191</v>
      </c>
      <c r="V1058" s="18">
        <f>SUMIF(Imóveis!E:E,Dados!A:A,Imóveis!Z:Z)-SUMIF(Imóveis!E:E,Dados!A:A,Imóveis!Y:Y)</f>
        <v>0</v>
      </c>
      <c r="W1058" s="18">
        <f>-SUMIF(Projetos!N:N,A1058,Projetos!F:F)</f>
        <v>0</v>
      </c>
      <c r="X1058" s="18">
        <f t="shared" si="131"/>
        <v>0</v>
      </c>
      <c r="Y1058" s="26">
        <f ca="1">(U1058*((Indicadores_Economicos!D$2+1)^(1/12)-1))</f>
        <v>488269.41902065935</v>
      </c>
      <c r="Z1058" s="18">
        <f t="shared" ca="1" si="135"/>
        <v>149635560.13395256</v>
      </c>
      <c r="AA1058" s="18">
        <f ca="1">Auxiliar_Projetos!E1058</f>
        <v>1.2334725238431792E-8</v>
      </c>
      <c r="AB1058" s="18">
        <f ca="1">Auxiliar_Projetos!K1058</f>
        <v>9.4882501834090654E-9</v>
      </c>
      <c r="AC1058" s="18">
        <f ca="1">IF(Z1058-AA1058-AB1058&gt;Investimentos!$C$14,Investimentos!$C$14,IF(Z1058-AA1058-AB1058&lt;Investimentos!$C$14,Z1058-AA1058-AB1058,0))</f>
        <v>300000</v>
      </c>
      <c r="AD1058" s="18">
        <f t="shared" ca="1" si="136"/>
        <v>149335560.13395256</v>
      </c>
      <c r="AE1058" s="18"/>
    </row>
    <row r="1059" spans="1:31" x14ac:dyDescent="0.2">
      <c r="A1059" s="4">
        <v>77830</v>
      </c>
      <c r="B1059" s="5" t="str">
        <f t="shared" si="132"/>
        <v>fevereiro</v>
      </c>
      <c r="C1059" s="5" t="str">
        <f t="shared" si="138"/>
        <v>2113</v>
      </c>
      <c r="D1059" s="5">
        <f>SUMIFS(Despesas!$F:$F,Despesas!$J:$J,"&lt;="&amp;$A1059,Despesas!$L:$L,"&gt;="&amp;$A1059,Despesas!$C:$C,D$1,Despesas!$M:$M,"Mensal")+SUMIFS(Despesas!$F:$F,Despesas!$J:$J,"&lt;="&amp;$A1059,Despesas!$L:$L,"&gt;="&amp;$A1059,Despesas!$C:$C,D$1,Despesas!$M:$M,$B1059)</f>
        <v>0</v>
      </c>
      <c r="E1059" s="18">
        <f>SUMIFS(Despesas!$F:$F,Despesas!$J:$J,"&lt;="&amp;$A1059,Despesas!$L:$L,"&gt;="&amp;$A1059,Despesas!$C:$C,E$1,Despesas!$M:$M,"Mensal")+SUMIFS(Despesas!$F:$F,Despesas!$J:$J,"&lt;="&amp;$A1059,Despesas!$L:$L,"&gt;="&amp;$A1059,Despesas!$C:$C,E$1,Despesas!$M:$M,$B1059)</f>
        <v>0</v>
      </c>
      <c r="F1059" s="5">
        <f>SUMIFS(Despesas!$F:$F,Despesas!$J:$J,"&lt;="&amp;$A1059,Despesas!$L:$L,"&gt;="&amp;$A1059,Despesas!$C:$C,F$1,Despesas!$M:$M,"Mensal")+SUMIFS(Despesas!$F:$F,Despesas!$J:$J,"&lt;="&amp;$A1059,Despesas!$L:$L,"&gt;="&amp;$A1059,Despesas!$C:$C,F$1,Despesas!$M:$M,$B1059)</f>
        <v>0</v>
      </c>
      <c r="G1059" s="5">
        <f>SUMIFS(Despesas!$F:$F,Despesas!$J:$J,"&lt;="&amp;$A1059,Despesas!$L:$L,"&gt;="&amp;$A1059,Despesas!$C:$C,G$1,Despesas!$M:$M,"Mensal")+SUMIFS(Despesas!$F:$F,Despesas!$J:$J,"&lt;="&amp;$A1059,Despesas!$L:$L,"&gt;="&amp;$A1059,Despesas!$C:$C,G$1,Despesas!$M:$M,$B1059)</f>
        <v>0</v>
      </c>
      <c r="H1059" s="18">
        <f>SUMIFS(Despesas!$F:$F,Despesas!$J:$J,"&lt;="&amp;$A1059,Despesas!$L:$L,"&gt;="&amp;$A1059,Despesas!$C:$C,H$1,Despesas!$M:$M,"Mensal")+SUMIFS(Despesas!$F:$F,Despesas!$J:$J,"&lt;="&amp;$A1059,Despesas!$L:$L,"&gt;="&amp;$A1059,Despesas!$C:$C,H$1,Despesas!$M:$M,$B1059)</f>
        <v>0</v>
      </c>
      <c r="I1059" s="18">
        <f>IF(Imóveis!$F$2="PRICE",IF(AND(Dados!$A1059&gt;=Imóveis!$Q$2,Dados!$A1059&lt;=Imóveis!$T$2),Imóveis!$U$2,0),IF((IF(AND(Dados!$A1059&gt;=Imóveis!$Q$2,Dados!$A1059&lt;=Imóveis!$T$2),Imóveis!$S$2-(DATEDIF(Imóveis!$Q$2,Dados!$A1059,"m")),0))=0,0,((Imóveis!$N$2/Imóveis!$S$2)+((Imóveis!$N$2-((Imóveis!$S$2-(IF(AND(Dados!$A1059&gt;=Imóveis!$Q$2,Dados!$A1059&lt;=Imóveis!$T$2),Imóveis!$S$2-(DATEDIF(Imóveis!$Q$2,Dados!$A1059,"m")),)))*(Imóveis!$N$2/Imóveis!$S$2)))*Imóveis!$P$2))))*IF(AND(Imóveis!$E$2&gt;0,Dados!$A1059&gt;Imóveis!$E$2),0,1)</f>
        <v>0</v>
      </c>
      <c r="J1059" s="18">
        <f>IF(Imóveis!$F$3="PRICE",IF(AND(Dados!$A1059&gt;=Imóveis!$Q$3,Dados!$A1059&lt;=Imóveis!$T$3),Imóveis!$U$3,0),IF((IF(AND(Dados!$A1059&gt;=Imóveis!$Q$3,Dados!$A1059&lt;=Imóveis!$T$3),Imóveis!$S$3-(DATEDIF(Imóveis!$Q$3,Dados!$A1059,"m")),0))=0,0,((Imóveis!$N$3/Imóveis!$S$3)+((Imóveis!$N$3-((Imóveis!$S$3-(IF(AND(Dados!$A1059&gt;=Imóveis!$Q$3,Dados!$A1059&lt;=Imóveis!$T$3),Imóveis!$S$3-(DATEDIF(Imóveis!$Q$3,Dados!$A1059,"m")),)))*(Imóveis!$N$3/Imóveis!$S$3)))*Imóveis!$P$3))))*IF(AND(Imóveis!$E$3&gt;0,Dados!$A1059&gt;Imóveis!$E$3),0,1)</f>
        <v>0</v>
      </c>
      <c r="K1059" s="18">
        <f>IF(Imóveis!$F$4="PRICE",IF(AND(Dados!$A1059&gt;=Imóveis!$Q$4,Dados!$A1059&lt;=Imóveis!$T$4),Imóveis!$U$4,0),IF((IF(AND(Dados!$A1059&gt;=Imóveis!$Q$4,Dados!$A1059&lt;=Imóveis!$T$4),Imóveis!$S$4-(DATEDIF(Imóveis!$Q$4,Dados!$A1059,"m")),0))=0,0,((Imóveis!$N$4/Imóveis!$S$4)+((Imóveis!$N$4-((Imóveis!$S$4-(IF(AND(Dados!$A1059&gt;=Imóveis!$Q$4,Dados!$A1059&lt;=Imóveis!$T$4),Imóveis!$S$4-(DATEDIF(Imóveis!$Q$4,Dados!$A1059,"m")),)))*(Imóveis!$N$4/Imóveis!$S$4)))*Imóveis!$P$4))))*IF(AND(Imóveis!$E$4&gt;0,Dados!$A1059&gt;Imóveis!$E$4),0,1)</f>
        <v>0</v>
      </c>
      <c r="L1059" s="18">
        <f>IF(Imóveis!$F$5="PRICE",IF(AND(Dados!$A1059&gt;=Imóveis!$Q$5,Dados!$A1059&lt;=Imóveis!$T$5),Imóveis!$U$5,0),IF((IF(AND(Dados!$A1059&gt;=Imóveis!$Q$5,Dados!$A1059&lt;=Imóveis!$T$5),Imóveis!$S$5-(DATEDIF(Imóveis!$Q$5,Dados!$A1059,"m")),0))=0,0,((Imóveis!$N$5/Imóveis!$S$5)+((Imóveis!$N$5-((Imóveis!$S$5-(IF(AND(Dados!$A1059 &gt;=Imóveis!$Q$5,Dados!$A1059&lt;=Imóveis!$T$5),Imóveis!$S$5-(DATEDIF(Imóveis!$Q$5,Dados!$A1059,"m")),)))*(Imóveis!$N$5/Imóveis!$S$5)))*Imóveis!$P$5))))*IF(AND(Imóveis!$E$5&gt;0,Dados!$A1059&gt;Imóveis!$E$5),0,1)*Imóveis!$I$5</f>
        <v>0</v>
      </c>
      <c r="M1059" s="18">
        <f>IF(Imóveis!$F$6="PRICE",IF(AND(Dados!$A1059&gt;=Imóveis!$Q$6,Dados!$A1059&lt;=Imóveis!$T$6),Imóveis!$U$6,0),IF((IF(AND(Dados!$A1059&gt;=Imóveis!$Q$6,Dados!$A1059&lt;=Imóveis!$T$6),Imóveis!$S$6-(DATEDIF(Imóveis!$Q$6,Dados!$A1059,"m")),0))=0,0,((Imóveis!$N$6/Imóveis!$S$6)+((Imóveis!$N$6-((Imóveis!$S$6-(IF(AND(Dados!$A1059&gt;=Imóveis!$Q$6,Dados!$A1059&lt;=Imóveis!$T$6),Imóveis!$S$6-(DATEDIF(Imóveis!$Q$6,Dados!$A1059,"m")),)))*(Imóveis!$N$6/Imóveis!$S$6)))*Imóveis!$P$6))))*IF(AND(Imóveis!$E$6&gt;0,Dados!$A1059&gt;Imóveis!$E$6),0,1)*Imóveis!$I$6</f>
        <v>0</v>
      </c>
      <c r="N1059" s="18">
        <f t="shared" si="133"/>
        <v>0</v>
      </c>
      <c r="O1059" s="18">
        <f>SUMIFS(Receitas!$F:$F,Receitas!$J:$J,"&lt;="&amp;$A1059,Receitas!$L:$L,"&gt;="&amp;$A1059,Receitas!$C:$C,O$1,Receitas!$M:$M,"Mensal")+SUMIFS(Receitas!$F:$F,Receitas!$J:$J,"&lt;="&amp;$A1059,Receitas!$L:$L,"&gt;="&amp;$A1059,Receitas!$C:$C,O$1,Receitas!$M:$M,$B1059)</f>
        <v>0</v>
      </c>
      <c r="P1059" s="18">
        <f>SUMIFS(Receitas!$F:$F,Receitas!$J:$J,"&lt;="&amp;$A1059,Receitas!$L:$L,"&gt;="&amp;$A1059,Receitas!$C:$C,P$1,Receitas!$M:$M,"Mensal")+SUMIFS(Receitas!$F:$F,Receitas!$J:$J,"&lt;="&amp;$A1059,Receitas!$L:$L,"&gt;="&amp;$A1059,Receitas!$C:$C,P$1,Receitas!$M:$M,$B1059)</f>
        <v>0</v>
      </c>
      <c r="Q1059" s="18">
        <f>SUMIFS(Receitas!$F:$F,Receitas!$J:$J,"&lt;="&amp;$A1059,Receitas!$L:$L,"&gt;="&amp;$A1059,Receitas!$C:$C,Q$1,Receitas!$M:$M,"Mensal")+SUMIFS(Receitas!$F:$F,Receitas!$J:$J,"&lt;="&amp;$A1059,Receitas!$L:$L,"&gt;="&amp;$A1059,Receitas!$C:$C,Q$1,Receitas!$M:$M,$B1059)</f>
        <v>0</v>
      </c>
      <c r="R1059" s="18" cm="1">
        <f t="array" ref="R1059">(IF(AND(Membros!$F$2="Sim",A1059&lt;=MAX(Membros!$E$2:$E$5)),Membros!K$2,IF(AND(A1059&gt;=Membros!J$2,A1059&lt;=MAX(Membros!$E$2:$E$5)),Membros!K$2,0))+IF(AND(Membros!$F$3="Sim",A1059&lt;=MAX(Membros!$E$2:$E$5)),Membros!K$3,IF(AND(A1059&gt;=Membros!J$3,A1059&lt;=MAX(Membros!$E$2:$E$5)),Membros!K$3,0)))*IF(AND(COUNTIFS(Tabela3[Tipo],"Provedor",Tabela3[Simulação Seguro],"Sim")=2,A1059&gt;=MAX(IF(Tabela3[Tipo]="Dependente",Tabela3[Expectativa de Vida (Data)]))),0,1)</f>
        <v>0</v>
      </c>
      <c r="S1059" s="18">
        <f t="shared" si="134"/>
        <v>0</v>
      </c>
      <c r="U1059" s="18">
        <f t="shared" ca="1" si="137"/>
        <v>149635560.13395256</v>
      </c>
      <c r="V1059" s="18">
        <f>SUMIF(Imóveis!E:E,Dados!A:A,Imóveis!Z:Z)-SUMIF(Imóveis!E:E,Dados!A:A,Imóveis!Y:Y)</f>
        <v>0</v>
      </c>
      <c r="W1059" s="18">
        <f>-SUMIF(Projetos!N:N,A1059,Projetos!F:F)</f>
        <v>0</v>
      </c>
      <c r="X1059" s="18">
        <f t="shared" si="131"/>
        <v>0</v>
      </c>
      <c r="Y1059" s="26">
        <f ca="1">(U1059*((Indicadores_Economicos!D$2+1)^(1/12)-1))</f>
        <v>489867.88604213845</v>
      </c>
      <c r="Z1059" s="18">
        <f t="shared" ca="1" si="135"/>
        <v>150125428.01999471</v>
      </c>
      <c r="AA1059" s="18">
        <f ca="1">Auxiliar_Projetos!E1059</f>
        <v>1.2375105919147339E-8</v>
      </c>
      <c r="AB1059" s="18">
        <f ca="1">Auxiliar_Projetos!K1059</f>
        <v>9.5193122454979473E-9</v>
      </c>
      <c r="AC1059" s="18">
        <f ca="1">IF(Z1059-AA1059-AB1059&gt;Investimentos!$C$14,Investimentos!$C$14,IF(Z1059-AA1059-AB1059&lt;Investimentos!$C$14,Z1059-AA1059-AB1059,0))</f>
        <v>300000</v>
      </c>
      <c r="AD1059" s="18">
        <f t="shared" ca="1" si="136"/>
        <v>149825428.01999471</v>
      </c>
      <c r="AE1059" s="18"/>
    </row>
    <row r="1060" spans="1:31" x14ac:dyDescent="0.2">
      <c r="A1060" s="4">
        <v>77858</v>
      </c>
      <c r="B1060" s="5" t="str">
        <f t="shared" si="132"/>
        <v>março</v>
      </c>
      <c r="C1060" s="5" t="str">
        <f t="shared" si="138"/>
        <v>2113</v>
      </c>
      <c r="D1060" s="5">
        <f>SUMIFS(Despesas!$F:$F,Despesas!$J:$J,"&lt;="&amp;$A1060,Despesas!$L:$L,"&gt;="&amp;$A1060,Despesas!$C:$C,D$1,Despesas!$M:$M,"Mensal")+SUMIFS(Despesas!$F:$F,Despesas!$J:$J,"&lt;="&amp;$A1060,Despesas!$L:$L,"&gt;="&amp;$A1060,Despesas!$C:$C,D$1,Despesas!$M:$M,$B1060)</f>
        <v>0</v>
      </c>
      <c r="E1060" s="18">
        <f>SUMIFS(Despesas!$F:$F,Despesas!$J:$J,"&lt;="&amp;$A1060,Despesas!$L:$L,"&gt;="&amp;$A1060,Despesas!$C:$C,E$1,Despesas!$M:$M,"Mensal")+SUMIFS(Despesas!$F:$F,Despesas!$J:$J,"&lt;="&amp;$A1060,Despesas!$L:$L,"&gt;="&amp;$A1060,Despesas!$C:$C,E$1,Despesas!$M:$M,$B1060)</f>
        <v>0</v>
      </c>
      <c r="F1060" s="5">
        <f>SUMIFS(Despesas!$F:$F,Despesas!$J:$J,"&lt;="&amp;$A1060,Despesas!$L:$L,"&gt;="&amp;$A1060,Despesas!$C:$C,F$1,Despesas!$M:$M,"Mensal")+SUMIFS(Despesas!$F:$F,Despesas!$J:$J,"&lt;="&amp;$A1060,Despesas!$L:$L,"&gt;="&amp;$A1060,Despesas!$C:$C,F$1,Despesas!$M:$M,$B1060)</f>
        <v>0</v>
      </c>
      <c r="G1060" s="5">
        <f>SUMIFS(Despesas!$F:$F,Despesas!$J:$J,"&lt;="&amp;$A1060,Despesas!$L:$L,"&gt;="&amp;$A1060,Despesas!$C:$C,G$1,Despesas!$M:$M,"Mensal")+SUMIFS(Despesas!$F:$F,Despesas!$J:$J,"&lt;="&amp;$A1060,Despesas!$L:$L,"&gt;="&amp;$A1060,Despesas!$C:$C,G$1,Despesas!$M:$M,$B1060)</f>
        <v>0</v>
      </c>
      <c r="H1060" s="18">
        <f>SUMIFS(Despesas!$F:$F,Despesas!$J:$J,"&lt;="&amp;$A1060,Despesas!$L:$L,"&gt;="&amp;$A1060,Despesas!$C:$C,H$1,Despesas!$M:$M,"Mensal")+SUMIFS(Despesas!$F:$F,Despesas!$J:$J,"&lt;="&amp;$A1060,Despesas!$L:$L,"&gt;="&amp;$A1060,Despesas!$C:$C,H$1,Despesas!$M:$M,$B1060)</f>
        <v>0</v>
      </c>
      <c r="I1060" s="18">
        <f>IF(Imóveis!$F$2="PRICE",IF(AND(Dados!$A1060&gt;=Imóveis!$Q$2,Dados!$A1060&lt;=Imóveis!$T$2),Imóveis!$U$2,0),IF((IF(AND(Dados!$A1060&gt;=Imóveis!$Q$2,Dados!$A1060&lt;=Imóveis!$T$2),Imóveis!$S$2-(DATEDIF(Imóveis!$Q$2,Dados!$A1060,"m")),0))=0,0,((Imóveis!$N$2/Imóveis!$S$2)+((Imóveis!$N$2-((Imóveis!$S$2-(IF(AND(Dados!$A1060&gt;=Imóveis!$Q$2,Dados!$A1060&lt;=Imóveis!$T$2),Imóveis!$S$2-(DATEDIF(Imóveis!$Q$2,Dados!$A1060,"m")),)))*(Imóveis!$N$2/Imóveis!$S$2)))*Imóveis!$P$2))))*IF(AND(Imóveis!$E$2&gt;0,Dados!$A1060&gt;Imóveis!$E$2),0,1)</f>
        <v>0</v>
      </c>
      <c r="J1060" s="18">
        <f>IF(Imóveis!$F$3="PRICE",IF(AND(Dados!$A1060&gt;=Imóveis!$Q$3,Dados!$A1060&lt;=Imóveis!$T$3),Imóveis!$U$3,0),IF((IF(AND(Dados!$A1060&gt;=Imóveis!$Q$3,Dados!$A1060&lt;=Imóveis!$T$3),Imóveis!$S$3-(DATEDIF(Imóveis!$Q$3,Dados!$A1060,"m")),0))=0,0,((Imóveis!$N$3/Imóveis!$S$3)+((Imóveis!$N$3-((Imóveis!$S$3-(IF(AND(Dados!$A1060&gt;=Imóveis!$Q$3,Dados!$A1060&lt;=Imóveis!$T$3),Imóveis!$S$3-(DATEDIF(Imóveis!$Q$3,Dados!$A1060,"m")),)))*(Imóveis!$N$3/Imóveis!$S$3)))*Imóveis!$P$3))))*IF(AND(Imóveis!$E$3&gt;0,Dados!$A1060&gt;Imóveis!$E$3),0,1)</f>
        <v>0</v>
      </c>
      <c r="K1060" s="18">
        <f>IF(Imóveis!$F$4="PRICE",IF(AND(Dados!$A1060&gt;=Imóveis!$Q$4,Dados!$A1060&lt;=Imóveis!$T$4),Imóveis!$U$4,0),IF((IF(AND(Dados!$A1060&gt;=Imóveis!$Q$4,Dados!$A1060&lt;=Imóveis!$T$4),Imóveis!$S$4-(DATEDIF(Imóveis!$Q$4,Dados!$A1060,"m")),0))=0,0,((Imóveis!$N$4/Imóveis!$S$4)+((Imóveis!$N$4-((Imóveis!$S$4-(IF(AND(Dados!$A1060&gt;=Imóveis!$Q$4,Dados!$A1060&lt;=Imóveis!$T$4),Imóveis!$S$4-(DATEDIF(Imóveis!$Q$4,Dados!$A1060,"m")),)))*(Imóveis!$N$4/Imóveis!$S$4)))*Imóveis!$P$4))))*IF(AND(Imóveis!$E$4&gt;0,Dados!$A1060&gt;Imóveis!$E$4),0,1)</f>
        <v>0</v>
      </c>
      <c r="L1060" s="18">
        <f>IF(Imóveis!$F$5="PRICE",IF(AND(Dados!$A1060&gt;=Imóveis!$Q$5,Dados!$A1060&lt;=Imóveis!$T$5),Imóveis!$U$5,0),IF((IF(AND(Dados!$A1060&gt;=Imóveis!$Q$5,Dados!$A1060&lt;=Imóveis!$T$5),Imóveis!$S$5-(DATEDIF(Imóveis!$Q$5,Dados!$A1060,"m")),0))=0,0,((Imóveis!$N$5/Imóveis!$S$5)+((Imóveis!$N$5-((Imóveis!$S$5-(IF(AND(Dados!$A1060 &gt;=Imóveis!$Q$5,Dados!$A1060&lt;=Imóveis!$T$5),Imóveis!$S$5-(DATEDIF(Imóveis!$Q$5,Dados!$A1060,"m")),)))*(Imóveis!$N$5/Imóveis!$S$5)))*Imóveis!$P$5))))*IF(AND(Imóveis!$E$5&gt;0,Dados!$A1060&gt;Imóveis!$E$5),0,1)*Imóveis!$I$5</f>
        <v>0</v>
      </c>
      <c r="M1060" s="18">
        <f>IF(Imóveis!$F$6="PRICE",IF(AND(Dados!$A1060&gt;=Imóveis!$Q$6,Dados!$A1060&lt;=Imóveis!$T$6),Imóveis!$U$6,0),IF((IF(AND(Dados!$A1060&gt;=Imóveis!$Q$6,Dados!$A1060&lt;=Imóveis!$T$6),Imóveis!$S$6-(DATEDIF(Imóveis!$Q$6,Dados!$A1060,"m")),0))=0,0,((Imóveis!$N$6/Imóveis!$S$6)+((Imóveis!$N$6-((Imóveis!$S$6-(IF(AND(Dados!$A1060&gt;=Imóveis!$Q$6,Dados!$A1060&lt;=Imóveis!$T$6),Imóveis!$S$6-(DATEDIF(Imóveis!$Q$6,Dados!$A1060,"m")),)))*(Imóveis!$N$6/Imóveis!$S$6)))*Imóveis!$P$6))))*IF(AND(Imóveis!$E$6&gt;0,Dados!$A1060&gt;Imóveis!$E$6),0,1)*Imóveis!$I$6</f>
        <v>0</v>
      </c>
      <c r="N1060" s="18">
        <f t="shared" si="133"/>
        <v>0</v>
      </c>
      <c r="O1060" s="18">
        <f>SUMIFS(Receitas!$F:$F,Receitas!$J:$J,"&lt;="&amp;$A1060,Receitas!$L:$L,"&gt;="&amp;$A1060,Receitas!$C:$C,O$1,Receitas!$M:$M,"Mensal")+SUMIFS(Receitas!$F:$F,Receitas!$J:$J,"&lt;="&amp;$A1060,Receitas!$L:$L,"&gt;="&amp;$A1060,Receitas!$C:$C,O$1,Receitas!$M:$M,$B1060)</f>
        <v>0</v>
      </c>
      <c r="P1060" s="18">
        <f>SUMIFS(Receitas!$F:$F,Receitas!$J:$J,"&lt;="&amp;$A1060,Receitas!$L:$L,"&gt;="&amp;$A1060,Receitas!$C:$C,P$1,Receitas!$M:$M,"Mensal")+SUMIFS(Receitas!$F:$F,Receitas!$J:$J,"&lt;="&amp;$A1060,Receitas!$L:$L,"&gt;="&amp;$A1060,Receitas!$C:$C,P$1,Receitas!$M:$M,$B1060)</f>
        <v>0</v>
      </c>
      <c r="Q1060" s="18">
        <f>SUMIFS(Receitas!$F:$F,Receitas!$J:$J,"&lt;="&amp;$A1060,Receitas!$L:$L,"&gt;="&amp;$A1060,Receitas!$C:$C,Q$1,Receitas!$M:$M,"Mensal")+SUMIFS(Receitas!$F:$F,Receitas!$J:$J,"&lt;="&amp;$A1060,Receitas!$L:$L,"&gt;="&amp;$A1060,Receitas!$C:$C,Q$1,Receitas!$M:$M,$B1060)</f>
        <v>0</v>
      </c>
      <c r="R1060" s="18" cm="1">
        <f t="array" ref="R1060">(IF(AND(Membros!$F$2="Sim",A1060&lt;=MAX(Membros!$E$2:$E$5)),Membros!K$2,IF(AND(A1060&gt;=Membros!J$2,A1060&lt;=MAX(Membros!$E$2:$E$5)),Membros!K$2,0))+IF(AND(Membros!$F$3="Sim",A1060&lt;=MAX(Membros!$E$2:$E$5)),Membros!K$3,IF(AND(A1060&gt;=Membros!J$3,A1060&lt;=MAX(Membros!$E$2:$E$5)),Membros!K$3,0)))*IF(AND(COUNTIFS(Tabela3[Tipo],"Provedor",Tabela3[Simulação Seguro],"Sim")=2,A1060&gt;=MAX(IF(Tabela3[Tipo]="Dependente",Tabela3[Expectativa de Vida (Data)]))),0,1)</f>
        <v>0</v>
      </c>
      <c r="S1060" s="18">
        <f t="shared" si="134"/>
        <v>0</v>
      </c>
      <c r="U1060" s="18">
        <f t="shared" ca="1" si="137"/>
        <v>150125428.01999471</v>
      </c>
      <c r="V1060" s="18">
        <f>SUMIF(Imóveis!E:E,Dados!A:A,Imóveis!Z:Z)-SUMIF(Imóveis!E:E,Dados!A:A,Imóveis!Y:Y)</f>
        <v>0</v>
      </c>
      <c r="W1060" s="18">
        <f>-SUMIF(Projetos!N:N,A1060,Projetos!F:F)</f>
        <v>0</v>
      </c>
      <c r="X1060" s="18">
        <f t="shared" si="131"/>
        <v>0</v>
      </c>
      <c r="Y1060" s="26">
        <f ca="1">(U1060*((Indicadores_Economicos!D$2+1)^(1/12)-1))</f>
        <v>491471.58602869627</v>
      </c>
      <c r="Z1060" s="18">
        <f t="shared" ca="1" si="135"/>
        <v>150616899.6060234</v>
      </c>
      <c r="AA1060" s="18">
        <f ca="1">Auxiliar_Projetos!E1060</f>
        <v>1.2415618795703777E-8</v>
      </c>
      <c r="AB1060" s="18">
        <f ca="1">Auxiliar_Projetos!K1060</f>
        <v>9.5504759966952073E-9</v>
      </c>
      <c r="AC1060" s="18">
        <f ca="1">IF(Z1060-AA1060-AB1060&gt;Investimentos!$C$14,Investimentos!$C$14,IF(Z1060-AA1060-AB1060&lt;Investimentos!$C$14,Z1060-AA1060-AB1060,0))</f>
        <v>300000</v>
      </c>
      <c r="AD1060" s="18">
        <f t="shared" ca="1" si="136"/>
        <v>150316899.6060234</v>
      </c>
      <c r="AE1060" s="18"/>
    </row>
    <row r="1061" spans="1:31" x14ac:dyDescent="0.2">
      <c r="A1061" s="4">
        <v>77889</v>
      </c>
      <c r="B1061" s="5" t="str">
        <f t="shared" si="132"/>
        <v>abril</v>
      </c>
      <c r="C1061" s="5" t="str">
        <f t="shared" si="138"/>
        <v>2113</v>
      </c>
      <c r="D1061" s="5">
        <f>SUMIFS(Despesas!$F:$F,Despesas!$J:$J,"&lt;="&amp;$A1061,Despesas!$L:$L,"&gt;="&amp;$A1061,Despesas!$C:$C,D$1,Despesas!$M:$M,"Mensal")+SUMIFS(Despesas!$F:$F,Despesas!$J:$J,"&lt;="&amp;$A1061,Despesas!$L:$L,"&gt;="&amp;$A1061,Despesas!$C:$C,D$1,Despesas!$M:$M,$B1061)</f>
        <v>0</v>
      </c>
      <c r="E1061" s="18">
        <f>SUMIFS(Despesas!$F:$F,Despesas!$J:$J,"&lt;="&amp;$A1061,Despesas!$L:$L,"&gt;="&amp;$A1061,Despesas!$C:$C,E$1,Despesas!$M:$M,"Mensal")+SUMIFS(Despesas!$F:$F,Despesas!$J:$J,"&lt;="&amp;$A1061,Despesas!$L:$L,"&gt;="&amp;$A1061,Despesas!$C:$C,E$1,Despesas!$M:$M,$B1061)</f>
        <v>0</v>
      </c>
      <c r="F1061" s="5">
        <f>SUMIFS(Despesas!$F:$F,Despesas!$J:$J,"&lt;="&amp;$A1061,Despesas!$L:$L,"&gt;="&amp;$A1061,Despesas!$C:$C,F$1,Despesas!$M:$M,"Mensal")+SUMIFS(Despesas!$F:$F,Despesas!$J:$J,"&lt;="&amp;$A1061,Despesas!$L:$L,"&gt;="&amp;$A1061,Despesas!$C:$C,F$1,Despesas!$M:$M,$B1061)</f>
        <v>0</v>
      </c>
      <c r="G1061" s="5">
        <f>SUMIFS(Despesas!$F:$F,Despesas!$J:$J,"&lt;="&amp;$A1061,Despesas!$L:$L,"&gt;="&amp;$A1061,Despesas!$C:$C,G$1,Despesas!$M:$M,"Mensal")+SUMIFS(Despesas!$F:$F,Despesas!$J:$J,"&lt;="&amp;$A1061,Despesas!$L:$L,"&gt;="&amp;$A1061,Despesas!$C:$C,G$1,Despesas!$M:$M,$B1061)</f>
        <v>0</v>
      </c>
      <c r="H1061" s="18">
        <f>SUMIFS(Despesas!$F:$F,Despesas!$J:$J,"&lt;="&amp;$A1061,Despesas!$L:$L,"&gt;="&amp;$A1061,Despesas!$C:$C,H$1,Despesas!$M:$M,"Mensal")+SUMIFS(Despesas!$F:$F,Despesas!$J:$J,"&lt;="&amp;$A1061,Despesas!$L:$L,"&gt;="&amp;$A1061,Despesas!$C:$C,H$1,Despesas!$M:$M,$B1061)</f>
        <v>0</v>
      </c>
      <c r="I1061" s="18">
        <f>IF(Imóveis!$F$2="PRICE",IF(AND(Dados!$A1061&gt;=Imóveis!$Q$2,Dados!$A1061&lt;=Imóveis!$T$2),Imóveis!$U$2,0),IF((IF(AND(Dados!$A1061&gt;=Imóveis!$Q$2,Dados!$A1061&lt;=Imóveis!$T$2),Imóveis!$S$2-(DATEDIF(Imóveis!$Q$2,Dados!$A1061,"m")),0))=0,0,((Imóveis!$N$2/Imóveis!$S$2)+((Imóveis!$N$2-((Imóveis!$S$2-(IF(AND(Dados!$A1061&gt;=Imóveis!$Q$2,Dados!$A1061&lt;=Imóveis!$T$2),Imóveis!$S$2-(DATEDIF(Imóveis!$Q$2,Dados!$A1061,"m")),)))*(Imóveis!$N$2/Imóveis!$S$2)))*Imóveis!$P$2))))*IF(AND(Imóveis!$E$2&gt;0,Dados!$A1061&gt;Imóveis!$E$2),0,1)</f>
        <v>0</v>
      </c>
      <c r="J1061" s="18">
        <f>IF(Imóveis!$F$3="PRICE",IF(AND(Dados!$A1061&gt;=Imóveis!$Q$3,Dados!$A1061&lt;=Imóveis!$T$3),Imóveis!$U$3,0),IF((IF(AND(Dados!$A1061&gt;=Imóveis!$Q$3,Dados!$A1061&lt;=Imóveis!$T$3),Imóveis!$S$3-(DATEDIF(Imóveis!$Q$3,Dados!$A1061,"m")),0))=0,0,((Imóveis!$N$3/Imóveis!$S$3)+((Imóveis!$N$3-((Imóveis!$S$3-(IF(AND(Dados!$A1061&gt;=Imóveis!$Q$3,Dados!$A1061&lt;=Imóveis!$T$3),Imóveis!$S$3-(DATEDIF(Imóveis!$Q$3,Dados!$A1061,"m")),)))*(Imóveis!$N$3/Imóveis!$S$3)))*Imóveis!$P$3))))*IF(AND(Imóveis!$E$3&gt;0,Dados!$A1061&gt;Imóveis!$E$3),0,1)</f>
        <v>0</v>
      </c>
      <c r="K1061" s="18">
        <f>IF(Imóveis!$F$4="PRICE",IF(AND(Dados!$A1061&gt;=Imóveis!$Q$4,Dados!$A1061&lt;=Imóveis!$T$4),Imóveis!$U$4,0),IF((IF(AND(Dados!$A1061&gt;=Imóveis!$Q$4,Dados!$A1061&lt;=Imóveis!$T$4),Imóveis!$S$4-(DATEDIF(Imóveis!$Q$4,Dados!$A1061,"m")),0))=0,0,((Imóveis!$N$4/Imóveis!$S$4)+((Imóveis!$N$4-((Imóveis!$S$4-(IF(AND(Dados!$A1061&gt;=Imóveis!$Q$4,Dados!$A1061&lt;=Imóveis!$T$4),Imóveis!$S$4-(DATEDIF(Imóveis!$Q$4,Dados!$A1061,"m")),)))*(Imóveis!$N$4/Imóveis!$S$4)))*Imóveis!$P$4))))*IF(AND(Imóveis!$E$4&gt;0,Dados!$A1061&gt;Imóveis!$E$4),0,1)</f>
        <v>0</v>
      </c>
      <c r="L1061" s="18">
        <f>IF(Imóveis!$F$5="PRICE",IF(AND(Dados!$A1061&gt;=Imóveis!$Q$5,Dados!$A1061&lt;=Imóveis!$T$5),Imóveis!$U$5,0),IF((IF(AND(Dados!$A1061&gt;=Imóveis!$Q$5,Dados!$A1061&lt;=Imóveis!$T$5),Imóveis!$S$5-(DATEDIF(Imóveis!$Q$5,Dados!$A1061,"m")),0))=0,0,((Imóveis!$N$5/Imóveis!$S$5)+((Imóveis!$N$5-((Imóveis!$S$5-(IF(AND(Dados!$A1061 &gt;=Imóveis!$Q$5,Dados!$A1061&lt;=Imóveis!$T$5),Imóveis!$S$5-(DATEDIF(Imóveis!$Q$5,Dados!$A1061,"m")),)))*(Imóveis!$N$5/Imóveis!$S$5)))*Imóveis!$P$5))))*IF(AND(Imóveis!$E$5&gt;0,Dados!$A1061&gt;Imóveis!$E$5),0,1)*Imóveis!$I$5</f>
        <v>0</v>
      </c>
      <c r="M1061" s="18">
        <f>IF(Imóveis!$F$6="PRICE",IF(AND(Dados!$A1061&gt;=Imóveis!$Q$6,Dados!$A1061&lt;=Imóveis!$T$6),Imóveis!$U$6,0),IF((IF(AND(Dados!$A1061&gt;=Imóveis!$Q$6,Dados!$A1061&lt;=Imóveis!$T$6),Imóveis!$S$6-(DATEDIF(Imóveis!$Q$6,Dados!$A1061,"m")),0))=0,0,((Imóveis!$N$6/Imóveis!$S$6)+((Imóveis!$N$6-((Imóveis!$S$6-(IF(AND(Dados!$A1061&gt;=Imóveis!$Q$6,Dados!$A1061&lt;=Imóveis!$T$6),Imóveis!$S$6-(DATEDIF(Imóveis!$Q$6,Dados!$A1061,"m")),)))*(Imóveis!$N$6/Imóveis!$S$6)))*Imóveis!$P$6))))*IF(AND(Imóveis!$E$6&gt;0,Dados!$A1061&gt;Imóveis!$E$6),0,1)*Imóveis!$I$6</f>
        <v>0</v>
      </c>
      <c r="N1061" s="18">
        <f t="shared" si="133"/>
        <v>0</v>
      </c>
      <c r="O1061" s="18">
        <f>SUMIFS(Receitas!$F:$F,Receitas!$J:$J,"&lt;="&amp;$A1061,Receitas!$L:$L,"&gt;="&amp;$A1061,Receitas!$C:$C,O$1,Receitas!$M:$M,"Mensal")+SUMIFS(Receitas!$F:$F,Receitas!$J:$J,"&lt;="&amp;$A1061,Receitas!$L:$L,"&gt;="&amp;$A1061,Receitas!$C:$C,O$1,Receitas!$M:$M,$B1061)</f>
        <v>0</v>
      </c>
      <c r="P1061" s="18">
        <f>SUMIFS(Receitas!$F:$F,Receitas!$J:$J,"&lt;="&amp;$A1061,Receitas!$L:$L,"&gt;="&amp;$A1061,Receitas!$C:$C,P$1,Receitas!$M:$M,"Mensal")+SUMIFS(Receitas!$F:$F,Receitas!$J:$J,"&lt;="&amp;$A1061,Receitas!$L:$L,"&gt;="&amp;$A1061,Receitas!$C:$C,P$1,Receitas!$M:$M,$B1061)</f>
        <v>0</v>
      </c>
      <c r="Q1061" s="18">
        <f>SUMIFS(Receitas!$F:$F,Receitas!$J:$J,"&lt;="&amp;$A1061,Receitas!$L:$L,"&gt;="&amp;$A1061,Receitas!$C:$C,Q$1,Receitas!$M:$M,"Mensal")+SUMIFS(Receitas!$F:$F,Receitas!$J:$J,"&lt;="&amp;$A1061,Receitas!$L:$L,"&gt;="&amp;$A1061,Receitas!$C:$C,Q$1,Receitas!$M:$M,$B1061)</f>
        <v>0</v>
      </c>
      <c r="R1061" s="18" cm="1">
        <f t="array" ref="R1061">(IF(AND(Membros!$F$2="Sim",A1061&lt;=MAX(Membros!$E$2:$E$5)),Membros!K$2,IF(AND(A1061&gt;=Membros!J$2,A1061&lt;=MAX(Membros!$E$2:$E$5)),Membros!K$2,0))+IF(AND(Membros!$F$3="Sim",A1061&lt;=MAX(Membros!$E$2:$E$5)),Membros!K$3,IF(AND(A1061&gt;=Membros!J$3,A1061&lt;=MAX(Membros!$E$2:$E$5)),Membros!K$3,0)))*IF(AND(COUNTIFS(Tabela3[Tipo],"Provedor",Tabela3[Simulação Seguro],"Sim")=2,A1061&gt;=MAX(IF(Tabela3[Tipo]="Dependente",Tabela3[Expectativa de Vida (Data)]))),0,1)</f>
        <v>0</v>
      </c>
      <c r="S1061" s="18">
        <f t="shared" si="134"/>
        <v>0</v>
      </c>
      <c r="U1061" s="18">
        <f t="shared" ca="1" si="137"/>
        <v>150616899.6060234</v>
      </c>
      <c r="V1061" s="18">
        <f>SUMIF(Imóveis!E:E,Dados!A:A,Imóveis!Z:Z)-SUMIF(Imóveis!E:E,Dados!A:A,Imóveis!Y:Y)</f>
        <v>0</v>
      </c>
      <c r="W1061" s="18">
        <f>-SUMIF(Projetos!N:N,A1061,Projetos!F:F)</f>
        <v>0</v>
      </c>
      <c r="X1061" s="18">
        <f t="shared" si="131"/>
        <v>0</v>
      </c>
      <c r="Y1061" s="26">
        <f ca="1">(U1061*((Indicadores_Economicos!D$2+1)^(1/12)-1))</f>
        <v>493080.53611169884</v>
      </c>
      <c r="Z1061" s="18">
        <f t="shared" ca="1" si="135"/>
        <v>151109980.14213511</v>
      </c>
      <c r="AA1061" s="18">
        <f ca="1">Auxiliar_Projetos!E1061</f>
        <v>1.2456264300875889E-8</v>
      </c>
      <c r="AB1061" s="18">
        <f ca="1">Auxiliar_Projetos!K1061</f>
        <v>9.5817417699045238E-9</v>
      </c>
      <c r="AC1061" s="18">
        <f ca="1">IF(Z1061-AA1061-AB1061&gt;Investimentos!$C$14,Investimentos!$C$14,IF(Z1061-AA1061-AB1061&lt;Investimentos!$C$14,Z1061-AA1061-AB1061,0))</f>
        <v>300000</v>
      </c>
      <c r="AD1061" s="18">
        <f t="shared" ca="1" si="136"/>
        <v>150809980.14213511</v>
      </c>
      <c r="AE1061" s="18"/>
    </row>
    <row r="1062" spans="1:31" x14ac:dyDescent="0.2">
      <c r="A1062" s="4">
        <v>77919</v>
      </c>
      <c r="B1062" s="5" t="str">
        <f t="shared" si="132"/>
        <v>maio</v>
      </c>
      <c r="C1062" s="5" t="str">
        <f t="shared" si="138"/>
        <v>2113</v>
      </c>
      <c r="D1062" s="5">
        <f>SUMIFS(Despesas!$F:$F,Despesas!$J:$J,"&lt;="&amp;$A1062,Despesas!$L:$L,"&gt;="&amp;$A1062,Despesas!$C:$C,D$1,Despesas!$M:$M,"Mensal")+SUMIFS(Despesas!$F:$F,Despesas!$J:$J,"&lt;="&amp;$A1062,Despesas!$L:$L,"&gt;="&amp;$A1062,Despesas!$C:$C,D$1,Despesas!$M:$M,$B1062)</f>
        <v>0</v>
      </c>
      <c r="E1062" s="18">
        <f>SUMIFS(Despesas!$F:$F,Despesas!$J:$J,"&lt;="&amp;$A1062,Despesas!$L:$L,"&gt;="&amp;$A1062,Despesas!$C:$C,E$1,Despesas!$M:$M,"Mensal")+SUMIFS(Despesas!$F:$F,Despesas!$J:$J,"&lt;="&amp;$A1062,Despesas!$L:$L,"&gt;="&amp;$A1062,Despesas!$C:$C,E$1,Despesas!$M:$M,$B1062)</f>
        <v>0</v>
      </c>
      <c r="F1062" s="5">
        <f>SUMIFS(Despesas!$F:$F,Despesas!$J:$J,"&lt;="&amp;$A1062,Despesas!$L:$L,"&gt;="&amp;$A1062,Despesas!$C:$C,F$1,Despesas!$M:$M,"Mensal")+SUMIFS(Despesas!$F:$F,Despesas!$J:$J,"&lt;="&amp;$A1062,Despesas!$L:$L,"&gt;="&amp;$A1062,Despesas!$C:$C,F$1,Despesas!$M:$M,$B1062)</f>
        <v>0</v>
      </c>
      <c r="G1062" s="5">
        <f>SUMIFS(Despesas!$F:$F,Despesas!$J:$J,"&lt;="&amp;$A1062,Despesas!$L:$L,"&gt;="&amp;$A1062,Despesas!$C:$C,G$1,Despesas!$M:$M,"Mensal")+SUMIFS(Despesas!$F:$F,Despesas!$J:$J,"&lt;="&amp;$A1062,Despesas!$L:$L,"&gt;="&amp;$A1062,Despesas!$C:$C,G$1,Despesas!$M:$M,$B1062)</f>
        <v>0</v>
      </c>
      <c r="H1062" s="18">
        <f>SUMIFS(Despesas!$F:$F,Despesas!$J:$J,"&lt;="&amp;$A1062,Despesas!$L:$L,"&gt;="&amp;$A1062,Despesas!$C:$C,H$1,Despesas!$M:$M,"Mensal")+SUMIFS(Despesas!$F:$F,Despesas!$J:$J,"&lt;="&amp;$A1062,Despesas!$L:$L,"&gt;="&amp;$A1062,Despesas!$C:$C,H$1,Despesas!$M:$M,$B1062)</f>
        <v>0</v>
      </c>
      <c r="I1062" s="18">
        <f>IF(Imóveis!$F$2="PRICE",IF(AND(Dados!$A1062&gt;=Imóveis!$Q$2,Dados!$A1062&lt;=Imóveis!$T$2),Imóveis!$U$2,0),IF((IF(AND(Dados!$A1062&gt;=Imóveis!$Q$2,Dados!$A1062&lt;=Imóveis!$T$2),Imóveis!$S$2-(DATEDIF(Imóveis!$Q$2,Dados!$A1062,"m")),0))=0,0,((Imóveis!$N$2/Imóveis!$S$2)+((Imóveis!$N$2-((Imóveis!$S$2-(IF(AND(Dados!$A1062&gt;=Imóveis!$Q$2,Dados!$A1062&lt;=Imóveis!$T$2),Imóveis!$S$2-(DATEDIF(Imóveis!$Q$2,Dados!$A1062,"m")),)))*(Imóveis!$N$2/Imóveis!$S$2)))*Imóveis!$P$2))))*IF(AND(Imóveis!$E$2&gt;0,Dados!$A1062&gt;Imóveis!$E$2),0,1)</f>
        <v>0</v>
      </c>
      <c r="J1062" s="18">
        <f>IF(Imóveis!$F$3="PRICE",IF(AND(Dados!$A1062&gt;=Imóveis!$Q$3,Dados!$A1062&lt;=Imóveis!$T$3),Imóveis!$U$3,0),IF((IF(AND(Dados!$A1062&gt;=Imóveis!$Q$3,Dados!$A1062&lt;=Imóveis!$T$3),Imóveis!$S$3-(DATEDIF(Imóveis!$Q$3,Dados!$A1062,"m")),0))=0,0,((Imóveis!$N$3/Imóveis!$S$3)+((Imóveis!$N$3-((Imóveis!$S$3-(IF(AND(Dados!$A1062&gt;=Imóveis!$Q$3,Dados!$A1062&lt;=Imóveis!$T$3),Imóveis!$S$3-(DATEDIF(Imóveis!$Q$3,Dados!$A1062,"m")),)))*(Imóveis!$N$3/Imóveis!$S$3)))*Imóveis!$P$3))))*IF(AND(Imóveis!$E$3&gt;0,Dados!$A1062&gt;Imóveis!$E$3),0,1)</f>
        <v>0</v>
      </c>
      <c r="K1062" s="18">
        <f>IF(Imóveis!$F$4="PRICE",IF(AND(Dados!$A1062&gt;=Imóveis!$Q$4,Dados!$A1062&lt;=Imóveis!$T$4),Imóveis!$U$4,0),IF((IF(AND(Dados!$A1062&gt;=Imóveis!$Q$4,Dados!$A1062&lt;=Imóveis!$T$4),Imóveis!$S$4-(DATEDIF(Imóveis!$Q$4,Dados!$A1062,"m")),0))=0,0,((Imóveis!$N$4/Imóveis!$S$4)+((Imóveis!$N$4-((Imóveis!$S$4-(IF(AND(Dados!$A1062&gt;=Imóveis!$Q$4,Dados!$A1062&lt;=Imóveis!$T$4),Imóveis!$S$4-(DATEDIF(Imóveis!$Q$4,Dados!$A1062,"m")),)))*(Imóveis!$N$4/Imóveis!$S$4)))*Imóveis!$P$4))))*IF(AND(Imóveis!$E$4&gt;0,Dados!$A1062&gt;Imóveis!$E$4),0,1)</f>
        <v>0</v>
      </c>
      <c r="L1062" s="18">
        <f>IF(Imóveis!$F$5="PRICE",IF(AND(Dados!$A1062&gt;=Imóveis!$Q$5,Dados!$A1062&lt;=Imóveis!$T$5),Imóveis!$U$5,0),IF((IF(AND(Dados!$A1062&gt;=Imóveis!$Q$5,Dados!$A1062&lt;=Imóveis!$T$5),Imóveis!$S$5-(DATEDIF(Imóveis!$Q$5,Dados!$A1062,"m")),0))=0,0,((Imóveis!$N$5/Imóveis!$S$5)+((Imóveis!$N$5-((Imóveis!$S$5-(IF(AND(Dados!$A1062 &gt;=Imóveis!$Q$5,Dados!$A1062&lt;=Imóveis!$T$5),Imóveis!$S$5-(DATEDIF(Imóveis!$Q$5,Dados!$A1062,"m")),)))*(Imóveis!$N$5/Imóveis!$S$5)))*Imóveis!$P$5))))*IF(AND(Imóveis!$E$5&gt;0,Dados!$A1062&gt;Imóveis!$E$5),0,1)*Imóveis!$I$5</f>
        <v>0</v>
      </c>
      <c r="M1062" s="18">
        <f>IF(Imóveis!$F$6="PRICE",IF(AND(Dados!$A1062&gt;=Imóveis!$Q$6,Dados!$A1062&lt;=Imóveis!$T$6),Imóveis!$U$6,0),IF((IF(AND(Dados!$A1062&gt;=Imóveis!$Q$6,Dados!$A1062&lt;=Imóveis!$T$6),Imóveis!$S$6-(DATEDIF(Imóveis!$Q$6,Dados!$A1062,"m")),0))=0,0,((Imóveis!$N$6/Imóveis!$S$6)+((Imóveis!$N$6-((Imóveis!$S$6-(IF(AND(Dados!$A1062&gt;=Imóveis!$Q$6,Dados!$A1062&lt;=Imóveis!$T$6),Imóveis!$S$6-(DATEDIF(Imóveis!$Q$6,Dados!$A1062,"m")),)))*(Imóveis!$N$6/Imóveis!$S$6)))*Imóveis!$P$6))))*IF(AND(Imóveis!$E$6&gt;0,Dados!$A1062&gt;Imóveis!$E$6),0,1)*Imóveis!$I$6</f>
        <v>0</v>
      </c>
      <c r="N1062" s="18">
        <f t="shared" si="133"/>
        <v>0</v>
      </c>
      <c r="O1062" s="18">
        <f>SUMIFS(Receitas!$F:$F,Receitas!$J:$J,"&lt;="&amp;$A1062,Receitas!$L:$L,"&gt;="&amp;$A1062,Receitas!$C:$C,O$1,Receitas!$M:$M,"Mensal")+SUMIFS(Receitas!$F:$F,Receitas!$J:$J,"&lt;="&amp;$A1062,Receitas!$L:$L,"&gt;="&amp;$A1062,Receitas!$C:$C,O$1,Receitas!$M:$M,$B1062)</f>
        <v>0</v>
      </c>
      <c r="P1062" s="18">
        <f>SUMIFS(Receitas!$F:$F,Receitas!$J:$J,"&lt;="&amp;$A1062,Receitas!$L:$L,"&gt;="&amp;$A1062,Receitas!$C:$C,P$1,Receitas!$M:$M,"Mensal")+SUMIFS(Receitas!$F:$F,Receitas!$J:$J,"&lt;="&amp;$A1062,Receitas!$L:$L,"&gt;="&amp;$A1062,Receitas!$C:$C,P$1,Receitas!$M:$M,$B1062)</f>
        <v>0</v>
      </c>
      <c r="Q1062" s="18">
        <f>SUMIFS(Receitas!$F:$F,Receitas!$J:$J,"&lt;="&amp;$A1062,Receitas!$L:$L,"&gt;="&amp;$A1062,Receitas!$C:$C,Q$1,Receitas!$M:$M,"Mensal")+SUMIFS(Receitas!$F:$F,Receitas!$J:$J,"&lt;="&amp;$A1062,Receitas!$L:$L,"&gt;="&amp;$A1062,Receitas!$C:$C,Q$1,Receitas!$M:$M,$B1062)</f>
        <v>0</v>
      </c>
      <c r="R1062" s="18" cm="1">
        <f t="array" ref="R1062">(IF(AND(Membros!$F$2="Sim",A1062&lt;=MAX(Membros!$E$2:$E$5)),Membros!K$2,IF(AND(A1062&gt;=Membros!J$2,A1062&lt;=MAX(Membros!$E$2:$E$5)),Membros!K$2,0))+IF(AND(Membros!$F$3="Sim",A1062&lt;=MAX(Membros!$E$2:$E$5)),Membros!K$3,IF(AND(A1062&gt;=Membros!J$3,A1062&lt;=MAX(Membros!$E$2:$E$5)),Membros!K$3,0)))*IF(AND(COUNTIFS(Tabela3[Tipo],"Provedor",Tabela3[Simulação Seguro],"Sim")=2,A1062&gt;=MAX(IF(Tabela3[Tipo]="Dependente",Tabela3[Expectativa de Vida (Data)]))),0,1)</f>
        <v>0</v>
      </c>
      <c r="S1062" s="18">
        <f t="shared" si="134"/>
        <v>0</v>
      </c>
      <c r="U1062" s="18">
        <f t="shared" ca="1" si="137"/>
        <v>151109980.14213511</v>
      </c>
      <c r="V1062" s="18">
        <f>SUMIF(Imóveis!E:E,Dados!A:A,Imóveis!Z:Z)-SUMIF(Imóveis!E:E,Dados!A:A,Imóveis!Y:Y)</f>
        <v>0</v>
      </c>
      <c r="W1062" s="18">
        <f>-SUMIF(Projetos!N:N,A1062,Projetos!F:F)</f>
        <v>0</v>
      </c>
      <c r="X1062" s="18">
        <f t="shared" si="131"/>
        <v>0</v>
      </c>
      <c r="Y1062" s="26">
        <f ca="1">(U1062*((Indicadores_Economicos!D$2+1)^(1/12)-1))</f>
        <v>494694.7534785957</v>
      </c>
      <c r="Z1062" s="18">
        <f t="shared" ca="1" si="135"/>
        <v>151604674.8956137</v>
      </c>
      <c r="AA1062" s="18">
        <f ca="1">Auxiliar_Projetos!E1062</f>
        <v>1.249704286885525E-8</v>
      </c>
      <c r="AB1062" s="18">
        <f ca="1">Auxiliar_Projetos!K1062</f>
        <v>9.6131098991194167E-9</v>
      </c>
      <c r="AC1062" s="18">
        <f ca="1">IF(Z1062-AA1062-AB1062&gt;Investimentos!$C$14,Investimentos!$C$14,IF(Z1062-AA1062-AB1062&lt;Investimentos!$C$14,Z1062-AA1062-AB1062,0))</f>
        <v>300000</v>
      </c>
      <c r="AD1062" s="18">
        <f t="shared" ca="1" si="136"/>
        <v>151304674.8956137</v>
      </c>
      <c r="AE1062" s="18"/>
    </row>
    <row r="1063" spans="1:31" x14ac:dyDescent="0.2">
      <c r="A1063" s="4">
        <v>77950</v>
      </c>
      <c r="B1063" s="5" t="str">
        <f t="shared" si="132"/>
        <v>junho</v>
      </c>
      <c r="C1063" s="5" t="str">
        <f t="shared" si="138"/>
        <v>2113</v>
      </c>
      <c r="D1063" s="5">
        <f>SUMIFS(Despesas!$F:$F,Despesas!$J:$J,"&lt;="&amp;$A1063,Despesas!$L:$L,"&gt;="&amp;$A1063,Despesas!$C:$C,D$1,Despesas!$M:$M,"Mensal")+SUMIFS(Despesas!$F:$F,Despesas!$J:$J,"&lt;="&amp;$A1063,Despesas!$L:$L,"&gt;="&amp;$A1063,Despesas!$C:$C,D$1,Despesas!$M:$M,$B1063)</f>
        <v>0</v>
      </c>
      <c r="E1063" s="18">
        <f>SUMIFS(Despesas!$F:$F,Despesas!$J:$J,"&lt;="&amp;$A1063,Despesas!$L:$L,"&gt;="&amp;$A1063,Despesas!$C:$C,E$1,Despesas!$M:$M,"Mensal")+SUMIFS(Despesas!$F:$F,Despesas!$J:$J,"&lt;="&amp;$A1063,Despesas!$L:$L,"&gt;="&amp;$A1063,Despesas!$C:$C,E$1,Despesas!$M:$M,$B1063)</f>
        <v>0</v>
      </c>
      <c r="F1063" s="5">
        <f>SUMIFS(Despesas!$F:$F,Despesas!$J:$J,"&lt;="&amp;$A1063,Despesas!$L:$L,"&gt;="&amp;$A1063,Despesas!$C:$C,F$1,Despesas!$M:$M,"Mensal")+SUMIFS(Despesas!$F:$F,Despesas!$J:$J,"&lt;="&amp;$A1063,Despesas!$L:$L,"&gt;="&amp;$A1063,Despesas!$C:$C,F$1,Despesas!$M:$M,$B1063)</f>
        <v>0</v>
      </c>
      <c r="G1063" s="5">
        <f>SUMIFS(Despesas!$F:$F,Despesas!$J:$J,"&lt;="&amp;$A1063,Despesas!$L:$L,"&gt;="&amp;$A1063,Despesas!$C:$C,G$1,Despesas!$M:$M,"Mensal")+SUMIFS(Despesas!$F:$F,Despesas!$J:$J,"&lt;="&amp;$A1063,Despesas!$L:$L,"&gt;="&amp;$A1063,Despesas!$C:$C,G$1,Despesas!$M:$M,$B1063)</f>
        <v>0</v>
      </c>
      <c r="H1063" s="18">
        <f>SUMIFS(Despesas!$F:$F,Despesas!$J:$J,"&lt;="&amp;$A1063,Despesas!$L:$L,"&gt;="&amp;$A1063,Despesas!$C:$C,H$1,Despesas!$M:$M,"Mensal")+SUMIFS(Despesas!$F:$F,Despesas!$J:$J,"&lt;="&amp;$A1063,Despesas!$L:$L,"&gt;="&amp;$A1063,Despesas!$C:$C,H$1,Despesas!$M:$M,$B1063)</f>
        <v>0</v>
      </c>
      <c r="I1063" s="18">
        <f>IF(Imóveis!$F$2="PRICE",IF(AND(Dados!$A1063&gt;=Imóveis!$Q$2,Dados!$A1063&lt;=Imóveis!$T$2),Imóveis!$U$2,0),IF((IF(AND(Dados!$A1063&gt;=Imóveis!$Q$2,Dados!$A1063&lt;=Imóveis!$T$2),Imóveis!$S$2-(DATEDIF(Imóveis!$Q$2,Dados!$A1063,"m")),0))=0,0,((Imóveis!$N$2/Imóveis!$S$2)+((Imóveis!$N$2-((Imóveis!$S$2-(IF(AND(Dados!$A1063&gt;=Imóveis!$Q$2,Dados!$A1063&lt;=Imóveis!$T$2),Imóveis!$S$2-(DATEDIF(Imóveis!$Q$2,Dados!$A1063,"m")),)))*(Imóveis!$N$2/Imóveis!$S$2)))*Imóveis!$P$2))))*IF(AND(Imóveis!$E$2&gt;0,Dados!$A1063&gt;Imóveis!$E$2),0,1)</f>
        <v>0</v>
      </c>
      <c r="J1063" s="18">
        <f>IF(Imóveis!$F$3="PRICE",IF(AND(Dados!$A1063&gt;=Imóveis!$Q$3,Dados!$A1063&lt;=Imóveis!$T$3),Imóveis!$U$3,0),IF((IF(AND(Dados!$A1063&gt;=Imóveis!$Q$3,Dados!$A1063&lt;=Imóveis!$T$3),Imóveis!$S$3-(DATEDIF(Imóveis!$Q$3,Dados!$A1063,"m")),0))=0,0,((Imóveis!$N$3/Imóveis!$S$3)+((Imóveis!$N$3-((Imóveis!$S$3-(IF(AND(Dados!$A1063&gt;=Imóveis!$Q$3,Dados!$A1063&lt;=Imóveis!$T$3),Imóveis!$S$3-(DATEDIF(Imóveis!$Q$3,Dados!$A1063,"m")),)))*(Imóveis!$N$3/Imóveis!$S$3)))*Imóveis!$P$3))))*IF(AND(Imóveis!$E$3&gt;0,Dados!$A1063&gt;Imóveis!$E$3),0,1)</f>
        <v>0</v>
      </c>
      <c r="K1063" s="18">
        <f>IF(Imóveis!$F$4="PRICE",IF(AND(Dados!$A1063&gt;=Imóveis!$Q$4,Dados!$A1063&lt;=Imóveis!$T$4),Imóveis!$U$4,0),IF((IF(AND(Dados!$A1063&gt;=Imóveis!$Q$4,Dados!$A1063&lt;=Imóveis!$T$4),Imóveis!$S$4-(DATEDIF(Imóveis!$Q$4,Dados!$A1063,"m")),0))=0,0,((Imóveis!$N$4/Imóveis!$S$4)+((Imóveis!$N$4-((Imóveis!$S$4-(IF(AND(Dados!$A1063&gt;=Imóveis!$Q$4,Dados!$A1063&lt;=Imóveis!$T$4),Imóveis!$S$4-(DATEDIF(Imóveis!$Q$4,Dados!$A1063,"m")),)))*(Imóveis!$N$4/Imóveis!$S$4)))*Imóveis!$P$4))))*IF(AND(Imóveis!$E$4&gt;0,Dados!$A1063&gt;Imóveis!$E$4),0,1)</f>
        <v>0</v>
      </c>
      <c r="L1063" s="18">
        <f>IF(Imóveis!$F$5="PRICE",IF(AND(Dados!$A1063&gt;=Imóveis!$Q$5,Dados!$A1063&lt;=Imóveis!$T$5),Imóveis!$U$5,0),IF((IF(AND(Dados!$A1063&gt;=Imóveis!$Q$5,Dados!$A1063&lt;=Imóveis!$T$5),Imóveis!$S$5-(DATEDIF(Imóveis!$Q$5,Dados!$A1063,"m")),0))=0,0,((Imóveis!$N$5/Imóveis!$S$5)+((Imóveis!$N$5-((Imóveis!$S$5-(IF(AND(Dados!$A1063 &gt;=Imóveis!$Q$5,Dados!$A1063&lt;=Imóveis!$T$5),Imóveis!$S$5-(DATEDIF(Imóveis!$Q$5,Dados!$A1063,"m")),)))*(Imóveis!$N$5/Imóveis!$S$5)))*Imóveis!$P$5))))*IF(AND(Imóveis!$E$5&gt;0,Dados!$A1063&gt;Imóveis!$E$5),0,1)*Imóveis!$I$5</f>
        <v>0</v>
      </c>
      <c r="M1063" s="18">
        <f>IF(Imóveis!$F$6="PRICE",IF(AND(Dados!$A1063&gt;=Imóveis!$Q$6,Dados!$A1063&lt;=Imóveis!$T$6),Imóveis!$U$6,0),IF((IF(AND(Dados!$A1063&gt;=Imóveis!$Q$6,Dados!$A1063&lt;=Imóveis!$T$6),Imóveis!$S$6-(DATEDIF(Imóveis!$Q$6,Dados!$A1063,"m")),0))=0,0,((Imóveis!$N$6/Imóveis!$S$6)+((Imóveis!$N$6-((Imóveis!$S$6-(IF(AND(Dados!$A1063&gt;=Imóveis!$Q$6,Dados!$A1063&lt;=Imóveis!$T$6),Imóveis!$S$6-(DATEDIF(Imóveis!$Q$6,Dados!$A1063,"m")),)))*(Imóveis!$N$6/Imóveis!$S$6)))*Imóveis!$P$6))))*IF(AND(Imóveis!$E$6&gt;0,Dados!$A1063&gt;Imóveis!$E$6),0,1)*Imóveis!$I$6</f>
        <v>0</v>
      </c>
      <c r="N1063" s="18">
        <f t="shared" si="133"/>
        <v>0</v>
      </c>
      <c r="O1063" s="18">
        <f>SUMIFS(Receitas!$F:$F,Receitas!$J:$J,"&lt;="&amp;$A1063,Receitas!$L:$L,"&gt;="&amp;$A1063,Receitas!$C:$C,O$1,Receitas!$M:$M,"Mensal")+SUMIFS(Receitas!$F:$F,Receitas!$J:$J,"&lt;="&amp;$A1063,Receitas!$L:$L,"&gt;="&amp;$A1063,Receitas!$C:$C,O$1,Receitas!$M:$M,$B1063)</f>
        <v>0</v>
      </c>
      <c r="P1063" s="18">
        <f>SUMIFS(Receitas!$F:$F,Receitas!$J:$J,"&lt;="&amp;$A1063,Receitas!$L:$L,"&gt;="&amp;$A1063,Receitas!$C:$C,P$1,Receitas!$M:$M,"Mensal")+SUMIFS(Receitas!$F:$F,Receitas!$J:$J,"&lt;="&amp;$A1063,Receitas!$L:$L,"&gt;="&amp;$A1063,Receitas!$C:$C,P$1,Receitas!$M:$M,$B1063)</f>
        <v>0</v>
      </c>
      <c r="Q1063" s="18">
        <f>SUMIFS(Receitas!$F:$F,Receitas!$J:$J,"&lt;="&amp;$A1063,Receitas!$L:$L,"&gt;="&amp;$A1063,Receitas!$C:$C,Q$1,Receitas!$M:$M,"Mensal")+SUMIFS(Receitas!$F:$F,Receitas!$J:$J,"&lt;="&amp;$A1063,Receitas!$L:$L,"&gt;="&amp;$A1063,Receitas!$C:$C,Q$1,Receitas!$M:$M,$B1063)</f>
        <v>0</v>
      </c>
      <c r="R1063" s="18" cm="1">
        <f t="array" ref="R1063">(IF(AND(Membros!$F$2="Sim",A1063&lt;=MAX(Membros!$E$2:$E$5)),Membros!K$2,IF(AND(A1063&gt;=Membros!J$2,A1063&lt;=MAX(Membros!$E$2:$E$5)),Membros!K$2,0))+IF(AND(Membros!$F$3="Sim",A1063&lt;=MAX(Membros!$E$2:$E$5)),Membros!K$3,IF(AND(A1063&gt;=Membros!J$3,A1063&lt;=MAX(Membros!$E$2:$E$5)),Membros!K$3,0)))*IF(AND(COUNTIFS(Tabela3[Tipo],"Provedor",Tabela3[Simulação Seguro],"Sim")=2,A1063&gt;=MAX(IF(Tabela3[Tipo]="Dependente",Tabela3[Expectativa de Vida (Data)]))),0,1)</f>
        <v>0</v>
      </c>
      <c r="S1063" s="18">
        <f t="shared" si="134"/>
        <v>0</v>
      </c>
      <c r="U1063" s="18">
        <f t="shared" ca="1" si="137"/>
        <v>151604674.8956137</v>
      </c>
      <c r="V1063" s="18">
        <f>SUMIF(Imóveis!E:E,Dados!A:A,Imóveis!Z:Z)-SUMIF(Imóveis!E:E,Dados!A:A,Imóveis!Y:Y)</f>
        <v>0</v>
      </c>
      <c r="W1063" s="18">
        <f>-SUMIF(Projetos!N:N,A1063,Projetos!F:F)</f>
        <v>0</v>
      </c>
      <c r="X1063" s="18">
        <f t="shared" si="131"/>
        <v>0</v>
      </c>
      <c r="Y1063" s="26">
        <f ca="1">(U1063*((Indicadores_Economicos!D$2+1)^(1/12)-1))</f>
        <v>496314.25537310366</v>
      </c>
      <c r="Z1063" s="18">
        <f t="shared" ca="1" si="135"/>
        <v>152100989.15098679</v>
      </c>
      <c r="AA1063" s="18">
        <f ca="1">Auxiliar_Projetos!E1063</f>
        <v>1.2537954935254866E-8</v>
      </c>
      <c r="AB1063" s="18">
        <f ca="1">Auxiliar_Projetos!K1063</f>
        <v>9.6445807194268148E-9</v>
      </c>
      <c r="AC1063" s="18">
        <f ca="1">IF(Z1063-AA1063-AB1063&gt;Investimentos!$C$14,Investimentos!$C$14,IF(Z1063-AA1063-AB1063&lt;Investimentos!$C$14,Z1063-AA1063-AB1063,0))</f>
        <v>300000</v>
      </c>
      <c r="AD1063" s="18">
        <f t="shared" ca="1" si="136"/>
        <v>151800989.15098679</v>
      </c>
      <c r="AE1063" s="18"/>
    </row>
    <row r="1064" spans="1:31" x14ac:dyDescent="0.2">
      <c r="A1064" s="4">
        <v>77980</v>
      </c>
      <c r="B1064" s="5" t="str">
        <f t="shared" si="132"/>
        <v>julho</v>
      </c>
      <c r="C1064" s="5" t="str">
        <f t="shared" si="138"/>
        <v>2113</v>
      </c>
      <c r="D1064" s="5">
        <f>SUMIFS(Despesas!$F:$F,Despesas!$J:$J,"&lt;="&amp;$A1064,Despesas!$L:$L,"&gt;="&amp;$A1064,Despesas!$C:$C,D$1,Despesas!$M:$M,"Mensal")+SUMIFS(Despesas!$F:$F,Despesas!$J:$J,"&lt;="&amp;$A1064,Despesas!$L:$L,"&gt;="&amp;$A1064,Despesas!$C:$C,D$1,Despesas!$M:$M,$B1064)</f>
        <v>0</v>
      </c>
      <c r="E1064" s="18">
        <f>SUMIFS(Despesas!$F:$F,Despesas!$J:$J,"&lt;="&amp;$A1064,Despesas!$L:$L,"&gt;="&amp;$A1064,Despesas!$C:$C,E$1,Despesas!$M:$M,"Mensal")+SUMIFS(Despesas!$F:$F,Despesas!$J:$J,"&lt;="&amp;$A1064,Despesas!$L:$L,"&gt;="&amp;$A1064,Despesas!$C:$C,E$1,Despesas!$M:$M,$B1064)</f>
        <v>0</v>
      </c>
      <c r="F1064" s="5">
        <f>SUMIFS(Despesas!$F:$F,Despesas!$J:$J,"&lt;="&amp;$A1064,Despesas!$L:$L,"&gt;="&amp;$A1064,Despesas!$C:$C,F$1,Despesas!$M:$M,"Mensal")+SUMIFS(Despesas!$F:$F,Despesas!$J:$J,"&lt;="&amp;$A1064,Despesas!$L:$L,"&gt;="&amp;$A1064,Despesas!$C:$C,F$1,Despesas!$M:$M,$B1064)</f>
        <v>0</v>
      </c>
      <c r="G1064" s="5">
        <f>SUMIFS(Despesas!$F:$F,Despesas!$J:$J,"&lt;="&amp;$A1064,Despesas!$L:$L,"&gt;="&amp;$A1064,Despesas!$C:$C,G$1,Despesas!$M:$M,"Mensal")+SUMIFS(Despesas!$F:$F,Despesas!$J:$J,"&lt;="&amp;$A1064,Despesas!$L:$L,"&gt;="&amp;$A1064,Despesas!$C:$C,G$1,Despesas!$M:$M,$B1064)</f>
        <v>0</v>
      </c>
      <c r="H1064" s="18">
        <f>SUMIFS(Despesas!$F:$F,Despesas!$J:$J,"&lt;="&amp;$A1064,Despesas!$L:$L,"&gt;="&amp;$A1064,Despesas!$C:$C,H$1,Despesas!$M:$M,"Mensal")+SUMIFS(Despesas!$F:$F,Despesas!$J:$J,"&lt;="&amp;$A1064,Despesas!$L:$L,"&gt;="&amp;$A1064,Despesas!$C:$C,H$1,Despesas!$M:$M,$B1064)</f>
        <v>0</v>
      </c>
      <c r="I1064" s="18">
        <f>IF(Imóveis!$F$2="PRICE",IF(AND(Dados!$A1064&gt;=Imóveis!$Q$2,Dados!$A1064&lt;=Imóveis!$T$2),Imóveis!$U$2,0),IF((IF(AND(Dados!$A1064&gt;=Imóveis!$Q$2,Dados!$A1064&lt;=Imóveis!$T$2),Imóveis!$S$2-(DATEDIF(Imóveis!$Q$2,Dados!$A1064,"m")),0))=0,0,((Imóveis!$N$2/Imóveis!$S$2)+((Imóveis!$N$2-((Imóveis!$S$2-(IF(AND(Dados!$A1064&gt;=Imóveis!$Q$2,Dados!$A1064&lt;=Imóveis!$T$2),Imóveis!$S$2-(DATEDIF(Imóveis!$Q$2,Dados!$A1064,"m")),)))*(Imóveis!$N$2/Imóveis!$S$2)))*Imóveis!$P$2))))*IF(AND(Imóveis!$E$2&gt;0,Dados!$A1064&gt;Imóveis!$E$2),0,1)</f>
        <v>0</v>
      </c>
      <c r="J1064" s="18">
        <f>IF(Imóveis!$F$3="PRICE",IF(AND(Dados!$A1064&gt;=Imóveis!$Q$3,Dados!$A1064&lt;=Imóveis!$T$3),Imóveis!$U$3,0),IF((IF(AND(Dados!$A1064&gt;=Imóveis!$Q$3,Dados!$A1064&lt;=Imóveis!$T$3),Imóveis!$S$3-(DATEDIF(Imóveis!$Q$3,Dados!$A1064,"m")),0))=0,0,((Imóveis!$N$3/Imóveis!$S$3)+((Imóveis!$N$3-((Imóveis!$S$3-(IF(AND(Dados!$A1064&gt;=Imóveis!$Q$3,Dados!$A1064&lt;=Imóveis!$T$3),Imóveis!$S$3-(DATEDIF(Imóveis!$Q$3,Dados!$A1064,"m")),)))*(Imóveis!$N$3/Imóveis!$S$3)))*Imóveis!$P$3))))*IF(AND(Imóveis!$E$3&gt;0,Dados!$A1064&gt;Imóveis!$E$3),0,1)</f>
        <v>0</v>
      </c>
      <c r="K1064" s="18">
        <f>IF(Imóveis!$F$4="PRICE",IF(AND(Dados!$A1064&gt;=Imóveis!$Q$4,Dados!$A1064&lt;=Imóveis!$T$4),Imóveis!$U$4,0),IF((IF(AND(Dados!$A1064&gt;=Imóveis!$Q$4,Dados!$A1064&lt;=Imóveis!$T$4),Imóveis!$S$4-(DATEDIF(Imóveis!$Q$4,Dados!$A1064,"m")),0))=0,0,((Imóveis!$N$4/Imóveis!$S$4)+((Imóveis!$N$4-((Imóveis!$S$4-(IF(AND(Dados!$A1064&gt;=Imóveis!$Q$4,Dados!$A1064&lt;=Imóveis!$T$4),Imóveis!$S$4-(DATEDIF(Imóveis!$Q$4,Dados!$A1064,"m")),)))*(Imóveis!$N$4/Imóveis!$S$4)))*Imóveis!$P$4))))*IF(AND(Imóveis!$E$4&gt;0,Dados!$A1064&gt;Imóveis!$E$4),0,1)</f>
        <v>0</v>
      </c>
      <c r="L1064" s="18">
        <f>IF(Imóveis!$F$5="PRICE",IF(AND(Dados!$A1064&gt;=Imóveis!$Q$5,Dados!$A1064&lt;=Imóveis!$T$5),Imóveis!$U$5,0),IF((IF(AND(Dados!$A1064&gt;=Imóveis!$Q$5,Dados!$A1064&lt;=Imóveis!$T$5),Imóveis!$S$5-(DATEDIF(Imóveis!$Q$5,Dados!$A1064,"m")),0))=0,0,((Imóveis!$N$5/Imóveis!$S$5)+((Imóveis!$N$5-((Imóveis!$S$5-(IF(AND(Dados!$A1064 &gt;=Imóveis!$Q$5,Dados!$A1064&lt;=Imóveis!$T$5),Imóveis!$S$5-(DATEDIF(Imóveis!$Q$5,Dados!$A1064,"m")),)))*(Imóveis!$N$5/Imóveis!$S$5)))*Imóveis!$P$5))))*IF(AND(Imóveis!$E$5&gt;0,Dados!$A1064&gt;Imóveis!$E$5),0,1)*Imóveis!$I$5</f>
        <v>0</v>
      </c>
      <c r="M1064" s="18">
        <f>IF(Imóveis!$F$6="PRICE",IF(AND(Dados!$A1064&gt;=Imóveis!$Q$6,Dados!$A1064&lt;=Imóveis!$T$6),Imóveis!$U$6,0),IF((IF(AND(Dados!$A1064&gt;=Imóveis!$Q$6,Dados!$A1064&lt;=Imóveis!$T$6),Imóveis!$S$6-(DATEDIF(Imóveis!$Q$6,Dados!$A1064,"m")),0))=0,0,((Imóveis!$N$6/Imóveis!$S$6)+((Imóveis!$N$6-((Imóveis!$S$6-(IF(AND(Dados!$A1064&gt;=Imóveis!$Q$6,Dados!$A1064&lt;=Imóveis!$T$6),Imóveis!$S$6-(DATEDIF(Imóveis!$Q$6,Dados!$A1064,"m")),)))*(Imóveis!$N$6/Imóveis!$S$6)))*Imóveis!$P$6))))*IF(AND(Imóveis!$E$6&gt;0,Dados!$A1064&gt;Imóveis!$E$6),0,1)*Imóveis!$I$6</f>
        <v>0</v>
      </c>
      <c r="N1064" s="18">
        <f t="shared" si="133"/>
        <v>0</v>
      </c>
      <c r="O1064" s="18">
        <f>SUMIFS(Receitas!$F:$F,Receitas!$J:$J,"&lt;="&amp;$A1064,Receitas!$L:$L,"&gt;="&amp;$A1064,Receitas!$C:$C,O$1,Receitas!$M:$M,"Mensal")+SUMIFS(Receitas!$F:$F,Receitas!$J:$J,"&lt;="&amp;$A1064,Receitas!$L:$L,"&gt;="&amp;$A1064,Receitas!$C:$C,O$1,Receitas!$M:$M,$B1064)</f>
        <v>0</v>
      </c>
      <c r="P1064" s="18">
        <f>SUMIFS(Receitas!$F:$F,Receitas!$J:$J,"&lt;="&amp;$A1064,Receitas!$L:$L,"&gt;="&amp;$A1064,Receitas!$C:$C,P$1,Receitas!$M:$M,"Mensal")+SUMIFS(Receitas!$F:$F,Receitas!$J:$J,"&lt;="&amp;$A1064,Receitas!$L:$L,"&gt;="&amp;$A1064,Receitas!$C:$C,P$1,Receitas!$M:$M,$B1064)</f>
        <v>0</v>
      </c>
      <c r="Q1064" s="18">
        <f>SUMIFS(Receitas!$F:$F,Receitas!$J:$J,"&lt;="&amp;$A1064,Receitas!$L:$L,"&gt;="&amp;$A1064,Receitas!$C:$C,Q$1,Receitas!$M:$M,"Mensal")+SUMIFS(Receitas!$F:$F,Receitas!$J:$J,"&lt;="&amp;$A1064,Receitas!$L:$L,"&gt;="&amp;$A1064,Receitas!$C:$C,Q$1,Receitas!$M:$M,$B1064)</f>
        <v>0</v>
      </c>
      <c r="R1064" s="18" cm="1">
        <f t="array" ref="R1064">(IF(AND(Membros!$F$2="Sim",A1064&lt;=MAX(Membros!$E$2:$E$5)),Membros!K$2,IF(AND(A1064&gt;=Membros!J$2,A1064&lt;=MAX(Membros!$E$2:$E$5)),Membros!K$2,0))+IF(AND(Membros!$F$3="Sim",A1064&lt;=MAX(Membros!$E$2:$E$5)),Membros!K$3,IF(AND(A1064&gt;=Membros!J$3,A1064&lt;=MAX(Membros!$E$2:$E$5)),Membros!K$3,0)))*IF(AND(COUNTIFS(Tabela3[Tipo],"Provedor",Tabela3[Simulação Seguro],"Sim")=2,A1064&gt;=MAX(IF(Tabela3[Tipo]="Dependente",Tabela3[Expectativa de Vida (Data)]))),0,1)</f>
        <v>0</v>
      </c>
      <c r="S1064" s="18">
        <f t="shared" si="134"/>
        <v>0</v>
      </c>
      <c r="U1064" s="18">
        <f t="shared" ca="1" si="137"/>
        <v>152100989.15098679</v>
      </c>
      <c r="V1064" s="18">
        <f>SUMIF(Imóveis!E:E,Dados!A:A,Imóveis!Z:Z)-SUMIF(Imóveis!E:E,Dados!A:A,Imóveis!Y:Y)</f>
        <v>0</v>
      </c>
      <c r="W1064" s="18">
        <f>-SUMIF(Projetos!N:N,A1064,Projetos!F:F)</f>
        <v>0</v>
      </c>
      <c r="X1064" s="18">
        <f t="shared" si="131"/>
        <v>0</v>
      </c>
      <c r="Y1064" s="26">
        <f ca="1">(U1064*((Indicadores_Economicos!D$2+1)^(1/12)-1))</f>
        <v>497939.05909539096</v>
      </c>
      <c r="Z1064" s="18">
        <f t="shared" ca="1" si="135"/>
        <v>152598928.21008217</v>
      </c>
      <c r="AA1064" s="18">
        <f ca="1">Auxiliar_Projetos!E1064</f>
        <v>1.2579000937113827E-8</v>
      </c>
      <c r="AB1064" s="18">
        <f ca="1">Auxiliar_Projetos!K1064</f>
        <v>9.6761545670106307E-9</v>
      </c>
      <c r="AC1064" s="18">
        <f ca="1">IF(Z1064-AA1064-AB1064&gt;Investimentos!$C$14,Investimentos!$C$14,IF(Z1064-AA1064-AB1064&lt;Investimentos!$C$14,Z1064-AA1064-AB1064,0))</f>
        <v>300000</v>
      </c>
      <c r="AD1064" s="18">
        <f t="shared" ca="1" si="136"/>
        <v>152298928.21008217</v>
      </c>
      <c r="AE1064" s="18"/>
    </row>
    <row r="1065" spans="1:31" x14ac:dyDescent="0.2">
      <c r="A1065" s="4">
        <v>78011</v>
      </c>
      <c r="B1065" s="5" t="str">
        <f t="shared" si="132"/>
        <v>agosto</v>
      </c>
      <c r="C1065" s="5" t="str">
        <f t="shared" si="138"/>
        <v>2113</v>
      </c>
      <c r="D1065" s="5">
        <f>SUMIFS(Despesas!$F:$F,Despesas!$J:$J,"&lt;="&amp;$A1065,Despesas!$L:$L,"&gt;="&amp;$A1065,Despesas!$C:$C,D$1,Despesas!$M:$M,"Mensal")+SUMIFS(Despesas!$F:$F,Despesas!$J:$J,"&lt;="&amp;$A1065,Despesas!$L:$L,"&gt;="&amp;$A1065,Despesas!$C:$C,D$1,Despesas!$M:$M,$B1065)</f>
        <v>0</v>
      </c>
      <c r="E1065" s="18">
        <f>SUMIFS(Despesas!$F:$F,Despesas!$J:$J,"&lt;="&amp;$A1065,Despesas!$L:$L,"&gt;="&amp;$A1065,Despesas!$C:$C,E$1,Despesas!$M:$M,"Mensal")+SUMIFS(Despesas!$F:$F,Despesas!$J:$J,"&lt;="&amp;$A1065,Despesas!$L:$L,"&gt;="&amp;$A1065,Despesas!$C:$C,E$1,Despesas!$M:$M,$B1065)</f>
        <v>0</v>
      </c>
      <c r="F1065" s="5">
        <f>SUMIFS(Despesas!$F:$F,Despesas!$J:$J,"&lt;="&amp;$A1065,Despesas!$L:$L,"&gt;="&amp;$A1065,Despesas!$C:$C,F$1,Despesas!$M:$M,"Mensal")+SUMIFS(Despesas!$F:$F,Despesas!$J:$J,"&lt;="&amp;$A1065,Despesas!$L:$L,"&gt;="&amp;$A1065,Despesas!$C:$C,F$1,Despesas!$M:$M,$B1065)</f>
        <v>0</v>
      </c>
      <c r="G1065" s="5">
        <f>SUMIFS(Despesas!$F:$F,Despesas!$J:$J,"&lt;="&amp;$A1065,Despesas!$L:$L,"&gt;="&amp;$A1065,Despesas!$C:$C,G$1,Despesas!$M:$M,"Mensal")+SUMIFS(Despesas!$F:$F,Despesas!$J:$J,"&lt;="&amp;$A1065,Despesas!$L:$L,"&gt;="&amp;$A1065,Despesas!$C:$C,G$1,Despesas!$M:$M,$B1065)</f>
        <v>0</v>
      </c>
      <c r="H1065" s="18">
        <f>SUMIFS(Despesas!$F:$F,Despesas!$J:$J,"&lt;="&amp;$A1065,Despesas!$L:$L,"&gt;="&amp;$A1065,Despesas!$C:$C,H$1,Despesas!$M:$M,"Mensal")+SUMIFS(Despesas!$F:$F,Despesas!$J:$J,"&lt;="&amp;$A1065,Despesas!$L:$L,"&gt;="&amp;$A1065,Despesas!$C:$C,H$1,Despesas!$M:$M,$B1065)</f>
        <v>0</v>
      </c>
      <c r="I1065" s="18">
        <f>IF(Imóveis!$F$2="PRICE",IF(AND(Dados!$A1065&gt;=Imóveis!$Q$2,Dados!$A1065&lt;=Imóveis!$T$2),Imóveis!$U$2,0),IF((IF(AND(Dados!$A1065&gt;=Imóveis!$Q$2,Dados!$A1065&lt;=Imóveis!$T$2),Imóveis!$S$2-(DATEDIF(Imóveis!$Q$2,Dados!$A1065,"m")),0))=0,0,((Imóveis!$N$2/Imóveis!$S$2)+((Imóveis!$N$2-((Imóveis!$S$2-(IF(AND(Dados!$A1065&gt;=Imóveis!$Q$2,Dados!$A1065&lt;=Imóveis!$T$2),Imóveis!$S$2-(DATEDIF(Imóveis!$Q$2,Dados!$A1065,"m")),)))*(Imóveis!$N$2/Imóveis!$S$2)))*Imóveis!$P$2))))*IF(AND(Imóveis!$E$2&gt;0,Dados!$A1065&gt;Imóveis!$E$2),0,1)</f>
        <v>0</v>
      </c>
      <c r="J1065" s="18">
        <f>IF(Imóveis!$F$3="PRICE",IF(AND(Dados!$A1065&gt;=Imóveis!$Q$3,Dados!$A1065&lt;=Imóveis!$T$3),Imóveis!$U$3,0),IF((IF(AND(Dados!$A1065&gt;=Imóveis!$Q$3,Dados!$A1065&lt;=Imóveis!$T$3),Imóveis!$S$3-(DATEDIF(Imóveis!$Q$3,Dados!$A1065,"m")),0))=0,0,((Imóveis!$N$3/Imóveis!$S$3)+((Imóveis!$N$3-((Imóveis!$S$3-(IF(AND(Dados!$A1065&gt;=Imóveis!$Q$3,Dados!$A1065&lt;=Imóveis!$T$3),Imóveis!$S$3-(DATEDIF(Imóveis!$Q$3,Dados!$A1065,"m")),)))*(Imóveis!$N$3/Imóveis!$S$3)))*Imóveis!$P$3))))*IF(AND(Imóveis!$E$3&gt;0,Dados!$A1065&gt;Imóveis!$E$3),0,1)</f>
        <v>0</v>
      </c>
      <c r="K1065" s="18">
        <f>IF(Imóveis!$F$4="PRICE",IF(AND(Dados!$A1065&gt;=Imóveis!$Q$4,Dados!$A1065&lt;=Imóveis!$T$4),Imóveis!$U$4,0),IF((IF(AND(Dados!$A1065&gt;=Imóveis!$Q$4,Dados!$A1065&lt;=Imóveis!$T$4),Imóveis!$S$4-(DATEDIF(Imóveis!$Q$4,Dados!$A1065,"m")),0))=0,0,((Imóveis!$N$4/Imóveis!$S$4)+((Imóveis!$N$4-((Imóveis!$S$4-(IF(AND(Dados!$A1065&gt;=Imóveis!$Q$4,Dados!$A1065&lt;=Imóveis!$T$4),Imóveis!$S$4-(DATEDIF(Imóveis!$Q$4,Dados!$A1065,"m")),)))*(Imóveis!$N$4/Imóveis!$S$4)))*Imóveis!$P$4))))*IF(AND(Imóveis!$E$4&gt;0,Dados!$A1065&gt;Imóveis!$E$4),0,1)</f>
        <v>0</v>
      </c>
      <c r="L1065" s="18">
        <f>IF(Imóveis!$F$5="PRICE",IF(AND(Dados!$A1065&gt;=Imóveis!$Q$5,Dados!$A1065&lt;=Imóveis!$T$5),Imóveis!$U$5,0),IF((IF(AND(Dados!$A1065&gt;=Imóveis!$Q$5,Dados!$A1065&lt;=Imóveis!$T$5),Imóveis!$S$5-(DATEDIF(Imóveis!$Q$5,Dados!$A1065,"m")),0))=0,0,((Imóveis!$N$5/Imóveis!$S$5)+((Imóveis!$N$5-((Imóveis!$S$5-(IF(AND(Dados!$A1065 &gt;=Imóveis!$Q$5,Dados!$A1065&lt;=Imóveis!$T$5),Imóveis!$S$5-(DATEDIF(Imóveis!$Q$5,Dados!$A1065,"m")),)))*(Imóveis!$N$5/Imóveis!$S$5)))*Imóveis!$P$5))))*IF(AND(Imóveis!$E$5&gt;0,Dados!$A1065&gt;Imóveis!$E$5),0,1)*Imóveis!$I$5</f>
        <v>0</v>
      </c>
      <c r="M1065" s="18">
        <f>IF(Imóveis!$F$6="PRICE",IF(AND(Dados!$A1065&gt;=Imóveis!$Q$6,Dados!$A1065&lt;=Imóveis!$T$6),Imóveis!$U$6,0),IF((IF(AND(Dados!$A1065&gt;=Imóveis!$Q$6,Dados!$A1065&lt;=Imóveis!$T$6),Imóveis!$S$6-(DATEDIF(Imóveis!$Q$6,Dados!$A1065,"m")),0))=0,0,((Imóveis!$N$6/Imóveis!$S$6)+((Imóveis!$N$6-((Imóveis!$S$6-(IF(AND(Dados!$A1065&gt;=Imóveis!$Q$6,Dados!$A1065&lt;=Imóveis!$T$6),Imóveis!$S$6-(DATEDIF(Imóveis!$Q$6,Dados!$A1065,"m")),)))*(Imóveis!$N$6/Imóveis!$S$6)))*Imóveis!$P$6))))*IF(AND(Imóveis!$E$6&gt;0,Dados!$A1065&gt;Imóveis!$E$6),0,1)*Imóveis!$I$6</f>
        <v>0</v>
      </c>
      <c r="N1065" s="18">
        <f t="shared" si="133"/>
        <v>0</v>
      </c>
      <c r="O1065" s="18">
        <f>SUMIFS(Receitas!$F:$F,Receitas!$J:$J,"&lt;="&amp;$A1065,Receitas!$L:$L,"&gt;="&amp;$A1065,Receitas!$C:$C,O$1,Receitas!$M:$M,"Mensal")+SUMIFS(Receitas!$F:$F,Receitas!$J:$J,"&lt;="&amp;$A1065,Receitas!$L:$L,"&gt;="&amp;$A1065,Receitas!$C:$C,O$1,Receitas!$M:$M,$B1065)</f>
        <v>0</v>
      </c>
      <c r="P1065" s="18">
        <f>SUMIFS(Receitas!$F:$F,Receitas!$J:$J,"&lt;="&amp;$A1065,Receitas!$L:$L,"&gt;="&amp;$A1065,Receitas!$C:$C,P$1,Receitas!$M:$M,"Mensal")+SUMIFS(Receitas!$F:$F,Receitas!$J:$J,"&lt;="&amp;$A1065,Receitas!$L:$L,"&gt;="&amp;$A1065,Receitas!$C:$C,P$1,Receitas!$M:$M,$B1065)</f>
        <v>0</v>
      </c>
      <c r="Q1065" s="18">
        <f>SUMIFS(Receitas!$F:$F,Receitas!$J:$J,"&lt;="&amp;$A1065,Receitas!$L:$L,"&gt;="&amp;$A1065,Receitas!$C:$C,Q$1,Receitas!$M:$M,"Mensal")+SUMIFS(Receitas!$F:$F,Receitas!$J:$J,"&lt;="&amp;$A1065,Receitas!$L:$L,"&gt;="&amp;$A1065,Receitas!$C:$C,Q$1,Receitas!$M:$M,$B1065)</f>
        <v>0</v>
      </c>
      <c r="R1065" s="18" cm="1">
        <f t="array" ref="R1065">(IF(AND(Membros!$F$2="Sim",A1065&lt;=MAX(Membros!$E$2:$E$5)),Membros!K$2,IF(AND(A1065&gt;=Membros!J$2,A1065&lt;=MAX(Membros!$E$2:$E$5)),Membros!K$2,0))+IF(AND(Membros!$F$3="Sim",A1065&lt;=MAX(Membros!$E$2:$E$5)),Membros!K$3,IF(AND(A1065&gt;=Membros!J$3,A1065&lt;=MAX(Membros!$E$2:$E$5)),Membros!K$3,0)))*IF(AND(COUNTIFS(Tabela3[Tipo],"Provedor",Tabela3[Simulação Seguro],"Sim")=2,A1065&gt;=MAX(IF(Tabela3[Tipo]="Dependente",Tabela3[Expectativa de Vida (Data)]))),0,1)</f>
        <v>0</v>
      </c>
      <c r="S1065" s="18">
        <f t="shared" si="134"/>
        <v>0</v>
      </c>
      <c r="U1065" s="18">
        <f t="shared" ca="1" si="137"/>
        <v>152598928.21008217</v>
      </c>
      <c r="V1065" s="18">
        <f>SUMIF(Imóveis!E:E,Dados!A:A,Imóveis!Z:Z)-SUMIF(Imóveis!E:E,Dados!A:A,Imóveis!Y:Y)</f>
        <v>0</v>
      </c>
      <c r="W1065" s="18">
        <f>-SUMIF(Projetos!N:N,A1065,Projetos!F:F)</f>
        <v>0</v>
      </c>
      <c r="X1065" s="18">
        <f t="shared" si="131"/>
        <v>0</v>
      </c>
      <c r="Y1065" s="26">
        <f ca="1">(U1065*((Indicadores_Economicos!D$2+1)^(1/12)-1))</f>
        <v>499569.18200226221</v>
      </c>
      <c r="Z1065" s="18">
        <f t="shared" ca="1" si="135"/>
        <v>153098497.39208445</v>
      </c>
      <c r="AA1065" s="18">
        <f ca="1">Auxiliar_Projetos!E1065</f>
        <v>1.2620181312901974E-8</v>
      </c>
      <c r="AB1065" s="18">
        <f ca="1">Auxiliar_Projetos!K1065</f>
        <v>9.7078317791553589E-9</v>
      </c>
      <c r="AC1065" s="18">
        <f ca="1">IF(Z1065-AA1065-AB1065&gt;Investimentos!$C$14,Investimentos!$C$14,IF(Z1065-AA1065-AB1065&lt;Investimentos!$C$14,Z1065-AA1065-AB1065,0))</f>
        <v>300000</v>
      </c>
      <c r="AD1065" s="18">
        <f t="shared" ca="1" si="136"/>
        <v>152798497.39208445</v>
      </c>
      <c r="AE1065" s="18"/>
    </row>
    <row r="1066" spans="1:31" x14ac:dyDescent="0.2">
      <c r="A1066" s="4">
        <v>78042</v>
      </c>
      <c r="B1066" s="5" t="str">
        <f t="shared" si="132"/>
        <v>setembro</v>
      </c>
      <c r="C1066" s="5" t="str">
        <f t="shared" si="138"/>
        <v>2113</v>
      </c>
      <c r="D1066" s="5">
        <f>SUMIFS(Despesas!$F:$F,Despesas!$J:$J,"&lt;="&amp;$A1066,Despesas!$L:$L,"&gt;="&amp;$A1066,Despesas!$C:$C,D$1,Despesas!$M:$M,"Mensal")+SUMIFS(Despesas!$F:$F,Despesas!$J:$J,"&lt;="&amp;$A1066,Despesas!$L:$L,"&gt;="&amp;$A1066,Despesas!$C:$C,D$1,Despesas!$M:$M,$B1066)</f>
        <v>0</v>
      </c>
      <c r="E1066" s="18">
        <f>SUMIFS(Despesas!$F:$F,Despesas!$J:$J,"&lt;="&amp;$A1066,Despesas!$L:$L,"&gt;="&amp;$A1066,Despesas!$C:$C,E$1,Despesas!$M:$M,"Mensal")+SUMIFS(Despesas!$F:$F,Despesas!$J:$J,"&lt;="&amp;$A1066,Despesas!$L:$L,"&gt;="&amp;$A1066,Despesas!$C:$C,E$1,Despesas!$M:$M,$B1066)</f>
        <v>0</v>
      </c>
      <c r="F1066" s="5">
        <f>SUMIFS(Despesas!$F:$F,Despesas!$J:$J,"&lt;="&amp;$A1066,Despesas!$L:$L,"&gt;="&amp;$A1066,Despesas!$C:$C,F$1,Despesas!$M:$M,"Mensal")+SUMIFS(Despesas!$F:$F,Despesas!$J:$J,"&lt;="&amp;$A1066,Despesas!$L:$L,"&gt;="&amp;$A1066,Despesas!$C:$C,F$1,Despesas!$M:$M,$B1066)</f>
        <v>0</v>
      </c>
      <c r="G1066" s="5">
        <f>SUMIFS(Despesas!$F:$F,Despesas!$J:$J,"&lt;="&amp;$A1066,Despesas!$L:$L,"&gt;="&amp;$A1066,Despesas!$C:$C,G$1,Despesas!$M:$M,"Mensal")+SUMIFS(Despesas!$F:$F,Despesas!$J:$J,"&lt;="&amp;$A1066,Despesas!$L:$L,"&gt;="&amp;$A1066,Despesas!$C:$C,G$1,Despesas!$M:$M,$B1066)</f>
        <v>0</v>
      </c>
      <c r="H1066" s="18">
        <f>SUMIFS(Despesas!$F:$F,Despesas!$J:$J,"&lt;="&amp;$A1066,Despesas!$L:$L,"&gt;="&amp;$A1066,Despesas!$C:$C,H$1,Despesas!$M:$M,"Mensal")+SUMIFS(Despesas!$F:$F,Despesas!$J:$J,"&lt;="&amp;$A1066,Despesas!$L:$L,"&gt;="&amp;$A1066,Despesas!$C:$C,H$1,Despesas!$M:$M,$B1066)</f>
        <v>0</v>
      </c>
      <c r="I1066" s="18">
        <f>IF(Imóveis!$F$2="PRICE",IF(AND(Dados!$A1066&gt;=Imóveis!$Q$2,Dados!$A1066&lt;=Imóveis!$T$2),Imóveis!$U$2,0),IF((IF(AND(Dados!$A1066&gt;=Imóveis!$Q$2,Dados!$A1066&lt;=Imóveis!$T$2),Imóveis!$S$2-(DATEDIF(Imóveis!$Q$2,Dados!$A1066,"m")),0))=0,0,((Imóveis!$N$2/Imóveis!$S$2)+((Imóveis!$N$2-((Imóveis!$S$2-(IF(AND(Dados!$A1066&gt;=Imóveis!$Q$2,Dados!$A1066&lt;=Imóveis!$T$2),Imóveis!$S$2-(DATEDIF(Imóveis!$Q$2,Dados!$A1066,"m")),)))*(Imóveis!$N$2/Imóveis!$S$2)))*Imóveis!$P$2))))*IF(AND(Imóveis!$E$2&gt;0,Dados!$A1066&gt;Imóveis!$E$2),0,1)</f>
        <v>0</v>
      </c>
      <c r="J1066" s="18">
        <f>IF(Imóveis!$F$3="PRICE",IF(AND(Dados!$A1066&gt;=Imóveis!$Q$3,Dados!$A1066&lt;=Imóveis!$T$3),Imóveis!$U$3,0),IF((IF(AND(Dados!$A1066&gt;=Imóveis!$Q$3,Dados!$A1066&lt;=Imóveis!$T$3),Imóveis!$S$3-(DATEDIF(Imóveis!$Q$3,Dados!$A1066,"m")),0))=0,0,((Imóveis!$N$3/Imóveis!$S$3)+((Imóveis!$N$3-((Imóveis!$S$3-(IF(AND(Dados!$A1066&gt;=Imóveis!$Q$3,Dados!$A1066&lt;=Imóveis!$T$3),Imóveis!$S$3-(DATEDIF(Imóveis!$Q$3,Dados!$A1066,"m")),)))*(Imóveis!$N$3/Imóveis!$S$3)))*Imóveis!$P$3))))*IF(AND(Imóveis!$E$3&gt;0,Dados!$A1066&gt;Imóveis!$E$3),0,1)</f>
        <v>0</v>
      </c>
      <c r="K1066" s="18">
        <f>IF(Imóveis!$F$4="PRICE",IF(AND(Dados!$A1066&gt;=Imóveis!$Q$4,Dados!$A1066&lt;=Imóveis!$T$4),Imóveis!$U$4,0),IF((IF(AND(Dados!$A1066&gt;=Imóveis!$Q$4,Dados!$A1066&lt;=Imóveis!$T$4),Imóveis!$S$4-(DATEDIF(Imóveis!$Q$4,Dados!$A1066,"m")),0))=0,0,((Imóveis!$N$4/Imóveis!$S$4)+((Imóveis!$N$4-((Imóveis!$S$4-(IF(AND(Dados!$A1066&gt;=Imóveis!$Q$4,Dados!$A1066&lt;=Imóveis!$T$4),Imóveis!$S$4-(DATEDIF(Imóveis!$Q$4,Dados!$A1066,"m")),)))*(Imóveis!$N$4/Imóveis!$S$4)))*Imóveis!$P$4))))*IF(AND(Imóveis!$E$4&gt;0,Dados!$A1066&gt;Imóveis!$E$4),0,1)</f>
        <v>0</v>
      </c>
      <c r="L1066" s="18">
        <f>IF(Imóveis!$F$5="PRICE",IF(AND(Dados!$A1066&gt;=Imóveis!$Q$5,Dados!$A1066&lt;=Imóveis!$T$5),Imóveis!$U$5,0),IF((IF(AND(Dados!$A1066&gt;=Imóveis!$Q$5,Dados!$A1066&lt;=Imóveis!$T$5),Imóveis!$S$5-(DATEDIF(Imóveis!$Q$5,Dados!$A1066,"m")),0))=0,0,((Imóveis!$N$5/Imóveis!$S$5)+((Imóveis!$N$5-((Imóveis!$S$5-(IF(AND(Dados!$A1066 &gt;=Imóveis!$Q$5,Dados!$A1066&lt;=Imóveis!$T$5),Imóveis!$S$5-(DATEDIF(Imóveis!$Q$5,Dados!$A1066,"m")),)))*(Imóveis!$N$5/Imóveis!$S$5)))*Imóveis!$P$5))))*IF(AND(Imóveis!$E$5&gt;0,Dados!$A1066&gt;Imóveis!$E$5),0,1)*Imóveis!$I$5</f>
        <v>0</v>
      </c>
      <c r="M1066" s="18">
        <f>IF(Imóveis!$F$6="PRICE",IF(AND(Dados!$A1066&gt;=Imóveis!$Q$6,Dados!$A1066&lt;=Imóveis!$T$6),Imóveis!$U$6,0),IF((IF(AND(Dados!$A1066&gt;=Imóveis!$Q$6,Dados!$A1066&lt;=Imóveis!$T$6),Imóveis!$S$6-(DATEDIF(Imóveis!$Q$6,Dados!$A1066,"m")),0))=0,0,((Imóveis!$N$6/Imóveis!$S$6)+((Imóveis!$N$6-((Imóveis!$S$6-(IF(AND(Dados!$A1066&gt;=Imóveis!$Q$6,Dados!$A1066&lt;=Imóveis!$T$6),Imóveis!$S$6-(DATEDIF(Imóveis!$Q$6,Dados!$A1066,"m")),)))*(Imóveis!$N$6/Imóveis!$S$6)))*Imóveis!$P$6))))*IF(AND(Imóveis!$E$6&gt;0,Dados!$A1066&gt;Imóveis!$E$6),0,1)*Imóveis!$I$6</f>
        <v>0</v>
      </c>
      <c r="N1066" s="18">
        <f t="shared" si="133"/>
        <v>0</v>
      </c>
      <c r="O1066" s="18">
        <f>SUMIFS(Receitas!$F:$F,Receitas!$J:$J,"&lt;="&amp;$A1066,Receitas!$L:$L,"&gt;="&amp;$A1066,Receitas!$C:$C,O$1,Receitas!$M:$M,"Mensal")+SUMIFS(Receitas!$F:$F,Receitas!$J:$J,"&lt;="&amp;$A1066,Receitas!$L:$L,"&gt;="&amp;$A1066,Receitas!$C:$C,O$1,Receitas!$M:$M,$B1066)</f>
        <v>0</v>
      </c>
      <c r="P1066" s="18">
        <f>SUMIFS(Receitas!$F:$F,Receitas!$J:$J,"&lt;="&amp;$A1066,Receitas!$L:$L,"&gt;="&amp;$A1066,Receitas!$C:$C,P$1,Receitas!$M:$M,"Mensal")+SUMIFS(Receitas!$F:$F,Receitas!$J:$J,"&lt;="&amp;$A1066,Receitas!$L:$L,"&gt;="&amp;$A1066,Receitas!$C:$C,P$1,Receitas!$M:$M,$B1066)</f>
        <v>0</v>
      </c>
      <c r="Q1066" s="18">
        <f>SUMIFS(Receitas!$F:$F,Receitas!$J:$J,"&lt;="&amp;$A1066,Receitas!$L:$L,"&gt;="&amp;$A1066,Receitas!$C:$C,Q$1,Receitas!$M:$M,"Mensal")+SUMIFS(Receitas!$F:$F,Receitas!$J:$J,"&lt;="&amp;$A1066,Receitas!$L:$L,"&gt;="&amp;$A1066,Receitas!$C:$C,Q$1,Receitas!$M:$M,$B1066)</f>
        <v>0</v>
      </c>
      <c r="R1066" s="18" cm="1">
        <f t="array" ref="R1066">(IF(AND(Membros!$F$2="Sim",A1066&lt;=MAX(Membros!$E$2:$E$5)),Membros!K$2,IF(AND(A1066&gt;=Membros!J$2,A1066&lt;=MAX(Membros!$E$2:$E$5)),Membros!K$2,0))+IF(AND(Membros!$F$3="Sim",A1066&lt;=MAX(Membros!$E$2:$E$5)),Membros!K$3,IF(AND(A1066&gt;=Membros!J$3,A1066&lt;=MAX(Membros!$E$2:$E$5)),Membros!K$3,0)))*IF(AND(COUNTIFS(Tabela3[Tipo],"Provedor",Tabela3[Simulação Seguro],"Sim")=2,A1066&gt;=MAX(IF(Tabela3[Tipo]="Dependente",Tabela3[Expectativa de Vida (Data)]))),0,1)</f>
        <v>0</v>
      </c>
      <c r="S1066" s="18">
        <f t="shared" si="134"/>
        <v>0</v>
      </c>
      <c r="U1066" s="18">
        <f t="shared" ca="1" si="137"/>
        <v>153098497.39208445</v>
      </c>
      <c r="V1066" s="18">
        <f>SUMIF(Imóveis!E:E,Dados!A:A,Imóveis!Z:Z)-SUMIF(Imóveis!E:E,Dados!A:A,Imóveis!Y:Y)</f>
        <v>0</v>
      </c>
      <c r="W1066" s="18">
        <f>-SUMIF(Projetos!N:N,A1066,Projetos!F:F)</f>
        <v>0</v>
      </c>
      <c r="X1066" s="18">
        <f t="shared" si="131"/>
        <v>0</v>
      </c>
      <c r="Y1066" s="26">
        <f ca="1">(U1066*((Indicadores_Economicos!D$2+1)^(1/12)-1))</f>
        <v>501204.64150734362</v>
      </c>
      <c r="Z1066" s="18">
        <f t="shared" ca="1" si="135"/>
        <v>153599702.03359181</v>
      </c>
      <c r="AA1066" s="18">
        <f ca="1">Auxiliar_Projetos!E1066</f>
        <v>1.2661496502524584E-8</v>
      </c>
      <c r="AB1066" s="18">
        <f ca="1">Auxiliar_Projetos!K1066</f>
        <v>9.7396126942496741E-9</v>
      </c>
      <c r="AC1066" s="18">
        <f ca="1">IF(Z1066-AA1066-AB1066&gt;Investimentos!$C$14,Investimentos!$C$14,IF(Z1066-AA1066-AB1066&lt;Investimentos!$C$14,Z1066-AA1066-AB1066,0))</f>
        <v>300000</v>
      </c>
      <c r="AD1066" s="18">
        <f t="shared" ca="1" si="136"/>
        <v>153299702.03359181</v>
      </c>
      <c r="AE1066" s="18"/>
    </row>
    <row r="1067" spans="1:31" x14ac:dyDescent="0.2">
      <c r="A1067" s="4">
        <v>78072</v>
      </c>
      <c r="B1067" s="5" t="str">
        <f t="shared" si="132"/>
        <v>outubro</v>
      </c>
      <c r="C1067" s="5" t="str">
        <f t="shared" si="138"/>
        <v>2113</v>
      </c>
      <c r="D1067" s="5">
        <f>SUMIFS(Despesas!$F:$F,Despesas!$J:$J,"&lt;="&amp;$A1067,Despesas!$L:$L,"&gt;="&amp;$A1067,Despesas!$C:$C,D$1,Despesas!$M:$M,"Mensal")+SUMIFS(Despesas!$F:$F,Despesas!$J:$J,"&lt;="&amp;$A1067,Despesas!$L:$L,"&gt;="&amp;$A1067,Despesas!$C:$C,D$1,Despesas!$M:$M,$B1067)</f>
        <v>0</v>
      </c>
      <c r="E1067" s="18">
        <f>SUMIFS(Despesas!$F:$F,Despesas!$J:$J,"&lt;="&amp;$A1067,Despesas!$L:$L,"&gt;="&amp;$A1067,Despesas!$C:$C,E$1,Despesas!$M:$M,"Mensal")+SUMIFS(Despesas!$F:$F,Despesas!$J:$J,"&lt;="&amp;$A1067,Despesas!$L:$L,"&gt;="&amp;$A1067,Despesas!$C:$C,E$1,Despesas!$M:$M,$B1067)</f>
        <v>0</v>
      </c>
      <c r="F1067" s="5">
        <f>SUMIFS(Despesas!$F:$F,Despesas!$J:$J,"&lt;="&amp;$A1067,Despesas!$L:$L,"&gt;="&amp;$A1067,Despesas!$C:$C,F$1,Despesas!$M:$M,"Mensal")+SUMIFS(Despesas!$F:$F,Despesas!$J:$J,"&lt;="&amp;$A1067,Despesas!$L:$L,"&gt;="&amp;$A1067,Despesas!$C:$C,F$1,Despesas!$M:$M,$B1067)</f>
        <v>0</v>
      </c>
      <c r="G1067" s="5">
        <f>SUMIFS(Despesas!$F:$F,Despesas!$J:$J,"&lt;="&amp;$A1067,Despesas!$L:$L,"&gt;="&amp;$A1067,Despesas!$C:$C,G$1,Despesas!$M:$M,"Mensal")+SUMIFS(Despesas!$F:$F,Despesas!$J:$J,"&lt;="&amp;$A1067,Despesas!$L:$L,"&gt;="&amp;$A1067,Despesas!$C:$C,G$1,Despesas!$M:$M,$B1067)</f>
        <v>0</v>
      </c>
      <c r="H1067" s="18">
        <f>SUMIFS(Despesas!$F:$F,Despesas!$J:$J,"&lt;="&amp;$A1067,Despesas!$L:$L,"&gt;="&amp;$A1067,Despesas!$C:$C,H$1,Despesas!$M:$M,"Mensal")+SUMIFS(Despesas!$F:$F,Despesas!$J:$J,"&lt;="&amp;$A1067,Despesas!$L:$L,"&gt;="&amp;$A1067,Despesas!$C:$C,H$1,Despesas!$M:$M,$B1067)</f>
        <v>0</v>
      </c>
      <c r="I1067" s="18">
        <f>IF(Imóveis!$F$2="PRICE",IF(AND(Dados!$A1067&gt;=Imóveis!$Q$2,Dados!$A1067&lt;=Imóveis!$T$2),Imóveis!$U$2,0),IF((IF(AND(Dados!$A1067&gt;=Imóveis!$Q$2,Dados!$A1067&lt;=Imóveis!$T$2),Imóveis!$S$2-(DATEDIF(Imóveis!$Q$2,Dados!$A1067,"m")),0))=0,0,((Imóveis!$N$2/Imóveis!$S$2)+((Imóveis!$N$2-((Imóveis!$S$2-(IF(AND(Dados!$A1067&gt;=Imóveis!$Q$2,Dados!$A1067&lt;=Imóveis!$T$2),Imóveis!$S$2-(DATEDIF(Imóveis!$Q$2,Dados!$A1067,"m")),)))*(Imóveis!$N$2/Imóveis!$S$2)))*Imóveis!$P$2))))*IF(AND(Imóveis!$E$2&gt;0,Dados!$A1067&gt;Imóveis!$E$2),0,1)</f>
        <v>0</v>
      </c>
      <c r="J1067" s="18">
        <f>IF(Imóveis!$F$3="PRICE",IF(AND(Dados!$A1067&gt;=Imóveis!$Q$3,Dados!$A1067&lt;=Imóveis!$T$3),Imóveis!$U$3,0),IF((IF(AND(Dados!$A1067&gt;=Imóveis!$Q$3,Dados!$A1067&lt;=Imóveis!$T$3),Imóveis!$S$3-(DATEDIF(Imóveis!$Q$3,Dados!$A1067,"m")),0))=0,0,((Imóveis!$N$3/Imóveis!$S$3)+((Imóveis!$N$3-((Imóveis!$S$3-(IF(AND(Dados!$A1067&gt;=Imóveis!$Q$3,Dados!$A1067&lt;=Imóveis!$T$3),Imóveis!$S$3-(DATEDIF(Imóveis!$Q$3,Dados!$A1067,"m")),)))*(Imóveis!$N$3/Imóveis!$S$3)))*Imóveis!$P$3))))*IF(AND(Imóveis!$E$3&gt;0,Dados!$A1067&gt;Imóveis!$E$3),0,1)</f>
        <v>0</v>
      </c>
      <c r="K1067" s="18">
        <f>IF(Imóveis!$F$4="PRICE",IF(AND(Dados!$A1067&gt;=Imóveis!$Q$4,Dados!$A1067&lt;=Imóveis!$T$4),Imóveis!$U$4,0),IF((IF(AND(Dados!$A1067&gt;=Imóveis!$Q$4,Dados!$A1067&lt;=Imóveis!$T$4),Imóveis!$S$4-(DATEDIF(Imóveis!$Q$4,Dados!$A1067,"m")),0))=0,0,((Imóveis!$N$4/Imóveis!$S$4)+((Imóveis!$N$4-((Imóveis!$S$4-(IF(AND(Dados!$A1067&gt;=Imóveis!$Q$4,Dados!$A1067&lt;=Imóveis!$T$4),Imóveis!$S$4-(DATEDIF(Imóveis!$Q$4,Dados!$A1067,"m")),)))*(Imóveis!$N$4/Imóveis!$S$4)))*Imóveis!$P$4))))*IF(AND(Imóveis!$E$4&gt;0,Dados!$A1067&gt;Imóveis!$E$4),0,1)</f>
        <v>0</v>
      </c>
      <c r="L1067" s="18">
        <f>IF(Imóveis!$F$5="PRICE",IF(AND(Dados!$A1067&gt;=Imóveis!$Q$5,Dados!$A1067&lt;=Imóveis!$T$5),Imóveis!$U$5,0),IF((IF(AND(Dados!$A1067&gt;=Imóveis!$Q$5,Dados!$A1067&lt;=Imóveis!$T$5),Imóveis!$S$5-(DATEDIF(Imóveis!$Q$5,Dados!$A1067,"m")),0))=0,0,((Imóveis!$N$5/Imóveis!$S$5)+((Imóveis!$N$5-((Imóveis!$S$5-(IF(AND(Dados!$A1067 &gt;=Imóveis!$Q$5,Dados!$A1067&lt;=Imóveis!$T$5),Imóveis!$S$5-(DATEDIF(Imóveis!$Q$5,Dados!$A1067,"m")),)))*(Imóveis!$N$5/Imóveis!$S$5)))*Imóveis!$P$5))))*IF(AND(Imóveis!$E$5&gt;0,Dados!$A1067&gt;Imóveis!$E$5),0,1)*Imóveis!$I$5</f>
        <v>0</v>
      </c>
      <c r="M1067" s="18">
        <f>IF(Imóveis!$F$6="PRICE",IF(AND(Dados!$A1067&gt;=Imóveis!$Q$6,Dados!$A1067&lt;=Imóveis!$T$6),Imóveis!$U$6,0),IF((IF(AND(Dados!$A1067&gt;=Imóveis!$Q$6,Dados!$A1067&lt;=Imóveis!$T$6),Imóveis!$S$6-(DATEDIF(Imóveis!$Q$6,Dados!$A1067,"m")),0))=0,0,((Imóveis!$N$6/Imóveis!$S$6)+((Imóveis!$N$6-((Imóveis!$S$6-(IF(AND(Dados!$A1067&gt;=Imóveis!$Q$6,Dados!$A1067&lt;=Imóveis!$T$6),Imóveis!$S$6-(DATEDIF(Imóveis!$Q$6,Dados!$A1067,"m")),)))*(Imóveis!$N$6/Imóveis!$S$6)))*Imóveis!$P$6))))*IF(AND(Imóveis!$E$6&gt;0,Dados!$A1067&gt;Imóveis!$E$6),0,1)*Imóveis!$I$6</f>
        <v>0</v>
      </c>
      <c r="N1067" s="18">
        <f t="shared" si="133"/>
        <v>0</v>
      </c>
      <c r="O1067" s="18">
        <f>SUMIFS(Receitas!$F:$F,Receitas!$J:$J,"&lt;="&amp;$A1067,Receitas!$L:$L,"&gt;="&amp;$A1067,Receitas!$C:$C,O$1,Receitas!$M:$M,"Mensal")+SUMIFS(Receitas!$F:$F,Receitas!$J:$J,"&lt;="&amp;$A1067,Receitas!$L:$L,"&gt;="&amp;$A1067,Receitas!$C:$C,O$1,Receitas!$M:$M,$B1067)</f>
        <v>0</v>
      </c>
      <c r="P1067" s="18">
        <f>SUMIFS(Receitas!$F:$F,Receitas!$J:$J,"&lt;="&amp;$A1067,Receitas!$L:$L,"&gt;="&amp;$A1067,Receitas!$C:$C,P$1,Receitas!$M:$M,"Mensal")+SUMIFS(Receitas!$F:$F,Receitas!$J:$J,"&lt;="&amp;$A1067,Receitas!$L:$L,"&gt;="&amp;$A1067,Receitas!$C:$C,P$1,Receitas!$M:$M,$B1067)</f>
        <v>0</v>
      </c>
      <c r="Q1067" s="18">
        <f>SUMIFS(Receitas!$F:$F,Receitas!$J:$J,"&lt;="&amp;$A1067,Receitas!$L:$L,"&gt;="&amp;$A1067,Receitas!$C:$C,Q$1,Receitas!$M:$M,"Mensal")+SUMIFS(Receitas!$F:$F,Receitas!$J:$J,"&lt;="&amp;$A1067,Receitas!$L:$L,"&gt;="&amp;$A1067,Receitas!$C:$C,Q$1,Receitas!$M:$M,$B1067)</f>
        <v>0</v>
      </c>
      <c r="R1067" s="18" cm="1">
        <f t="array" ref="R1067">(IF(AND(Membros!$F$2="Sim",A1067&lt;=MAX(Membros!$E$2:$E$5)),Membros!K$2,IF(AND(A1067&gt;=Membros!J$2,A1067&lt;=MAX(Membros!$E$2:$E$5)),Membros!K$2,0))+IF(AND(Membros!$F$3="Sim",A1067&lt;=MAX(Membros!$E$2:$E$5)),Membros!K$3,IF(AND(A1067&gt;=Membros!J$3,A1067&lt;=MAX(Membros!$E$2:$E$5)),Membros!K$3,0)))*IF(AND(COUNTIFS(Tabela3[Tipo],"Provedor",Tabela3[Simulação Seguro],"Sim")=2,A1067&gt;=MAX(IF(Tabela3[Tipo]="Dependente",Tabela3[Expectativa de Vida (Data)]))),0,1)</f>
        <v>0</v>
      </c>
      <c r="S1067" s="18">
        <f t="shared" si="134"/>
        <v>0</v>
      </c>
      <c r="U1067" s="18">
        <f t="shared" ca="1" si="137"/>
        <v>153599702.03359181</v>
      </c>
      <c r="V1067" s="18">
        <f>SUMIF(Imóveis!E:E,Dados!A:A,Imóveis!Z:Z)-SUMIF(Imóveis!E:E,Dados!A:A,Imóveis!Y:Y)</f>
        <v>0</v>
      </c>
      <c r="W1067" s="18">
        <f>-SUMIF(Projetos!N:N,A1067,Projetos!F:F)</f>
        <v>0</v>
      </c>
      <c r="X1067" s="18">
        <f t="shared" si="131"/>
        <v>0</v>
      </c>
      <c r="Y1067" s="26">
        <f ca="1">(U1067*((Indicadores_Economicos!D$2+1)^(1/12)-1))</f>
        <v>502845.45508126903</v>
      </c>
      <c r="Z1067" s="18">
        <f t="shared" ca="1" si="135"/>
        <v>154102547.48867306</v>
      </c>
      <c r="AA1067" s="18">
        <f ca="1">Auxiliar_Projetos!E1067</f>
        <v>1.2702946947327072E-8</v>
      </c>
      <c r="AB1067" s="18">
        <f ca="1">Auxiliar_Projetos!K1067</f>
        <v>9.7714976517900495E-9</v>
      </c>
      <c r="AC1067" s="18">
        <f ca="1">IF(Z1067-AA1067-AB1067&gt;Investimentos!$C$14,Investimentos!$C$14,IF(Z1067-AA1067-AB1067&lt;Investimentos!$C$14,Z1067-AA1067-AB1067,0))</f>
        <v>300000</v>
      </c>
      <c r="AD1067" s="18">
        <f t="shared" ca="1" si="136"/>
        <v>153802547.48867306</v>
      </c>
      <c r="AE1067" s="18"/>
    </row>
    <row r="1068" spans="1:31" x14ac:dyDescent="0.2">
      <c r="A1068" s="4">
        <v>78103</v>
      </c>
      <c r="B1068" s="5" t="str">
        <f t="shared" si="132"/>
        <v>novembro</v>
      </c>
      <c r="C1068" s="5" t="str">
        <f t="shared" si="138"/>
        <v>2113</v>
      </c>
      <c r="D1068" s="5">
        <f>SUMIFS(Despesas!$F:$F,Despesas!$J:$J,"&lt;="&amp;$A1068,Despesas!$L:$L,"&gt;="&amp;$A1068,Despesas!$C:$C,D$1,Despesas!$M:$M,"Mensal")+SUMIFS(Despesas!$F:$F,Despesas!$J:$J,"&lt;="&amp;$A1068,Despesas!$L:$L,"&gt;="&amp;$A1068,Despesas!$C:$C,D$1,Despesas!$M:$M,$B1068)</f>
        <v>0</v>
      </c>
      <c r="E1068" s="18">
        <f>SUMIFS(Despesas!$F:$F,Despesas!$J:$J,"&lt;="&amp;$A1068,Despesas!$L:$L,"&gt;="&amp;$A1068,Despesas!$C:$C,E$1,Despesas!$M:$M,"Mensal")+SUMIFS(Despesas!$F:$F,Despesas!$J:$J,"&lt;="&amp;$A1068,Despesas!$L:$L,"&gt;="&amp;$A1068,Despesas!$C:$C,E$1,Despesas!$M:$M,$B1068)</f>
        <v>0</v>
      </c>
      <c r="F1068" s="5">
        <f>SUMIFS(Despesas!$F:$F,Despesas!$J:$J,"&lt;="&amp;$A1068,Despesas!$L:$L,"&gt;="&amp;$A1068,Despesas!$C:$C,F$1,Despesas!$M:$M,"Mensal")+SUMIFS(Despesas!$F:$F,Despesas!$J:$J,"&lt;="&amp;$A1068,Despesas!$L:$L,"&gt;="&amp;$A1068,Despesas!$C:$C,F$1,Despesas!$M:$M,$B1068)</f>
        <v>0</v>
      </c>
      <c r="G1068" s="5">
        <f>SUMIFS(Despesas!$F:$F,Despesas!$J:$J,"&lt;="&amp;$A1068,Despesas!$L:$L,"&gt;="&amp;$A1068,Despesas!$C:$C,G$1,Despesas!$M:$M,"Mensal")+SUMIFS(Despesas!$F:$F,Despesas!$J:$J,"&lt;="&amp;$A1068,Despesas!$L:$L,"&gt;="&amp;$A1068,Despesas!$C:$C,G$1,Despesas!$M:$M,$B1068)</f>
        <v>0</v>
      </c>
      <c r="H1068" s="18">
        <f>SUMIFS(Despesas!$F:$F,Despesas!$J:$J,"&lt;="&amp;$A1068,Despesas!$L:$L,"&gt;="&amp;$A1068,Despesas!$C:$C,H$1,Despesas!$M:$M,"Mensal")+SUMIFS(Despesas!$F:$F,Despesas!$J:$J,"&lt;="&amp;$A1068,Despesas!$L:$L,"&gt;="&amp;$A1068,Despesas!$C:$C,H$1,Despesas!$M:$M,$B1068)</f>
        <v>0</v>
      </c>
      <c r="I1068" s="18">
        <f>IF(Imóveis!$F$2="PRICE",IF(AND(Dados!$A1068&gt;=Imóveis!$Q$2,Dados!$A1068&lt;=Imóveis!$T$2),Imóveis!$U$2,0),IF((IF(AND(Dados!$A1068&gt;=Imóveis!$Q$2,Dados!$A1068&lt;=Imóveis!$T$2),Imóveis!$S$2-(DATEDIF(Imóveis!$Q$2,Dados!$A1068,"m")),0))=0,0,((Imóveis!$N$2/Imóveis!$S$2)+((Imóveis!$N$2-((Imóveis!$S$2-(IF(AND(Dados!$A1068&gt;=Imóveis!$Q$2,Dados!$A1068&lt;=Imóveis!$T$2),Imóveis!$S$2-(DATEDIF(Imóveis!$Q$2,Dados!$A1068,"m")),)))*(Imóveis!$N$2/Imóveis!$S$2)))*Imóveis!$P$2))))*IF(AND(Imóveis!$E$2&gt;0,Dados!$A1068&gt;Imóveis!$E$2),0,1)</f>
        <v>0</v>
      </c>
      <c r="J1068" s="18">
        <f>IF(Imóveis!$F$3="PRICE",IF(AND(Dados!$A1068&gt;=Imóveis!$Q$3,Dados!$A1068&lt;=Imóveis!$T$3),Imóveis!$U$3,0),IF((IF(AND(Dados!$A1068&gt;=Imóveis!$Q$3,Dados!$A1068&lt;=Imóveis!$T$3),Imóveis!$S$3-(DATEDIF(Imóveis!$Q$3,Dados!$A1068,"m")),0))=0,0,((Imóveis!$N$3/Imóveis!$S$3)+((Imóveis!$N$3-((Imóveis!$S$3-(IF(AND(Dados!$A1068&gt;=Imóveis!$Q$3,Dados!$A1068&lt;=Imóveis!$T$3),Imóveis!$S$3-(DATEDIF(Imóveis!$Q$3,Dados!$A1068,"m")),)))*(Imóveis!$N$3/Imóveis!$S$3)))*Imóveis!$P$3))))*IF(AND(Imóveis!$E$3&gt;0,Dados!$A1068&gt;Imóveis!$E$3),0,1)</f>
        <v>0</v>
      </c>
      <c r="K1068" s="18">
        <f>IF(Imóveis!$F$4="PRICE",IF(AND(Dados!$A1068&gt;=Imóveis!$Q$4,Dados!$A1068&lt;=Imóveis!$T$4),Imóveis!$U$4,0),IF((IF(AND(Dados!$A1068&gt;=Imóveis!$Q$4,Dados!$A1068&lt;=Imóveis!$T$4),Imóveis!$S$4-(DATEDIF(Imóveis!$Q$4,Dados!$A1068,"m")),0))=0,0,((Imóveis!$N$4/Imóveis!$S$4)+((Imóveis!$N$4-((Imóveis!$S$4-(IF(AND(Dados!$A1068&gt;=Imóveis!$Q$4,Dados!$A1068&lt;=Imóveis!$T$4),Imóveis!$S$4-(DATEDIF(Imóveis!$Q$4,Dados!$A1068,"m")),)))*(Imóveis!$N$4/Imóveis!$S$4)))*Imóveis!$P$4))))*IF(AND(Imóveis!$E$4&gt;0,Dados!$A1068&gt;Imóveis!$E$4),0,1)</f>
        <v>0</v>
      </c>
      <c r="L1068" s="18">
        <f>IF(Imóveis!$F$5="PRICE",IF(AND(Dados!$A1068&gt;=Imóveis!$Q$5,Dados!$A1068&lt;=Imóveis!$T$5),Imóveis!$U$5,0),IF((IF(AND(Dados!$A1068&gt;=Imóveis!$Q$5,Dados!$A1068&lt;=Imóveis!$T$5),Imóveis!$S$5-(DATEDIF(Imóveis!$Q$5,Dados!$A1068,"m")),0))=0,0,((Imóveis!$N$5/Imóveis!$S$5)+((Imóveis!$N$5-((Imóveis!$S$5-(IF(AND(Dados!$A1068 &gt;=Imóveis!$Q$5,Dados!$A1068&lt;=Imóveis!$T$5),Imóveis!$S$5-(DATEDIF(Imóveis!$Q$5,Dados!$A1068,"m")),)))*(Imóveis!$N$5/Imóveis!$S$5)))*Imóveis!$P$5))))*IF(AND(Imóveis!$E$5&gt;0,Dados!$A1068&gt;Imóveis!$E$5),0,1)*Imóveis!$I$5</f>
        <v>0</v>
      </c>
      <c r="M1068" s="18">
        <f>IF(Imóveis!$F$6="PRICE",IF(AND(Dados!$A1068&gt;=Imóveis!$Q$6,Dados!$A1068&lt;=Imóveis!$T$6),Imóveis!$U$6,0),IF((IF(AND(Dados!$A1068&gt;=Imóveis!$Q$6,Dados!$A1068&lt;=Imóveis!$T$6),Imóveis!$S$6-(DATEDIF(Imóveis!$Q$6,Dados!$A1068,"m")),0))=0,0,((Imóveis!$N$6/Imóveis!$S$6)+((Imóveis!$N$6-((Imóveis!$S$6-(IF(AND(Dados!$A1068&gt;=Imóveis!$Q$6,Dados!$A1068&lt;=Imóveis!$T$6),Imóveis!$S$6-(DATEDIF(Imóveis!$Q$6,Dados!$A1068,"m")),)))*(Imóveis!$N$6/Imóveis!$S$6)))*Imóveis!$P$6))))*IF(AND(Imóveis!$E$6&gt;0,Dados!$A1068&gt;Imóveis!$E$6),0,1)*Imóveis!$I$6</f>
        <v>0</v>
      </c>
      <c r="N1068" s="18">
        <f t="shared" si="133"/>
        <v>0</v>
      </c>
      <c r="O1068" s="18">
        <f>SUMIFS(Receitas!$F:$F,Receitas!$J:$J,"&lt;="&amp;$A1068,Receitas!$L:$L,"&gt;="&amp;$A1068,Receitas!$C:$C,O$1,Receitas!$M:$M,"Mensal")+SUMIFS(Receitas!$F:$F,Receitas!$J:$J,"&lt;="&amp;$A1068,Receitas!$L:$L,"&gt;="&amp;$A1068,Receitas!$C:$C,O$1,Receitas!$M:$M,$B1068)</f>
        <v>0</v>
      </c>
      <c r="P1068" s="18">
        <f>SUMIFS(Receitas!$F:$F,Receitas!$J:$J,"&lt;="&amp;$A1068,Receitas!$L:$L,"&gt;="&amp;$A1068,Receitas!$C:$C,P$1,Receitas!$M:$M,"Mensal")+SUMIFS(Receitas!$F:$F,Receitas!$J:$J,"&lt;="&amp;$A1068,Receitas!$L:$L,"&gt;="&amp;$A1068,Receitas!$C:$C,P$1,Receitas!$M:$M,$B1068)</f>
        <v>0</v>
      </c>
      <c r="Q1068" s="18">
        <f>SUMIFS(Receitas!$F:$F,Receitas!$J:$J,"&lt;="&amp;$A1068,Receitas!$L:$L,"&gt;="&amp;$A1068,Receitas!$C:$C,Q$1,Receitas!$M:$M,"Mensal")+SUMIFS(Receitas!$F:$F,Receitas!$J:$J,"&lt;="&amp;$A1068,Receitas!$L:$L,"&gt;="&amp;$A1068,Receitas!$C:$C,Q$1,Receitas!$M:$M,$B1068)</f>
        <v>0</v>
      </c>
      <c r="R1068" s="18" cm="1">
        <f t="array" ref="R1068">(IF(AND(Membros!$F$2="Sim",A1068&lt;=MAX(Membros!$E$2:$E$5)),Membros!K$2,IF(AND(A1068&gt;=Membros!J$2,A1068&lt;=MAX(Membros!$E$2:$E$5)),Membros!K$2,0))+IF(AND(Membros!$F$3="Sim",A1068&lt;=MAX(Membros!$E$2:$E$5)),Membros!K$3,IF(AND(A1068&gt;=Membros!J$3,A1068&lt;=MAX(Membros!$E$2:$E$5)),Membros!K$3,0)))*IF(AND(COUNTIFS(Tabela3[Tipo],"Provedor",Tabela3[Simulação Seguro],"Sim")=2,A1068&gt;=MAX(IF(Tabela3[Tipo]="Dependente",Tabela3[Expectativa de Vida (Data)]))),0,1)</f>
        <v>0</v>
      </c>
      <c r="S1068" s="18">
        <f t="shared" si="134"/>
        <v>0</v>
      </c>
      <c r="U1068" s="18">
        <f t="shared" ca="1" si="137"/>
        <v>154102547.48867306</v>
      </c>
      <c r="V1068" s="18">
        <f>SUMIF(Imóveis!E:E,Dados!A:A,Imóveis!Z:Z)-SUMIF(Imóveis!E:E,Dados!A:A,Imóveis!Y:Y)</f>
        <v>0</v>
      </c>
      <c r="W1068" s="18">
        <f>-SUMIF(Projetos!N:N,A1068,Projetos!F:F)</f>
        <v>0</v>
      </c>
      <c r="X1068" s="18">
        <f t="shared" si="131"/>
        <v>0</v>
      </c>
      <c r="Y1068" s="26">
        <f ca="1">(U1068*((Indicadores_Economicos!D$2+1)^(1/12)-1))</f>
        <v>504491.64025186643</v>
      </c>
      <c r="Z1068" s="18">
        <f t="shared" ca="1" si="135"/>
        <v>154607039.12892494</v>
      </c>
      <c r="AA1068" s="18">
        <f ca="1">Auxiliar_Projetos!E1068</f>
        <v>1.2744533090099698E-8</v>
      </c>
      <c r="AB1068" s="18">
        <f ca="1">Auxiliar_Projetos!K1068</f>
        <v>9.803486992384378E-9</v>
      </c>
      <c r="AC1068" s="18">
        <f ca="1">IF(Z1068-AA1068-AB1068&gt;Investimentos!$C$14,Investimentos!$C$14,IF(Z1068-AA1068-AB1068&lt;Investimentos!$C$14,Z1068-AA1068-AB1068,0))</f>
        <v>300000</v>
      </c>
      <c r="AD1068" s="18">
        <f t="shared" ca="1" si="136"/>
        <v>154307039.12892494</v>
      </c>
      <c r="AE1068" s="18"/>
    </row>
    <row r="1069" spans="1:31" x14ac:dyDescent="0.2">
      <c r="A1069" s="4">
        <v>78133</v>
      </c>
      <c r="B1069" s="5" t="str">
        <f t="shared" si="132"/>
        <v>dezembro</v>
      </c>
      <c r="C1069" s="5" t="str">
        <f t="shared" si="138"/>
        <v>2113</v>
      </c>
      <c r="D1069" s="5">
        <f>SUMIFS(Despesas!$F:$F,Despesas!$J:$J,"&lt;="&amp;$A1069,Despesas!$L:$L,"&gt;="&amp;$A1069,Despesas!$C:$C,D$1,Despesas!$M:$M,"Mensal")+SUMIFS(Despesas!$F:$F,Despesas!$J:$J,"&lt;="&amp;$A1069,Despesas!$L:$L,"&gt;="&amp;$A1069,Despesas!$C:$C,D$1,Despesas!$M:$M,$B1069)</f>
        <v>0</v>
      </c>
      <c r="E1069" s="18">
        <f>SUMIFS(Despesas!$F:$F,Despesas!$J:$J,"&lt;="&amp;$A1069,Despesas!$L:$L,"&gt;="&amp;$A1069,Despesas!$C:$C,E$1,Despesas!$M:$M,"Mensal")+SUMIFS(Despesas!$F:$F,Despesas!$J:$J,"&lt;="&amp;$A1069,Despesas!$L:$L,"&gt;="&amp;$A1069,Despesas!$C:$C,E$1,Despesas!$M:$M,$B1069)</f>
        <v>0</v>
      </c>
      <c r="F1069" s="5">
        <f>SUMIFS(Despesas!$F:$F,Despesas!$J:$J,"&lt;="&amp;$A1069,Despesas!$L:$L,"&gt;="&amp;$A1069,Despesas!$C:$C,F$1,Despesas!$M:$M,"Mensal")+SUMIFS(Despesas!$F:$F,Despesas!$J:$J,"&lt;="&amp;$A1069,Despesas!$L:$L,"&gt;="&amp;$A1069,Despesas!$C:$C,F$1,Despesas!$M:$M,$B1069)</f>
        <v>0</v>
      </c>
      <c r="G1069" s="5">
        <f>SUMIFS(Despesas!$F:$F,Despesas!$J:$J,"&lt;="&amp;$A1069,Despesas!$L:$L,"&gt;="&amp;$A1069,Despesas!$C:$C,G$1,Despesas!$M:$M,"Mensal")+SUMIFS(Despesas!$F:$F,Despesas!$J:$J,"&lt;="&amp;$A1069,Despesas!$L:$L,"&gt;="&amp;$A1069,Despesas!$C:$C,G$1,Despesas!$M:$M,$B1069)</f>
        <v>0</v>
      </c>
      <c r="H1069" s="18">
        <f>SUMIFS(Despesas!$F:$F,Despesas!$J:$J,"&lt;="&amp;$A1069,Despesas!$L:$L,"&gt;="&amp;$A1069,Despesas!$C:$C,H$1,Despesas!$M:$M,"Mensal")+SUMIFS(Despesas!$F:$F,Despesas!$J:$J,"&lt;="&amp;$A1069,Despesas!$L:$L,"&gt;="&amp;$A1069,Despesas!$C:$C,H$1,Despesas!$M:$M,$B1069)</f>
        <v>0</v>
      </c>
      <c r="I1069" s="18">
        <f>IF(Imóveis!$F$2="PRICE",IF(AND(Dados!$A1069&gt;=Imóveis!$Q$2,Dados!$A1069&lt;=Imóveis!$T$2),Imóveis!$U$2,0),IF((IF(AND(Dados!$A1069&gt;=Imóveis!$Q$2,Dados!$A1069&lt;=Imóveis!$T$2),Imóveis!$S$2-(DATEDIF(Imóveis!$Q$2,Dados!$A1069,"m")),0))=0,0,((Imóveis!$N$2/Imóveis!$S$2)+((Imóveis!$N$2-((Imóveis!$S$2-(IF(AND(Dados!$A1069&gt;=Imóveis!$Q$2,Dados!$A1069&lt;=Imóveis!$T$2),Imóveis!$S$2-(DATEDIF(Imóveis!$Q$2,Dados!$A1069,"m")),)))*(Imóveis!$N$2/Imóveis!$S$2)))*Imóveis!$P$2))))*IF(AND(Imóveis!$E$2&gt;0,Dados!$A1069&gt;Imóveis!$E$2),0,1)</f>
        <v>0</v>
      </c>
      <c r="J1069" s="18">
        <f>IF(Imóveis!$F$3="PRICE",IF(AND(Dados!$A1069&gt;=Imóveis!$Q$3,Dados!$A1069&lt;=Imóveis!$T$3),Imóveis!$U$3,0),IF((IF(AND(Dados!$A1069&gt;=Imóveis!$Q$3,Dados!$A1069&lt;=Imóveis!$T$3),Imóveis!$S$3-(DATEDIF(Imóveis!$Q$3,Dados!$A1069,"m")),0))=0,0,((Imóveis!$N$3/Imóveis!$S$3)+((Imóveis!$N$3-((Imóveis!$S$3-(IF(AND(Dados!$A1069&gt;=Imóveis!$Q$3,Dados!$A1069&lt;=Imóveis!$T$3),Imóveis!$S$3-(DATEDIF(Imóveis!$Q$3,Dados!$A1069,"m")),)))*(Imóveis!$N$3/Imóveis!$S$3)))*Imóveis!$P$3))))*IF(AND(Imóveis!$E$3&gt;0,Dados!$A1069&gt;Imóveis!$E$3),0,1)</f>
        <v>0</v>
      </c>
      <c r="K1069" s="18">
        <f>IF(Imóveis!$F$4="PRICE",IF(AND(Dados!$A1069&gt;=Imóveis!$Q$4,Dados!$A1069&lt;=Imóveis!$T$4),Imóveis!$U$4,0),IF((IF(AND(Dados!$A1069&gt;=Imóveis!$Q$4,Dados!$A1069&lt;=Imóveis!$T$4),Imóveis!$S$4-(DATEDIF(Imóveis!$Q$4,Dados!$A1069,"m")),0))=0,0,((Imóveis!$N$4/Imóveis!$S$4)+((Imóveis!$N$4-((Imóveis!$S$4-(IF(AND(Dados!$A1069&gt;=Imóveis!$Q$4,Dados!$A1069&lt;=Imóveis!$T$4),Imóveis!$S$4-(DATEDIF(Imóveis!$Q$4,Dados!$A1069,"m")),)))*(Imóveis!$N$4/Imóveis!$S$4)))*Imóveis!$P$4))))*IF(AND(Imóveis!$E$4&gt;0,Dados!$A1069&gt;Imóveis!$E$4),0,1)</f>
        <v>0</v>
      </c>
      <c r="L1069" s="18">
        <f>IF(Imóveis!$F$5="PRICE",IF(AND(Dados!$A1069&gt;=Imóveis!$Q$5,Dados!$A1069&lt;=Imóveis!$T$5),Imóveis!$U$5,0),IF((IF(AND(Dados!$A1069&gt;=Imóveis!$Q$5,Dados!$A1069&lt;=Imóveis!$T$5),Imóveis!$S$5-(DATEDIF(Imóveis!$Q$5,Dados!$A1069,"m")),0))=0,0,((Imóveis!$N$5/Imóveis!$S$5)+((Imóveis!$N$5-((Imóveis!$S$5-(IF(AND(Dados!$A1069 &gt;=Imóveis!$Q$5,Dados!$A1069&lt;=Imóveis!$T$5),Imóveis!$S$5-(DATEDIF(Imóveis!$Q$5,Dados!$A1069,"m")),)))*(Imóveis!$N$5/Imóveis!$S$5)))*Imóveis!$P$5))))*IF(AND(Imóveis!$E$5&gt;0,Dados!$A1069&gt;Imóveis!$E$5),0,1)*Imóveis!$I$5</f>
        <v>0</v>
      </c>
      <c r="M1069" s="18">
        <f>IF(Imóveis!$F$6="PRICE",IF(AND(Dados!$A1069&gt;=Imóveis!$Q$6,Dados!$A1069&lt;=Imóveis!$T$6),Imóveis!$U$6,0),IF((IF(AND(Dados!$A1069&gt;=Imóveis!$Q$6,Dados!$A1069&lt;=Imóveis!$T$6),Imóveis!$S$6-(DATEDIF(Imóveis!$Q$6,Dados!$A1069,"m")),0))=0,0,((Imóveis!$N$6/Imóveis!$S$6)+((Imóveis!$N$6-((Imóveis!$S$6-(IF(AND(Dados!$A1069&gt;=Imóveis!$Q$6,Dados!$A1069&lt;=Imóveis!$T$6),Imóveis!$S$6-(DATEDIF(Imóveis!$Q$6,Dados!$A1069,"m")),)))*(Imóveis!$N$6/Imóveis!$S$6)))*Imóveis!$P$6))))*IF(AND(Imóveis!$E$6&gt;0,Dados!$A1069&gt;Imóveis!$E$6),0,1)*Imóveis!$I$6</f>
        <v>0</v>
      </c>
      <c r="N1069" s="18">
        <f t="shared" si="133"/>
        <v>0</v>
      </c>
      <c r="O1069" s="18">
        <f>SUMIFS(Receitas!$F:$F,Receitas!$J:$J,"&lt;="&amp;$A1069,Receitas!$L:$L,"&gt;="&amp;$A1069,Receitas!$C:$C,O$1,Receitas!$M:$M,"Mensal")+SUMIFS(Receitas!$F:$F,Receitas!$J:$J,"&lt;="&amp;$A1069,Receitas!$L:$L,"&gt;="&amp;$A1069,Receitas!$C:$C,O$1,Receitas!$M:$M,$B1069)</f>
        <v>0</v>
      </c>
      <c r="P1069" s="18">
        <f>SUMIFS(Receitas!$F:$F,Receitas!$J:$J,"&lt;="&amp;$A1069,Receitas!$L:$L,"&gt;="&amp;$A1069,Receitas!$C:$C,P$1,Receitas!$M:$M,"Mensal")+SUMIFS(Receitas!$F:$F,Receitas!$J:$J,"&lt;="&amp;$A1069,Receitas!$L:$L,"&gt;="&amp;$A1069,Receitas!$C:$C,P$1,Receitas!$M:$M,$B1069)</f>
        <v>0</v>
      </c>
      <c r="Q1069" s="18">
        <f>SUMIFS(Receitas!$F:$F,Receitas!$J:$J,"&lt;="&amp;$A1069,Receitas!$L:$L,"&gt;="&amp;$A1069,Receitas!$C:$C,Q$1,Receitas!$M:$M,"Mensal")+SUMIFS(Receitas!$F:$F,Receitas!$J:$J,"&lt;="&amp;$A1069,Receitas!$L:$L,"&gt;="&amp;$A1069,Receitas!$C:$C,Q$1,Receitas!$M:$M,$B1069)</f>
        <v>0</v>
      </c>
      <c r="R1069" s="18" cm="1">
        <f t="array" ref="R1069">(IF(AND(Membros!$F$2="Sim",A1069&lt;=MAX(Membros!$E$2:$E$5)),Membros!K$2,IF(AND(A1069&gt;=Membros!J$2,A1069&lt;=MAX(Membros!$E$2:$E$5)),Membros!K$2,0))+IF(AND(Membros!$F$3="Sim",A1069&lt;=MAX(Membros!$E$2:$E$5)),Membros!K$3,IF(AND(A1069&gt;=Membros!J$3,A1069&lt;=MAX(Membros!$E$2:$E$5)),Membros!K$3,0)))*IF(AND(COUNTIFS(Tabela3[Tipo],"Provedor",Tabela3[Simulação Seguro],"Sim")=2,A1069&gt;=MAX(IF(Tabela3[Tipo]="Dependente",Tabela3[Expectativa de Vida (Data)]))),0,1)</f>
        <v>0</v>
      </c>
      <c r="S1069" s="18">
        <f t="shared" si="134"/>
        <v>0</v>
      </c>
      <c r="U1069" s="18">
        <f t="shared" ca="1" si="137"/>
        <v>154607039.12892494</v>
      </c>
      <c r="V1069" s="18">
        <f>SUMIF(Imóveis!E:E,Dados!A:A,Imóveis!Z:Z)-SUMIF(Imóveis!E:E,Dados!A:A,Imóveis!Y:Y)</f>
        <v>0</v>
      </c>
      <c r="W1069" s="18">
        <f>-SUMIF(Projetos!N:N,A1069,Projetos!F:F)</f>
        <v>0</v>
      </c>
      <c r="X1069" s="18">
        <f t="shared" si="131"/>
        <v>0</v>
      </c>
      <c r="Y1069" s="26">
        <f ca="1">(U1069*((Indicadores_Economicos!D$2+1)^(1/12)-1))</f>
        <v>506143.21460434579</v>
      </c>
      <c r="Z1069" s="18">
        <f t="shared" ca="1" si="135"/>
        <v>155113182.34352928</v>
      </c>
      <c r="AA1069" s="18">
        <f ca="1">Auxiliar_Projetos!E1069</f>
        <v>1.2786255375082307E-8</v>
      </c>
      <c r="AB1069" s="18">
        <f ca="1">Auxiliar_Projetos!K1069</f>
        <v>9.8355810577556165E-9</v>
      </c>
      <c r="AC1069" s="18">
        <f ca="1">IF(Z1069-AA1069-AB1069&gt;Investimentos!$C$14,Investimentos!$C$14,IF(Z1069-AA1069-AB1069&lt;Investimentos!$C$14,Z1069-AA1069-AB1069,0))</f>
        <v>300000</v>
      </c>
      <c r="AD1069" s="18">
        <f t="shared" ca="1" si="136"/>
        <v>154813182.34352928</v>
      </c>
      <c r="AE1069" s="18"/>
    </row>
    <row r="1070" spans="1:31" x14ac:dyDescent="0.2">
      <c r="A1070" s="4">
        <v>78164</v>
      </c>
      <c r="B1070" s="5" t="str">
        <f t="shared" si="132"/>
        <v>janeiro</v>
      </c>
      <c r="C1070" s="5" t="str">
        <f t="shared" si="138"/>
        <v>2114</v>
      </c>
      <c r="D1070" s="5">
        <f>SUMIFS(Despesas!$F:$F,Despesas!$J:$J,"&lt;="&amp;$A1070,Despesas!$L:$L,"&gt;="&amp;$A1070,Despesas!$C:$C,D$1,Despesas!$M:$M,"Mensal")+SUMIFS(Despesas!$F:$F,Despesas!$J:$J,"&lt;="&amp;$A1070,Despesas!$L:$L,"&gt;="&amp;$A1070,Despesas!$C:$C,D$1,Despesas!$M:$M,$B1070)</f>
        <v>0</v>
      </c>
      <c r="E1070" s="18">
        <f>SUMIFS(Despesas!$F:$F,Despesas!$J:$J,"&lt;="&amp;$A1070,Despesas!$L:$L,"&gt;="&amp;$A1070,Despesas!$C:$C,E$1,Despesas!$M:$M,"Mensal")+SUMIFS(Despesas!$F:$F,Despesas!$J:$J,"&lt;="&amp;$A1070,Despesas!$L:$L,"&gt;="&amp;$A1070,Despesas!$C:$C,E$1,Despesas!$M:$M,$B1070)</f>
        <v>0</v>
      </c>
      <c r="F1070" s="5">
        <f>SUMIFS(Despesas!$F:$F,Despesas!$J:$J,"&lt;="&amp;$A1070,Despesas!$L:$L,"&gt;="&amp;$A1070,Despesas!$C:$C,F$1,Despesas!$M:$M,"Mensal")+SUMIFS(Despesas!$F:$F,Despesas!$J:$J,"&lt;="&amp;$A1070,Despesas!$L:$L,"&gt;="&amp;$A1070,Despesas!$C:$C,F$1,Despesas!$M:$M,$B1070)</f>
        <v>0</v>
      </c>
      <c r="G1070" s="5">
        <f>SUMIFS(Despesas!$F:$F,Despesas!$J:$J,"&lt;="&amp;$A1070,Despesas!$L:$L,"&gt;="&amp;$A1070,Despesas!$C:$C,G$1,Despesas!$M:$M,"Mensal")+SUMIFS(Despesas!$F:$F,Despesas!$J:$J,"&lt;="&amp;$A1070,Despesas!$L:$L,"&gt;="&amp;$A1070,Despesas!$C:$C,G$1,Despesas!$M:$M,$B1070)</f>
        <v>0</v>
      </c>
      <c r="H1070" s="18">
        <f>SUMIFS(Despesas!$F:$F,Despesas!$J:$J,"&lt;="&amp;$A1070,Despesas!$L:$L,"&gt;="&amp;$A1070,Despesas!$C:$C,H$1,Despesas!$M:$M,"Mensal")+SUMIFS(Despesas!$F:$F,Despesas!$J:$J,"&lt;="&amp;$A1070,Despesas!$L:$L,"&gt;="&amp;$A1070,Despesas!$C:$C,H$1,Despesas!$M:$M,$B1070)</f>
        <v>0</v>
      </c>
      <c r="I1070" s="18">
        <f>IF(Imóveis!$F$2="PRICE",IF(AND(Dados!$A1070&gt;=Imóveis!$Q$2,Dados!$A1070&lt;=Imóveis!$T$2),Imóveis!$U$2,0),IF((IF(AND(Dados!$A1070&gt;=Imóveis!$Q$2,Dados!$A1070&lt;=Imóveis!$T$2),Imóveis!$S$2-(DATEDIF(Imóveis!$Q$2,Dados!$A1070,"m")),0))=0,0,((Imóveis!$N$2/Imóveis!$S$2)+((Imóveis!$N$2-((Imóveis!$S$2-(IF(AND(Dados!$A1070&gt;=Imóveis!$Q$2,Dados!$A1070&lt;=Imóveis!$T$2),Imóveis!$S$2-(DATEDIF(Imóveis!$Q$2,Dados!$A1070,"m")),)))*(Imóveis!$N$2/Imóveis!$S$2)))*Imóveis!$P$2))))*IF(AND(Imóveis!$E$2&gt;0,Dados!$A1070&gt;Imóveis!$E$2),0,1)</f>
        <v>0</v>
      </c>
      <c r="J1070" s="18">
        <f>IF(Imóveis!$F$3="PRICE",IF(AND(Dados!$A1070&gt;=Imóveis!$Q$3,Dados!$A1070&lt;=Imóveis!$T$3),Imóveis!$U$3,0),IF((IF(AND(Dados!$A1070&gt;=Imóveis!$Q$3,Dados!$A1070&lt;=Imóveis!$T$3),Imóveis!$S$3-(DATEDIF(Imóveis!$Q$3,Dados!$A1070,"m")),0))=0,0,((Imóveis!$N$3/Imóveis!$S$3)+((Imóveis!$N$3-((Imóveis!$S$3-(IF(AND(Dados!$A1070&gt;=Imóveis!$Q$3,Dados!$A1070&lt;=Imóveis!$T$3),Imóveis!$S$3-(DATEDIF(Imóveis!$Q$3,Dados!$A1070,"m")),)))*(Imóveis!$N$3/Imóveis!$S$3)))*Imóveis!$P$3))))*IF(AND(Imóveis!$E$3&gt;0,Dados!$A1070&gt;Imóveis!$E$3),0,1)</f>
        <v>0</v>
      </c>
      <c r="K1070" s="18">
        <f>IF(Imóveis!$F$4="PRICE",IF(AND(Dados!$A1070&gt;=Imóveis!$Q$4,Dados!$A1070&lt;=Imóveis!$T$4),Imóveis!$U$4,0),IF((IF(AND(Dados!$A1070&gt;=Imóveis!$Q$4,Dados!$A1070&lt;=Imóveis!$T$4),Imóveis!$S$4-(DATEDIF(Imóveis!$Q$4,Dados!$A1070,"m")),0))=0,0,((Imóveis!$N$4/Imóveis!$S$4)+((Imóveis!$N$4-((Imóveis!$S$4-(IF(AND(Dados!$A1070&gt;=Imóveis!$Q$4,Dados!$A1070&lt;=Imóveis!$T$4),Imóveis!$S$4-(DATEDIF(Imóveis!$Q$4,Dados!$A1070,"m")),)))*(Imóveis!$N$4/Imóveis!$S$4)))*Imóveis!$P$4))))*IF(AND(Imóveis!$E$4&gt;0,Dados!$A1070&gt;Imóveis!$E$4),0,1)</f>
        <v>0</v>
      </c>
      <c r="L1070" s="18">
        <f>IF(Imóveis!$F$5="PRICE",IF(AND(Dados!$A1070&gt;=Imóveis!$Q$5,Dados!$A1070&lt;=Imóveis!$T$5),Imóveis!$U$5,0),IF((IF(AND(Dados!$A1070&gt;=Imóveis!$Q$5,Dados!$A1070&lt;=Imóveis!$T$5),Imóveis!$S$5-(DATEDIF(Imóveis!$Q$5,Dados!$A1070,"m")),0))=0,0,((Imóveis!$N$5/Imóveis!$S$5)+((Imóveis!$N$5-((Imóveis!$S$5-(IF(AND(Dados!$A1070 &gt;=Imóveis!$Q$5,Dados!$A1070&lt;=Imóveis!$T$5),Imóveis!$S$5-(DATEDIF(Imóveis!$Q$5,Dados!$A1070,"m")),)))*(Imóveis!$N$5/Imóveis!$S$5)))*Imóveis!$P$5))))*IF(AND(Imóveis!$E$5&gt;0,Dados!$A1070&gt;Imóveis!$E$5),0,1)*Imóveis!$I$5</f>
        <v>0</v>
      </c>
      <c r="M1070" s="18">
        <f>IF(Imóveis!$F$6="PRICE",IF(AND(Dados!$A1070&gt;=Imóveis!$Q$6,Dados!$A1070&lt;=Imóveis!$T$6),Imóveis!$U$6,0),IF((IF(AND(Dados!$A1070&gt;=Imóveis!$Q$6,Dados!$A1070&lt;=Imóveis!$T$6),Imóveis!$S$6-(DATEDIF(Imóveis!$Q$6,Dados!$A1070,"m")),0))=0,0,((Imóveis!$N$6/Imóveis!$S$6)+((Imóveis!$N$6-((Imóveis!$S$6-(IF(AND(Dados!$A1070&gt;=Imóveis!$Q$6,Dados!$A1070&lt;=Imóveis!$T$6),Imóveis!$S$6-(DATEDIF(Imóveis!$Q$6,Dados!$A1070,"m")),)))*(Imóveis!$N$6/Imóveis!$S$6)))*Imóveis!$P$6))))*IF(AND(Imóveis!$E$6&gt;0,Dados!$A1070&gt;Imóveis!$E$6),0,1)*Imóveis!$I$6</f>
        <v>0</v>
      </c>
      <c r="N1070" s="18">
        <f t="shared" si="133"/>
        <v>0</v>
      </c>
      <c r="O1070" s="18">
        <f>SUMIFS(Receitas!$F:$F,Receitas!$J:$J,"&lt;="&amp;$A1070,Receitas!$L:$L,"&gt;="&amp;$A1070,Receitas!$C:$C,O$1,Receitas!$M:$M,"Mensal")+SUMIFS(Receitas!$F:$F,Receitas!$J:$J,"&lt;="&amp;$A1070,Receitas!$L:$L,"&gt;="&amp;$A1070,Receitas!$C:$C,O$1,Receitas!$M:$M,$B1070)</f>
        <v>0</v>
      </c>
      <c r="P1070" s="18">
        <f>SUMIFS(Receitas!$F:$F,Receitas!$J:$J,"&lt;="&amp;$A1070,Receitas!$L:$L,"&gt;="&amp;$A1070,Receitas!$C:$C,P$1,Receitas!$M:$M,"Mensal")+SUMIFS(Receitas!$F:$F,Receitas!$J:$J,"&lt;="&amp;$A1070,Receitas!$L:$L,"&gt;="&amp;$A1070,Receitas!$C:$C,P$1,Receitas!$M:$M,$B1070)</f>
        <v>0</v>
      </c>
      <c r="Q1070" s="18">
        <f>SUMIFS(Receitas!$F:$F,Receitas!$J:$J,"&lt;="&amp;$A1070,Receitas!$L:$L,"&gt;="&amp;$A1070,Receitas!$C:$C,Q$1,Receitas!$M:$M,"Mensal")+SUMIFS(Receitas!$F:$F,Receitas!$J:$J,"&lt;="&amp;$A1070,Receitas!$L:$L,"&gt;="&amp;$A1070,Receitas!$C:$C,Q$1,Receitas!$M:$M,$B1070)</f>
        <v>0</v>
      </c>
      <c r="R1070" s="18" cm="1">
        <f t="array" ref="R1070">(IF(AND(Membros!$F$2="Sim",A1070&lt;=MAX(Membros!$E$2:$E$5)),Membros!K$2,IF(AND(A1070&gt;=Membros!J$2,A1070&lt;=MAX(Membros!$E$2:$E$5)),Membros!K$2,0))+IF(AND(Membros!$F$3="Sim",A1070&lt;=MAX(Membros!$E$2:$E$5)),Membros!K$3,IF(AND(A1070&gt;=Membros!J$3,A1070&lt;=MAX(Membros!$E$2:$E$5)),Membros!K$3,0)))*IF(AND(COUNTIFS(Tabela3[Tipo],"Provedor",Tabela3[Simulação Seguro],"Sim")=2,A1070&gt;=MAX(IF(Tabela3[Tipo]="Dependente",Tabela3[Expectativa de Vida (Data)]))),0,1)</f>
        <v>0</v>
      </c>
      <c r="S1070" s="18">
        <f t="shared" si="134"/>
        <v>0</v>
      </c>
      <c r="U1070" s="18">
        <f t="shared" ca="1" si="137"/>
        <v>155113182.34352928</v>
      </c>
      <c r="V1070" s="18">
        <f>SUMIF(Imóveis!E:E,Dados!A:A,Imóveis!Z:Z)-SUMIF(Imóveis!E:E,Dados!A:A,Imóveis!Y:Y)</f>
        <v>0</v>
      </c>
      <c r="W1070" s="18">
        <f>-SUMIF(Projetos!N:N,A1070,Projetos!F:F)</f>
        <v>0</v>
      </c>
      <c r="X1070" s="18">
        <f t="shared" si="131"/>
        <v>0</v>
      </c>
      <c r="Y1070" s="26">
        <f ca="1">(U1070*((Indicadores_Economicos!D$2+1)^(1/12)-1))</f>
        <v>507800.19578148605</v>
      </c>
      <c r="Z1070" s="18">
        <f t="shared" ca="1" si="135"/>
        <v>155620982.53931078</v>
      </c>
      <c r="AA1070" s="18">
        <f ca="1">Auxiliar_Projetos!E1070</f>
        <v>1.2828114247969068E-8</v>
      </c>
      <c r="AB1070" s="18">
        <f ca="1">Auxiliar_Projetos!K1070</f>
        <v>9.8677801907454327E-9</v>
      </c>
      <c r="AC1070" s="18">
        <f ca="1">IF(Z1070-AA1070-AB1070&gt;Investimentos!$C$14,Investimentos!$C$14,IF(Z1070-AA1070-AB1070&lt;Investimentos!$C$14,Z1070-AA1070-AB1070,0))</f>
        <v>300000</v>
      </c>
      <c r="AD1070" s="18">
        <f t="shared" ca="1" si="136"/>
        <v>155320982.53931078</v>
      </c>
      <c r="AE1070" s="18"/>
    </row>
    <row r="1071" spans="1:31" x14ac:dyDescent="0.2">
      <c r="A1071" s="4">
        <v>78195</v>
      </c>
      <c r="B1071" s="5" t="str">
        <f t="shared" si="132"/>
        <v>fevereiro</v>
      </c>
      <c r="C1071" s="5" t="str">
        <f t="shared" si="138"/>
        <v>2114</v>
      </c>
      <c r="D1071" s="5">
        <f>SUMIFS(Despesas!$F:$F,Despesas!$J:$J,"&lt;="&amp;$A1071,Despesas!$L:$L,"&gt;="&amp;$A1071,Despesas!$C:$C,D$1,Despesas!$M:$M,"Mensal")+SUMIFS(Despesas!$F:$F,Despesas!$J:$J,"&lt;="&amp;$A1071,Despesas!$L:$L,"&gt;="&amp;$A1071,Despesas!$C:$C,D$1,Despesas!$M:$M,$B1071)</f>
        <v>0</v>
      </c>
      <c r="E1071" s="18">
        <f>SUMIFS(Despesas!$F:$F,Despesas!$J:$J,"&lt;="&amp;$A1071,Despesas!$L:$L,"&gt;="&amp;$A1071,Despesas!$C:$C,E$1,Despesas!$M:$M,"Mensal")+SUMIFS(Despesas!$F:$F,Despesas!$J:$J,"&lt;="&amp;$A1071,Despesas!$L:$L,"&gt;="&amp;$A1071,Despesas!$C:$C,E$1,Despesas!$M:$M,$B1071)</f>
        <v>0</v>
      </c>
      <c r="F1071" s="5">
        <f>SUMIFS(Despesas!$F:$F,Despesas!$J:$J,"&lt;="&amp;$A1071,Despesas!$L:$L,"&gt;="&amp;$A1071,Despesas!$C:$C,F$1,Despesas!$M:$M,"Mensal")+SUMIFS(Despesas!$F:$F,Despesas!$J:$J,"&lt;="&amp;$A1071,Despesas!$L:$L,"&gt;="&amp;$A1071,Despesas!$C:$C,F$1,Despesas!$M:$M,$B1071)</f>
        <v>0</v>
      </c>
      <c r="G1071" s="5">
        <f>SUMIFS(Despesas!$F:$F,Despesas!$J:$J,"&lt;="&amp;$A1071,Despesas!$L:$L,"&gt;="&amp;$A1071,Despesas!$C:$C,G$1,Despesas!$M:$M,"Mensal")+SUMIFS(Despesas!$F:$F,Despesas!$J:$J,"&lt;="&amp;$A1071,Despesas!$L:$L,"&gt;="&amp;$A1071,Despesas!$C:$C,G$1,Despesas!$M:$M,$B1071)</f>
        <v>0</v>
      </c>
      <c r="H1071" s="18">
        <f>SUMIFS(Despesas!$F:$F,Despesas!$J:$J,"&lt;="&amp;$A1071,Despesas!$L:$L,"&gt;="&amp;$A1071,Despesas!$C:$C,H$1,Despesas!$M:$M,"Mensal")+SUMIFS(Despesas!$F:$F,Despesas!$J:$J,"&lt;="&amp;$A1071,Despesas!$L:$L,"&gt;="&amp;$A1071,Despesas!$C:$C,H$1,Despesas!$M:$M,$B1071)</f>
        <v>0</v>
      </c>
      <c r="I1071" s="18">
        <f>IF(Imóveis!$F$2="PRICE",IF(AND(Dados!$A1071&gt;=Imóveis!$Q$2,Dados!$A1071&lt;=Imóveis!$T$2),Imóveis!$U$2,0),IF((IF(AND(Dados!$A1071&gt;=Imóveis!$Q$2,Dados!$A1071&lt;=Imóveis!$T$2),Imóveis!$S$2-(DATEDIF(Imóveis!$Q$2,Dados!$A1071,"m")),0))=0,0,((Imóveis!$N$2/Imóveis!$S$2)+((Imóveis!$N$2-((Imóveis!$S$2-(IF(AND(Dados!$A1071&gt;=Imóveis!$Q$2,Dados!$A1071&lt;=Imóveis!$T$2),Imóveis!$S$2-(DATEDIF(Imóveis!$Q$2,Dados!$A1071,"m")),)))*(Imóveis!$N$2/Imóveis!$S$2)))*Imóveis!$P$2))))*IF(AND(Imóveis!$E$2&gt;0,Dados!$A1071&gt;Imóveis!$E$2),0,1)</f>
        <v>0</v>
      </c>
      <c r="J1071" s="18">
        <f>IF(Imóveis!$F$3="PRICE",IF(AND(Dados!$A1071&gt;=Imóveis!$Q$3,Dados!$A1071&lt;=Imóveis!$T$3),Imóveis!$U$3,0),IF((IF(AND(Dados!$A1071&gt;=Imóveis!$Q$3,Dados!$A1071&lt;=Imóveis!$T$3),Imóveis!$S$3-(DATEDIF(Imóveis!$Q$3,Dados!$A1071,"m")),0))=0,0,((Imóveis!$N$3/Imóveis!$S$3)+((Imóveis!$N$3-((Imóveis!$S$3-(IF(AND(Dados!$A1071&gt;=Imóveis!$Q$3,Dados!$A1071&lt;=Imóveis!$T$3),Imóveis!$S$3-(DATEDIF(Imóveis!$Q$3,Dados!$A1071,"m")),)))*(Imóveis!$N$3/Imóveis!$S$3)))*Imóveis!$P$3))))*IF(AND(Imóveis!$E$3&gt;0,Dados!$A1071&gt;Imóveis!$E$3),0,1)</f>
        <v>0</v>
      </c>
      <c r="K1071" s="18">
        <f>IF(Imóveis!$F$4="PRICE",IF(AND(Dados!$A1071&gt;=Imóveis!$Q$4,Dados!$A1071&lt;=Imóveis!$T$4),Imóveis!$U$4,0),IF((IF(AND(Dados!$A1071&gt;=Imóveis!$Q$4,Dados!$A1071&lt;=Imóveis!$T$4),Imóveis!$S$4-(DATEDIF(Imóveis!$Q$4,Dados!$A1071,"m")),0))=0,0,((Imóveis!$N$4/Imóveis!$S$4)+((Imóveis!$N$4-((Imóveis!$S$4-(IF(AND(Dados!$A1071&gt;=Imóveis!$Q$4,Dados!$A1071&lt;=Imóveis!$T$4),Imóveis!$S$4-(DATEDIF(Imóveis!$Q$4,Dados!$A1071,"m")),)))*(Imóveis!$N$4/Imóveis!$S$4)))*Imóveis!$P$4))))*IF(AND(Imóveis!$E$4&gt;0,Dados!$A1071&gt;Imóveis!$E$4),0,1)</f>
        <v>0</v>
      </c>
      <c r="L1071" s="18">
        <f>IF(Imóveis!$F$5="PRICE",IF(AND(Dados!$A1071&gt;=Imóveis!$Q$5,Dados!$A1071&lt;=Imóveis!$T$5),Imóveis!$U$5,0),IF((IF(AND(Dados!$A1071&gt;=Imóveis!$Q$5,Dados!$A1071&lt;=Imóveis!$T$5),Imóveis!$S$5-(DATEDIF(Imóveis!$Q$5,Dados!$A1071,"m")),0))=0,0,((Imóveis!$N$5/Imóveis!$S$5)+((Imóveis!$N$5-((Imóveis!$S$5-(IF(AND(Dados!$A1071 &gt;=Imóveis!$Q$5,Dados!$A1071&lt;=Imóveis!$T$5),Imóveis!$S$5-(DATEDIF(Imóveis!$Q$5,Dados!$A1071,"m")),)))*(Imóveis!$N$5/Imóveis!$S$5)))*Imóveis!$P$5))))*IF(AND(Imóveis!$E$5&gt;0,Dados!$A1071&gt;Imóveis!$E$5),0,1)*Imóveis!$I$5</f>
        <v>0</v>
      </c>
      <c r="M1071" s="18">
        <f>IF(Imóveis!$F$6="PRICE",IF(AND(Dados!$A1071&gt;=Imóveis!$Q$6,Dados!$A1071&lt;=Imóveis!$T$6),Imóveis!$U$6,0),IF((IF(AND(Dados!$A1071&gt;=Imóveis!$Q$6,Dados!$A1071&lt;=Imóveis!$T$6),Imóveis!$S$6-(DATEDIF(Imóveis!$Q$6,Dados!$A1071,"m")),0))=0,0,((Imóveis!$N$6/Imóveis!$S$6)+((Imóveis!$N$6-((Imóveis!$S$6-(IF(AND(Dados!$A1071&gt;=Imóveis!$Q$6,Dados!$A1071&lt;=Imóveis!$T$6),Imóveis!$S$6-(DATEDIF(Imóveis!$Q$6,Dados!$A1071,"m")),)))*(Imóveis!$N$6/Imóveis!$S$6)))*Imóveis!$P$6))))*IF(AND(Imóveis!$E$6&gt;0,Dados!$A1071&gt;Imóveis!$E$6),0,1)*Imóveis!$I$6</f>
        <v>0</v>
      </c>
      <c r="N1071" s="18">
        <f t="shared" si="133"/>
        <v>0</v>
      </c>
      <c r="O1071" s="18">
        <f>SUMIFS(Receitas!$F:$F,Receitas!$J:$J,"&lt;="&amp;$A1071,Receitas!$L:$L,"&gt;="&amp;$A1071,Receitas!$C:$C,O$1,Receitas!$M:$M,"Mensal")+SUMIFS(Receitas!$F:$F,Receitas!$J:$J,"&lt;="&amp;$A1071,Receitas!$L:$L,"&gt;="&amp;$A1071,Receitas!$C:$C,O$1,Receitas!$M:$M,$B1071)</f>
        <v>0</v>
      </c>
      <c r="P1071" s="18">
        <f>SUMIFS(Receitas!$F:$F,Receitas!$J:$J,"&lt;="&amp;$A1071,Receitas!$L:$L,"&gt;="&amp;$A1071,Receitas!$C:$C,P$1,Receitas!$M:$M,"Mensal")+SUMIFS(Receitas!$F:$F,Receitas!$J:$J,"&lt;="&amp;$A1071,Receitas!$L:$L,"&gt;="&amp;$A1071,Receitas!$C:$C,P$1,Receitas!$M:$M,$B1071)</f>
        <v>0</v>
      </c>
      <c r="Q1071" s="18">
        <f>SUMIFS(Receitas!$F:$F,Receitas!$J:$J,"&lt;="&amp;$A1071,Receitas!$L:$L,"&gt;="&amp;$A1071,Receitas!$C:$C,Q$1,Receitas!$M:$M,"Mensal")+SUMIFS(Receitas!$F:$F,Receitas!$J:$J,"&lt;="&amp;$A1071,Receitas!$L:$L,"&gt;="&amp;$A1071,Receitas!$C:$C,Q$1,Receitas!$M:$M,$B1071)</f>
        <v>0</v>
      </c>
      <c r="R1071" s="18" cm="1">
        <f t="array" ref="R1071">(IF(AND(Membros!$F$2="Sim",A1071&lt;=MAX(Membros!$E$2:$E$5)),Membros!K$2,IF(AND(A1071&gt;=Membros!J$2,A1071&lt;=MAX(Membros!$E$2:$E$5)),Membros!K$2,0))+IF(AND(Membros!$F$3="Sim",A1071&lt;=MAX(Membros!$E$2:$E$5)),Membros!K$3,IF(AND(A1071&gt;=Membros!J$3,A1071&lt;=MAX(Membros!$E$2:$E$5)),Membros!K$3,0)))*IF(AND(COUNTIFS(Tabela3[Tipo],"Provedor",Tabela3[Simulação Seguro],"Sim")=2,A1071&gt;=MAX(IF(Tabela3[Tipo]="Dependente",Tabela3[Expectativa de Vida (Data)]))),0,1)</f>
        <v>0</v>
      </c>
      <c r="S1071" s="18">
        <f t="shared" si="134"/>
        <v>0</v>
      </c>
      <c r="U1071" s="18">
        <f t="shared" ca="1" si="137"/>
        <v>155620982.53931078</v>
      </c>
      <c r="V1071" s="18">
        <f>SUMIF(Imóveis!E:E,Dados!A:A,Imóveis!Z:Z)-SUMIF(Imóveis!E:E,Dados!A:A,Imóveis!Y:Y)</f>
        <v>0</v>
      </c>
      <c r="W1071" s="18">
        <f>-SUMIF(Projetos!N:N,A1071,Projetos!F:F)</f>
        <v>0</v>
      </c>
      <c r="X1071" s="18">
        <f t="shared" si="131"/>
        <v>0</v>
      </c>
      <c r="Y1071" s="26">
        <f ca="1">(U1071*((Indicadores_Economicos!D$2+1)^(1/12)-1))</f>
        <v>509462.60148382437</v>
      </c>
      <c r="Z1071" s="18">
        <f t="shared" ca="1" si="135"/>
        <v>156130445.14079461</v>
      </c>
      <c r="AA1071" s="18">
        <f ca="1">Auxiliar_Projetos!E1071</f>
        <v>1.2870110155913238E-8</v>
      </c>
      <c r="AB1071" s="18">
        <f ca="1">Auxiliar_Projetos!K1071</f>
        <v>9.9000847353178707E-9</v>
      </c>
      <c r="AC1071" s="18">
        <f ca="1">IF(Z1071-AA1071-AB1071&gt;Investimentos!$C$14,Investimentos!$C$14,IF(Z1071-AA1071-AB1071&lt;Investimentos!$C$14,Z1071-AA1071-AB1071,0))</f>
        <v>300000</v>
      </c>
      <c r="AD1071" s="18">
        <f t="shared" ca="1" si="136"/>
        <v>155830445.14079461</v>
      </c>
      <c r="AE1071" s="18"/>
    </row>
    <row r="1072" spans="1:31" x14ac:dyDescent="0.2">
      <c r="A1072" s="4">
        <v>78223</v>
      </c>
      <c r="B1072" s="5" t="str">
        <f t="shared" si="132"/>
        <v>março</v>
      </c>
      <c r="C1072" s="5" t="str">
        <f t="shared" si="138"/>
        <v>2114</v>
      </c>
      <c r="D1072" s="5">
        <f>SUMIFS(Despesas!$F:$F,Despesas!$J:$J,"&lt;="&amp;$A1072,Despesas!$L:$L,"&gt;="&amp;$A1072,Despesas!$C:$C,D$1,Despesas!$M:$M,"Mensal")+SUMIFS(Despesas!$F:$F,Despesas!$J:$J,"&lt;="&amp;$A1072,Despesas!$L:$L,"&gt;="&amp;$A1072,Despesas!$C:$C,D$1,Despesas!$M:$M,$B1072)</f>
        <v>0</v>
      </c>
      <c r="E1072" s="18">
        <f>SUMIFS(Despesas!$F:$F,Despesas!$J:$J,"&lt;="&amp;$A1072,Despesas!$L:$L,"&gt;="&amp;$A1072,Despesas!$C:$C,E$1,Despesas!$M:$M,"Mensal")+SUMIFS(Despesas!$F:$F,Despesas!$J:$J,"&lt;="&amp;$A1072,Despesas!$L:$L,"&gt;="&amp;$A1072,Despesas!$C:$C,E$1,Despesas!$M:$M,$B1072)</f>
        <v>0</v>
      </c>
      <c r="F1072" s="5">
        <f>SUMIFS(Despesas!$F:$F,Despesas!$J:$J,"&lt;="&amp;$A1072,Despesas!$L:$L,"&gt;="&amp;$A1072,Despesas!$C:$C,F$1,Despesas!$M:$M,"Mensal")+SUMIFS(Despesas!$F:$F,Despesas!$J:$J,"&lt;="&amp;$A1072,Despesas!$L:$L,"&gt;="&amp;$A1072,Despesas!$C:$C,F$1,Despesas!$M:$M,$B1072)</f>
        <v>0</v>
      </c>
      <c r="G1072" s="5">
        <f>SUMIFS(Despesas!$F:$F,Despesas!$J:$J,"&lt;="&amp;$A1072,Despesas!$L:$L,"&gt;="&amp;$A1072,Despesas!$C:$C,G$1,Despesas!$M:$M,"Mensal")+SUMIFS(Despesas!$F:$F,Despesas!$J:$J,"&lt;="&amp;$A1072,Despesas!$L:$L,"&gt;="&amp;$A1072,Despesas!$C:$C,G$1,Despesas!$M:$M,$B1072)</f>
        <v>0</v>
      </c>
      <c r="H1072" s="18">
        <f>SUMIFS(Despesas!$F:$F,Despesas!$J:$J,"&lt;="&amp;$A1072,Despesas!$L:$L,"&gt;="&amp;$A1072,Despesas!$C:$C,H$1,Despesas!$M:$M,"Mensal")+SUMIFS(Despesas!$F:$F,Despesas!$J:$J,"&lt;="&amp;$A1072,Despesas!$L:$L,"&gt;="&amp;$A1072,Despesas!$C:$C,H$1,Despesas!$M:$M,$B1072)</f>
        <v>0</v>
      </c>
      <c r="I1072" s="18">
        <f>IF(Imóveis!$F$2="PRICE",IF(AND(Dados!$A1072&gt;=Imóveis!$Q$2,Dados!$A1072&lt;=Imóveis!$T$2),Imóveis!$U$2,0),IF((IF(AND(Dados!$A1072&gt;=Imóveis!$Q$2,Dados!$A1072&lt;=Imóveis!$T$2),Imóveis!$S$2-(DATEDIF(Imóveis!$Q$2,Dados!$A1072,"m")),0))=0,0,((Imóveis!$N$2/Imóveis!$S$2)+((Imóveis!$N$2-((Imóveis!$S$2-(IF(AND(Dados!$A1072&gt;=Imóveis!$Q$2,Dados!$A1072&lt;=Imóveis!$T$2),Imóveis!$S$2-(DATEDIF(Imóveis!$Q$2,Dados!$A1072,"m")),)))*(Imóveis!$N$2/Imóveis!$S$2)))*Imóveis!$P$2))))*IF(AND(Imóveis!$E$2&gt;0,Dados!$A1072&gt;Imóveis!$E$2),0,1)</f>
        <v>0</v>
      </c>
      <c r="J1072" s="18">
        <f>IF(Imóveis!$F$3="PRICE",IF(AND(Dados!$A1072&gt;=Imóveis!$Q$3,Dados!$A1072&lt;=Imóveis!$T$3),Imóveis!$U$3,0),IF((IF(AND(Dados!$A1072&gt;=Imóveis!$Q$3,Dados!$A1072&lt;=Imóveis!$T$3),Imóveis!$S$3-(DATEDIF(Imóveis!$Q$3,Dados!$A1072,"m")),0))=0,0,((Imóveis!$N$3/Imóveis!$S$3)+((Imóveis!$N$3-((Imóveis!$S$3-(IF(AND(Dados!$A1072&gt;=Imóveis!$Q$3,Dados!$A1072&lt;=Imóveis!$T$3),Imóveis!$S$3-(DATEDIF(Imóveis!$Q$3,Dados!$A1072,"m")),)))*(Imóveis!$N$3/Imóveis!$S$3)))*Imóveis!$P$3))))*IF(AND(Imóveis!$E$3&gt;0,Dados!$A1072&gt;Imóveis!$E$3),0,1)</f>
        <v>0</v>
      </c>
      <c r="K1072" s="18">
        <f>IF(Imóveis!$F$4="PRICE",IF(AND(Dados!$A1072&gt;=Imóveis!$Q$4,Dados!$A1072&lt;=Imóveis!$T$4),Imóveis!$U$4,0),IF((IF(AND(Dados!$A1072&gt;=Imóveis!$Q$4,Dados!$A1072&lt;=Imóveis!$T$4),Imóveis!$S$4-(DATEDIF(Imóveis!$Q$4,Dados!$A1072,"m")),0))=0,0,((Imóveis!$N$4/Imóveis!$S$4)+((Imóveis!$N$4-((Imóveis!$S$4-(IF(AND(Dados!$A1072&gt;=Imóveis!$Q$4,Dados!$A1072&lt;=Imóveis!$T$4),Imóveis!$S$4-(DATEDIF(Imóveis!$Q$4,Dados!$A1072,"m")),)))*(Imóveis!$N$4/Imóveis!$S$4)))*Imóveis!$P$4))))*IF(AND(Imóveis!$E$4&gt;0,Dados!$A1072&gt;Imóveis!$E$4),0,1)</f>
        <v>0</v>
      </c>
      <c r="L1072" s="18">
        <f>IF(Imóveis!$F$5="PRICE",IF(AND(Dados!$A1072&gt;=Imóveis!$Q$5,Dados!$A1072&lt;=Imóveis!$T$5),Imóveis!$U$5,0),IF((IF(AND(Dados!$A1072&gt;=Imóveis!$Q$5,Dados!$A1072&lt;=Imóveis!$T$5),Imóveis!$S$5-(DATEDIF(Imóveis!$Q$5,Dados!$A1072,"m")),0))=0,0,((Imóveis!$N$5/Imóveis!$S$5)+((Imóveis!$N$5-((Imóveis!$S$5-(IF(AND(Dados!$A1072 &gt;=Imóveis!$Q$5,Dados!$A1072&lt;=Imóveis!$T$5),Imóveis!$S$5-(DATEDIF(Imóveis!$Q$5,Dados!$A1072,"m")),)))*(Imóveis!$N$5/Imóveis!$S$5)))*Imóveis!$P$5))))*IF(AND(Imóveis!$E$5&gt;0,Dados!$A1072&gt;Imóveis!$E$5),0,1)*Imóveis!$I$5</f>
        <v>0</v>
      </c>
      <c r="M1072" s="18">
        <f>IF(Imóveis!$F$6="PRICE",IF(AND(Dados!$A1072&gt;=Imóveis!$Q$6,Dados!$A1072&lt;=Imóveis!$T$6),Imóveis!$U$6,0),IF((IF(AND(Dados!$A1072&gt;=Imóveis!$Q$6,Dados!$A1072&lt;=Imóveis!$T$6),Imóveis!$S$6-(DATEDIF(Imóveis!$Q$6,Dados!$A1072,"m")),0))=0,0,((Imóveis!$N$6/Imóveis!$S$6)+((Imóveis!$N$6-((Imóveis!$S$6-(IF(AND(Dados!$A1072&gt;=Imóveis!$Q$6,Dados!$A1072&lt;=Imóveis!$T$6),Imóveis!$S$6-(DATEDIF(Imóveis!$Q$6,Dados!$A1072,"m")),)))*(Imóveis!$N$6/Imóveis!$S$6)))*Imóveis!$P$6))))*IF(AND(Imóveis!$E$6&gt;0,Dados!$A1072&gt;Imóveis!$E$6),0,1)*Imóveis!$I$6</f>
        <v>0</v>
      </c>
      <c r="N1072" s="18">
        <f t="shared" si="133"/>
        <v>0</v>
      </c>
      <c r="O1072" s="18">
        <f>SUMIFS(Receitas!$F:$F,Receitas!$J:$J,"&lt;="&amp;$A1072,Receitas!$L:$L,"&gt;="&amp;$A1072,Receitas!$C:$C,O$1,Receitas!$M:$M,"Mensal")+SUMIFS(Receitas!$F:$F,Receitas!$J:$J,"&lt;="&amp;$A1072,Receitas!$L:$L,"&gt;="&amp;$A1072,Receitas!$C:$C,O$1,Receitas!$M:$M,$B1072)</f>
        <v>0</v>
      </c>
      <c r="P1072" s="18">
        <f>SUMIFS(Receitas!$F:$F,Receitas!$J:$J,"&lt;="&amp;$A1072,Receitas!$L:$L,"&gt;="&amp;$A1072,Receitas!$C:$C,P$1,Receitas!$M:$M,"Mensal")+SUMIFS(Receitas!$F:$F,Receitas!$J:$J,"&lt;="&amp;$A1072,Receitas!$L:$L,"&gt;="&amp;$A1072,Receitas!$C:$C,P$1,Receitas!$M:$M,$B1072)</f>
        <v>0</v>
      </c>
      <c r="Q1072" s="18">
        <f>SUMIFS(Receitas!$F:$F,Receitas!$J:$J,"&lt;="&amp;$A1072,Receitas!$L:$L,"&gt;="&amp;$A1072,Receitas!$C:$C,Q$1,Receitas!$M:$M,"Mensal")+SUMIFS(Receitas!$F:$F,Receitas!$J:$J,"&lt;="&amp;$A1072,Receitas!$L:$L,"&gt;="&amp;$A1072,Receitas!$C:$C,Q$1,Receitas!$M:$M,$B1072)</f>
        <v>0</v>
      </c>
      <c r="R1072" s="18" cm="1">
        <f t="array" ref="R1072">(IF(AND(Membros!$F$2="Sim",A1072&lt;=MAX(Membros!$E$2:$E$5)),Membros!K$2,IF(AND(A1072&gt;=Membros!J$2,A1072&lt;=MAX(Membros!$E$2:$E$5)),Membros!K$2,0))+IF(AND(Membros!$F$3="Sim",A1072&lt;=MAX(Membros!$E$2:$E$5)),Membros!K$3,IF(AND(A1072&gt;=Membros!J$3,A1072&lt;=MAX(Membros!$E$2:$E$5)),Membros!K$3,0)))*IF(AND(COUNTIFS(Tabela3[Tipo],"Provedor",Tabela3[Simulação Seguro],"Sim")=2,A1072&gt;=MAX(IF(Tabela3[Tipo]="Dependente",Tabela3[Expectativa de Vida (Data)]))),0,1)</f>
        <v>0</v>
      </c>
      <c r="S1072" s="18">
        <f t="shared" si="134"/>
        <v>0</v>
      </c>
      <c r="U1072" s="18">
        <f t="shared" ca="1" si="137"/>
        <v>156130445.14079461</v>
      </c>
      <c r="V1072" s="18">
        <f>SUMIF(Imóveis!E:E,Dados!A:A,Imóveis!Z:Z)-SUMIF(Imóveis!E:E,Dados!A:A,Imóveis!Y:Y)</f>
        <v>0</v>
      </c>
      <c r="W1072" s="18">
        <f>-SUMIF(Projetos!N:N,A1072,Projetos!F:F)</f>
        <v>0</v>
      </c>
      <c r="X1072" s="18">
        <f t="shared" si="131"/>
        <v>0</v>
      </c>
      <c r="Y1072" s="26">
        <f ca="1">(U1072*((Indicadores_Economicos!D$2+1)^(1/12)-1))</f>
        <v>511130.44946984452</v>
      </c>
      <c r="Z1072" s="18">
        <f t="shared" ca="1" si="135"/>
        <v>156641575.59026444</v>
      </c>
      <c r="AA1072" s="18">
        <f ca="1">Auxiliar_Projetos!E1072</f>
        <v>1.2912243547531934E-8</v>
      </c>
      <c r="AB1072" s="18">
        <f ca="1">Auxiliar_Projetos!K1072</f>
        <v>9.9324950365630207E-9</v>
      </c>
      <c r="AC1072" s="18">
        <f ca="1">IF(Z1072-AA1072-AB1072&gt;Investimentos!$C$14,Investimentos!$C$14,IF(Z1072-AA1072-AB1072&lt;Investimentos!$C$14,Z1072-AA1072-AB1072,0))</f>
        <v>300000</v>
      </c>
      <c r="AD1072" s="18">
        <f t="shared" ca="1" si="136"/>
        <v>156341575.59026444</v>
      </c>
      <c r="AE1072" s="18"/>
    </row>
    <row r="1073" spans="1:31" x14ac:dyDescent="0.2">
      <c r="A1073" s="4">
        <v>78254</v>
      </c>
      <c r="B1073" s="5" t="str">
        <f t="shared" si="132"/>
        <v>abril</v>
      </c>
      <c r="C1073" s="5" t="str">
        <f t="shared" si="138"/>
        <v>2114</v>
      </c>
      <c r="D1073" s="5">
        <f>SUMIFS(Despesas!$F:$F,Despesas!$J:$J,"&lt;="&amp;$A1073,Despesas!$L:$L,"&gt;="&amp;$A1073,Despesas!$C:$C,D$1,Despesas!$M:$M,"Mensal")+SUMIFS(Despesas!$F:$F,Despesas!$J:$J,"&lt;="&amp;$A1073,Despesas!$L:$L,"&gt;="&amp;$A1073,Despesas!$C:$C,D$1,Despesas!$M:$M,$B1073)</f>
        <v>0</v>
      </c>
      <c r="E1073" s="18">
        <f>SUMIFS(Despesas!$F:$F,Despesas!$J:$J,"&lt;="&amp;$A1073,Despesas!$L:$L,"&gt;="&amp;$A1073,Despesas!$C:$C,E$1,Despesas!$M:$M,"Mensal")+SUMIFS(Despesas!$F:$F,Despesas!$J:$J,"&lt;="&amp;$A1073,Despesas!$L:$L,"&gt;="&amp;$A1073,Despesas!$C:$C,E$1,Despesas!$M:$M,$B1073)</f>
        <v>0</v>
      </c>
      <c r="F1073" s="5">
        <f>SUMIFS(Despesas!$F:$F,Despesas!$J:$J,"&lt;="&amp;$A1073,Despesas!$L:$L,"&gt;="&amp;$A1073,Despesas!$C:$C,F$1,Despesas!$M:$M,"Mensal")+SUMIFS(Despesas!$F:$F,Despesas!$J:$J,"&lt;="&amp;$A1073,Despesas!$L:$L,"&gt;="&amp;$A1073,Despesas!$C:$C,F$1,Despesas!$M:$M,$B1073)</f>
        <v>0</v>
      </c>
      <c r="G1073" s="5">
        <f>SUMIFS(Despesas!$F:$F,Despesas!$J:$J,"&lt;="&amp;$A1073,Despesas!$L:$L,"&gt;="&amp;$A1073,Despesas!$C:$C,G$1,Despesas!$M:$M,"Mensal")+SUMIFS(Despesas!$F:$F,Despesas!$J:$J,"&lt;="&amp;$A1073,Despesas!$L:$L,"&gt;="&amp;$A1073,Despesas!$C:$C,G$1,Despesas!$M:$M,$B1073)</f>
        <v>0</v>
      </c>
      <c r="H1073" s="18">
        <f>SUMIFS(Despesas!$F:$F,Despesas!$J:$J,"&lt;="&amp;$A1073,Despesas!$L:$L,"&gt;="&amp;$A1073,Despesas!$C:$C,H$1,Despesas!$M:$M,"Mensal")+SUMIFS(Despesas!$F:$F,Despesas!$J:$J,"&lt;="&amp;$A1073,Despesas!$L:$L,"&gt;="&amp;$A1073,Despesas!$C:$C,H$1,Despesas!$M:$M,$B1073)</f>
        <v>0</v>
      </c>
      <c r="I1073" s="18">
        <f>IF(Imóveis!$F$2="PRICE",IF(AND(Dados!$A1073&gt;=Imóveis!$Q$2,Dados!$A1073&lt;=Imóveis!$T$2),Imóveis!$U$2,0),IF((IF(AND(Dados!$A1073&gt;=Imóveis!$Q$2,Dados!$A1073&lt;=Imóveis!$T$2),Imóveis!$S$2-(DATEDIF(Imóveis!$Q$2,Dados!$A1073,"m")),0))=0,0,((Imóveis!$N$2/Imóveis!$S$2)+((Imóveis!$N$2-((Imóveis!$S$2-(IF(AND(Dados!$A1073&gt;=Imóveis!$Q$2,Dados!$A1073&lt;=Imóveis!$T$2),Imóveis!$S$2-(DATEDIF(Imóveis!$Q$2,Dados!$A1073,"m")),)))*(Imóveis!$N$2/Imóveis!$S$2)))*Imóveis!$P$2))))*IF(AND(Imóveis!$E$2&gt;0,Dados!$A1073&gt;Imóveis!$E$2),0,1)</f>
        <v>0</v>
      </c>
      <c r="J1073" s="18">
        <f>IF(Imóveis!$F$3="PRICE",IF(AND(Dados!$A1073&gt;=Imóveis!$Q$3,Dados!$A1073&lt;=Imóveis!$T$3),Imóveis!$U$3,0),IF((IF(AND(Dados!$A1073&gt;=Imóveis!$Q$3,Dados!$A1073&lt;=Imóveis!$T$3),Imóveis!$S$3-(DATEDIF(Imóveis!$Q$3,Dados!$A1073,"m")),0))=0,0,((Imóveis!$N$3/Imóveis!$S$3)+((Imóveis!$N$3-((Imóveis!$S$3-(IF(AND(Dados!$A1073&gt;=Imóveis!$Q$3,Dados!$A1073&lt;=Imóveis!$T$3),Imóveis!$S$3-(DATEDIF(Imóveis!$Q$3,Dados!$A1073,"m")),)))*(Imóveis!$N$3/Imóveis!$S$3)))*Imóveis!$P$3))))*IF(AND(Imóveis!$E$3&gt;0,Dados!$A1073&gt;Imóveis!$E$3),0,1)</f>
        <v>0</v>
      </c>
      <c r="K1073" s="18">
        <f>IF(Imóveis!$F$4="PRICE",IF(AND(Dados!$A1073&gt;=Imóveis!$Q$4,Dados!$A1073&lt;=Imóveis!$T$4),Imóveis!$U$4,0),IF((IF(AND(Dados!$A1073&gt;=Imóveis!$Q$4,Dados!$A1073&lt;=Imóveis!$T$4),Imóveis!$S$4-(DATEDIF(Imóveis!$Q$4,Dados!$A1073,"m")),0))=0,0,((Imóveis!$N$4/Imóveis!$S$4)+((Imóveis!$N$4-((Imóveis!$S$4-(IF(AND(Dados!$A1073&gt;=Imóveis!$Q$4,Dados!$A1073&lt;=Imóveis!$T$4),Imóveis!$S$4-(DATEDIF(Imóveis!$Q$4,Dados!$A1073,"m")),)))*(Imóveis!$N$4/Imóveis!$S$4)))*Imóveis!$P$4))))*IF(AND(Imóveis!$E$4&gt;0,Dados!$A1073&gt;Imóveis!$E$4),0,1)</f>
        <v>0</v>
      </c>
      <c r="L1073" s="18">
        <f>IF(Imóveis!$F$5="PRICE",IF(AND(Dados!$A1073&gt;=Imóveis!$Q$5,Dados!$A1073&lt;=Imóveis!$T$5),Imóveis!$U$5,0),IF((IF(AND(Dados!$A1073&gt;=Imóveis!$Q$5,Dados!$A1073&lt;=Imóveis!$T$5),Imóveis!$S$5-(DATEDIF(Imóveis!$Q$5,Dados!$A1073,"m")),0))=0,0,((Imóveis!$N$5/Imóveis!$S$5)+((Imóveis!$N$5-((Imóveis!$S$5-(IF(AND(Dados!$A1073 &gt;=Imóveis!$Q$5,Dados!$A1073&lt;=Imóveis!$T$5),Imóveis!$S$5-(DATEDIF(Imóveis!$Q$5,Dados!$A1073,"m")),)))*(Imóveis!$N$5/Imóveis!$S$5)))*Imóveis!$P$5))))*IF(AND(Imóveis!$E$5&gt;0,Dados!$A1073&gt;Imóveis!$E$5),0,1)*Imóveis!$I$5</f>
        <v>0</v>
      </c>
      <c r="M1073" s="18">
        <f>IF(Imóveis!$F$6="PRICE",IF(AND(Dados!$A1073&gt;=Imóveis!$Q$6,Dados!$A1073&lt;=Imóveis!$T$6),Imóveis!$U$6,0),IF((IF(AND(Dados!$A1073&gt;=Imóveis!$Q$6,Dados!$A1073&lt;=Imóveis!$T$6),Imóveis!$S$6-(DATEDIF(Imóveis!$Q$6,Dados!$A1073,"m")),0))=0,0,((Imóveis!$N$6/Imóveis!$S$6)+((Imóveis!$N$6-((Imóveis!$S$6-(IF(AND(Dados!$A1073&gt;=Imóveis!$Q$6,Dados!$A1073&lt;=Imóveis!$T$6),Imóveis!$S$6-(DATEDIF(Imóveis!$Q$6,Dados!$A1073,"m")),)))*(Imóveis!$N$6/Imóveis!$S$6)))*Imóveis!$P$6))))*IF(AND(Imóveis!$E$6&gt;0,Dados!$A1073&gt;Imóveis!$E$6),0,1)*Imóveis!$I$6</f>
        <v>0</v>
      </c>
      <c r="N1073" s="18">
        <f t="shared" si="133"/>
        <v>0</v>
      </c>
      <c r="O1073" s="18">
        <f>SUMIFS(Receitas!$F:$F,Receitas!$J:$J,"&lt;="&amp;$A1073,Receitas!$L:$L,"&gt;="&amp;$A1073,Receitas!$C:$C,O$1,Receitas!$M:$M,"Mensal")+SUMIFS(Receitas!$F:$F,Receitas!$J:$J,"&lt;="&amp;$A1073,Receitas!$L:$L,"&gt;="&amp;$A1073,Receitas!$C:$C,O$1,Receitas!$M:$M,$B1073)</f>
        <v>0</v>
      </c>
      <c r="P1073" s="18">
        <f>SUMIFS(Receitas!$F:$F,Receitas!$J:$J,"&lt;="&amp;$A1073,Receitas!$L:$L,"&gt;="&amp;$A1073,Receitas!$C:$C,P$1,Receitas!$M:$M,"Mensal")+SUMIFS(Receitas!$F:$F,Receitas!$J:$J,"&lt;="&amp;$A1073,Receitas!$L:$L,"&gt;="&amp;$A1073,Receitas!$C:$C,P$1,Receitas!$M:$M,$B1073)</f>
        <v>0</v>
      </c>
      <c r="Q1073" s="18">
        <f>SUMIFS(Receitas!$F:$F,Receitas!$J:$J,"&lt;="&amp;$A1073,Receitas!$L:$L,"&gt;="&amp;$A1073,Receitas!$C:$C,Q$1,Receitas!$M:$M,"Mensal")+SUMIFS(Receitas!$F:$F,Receitas!$J:$J,"&lt;="&amp;$A1073,Receitas!$L:$L,"&gt;="&amp;$A1073,Receitas!$C:$C,Q$1,Receitas!$M:$M,$B1073)</f>
        <v>0</v>
      </c>
      <c r="R1073" s="18" cm="1">
        <f t="array" ref="R1073">(IF(AND(Membros!$F$2="Sim",A1073&lt;=MAX(Membros!$E$2:$E$5)),Membros!K$2,IF(AND(A1073&gt;=Membros!J$2,A1073&lt;=MAX(Membros!$E$2:$E$5)),Membros!K$2,0))+IF(AND(Membros!$F$3="Sim",A1073&lt;=MAX(Membros!$E$2:$E$5)),Membros!K$3,IF(AND(A1073&gt;=Membros!J$3,A1073&lt;=MAX(Membros!$E$2:$E$5)),Membros!K$3,0)))*IF(AND(COUNTIFS(Tabela3[Tipo],"Provedor",Tabela3[Simulação Seguro],"Sim")=2,A1073&gt;=MAX(IF(Tabela3[Tipo]="Dependente",Tabela3[Expectativa de Vida (Data)]))),0,1)</f>
        <v>0</v>
      </c>
      <c r="S1073" s="18">
        <f t="shared" si="134"/>
        <v>0</v>
      </c>
      <c r="U1073" s="18">
        <f t="shared" ca="1" si="137"/>
        <v>156641575.59026444</v>
      </c>
      <c r="V1073" s="18">
        <f>SUMIF(Imóveis!E:E,Dados!A:A,Imóveis!Z:Z)-SUMIF(Imóveis!E:E,Dados!A:A,Imóveis!Y:Y)</f>
        <v>0</v>
      </c>
      <c r="W1073" s="18">
        <f>-SUMIF(Projetos!N:N,A1073,Projetos!F:F)</f>
        <v>0</v>
      </c>
      <c r="X1073" s="18">
        <f t="shared" si="131"/>
        <v>0</v>
      </c>
      <c r="Y1073" s="26">
        <f ca="1">(U1073*((Indicadores_Economicos!D$2+1)^(1/12)-1))</f>
        <v>512803.75755616708</v>
      </c>
      <c r="Z1073" s="18">
        <f t="shared" ca="1" si="135"/>
        <v>157154379.34782061</v>
      </c>
      <c r="AA1073" s="18">
        <f ca="1">Auxiliar_Projetos!E1073</f>
        <v>1.295451487291093E-8</v>
      </c>
      <c r="AB1073" s="18">
        <f ca="1">Auxiliar_Projetos!K1073</f>
        <v>9.9650114407007096E-9</v>
      </c>
      <c r="AC1073" s="18">
        <f ca="1">IF(Z1073-AA1073-AB1073&gt;Investimentos!$C$14,Investimentos!$C$14,IF(Z1073-AA1073-AB1073&lt;Investimentos!$C$14,Z1073-AA1073-AB1073,0))</f>
        <v>300000</v>
      </c>
      <c r="AD1073" s="18">
        <f t="shared" ca="1" si="136"/>
        <v>156854379.34782061</v>
      </c>
      <c r="AE1073" s="18"/>
    </row>
    <row r="1074" spans="1:31" x14ac:dyDescent="0.2">
      <c r="A1074" s="4">
        <v>78284</v>
      </c>
      <c r="B1074" s="5" t="str">
        <f t="shared" si="132"/>
        <v>maio</v>
      </c>
      <c r="C1074" s="5" t="str">
        <f t="shared" si="138"/>
        <v>2114</v>
      </c>
      <c r="D1074" s="5">
        <f>SUMIFS(Despesas!$F:$F,Despesas!$J:$J,"&lt;="&amp;$A1074,Despesas!$L:$L,"&gt;="&amp;$A1074,Despesas!$C:$C,D$1,Despesas!$M:$M,"Mensal")+SUMIFS(Despesas!$F:$F,Despesas!$J:$J,"&lt;="&amp;$A1074,Despesas!$L:$L,"&gt;="&amp;$A1074,Despesas!$C:$C,D$1,Despesas!$M:$M,$B1074)</f>
        <v>0</v>
      </c>
      <c r="E1074" s="18">
        <f>SUMIFS(Despesas!$F:$F,Despesas!$J:$J,"&lt;="&amp;$A1074,Despesas!$L:$L,"&gt;="&amp;$A1074,Despesas!$C:$C,E$1,Despesas!$M:$M,"Mensal")+SUMIFS(Despesas!$F:$F,Despesas!$J:$J,"&lt;="&amp;$A1074,Despesas!$L:$L,"&gt;="&amp;$A1074,Despesas!$C:$C,E$1,Despesas!$M:$M,$B1074)</f>
        <v>0</v>
      </c>
      <c r="F1074" s="5">
        <f>SUMIFS(Despesas!$F:$F,Despesas!$J:$J,"&lt;="&amp;$A1074,Despesas!$L:$L,"&gt;="&amp;$A1074,Despesas!$C:$C,F$1,Despesas!$M:$M,"Mensal")+SUMIFS(Despesas!$F:$F,Despesas!$J:$J,"&lt;="&amp;$A1074,Despesas!$L:$L,"&gt;="&amp;$A1074,Despesas!$C:$C,F$1,Despesas!$M:$M,$B1074)</f>
        <v>0</v>
      </c>
      <c r="G1074" s="5">
        <f>SUMIFS(Despesas!$F:$F,Despesas!$J:$J,"&lt;="&amp;$A1074,Despesas!$L:$L,"&gt;="&amp;$A1074,Despesas!$C:$C,G$1,Despesas!$M:$M,"Mensal")+SUMIFS(Despesas!$F:$F,Despesas!$J:$J,"&lt;="&amp;$A1074,Despesas!$L:$L,"&gt;="&amp;$A1074,Despesas!$C:$C,G$1,Despesas!$M:$M,$B1074)</f>
        <v>0</v>
      </c>
      <c r="H1074" s="18">
        <f>SUMIFS(Despesas!$F:$F,Despesas!$J:$J,"&lt;="&amp;$A1074,Despesas!$L:$L,"&gt;="&amp;$A1074,Despesas!$C:$C,H$1,Despesas!$M:$M,"Mensal")+SUMIFS(Despesas!$F:$F,Despesas!$J:$J,"&lt;="&amp;$A1074,Despesas!$L:$L,"&gt;="&amp;$A1074,Despesas!$C:$C,H$1,Despesas!$M:$M,$B1074)</f>
        <v>0</v>
      </c>
      <c r="I1074" s="18">
        <f>IF(Imóveis!$F$2="PRICE",IF(AND(Dados!$A1074&gt;=Imóveis!$Q$2,Dados!$A1074&lt;=Imóveis!$T$2),Imóveis!$U$2,0),IF((IF(AND(Dados!$A1074&gt;=Imóveis!$Q$2,Dados!$A1074&lt;=Imóveis!$T$2),Imóveis!$S$2-(DATEDIF(Imóveis!$Q$2,Dados!$A1074,"m")),0))=0,0,((Imóveis!$N$2/Imóveis!$S$2)+((Imóveis!$N$2-((Imóveis!$S$2-(IF(AND(Dados!$A1074&gt;=Imóveis!$Q$2,Dados!$A1074&lt;=Imóveis!$T$2),Imóveis!$S$2-(DATEDIF(Imóveis!$Q$2,Dados!$A1074,"m")),)))*(Imóveis!$N$2/Imóveis!$S$2)))*Imóveis!$P$2))))*IF(AND(Imóveis!$E$2&gt;0,Dados!$A1074&gt;Imóveis!$E$2),0,1)</f>
        <v>0</v>
      </c>
      <c r="J1074" s="18">
        <f>IF(Imóveis!$F$3="PRICE",IF(AND(Dados!$A1074&gt;=Imóveis!$Q$3,Dados!$A1074&lt;=Imóveis!$T$3),Imóveis!$U$3,0),IF((IF(AND(Dados!$A1074&gt;=Imóveis!$Q$3,Dados!$A1074&lt;=Imóveis!$T$3),Imóveis!$S$3-(DATEDIF(Imóveis!$Q$3,Dados!$A1074,"m")),0))=0,0,((Imóveis!$N$3/Imóveis!$S$3)+((Imóveis!$N$3-((Imóveis!$S$3-(IF(AND(Dados!$A1074&gt;=Imóveis!$Q$3,Dados!$A1074&lt;=Imóveis!$T$3),Imóveis!$S$3-(DATEDIF(Imóveis!$Q$3,Dados!$A1074,"m")),)))*(Imóveis!$N$3/Imóveis!$S$3)))*Imóveis!$P$3))))*IF(AND(Imóveis!$E$3&gt;0,Dados!$A1074&gt;Imóveis!$E$3),0,1)</f>
        <v>0</v>
      </c>
      <c r="K1074" s="18">
        <f>IF(Imóveis!$F$4="PRICE",IF(AND(Dados!$A1074&gt;=Imóveis!$Q$4,Dados!$A1074&lt;=Imóveis!$T$4),Imóveis!$U$4,0),IF((IF(AND(Dados!$A1074&gt;=Imóveis!$Q$4,Dados!$A1074&lt;=Imóveis!$T$4),Imóveis!$S$4-(DATEDIF(Imóveis!$Q$4,Dados!$A1074,"m")),0))=0,0,((Imóveis!$N$4/Imóveis!$S$4)+((Imóveis!$N$4-((Imóveis!$S$4-(IF(AND(Dados!$A1074&gt;=Imóveis!$Q$4,Dados!$A1074&lt;=Imóveis!$T$4),Imóveis!$S$4-(DATEDIF(Imóveis!$Q$4,Dados!$A1074,"m")),)))*(Imóveis!$N$4/Imóveis!$S$4)))*Imóveis!$P$4))))*IF(AND(Imóveis!$E$4&gt;0,Dados!$A1074&gt;Imóveis!$E$4),0,1)</f>
        <v>0</v>
      </c>
      <c r="L1074" s="18">
        <f>IF(Imóveis!$F$5="PRICE",IF(AND(Dados!$A1074&gt;=Imóveis!$Q$5,Dados!$A1074&lt;=Imóveis!$T$5),Imóveis!$U$5,0),IF((IF(AND(Dados!$A1074&gt;=Imóveis!$Q$5,Dados!$A1074&lt;=Imóveis!$T$5),Imóveis!$S$5-(DATEDIF(Imóveis!$Q$5,Dados!$A1074,"m")),0))=0,0,((Imóveis!$N$5/Imóveis!$S$5)+((Imóveis!$N$5-((Imóveis!$S$5-(IF(AND(Dados!$A1074 &gt;=Imóveis!$Q$5,Dados!$A1074&lt;=Imóveis!$T$5),Imóveis!$S$5-(DATEDIF(Imóveis!$Q$5,Dados!$A1074,"m")),)))*(Imóveis!$N$5/Imóveis!$S$5)))*Imóveis!$P$5))))*IF(AND(Imóveis!$E$5&gt;0,Dados!$A1074&gt;Imóveis!$E$5),0,1)*Imóveis!$I$5</f>
        <v>0</v>
      </c>
      <c r="M1074" s="18">
        <f>IF(Imóveis!$F$6="PRICE",IF(AND(Dados!$A1074&gt;=Imóveis!$Q$6,Dados!$A1074&lt;=Imóveis!$T$6),Imóveis!$U$6,0),IF((IF(AND(Dados!$A1074&gt;=Imóveis!$Q$6,Dados!$A1074&lt;=Imóveis!$T$6),Imóveis!$S$6-(DATEDIF(Imóveis!$Q$6,Dados!$A1074,"m")),0))=0,0,((Imóveis!$N$6/Imóveis!$S$6)+((Imóveis!$N$6-((Imóveis!$S$6-(IF(AND(Dados!$A1074&gt;=Imóveis!$Q$6,Dados!$A1074&lt;=Imóveis!$T$6),Imóveis!$S$6-(DATEDIF(Imóveis!$Q$6,Dados!$A1074,"m")),)))*(Imóveis!$N$6/Imóveis!$S$6)))*Imóveis!$P$6))))*IF(AND(Imóveis!$E$6&gt;0,Dados!$A1074&gt;Imóveis!$E$6),0,1)*Imóveis!$I$6</f>
        <v>0</v>
      </c>
      <c r="N1074" s="18">
        <f t="shared" si="133"/>
        <v>0</v>
      </c>
      <c r="O1074" s="18">
        <f>SUMIFS(Receitas!$F:$F,Receitas!$J:$J,"&lt;="&amp;$A1074,Receitas!$L:$L,"&gt;="&amp;$A1074,Receitas!$C:$C,O$1,Receitas!$M:$M,"Mensal")+SUMIFS(Receitas!$F:$F,Receitas!$J:$J,"&lt;="&amp;$A1074,Receitas!$L:$L,"&gt;="&amp;$A1074,Receitas!$C:$C,O$1,Receitas!$M:$M,$B1074)</f>
        <v>0</v>
      </c>
      <c r="P1074" s="18">
        <f>SUMIFS(Receitas!$F:$F,Receitas!$J:$J,"&lt;="&amp;$A1074,Receitas!$L:$L,"&gt;="&amp;$A1074,Receitas!$C:$C,P$1,Receitas!$M:$M,"Mensal")+SUMIFS(Receitas!$F:$F,Receitas!$J:$J,"&lt;="&amp;$A1074,Receitas!$L:$L,"&gt;="&amp;$A1074,Receitas!$C:$C,P$1,Receitas!$M:$M,$B1074)</f>
        <v>0</v>
      </c>
      <c r="Q1074" s="18">
        <f>SUMIFS(Receitas!$F:$F,Receitas!$J:$J,"&lt;="&amp;$A1074,Receitas!$L:$L,"&gt;="&amp;$A1074,Receitas!$C:$C,Q$1,Receitas!$M:$M,"Mensal")+SUMIFS(Receitas!$F:$F,Receitas!$J:$J,"&lt;="&amp;$A1074,Receitas!$L:$L,"&gt;="&amp;$A1074,Receitas!$C:$C,Q$1,Receitas!$M:$M,$B1074)</f>
        <v>0</v>
      </c>
      <c r="R1074" s="18" cm="1">
        <f t="array" ref="R1074">(IF(AND(Membros!$F$2="Sim",A1074&lt;=MAX(Membros!$E$2:$E$5)),Membros!K$2,IF(AND(A1074&gt;=Membros!J$2,A1074&lt;=MAX(Membros!$E$2:$E$5)),Membros!K$2,0))+IF(AND(Membros!$F$3="Sim",A1074&lt;=MAX(Membros!$E$2:$E$5)),Membros!K$3,IF(AND(A1074&gt;=Membros!J$3,A1074&lt;=MAX(Membros!$E$2:$E$5)),Membros!K$3,0)))*IF(AND(COUNTIFS(Tabela3[Tipo],"Provedor",Tabela3[Simulação Seguro],"Sim")=2,A1074&gt;=MAX(IF(Tabela3[Tipo]="Dependente",Tabela3[Expectativa de Vida (Data)]))),0,1)</f>
        <v>0</v>
      </c>
      <c r="S1074" s="18">
        <f t="shared" si="134"/>
        <v>0</v>
      </c>
      <c r="U1074" s="18">
        <f t="shared" ca="1" si="137"/>
        <v>157154379.34782061</v>
      </c>
      <c r="V1074" s="18">
        <f>SUMIF(Imóveis!E:E,Dados!A:A,Imóveis!Z:Z)-SUMIF(Imóveis!E:E,Dados!A:A,Imóveis!Y:Y)</f>
        <v>0</v>
      </c>
      <c r="W1074" s="18">
        <f>-SUMIF(Projetos!N:N,A1074,Projetos!F:F)</f>
        <v>0</v>
      </c>
      <c r="X1074" s="18">
        <f t="shared" si="131"/>
        <v>0</v>
      </c>
      <c r="Y1074" s="26">
        <f ca="1">(U1074*((Indicadores_Economicos!D$2+1)^(1/12)-1))</f>
        <v>514482.54361773981</v>
      </c>
      <c r="Z1074" s="18">
        <f t="shared" ca="1" si="135"/>
        <v>157668861.89143834</v>
      </c>
      <c r="AA1074" s="18">
        <f ca="1">Auxiliar_Projetos!E1074</f>
        <v>1.2996924583609465E-8</v>
      </c>
      <c r="AB1074" s="18">
        <f ca="1">Auxiliar_Projetos!K1074</f>
        <v>9.9976342950841984E-9</v>
      </c>
      <c r="AC1074" s="18">
        <f ca="1">IF(Z1074-AA1074-AB1074&gt;Investimentos!$C$14,Investimentos!$C$14,IF(Z1074-AA1074-AB1074&lt;Investimentos!$C$14,Z1074-AA1074-AB1074,0))</f>
        <v>300000</v>
      </c>
      <c r="AD1074" s="18">
        <f t="shared" ca="1" si="136"/>
        <v>157368861.89143834</v>
      </c>
      <c r="AE1074" s="18"/>
    </row>
    <row r="1075" spans="1:31" x14ac:dyDescent="0.2">
      <c r="A1075" s="4">
        <v>78315</v>
      </c>
      <c r="B1075" s="5" t="str">
        <f t="shared" si="132"/>
        <v>junho</v>
      </c>
      <c r="C1075" s="5" t="str">
        <f t="shared" si="138"/>
        <v>2114</v>
      </c>
      <c r="D1075" s="5">
        <f>SUMIFS(Despesas!$F:$F,Despesas!$J:$J,"&lt;="&amp;$A1075,Despesas!$L:$L,"&gt;="&amp;$A1075,Despesas!$C:$C,D$1,Despesas!$M:$M,"Mensal")+SUMIFS(Despesas!$F:$F,Despesas!$J:$J,"&lt;="&amp;$A1075,Despesas!$L:$L,"&gt;="&amp;$A1075,Despesas!$C:$C,D$1,Despesas!$M:$M,$B1075)</f>
        <v>0</v>
      </c>
      <c r="E1075" s="18">
        <f>SUMIFS(Despesas!$F:$F,Despesas!$J:$J,"&lt;="&amp;$A1075,Despesas!$L:$L,"&gt;="&amp;$A1075,Despesas!$C:$C,E$1,Despesas!$M:$M,"Mensal")+SUMIFS(Despesas!$F:$F,Despesas!$J:$J,"&lt;="&amp;$A1075,Despesas!$L:$L,"&gt;="&amp;$A1075,Despesas!$C:$C,E$1,Despesas!$M:$M,$B1075)</f>
        <v>0</v>
      </c>
      <c r="F1075" s="5">
        <f>SUMIFS(Despesas!$F:$F,Despesas!$J:$J,"&lt;="&amp;$A1075,Despesas!$L:$L,"&gt;="&amp;$A1075,Despesas!$C:$C,F$1,Despesas!$M:$M,"Mensal")+SUMIFS(Despesas!$F:$F,Despesas!$J:$J,"&lt;="&amp;$A1075,Despesas!$L:$L,"&gt;="&amp;$A1075,Despesas!$C:$C,F$1,Despesas!$M:$M,$B1075)</f>
        <v>0</v>
      </c>
      <c r="G1075" s="5">
        <f>SUMIFS(Despesas!$F:$F,Despesas!$J:$J,"&lt;="&amp;$A1075,Despesas!$L:$L,"&gt;="&amp;$A1075,Despesas!$C:$C,G$1,Despesas!$M:$M,"Mensal")+SUMIFS(Despesas!$F:$F,Despesas!$J:$J,"&lt;="&amp;$A1075,Despesas!$L:$L,"&gt;="&amp;$A1075,Despesas!$C:$C,G$1,Despesas!$M:$M,$B1075)</f>
        <v>0</v>
      </c>
      <c r="H1075" s="18">
        <f>SUMIFS(Despesas!$F:$F,Despesas!$J:$J,"&lt;="&amp;$A1075,Despesas!$L:$L,"&gt;="&amp;$A1075,Despesas!$C:$C,H$1,Despesas!$M:$M,"Mensal")+SUMIFS(Despesas!$F:$F,Despesas!$J:$J,"&lt;="&amp;$A1075,Despesas!$L:$L,"&gt;="&amp;$A1075,Despesas!$C:$C,H$1,Despesas!$M:$M,$B1075)</f>
        <v>0</v>
      </c>
      <c r="I1075" s="18">
        <f>IF(Imóveis!$F$2="PRICE",IF(AND(Dados!$A1075&gt;=Imóveis!$Q$2,Dados!$A1075&lt;=Imóveis!$T$2),Imóveis!$U$2,0),IF((IF(AND(Dados!$A1075&gt;=Imóveis!$Q$2,Dados!$A1075&lt;=Imóveis!$T$2),Imóveis!$S$2-(DATEDIF(Imóveis!$Q$2,Dados!$A1075,"m")),0))=0,0,((Imóveis!$N$2/Imóveis!$S$2)+((Imóveis!$N$2-((Imóveis!$S$2-(IF(AND(Dados!$A1075&gt;=Imóveis!$Q$2,Dados!$A1075&lt;=Imóveis!$T$2),Imóveis!$S$2-(DATEDIF(Imóveis!$Q$2,Dados!$A1075,"m")),)))*(Imóveis!$N$2/Imóveis!$S$2)))*Imóveis!$P$2))))*IF(AND(Imóveis!$E$2&gt;0,Dados!$A1075&gt;Imóveis!$E$2),0,1)</f>
        <v>0</v>
      </c>
      <c r="J1075" s="18">
        <f>IF(Imóveis!$F$3="PRICE",IF(AND(Dados!$A1075&gt;=Imóveis!$Q$3,Dados!$A1075&lt;=Imóveis!$T$3),Imóveis!$U$3,0),IF((IF(AND(Dados!$A1075&gt;=Imóveis!$Q$3,Dados!$A1075&lt;=Imóveis!$T$3),Imóveis!$S$3-(DATEDIF(Imóveis!$Q$3,Dados!$A1075,"m")),0))=0,0,((Imóveis!$N$3/Imóveis!$S$3)+((Imóveis!$N$3-((Imóveis!$S$3-(IF(AND(Dados!$A1075&gt;=Imóveis!$Q$3,Dados!$A1075&lt;=Imóveis!$T$3),Imóveis!$S$3-(DATEDIF(Imóveis!$Q$3,Dados!$A1075,"m")),)))*(Imóveis!$N$3/Imóveis!$S$3)))*Imóveis!$P$3))))*IF(AND(Imóveis!$E$3&gt;0,Dados!$A1075&gt;Imóveis!$E$3),0,1)</f>
        <v>0</v>
      </c>
      <c r="K1075" s="18">
        <f>IF(Imóveis!$F$4="PRICE",IF(AND(Dados!$A1075&gt;=Imóveis!$Q$4,Dados!$A1075&lt;=Imóveis!$T$4),Imóveis!$U$4,0),IF((IF(AND(Dados!$A1075&gt;=Imóveis!$Q$4,Dados!$A1075&lt;=Imóveis!$T$4),Imóveis!$S$4-(DATEDIF(Imóveis!$Q$4,Dados!$A1075,"m")),0))=0,0,((Imóveis!$N$4/Imóveis!$S$4)+((Imóveis!$N$4-((Imóveis!$S$4-(IF(AND(Dados!$A1075&gt;=Imóveis!$Q$4,Dados!$A1075&lt;=Imóveis!$T$4),Imóveis!$S$4-(DATEDIF(Imóveis!$Q$4,Dados!$A1075,"m")),)))*(Imóveis!$N$4/Imóveis!$S$4)))*Imóveis!$P$4))))*IF(AND(Imóveis!$E$4&gt;0,Dados!$A1075&gt;Imóveis!$E$4),0,1)</f>
        <v>0</v>
      </c>
      <c r="L1075" s="18">
        <f>IF(Imóveis!$F$5="PRICE",IF(AND(Dados!$A1075&gt;=Imóveis!$Q$5,Dados!$A1075&lt;=Imóveis!$T$5),Imóveis!$U$5,0),IF((IF(AND(Dados!$A1075&gt;=Imóveis!$Q$5,Dados!$A1075&lt;=Imóveis!$T$5),Imóveis!$S$5-(DATEDIF(Imóveis!$Q$5,Dados!$A1075,"m")),0))=0,0,((Imóveis!$N$5/Imóveis!$S$5)+((Imóveis!$N$5-((Imóveis!$S$5-(IF(AND(Dados!$A1075 &gt;=Imóveis!$Q$5,Dados!$A1075&lt;=Imóveis!$T$5),Imóveis!$S$5-(DATEDIF(Imóveis!$Q$5,Dados!$A1075,"m")),)))*(Imóveis!$N$5/Imóveis!$S$5)))*Imóveis!$P$5))))*IF(AND(Imóveis!$E$5&gt;0,Dados!$A1075&gt;Imóveis!$E$5),0,1)*Imóveis!$I$5</f>
        <v>0</v>
      </c>
      <c r="M1075" s="18">
        <f>IF(Imóveis!$F$6="PRICE",IF(AND(Dados!$A1075&gt;=Imóveis!$Q$6,Dados!$A1075&lt;=Imóveis!$T$6),Imóveis!$U$6,0),IF((IF(AND(Dados!$A1075&gt;=Imóveis!$Q$6,Dados!$A1075&lt;=Imóveis!$T$6),Imóveis!$S$6-(DATEDIF(Imóveis!$Q$6,Dados!$A1075,"m")),0))=0,0,((Imóveis!$N$6/Imóveis!$S$6)+((Imóveis!$N$6-((Imóveis!$S$6-(IF(AND(Dados!$A1075&gt;=Imóveis!$Q$6,Dados!$A1075&lt;=Imóveis!$T$6),Imóveis!$S$6-(DATEDIF(Imóveis!$Q$6,Dados!$A1075,"m")),)))*(Imóveis!$N$6/Imóveis!$S$6)))*Imóveis!$P$6))))*IF(AND(Imóveis!$E$6&gt;0,Dados!$A1075&gt;Imóveis!$E$6),0,1)*Imóveis!$I$6</f>
        <v>0</v>
      </c>
      <c r="N1075" s="18">
        <f t="shared" si="133"/>
        <v>0</v>
      </c>
      <c r="O1075" s="18">
        <f>SUMIFS(Receitas!$F:$F,Receitas!$J:$J,"&lt;="&amp;$A1075,Receitas!$L:$L,"&gt;="&amp;$A1075,Receitas!$C:$C,O$1,Receitas!$M:$M,"Mensal")+SUMIFS(Receitas!$F:$F,Receitas!$J:$J,"&lt;="&amp;$A1075,Receitas!$L:$L,"&gt;="&amp;$A1075,Receitas!$C:$C,O$1,Receitas!$M:$M,$B1075)</f>
        <v>0</v>
      </c>
      <c r="P1075" s="18">
        <f>SUMIFS(Receitas!$F:$F,Receitas!$J:$J,"&lt;="&amp;$A1075,Receitas!$L:$L,"&gt;="&amp;$A1075,Receitas!$C:$C,P$1,Receitas!$M:$M,"Mensal")+SUMIFS(Receitas!$F:$F,Receitas!$J:$J,"&lt;="&amp;$A1075,Receitas!$L:$L,"&gt;="&amp;$A1075,Receitas!$C:$C,P$1,Receitas!$M:$M,$B1075)</f>
        <v>0</v>
      </c>
      <c r="Q1075" s="18">
        <f>SUMIFS(Receitas!$F:$F,Receitas!$J:$J,"&lt;="&amp;$A1075,Receitas!$L:$L,"&gt;="&amp;$A1075,Receitas!$C:$C,Q$1,Receitas!$M:$M,"Mensal")+SUMIFS(Receitas!$F:$F,Receitas!$J:$J,"&lt;="&amp;$A1075,Receitas!$L:$L,"&gt;="&amp;$A1075,Receitas!$C:$C,Q$1,Receitas!$M:$M,$B1075)</f>
        <v>0</v>
      </c>
      <c r="R1075" s="18" cm="1">
        <f t="array" ref="R1075">(IF(AND(Membros!$F$2="Sim",A1075&lt;=MAX(Membros!$E$2:$E$5)),Membros!K$2,IF(AND(A1075&gt;=Membros!J$2,A1075&lt;=MAX(Membros!$E$2:$E$5)),Membros!K$2,0))+IF(AND(Membros!$F$3="Sim",A1075&lt;=MAX(Membros!$E$2:$E$5)),Membros!K$3,IF(AND(A1075&gt;=Membros!J$3,A1075&lt;=MAX(Membros!$E$2:$E$5)),Membros!K$3,0)))*IF(AND(COUNTIFS(Tabela3[Tipo],"Provedor",Tabela3[Simulação Seguro],"Sim")=2,A1075&gt;=MAX(IF(Tabela3[Tipo]="Dependente",Tabela3[Expectativa de Vida (Data)]))),0,1)</f>
        <v>0</v>
      </c>
      <c r="S1075" s="18">
        <f t="shared" si="134"/>
        <v>0</v>
      </c>
      <c r="U1075" s="18">
        <f t="shared" ca="1" si="137"/>
        <v>157668861.89143834</v>
      </c>
      <c r="V1075" s="18">
        <f>SUMIF(Imóveis!E:E,Dados!A:A,Imóveis!Z:Z)-SUMIF(Imóveis!E:E,Dados!A:A,Imóveis!Y:Y)</f>
        <v>0</v>
      </c>
      <c r="W1075" s="18">
        <f>-SUMIF(Projetos!N:N,A1075,Projetos!F:F)</f>
        <v>0</v>
      </c>
      <c r="X1075" s="18">
        <f t="shared" si="131"/>
        <v>0</v>
      </c>
      <c r="Y1075" s="26">
        <f ca="1">(U1075*((Indicadores_Economicos!D$2+1)^(1/12)-1))</f>
        <v>516166.82558802806</v>
      </c>
      <c r="Z1075" s="18">
        <f t="shared" ca="1" si="135"/>
        <v>158185028.71702635</v>
      </c>
      <c r="AA1075" s="18">
        <f ca="1">Auxiliar_Projetos!E1075</f>
        <v>1.3039473132665067E-8</v>
      </c>
      <c r="AB1075" s="18">
        <f ca="1">Auxiliar_Projetos!K1075</f>
        <v>1.0030363948203892E-8</v>
      </c>
      <c r="AC1075" s="18">
        <f ca="1">IF(Z1075-AA1075-AB1075&gt;Investimentos!$C$14,Investimentos!$C$14,IF(Z1075-AA1075-AB1075&lt;Investimentos!$C$14,Z1075-AA1075-AB1075,0))</f>
        <v>300000</v>
      </c>
      <c r="AD1075" s="18">
        <f t="shared" ca="1" si="136"/>
        <v>157885028.71702635</v>
      </c>
      <c r="AE1075" s="18"/>
    </row>
    <row r="1076" spans="1:31" x14ac:dyDescent="0.2">
      <c r="A1076" s="4">
        <v>78345</v>
      </c>
      <c r="B1076" s="5" t="str">
        <f t="shared" si="132"/>
        <v>julho</v>
      </c>
      <c r="C1076" s="5" t="str">
        <f t="shared" si="138"/>
        <v>2114</v>
      </c>
      <c r="D1076" s="5">
        <f>SUMIFS(Despesas!$F:$F,Despesas!$J:$J,"&lt;="&amp;$A1076,Despesas!$L:$L,"&gt;="&amp;$A1076,Despesas!$C:$C,D$1,Despesas!$M:$M,"Mensal")+SUMIFS(Despesas!$F:$F,Despesas!$J:$J,"&lt;="&amp;$A1076,Despesas!$L:$L,"&gt;="&amp;$A1076,Despesas!$C:$C,D$1,Despesas!$M:$M,$B1076)</f>
        <v>0</v>
      </c>
      <c r="E1076" s="18">
        <f>SUMIFS(Despesas!$F:$F,Despesas!$J:$J,"&lt;="&amp;$A1076,Despesas!$L:$L,"&gt;="&amp;$A1076,Despesas!$C:$C,E$1,Despesas!$M:$M,"Mensal")+SUMIFS(Despesas!$F:$F,Despesas!$J:$J,"&lt;="&amp;$A1076,Despesas!$L:$L,"&gt;="&amp;$A1076,Despesas!$C:$C,E$1,Despesas!$M:$M,$B1076)</f>
        <v>0</v>
      </c>
      <c r="F1076" s="5">
        <f>SUMIFS(Despesas!$F:$F,Despesas!$J:$J,"&lt;="&amp;$A1076,Despesas!$L:$L,"&gt;="&amp;$A1076,Despesas!$C:$C,F$1,Despesas!$M:$M,"Mensal")+SUMIFS(Despesas!$F:$F,Despesas!$J:$J,"&lt;="&amp;$A1076,Despesas!$L:$L,"&gt;="&amp;$A1076,Despesas!$C:$C,F$1,Despesas!$M:$M,$B1076)</f>
        <v>0</v>
      </c>
      <c r="G1076" s="5">
        <f>SUMIFS(Despesas!$F:$F,Despesas!$J:$J,"&lt;="&amp;$A1076,Despesas!$L:$L,"&gt;="&amp;$A1076,Despesas!$C:$C,G$1,Despesas!$M:$M,"Mensal")+SUMIFS(Despesas!$F:$F,Despesas!$J:$J,"&lt;="&amp;$A1076,Despesas!$L:$L,"&gt;="&amp;$A1076,Despesas!$C:$C,G$1,Despesas!$M:$M,$B1076)</f>
        <v>0</v>
      </c>
      <c r="H1076" s="18">
        <f>SUMIFS(Despesas!$F:$F,Despesas!$J:$J,"&lt;="&amp;$A1076,Despesas!$L:$L,"&gt;="&amp;$A1076,Despesas!$C:$C,H$1,Despesas!$M:$M,"Mensal")+SUMIFS(Despesas!$F:$F,Despesas!$J:$J,"&lt;="&amp;$A1076,Despesas!$L:$L,"&gt;="&amp;$A1076,Despesas!$C:$C,H$1,Despesas!$M:$M,$B1076)</f>
        <v>0</v>
      </c>
      <c r="I1076" s="18">
        <f>IF(Imóveis!$F$2="PRICE",IF(AND(Dados!$A1076&gt;=Imóveis!$Q$2,Dados!$A1076&lt;=Imóveis!$T$2),Imóveis!$U$2,0),IF((IF(AND(Dados!$A1076&gt;=Imóveis!$Q$2,Dados!$A1076&lt;=Imóveis!$T$2),Imóveis!$S$2-(DATEDIF(Imóveis!$Q$2,Dados!$A1076,"m")),0))=0,0,((Imóveis!$N$2/Imóveis!$S$2)+((Imóveis!$N$2-((Imóveis!$S$2-(IF(AND(Dados!$A1076&gt;=Imóveis!$Q$2,Dados!$A1076&lt;=Imóveis!$T$2),Imóveis!$S$2-(DATEDIF(Imóveis!$Q$2,Dados!$A1076,"m")),)))*(Imóveis!$N$2/Imóveis!$S$2)))*Imóveis!$P$2))))*IF(AND(Imóveis!$E$2&gt;0,Dados!$A1076&gt;Imóveis!$E$2),0,1)</f>
        <v>0</v>
      </c>
      <c r="J1076" s="18">
        <f>IF(Imóveis!$F$3="PRICE",IF(AND(Dados!$A1076&gt;=Imóveis!$Q$3,Dados!$A1076&lt;=Imóveis!$T$3),Imóveis!$U$3,0),IF((IF(AND(Dados!$A1076&gt;=Imóveis!$Q$3,Dados!$A1076&lt;=Imóveis!$T$3),Imóveis!$S$3-(DATEDIF(Imóveis!$Q$3,Dados!$A1076,"m")),0))=0,0,((Imóveis!$N$3/Imóveis!$S$3)+((Imóveis!$N$3-((Imóveis!$S$3-(IF(AND(Dados!$A1076&gt;=Imóveis!$Q$3,Dados!$A1076&lt;=Imóveis!$T$3),Imóveis!$S$3-(DATEDIF(Imóveis!$Q$3,Dados!$A1076,"m")),)))*(Imóveis!$N$3/Imóveis!$S$3)))*Imóveis!$P$3))))*IF(AND(Imóveis!$E$3&gt;0,Dados!$A1076&gt;Imóveis!$E$3),0,1)</f>
        <v>0</v>
      </c>
      <c r="K1076" s="18">
        <f>IF(Imóveis!$F$4="PRICE",IF(AND(Dados!$A1076&gt;=Imóveis!$Q$4,Dados!$A1076&lt;=Imóveis!$T$4),Imóveis!$U$4,0),IF((IF(AND(Dados!$A1076&gt;=Imóveis!$Q$4,Dados!$A1076&lt;=Imóveis!$T$4),Imóveis!$S$4-(DATEDIF(Imóveis!$Q$4,Dados!$A1076,"m")),0))=0,0,((Imóveis!$N$4/Imóveis!$S$4)+((Imóveis!$N$4-((Imóveis!$S$4-(IF(AND(Dados!$A1076&gt;=Imóveis!$Q$4,Dados!$A1076&lt;=Imóveis!$T$4),Imóveis!$S$4-(DATEDIF(Imóveis!$Q$4,Dados!$A1076,"m")),)))*(Imóveis!$N$4/Imóveis!$S$4)))*Imóveis!$P$4))))*IF(AND(Imóveis!$E$4&gt;0,Dados!$A1076&gt;Imóveis!$E$4),0,1)</f>
        <v>0</v>
      </c>
      <c r="L1076" s="18">
        <f>IF(Imóveis!$F$5="PRICE",IF(AND(Dados!$A1076&gt;=Imóveis!$Q$5,Dados!$A1076&lt;=Imóveis!$T$5),Imóveis!$U$5,0),IF((IF(AND(Dados!$A1076&gt;=Imóveis!$Q$5,Dados!$A1076&lt;=Imóveis!$T$5),Imóveis!$S$5-(DATEDIF(Imóveis!$Q$5,Dados!$A1076,"m")),0))=0,0,((Imóveis!$N$5/Imóveis!$S$5)+((Imóveis!$N$5-((Imóveis!$S$5-(IF(AND(Dados!$A1076 &gt;=Imóveis!$Q$5,Dados!$A1076&lt;=Imóveis!$T$5),Imóveis!$S$5-(DATEDIF(Imóveis!$Q$5,Dados!$A1076,"m")),)))*(Imóveis!$N$5/Imóveis!$S$5)))*Imóveis!$P$5))))*IF(AND(Imóveis!$E$5&gt;0,Dados!$A1076&gt;Imóveis!$E$5),0,1)*Imóveis!$I$5</f>
        <v>0</v>
      </c>
      <c r="M1076" s="18">
        <f>IF(Imóveis!$F$6="PRICE",IF(AND(Dados!$A1076&gt;=Imóveis!$Q$6,Dados!$A1076&lt;=Imóveis!$T$6),Imóveis!$U$6,0),IF((IF(AND(Dados!$A1076&gt;=Imóveis!$Q$6,Dados!$A1076&lt;=Imóveis!$T$6),Imóveis!$S$6-(DATEDIF(Imóveis!$Q$6,Dados!$A1076,"m")),0))=0,0,((Imóveis!$N$6/Imóveis!$S$6)+((Imóveis!$N$6-((Imóveis!$S$6-(IF(AND(Dados!$A1076&gt;=Imóveis!$Q$6,Dados!$A1076&lt;=Imóveis!$T$6),Imóveis!$S$6-(DATEDIF(Imóveis!$Q$6,Dados!$A1076,"m")),)))*(Imóveis!$N$6/Imóveis!$S$6)))*Imóveis!$P$6))))*IF(AND(Imóveis!$E$6&gt;0,Dados!$A1076&gt;Imóveis!$E$6),0,1)*Imóveis!$I$6</f>
        <v>0</v>
      </c>
      <c r="N1076" s="18">
        <f t="shared" si="133"/>
        <v>0</v>
      </c>
      <c r="O1076" s="18">
        <f>SUMIFS(Receitas!$F:$F,Receitas!$J:$J,"&lt;="&amp;$A1076,Receitas!$L:$L,"&gt;="&amp;$A1076,Receitas!$C:$C,O$1,Receitas!$M:$M,"Mensal")+SUMIFS(Receitas!$F:$F,Receitas!$J:$J,"&lt;="&amp;$A1076,Receitas!$L:$L,"&gt;="&amp;$A1076,Receitas!$C:$C,O$1,Receitas!$M:$M,$B1076)</f>
        <v>0</v>
      </c>
      <c r="P1076" s="18">
        <f>SUMIFS(Receitas!$F:$F,Receitas!$J:$J,"&lt;="&amp;$A1076,Receitas!$L:$L,"&gt;="&amp;$A1076,Receitas!$C:$C,P$1,Receitas!$M:$M,"Mensal")+SUMIFS(Receitas!$F:$F,Receitas!$J:$J,"&lt;="&amp;$A1076,Receitas!$L:$L,"&gt;="&amp;$A1076,Receitas!$C:$C,P$1,Receitas!$M:$M,$B1076)</f>
        <v>0</v>
      </c>
      <c r="Q1076" s="18">
        <f>SUMIFS(Receitas!$F:$F,Receitas!$J:$J,"&lt;="&amp;$A1076,Receitas!$L:$L,"&gt;="&amp;$A1076,Receitas!$C:$C,Q$1,Receitas!$M:$M,"Mensal")+SUMIFS(Receitas!$F:$F,Receitas!$J:$J,"&lt;="&amp;$A1076,Receitas!$L:$L,"&gt;="&amp;$A1076,Receitas!$C:$C,Q$1,Receitas!$M:$M,$B1076)</f>
        <v>0</v>
      </c>
      <c r="R1076" s="18" cm="1">
        <f t="array" ref="R1076">(IF(AND(Membros!$F$2="Sim",A1076&lt;=MAX(Membros!$E$2:$E$5)),Membros!K$2,IF(AND(A1076&gt;=Membros!J$2,A1076&lt;=MAX(Membros!$E$2:$E$5)),Membros!K$2,0))+IF(AND(Membros!$F$3="Sim",A1076&lt;=MAX(Membros!$E$2:$E$5)),Membros!K$3,IF(AND(A1076&gt;=Membros!J$3,A1076&lt;=MAX(Membros!$E$2:$E$5)),Membros!K$3,0)))*IF(AND(COUNTIFS(Tabela3[Tipo],"Provedor",Tabela3[Simulação Seguro],"Sim")=2,A1076&gt;=MAX(IF(Tabela3[Tipo]="Dependente",Tabela3[Expectativa de Vida (Data)]))),0,1)</f>
        <v>0</v>
      </c>
      <c r="S1076" s="18">
        <f t="shared" si="134"/>
        <v>0</v>
      </c>
      <c r="U1076" s="18">
        <f t="shared" ca="1" si="137"/>
        <v>158185028.71702635</v>
      </c>
      <c r="V1076" s="18">
        <f>SUMIF(Imóveis!E:E,Dados!A:A,Imóveis!Z:Z)-SUMIF(Imóveis!E:E,Dados!A:A,Imóveis!Y:Y)</f>
        <v>0</v>
      </c>
      <c r="W1076" s="18">
        <f>-SUMIF(Projetos!N:N,A1076,Projetos!F:F)</f>
        <v>0</v>
      </c>
      <c r="X1076" s="18">
        <f t="shared" si="131"/>
        <v>0</v>
      </c>
      <c r="Y1076" s="26">
        <f ca="1">(U1076*((Indicadores_Economicos!D$2+1)^(1/12)-1))</f>
        <v>517856.62145920686</v>
      </c>
      <c r="Z1076" s="18">
        <f t="shared" ca="1" si="135"/>
        <v>158702885.33848557</v>
      </c>
      <c r="AA1076" s="18">
        <f ca="1">Auxiliar_Projetos!E1076</f>
        <v>1.3082160974598386E-8</v>
      </c>
      <c r="AB1076" s="18">
        <f ca="1">Auxiliar_Projetos!K1076</f>
        <v>1.006320074969106E-8</v>
      </c>
      <c r="AC1076" s="18">
        <f ca="1">IF(Z1076-AA1076-AB1076&gt;Investimentos!$C$14,Investimentos!$C$14,IF(Z1076-AA1076-AB1076&lt;Investimentos!$C$14,Z1076-AA1076-AB1076,0))</f>
        <v>300000</v>
      </c>
      <c r="AD1076" s="18">
        <f t="shared" ca="1" si="136"/>
        <v>158402885.33848557</v>
      </c>
      <c r="AE1076" s="18"/>
    </row>
    <row r="1077" spans="1:31" x14ac:dyDescent="0.2">
      <c r="A1077" s="4">
        <v>78376</v>
      </c>
      <c r="B1077" s="5" t="str">
        <f t="shared" si="132"/>
        <v>agosto</v>
      </c>
      <c r="C1077" s="5" t="str">
        <f t="shared" si="138"/>
        <v>2114</v>
      </c>
      <c r="D1077" s="5">
        <f>SUMIFS(Despesas!$F:$F,Despesas!$J:$J,"&lt;="&amp;$A1077,Despesas!$L:$L,"&gt;="&amp;$A1077,Despesas!$C:$C,D$1,Despesas!$M:$M,"Mensal")+SUMIFS(Despesas!$F:$F,Despesas!$J:$J,"&lt;="&amp;$A1077,Despesas!$L:$L,"&gt;="&amp;$A1077,Despesas!$C:$C,D$1,Despesas!$M:$M,$B1077)</f>
        <v>0</v>
      </c>
      <c r="E1077" s="18">
        <f>SUMIFS(Despesas!$F:$F,Despesas!$J:$J,"&lt;="&amp;$A1077,Despesas!$L:$L,"&gt;="&amp;$A1077,Despesas!$C:$C,E$1,Despesas!$M:$M,"Mensal")+SUMIFS(Despesas!$F:$F,Despesas!$J:$J,"&lt;="&amp;$A1077,Despesas!$L:$L,"&gt;="&amp;$A1077,Despesas!$C:$C,E$1,Despesas!$M:$M,$B1077)</f>
        <v>0</v>
      </c>
      <c r="F1077" s="5">
        <f>SUMIFS(Despesas!$F:$F,Despesas!$J:$J,"&lt;="&amp;$A1077,Despesas!$L:$L,"&gt;="&amp;$A1077,Despesas!$C:$C,F$1,Despesas!$M:$M,"Mensal")+SUMIFS(Despesas!$F:$F,Despesas!$J:$J,"&lt;="&amp;$A1077,Despesas!$L:$L,"&gt;="&amp;$A1077,Despesas!$C:$C,F$1,Despesas!$M:$M,$B1077)</f>
        <v>0</v>
      </c>
      <c r="G1077" s="5">
        <f>SUMIFS(Despesas!$F:$F,Despesas!$J:$J,"&lt;="&amp;$A1077,Despesas!$L:$L,"&gt;="&amp;$A1077,Despesas!$C:$C,G$1,Despesas!$M:$M,"Mensal")+SUMIFS(Despesas!$F:$F,Despesas!$J:$J,"&lt;="&amp;$A1077,Despesas!$L:$L,"&gt;="&amp;$A1077,Despesas!$C:$C,G$1,Despesas!$M:$M,$B1077)</f>
        <v>0</v>
      </c>
      <c r="H1077" s="18">
        <f>SUMIFS(Despesas!$F:$F,Despesas!$J:$J,"&lt;="&amp;$A1077,Despesas!$L:$L,"&gt;="&amp;$A1077,Despesas!$C:$C,H$1,Despesas!$M:$M,"Mensal")+SUMIFS(Despesas!$F:$F,Despesas!$J:$J,"&lt;="&amp;$A1077,Despesas!$L:$L,"&gt;="&amp;$A1077,Despesas!$C:$C,H$1,Despesas!$M:$M,$B1077)</f>
        <v>0</v>
      </c>
      <c r="I1077" s="18">
        <f>IF(Imóveis!$F$2="PRICE",IF(AND(Dados!$A1077&gt;=Imóveis!$Q$2,Dados!$A1077&lt;=Imóveis!$T$2),Imóveis!$U$2,0),IF((IF(AND(Dados!$A1077&gt;=Imóveis!$Q$2,Dados!$A1077&lt;=Imóveis!$T$2),Imóveis!$S$2-(DATEDIF(Imóveis!$Q$2,Dados!$A1077,"m")),0))=0,0,((Imóveis!$N$2/Imóveis!$S$2)+((Imóveis!$N$2-((Imóveis!$S$2-(IF(AND(Dados!$A1077&gt;=Imóveis!$Q$2,Dados!$A1077&lt;=Imóveis!$T$2),Imóveis!$S$2-(DATEDIF(Imóveis!$Q$2,Dados!$A1077,"m")),)))*(Imóveis!$N$2/Imóveis!$S$2)))*Imóveis!$P$2))))*IF(AND(Imóveis!$E$2&gt;0,Dados!$A1077&gt;Imóveis!$E$2),0,1)</f>
        <v>0</v>
      </c>
      <c r="J1077" s="18">
        <f>IF(Imóveis!$F$3="PRICE",IF(AND(Dados!$A1077&gt;=Imóveis!$Q$3,Dados!$A1077&lt;=Imóveis!$T$3),Imóveis!$U$3,0),IF((IF(AND(Dados!$A1077&gt;=Imóveis!$Q$3,Dados!$A1077&lt;=Imóveis!$T$3),Imóveis!$S$3-(DATEDIF(Imóveis!$Q$3,Dados!$A1077,"m")),0))=0,0,((Imóveis!$N$3/Imóveis!$S$3)+((Imóveis!$N$3-((Imóveis!$S$3-(IF(AND(Dados!$A1077&gt;=Imóveis!$Q$3,Dados!$A1077&lt;=Imóveis!$T$3),Imóveis!$S$3-(DATEDIF(Imóveis!$Q$3,Dados!$A1077,"m")),)))*(Imóveis!$N$3/Imóveis!$S$3)))*Imóveis!$P$3))))*IF(AND(Imóveis!$E$3&gt;0,Dados!$A1077&gt;Imóveis!$E$3),0,1)</f>
        <v>0</v>
      </c>
      <c r="K1077" s="18">
        <f>IF(Imóveis!$F$4="PRICE",IF(AND(Dados!$A1077&gt;=Imóveis!$Q$4,Dados!$A1077&lt;=Imóveis!$T$4),Imóveis!$U$4,0),IF((IF(AND(Dados!$A1077&gt;=Imóveis!$Q$4,Dados!$A1077&lt;=Imóveis!$T$4),Imóveis!$S$4-(DATEDIF(Imóveis!$Q$4,Dados!$A1077,"m")),0))=0,0,((Imóveis!$N$4/Imóveis!$S$4)+((Imóveis!$N$4-((Imóveis!$S$4-(IF(AND(Dados!$A1077&gt;=Imóveis!$Q$4,Dados!$A1077&lt;=Imóveis!$T$4),Imóveis!$S$4-(DATEDIF(Imóveis!$Q$4,Dados!$A1077,"m")),)))*(Imóveis!$N$4/Imóveis!$S$4)))*Imóveis!$P$4))))*IF(AND(Imóveis!$E$4&gt;0,Dados!$A1077&gt;Imóveis!$E$4),0,1)</f>
        <v>0</v>
      </c>
      <c r="L1077" s="18">
        <f>IF(Imóveis!$F$5="PRICE",IF(AND(Dados!$A1077&gt;=Imóveis!$Q$5,Dados!$A1077&lt;=Imóveis!$T$5),Imóveis!$U$5,0),IF((IF(AND(Dados!$A1077&gt;=Imóveis!$Q$5,Dados!$A1077&lt;=Imóveis!$T$5),Imóveis!$S$5-(DATEDIF(Imóveis!$Q$5,Dados!$A1077,"m")),0))=0,0,((Imóveis!$N$5/Imóveis!$S$5)+((Imóveis!$N$5-((Imóveis!$S$5-(IF(AND(Dados!$A1077 &gt;=Imóveis!$Q$5,Dados!$A1077&lt;=Imóveis!$T$5),Imóveis!$S$5-(DATEDIF(Imóveis!$Q$5,Dados!$A1077,"m")),)))*(Imóveis!$N$5/Imóveis!$S$5)))*Imóveis!$P$5))))*IF(AND(Imóveis!$E$5&gt;0,Dados!$A1077&gt;Imóveis!$E$5),0,1)*Imóveis!$I$5</f>
        <v>0</v>
      </c>
      <c r="M1077" s="18">
        <f>IF(Imóveis!$F$6="PRICE",IF(AND(Dados!$A1077&gt;=Imóveis!$Q$6,Dados!$A1077&lt;=Imóveis!$T$6),Imóveis!$U$6,0),IF((IF(AND(Dados!$A1077&gt;=Imóveis!$Q$6,Dados!$A1077&lt;=Imóveis!$T$6),Imóveis!$S$6-(DATEDIF(Imóveis!$Q$6,Dados!$A1077,"m")),0))=0,0,((Imóveis!$N$6/Imóveis!$S$6)+((Imóveis!$N$6-((Imóveis!$S$6-(IF(AND(Dados!$A1077&gt;=Imóveis!$Q$6,Dados!$A1077&lt;=Imóveis!$T$6),Imóveis!$S$6-(DATEDIF(Imóveis!$Q$6,Dados!$A1077,"m")),)))*(Imóveis!$N$6/Imóveis!$S$6)))*Imóveis!$P$6))))*IF(AND(Imóveis!$E$6&gt;0,Dados!$A1077&gt;Imóveis!$E$6),0,1)*Imóveis!$I$6</f>
        <v>0</v>
      </c>
      <c r="N1077" s="18">
        <f t="shared" si="133"/>
        <v>0</v>
      </c>
      <c r="O1077" s="18">
        <f>SUMIFS(Receitas!$F:$F,Receitas!$J:$J,"&lt;="&amp;$A1077,Receitas!$L:$L,"&gt;="&amp;$A1077,Receitas!$C:$C,O$1,Receitas!$M:$M,"Mensal")+SUMIFS(Receitas!$F:$F,Receitas!$J:$J,"&lt;="&amp;$A1077,Receitas!$L:$L,"&gt;="&amp;$A1077,Receitas!$C:$C,O$1,Receitas!$M:$M,$B1077)</f>
        <v>0</v>
      </c>
      <c r="P1077" s="18">
        <f>SUMIFS(Receitas!$F:$F,Receitas!$J:$J,"&lt;="&amp;$A1077,Receitas!$L:$L,"&gt;="&amp;$A1077,Receitas!$C:$C,P$1,Receitas!$M:$M,"Mensal")+SUMIFS(Receitas!$F:$F,Receitas!$J:$J,"&lt;="&amp;$A1077,Receitas!$L:$L,"&gt;="&amp;$A1077,Receitas!$C:$C,P$1,Receitas!$M:$M,$B1077)</f>
        <v>0</v>
      </c>
      <c r="Q1077" s="18">
        <f>SUMIFS(Receitas!$F:$F,Receitas!$J:$J,"&lt;="&amp;$A1077,Receitas!$L:$L,"&gt;="&amp;$A1077,Receitas!$C:$C,Q$1,Receitas!$M:$M,"Mensal")+SUMIFS(Receitas!$F:$F,Receitas!$J:$J,"&lt;="&amp;$A1077,Receitas!$L:$L,"&gt;="&amp;$A1077,Receitas!$C:$C,Q$1,Receitas!$M:$M,$B1077)</f>
        <v>0</v>
      </c>
      <c r="R1077" s="18" cm="1">
        <f t="array" ref="R1077">(IF(AND(Membros!$F$2="Sim",A1077&lt;=MAX(Membros!$E$2:$E$5)),Membros!K$2,IF(AND(A1077&gt;=Membros!J$2,A1077&lt;=MAX(Membros!$E$2:$E$5)),Membros!K$2,0))+IF(AND(Membros!$F$3="Sim",A1077&lt;=MAX(Membros!$E$2:$E$5)),Membros!K$3,IF(AND(A1077&gt;=Membros!J$3,A1077&lt;=MAX(Membros!$E$2:$E$5)),Membros!K$3,0)))*IF(AND(COUNTIFS(Tabela3[Tipo],"Provedor",Tabela3[Simulação Seguro],"Sim")=2,A1077&gt;=MAX(IF(Tabela3[Tipo]="Dependente",Tabela3[Expectativa de Vida (Data)]))),0,1)</f>
        <v>0</v>
      </c>
      <c r="S1077" s="18">
        <f t="shared" si="134"/>
        <v>0</v>
      </c>
      <c r="U1077" s="18">
        <f t="shared" ca="1" si="137"/>
        <v>158702885.33848557</v>
      </c>
      <c r="V1077" s="18">
        <f>SUMIF(Imóveis!E:E,Dados!A:A,Imóveis!Z:Z)-SUMIF(Imóveis!E:E,Dados!A:A,Imóveis!Y:Y)</f>
        <v>0</v>
      </c>
      <c r="W1077" s="18">
        <f>-SUMIF(Projetos!N:N,A1077,Projetos!F:F)</f>
        <v>0</v>
      </c>
      <c r="X1077" s="18">
        <f t="shared" si="131"/>
        <v>0</v>
      </c>
      <c r="Y1077" s="26">
        <f ca="1">(U1077*((Indicadores_Economicos!D$2+1)^(1/12)-1))</f>
        <v>519551.94928235305</v>
      </c>
      <c r="Z1077" s="18">
        <f t="shared" ca="1" si="135"/>
        <v>159222437.28776792</v>
      </c>
      <c r="AA1077" s="18">
        <f ca="1">Auxiliar_Projetos!E1077</f>
        <v>1.3124988565418058E-8</v>
      </c>
      <c r="AB1077" s="18">
        <f ca="1">Auxiliar_Projetos!K1077</f>
        <v>1.0096145050321579E-8</v>
      </c>
      <c r="AC1077" s="18">
        <f ca="1">IF(Z1077-AA1077-AB1077&gt;Investimentos!$C$14,Investimentos!$C$14,IF(Z1077-AA1077-AB1077&lt;Investimentos!$C$14,Z1077-AA1077-AB1077,0))</f>
        <v>300000</v>
      </c>
      <c r="AD1077" s="18">
        <f t="shared" ca="1" si="136"/>
        <v>158922437.28776792</v>
      </c>
      <c r="AE1077" s="18"/>
    </row>
    <row r="1078" spans="1:31" x14ac:dyDescent="0.2">
      <c r="A1078" s="4">
        <v>78407</v>
      </c>
      <c r="B1078" s="5" t="str">
        <f t="shared" si="132"/>
        <v>setembro</v>
      </c>
      <c r="C1078" s="5" t="str">
        <f t="shared" si="138"/>
        <v>2114</v>
      </c>
      <c r="D1078" s="5">
        <f>SUMIFS(Despesas!$F:$F,Despesas!$J:$J,"&lt;="&amp;$A1078,Despesas!$L:$L,"&gt;="&amp;$A1078,Despesas!$C:$C,D$1,Despesas!$M:$M,"Mensal")+SUMIFS(Despesas!$F:$F,Despesas!$J:$J,"&lt;="&amp;$A1078,Despesas!$L:$L,"&gt;="&amp;$A1078,Despesas!$C:$C,D$1,Despesas!$M:$M,$B1078)</f>
        <v>0</v>
      </c>
      <c r="E1078" s="18">
        <f>SUMIFS(Despesas!$F:$F,Despesas!$J:$J,"&lt;="&amp;$A1078,Despesas!$L:$L,"&gt;="&amp;$A1078,Despesas!$C:$C,E$1,Despesas!$M:$M,"Mensal")+SUMIFS(Despesas!$F:$F,Despesas!$J:$J,"&lt;="&amp;$A1078,Despesas!$L:$L,"&gt;="&amp;$A1078,Despesas!$C:$C,E$1,Despesas!$M:$M,$B1078)</f>
        <v>0</v>
      </c>
      <c r="F1078" s="5">
        <f>SUMIFS(Despesas!$F:$F,Despesas!$J:$J,"&lt;="&amp;$A1078,Despesas!$L:$L,"&gt;="&amp;$A1078,Despesas!$C:$C,F$1,Despesas!$M:$M,"Mensal")+SUMIFS(Despesas!$F:$F,Despesas!$J:$J,"&lt;="&amp;$A1078,Despesas!$L:$L,"&gt;="&amp;$A1078,Despesas!$C:$C,F$1,Despesas!$M:$M,$B1078)</f>
        <v>0</v>
      </c>
      <c r="G1078" s="5">
        <f>SUMIFS(Despesas!$F:$F,Despesas!$J:$J,"&lt;="&amp;$A1078,Despesas!$L:$L,"&gt;="&amp;$A1078,Despesas!$C:$C,G$1,Despesas!$M:$M,"Mensal")+SUMIFS(Despesas!$F:$F,Despesas!$J:$J,"&lt;="&amp;$A1078,Despesas!$L:$L,"&gt;="&amp;$A1078,Despesas!$C:$C,G$1,Despesas!$M:$M,$B1078)</f>
        <v>0</v>
      </c>
      <c r="H1078" s="18">
        <f>SUMIFS(Despesas!$F:$F,Despesas!$J:$J,"&lt;="&amp;$A1078,Despesas!$L:$L,"&gt;="&amp;$A1078,Despesas!$C:$C,H$1,Despesas!$M:$M,"Mensal")+SUMIFS(Despesas!$F:$F,Despesas!$J:$J,"&lt;="&amp;$A1078,Despesas!$L:$L,"&gt;="&amp;$A1078,Despesas!$C:$C,H$1,Despesas!$M:$M,$B1078)</f>
        <v>0</v>
      </c>
      <c r="I1078" s="18">
        <f>IF(Imóveis!$F$2="PRICE",IF(AND(Dados!$A1078&gt;=Imóveis!$Q$2,Dados!$A1078&lt;=Imóveis!$T$2),Imóveis!$U$2,0),IF((IF(AND(Dados!$A1078&gt;=Imóveis!$Q$2,Dados!$A1078&lt;=Imóveis!$T$2),Imóveis!$S$2-(DATEDIF(Imóveis!$Q$2,Dados!$A1078,"m")),0))=0,0,((Imóveis!$N$2/Imóveis!$S$2)+((Imóveis!$N$2-((Imóveis!$S$2-(IF(AND(Dados!$A1078&gt;=Imóveis!$Q$2,Dados!$A1078&lt;=Imóveis!$T$2),Imóveis!$S$2-(DATEDIF(Imóveis!$Q$2,Dados!$A1078,"m")),)))*(Imóveis!$N$2/Imóveis!$S$2)))*Imóveis!$P$2))))*IF(AND(Imóveis!$E$2&gt;0,Dados!$A1078&gt;Imóveis!$E$2),0,1)</f>
        <v>0</v>
      </c>
      <c r="J1078" s="18">
        <f>IF(Imóveis!$F$3="PRICE",IF(AND(Dados!$A1078&gt;=Imóveis!$Q$3,Dados!$A1078&lt;=Imóveis!$T$3),Imóveis!$U$3,0),IF((IF(AND(Dados!$A1078&gt;=Imóveis!$Q$3,Dados!$A1078&lt;=Imóveis!$T$3),Imóveis!$S$3-(DATEDIF(Imóveis!$Q$3,Dados!$A1078,"m")),0))=0,0,((Imóveis!$N$3/Imóveis!$S$3)+((Imóveis!$N$3-((Imóveis!$S$3-(IF(AND(Dados!$A1078&gt;=Imóveis!$Q$3,Dados!$A1078&lt;=Imóveis!$T$3),Imóveis!$S$3-(DATEDIF(Imóveis!$Q$3,Dados!$A1078,"m")),)))*(Imóveis!$N$3/Imóveis!$S$3)))*Imóveis!$P$3))))*IF(AND(Imóveis!$E$3&gt;0,Dados!$A1078&gt;Imóveis!$E$3),0,1)</f>
        <v>0</v>
      </c>
      <c r="K1078" s="18">
        <f>IF(Imóveis!$F$4="PRICE",IF(AND(Dados!$A1078&gt;=Imóveis!$Q$4,Dados!$A1078&lt;=Imóveis!$T$4),Imóveis!$U$4,0),IF((IF(AND(Dados!$A1078&gt;=Imóveis!$Q$4,Dados!$A1078&lt;=Imóveis!$T$4),Imóveis!$S$4-(DATEDIF(Imóveis!$Q$4,Dados!$A1078,"m")),0))=0,0,((Imóveis!$N$4/Imóveis!$S$4)+((Imóveis!$N$4-((Imóveis!$S$4-(IF(AND(Dados!$A1078&gt;=Imóveis!$Q$4,Dados!$A1078&lt;=Imóveis!$T$4),Imóveis!$S$4-(DATEDIF(Imóveis!$Q$4,Dados!$A1078,"m")),)))*(Imóveis!$N$4/Imóveis!$S$4)))*Imóveis!$P$4))))*IF(AND(Imóveis!$E$4&gt;0,Dados!$A1078&gt;Imóveis!$E$4),0,1)</f>
        <v>0</v>
      </c>
      <c r="L1078" s="18">
        <f>IF(Imóveis!$F$5="PRICE",IF(AND(Dados!$A1078&gt;=Imóveis!$Q$5,Dados!$A1078&lt;=Imóveis!$T$5),Imóveis!$U$5,0),IF((IF(AND(Dados!$A1078&gt;=Imóveis!$Q$5,Dados!$A1078&lt;=Imóveis!$T$5),Imóveis!$S$5-(DATEDIF(Imóveis!$Q$5,Dados!$A1078,"m")),0))=0,0,((Imóveis!$N$5/Imóveis!$S$5)+((Imóveis!$N$5-((Imóveis!$S$5-(IF(AND(Dados!$A1078 &gt;=Imóveis!$Q$5,Dados!$A1078&lt;=Imóveis!$T$5),Imóveis!$S$5-(DATEDIF(Imóveis!$Q$5,Dados!$A1078,"m")),)))*(Imóveis!$N$5/Imóveis!$S$5)))*Imóveis!$P$5))))*IF(AND(Imóveis!$E$5&gt;0,Dados!$A1078&gt;Imóveis!$E$5),0,1)*Imóveis!$I$5</f>
        <v>0</v>
      </c>
      <c r="M1078" s="18">
        <f>IF(Imóveis!$F$6="PRICE",IF(AND(Dados!$A1078&gt;=Imóveis!$Q$6,Dados!$A1078&lt;=Imóveis!$T$6),Imóveis!$U$6,0),IF((IF(AND(Dados!$A1078&gt;=Imóveis!$Q$6,Dados!$A1078&lt;=Imóveis!$T$6),Imóveis!$S$6-(DATEDIF(Imóveis!$Q$6,Dados!$A1078,"m")),0))=0,0,((Imóveis!$N$6/Imóveis!$S$6)+((Imóveis!$N$6-((Imóveis!$S$6-(IF(AND(Dados!$A1078&gt;=Imóveis!$Q$6,Dados!$A1078&lt;=Imóveis!$T$6),Imóveis!$S$6-(DATEDIF(Imóveis!$Q$6,Dados!$A1078,"m")),)))*(Imóveis!$N$6/Imóveis!$S$6)))*Imóveis!$P$6))))*IF(AND(Imóveis!$E$6&gt;0,Dados!$A1078&gt;Imóveis!$E$6),0,1)*Imóveis!$I$6</f>
        <v>0</v>
      </c>
      <c r="N1078" s="18">
        <f t="shared" si="133"/>
        <v>0</v>
      </c>
      <c r="O1078" s="18">
        <f>SUMIFS(Receitas!$F:$F,Receitas!$J:$J,"&lt;="&amp;$A1078,Receitas!$L:$L,"&gt;="&amp;$A1078,Receitas!$C:$C,O$1,Receitas!$M:$M,"Mensal")+SUMIFS(Receitas!$F:$F,Receitas!$J:$J,"&lt;="&amp;$A1078,Receitas!$L:$L,"&gt;="&amp;$A1078,Receitas!$C:$C,O$1,Receitas!$M:$M,$B1078)</f>
        <v>0</v>
      </c>
      <c r="P1078" s="18">
        <f>SUMIFS(Receitas!$F:$F,Receitas!$J:$J,"&lt;="&amp;$A1078,Receitas!$L:$L,"&gt;="&amp;$A1078,Receitas!$C:$C,P$1,Receitas!$M:$M,"Mensal")+SUMIFS(Receitas!$F:$F,Receitas!$J:$J,"&lt;="&amp;$A1078,Receitas!$L:$L,"&gt;="&amp;$A1078,Receitas!$C:$C,P$1,Receitas!$M:$M,$B1078)</f>
        <v>0</v>
      </c>
      <c r="Q1078" s="18">
        <f>SUMIFS(Receitas!$F:$F,Receitas!$J:$J,"&lt;="&amp;$A1078,Receitas!$L:$L,"&gt;="&amp;$A1078,Receitas!$C:$C,Q$1,Receitas!$M:$M,"Mensal")+SUMIFS(Receitas!$F:$F,Receitas!$J:$J,"&lt;="&amp;$A1078,Receitas!$L:$L,"&gt;="&amp;$A1078,Receitas!$C:$C,Q$1,Receitas!$M:$M,$B1078)</f>
        <v>0</v>
      </c>
      <c r="R1078" s="18" cm="1">
        <f t="array" ref="R1078">(IF(AND(Membros!$F$2="Sim",A1078&lt;=MAX(Membros!$E$2:$E$5)),Membros!K$2,IF(AND(A1078&gt;=Membros!J$2,A1078&lt;=MAX(Membros!$E$2:$E$5)),Membros!K$2,0))+IF(AND(Membros!$F$3="Sim",A1078&lt;=MAX(Membros!$E$2:$E$5)),Membros!K$3,IF(AND(A1078&gt;=Membros!J$3,A1078&lt;=MAX(Membros!$E$2:$E$5)),Membros!K$3,0)))*IF(AND(COUNTIFS(Tabela3[Tipo],"Provedor",Tabela3[Simulação Seguro],"Sim")=2,A1078&gt;=MAX(IF(Tabela3[Tipo]="Dependente",Tabela3[Expectativa de Vida (Data)]))),0,1)</f>
        <v>0</v>
      </c>
      <c r="S1078" s="18">
        <f t="shared" si="134"/>
        <v>0</v>
      </c>
      <c r="U1078" s="18">
        <f t="shared" ca="1" si="137"/>
        <v>159222437.28776792</v>
      </c>
      <c r="V1078" s="18">
        <f>SUMIF(Imóveis!E:E,Dados!A:A,Imóveis!Z:Z)-SUMIF(Imóveis!E:E,Dados!A:A,Imóveis!Y:Y)</f>
        <v>0</v>
      </c>
      <c r="W1078" s="18">
        <f>-SUMIF(Projetos!N:N,A1078,Projetos!F:F)</f>
        <v>0</v>
      </c>
      <c r="X1078" s="18">
        <f t="shared" si="131"/>
        <v>0</v>
      </c>
      <c r="Y1078" s="26">
        <f ca="1">(U1078*((Indicadores_Economicos!D$2+1)^(1/12)-1))</f>
        <v>521252.82716763765</v>
      </c>
      <c r="Z1078" s="18">
        <f t="shared" ca="1" si="135"/>
        <v>159743690.11493555</v>
      </c>
      <c r="AA1078" s="18">
        <f ca="1">Auxiliar_Projetos!E1078</f>
        <v>1.3167956362625573E-8</v>
      </c>
      <c r="AB1078" s="18">
        <f ca="1">Auxiliar_Projetos!K1078</f>
        <v>1.0129197202019667E-8</v>
      </c>
      <c r="AC1078" s="18">
        <f ca="1">IF(Z1078-AA1078-AB1078&gt;Investimentos!$C$14,Investimentos!$C$14,IF(Z1078-AA1078-AB1078&lt;Investimentos!$C$14,Z1078-AA1078-AB1078,0))</f>
        <v>300000</v>
      </c>
      <c r="AD1078" s="18">
        <f t="shared" ca="1" si="136"/>
        <v>159443690.11493555</v>
      </c>
      <c r="AE1078" s="18"/>
    </row>
    <row r="1079" spans="1:31" x14ac:dyDescent="0.2">
      <c r="A1079" s="4">
        <v>78437</v>
      </c>
      <c r="B1079" s="5" t="str">
        <f t="shared" si="132"/>
        <v>outubro</v>
      </c>
      <c r="C1079" s="5" t="str">
        <f t="shared" si="138"/>
        <v>2114</v>
      </c>
      <c r="D1079" s="5">
        <f>SUMIFS(Despesas!$F:$F,Despesas!$J:$J,"&lt;="&amp;$A1079,Despesas!$L:$L,"&gt;="&amp;$A1079,Despesas!$C:$C,D$1,Despesas!$M:$M,"Mensal")+SUMIFS(Despesas!$F:$F,Despesas!$J:$J,"&lt;="&amp;$A1079,Despesas!$L:$L,"&gt;="&amp;$A1079,Despesas!$C:$C,D$1,Despesas!$M:$M,$B1079)</f>
        <v>0</v>
      </c>
      <c r="E1079" s="18">
        <f>SUMIFS(Despesas!$F:$F,Despesas!$J:$J,"&lt;="&amp;$A1079,Despesas!$L:$L,"&gt;="&amp;$A1079,Despesas!$C:$C,E$1,Despesas!$M:$M,"Mensal")+SUMIFS(Despesas!$F:$F,Despesas!$J:$J,"&lt;="&amp;$A1079,Despesas!$L:$L,"&gt;="&amp;$A1079,Despesas!$C:$C,E$1,Despesas!$M:$M,$B1079)</f>
        <v>0</v>
      </c>
      <c r="F1079" s="5">
        <f>SUMIFS(Despesas!$F:$F,Despesas!$J:$J,"&lt;="&amp;$A1079,Despesas!$L:$L,"&gt;="&amp;$A1079,Despesas!$C:$C,F$1,Despesas!$M:$M,"Mensal")+SUMIFS(Despesas!$F:$F,Despesas!$J:$J,"&lt;="&amp;$A1079,Despesas!$L:$L,"&gt;="&amp;$A1079,Despesas!$C:$C,F$1,Despesas!$M:$M,$B1079)</f>
        <v>0</v>
      </c>
      <c r="G1079" s="5">
        <f>SUMIFS(Despesas!$F:$F,Despesas!$J:$J,"&lt;="&amp;$A1079,Despesas!$L:$L,"&gt;="&amp;$A1079,Despesas!$C:$C,G$1,Despesas!$M:$M,"Mensal")+SUMIFS(Despesas!$F:$F,Despesas!$J:$J,"&lt;="&amp;$A1079,Despesas!$L:$L,"&gt;="&amp;$A1079,Despesas!$C:$C,G$1,Despesas!$M:$M,$B1079)</f>
        <v>0</v>
      </c>
      <c r="H1079" s="18">
        <f>SUMIFS(Despesas!$F:$F,Despesas!$J:$J,"&lt;="&amp;$A1079,Despesas!$L:$L,"&gt;="&amp;$A1079,Despesas!$C:$C,H$1,Despesas!$M:$M,"Mensal")+SUMIFS(Despesas!$F:$F,Despesas!$J:$J,"&lt;="&amp;$A1079,Despesas!$L:$L,"&gt;="&amp;$A1079,Despesas!$C:$C,H$1,Despesas!$M:$M,$B1079)</f>
        <v>0</v>
      </c>
      <c r="I1079" s="18">
        <f>IF(Imóveis!$F$2="PRICE",IF(AND(Dados!$A1079&gt;=Imóveis!$Q$2,Dados!$A1079&lt;=Imóveis!$T$2),Imóveis!$U$2,0),IF((IF(AND(Dados!$A1079&gt;=Imóveis!$Q$2,Dados!$A1079&lt;=Imóveis!$T$2),Imóveis!$S$2-(DATEDIF(Imóveis!$Q$2,Dados!$A1079,"m")),0))=0,0,((Imóveis!$N$2/Imóveis!$S$2)+((Imóveis!$N$2-((Imóveis!$S$2-(IF(AND(Dados!$A1079&gt;=Imóveis!$Q$2,Dados!$A1079&lt;=Imóveis!$T$2),Imóveis!$S$2-(DATEDIF(Imóveis!$Q$2,Dados!$A1079,"m")),)))*(Imóveis!$N$2/Imóveis!$S$2)))*Imóveis!$P$2))))*IF(AND(Imóveis!$E$2&gt;0,Dados!$A1079&gt;Imóveis!$E$2),0,1)</f>
        <v>0</v>
      </c>
      <c r="J1079" s="18">
        <f>IF(Imóveis!$F$3="PRICE",IF(AND(Dados!$A1079&gt;=Imóveis!$Q$3,Dados!$A1079&lt;=Imóveis!$T$3),Imóveis!$U$3,0),IF((IF(AND(Dados!$A1079&gt;=Imóveis!$Q$3,Dados!$A1079&lt;=Imóveis!$T$3),Imóveis!$S$3-(DATEDIF(Imóveis!$Q$3,Dados!$A1079,"m")),0))=0,0,((Imóveis!$N$3/Imóveis!$S$3)+((Imóveis!$N$3-((Imóveis!$S$3-(IF(AND(Dados!$A1079&gt;=Imóveis!$Q$3,Dados!$A1079&lt;=Imóveis!$T$3),Imóveis!$S$3-(DATEDIF(Imóveis!$Q$3,Dados!$A1079,"m")),)))*(Imóveis!$N$3/Imóveis!$S$3)))*Imóveis!$P$3))))*IF(AND(Imóveis!$E$3&gt;0,Dados!$A1079&gt;Imóveis!$E$3),0,1)</f>
        <v>0</v>
      </c>
      <c r="K1079" s="18">
        <f>IF(Imóveis!$F$4="PRICE",IF(AND(Dados!$A1079&gt;=Imóveis!$Q$4,Dados!$A1079&lt;=Imóveis!$T$4),Imóveis!$U$4,0),IF((IF(AND(Dados!$A1079&gt;=Imóveis!$Q$4,Dados!$A1079&lt;=Imóveis!$T$4),Imóveis!$S$4-(DATEDIF(Imóveis!$Q$4,Dados!$A1079,"m")),0))=0,0,((Imóveis!$N$4/Imóveis!$S$4)+((Imóveis!$N$4-((Imóveis!$S$4-(IF(AND(Dados!$A1079&gt;=Imóveis!$Q$4,Dados!$A1079&lt;=Imóveis!$T$4),Imóveis!$S$4-(DATEDIF(Imóveis!$Q$4,Dados!$A1079,"m")),)))*(Imóveis!$N$4/Imóveis!$S$4)))*Imóveis!$P$4))))*IF(AND(Imóveis!$E$4&gt;0,Dados!$A1079&gt;Imóveis!$E$4),0,1)</f>
        <v>0</v>
      </c>
      <c r="L1079" s="18">
        <f>IF(Imóveis!$F$5="PRICE",IF(AND(Dados!$A1079&gt;=Imóveis!$Q$5,Dados!$A1079&lt;=Imóveis!$T$5),Imóveis!$U$5,0),IF((IF(AND(Dados!$A1079&gt;=Imóveis!$Q$5,Dados!$A1079&lt;=Imóveis!$T$5),Imóveis!$S$5-(DATEDIF(Imóveis!$Q$5,Dados!$A1079,"m")),0))=0,0,((Imóveis!$N$5/Imóveis!$S$5)+((Imóveis!$N$5-((Imóveis!$S$5-(IF(AND(Dados!$A1079 &gt;=Imóveis!$Q$5,Dados!$A1079&lt;=Imóveis!$T$5),Imóveis!$S$5-(DATEDIF(Imóveis!$Q$5,Dados!$A1079,"m")),)))*(Imóveis!$N$5/Imóveis!$S$5)))*Imóveis!$P$5))))*IF(AND(Imóveis!$E$5&gt;0,Dados!$A1079&gt;Imóveis!$E$5),0,1)*Imóveis!$I$5</f>
        <v>0</v>
      </c>
      <c r="M1079" s="18">
        <f>IF(Imóveis!$F$6="PRICE",IF(AND(Dados!$A1079&gt;=Imóveis!$Q$6,Dados!$A1079&lt;=Imóveis!$T$6),Imóveis!$U$6,0),IF((IF(AND(Dados!$A1079&gt;=Imóveis!$Q$6,Dados!$A1079&lt;=Imóveis!$T$6),Imóveis!$S$6-(DATEDIF(Imóveis!$Q$6,Dados!$A1079,"m")),0))=0,0,((Imóveis!$N$6/Imóveis!$S$6)+((Imóveis!$N$6-((Imóveis!$S$6-(IF(AND(Dados!$A1079&gt;=Imóveis!$Q$6,Dados!$A1079&lt;=Imóveis!$T$6),Imóveis!$S$6-(DATEDIF(Imóveis!$Q$6,Dados!$A1079,"m")),)))*(Imóveis!$N$6/Imóveis!$S$6)))*Imóveis!$P$6))))*IF(AND(Imóveis!$E$6&gt;0,Dados!$A1079&gt;Imóveis!$E$6),0,1)*Imóveis!$I$6</f>
        <v>0</v>
      </c>
      <c r="N1079" s="18">
        <f t="shared" si="133"/>
        <v>0</v>
      </c>
      <c r="O1079" s="18">
        <f>SUMIFS(Receitas!$F:$F,Receitas!$J:$J,"&lt;="&amp;$A1079,Receitas!$L:$L,"&gt;="&amp;$A1079,Receitas!$C:$C,O$1,Receitas!$M:$M,"Mensal")+SUMIFS(Receitas!$F:$F,Receitas!$J:$J,"&lt;="&amp;$A1079,Receitas!$L:$L,"&gt;="&amp;$A1079,Receitas!$C:$C,O$1,Receitas!$M:$M,$B1079)</f>
        <v>0</v>
      </c>
      <c r="P1079" s="18">
        <f>SUMIFS(Receitas!$F:$F,Receitas!$J:$J,"&lt;="&amp;$A1079,Receitas!$L:$L,"&gt;="&amp;$A1079,Receitas!$C:$C,P$1,Receitas!$M:$M,"Mensal")+SUMIFS(Receitas!$F:$F,Receitas!$J:$J,"&lt;="&amp;$A1079,Receitas!$L:$L,"&gt;="&amp;$A1079,Receitas!$C:$C,P$1,Receitas!$M:$M,$B1079)</f>
        <v>0</v>
      </c>
      <c r="Q1079" s="18">
        <f>SUMIFS(Receitas!$F:$F,Receitas!$J:$J,"&lt;="&amp;$A1079,Receitas!$L:$L,"&gt;="&amp;$A1079,Receitas!$C:$C,Q$1,Receitas!$M:$M,"Mensal")+SUMIFS(Receitas!$F:$F,Receitas!$J:$J,"&lt;="&amp;$A1079,Receitas!$L:$L,"&gt;="&amp;$A1079,Receitas!$C:$C,Q$1,Receitas!$M:$M,$B1079)</f>
        <v>0</v>
      </c>
      <c r="R1079" s="18" cm="1">
        <f t="array" ref="R1079">(IF(AND(Membros!$F$2="Sim",A1079&lt;=MAX(Membros!$E$2:$E$5)),Membros!K$2,IF(AND(A1079&gt;=Membros!J$2,A1079&lt;=MAX(Membros!$E$2:$E$5)),Membros!K$2,0))+IF(AND(Membros!$F$3="Sim",A1079&lt;=MAX(Membros!$E$2:$E$5)),Membros!K$3,IF(AND(A1079&gt;=Membros!J$3,A1079&lt;=MAX(Membros!$E$2:$E$5)),Membros!K$3,0)))*IF(AND(COUNTIFS(Tabela3[Tipo],"Provedor",Tabela3[Simulação Seguro],"Sim")=2,A1079&gt;=MAX(IF(Tabela3[Tipo]="Dependente",Tabela3[Expectativa de Vida (Data)]))),0,1)</f>
        <v>0</v>
      </c>
      <c r="S1079" s="18">
        <f t="shared" si="134"/>
        <v>0</v>
      </c>
      <c r="U1079" s="18">
        <f t="shared" ca="1" si="137"/>
        <v>159743690.11493555</v>
      </c>
      <c r="V1079" s="18">
        <f>SUMIF(Imóveis!E:E,Dados!A:A,Imóveis!Z:Z)-SUMIF(Imóveis!E:E,Dados!A:A,Imóveis!Y:Y)</f>
        <v>0</v>
      </c>
      <c r="W1079" s="18">
        <f>-SUMIF(Projetos!N:N,A1079,Projetos!F:F)</f>
        <v>0</v>
      </c>
      <c r="X1079" s="18">
        <f t="shared" si="131"/>
        <v>0</v>
      </c>
      <c r="Y1079" s="26">
        <f ca="1">(U1079*((Indicadores_Economicos!D$2+1)^(1/12)-1))</f>
        <v>522959.27328451996</v>
      </c>
      <c r="Z1079" s="18">
        <f t="shared" ca="1" si="135"/>
        <v>160266649.38822007</v>
      </c>
      <c r="AA1079" s="18">
        <f ca="1">Auxiliar_Projetos!E1079</f>
        <v>1.321106482522016E-8</v>
      </c>
      <c r="AB1079" s="18">
        <f ca="1">Auxiliar_Projetos!K1079</f>
        <v>1.0162357557861656E-8</v>
      </c>
      <c r="AC1079" s="18">
        <f ca="1">IF(Z1079-AA1079-AB1079&gt;Investimentos!$C$14,Investimentos!$C$14,IF(Z1079-AA1079-AB1079&lt;Investimentos!$C$14,Z1079-AA1079-AB1079,0))</f>
        <v>300000</v>
      </c>
      <c r="AD1079" s="18">
        <f t="shared" ca="1" si="136"/>
        <v>159966649.38822007</v>
      </c>
      <c r="AE1079" s="18"/>
    </row>
    <row r="1080" spans="1:31" x14ac:dyDescent="0.2">
      <c r="A1080" s="4">
        <v>78468</v>
      </c>
      <c r="B1080" s="5" t="str">
        <f t="shared" si="132"/>
        <v>novembro</v>
      </c>
      <c r="C1080" s="5" t="str">
        <f t="shared" si="138"/>
        <v>2114</v>
      </c>
      <c r="D1080" s="5">
        <f>SUMIFS(Despesas!$F:$F,Despesas!$J:$J,"&lt;="&amp;$A1080,Despesas!$L:$L,"&gt;="&amp;$A1080,Despesas!$C:$C,D$1,Despesas!$M:$M,"Mensal")+SUMIFS(Despesas!$F:$F,Despesas!$J:$J,"&lt;="&amp;$A1080,Despesas!$L:$L,"&gt;="&amp;$A1080,Despesas!$C:$C,D$1,Despesas!$M:$M,$B1080)</f>
        <v>0</v>
      </c>
      <c r="E1080" s="18">
        <f>SUMIFS(Despesas!$F:$F,Despesas!$J:$J,"&lt;="&amp;$A1080,Despesas!$L:$L,"&gt;="&amp;$A1080,Despesas!$C:$C,E$1,Despesas!$M:$M,"Mensal")+SUMIFS(Despesas!$F:$F,Despesas!$J:$J,"&lt;="&amp;$A1080,Despesas!$L:$L,"&gt;="&amp;$A1080,Despesas!$C:$C,E$1,Despesas!$M:$M,$B1080)</f>
        <v>0</v>
      </c>
      <c r="F1080" s="5">
        <f>SUMIFS(Despesas!$F:$F,Despesas!$J:$J,"&lt;="&amp;$A1080,Despesas!$L:$L,"&gt;="&amp;$A1080,Despesas!$C:$C,F$1,Despesas!$M:$M,"Mensal")+SUMIFS(Despesas!$F:$F,Despesas!$J:$J,"&lt;="&amp;$A1080,Despesas!$L:$L,"&gt;="&amp;$A1080,Despesas!$C:$C,F$1,Despesas!$M:$M,$B1080)</f>
        <v>0</v>
      </c>
      <c r="G1080" s="5">
        <f>SUMIFS(Despesas!$F:$F,Despesas!$J:$J,"&lt;="&amp;$A1080,Despesas!$L:$L,"&gt;="&amp;$A1080,Despesas!$C:$C,G$1,Despesas!$M:$M,"Mensal")+SUMIFS(Despesas!$F:$F,Despesas!$J:$J,"&lt;="&amp;$A1080,Despesas!$L:$L,"&gt;="&amp;$A1080,Despesas!$C:$C,G$1,Despesas!$M:$M,$B1080)</f>
        <v>0</v>
      </c>
      <c r="H1080" s="18">
        <f>SUMIFS(Despesas!$F:$F,Despesas!$J:$J,"&lt;="&amp;$A1080,Despesas!$L:$L,"&gt;="&amp;$A1080,Despesas!$C:$C,H$1,Despesas!$M:$M,"Mensal")+SUMIFS(Despesas!$F:$F,Despesas!$J:$J,"&lt;="&amp;$A1080,Despesas!$L:$L,"&gt;="&amp;$A1080,Despesas!$C:$C,H$1,Despesas!$M:$M,$B1080)</f>
        <v>0</v>
      </c>
      <c r="I1080" s="18">
        <f>IF(Imóveis!$F$2="PRICE",IF(AND(Dados!$A1080&gt;=Imóveis!$Q$2,Dados!$A1080&lt;=Imóveis!$T$2),Imóveis!$U$2,0),IF((IF(AND(Dados!$A1080&gt;=Imóveis!$Q$2,Dados!$A1080&lt;=Imóveis!$T$2),Imóveis!$S$2-(DATEDIF(Imóveis!$Q$2,Dados!$A1080,"m")),0))=0,0,((Imóveis!$N$2/Imóveis!$S$2)+((Imóveis!$N$2-((Imóveis!$S$2-(IF(AND(Dados!$A1080&gt;=Imóveis!$Q$2,Dados!$A1080&lt;=Imóveis!$T$2),Imóveis!$S$2-(DATEDIF(Imóveis!$Q$2,Dados!$A1080,"m")),)))*(Imóveis!$N$2/Imóveis!$S$2)))*Imóveis!$P$2))))*IF(AND(Imóveis!$E$2&gt;0,Dados!$A1080&gt;Imóveis!$E$2),0,1)</f>
        <v>0</v>
      </c>
      <c r="J1080" s="18">
        <f>IF(Imóveis!$F$3="PRICE",IF(AND(Dados!$A1080&gt;=Imóveis!$Q$3,Dados!$A1080&lt;=Imóveis!$T$3),Imóveis!$U$3,0),IF((IF(AND(Dados!$A1080&gt;=Imóveis!$Q$3,Dados!$A1080&lt;=Imóveis!$T$3),Imóveis!$S$3-(DATEDIF(Imóveis!$Q$3,Dados!$A1080,"m")),0))=0,0,((Imóveis!$N$3/Imóveis!$S$3)+((Imóveis!$N$3-((Imóveis!$S$3-(IF(AND(Dados!$A1080&gt;=Imóveis!$Q$3,Dados!$A1080&lt;=Imóveis!$T$3),Imóveis!$S$3-(DATEDIF(Imóveis!$Q$3,Dados!$A1080,"m")),)))*(Imóveis!$N$3/Imóveis!$S$3)))*Imóveis!$P$3))))*IF(AND(Imóveis!$E$3&gt;0,Dados!$A1080&gt;Imóveis!$E$3),0,1)</f>
        <v>0</v>
      </c>
      <c r="K1080" s="18">
        <f>IF(Imóveis!$F$4="PRICE",IF(AND(Dados!$A1080&gt;=Imóveis!$Q$4,Dados!$A1080&lt;=Imóveis!$T$4),Imóveis!$U$4,0),IF((IF(AND(Dados!$A1080&gt;=Imóveis!$Q$4,Dados!$A1080&lt;=Imóveis!$T$4),Imóveis!$S$4-(DATEDIF(Imóveis!$Q$4,Dados!$A1080,"m")),0))=0,0,((Imóveis!$N$4/Imóveis!$S$4)+((Imóveis!$N$4-((Imóveis!$S$4-(IF(AND(Dados!$A1080&gt;=Imóveis!$Q$4,Dados!$A1080&lt;=Imóveis!$T$4),Imóveis!$S$4-(DATEDIF(Imóveis!$Q$4,Dados!$A1080,"m")),)))*(Imóveis!$N$4/Imóveis!$S$4)))*Imóveis!$P$4))))*IF(AND(Imóveis!$E$4&gt;0,Dados!$A1080&gt;Imóveis!$E$4),0,1)</f>
        <v>0</v>
      </c>
      <c r="L1080" s="18">
        <f>IF(Imóveis!$F$5="PRICE",IF(AND(Dados!$A1080&gt;=Imóveis!$Q$5,Dados!$A1080&lt;=Imóveis!$T$5),Imóveis!$U$5,0),IF((IF(AND(Dados!$A1080&gt;=Imóveis!$Q$5,Dados!$A1080&lt;=Imóveis!$T$5),Imóveis!$S$5-(DATEDIF(Imóveis!$Q$5,Dados!$A1080,"m")),0))=0,0,((Imóveis!$N$5/Imóveis!$S$5)+((Imóveis!$N$5-((Imóveis!$S$5-(IF(AND(Dados!$A1080 &gt;=Imóveis!$Q$5,Dados!$A1080&lt;=Imóveis!$T$5),Imóveis!$S$5-(DATEDIF(Imóveis!$Q$5,Dados!$A1080,"m")),)))*(Imóveis!$N$5/Imóveis!$S$5)))*Imóveis!$P$5))))*IF(AND(Imóveis!$E$5&gt;0,Dados!$A1080&gt;Imóveis!$E$5),0,1)*Imóveis!$I$5</f>
        <v>0</v>
      </c>
      <c r="M1080" s="18">
        <f>IF(Imóveis!$F$6="PRICE",IF(AND(Dados!$A1080&gt;=Imóveis!$Q$6,Dados!$A1080&lt;=Imóveis!$T$6),Imóveis!$U$6,0),IF((IF(AND(Dados!$A1080&gt;=Imóveis!$Q$6,Dados!$A1080&lt;=Imóveis!$T$6),Imóveis!$S$6-(DATEDIF(Imóveis!$Q$6,Dados!$A1080,"m")),0))=0,0,((Imóveis!$N$6/Imóveis!$S$6)+((Imóveis!$N$6-((Imóveis!$S$6-(IF(AND(Dados!$A1080&gt;=Imóveis!$Q$6,Dados!$A1080&lt;=Imóveis!$T$6),Imóveis!$S$6-(DATEDIF(Imóveis!$Q$6,Dados!$A1080,"m")),)))*(Imóveis!$N$6/Imóveis!$S$6)))*Imóveis!$P$6))))*IF(AND(Imóveis!$E$6&gt;0,Dados!$A1080&gt;Imóveis!$E$6),0,1)*Imóveis!$I$6</f>
        <v>0</v>
      </c>
      <c r="N1080" s="18">
        <f t="shared" si="133"/>
        <v>0</v>
      </c>
      <c r="O1080" s="18">
        <f>SUMIFS(Receitas!$F:$F,Receitas!$J:$J,"&lt;="&amp;$A1080,Receitas!$L:$L,"&gt;="&amp;$A1080,Receitas!$C:$C,O$1,Receitas!$M:$M,"Mensal")+SUMIFS(Receitas!$F:$F,Receitas!$J:$J,"&lt;="&amp;$A1080,Receitas!$L:$L,"&gt;="&amp;$A1080,Receitas!$C:$C,O$1,Receitas!$M:$M,$B1080)</f>
        <v>0</v>
      </c>
      <c r="P1080" s="18">
        <f>SUMIFS(Receitas!$F:$F,Receitas!$J:$J,"&lt;="&amp;$A1080,Receitas!$L:$L,"&gt;="&amp;$A1080,Receitas!$C:$C,P$1,Receitas!$M:$M,"Mensal")+SUMIFS(Receitas!$F:$F,Receitas!$J:$J,"&lt;="&amp;$A1080,Receitas!$L:$L,"&gt;="&amp;$A1080,Receitas!$C:$C,P$1,Receitas!$M:$M,$B1080)</f>
        <v>0</v>
      </c>
      <c r="Q1080" s="18">
        <f>SUMIFS(Receitas!$F:$F,Receitas!$J:$J,"&lt;="&amp;$A1080,Receitas!$L:$L,"&gt;="&amp;$A1080,Receitas!$C:$C,Q$1,Receitas!$M:$M,"Mensal")+SUMIFS(Receitas!$F:$F,Receitas!$J:$J,"&lt;="&amp;$A1080,Receitas!$L:$L,"&gt;="&amp;$A1080,Receitas!$C:$C,Q$1,Receitas!$M:$M,$B1080)</f>
        <v>0</v>
      </c>
      <c r="R1080" s="18" cm="1">
        <f t="array" ref="R1080">(IF(AND(Membros!$F$2="Sim",A1080&lt;=MAX(Membros!$E$2:$E$5)),Membros!K$2,IF(AND(A1080&gt;=Membros!J$2,A1080&lt;=MAX(Membros!$E$2:$E$5)),Membros!K$2,0))+IF(AND(Membros!$F$3="Sim",A1080&lt;=MAX(Membros!$E$2:$E$5)),Membros!K$3,IF(AND(A1080&gt;=Membros!J$3,A1080&lt;=MAX(Membros!$E$2:$E$5)),Membros!K$3,0)))*IF(AND(COUNTIFS(Tabela3[Tipo],"Provedor",Tabela3[Simulação Seguro],"Sim")=2,A1080&gt;=MAX(IF(Tabela3[Tipo]="Dependente",Tabela3[Expectativa de Vida (Data)]))),0,1)</f>
        <v>0</v>
      </c>
      <c r="S1080" s="18">
        <f t="shared" si="134"/>
        <v>0</v>
      </c>
      <c r="U1080" s="18">
        <f t="shared" ca="1" si="137"/>
        <v>160266649.38822007</v>
      </c>
      <c r="V1080" s="18">
        <f>SUMIF(Imóveis!E:E,Dados!A:A,Imóveis!Z:Z)-SUMIF(Imóveis!E:E,Dados!A:A,Imóveis!Y:Y)</f>
        <v>0</v>
      </c>
      <c r="W1080" s="18">
        <f>-SUMIF(Projetos!N:N,A1080,Projetos!F:F)</f>
        <v>0</v>
      </c>
      <c r="X1080" s="18">
        <f t="shared" si="131"/>
        <v>0</v>
      </c>
      <c r="Y1080" s="26">
        <f ca="1">(U1080*((Indicadores_Economicos!D$2+1)^(1/12)-1))</f>
        <v>524671.30586194142</v>
      </c>
      <c r="Z1080" s="18">
        <f t="shared" ca="1" si="135"/>
        <v>160791320.69408202</v>
      </c>
      <c r="AA1080" s="18">
        <f ca="1">Auxiliar_Projetos!E1080</f>
        <v>1.3254314413703693E-8</v>
      </c>
      <c r="AB1080" s="18">
        <f ca="1">Auxiliar_Projetos!K1080</f>
        <v>1.0195626472079758E-8</v>
      </c>
      <c r="AC1080" s="18">
        <f ca="1">IF(Z1080-AA1080-AB1080&gt;Investimentos!$C$14,Investimentos!$C$14,IF(Z1080-AA1080-AB1080&lt;Investimentos!$C$14,Z1080-AA1080-AB1080,0))</f>
        <v>300000</v>
      </c>
      <c r="AD1080" s="18">
        <f t="shared" ca="1" si="136"/>
        <v>160491320.69408202</v>
      </c>
      <c r="AE1080" s="18"/>
    </row>
    <row r="1081" spans="1:31" x14ac:dyDescent="0.2">
      <c r="A1081" s="4">
        <v>78498</v>
      </c>
      <c r="B1081" s="5" t="str">
        <f t="shared" si="132"/>
        <v>dezembro</v>
      </c>
      <c r="C1081" s="5" t="str">
        <f t="shared" si="138"/>
        <v>2114</v>
      </c>
      <c r="D1081" s="5">
        <f>SUMIFS(Despesas!$F:$F,Despesas!$J:$J,"&lt;="&amp;$A1081,Despesas!$L:$L,"&gt;="&amp;$A1081,Despesas!$C:$C,D$1,Despesas!$M:$M,"Mensal")+SUMIFS(Despesas!$F:$F,Despesas!$J:$J,"&lt;="&amp;$A1081,Despesas!$L:$L,"&gt;="&amp;$A1081,Despesas!$C:$C,D$1,Despesas!$M:$M,$B1081)</f>
        <v>0</v>
      </c>
      <c r="E1081" s="18">
        <f>SUMIFS(Despesas!$F:$F,Despesas!$J:$J,"&lt;="&amp;$A1081,Despesas!$L:$L,"&gt;="&amp;$A1081,Despesas!$C:$C,E$1,Despesas!$M:$M,"Mensal")+SUMIFS(Despesas!$F:$F,Despesas!$J:$J,"&lt;="&amp;$A1081,Despesas!$L:$L,"&gt;="&amp;$A1081,Despesas!$C:$C,E$1,Despesas!$M:$M,$B1081)</f>
        <v>0</v>
      </c>
      <c r="F1081" s="5">
        <f>SUMIFS(Despesas!$F:$F,Despesas!$J:$J,"&lt;="&amp;$A1081,Despesas!$L:$L,"&gt;="&amp;$A1081,Despesas!$C:$C,F$1,Despesas!$M:$M,"Mensal")+SUMIFS(Despesas!$F:$F,Despesas!$J:$J,"&lt;="&amp;$A1081,Despesas!$L:$L,"&gt;="&amp;$A1081,Despesas!$C:$C,F$1,Despesas!$M:$M,$B1081)</f>
        <v>0</v>
      </c>
      <c r="G1081" s="5">
        <f>SUMIFS(Despesas!$F:$F,Despesas!$J:$J,"&lt;="&amp;$A1081,Despesas!$L:$L,"&gt;="&amp;$A1081,Despesas!$C:$C,G$1,Despesas!$M:$M,"Mensal")+SUMIFS(Despesas!$F:$F,Despesas!$J:$J,"&lt;="&amp;$A1081,Despesas!$L:$L,"&gt;="&amp;$A1081,Despesas!$C:$C,G$1,Despesas!$M:$M,$B1081)</f>
        <v>0</v>
      </c>
      <c r="H1081" s="18">
        <f>SUMIFS(Despesas!$F:$F,Despesas!$J:$J,"&lt;="&amp;$A1081,Despesas!$L:$L,"&gt;="&amp;$A1081,Despesas!$C:$C,H$1,Despesas!$M:$M,"Mensal")+SUMIFS(Despesas!$F:$F,Despesas!$J:$J,"&lt;="&amp;$A1081,Despesas!$L:$L,"&gt;="&amp;$A1081,Despesas!$C:$C,H$1,Despesas!$M:$M,$B1081)</f>
        <v>0</v>
      </c>
      <c r="I1081" s="18">
        <f>IF(Imóveis!$F$2="PRICE",IF(AND(Dados!$A1081&gt;=Imóveis!$Q$2,Dados!$A1081&lt;=Imóveis!$T$2),Imóveis!$U$2,0),IF((IF(AND(Dados!$A1081&gt;=Imóveis!$Q$2,Dados!$A1081&lt;=Imóveis!$T$2),Imóveis!$S$2-(DATEDIF(Imóveis!$Q$2,Dados!$A1081,"m")),0))=0,0,((Imóveis!$N$2/Imóveis!$S$2)+((Imóveis!$N$2-((Imóveis!$S$2-(IF(AND(Dados!$A1081&gt;=Imóveis!$Q$2,Dados!$A1081&lt;=Imóveis!$T$2),Imóveis!$S$2-(DATEDIF(Imóveis!$Q$2,Dados!$A1081,"m")),)))*(Imóveis!$N$2/Imóveis!$S$2)))*Imóveis!$P$2))))*IF(AND(Imóveis!$E$2&gt;0,Dados!$A1081&gt;Imóveis!$E$2),0,1)</f>
        <v>0</v>
      </c>
      <c r="J1081" s="18">
        <f>IF(Imóveis!$F$3="PRICE",IF(AND(Dados!$A1081&gt;=Imóveis!$Q$3,Dados!$A1081&lt;=Imóveis!$T$3),Imóveis!$U$3,0),IF((IF(AND(Dados!$A1081&gt;=Imóveis!$Q$3,Dados!$A1081&lt;=Imóveis!$T$3),Imóveis!$S$3-(DATEDIF(Imóveis!$Q$3,Dados!$A1081,"m")),0))=0,0,((Imóveis!$N$3/Imóveis!$S$3)+((Imóveis!$N$3-((Imóveis!$S$3-(IF(AND(Dados!$A1081&gt;=Imóveis!$Q$3,Dados!$A1081&lt;=Imóveis!$T$3),Imóveis!$S$3-(DATEDIF(Imóveis!$Q$3,Dados!$A1081,"m")),)))*(Imóveis!$N$3/Imóveis!$S$3)))*Imóveis!$P$3))))*IF(AND(Imóveis!$E$3&gt;0,Dados!$A1081&gt;Imóveis!$E$3),0,1)</f>
        <v>0</v>
      </c>
      <c r="K1081" s="18">
        <f>IF(Imóveis!$F$4="PRICE",IF(AND(Dados!$A1081&gt;=Imóveis!$Q$4,Dados!$A1081&lt;=Imóveis!$T$4),Imóveis!$U$4,0),IF((IF(AND(Dados!$A1081&gt;=Imóveis!$Q$4,Dados!$A1081&lt;=Imóveis!$T$4),Imóveis!$S$4-(DATEDIF(Imóveis!$Q$4,Dados!$A1081,"m")),0))=0,0,((Imóveis!$N$4/Imóveis!$S$4)+((Imóveis!$N$4-((Imóveis!$S$4-(IF(AND(Dados!$A1081&gt;=Imóveis!$Q$4,Dados!$A1081&lt;=Imóveis!$T$4),Imóveis!$S$4-(DATEDIF(Imóveis!$Q$4,Dados!$A1081,"m")),)))*(Imóveis!$N$4/Imóveis!$S$4)))*Imóveis!$P$4))))*IF(AND(Imóveis!$E$4&gt;0,Dados!$A1081&gt;Imóveis!$E$4),0,1)</f>
        <v>0</v>
      </c>
      <c r="L1081" s="18">
        <f>IF(Imóveis!$F$5="PRICE",IF(AND(Dados!$A1081&gt;=Imóveis!$Q$5,Dados!$A1081&lt;=Imóveis!$T$5),Imóveis!$U$5,0),IF((IF(AND(Dados!$A1081&gt;=Imóveis!$Q$5,Dados!$A1081&lt;=Imóveis!$T$5),Imóveis!$S$5-(DATEDIF(Imóveis!$Q$5,Dados!$A1081,"m")),0))=0,0,((Imóveis!$N$5/Imóveis!$S$5)+((Imóveis!$N$5-((Imóveis!$S$5-(IF(AND(Dados!$A1081 &gt;=Imóveis!$Q$5,Dados!$A1081&lt;=Imóveis!$T$5),Imóveis!$S$5-(DATEDIF(Imóveis!$Q$5,Dados!$A1081,"m")),)))*(Imóveis!$N$5/Imóveis!$S$5)))*Imóveis!$P$5))))*IF(AND(Imóveis!$E$5&gt;0,Dados!$A1081&gt;Imóveis!$E$5),0,1)*Imóveis!$I$5</f>
        <v>0</v>
      </c>
      <c r="M1081" s="18">
        <f>IF(Imóveis!$F$6="PRICE",IF(AND(Dados!$A1081&gt;=Imóveis!$Q$6,Dados!$A1081&lt;=Imóveis!$T$6),Imóveis!$U$6,0),IF((IF(AND(Dados!$A1081&gt;=Imóveis!$Q$6,Dados!$A1081&lt;=Imóveis!$T$6),Imóveis!$S$6-(DATEDIF(Imóveis!$Q$6,Dados!$A1081,"m")),0))=0,0,((Imóveis!$N$6/Imóveis!$S$6)+((Imóveis!$N$6-((Imóveis!$S$6-(IF(AND(Dados!$A1081&gt;=Imóveis!$Q$6,Dados!$A1081&lt;=Imóveis!$T$6),Imóveis!$S$6-(DATEDIF(Imóveis!$Q$6,Dados!$A1081,"m")),)))*(Imóveis!$N$6/Imóveis!$S$6)))*Imóveis!$P$6))))*IF(AND(Imóveis!$E$6&gt;0,Dados!$A1081&gt;Imóveis!$E$6),0,1)*Imóveis!$I$6</f>
        <v>0</v>
      </c>
      <c r="N1081" s="18">
        <f t="shared" si="133"/>
        <v>0</v>
      </c>
      <c r="O1081" s="18">
        <f>SUMIFS(Receitas!$F:$F,Receitas!$J:$J,"&lt;="&amp;$A1081,Receitas!$L:$L,"&gt;="&amp;$A1081,Receitas!$C:$C,O$1,Receitas!$M:$M,"Mensal")+SUMIFS(Receitas!$F:$F,Receitas!$J:$J,"&lt;="&amp;$A1081,Receitas!$L:$L,"&gt;="&amp;$A1081,Receitas!$C:$C,O$1,Receitas!$M:$M,$B1081)</f>
        <v>0</v>
      </c>
      <c r="P1081" s="18">
        <f>SUMIFS(Receitas!$F:$F,Receitas!$J:$J,"&lt;="&amp;$A1081,Receitas!$L:$L,"&gt;="&amp;$A1081,Receitas!$C:$C,P$1,Receitas!$M:$M,"Mensal")+SUMIFS(Receitas!$F:$F,Receitas!$J:$J,"&lt;="&amp;$A1081,Receitas!$L:$L,"&gt;="&amp;$A1081,Receitas!$C:$C,P$1,Receitas!$M:$M,$B1081)</f>
        <v>0</v>
      </c>
      <c r="Q1081" s="18">
        <f>SUMIFS(Receitas!$F:$F,Receitas!$J:$J,"&lt;="&amp;$A1081,Receitas!$L:$L,"&gt;="&amp;$A1081,Receitas!$C:$C,Q$1,Receitas!$M:$M,"Mensal")+SUMIFS(Receitas!$F:$F,Receitas!$J:$J,"&lt;="&amp;$A1081,Receitas!$L:$L,"&gt;="&amp;$A1081,Receitas!$C:$C,Q$1,Receitas!$M:$M,$B1081)</f>
        <v>0</v>
      </c>
      <c r="R1081" s="18" cm="1">
        <f t="array" ref="R1081">(IF(AND(Membros!$F$2="Sim",A1081&lt;=MAX(Membros!$E$2:$E$5)),Membros!K$2,IF(AND(A1081&gt;=Membros!J$2,A1081&lt;=MAX(Membros!$E$2:$E$5)),Membros!K$2,0))+IF(AND(Membros!$F$3="Sim",A1081&lt;=MAX(Membros!$E$2:$E$5)),Membros!K$3,IF(AND(A1081&gt;=Membros!J$3,A1081&lt;=MAX(Membros!$E$2:$E$5)),Membros!K$3,0)))*IF(AND(COUNTIFS(Tabela3[Tipo],"Provedor",Tabela3[Simulação Seguro],"Sim")=2,A1081&gt;=MAX(IF(Tabela3[Tipo]="Dependente",Tabela3[Expectativa de Vida (Data)]))),0,1)</f>
        <v>0</v>
      </c>
      <c r="S1081" s="18">
        <f t="shared" si="134"/>
        <v>0</v>
      </c>
      <c r="U1081" s="18">
        <f t="shared" ca="1" si="137"/>
        <v>160791320.69408202</v>
      </c>
      <c r="V1081" s="18">
        <f>SUMIF(Imóveis!E:E,Dados!A:A,Imóveis!Z:Z)-SUMIF(Imóveis!E:E,Dados!A:A,Imóveis!Y:Y)</f>
        <v>0</v>
      </c>
      <c r="W1081" s="18">
        <f>-SUMIF(Projetos!N:N,A1081,Projetos!F:F)</f>
        <v>0</v>
      </c>
      <c r="X1081" s="18">
        <f t="shared" si="131"/>
        <v>0</v>
      </c>
      <c r="Y1081" s="26">
        <f ca="1">(U1081*((Indicadores_Economicos!D$2+1)^(1/12)-1))</f>
        <v>526388.94318851992</v>
      </c>
      <c r="Z1081" s="18">
        <f t="shared" ca="1" si="135"/>
        <v>161317709.63727054</v>
      </c>
      <c r="AA1081" s="18">
        <f ca="1">Auxiliar_Projetos!E1081</f>
        <v>1.3297705590085607E-8</v>
      </c>
      <c r="AB1081" s="18">
        <f ca="1">Auxiliar_Projetos!K1081</f>
        <v>1.0229004300065847E-8</v>
      </c>
      <c r="AC1081" s="18">
        <f ca="1">IF(Z1081-AA1081-AB1081&gt;Investimentos!$C$14,Investimentos!$C$14,IF(Z1081-AA1081-AB1081&lt;Investimentos!$C$14,Z1081-AA1081-AB1081,0))</f>
        <v>300000</v>
      </c>
      <c r="AD1081" s="18">
        <f t="shared" ca="1" si="136"/>
        <v>161017709.63727054</v>
      </c>
      <c r="AE1081" s="18"/>
    </row>
    <row r="1082" spans="1:31" x14ac:dyDescent="0.2">
      <c r="A1082" s="4">
        <v>78529</v>
      </c>
      <c r="B1082" s="5" t="str">
        <f t="shared" si="132"/>
        <v>janeiro</v>
      </c>
      <c r="C1082" s="5" t="str">
        <f t="shared" si="138"/>
        <v>2115</v>
      </c>
      <c r="D1082" s="5">
        <f>SUMIFS(Despesas!$F:$F,Despesas!$J:$J,"&lt;="&amp;$A1082,Despesas!$L:$L,"&gt;="&amp;$A1082,Despesas!$C:$C,D$1,Despesas!$M:$M,"Mensal")+SUMIFS(Despesas!$F:$F,Despesas!$J:$J,"&lt;="&amp;$A1082,Despesas!$L:$L,"&gt;="&amp;$A1082,Despesas!$C:$C,D$1,Despesas!$M:$M,$B1082)</f>
        <v>0</v>
      </c>
      <c r="E1082" s="18">
        <f>SUMIFS(Despesas!$F:$F,Despesas!$J:$J,"&lt;="&amp;$A1082,Despesas!$L:$L,"&gt;="&amp;$A1082,Despesas!$C:$C,E$1,Despesas!$M:$M,"Mensal")+SUMIFS(Despesas!$F:$F,Despesas!$J:$J,"&lt;="&amp;$A1082,Despesas!$L:$L,"&gt;="&amp;$A1082,Despesas!$C:$C,E$1,Despesas!$M:$M,$B1082)</f>
        <v>0</v>
      </c>
      <c r="F1082" s="5">
        <f>SUMIFS(Despesas!$F:$F,Despesas!$J:$J,"&lt;="&amp;$A1082,Despesas!$L:$L,"&gt;="&amp;$A1082,Despesas!$C:$C,F$1,Despesas!$M:$M,"Mensal")+SUMIFS(Despesas!$F:$F,Despesas!$J:$J,"&lt;="&amp;$A1082,Despesas!$L:$L,"&gt;="&amp;$A1082,Despesas!$C:$C,F$1,Despesas!$M:$M,$B1082)</f>
        <v>0</v>
      </c>
      <c r="G1082" s="5">
        <f>SUMIFS(Despesas!$F:$F,Despesas!$J:$J,"&lt;="&amp;$A1082,Despesas!$L:$L,"&gt;="&amp;$A1082,Despesas!$C:$C,G$1,Despesas!$M:$M,"Mensal")+SUMIFS(Despesas!$F:$F,Despesas!$J:$J,"&lt;="&amp;$A1082,Despesas!$L:$L,"&gt;="&amp;$A1082,Despesas!$C:$C,G$1,Despesas!$M:$M,$B1082)</f>
        <v>0</v>
      </c>
      <c r="H1082" s="18">
        <f>SUMIFS(Despesas!$F:$F,Despesas!$J:$J,"&lt;="&amp;$A1082,Despesas!$L:$L,"&gt;="&amp;$A1082,Despesas!$C:$C,H$1,Despesas!$M:$M,"Mensal")+SUMIFS(Despesas!$F:$F,Despesas!$J:$J,"&lt;="&amp;$A1082,Despesas!$L:$L,"&gt;="&amp;$A1082,Despesas!$C:$C,H$1,Despesas!$M:$M,$B1082)</f>
        <v>0</v>
      </c>
      <c r="I1082" s="18">
        <f>IF(Imóveis!$F$2="PRICE",IF(AND(Dados!$A1082&gt;=Imóveis!$Q$2,Dados!$A1082&lt;=Imóveis!$T$2),Imóveis!$U$2,0),IF((IF(AND(Dados!$A1082&gt;=Imóveis!$Q$2,Dados!$A1082&lt;=Imóveis!$T$2),Imóveis!$S$2-(DATEDIF(Imóveis!$Q$2,Dados!$A1082,"m")),0))=0,0,((Imóveis!$N$2/Imóveis!$S$2)+((Imóveis!$N$2-((Imóveis!$S$2-(IF(AND(Dados!$A1082&gt;=Imóveis!$Q$2,Dados!$A1082&lt;=Imóveis!$T$2),Imóveis!$S$2-(DATEDIF(Imóveis!$Q$2,Dados!$A1082,"m")),)))*(Imóveis!$N$2/Imóveis!$S$2)))*Imóveis!$P$2))))*IF(AND(Imóveis!$E$2&gt;0,Dados!$A1082&gt;Imóveis!$E$2),0,1)</f>
        <v>0</v>
      </c>
      <c r="J1082" s="18">
        <f>IF(Imóveis!$F$3="PRICE",IF(AND(Dados!$A1082&gt;=Imóveis!$Q$3,Dados!$A1082&lt;=Imóveis!$T$3),Imóveis!$U$3,0),IF((IF(AND(Dados!$A1082&gt;=Imóveis!$Q$3,Dados!$A1082&lt;=Imóveis!$T$3),Imóveis!$S$3-(DATEDIF(Imóveis!$Q$3,Dados!$A1082,"m")),0))=0,0,((Imóveis!$N$3/Imóveis!$S$3)+((Imóveis!$N$3-((Imóveis!$S$3-(IF(AND(Dados!$A1082&gt;=Imóveis!$Q$3,Dados!$A1082&lt;=Imóveis!$T$3),Imóveis!$S$3-(DATEDIF(Imóveis!$Q$3,Dados!$A1082,"m")),)))*(Imóveis!$N$3/Imóveis!$S$3)))*Imóveis!$P$3))))*IF(AND(Imóveis!$E$3&gt;0,Dados!$A1082&gt;Imóveis!$E$3),0,1)</f>
        <v>0</v>
      </c>
      <c r="K1082" s="18">
        <f>IF(Imóveis!$F$4="PRICE",IF(AND(Dados!$A1082&gt;=Imóveis!$Q$4,Dados!$A1082&lt;=Imóveis!$T$4),Imóveis!$U$4,0),IF((IF(AND(Dados!$A1082&gt;=Imóveis!$Q$4,Dados!$A1082&lt;=Imóveis!$T$4),Imóveis!$S$4-(DATEDIF(Imóveis!$Q$4,Dados!$A1082,"m")),0))=0,0,((Imóveis!$N$4/Imóveis!$S$4)+((Imóveis!$N$4-((Imóveis!$S$4-(IF(AND(Dados!$A1082&gt;=Imóveis!$Q$4,Dados!$A1082&lt;=Imóveis!$T$4),Imóveis!$S$4-(DATEDIF(Imóveis!$Q$4,Dados!$A1082,"m")),)))*(Imóveis!$N$4/Imóveis!$S$4)))*Imóveis!$P$4))))*IF(AND(Imóveis!$E$4&gt;0,Dados!$A1082&gt;Imóveis!$E$4),0,1)</f>
        <v>0</v>
      </c>
      <c r="L1082" s="18">
        <f>IF(Imóveis!$F$5="PRICE",IF(AND(Dados!$A1082&gt;=Imóveis!$Q$5,Dados!$A1082&lt;=Imóveis!$T$5),Imóveis!$U$5,0),IF((IF(AND(Dados!$A1082&gt;=Imóveis!$Q$5,Dados!$A1082&lt;=Imóveis!$T$5),Imóveis!$S$5-(DATEDIF(Imóveis!$Q$5,Dados!$A1082,"m")),0))=0,0,((Imóveis!$N$5/Imóveis!$S$5)+((Imóveis!$N$5-((Imóveis!$S$5-(IF(AND(Dados!$A1082 &gt;=Imóveis!$Q$5,Dados!$A1082&lt;=Imóveis!$T$5),Imóveis!$S$5-(DATEDIF(Imóveis!$Q$5,Dados!$A1082,"m")),)))*(Imóveis!$N$5/Imóveis!$S$5)))*Imóveis!$P$5))))*IF(AND(Imóveis!$E$5&gt;0,Dados!$A1082&gt;Imóveis!$E$5),0,1)*Imóveis!$I$5</f>
        <v>0</v>
      </c>
      <c r="M1082" s="18">
        <f>IF(Imóveis!$F$6="PRICE",IF(AND(Dados!$A1082&gt;=Imóveis!$Q$6,Dados!$A1082&lt;=Imóveis!$T$6),Imóveis!$U$6,0),IF((IF(AND(Dados!$A1082&gt;=Imóveis!$Q$6,Dados!$A1082&lt;=Imóveis!$T$6),Imóveis!$S$6-(DATEDIF(Imóveis!$Q$6,Dados!$A1082,"m")),0))=0,0,((Imóveis!$N$6/Imóveis!$S$6)+((Imóveis!$N$6-((Imóveis!$S$6-(IF(AND(Dados!$A1082&gt;=Imóveis!$Q$6,Dados!$A1082&lt;=Imóveis!$T$6),Imóveis!$S$6-(DATEDIF(Imóveis!$Q$6,Dados!$A1082,"m")),)))*(Imóveis!$N$6/Imóveis!$S$6)))*Imóveis!$P$6))))*IF(AND(Imóveis!$E$6&gt;0,Dados!$A1082&gt;Imóveis!$E$6),0,1)*Imóveis!$I$6</f>
        <v>0</v>
      </c>
      <c r="N1082" s="18">
        <f t="shared" si="133"/>
        <v>0</v>
      </c>
      <c r="O1082" s="18">
        <f>SUMIFS(Receitas!$F:$F,Receitas!$J:$J,"&lt;="&amp;$A1082,Receitas!$L:$L,"&gt;="&amp;$A1082,Receitas!$C:$C,O$1,Receitas!$M:$M,"Mensal")+SUMIFS(Receitas!$F:$F,Receitas!$J:$J,"&lt;="&amp;$A1082,Receitas!$L:$L,"&gt;="&amp;$A1082,Receitas!$C:$C,O$1,Receitas!$M:$M,$B1082)</f>
        <v>0</v>
      </c>
      <c r="P1082" s="18">
        <f>SUMIFS(Receitas!$F:$F,Receitas!$J:$J,"&lt;="&amp;$A1082,Receitas!$L:$L,"&gt;="&amp;$A1082,Receitas!$C:$C,P$1,Receitas!$M:$M,"Mensal")+SUMIFS(Receitas!$F:$F,Receitas!$J:$J,"&lt;="&amp;$A1082,Receitas!$L:$L,"&gt;="&amp;$A1082,Receitas!$C:$C,P$1,Receitas!$M:$M,$B1082)</f>
        <v>0</v>
      </c>
      <c r="Q1082" s="18">
        <f>SUMIFS(Receitas!$F:$F,Receitas!$J:$J,"&lt;="&amp;$A1082,Receitas!$L:$L,"&gt;="&amp;$A1082,Receitas!$C:$C,Q$1,Receitas!$M:$M,"Mensal")+SUMIFS(Receitas!$F:$F,Receitas!$J:$J,"&lt;="&amp;$A1082,Receitas!$L:$L,"&gt;="&amp;$A1082,Receitas!$C:$C,Q$1,Receitas!$M:$M,$B1082)</f>
        <v>0</v>
      </c>
      <c r="R1082" s="18" cm="1">
        <f t="array" ref="R1082">(IF(AND(Membros!$F$2="Sim",A1082&lt;=MAX(Membros!$E$2:$E$5)),Membros!K$2,IF(AND(A1082&gt;=Membros!J$2,A1082&lt;=MAX(Membros!$E$2:$E$5)),Membros!K$2,0))+IF(AND(Membros!$F$3="Sim",A1082&lt;=MAX(Membros!$E$2:$E$5)),Membros!K$3,IF(AND(A1082&gt;=Membros!J$3,A1082&lt;=MAX(Membros!$E$2:$E$5)),Membros!K$3,0)))*IF(AND(COUNTIFS(Tabela3[Tipo],"Provedor",Tabela3[Simulação Seguro],"Sim")=2,A1082&gt;=MAX(IF(Tabela3[Tipo]="Dependente",Tabela3[Expectativa de Vida (Data)]))),0,1)</f>
        <v>0</v>
      </c>
      <c r="S1082" s="18">
        <f t="shared" si="134"/>
        <v>0</v>
      </c>
      <c r="U1082" s="18">
        <f t="shared" ca="1" si="137"/>
        <v>161317709.63727054</v>
      </c>
      <c r="V1082" s="18">
        <f>SUMIF(Imóveis!E:E,Dados!A:A,Imóveis!Z:Z)-SUMIF(Imóveis!E:E,Dados!A:A,Imóveis!Y:Y)</f>
        <v>0</v>
      </c>
      <c r="W1082" s="18">
        <f>-SUMIF(Projetos!N:N,A1082,Projetos!F:F)</f>
        <v>0</v>
      </c>
      <c r="X1082" s="18">
        <f t="shared" si="131"/>
        <v>0</v>
      </c>
      <c r="Y1082" s="26">
        <f ca="1">(U1082*((Indicadores_Economicos!D$2+1)^(1/12)-1))</f>
        <v>528112.20361274574</v>
      </c>
      <c r="Z1082" s="18">
        <f t="shared" ca="1" si="135"/>
        <v>161845821.84088328</v>
      </c>
      <c r="AA1082" s="18">
        <f ca="1">Auxiliar_Projetos!E1082</f>
        <v>1.3341238817887839E-8</v>
      </c>
      <c r="AB1082" s="18">
        <f ca="1">Auxiliar_Projetos!K1082</f>
        <v>1.0262491398375256E-8</v>
      </c>
      <c r="AC1082" s="18">
        <f ca="1">IF(Z1082-AA1082-AB1082&gt;Investimentos!$C$14,Investimentos!$C$14,IF(Z1082-AA1082-AB1082&lt;Investimentos!$C$14,Z1082-AA1082-AB1082,0))</f>
        <v>300000</v>
      </c>
      <c r="AD1082" s="18">
        <f t="shared" ca="1" si="136"/>
        <v>161545821.84088328</v>
      </c>
      <c r="AE1082" s="18"/>
    </row>
    <row r="1083" spans="1:31" x14ac:dyDescent="0.2">
      <c r="A1083" s="4">
        <v>78560</v>
      </c>
      <c r="B1083" s="5" t="str">
        <f t="shared" si="132"/>
        <v>fevereiro</v>
      </c>
      <c r="C1083" s="5" t="str">
        <f t="shared" si="138"/>
        <v>2115</v>
      </c>
      <c r="D1083" s="5">
        <f>SUMIFS(Despesas!$F:$F,Despesas!$J:$J,"&lt;="&amp;$A1083,Despesas!$L:$L,"&gt;="&amp;$A1083,Despesas!$C:$C,D$1,Despesas!$M:$M,"Mensal")+SUMIFS(Despesas!$F:$F,Despesas!$J:$J,"&lt;="&amp;$A1083,Despesas!$L:$L,"&gt;="&amp;$A1083,Despesas!$C:$C,D$1,Despesas!$M:$M,$B1083)</f>
        <v>0</v>
      </c>
      <c r="E1083" s="18">
        <f>SUMIFS(Despesas!$F:$F,Despesas!$J:$J,"&lt;="&amp;$A1083,Despesas!$L:$L,"&gt;="&amp;$A1083,Despesas!$C:$C,E$1,Despesas!$M:$M,"Mensal")+SUMIFS(Despesas!$F:$F,Despesas!$J:$J,"&lt;="&amp;$A1083,Despesas!$L:$L,"&gt;="&amp;$A1083,Despesas!$C:$C,E$1,Despesas!$M:$M,$B1083)</f>
        <v>0</v>
      </c>
      <c r="F1083" s="5">
        <f>SUMIFS(Despesas!$F:$F,Despesas!$J:$J,"&lt;="&amp;$A1083,Despesas!$L:$L,"&gt;="&amp;$A1083,Despesas!$C:$C,F$1,Despesas!$M:$M,"Mensal")+SUMIFS(Despesas!$F:$F,Despesas!$J:$J,"&lt;="&amp;$A1083,Despesas!$L:$L,"&gt;="&amp;$A1083,Despesas!$C:$C,F$1,Despesas!$M:$M,$B1083)</f>
        <v>0</v>
      </c>
      <c r="G1083" s="5">
        <f>SUMIFS(Despesas!$F:$F,Despesas!$J:$J,"&lt;="&amp;$A1083,Despesas!$L:$L,"&gt;="&amp;$A1083,Despesas!$C:$C,G$1,Despesas!$M:$M,"Mensal")+SUMIFS(Despesas!$F:$F,Despesas!$J:$J,"&lt;="&amp;$A1083,Despesas!$L:$L,"&gt;="&amp;$A1083,Despesas!$C:$C,G$1,Despesas!$M:$M,$B1083)</f>
        <v>0</v>
      </c>
      <c r="H1083" s="18">
        <f>SUMIFS(Despesas!$F:$F,Despesas!$J:$J,"&lt;="&amp;$A1083,Despesas!$L:$L,"&gt;="&amp;$A1083,Despesas!$C:$C,H$1,Despesas!$M:$M,"Mensal")+SUMIFS(Despesas!$F:$F,Despesas!$J:$J,"&lt;="&amp;$A1083,Despesas!$L:$L,"&gt;="&amp;$A1083,Despesas!$C:$C,H$1,Despesas!$M:$M,$B1083)</f>
        <v>0</v>
      </c>
      <c r="I1083" s="18">
        <f>IF(Imóveis!$F$2="PRICE",IF(AND(Dados!$A1083&gt;=Imóveis!$Q$2,Dados!$A1083&lt;=Imóveis!$T$2),Imóveis!$U$2,0),IF((IF(AND(Dados!$A1083&gt;=Imóveis!$Q$2,Dados!$A1083&lt;=Imóveis!$T$2),Imóveis!$S$2-(DATEDIF(Imóveis!$Q$2,Dados!$A1083,"m")),0))=0,0,((Imóveis!$N$2/Imóveis!$S$2)+((Imóveis!$N$2-((Imóveis!$S$2-(IF(AND(Dados!$A1083&gt;=Imóveis!$Q$2,Dados!$A1083&lt;=Imóveis!$T$2),Imóveis!$S$2-(DATEDIF(Imóveis!$Q$2,Dados!$A1083,"m")),)))*(Imóveis!$N$2/Imóveis!$S$2)))*Imóveis!$P$2))))*IF(AND(Imóveis!$E$2&gt;0,Dados!$A1083&gt;Imóveis!$E$2),0,1)</f>
        <v>0</v>
      </c>
      <c r="J1083" s="18">
        <f>IF(Imóveis!$F$3="PRICE",IF(AND(Dados!$A1083&gt;=Imóveis!$Q$3,Dados!$A1083&lt;=Imóveis!$T$3),Imóveis!$U$3,0),IF((IF(AND(Dados!$A1083&gt;=Imóveis!$Q$3,Dados!$A1083&lt;=Imóveis!$T$3),Imóveis!$S$3-(DATEDIF(Imóveis!$Q$3,Dados!$A1083,"m")),0))=0,0,((Imóveis!$N$3/Imóveis!$S$3)+((Imóveis!$N$3-((Imóveis!$S$3-(IF(AND(Dados!$A1083&gt;=Imóveis!$Q$3,Dados!$A1083&lt;=Imóveis!$T$3),Imóveis!$S$3-(DATEDIF(Imóveis!$Q$3,Dados!$A1083,"m")),)))*(Imóveis!$N$3/Imóveis!$S$3)))*Imóveis!$P$3))))*IF(AND(Imóveis!$E$3&gt;0,Dados!$A1083&gt;Imóveis!$E$3),0,1)</f>
        <v>0</v>
      </c>
      <c r="K1083" s="18">
        <f>IF(Imóveis!$F$4="PRICE",IF(AND(Dados!$A1083&gt;=Imóveis!$Q$4,Dados!$A1083&lt;=Imóveis!$T$4),Imóveis!$U$4,0),IF((IF(AND(Dados!$A1083&gt;=Imóveis!$Q$4,Dados!$A1083&lt;=Imóveis!$T$4),Imóveis!$S$4-(DATEDIF(Imóveis!$Q$4,Dados!$A1083,"m")),0))=0,0,((Imóveis!$N$4/Imóveis!$S$4)+((Imóveis!$N$4-((Imóveis!$S$4-(IF(AND(Dados!$A1083&gt;=Imóveis!$Q$4,Dados!$A1083&lt;=Imóveis!$T$4),Imóveis!$S$4-(DATEDIF(Imóveis!$Q$4,Dados!$A1083,"m")),)))*(Imóveis!$N$4/Imóveis!$S$4)))*Imóveis!$P$4))))*IF(AND(Imóveis!$E$4&gt;0,Dados!$A1083&gt;Imóveis!$E$4),0,1)</f>
        <v>0</v>
      </c>
      <c r="L1083" s="18">
        <f>IF(Imóveis!$F$5="PRICE",IF(AND(Dados!$A1083&gt;=Imóveis!$Q$5,Dados!$A1083&lt;=Imóveis!$T$5),Imóveis!$U$5,0),IF((IF(AND(Dados!$A1083&gt;=Imóveis!$Q$5,Dados!$A1083&lt;=Imóveis!$T$5),Imóveis!$S$5-(DATEDIF(Imóveis!$Q$5,Dados!$A1083,"m")),0))=0,0,((Imóveis!$N$5/Imóveis!$S$5)+((Imóveis!$N$5-((Imóveis!$S$5-(IF(AND(Dados!$A1083 &gt;=Imóveis!$Q$5,Dados!$A1083&lt;=Imóveis!$T$5),Imóveis!$S$5-(DATEDIF(Imóveis!$Q$5,Dados!$A1083,"m")),)))*(Imóveis!$N$5/Imóveis!$S$5)))*Imóveis!$P$5))))*IF(AND(Imóveis!$E$5&gt;0,Dados!$A1083&gt;Imóveis!$E$5),0,1)*Imóveis!$I$5</f>
        <v>0</v>
      </c>
      <c r="M1083" s="18">
        <f>IF(Imóveis!$F$6="PRICE",IF(AND(Dados!$A1083&gt;=Imóveis!$Q$6,Dados!$A1083&lt;=Imóveis!$T$6),Imóveis!$U$6,0),IF((IF(AND(Dados!$A1083&gt;=Imóveis!$Q$6,Dados!$A1083&lt;=Imóveis!$T$6),Imóveis!$S$6-(DATEDIF(Imóveis!$Q$6,Dados!$A1083,"m")),0))=0,0,((Imóveis!$N$6/Imóveis!$S$6)+((Imóveis!$N$6-((Imóveis!$S$6-(IF(AND(Dados!$A1083&gt;=Imóveis!$Q$6,Dados!$A1083&lt;=Imóveis!$T$6),Imóveis!$S$6-(DATEDIF(Imóveis!$Q$6,Dados!$A1083,"m")),)))*(Imóveis!$N$6/Imóveis!$S$6)))*Imóveis!$P$6))))*IF(AND(Imóveis!$E$6&gt;0,Dados!$A1083&gt;Imóveis!$E$6),0,1)*Imóveis!$I$6</f>
        <v>0</v>
      </c>
      <c r="N1083" s="18">
        <f t="shared" si="133"/>
        <v>0</v>
      </c>
      <c r="O1083" s="18">
        <f>SUMIFS(Receitas!$F:$F,Receitas!$J:$J,"&lt;="&amp;$A1083,Receitas!$L:$L,"&gt;="&amp;$A1083,Receitas!$C:$C,O$1,Receitas!$M:$M,"Mensal")+SUMIFS(Receitas!$F:$F,Receitas!$J:$J,"&lt;="&amp;$A1083,Receitas!$L:$L,"&gt;="&amp;$A1083,Receitas!$C:$C,O$1,Receitas!$M:$M,$B1083)</f>
        <v>0</v>
      </c>
      <c r="P1083" s="18">
        <f>SUMIFS(Receitas!$F:$F,Receitas!$J:$J,"&lt;="&amp;$A1083,Receitas!$L:$L,"&gt;="&amp;$A1083,Receitas!$C:$C,P$1,Receitas!$M:$M,"Mensal")+SUMIFS(Receitas!$F:$F,Receitas!$J:$J,"&lt;="&amp;$A1083,Receitas!$L:$L,"&gt;="&amp;$A1083,Receitas!$C:$C,P$1,Receitas!$M:$M,$B1083)</f>
        <v>0</v>
      </c>
      <c r="Q1083" s="18">
        <f>SUMIFS(Receitas!$F:$F,Receitas!$J:$J,"&lt;="&amp;$A1083,Receitas!$L:$L,"&gt;="&amp;$A1083,Receitas!$C:$C,Q$1,Receitas!$M:$M,"Mensal")+SUMIFS(Receitas!$F:$F,Receitas!$J:$J,"&lt;="&amp;$A1083,Receitas!$L:$L,"&gt;="&amp;$A1083,Receitas!$C:$C,Q$1,Receitas!$M:$M,$B1083)</f>
        <v>0</v>
      </c>
      <c r="R1083" s="18" cm="1">
        <f t="array" ref="R1083">(IF(AND(Membros!$F$2="Sim",A1083&lt;=MAX(Membros!$E$2:$E$5)),Membros!K$2,IF(AND(A1083&gt;=Membros!J$2,A1083&lt;=MAX(Membros!$E$2:$E$5)),Membros!K$2,0))+IF(AND(Membros!$F$3="Sim",A1083&lt;=MAX(Membros!$E$2:$E$5)),Membros!K$3,IF(AND(A1083&gt;=Membros!J$3,A1083&lt;=MAX(Membros!$E$2:$E$5)),Membros!K$3,0)))*IF(AND(COUNTIFS(Tabela3[Tipo],"Provedor",Tabela3[Simulação Seguro],"Sim")=2,A1083&gt;=MAX(IF(Tabela3[Tipo]="Dependente",Tabela3[Expectativa de Vida (Data)]))),0,1)</f>
        <v>0</v>
      </c>
      <c r="S1083" s="18">
        <f t="shared" si="134"/>
        <v>0</v>
      </c>
      <c r="U1083" s="18">
        <f t="shared" ca="1" si="137"/>
        <v>161845821.84088328</v>
      </c>
      <c r="V1083" s="18">
        <f>SUMIF(Imóveis!E:E,Dados!A:A,Imóveis!Z:Z)-SUMIF(Imóveis!E:E,Dados!A:A,Imóveis!Y:Y)</f>
        <v>0</v>
      </c>
      <c r="W1083" s="18">
        <f>-SUMIF(Projetos!N:N,A1083,Projetos!F:F)</f>
        <v>0</v>
      </c>
      <c r="X1083" s="18">
        <f t="shared" si="131"/>
        <v>0</v>
      </c>
      <c r="Y1083" s="26">
        <f ca="1">(U1083*((Indicadores_Economicos!D$2+1)^(1/12)-1))</f>
        <v>529841.10554317757</v>
      </c>
      <c r="Z1083" s="18">
        <f t="shared" ca="1" si="135"/>
        <v>162375662.94642645</v>
      </c>
      <c r="AA1083" s="18">
        <f ca="1">Auxiliar_Projetos!E1083</f>
        <v>1.3384914562149775E-8</v>
      </c>
      <c r="AB1083" s="18">
        <f ca="1">Auxiliar_Projetos!K1083</f>
        <v>1.0296088124730591E-8</v>
      </c>
      <c r="AC1083" s="18">
        <f ca="1">IF(Z1083-AA1083-AB1083&gt;Investimentos!$C$14,Investimentos!$C$14,IF(Z1083-AA1083-AB1083&lt;Investimentos!$C$14,Z1083-AA1083-AB1083,0))</f>
        <v>300000</v>
      </c>
      <c r="AD1083" s="18">
        <f t="shared" ca="1" si="136"/>
        <v>162075662.94642645</v>
      </c>
      <c r="AE1083" s="18"/>
    </row>
    <row r="1084" spans="1:31" x14ac:dyDescent="0.2">
      <c r="A1084" s="4">
        <v>78588</v>
      </c>
      <c r="B1084" s="5" t="str">
        <f t="shared" si="132"/>
        <v>março</v>
      </c>
      <c r="C1084" s="5" t="str">
        <f t="shared" si="138"/>
        <v>2115</v>
      </c>
      <c r="D1084" s="5">
        <f>SUMIFS(Despesas!$F:$F,Despesas!$J:$J,"&lt;="&amp;$A1084,Despesas!$L:$L,"&gt;="&amp;$A1084,Despesas!$C:$C,D$1,Despesas!$M:$M,"Mensal")+SUMIFS(Despesas!$F:$F,Despesas!$J:$J,"&lt;="&amp;$A1084,Despesas!$L:$L,"&gt;="&amp;$A1084,Despesas!$C:$C,D$1,Despesas!$M:$M,$B1084)</f>
        <v>0</v>
      </c>
      <c r="E1084" s="18">
        <f>SUMIFS(Despesas!$F:$F,Despesas!$J:$J,"&lt;="&amp;$A1084,Despesas!$L:$L,"&gt;="&amp;$A1084,Despesas!$C:$C,E$1,Despesas!$M:$M,"Mensal")+SUMIFS(Despesas!$F:$F,Despesas!$J:$J,"&lt;="&amp;$A1084,Despesas!$L:$L,"&gt;="&amp;$A1084,Despesas!$C:$C,E$1,Despesas!$M:$M,$B1084)</f>
        <v>0</v>
      </c>
      <c r="F1084" s="5">
        <f>SUMIFS(Despesas!$F:$F,Despesas!$J:$J,"&lt;="&amp;$A1084,Despesas!$L:$L,"&gt;="&amp;$A1084,Despesas!$C:$C,F$1,Despesas!$M:$M,"Mensal")+SUMIFS(Despesas!$F:$F,Despesas!$J:$J,"&lt;="&amp;$A1084,Despesas!$L:$L,"&gt;="&amp;$A1084,Despesas!$C:$C,F$1,Despesas!$M:$M,$B1084)</f>
        <v>0</v>
      </c>
      <c r="G1084" s="5">
        <f>SUMIFS(Despesas!$F:$F,Despesas!$J:$J,"&lt;="&amp;$A1084,Despesas!$L:$L,"&gt;="&amp;$A1084,Despesas!$C:$C,G$1,Despesas!$M:$M,"Mensal")+SUMIFS(Despesas!$F:$F,Despesas!$J:$J,"&lt;="&amp;$A1084,Despesas!$L:$L,"&gt;="&amp;$A1084,Despesas!$C:$C,G$1,Despesas!$M:$M,$B1084)</f>
        <v>0</v>
      </c>
      <c r="H1084" s="18">
        <f>SUMIFS(Despesas!$F:$F,Despesas!$J:$J,"&lt;="&amp;$A1084,Despesas!$L:$L,"&gt;="&amp;$A1084,Despesas!$C:$C,H$1,Despesas!$M:$M,"Mensal")+SUMIFS(Despesas!$F:$F,Despesas!$J:$J,"&lt;="&amp;$A1084,Despesas!$L:$L,"&gt;="&amp;$A1084,Despesas!$C:$C,H$1,Despesas!$M:$M,$B1084)</f>
        <v>0</v>
      </c>
      <c r="I1084" s="18">
        <f>IF(Imóveis!$F$2="PRICE",IF(AND(Dados!$A1084&gt;=Imóveis!$Q$2,Dados!$A1084&lt;=Imóveis!$T$2),Imóveis!$U$2,0),IF((IF(AND(Dados!$A1084&gt;=Imóveis!$Q$2,Dados!$A1084&lt;=Imóveis!$T$2),Imóveis!$S$2-(DATEDIF(Imóveis!$Q$2,Dados!$A1084,"m")),0))=0,0,((Imóveis!$N$2/Imóveis!$S$2)+((Imóveis!$N$2-((Imóveis!$S$2-(IF(AND(Dados!$A1084&gt;=Imóveis!$Q$2,Dados!$A1084&lt;=Imóveis!$T$2),Imóveis!$S$2-(DATEDIF(Imóveis!$Q$2,Dados!$A1084,"m")),)))*(Imóveis!$N$2/Imóveis!$S$2)))*Imóveis!$P$2))))*IF(AND(Imóveis!$E$2&gt;0,Dados!$A1084&gt;Imóveis!$E$2),0,1)</f>
        <v>0</v>
      </c>
      <c r="J1084" s="18">
        <f>IF(Imóveis!$F$3="PRICE",IF(AND(Dados!$A1084&gt;=Imóveis!$Q$3,Dados!$A1084&lt;=Imóveis!$T$3),Imóveis!$U$3,0),IF((IF(AND(Dados!$A1084&gt;=Imóveis!$Q$3,Dados!$A1084&lt;=Imóveis!$T$3),Imóveis!$S$3-(DATEDIF(Imóveis!$Q$3,Dados!$A1084,"m")),0))=0,0,((Imóveis!$N$3/Imóveis!$S$3)+((Imóveis!$N$3-((Imóveis!$S$3-(IF(AND(Dados!$A1084&gt;=Imóveis!$Q$3,Dados!$A1084&lt;=Imóveis!$T$3),Imóveis!$S$3-(DATEDIF(Imóveis!$Q$3,Dados!$A1084,"m")),)))*(Imóveis!$N$3/Imóveis!$S$3)))*Imóveis!$P$3))))*IF(AND(Imóveis!$E$3&gt;0,Dados!$A1084&gt;Imóveis!$E$3),0,1)</f>
        <v>0</v>
      </c>
      <c r="K1084" s="18">
        <f>IF(Imóveis!$F$4="PRICE",IF(AND(Dados!$A1084&gt;=Imóveis!$Q$4,Dados!$A1084&lt;=Imóveis!$T$4),Imóveis!$U$4,0),IF((IF(AND(Dados!$A1084&gt;=Imóveis!$Q$4,Dados!$A1084&lt;=Imóveis!$T$4),Imóveis!$S$4-(DATEDIF(Imóveis!$Q$4,Dados!$A1084,"m")),0))=0,0,((Imóveis!$N$4/Imóveis!$S$4)+((Imóveis!$N$4-((Imóveis!$S$4-(IF(AND(Dados!$A1084&gt;=Imóveis!$Q$4,Dados!$A1084&lt;=Imóveis!$T$4),Imóveis!$S$4-(DATEDIF(Imóveis!$Q$4,Dados!$A1084,"m")),)))*(Imóveis!$N$4/Imóveis!$S$4)))*Imóveis!$P$4))))*IF(AND(Imóveis!$E$4&gt;0,Dados!$A1084&gt;Imóveis!$E$4),0,1)</f>
        <v>0</v>
      </c>
      <c r="L1084" s="18">
        <f>IF(Imóveis!$F$5="PRICE",IF(AND(Dados!$A1084&gt;=Imóveis!$Q$5,Dados!$A1084&lt;=Imóveis!$T$5),Imóveis!$U$5,0),IF((IF(AND(Dados!$A1084&gt;=Imóveis!$Q$5,Dados!$A1084&lt;=Imóveis!$T$5),Imóveis!$S$5-(DATEDIF(Imóveis!$Q$5,Dados!$A1084,"m")),0))=0,0,((Imóveis!$N$5/Imóveis!$S$5)+((Imóveis!$N$5-((Imóveis!$S$5-(IF(AND(Dados!$A1084 &gt;=Imóveis!$Q$5,Dados!$A1084&lt;=Imóveis!$T$5),Imóveis!$S$5-(DATEDIF(Imóveis!$Q$5,Dados!$A1084,"m")),)))*(Imóveis!$N$5/Imóveis!$S$5)))*Imóveis!$P$5))))*IF(AND(Imóveis!$E$5&gt;0,Dados!$A1084&gt;Imóveis!$E$5),0,1)*Imóveis!$I$5</f>
        <v>0</v>
      </c>
      <c r="M1084" s="18">
        <f>IF(Imóveis!$F$6="PRICE",IF(AND(Dados!$A1084&gt;=Imóveis!$Q$6,Dados!$A1084&lt;=Imóveis!$T$6),Imóveis!$U$6,0),IF((IF(AND(Dados!$A1084&gt;=Imóveis!$Q$6,Dados!$A1084&lt;=Imóveis!$T$6),Imóveis!$S$6-(DATEDIF(Imóveis!$Q$6,Dados!$A1084,"m")),0))=0,0,((Imóveis!$N$6/Imóveis!$S$6)+((Imóveis!$N$6-((Imóveis!$S$6-(IF(AND(Dados!$A1084&gt;=Imóveis!$Q$6,Dados!$A1084&lt;=Imóveis!$T$6),Imóveis!$S$6-(DATEDIF(Imóveis!$Q$6,Dados!$A1084,"m")),)))*(Imóveis!$N$6/Imóveis!$S$6)))*Imóveis!$P$6))))*IF(AND(Imóveis!$E$6&gt;0,Dados!$A1084&gt;Imóveis!$E$6),0,1)*Imóveis!$I$6</f>
        <v>0</v>
      </c>
      <c r="N1084" s="18">
        <f t="shared" si="133"/>
        <v>0</v>
      </c>
      <c r="O1084" s="18">
        <f>SUMIFS(Receitas!$F:$F,Receitas!$J:$J,"&lt;="&amp;$A1084,Receitas!$L:$L,"&gt;="&amp;$A1084,Receitas!$C:$C,O$1,Receitas!$M:$M,"Mensal")+SUMIFS(Receitas!$F:$F,Receitas!$J:$J,"&lt;="&amp;$A1084,Receitas!$L:$L,"&gt;="&amp;$A1084,Receitas!$C:$C,O$1,Receitas!$M:$M,$B1084)</f>
        <v>0</v>
      </c>
      <c r="P1084" s="18">
        <f>SUMIFS(Receitas!$F:$F,Receitas!$J:$J,"&lt;="&amp;$A1084,Receitas!$L:$L,"&gt;="&amp;$A1084,Receitas!$C:$C,P$1,Receitas!$M:$M,"Mensal")+SUMIFS(Receitas!$F:$F,Receitas!$J:$J,"&lt;="&amp;$A1084,Receitas!$L:$L,"&gt;="&amp;$A1084,Receitas!$C:$C,P$1,Receitas!$M:$M,$B1084)</f>
        <v>0</v>
      </c>
      <c r="Q1084" s="18">
        <f>SUMIFS(Receitas!$F:$F,Receitas!$J:$J,"&lt;="&amp;$A1084,Receitas!$L:$L,"&gt;="&amp;$A1084,Receitas!$C:$C,Q$1,Receitas!$M:$M,"Mensal")+SUMIFS(Receitas!$F:$F,Receitas!$J:$J,"&lt;="&amp;$A1084,Receitas!$L:$L,"&gt;="&amp;$A1084,Receitas!$C:$C,Q$1,Receitas!$M:$M,$B1084)</f>
        <v>0</v>
      </c>
      <c r="R1084" s="18" cm="1">
        <f t="array" ref="R1084">(IF(AND(Membros!$F$2="Sim",A1084&lt;=MAX(Membros!$E$2:$E$5)),Membros!K$2,IF(AND(A1084&gt;=Membros!J$2,A1084&lt;=MAX(Membros!$E$2:$E$5)),Membros!K$2,0))+IF(AND(Membros!$F$3="Sim",A1084&lt;=MAX(Membros!$E$2:$E$5)),Membros!K$3,IF(AND(A1084&gt;=Membros!J$3,A1084&lt;=MAX(Membros!$E$2:$E$5)),Membros!K$3,0)))*IF(AND(COUNTIFS(Tabela3[Tipo],"Provedor",Tabela3[Simulação Seguro],"Sim")=2,A1084&gt;=MAX(IF(Tabela3[Tipo]="Dependente",Tabela3[Expectativa de Vida (Data)]))),0,1)</f>
        <v>0</v>
      </c>
      <c r="S1084" s="18">
        <f t="shared" si="134"/>
        <v>0</v>
      </c>
      <c r="U1084" s="18">
        <f t="shared" ca="1" si="137"/>
        <v>162375662.94642645</v>
      </c>
      <c r="V1084" s="18">
        <f>SUMIF(Imóveis!E:E,Dados!A:A,Imóveis!Z:Z)-SUMIF(Imóveis!E:E,Dados!A:A,Imóveis!Y:Y)</f>
        <v>0</v>
      </c>
      <c r="W1084" s="18">
        <f>-SUMIF(Projetos!N:N,A1084,Projetos!F:F)</f>
        <v>0</v>
      </c>
      <c r="X1084" s="18">
        <f t="shared" si="131"/>
        <v>0</v>
      </c>
      <c r="Y1084" s="26">
        <f ca="1">(U1084*((Indicadores_Economicos!D$2+1)^(1/12)-1))</f>
        <v>531575.66744863847</v>
      </c>
      <c r="Z1084" s="18">
        <f t="shared" ca="1" si="135"/>
        <v>162907238.61387509</v>
      </c>
      <c r="AA1084" s="18">
        <f ca="1">Auxiliar_Projetos!E1084</f>
        <v>1.3428733289433218E-8</v>
      </c>
      <c r="AB1084" s="18">
        <f ca="1">Auxiliar_Projetos!K1084</f>
        <v>1.0329794838025547E-8</v>
      </c>
      <c r="AC1084" s="18">
        <f ca="1">IF(Z1084-AA1084-AB1084&gt;Investimentos!$C$14,Investimentos!$C$14,IF(Z1084-AA1084-AB1084&lt;Investimentos!$C$14,Z1084-AA1084-AB1084,0))</f>
        <v>300000</v>
      </c>
      <c r="AD1084" s="18">
        <f t="shared" ca="1" si="136"/>
        <v>162607238.61387509</v>
      </c>
      <c r="AE1084" s="18"/>
    </row>
    <row r="1085" spans="1:31" x14ac:dyDescent="0.2">
      <c r="A1085" s="4">
        <v>78619</v>
      </c>
      <c r="B1085" s="5" t="str">
        <f t="shared" si="132"/>
        <v>abril</v>
      </c>
      <c r="C1085" s="5" t="str">
        <f t="shared" si="138"/>
        <v>2115</v>
      </c>
      <c r="D1085" s="5">
        <f>SUMIFS(Despesas!$F:$F,Despesas!$J:$J,"&lt;="&amp;$A1085,Despesas!$L:$L,"&gt;="&amp;$A1085,Despesas!$C:$C,D$1,Despesas!$M:$M,"Mensal")+SUMIFS(Despesas!$F:$F,Despesas!$J:$J,"&lt;="&amp;$A1085,Despesas!$L:$L,"&gt;="&amp;$A1085,Despesas!$C:$C,D$1,Despesas!$M:$M,$B1085)</f>
        <v>0</v>
      </c>
      <c r="E1085" s="18">
        <f>SUMIFS(Despesas!$F:$F,Despesas!$J:$J,"&lt;="&amp;$A1085,Despesas!$L:$L,"&gt;="&amp;$A1085,Despesas!$C:$C,E$1,Despesas!$M:$M,"Mensal")+SUMIFS(Despesas!$F:$F,Despesas!$J:$J,"&lt;="&amp;$A1085,Despesas!$L:$L,"&gt;="&amp;$A1085,Despesas!$C:$C,E$1,Despesas!$M:$M,$B1085)</f>
        <v>0</v>
      </c>
      <c r="F1085" s="5">
        <f>SUMIFS(Despesas!$F:$F,Despesas!$J:$J,"&lt;="&amp;$A1085,Despesas!$L:$L,"&gt;="&amp;$A1085,Despesas!$C:$C,F$1,Despesas!$M:$M,"Mensal")+SUMIFS(Despesas!$F:$F,Despesas!$J:$J,"&lt;="&amp;$A1085,Despesas!$L:$L,"&gt;="&amp;$A1085,Despesas!$C:$C,F$1,Despesas!$M:$M,$B1085)</f>
        <v>0</v>
      </c>
      <c r="G1085" s="5">
        <f>SUMIFS(Despesas!$F:$F,Despesas!$J:$J,"&lt;="&amp;$A1085,Despesas!$L:$L,"&gt;="&amp;$A1085,Despesas!$C:$C,G$1,Despesas!$M:$M,"Mensal")+SUMIFS(Despesas!$F:$F,Despesas!$J:$J,"&lt;="&amp;$A1085,Despesas!$L:$L,"&gt;="&amp;$A1085,Despesas!$C:$C,G$1,Despesas!$M:$M,$B1085)</f>
        <v>0</v>
      </c>
      <c r="H1085" s="18">
        <f>SUMIFS(Despesas!$F:$F,Despesas!$J:$J,"&lt;="&amp;$A1085,Despesas!$L:$L,"&gt;="&amp;$A1085,Despesas!$C:$C,H$1,Despesas!$M:$M,"Mensal")+SUMIFS(Despesas!$F:$F,Despesas!$J:$J,"&lt;="&amp;$A1085,Despesas!$L:$L,"&gt;="&amp;$A1085,Despesas!$C:$C,H$1,Despesas!$M:$M,$B1085)</f>
        <v>0</v>
      </c>
      <c r="I1085" s="18">
        <f>IF(Imóveis!$F$2="PRICE",IF(AND(Dados!$A1085&gt;=Imóveis!$Q$2,Dados!$A1085&lt;=Imóveis!$T$2),Imóveis!$U$2,0),IF((IF(AND(Dados!$A1085&gt;=Imóveis!$Q$2,Dados!$A1085&lt;=Imóveis!$T$2),Imóveis!$S$2-(DATEDIF(Imóveis!$Q$2,Dados!$A1085,"m")),0))=0,0,((Imóveis!$N$2/Imóveis!$S$2)+((Imóveis!$N$2-((Imóveis!$S$2-(IF(AND(Dados!$A1085&gt;=Imóveis!$Q$2,Dados!$A1085&lt;=Imóveis!$T$2),Imóveis!$S$2-(DATEDIF(Imóveis!$Q$2,Dados!$A1085,"m")),)))*(Imóveis!$N$2/Imóveis!$S$2)))*Imóveis!$P$2))))*IF(AND(Imóveis!$E$2&gt;0,Dados!$A1085&gt;Imóveis!$E$2),0,1)</f>
        <v>0</v>
      </c>
      <c r="J1085" s="18">
        <f>IF(Imóveis!$F$3="PRICE",IF(AND(Dados!$A1085&gt;=Imóveis!$Q$3,Dados!$A1085&lt;=Imóveis!$T$3),Imóveis!$U$3,0),IF((IF(AND(Dados!$A1085&gt;=Imóveis!$Q$3,Dados!$A1085&lt;=Imóveis!$T$3),Imóveis!$S$3-(DATEDIF(Imóveis!$Q$3,Dados!$A1085,"m")),0))=0,0,((Imóveis!$N$3/Imóveis!$S$3)+((Imóveis!$N$3-((Imóveis!$S$3-(IF(AND(Dados!$A1085&gt;=Imóveis!$Q$3,Dados!$A1085&lt;=Imóveis!$T$3),Imóveis!$S$3-(DATEDIF(Imóveis!$Q$3,Dados!$A1085,"m")),)))*(Imóveis!$N$3/Imóveis!$S$3)))*Imóveis!$P$3))))*IF(AND(Imóveis!$E$3&gt;0,Dados!$A1085&gt;Imóveis!$E$3),0,1)</f>
        <v>0</v>
      </c>
      <c r="K1085" s="18">
        <f>IF(Imóveis!$F$4="PRICE",IF(AND(Dados!$A1085&gt;=Imóveis!$Q$4,Dados!$A1085&lt;=Imóveis!$T$4),Imóveis!$U$4,0),IF((IF(AND(Dados!$A1085&gt;=Imóveis!$Q$4,Dados!$A1085&lt;=Imóveis!$T$4),Imóveis!$S$4-(DATEDIF(Imóveis!$Q$4,Dados!$A1085,"m")),0))=0,0,((Imóveis!$N$4/Imóveis!$S$4)+((Imóveis!$N$4-((Imóveis!$S$4-(IF(AND(Dados!$A1085&gt;=Imóveis!$Q$4,Dados!$A1085&lt;=Imóveis!$T$4),Imóveis!$S$4-(DATEDIF(Imóveis!$Q$4,Dados!$A1085,"m")),)))*(Imóveis!$N$4/Imóveis!$S$4)))*Imóveis!$P$4))))*IF(AND(Imóveis!$E$4&gt;0,Dados!$A1085&gt;Imóveis!$E$4),0,1)</f>
        <v>0</v>
      </c>
      <c r="L1085" s="18">
        <f>IF(Imóveis!$F$5="PRICE",IF(AND(Dados!$A1085&gt;=Imóveis!$Q$5,Dados!$A1085&lt;=Imóveis!$T$5),Imóveis!$U$5,0),IF((IF(AND(Dados!$A1085&gt;=Imóveis!$Q$5,Dados!$A1085&lt;=Imóveis!$T$5),Imóveis!$S$5-(DATEDIF(Imóveis!$Q$5,Dados!$A1085,"m")),0))=0,0,((Imóveis!$N$5/Imóveis!$S$5)+((Imóveis!$N$5-((Imóveis!$S$5-(IF(AND(Dados!$A1085 &gt;=Imóveis!$Q$5,Dados!$A1085&lt;=Imóveis!$T$5),Imóveis!$S$5-(DATEDIF(Imóveis!$Q$5,Dados!$A1085,"m")),)))*(Imóveis!$N$5/Imóveis!$S$5)))*Imóveis!$P$5))))*IF(AND(Imóveis!$E$5&gt;0,Dados!$A1085&gt;Imóveis!$E$5),0,1)*Imóveis!$I$5</f>
        <v>0</v>
      </c>
      <c r="M1085" s="18">
        <f>IF(Imóveis!$F$6="PRICE",IF(AND(Dados!$A1085&gt;=Imóveis!$Q$6,Dados!$A1085&lt;=Imóveis!$T$6),Imóveis!$U$6,0),IF((IF(AND(Dados!$A1085&gt;=Imóveis!$Q$6,Dados!$A1085&lt;=Imóveis!$T$6),Imóveis!$S$6-(DATEDIF(Imóveis!$Q$6,Dados!$A1085,"m")),0))=0,0,((Imóveis!$N$6/Imóveis!$S$6)+((Imóveis!$N$6-((Imóveis!$S$6-(IF(AND(Dados!$A1085&gt;=Imóveis!$Q$6,Dados!$A1085&lt;=Imóveis!$T$6),Imóveis!$S$6-(DATEDIF(Imóveis!$Q$6,Dados!$A1085,"m")),)))*(Imóveis!$N$6/Imóveis!$S$6)))*Imóveis!$P$6))))*IF(AND(Imóveis!$E$6&gt;0,Dados!$A1085&gt;Imóveis!$E$6),0,1)*Imóveis!$I$6</f>
        <v>0</v>
      </c>
      <c r="N1085" s="18">
        <f t="shared" si="133"/>
        <v>0</v>
      </c>
      <c r="O1085" s="18">
        <f>SUMIFS(Receitas!$F:$F,Receitas!$J:$J,"&lt;="&amp;$A1085,Receitas!$L:$L,"&gt;="&amp;$A1085,Receitas!$C:$C,O$1,Receitas!$M:$M,"Mensal")+SUMIFS(Receitas!$F:$F,Receitas!$J:$J,"&lt;="&amp;$A1085,Receitas!$L:$L,"&gt;="&amp;$A1085,Receitas!$C:$C,O$1,Receitas!$M:$M,$B1085)</f>
        <v>0</v>
      </c>
      <c r="P1085" s="18">
        <f>SUMIFS(Receitas!$F:$F,Receitas!$J:$J,"&lt;="&amp;$A1085,Receitas!$L:$L,"&gt;="&amp;$A1085,Receitas!$C:$C,P$1,Receitas!$M:$M,"Mensal")+SUMIFS(Receitas!$F:$F,Receitas!$J:$J,"&lt;="&amp;$A1085,Receitas!$L:$L,"&gt;="&amp;$A1085,Receitas!$C:$C,P$1,Receitas!$M:$M,$B1085)</f>
        <v>0</v>
      </c>
      <c r="Q1085" s="18">
        <f>SUMIFS(Receitas!$F:$F,Receitas!$J:$J,"&lt;="&amp;$A1085,Receitas!$L:$L,"&gt;="&amp;$A1085,Receitas!$C:$C,Q$1,Receitas!$M:$M,"Mensal")+SUMIFS(Receitas!$F:$F,Receitas!$J:$J,"&lt;="&amp;$A1085,Receitas!$L:$L,"&gt;="&amp;$A1085,Receitas!$C:$C,Q$1,Receitas!$M:$M,$B1085)</f>
        <v>0</v>
      </c>
      <c r="R1085" s="18" cm="1">
        <f t="array" ref="R1085">(IF(AND(Membros!$F$2="Sim",A1085&lt;=MAX(Membros!$E$2:$E$5)),Membros!K$2,IF(AND(A1085&gt;=Membros!J$2,A1085&lt;=MAX(Membros!$E$2:$E$5)),Membros!K$2,0))+IF(AND(Membros!$F$3="Sim",A1085&lt;=MAX(Membros!$E$2:$E$5)),Membros!K$3,IF(AND(A1085&gt;=Membros!J$3,A1085&lt;=MAX(Membros!$E$2:$E$5)),Membros!K$3,0)))*IF(AND(COUNTIFS(Tabela3[Tipo],"Provedor",Tabela3[Simulação Seguro],"Sim")=2,A1085&gt;=MAX(IF(Tabela3[Tipo]="Dependente",Tabela3[Expectativa de Vida (Data)]))),0,1)</f>
        <v>0</v>
      </c>
      <c r="S1085" s="18">
        <f t="shared" si="134"/>
        <v>0</v>
      </c>
      <c r="U1085" s="18">
        <f t="shared" ca="1" si="137"/>
        <v>162907238.61387509</v>
      </c>
      <c r="V1085" s="18">
        <f>SUMIF(Imóveis!E:E,Dados!A:A,Imóveis!Z:Z)-SUMIF(Imóveis!E:E,Dados!A:A,Imóveis!Y:Y)</f>
        <v>0</v>
      </c>
      <c r="W1085" s="18">
        <f>-SUMIF(Projetos!N:N,A1085,Projetos!F:F)</f>
        <v>0</v>
      </c>
      <c r="X1085" s="18">
        <f t="shared" si="131"/>
        <v>0</v>
      </c>
      <c r="Y1085" s="26">
        <f ca="1">(U1085*((Indicadores_Economicos!D$2+1)^(1/12)-1))</f>
        <v>533315.90785841399</v>
      </c>
      <c r="Z1085" s="18">
        <f t="shared" ca="1" si="135"/>
        <v>163440554.52173349</v>
      </c>
      <c r="AA1085" s="18">
        <f ca="1">Auxiliar_Projetos!E1085</f>
        <v>1.3472695467827374E-8</v>
      </c>
      <c r="AB1085" s="18">
        <f ca="1">Auxiliar_Projetos!K1085</f>
        <v>1.0363611898328744E-8</v>
      </c>
      <c r="AC1085" s="18">
        <f ca="1">IF(Z1085-AA1085-AB1085&gt;Investimentos!$C$14,Investimentos!$C$14,IF(Z1085-AA1085-AB1085&lt;Investimentos!$C$14,Z1085-AA1085-AB1085,0))</f>
        <v>300000</v>
      </c>
      <c r="AD1085" s="18">
        <f t="shared" ca="1" si="136"/>
        <v>163140554.52173349</v>
      </c>
      <c r="AE1085" s="18"/>
    </row>
    <row r="1086" spans="1:31" x14ac:dyDescent="0.2">
      <c r="A1086" s="4">
        <v>78649</v>
      </c>
      <c r="B1086" s="5" t="str">
        <f t="shared" si="132"/>
        <v>maio</v>
      </c>
      <c r="C1086" s="5" t="str">
        <f t="shared" si="138"/>
        <v>2115</v>
      </c>
      <c r="D1086" s="5">
        <f>SUMIFS(Despesas!$F:$F,Despesas!$J:$J,"&lt;="&amp;$A1086,Despesas!$L:$L,"&gt;="&amp;$A1086,Despesas!$C:$C,D$1,Despesas!$M:$M,"Mensal")+SUMIFS(Despesas!$F:$F,Despesas!$J:$J,"&lt;="&amp;$A1086,Despesas!$L:$L,"&gt;="&amp;$A1086,Despesas!$C:$C,D$1,Despesas!$M:$M,$B1086)</f>
        <v>0</v>
      </c>
      <c r="E1086" s="18">
        <f>SUMIFS(Despesas!$F:$F,Despesas!$J:$J,"&lt;="&amp;$A1086,Despesas!$L:$L,"&gt;="&amp;$A1086,Despesas!$C:$C,E$1,Despesas!$M:$M,"Mensal")+SUMIFS(Despesas!$F:$F,Despesas!$J:$J,"&lt;="&amp;$A1086,Despesas!$L:$L,"&gt;="&amp;$A1086,Despesas!$C:$C,E$1,Despesas!$M:$M,$B1086)</f>
        <v>0</v>
      </c>
      <c r="F1086" s="5">
        <f>SUMIFS(Despesas!$F:$F,Despesas!$J:$J,"&lt;="&amp;$A1086,Despesas!$L:$L,"&gt;="&amp;$A1086,Despesas!$C:$C,F$1,Despesas!$M:$M,"Mensal")+SUMIFS(Despesas!$F:$F,Despesas!$J:$J,"&lt;="&amp;$A1086,Despesas!$L:$L,"&gt;="&amp;$A1086,Despesas!$C:$C,F$1,Despesas!$M:$M,$B1086)</f>
        <v>0</v>
      </c>
      <c r="G1086" s="5">
        <f>SUMIFS(Despesas!$F:$F,Despesas!$J:$J,"&lt;="&amp;$A1086,Despesas!$L:$L,"&gt;="&amp;$A1086,Despesas!$C:$C,G$1,Despesas!$M:$M,"Mensal")+SUMIFS(Despesas!$F:$F,Despesas!$J:$J,"&lt;="&amp;$A1086,Despesas!$L:$L,"&gt;="&amp;$A1086,Despesas!$C:$C,G$1,Despesas!$M:$M,$B1086)</f>
        <v>0</v>
      </c>
      <c r="H1086" s="18">
        <f>SUMIFS(Despesas!$F:$F,Despesas!$J:$J,"&lt;="&amp;$A1086,Despesas!$L:$L,"&gt;="&amp;$A1086,Despesas!$C:$C,H$1,Despesas!$M:$M,"Mensal")+SUMIFS(Despesas!$F:$F,Despesas!$J:$J,"&lt;="&amp;$A1086,Despesas!$L:$L,"&gt;="&amp;$A1086,Despesas!$C:$C,H$1,Despesas!$M:$M,$B1086)</f>
        <v>0</v>
      </c>
      <c r="I1086" s="18">
        <f>IF(Imóveis!$F$2="PRICE",IF(AND(Dados!$A1086&gt;=Imóveis!$Q$2,Dados!$A1086&lt;=Imóveis!$T$2),Imóveis!$U$2,0),IF((IF(AND(Dados!$A1086&gt;=Imóveis!$Q$2,Dados!$A1086&lt;=Imóveis!$T$2),Imóveis!$S$2-(DATEDIF(Imóveis!$Q$2,Dados!$A1086,"m")),0))=0,0,((Imóveis!$N$2/Imóveis!$S$2)+((Imóveis!$N$2-((Imóveis!$S$2-(IF(AND(Dados!$A1086&gt;=Imóveis!$Q$2,Dados!$A1086&lt;=Imóveis!$T$2),Imóveis!$S$2-(DATEDIF(Imóveis!$Q$2,Dados!$A1086,"m")),)))*(Imóveis!$N$2/Imóveis!$S$2)))*Imóveis!$P$2))))*IF(AND(Imóveis!$E$2&gt;0,Dados!$A1086&gt;Imóveis!$E$2),0,1)</f>
        <v>0</v>
      </c>
      <c r="J1086" s="18">
        <f>IF(Imóveis!$F$3="PRICE",IF(AND(Dados!$A1086&gt;=Imóveis!$Q$3,Dados!$A1086&lt;=Imóveis!$T$3),Imóveis!$U$3,0),IF((IF(AND(Dados!$A1086&gt;=Imóveis!$Q$3,Dados!$A1086&lt;=Imóveis!$T$3),Imóveis!$S$3-(DATEDIF(Imóveis!$Q$3,Dados!$A1086,"m")),0))=0,0,((Imóveis!$N$3/Imóveis!$S$3)+((Imóveis!$N$3-((Imóveis!$S$3-(IF(AND(Dados!$A1086&gt;=Imóveis!$Q$3,Dados!$A1086&lt;=Imóveis!$T$3),Imóveis!$S$3-(DATEDIF(Imóveis!$Q$3,Dados!$A1086,"m")),)))*(Imóveis!$N$3/Imóveis!$S$3)))*Imóveis!$P$3))))*IF(AND(Imóveis!$E$3&gt;0,Dados!$A1086&gt;Imóveis!$E$3),0,1)</f>
        <v>0</v>
      </c>
      <c r="K1086" s="18">
        <f>IF(Imóveis!$F$4="PRICE",IF(AND(Dados!$A1086&gt;=Imóveis!$Q$4,Dados!$A1086&lt;=Imóveis!$T$4),Imóveis!$U$4,0),IF((IF(AND(Dados!$A1086&gt;=Imóveis!$Q$4,Dados!$A1086&lt;=Imóveis!$T$4),Imóveis!$S$4-(DATEDIF(Imóveis!$Q$4,Dados!$A1086,"m")),0))=0,0,((Imóveis!$N$4/Imóveis!$S$4)+((Imóveis!$N$4-((Imóveis!$S$4-(IF(AND(Dados!$A1086&gt;=Imóveis!$Q$4,Dados!$A1086&lt;=Imóveis!$T$4),Imóveis!$S$4-(DATEDIF(Imóveis!$Q$4,Dados!$A1086,"m")),)))*(Imóveis!$N$4/Imóveis!$S$4)))*Imóveis!$P$4))))*IF(AND(Imóveis!$E$4&gt;0,Dados!$A1086&gt;Imóveis!$E$4),0,1)</f>
        <v>0</v>
      </c>
      <c r="L1086" s="18">
        <f>IF(Imóveis!$F$5="PRICE",IF(AND(Dados!$A1086&gt;=Imóveis!$Q$5,Dados!$A1086&lt;=Imóveis!$T$5),Imóveis!$U$5,0),IF((IF(AND(Dados!$A1086&gt;=Imóveis!$Q$5,Dados!$A1086&lt;=Imóveis!$T$5),Imóveis!$S$5-(DATEDIF(Imóveis!$Q$5,Dados!$A1086,"m")),0))=0,0,((Imóveis!$N$5/Imóveis!$S$5)+((Imóveis!$N$5-((Imóveis!$S$5-(IF(AND(Dados!$A1086 &gt;=Imóveis!$Q$5,Dados!$A1086&lt;=Imóveis!$T$5),Imóveis!$S$5-(DATEDIF(Imóveis!$Q$5,Dados!$A1086,"m")),)))*(Imóveis!$N$5/Imóveis!$S$5)))*Imóveis!$P$5))))*IF(AND(Imóveis!$E$5&gt;0,Dados!$A1086&gt;Imóveis!$E$5),0,1)*Imóveis!$I$5</f>
        <v>0</v>
      </c>
      <c r="M1086" s="18">
        <f>IF(Imóveis!$F$6="PRICE",IF(AND(Dados!$A1086&gt;=Imóveis!$Q$6,Dados!$A1086&lt;=Imóveis!$T$6),Imóveis!$U$6,0),IF((IF(AND(Dados!$A1086&gt;=Imóveis!$Q$6,Dados!$A1086&lt;=Imóveis!$T$6),Imóveis!$S$6-(DATEDIF(Imóveis!$Q$6,Dados!$A1086,"m")),0))=0,0,((Imóveis!$N$6/Imóveis!$S$6)+((Imóveis!$N$6-((Imóveis!$S$6-(IF(AND(Dados!$A1086&gt;=Imóveis!$Q$6,Dados!$A1086&lt;=Imóveis!$T$6),Imóveis!$S$6-(DATEDIF(Imóveis!$Q$6,Dados!$A1086,"m")),)))*(Imóveis!$N$6/Imóveis!$S$6)))*Imóveis!$P$6))))*IF(AND(Imóveis!$E$6&gt;0,Dados!$A1086&gt;Imóveis!$E$6),0,1)*Imóveis!$I$6</f>
        <v>0</v>
      </c>
      <c r="N1086" s="18">
        <f t="shared" si="133"/>
        <v>0</v>
      </c>
      <c r="O1086" s="18">
        <f>SUMIFS(Receitas!$F:$F,Receitas!$J:$J,"&lt;="&amp;$A1086,Receitas!$L:$L,"&gt;="&amp;$A1086,Receitas!$C:$C,O$1,Receitas!$M:$M,"Mensal")+SUMIFS(Receitas!$F:$F,Receitas!$J:$J,"&lt;="&amp;$A1086,Receitas!$L:$L,"&gt;="&amp;$A1086,Receitas!$C:$C,O$1,Receitas!$M:$M,$B1086)</f>
        <v>0</v>
      </c>
      <c r="P1086" s="18">
        <f>SUMIFS(Receitas!$F:$F,Receitas!$J:$J,"&lt;="&amp;$A1086,Receitas!$L:$L,"&gt;="&amp;$A1086,Receitas!$C:$C,P$1,Receitas!$M:$M,"Mensal")+SUMIFS(Receitas!$F:$F,Receitas!$J:$J,"&lt;="&amp;$A1086,Receitas!$L:$L,"&gt;="&amp;$A1086,Receitas!$C:$C,P$1,Receitas!$M:$M,$B1086)</f>
        <v>0</v>
      </c>
      <c r="Q1086" s="18">
        <f>SUMIFS(Receitas!$F:$F,Receitas!$J:$J,"&lt;="&amp;$A1086,Receitas!$L:$L,"&gt;="&amp;$A1086,Receitas!$C:$C,Q$1,Receitas!$M:$M,"Mensal")+SUMIFS(Receitas!$F:$F,Receitas!$J:$J,"&lt;="&amp;$A1086,Receitas!$L:$L,"&gt;="&amp;$A1086,Receitas!$C:$C,Q$1,Receitas!$M:$M,$B1086)</f>
        <v>0</v>
      </c>
      <c r="R1086" s="18" cm="1">
        <f t="array" ref="R1086">(IF(AND(Membros!$F$2="Sim",A1086&lt;=MAX(Membros!$E$2:$E$5)),Membros!K$2,IF(AND(A1086&gt;=Membros!J$2,A1086&lt;=MAX(Membros!$E$2:$E$5)),Membros!K$2,0))+IF(AND(Membros!$F$3="Sim",A1086&lt;=MAX(Membros!$E$2:$E$5)),Membros!K$3,IF(AND(A1086&gt;=Membros!J$3,A1086&lt;=MAX(Membros!$E$2:$E$5)),Membros!K$3,0)))*IF(AND(COUNTIFS(Tabela3[Tipo],"Provedor",Tabela3[Simulação Seguro],"Sim")=2,A1086&gt;=MAX(IF(Tabela3[Tipo]="Dependente",Tabela3[Expectativa de Vida (Data)]))),0,1)</f>
        <v>0</v>
      </c>
      <c r="S1086" s="18">
        <f t="shared" si="134"/>
        <v>0</v>
      </c>
      <c r="U1086" s="18">
        <f t="shared" ca="1" si="137"/>
        <v>163440554.52173349</v>
      </c>
      <c r="V1086" s="18">
        <f>SUMIF(Imóveis!E:E,Dados!A:A,Imóveis!Z:Z)-SUMIF(Imóveis!E:E,Dados!A:A,Imóveis!Y:Y)</f>
        <v>0</v>
      </c>
      <c r="W1086" s="18">
        <f>-SUMIF(Projetos!N:N,A1086,Projetos!F:F)</f>
        <v>0</v>
      </c>
      <c r="X1086" s="18">
        <f t="shared" si="131"/>
        <v>0</v>
      </c>
      <c r="Y1086" s="26">
        <f ca="1">(U1086*((Indicadores_Economicos!D$2+1)^(1/12)-1))</f>
        <v>535061.84536244965</v>
      </c>
      <c r="Z1086" s="18">
        <f t="shared" ca="1" si="135"/>
        <v>163975616.36709595</v>
      </c>
      <c r="AA1086" s="18">
        <f ca="1">Auxiliar_Projetos!E1086</f>
        <v>1.3516801566953851E-8</v>
      </c>
      <c r="AB1086" s="18">
        <f ca="1">Auxiliar_Projetos!K1086</f>
        <v>1.0397539666887573E-8</v>
      </c>
      <c r="AC1086" s="18">
        <f ca="1">IF(Z1086-AA1086-AB1086&gt;Investimentos!$C$14,Investimentos!$C$14,IF(Z1086-AA1086-AB1086&lt;Investimentos!$C$14,Z1086-AA1086-AB1086,0))</f>
        <v>300000</v>
      </c>
      <c r="AD1086" s="18">
        <f t="shared" ca="1" si="136"/>
        <v>163675616.36709595</v>
      </c>
      <c r="AE1086" s="18"/>
    </row>
    <row r="1087" spans="1:31" x14ac:dyDescent="0.2">
      <c r="A1087" s="4">
        <v>78680</v>
      </c>
      <c r="B1087" s="5" t="str">
        <f t="shared" si="132"/>
        <v>junho</v>
      </c>
      <c r="C1087" s="5" t="str">
        <f t="shared" si="138"/>
        <v>2115</v>
      </c>
      <c r="D1087" s="5">
        <f>SUMIFS(Despesas!$F:$F,Despesas!$J:$J,"&lt;="&amp;$A1087,Despesas!$L:$L,"&gt;="&amp;$A1087,Despesas!$C:$C,D$1,Despesas!$M:$M,"Mensal")+SUMIFS(Despesas!$F:$F,Despesas!$J:$J,"&lt;="&amp;$A1087,Despesas!$L:$L,"&gt;="&amp;$A1087,Despesas!$C:$C,D$1,Despesas!$M:$M,$B1087)</f>
        <v>0</v>
      </c>
      <c r="E1087" s="18">
        <f>SUMIFS(Despesas!$F:$F,Despesas!$J:$J,"&lt;="&amp;$A1087,Despesas!$L:$L,"&gt;="&amp;$A1087,Despesas!$C:$C,E$1,Despesas!$M:$M,"Mensal")+SUMIFS(Despesas!$F:$F,Despesas!$J:$J,"&lt;="&amp;$A1087,Despesas!$L:$L,"&gt;="&amp;$A1087,Despesas!$C:$C,E$1,Despesas!$M:$M,$B1087)</f>
        <v>0</v>
      </c>
      <c r="F1087" s="5">
        <f>SUMIFS(Despesas!$F:$F,Despesas!$J:$J,"&lt;="&amp;$A1087,Despesas!$L:$L,"&gt;="&amp;$A1087,Despesas!$C:$C,F$1,Despesas!$M:$M,"Mensal")+SUMIFS(Despesas!$F:$F,Despesas!$J:$J,"&lt;="&amp;$A1087,Despesas!$L:$L,"&gt;="&amp;$A1087,Despesas!$C:$C,F$1,Despesas!$M:$M,$B1087)</f>
        <v>0</v>
      </c>
      <c r="G1087" s="5">
        <f>SUMIFS(Despesas!$F:$F,Despesas!$J:$J,"&lt;="&amp;$A1087,Despesas!$L:$L,"&gt;="&amp;$A1087,Despesas!$C:$C,G$1,Despesas!$M:$M,"Mensal")+SUMIFS(Despesas!$F:$F,Despesas!$J:$J,"&lt;="&amp;$A1087,Despesas!$L:$L,"&gt;="&amp;$A1087,Despesas!$C:$C,G$1,Despesas!$M:$M,$B1087)</f>
        <v>0</v>
      </c>
      <c r="H1087" s="18">
        <f>SUMIFS(Despesas!$F:$F,Despesas!$J:$J,"&lt;="&amp;$A1087,Despesas!$L:$L,"&gt;="&amp;$A1087,Despesas!$C:$C,H$1,Despesas!$M:$M,"Mensal")+SUMIFS(Despesas!$F:$F,Despesas!$J:$J,"&lt;="&amp;$A1087,Despesas!$L:$L,"&gt;="&amp;$A1087,Despesas!$C:$C,H$1,Despesas!$M:$M,$B1087)</f>
        <v>0</v>
      </c>
      <c r="I1087" s="18">
        <f>IF(Imóveis!$F$2="PRICE",IF(AND(Dados!$A1087&gt;=Imóveis!$Q$2,Dados!$A1087&lt;=Imóveis!$T$2),Imóveis!$U$2,0),IF((IF(AND(Dados!$A1087&gt;=Imóveis!$Q$2,Dados!$A1087&lt;=Imóveis!$T$2),Imóveis!$S$2-(DATEDIF(Imóveis!$Q$2,Dados!$A1087,"m")),0))=0,0,((Imóveis!$N$2/Imóveis!$S$2)+((Imóveis!$N$2-((Imóveis!$S$2-(IF(AND(Dados!$A1087&gt;=Imóveis!$Q$2,Dados!$A1087&lt;=Imóveis!$T$2),Imóveis!$S$2-(DATEDIF(Imóveis!$Q$2,Dados!$A1087,"m")),)))*(Imóveis!$N$2/Imóveis!$S$2)))*Imóveis!$P$2))))*IF(AND(Imóveis!$E$2&gt;0,Dados!$A1087&gt;Imóveis!$E$2),0,1)</f>
        <v>0</v>
      </c>
      <c r="J1087" s="18">
        <f>IF(Imóveis!$F$3="PRICE",IF(AND(Dados!$A1087&gt;=Imóveis!$Q$3,Dados!$A1087&lt;=Imóveis!$T$3),Imóveis!$U$3,0),IF((IF(AND(Dados!$A1087&gt;=Imóveis!$Q$3,Dados!$A1087&lt;=Imóveis!$T$3),Imóveis!$S$3-(DATEDIF(Imóveis!$Q$3,Dados!$A1087,"m")),0))=0,0,((Imóveis!$N$3/Imóveis!$S$3)+((Imóveis!$N$3-((Imóveis!$S$3-(IF(AND(Dados!$A1087&gt;=Imóveis!$Q$3,Dados!$A1087&lt;=Imóveis!$T$3),Imóveis!$S$3-(DATEDIF(Imóveis!$Q$3,Dados!$A1087,"m")),)))*(Imóveis!$N$3/Imóveis!$S$3)))*Imóveis!$P$3))))*IF(AND(Imóveis!$E$3&gt;0,Dados!$A1087&gt;Imóveis!$E$3),0,1)</f>
        <v>0</v>
      </c>
      <c r="K1087" s="18">
        <f>IF(Imóveis!$F$4="PRICE",IF(AND(Dados!$A1087&gt;=Imóveis!$Q$4,Dados!$A1087&lt;=Imóveis!$T$4),Imóveis!$U$4,0),IF((IF(AND(Dados!$A1087&gt;=Imóveis!$Q$4,Dados!$A1087&lt;=Imóveis!$T$4),Imóveis!$S$4-(DATEDIF(Imóveis!$Q$4,Dados!$A1087,"m")),0))=0,0,((Imóveis!$N$4/Imóveis!$S$4)+((Imóveis!$N$4-((Imóveis!$S$4-(IF(AND(Dados!$A1087&gt;=Imóveis!$Q$4,Dados!$A1087&lt;=Imóveis!$T$4),Imóveis!$S$4-(DATEDIF(Imóveis!$Q$4,Dados!$A1087,"m")),)))*(Imóveis!$N$4/Imóveis!$S$4)))*Imóveis!$P$4))))*IF(AND(Imóveis!$E$4&gt;0,Dados!$A1087&gt;Imóveis!$E$4),0,1)</f>
        <v>0</v>
      </c>
      <c r="L1087" s="18">
        <f>IF(Imóveis!$F$5="PRICE",IF(AND(Dados!$A1087&gt;=Imóveis!$Q$5,Dados!$A1087&lt;=Imóveis!$T$5),Imóveis!$U$5,0),IF((IF(AND(Dados!$A1087&gt;=Imóveis!$Q$5,Dados!$A1087&lt;=Imóveis!$T$5),Imóveis!$S$5-(DATEDIF(Imóveis!$Q$5,Dados!$A1087,"m")),0))=0,0,((Imóveis!$N$5/Imóveis!$S$5)+((Imóveis!$N$5-((Imóveis!$S$5-(IF(AND(Dados!$A1087 &gt;=Imóveis!$Q$5,Dados!$A1087&lt;=Imóveis!$T$5),Imóveis!$S$5-(DATEDIF(Imóveis!$Q$5,Dados!$A1087,"m")),)))*(Imóveis!$N$5/Imóveis!$S$5)))*Imóveis!$P$5))))*IF(AND(Imóveis!$E$5&gt;0,Dados!$A1087&gt;Imóveis!$E$5),0,1)*Imóveis!$I$5</f>
        <v>0</v>
      </c>
      <c r="M1087" s="18">
        <f>IF(Imóveis!$F$6="PRICE",IF(AND(Dados!$A1087&gt;=Imóveis!$Q$6,Dados!$A1087&lt;=Imóveis!$T$6),Imóveis!$U$6,0),IF((IF(AND(Dados!$A1087&gt;=Imóveis!$Q$6,Dados!$A1087&lt;=Imóveis!$T$6),Imóveis!$S$6-(DATEDIF(Imóveis!$Q$6,Dados!$A1087,"m")),0))=0,0,((Imóveis!$N$6/Imóveis!$S$6)+((Imóveis!$N$6-((Imóveis!$S$6-(IF(AND(Dados!$A1087&gt;=Imóveis!$Q$6,Dados!$A1087&lt;=Imóveis!$T$6),Imóveis!$S$6-(DATEDIF(Imóveis!$Q$6,Dados!$A1087,"m")),)))*(Imóveis!$N$6/Imóveis!$S$6)))*Imóveis!$P$6))))*IF(AND(Imóveis!$E$6&gt;0,Dados!$A1087&gt;Imóveis!$E$6),0,1)*Imóveis!$I$6</f>
        <v>0</v>
      </c>
      <c r="N1087" s="18">
        <f t="shared" si="133"/>
        <v>0</v>
      </c>
      <c r="O1087" s="18">
        <f>SUMIFS(Receitas!$F:$F,Receitas!$J:$J,"&lt;="&amp;$A1087,Receitas!$L:$L,"&gt;="&amp;$A1087,Receitas!$C:$C,O$1,Receitas!$M:$M,"Mensal")+SUMIFS(Receitas!$F:$F,Receitas!$J:$J,"&lt;="&amp;$A1087,Receitas!$L:$L,"&gt;="&amp;$A1087,Receitas!$C:$C,O$1,Receitas!$M:$M,$B1087)</f>
        <v>0</v>
      </c>
      <c r="P1087" s="18">
        <f>SUMIFS(Receitas!$F:$F,Receitas!$J:$J,"&lt;="&amp;$A1087,Receitas!$L:$L,"&gt;="&amp;$A1087,Receitas!$C:$C,P$1,Receitas!$M:$M,"Mensal")+SUMIFS(Receitas!$F:$F,Receitas!$J:$J,"&lt;="&amp;$A1087,Receitas!$L:$L,"&gt;="&amp;$A1087,Receitas!$C:$C,P$1,Receitas!$M:$M,$B1087)</f>
        <v>0</v>
      </c>
      <c r="Q1087" s="18">
        <f>SUMIFS(Receitas!$F:$F,Receitas!$J:$J,"&lt;="&amp;$A1087,Receitas!$L:$L,"&gt;="&amp;$A1087,Receitas!$C:$C,Q$1,Receitas!$M:$M,"Mensal")+SUMIFS(Receitas!$F:$F,Receitas!$J:$J,"&lt;="&amp;$A1087,Receitas!$L:$L,"&gt;="&amp;$A1087,Receitas!$C:$C,Q$1,Receitas!$M:$M,$B1087)</f>
        <v>0</v>
      </c>
      <c r="R1087" s="18" cm="1">
        <f t="array" ref="R1087">(IF(AND(Membros!$F$2="Sim",A1087&lt;=MAX(Membros!$E$2:$E$5)),Membros!K$2,IF(AND(A1087&gt;=Membros!J$2,A1087&lt;=MAX(Membros!$E$2:$E$5)),Membros!K$2,0))+IF(AND(Membros!$F$3="Sim",A1087&lt;=MAX(Membros!$E$2:$E$5)),Membros!K$3,IF(AND(A1087&gt;=Membros!J$3,A1087&lt;=MAX(Membros!$E$2:$E$5)),Membros!K$3,0)))*IF(AND(COUNTIFS(Tabela3[Tipo],"Provedor",Tabela3[Simulação Seguro],"Sim")=2,A1087&gt;=MAX(IF(Tabela3[Tipo]="Dependente",Tabela3[Expectativa de Vida (Data)]))),0,1)</f>
        <v>0</v>
      </c>
      <c r="S1087" s="18">
        <f t="shared" si="134"/>
        <v>0</v>
      </c>
      <c r="U1087" s="18">
        <f t="shared" ca="1" si="137"/>
        <v>163975616.36709595</v>
      </c>
      <c r="V1087" s="18">
        <f>SUMIF(Imóveis!E:E,Dados!A:A,Imóveis!Z:Z)-SUMIF(Imóveis!E:E,Dados!A:A,Imóveis!Y:Y)</f>
        <v>0</v>
      </c>
      <c r="W1087" s="18">
        <f>-SUMIF(Projetos!N:N,A1087,Projetos!F:F)</f>
        <v>0</v>
      </c>
      <c r="X1087" s="18">
        <f t="shared" si="131"/>
        <v>0</v>
      </c>
      <c r="Y1087" s="26">
        <f ca="1">(U1087*((Indicadores_Economicos!D$2+1)^(1/12)-1))</f>
        <v>536813.4986115495</v>
      </c>
      <c r="Z1087" s="18">
        <f t="shared" ca="1" si="135"/>
        <v>164512429.86570749</v>
      </c>
      <c r="AA1087" s="18">
        <f ca="1">Auxiliar_Projetos!E1087</f>
        <v>1.3561052057971676E-8</v>
      </c>
      <c r="AB1087" s="18">
        <f ca="1">Auxiliar_Projetos!K1087</f>
        <v>1.0431578506132054E-8</v>
      </c>
      <c r="AC1087" s="18">
        <f ca="1">IF(Z1087-AA1087-AB1087&gt;Investimentos!$C$14,Investimentos!$C$14,IF(Z1087-AA1087-AB1087&lt;Investimentos!$C$14,Z1087-AA1087-AB1087,0))</f>
        <v>300000</v>
      </c>
      <c r="AD1087" s="18">
        <f t="shared" ca="1" si="136"/>
        <v>164212429.86570749</v>
      </c>
      <c r="AE1087" s="18"/>
    </row>
    <row r="1088" spans="1:31" x14ac:dyDescent="0.2">
      <c r="A1088" s="4">
        <v>78710</v>
      </c>
      <c r="B1088" s="5" t="str">
        <f t="shared" si="132"/>
        <v>julho</v>
      </c>
      <c r="C1088" s="5" t="str">
        <f t="shared" si="138"/>
        <v>2115</v>
      </c>
      <c r="D1088" s="5">
        <f>SUMIFS(Despesas!$F:$F,Despesas!$J:$J,"&lt;="&amp;$A1088,Despesas!$L:$L,"&gt;="&amp;$A1088,Despesas!$C:$C,D$1,Despesas!$M:$M,"Mensal")+SUMIFS(Despesas!$F:$F,Despesas!$J:$J,"&lt;="&amp;$A1088,Despesas!$L:$L,"&gt;="&amp;$A1088,Despesas!$C:$C,D$1,Despesas!$M:$M,$B1088)</f>
        <v>0</v>
      </c>
      <c r="E1088" s="18">
        <f>SUMIFS(Despesas!$F:$F,Despesas!$J:$J,"&lt;="&amp;$A1088,Despesas!$L:$L,"&gt;="&amp;$A1088,Despesas!$C:$C,E$1,Despesas!$M:$M,"Mensal")+SUMIFS(Despesas!$F:$F,Despesas!$J:$J,"&lt;="&amp;$A1088,Despesas!$L:$L,"&gt;="&amp;$A1088,Despesas!$C:$C,E$1,Despesas!$M:$M,$B1088)</f>
        <v>0</v>
      </c>
      <c r="F1088" s="5">
        <f>SUMIFS(Despesas!$F:$F,Despesas!$J:$J,"&lt;="&amp;$A1088,Despesas!$L:$L,"&gt;="&amp;$A1088,Despesas!$C:$C,F$1,Despesas!$M:$M,"Mensal")+SUMIFS(Despesas!$F:$F,Despesas!$J:$J,"&lt;="&amp;$A1088,Despesas!$L:$L,"&gt;="&amp;$A1088,Despesas!$C:$C,F$1,Despesas!$M:$M,$B1088)</f>
        <v>0</v>
      </c>
      <c r="G1088" s="5">
        <f>SUMIFS(Despesas!$F:$F,Despesas!$J:$J,"&lt;="&amp;$A1088,Despesas!$L:$L,"&gt;="&amp;$A1088,Despesas!$C:$C,G$1,Despesas!$M:$M,"Mensal")+SUMIFS(Despesas!$F:$F,Despesas!$J:$J,"&lt;="&amp;$A1088,Despesas!$L:$L,"&gt;="&amp;$A1088,Despesas!$C:$C,G$1,Despesas!$M:$M,$B1088)</f>
        <v>0</v>
      </c>
      <c r="H1088" s="18">
        <f>SUMIFS(Despesas!$F:$F,Despesas!$J:$J,"&lt;="&amp;$A1088,Despesas!$L:$L,"&gt;="&amp;$A1088,Despesas!$C:$C,H$1,Despesas!$M:$M,"Mensal")+SUMIFS(Despesas!$F:$F,Despesas!$J:$J,"&lt;="&amp;$A1088,Despesas!$L:$L,"&gt;="&amp;$A1088,Despesas!$C:$C,H$1,Despesas!$M:$M,$B1088)</f>
        <v>0</v>
      </c>
      <c r="I1088" s="18">
        <f>IF(Imóveis!$F$2="PRICE",IF(AND(Dados!$A1088&gt;=Imóveis!$Q$2,Dados!$A1088&lt;=Imóveis!$T$2),Imóveis!$U$2,0),IF((IF(AND(Dados!$A1088&gt;=Imóveis!$Q$2,Dados!$A1088&lt;=Imóveis!$T$2),Imóveis!$S$2-(DATEDIF(Imóveis!$Q$2,Dados!$A1088,"m")),0))=0,0,((Imóveis!$N$2/Imóveis!$S$2)+((Imóveis!$N$2-((Imóveis!$S$2-(IF(AND(Dados!$A1088&gt;=Imóveis!$Q$2,Dados!$A1088&lt;=Imóveis!$T$2),Imóveis!$S$2-(DATEDIF(Imóveis!$Q$2,Dados!$A1088,"m")),)))*(Imóveis!$N$2/Imóveis!$S$2)))*Imóveis!$P$2))))*IF(AND(Imóveis!$E$2&gt;0,Dados!$A1088&gt;Imóveis!$E$2),0,1)</f>
        <v>0</v>
      </c>
      <c r="J1088" s="18">
        <f>IF(Imóveis!$F$3="PRICE",IF(AND(Dados!$A1088&gt;=Imóveis!$Q$3,Dados!$A1088&lt;=Imóveis!$T$3),Imóveis!$U$3,0),IF((IF(AND(Dados!$A1088&gt;=Imóveis!$Q$3,Dados!$A1088&lt;=Imóveis!$T$3),Imóveis!$S$3-(DATEDIF(Imóveis!$Q$3,Dados!$A1088,"m")),0))=0,0,((Imóveis!$N$3/Imóveis!$S$3)+((Imóveis!$N$3-((Imóveis!$S$3-(IF(AND(Dados!$A1088&gt;=Imóveis!$Q$3,Dados!$A1088&lt;=Imóveis!$T$3),Imóveis!$S$3-(DATEDIF(Imóveis!$Q$3,Dados!$A1088,"m")),)))*(Imóveis!$N$3/Imóveis!$S$3)))*Imóveis!$P$3))))*IF(AND(Imóveis!$E$3&gt;0,Dados!$A1088&gt;Imóveis!$E$3),0,1)</f>
        <v>0</v>
      </c>
      <c r="K1088" s="18">
        <f>IF(Imóveis!$F$4="PRICE",IF(AND(Dados!$A1088&gt;=Imóveis!$Q$4,Dados!$A1088&lt;=Imóveis!$T$4),Imóveis!$U$4,0),IF((IF(AND(Dados!$A1088&gt;=Imóveis!$Q$4,Dados!$A1088&lt;=Imóveis!$T$4),Imóveis!$S$4-(DATEDIF(Imóveis!$Q$4,Dados!$A1088,"m")),0))=0,0,((Imóveis!$N$4/Imóveis!$S$4)+((Imóveis!$N$4-((Imóveis!$S$4-(IF(AND(Dados!$A1088&gt;=Imóveis!$Q$4,Dados!$A1088&lt;=Imóveis!$T$4),Imóveis!$S$4-(DATEDIF(Imóveis!$Q$4,Dados!$A1088,"m")),)))*(Imóveis!$N$4/Imóveis!$S$4)))*Imóveis!$P$4))))*IF(AND(Imóveis!$E$4&gt;0,Dados!$A1088&gt;Imóveis!$E$4),0,1)</f>
        <v>0</v>
      </c>
      <c r="L1088" s="18">
        <f>IF(Imóveis!$F$5="PRICE",IF(AND(Dados!$A1088&gt;=Imóveis!$Q$5,Dados!$A1088&lt;=Imóveis!$T$5),Imóveis!$U$5,0),IF((IF(AND(Dados!$A1088&gt;=Imóveis!$Q$5,Dados!$A1088&lt;=Imóveis!$T$5),Imóveis!$S$5-(DATEDIF(Imóveis!$Q$5,Dados!$A1088,"m")),0))=0,0,((Imóveis!$N$5/Imóveis!$S$5)+((Imóveis!$N$5-((Imóveis!$S$5-(IF(AND(Dados!$A1088 &gt;=Imóveis!$Q$5,Dados!$A1088&lt;=Imóveis!$T$5),Imóveis!$S$5-(DATEDIF(Imóveis!$Q$5,Dados!$A1088,"m")),)))*(Imóveis!$N$5/Imóveis!$S$5)))*Imóveis!$P$5))))*IF(AND(Imóveis!$E$5&gt;0,Dados!$A1088&gt;Imóveis!$E$5),0,1)*Imóveis!$I$5</f>
        <v>0</v>
      </c>
      <c r="M1088" s="18">
        <f>IF(Imóveis!$F$6="PRICE",IF(AND(Dados!$A1088&gt;=Imóveis!$Q$6,Dados!$A1088&lt;=Imóveis!$T$6),Imóveis!$U$6,0),IF((IF(AND(Dados!$A1088&gt;=Imóveis!$Q$6,Dados!$A1088&lt;=Imóveis!$T$6),Imóveis!$S$6-(DATEDIF(Imóveis!$Q$6,Dados!$A1088,"m")),0))=0,0,((Imóveis!$N$6/Imóveis!$S$6)+((Imóveis!$N$6-((Imóveis!$S$6-(IF(AND(Dados!$A1088&gt;=Imóveis!$Q$6,Dados!$A1088&lt;=Imóveis!$T$6),Imóveis!$S$6-(DATEDIF(Imóveis!$Q$6,Dados!$A1088,"m")),)))*(Imóveis!$N$6/Imóveis!$S$6)))*Imóveis!$P$6))))*IF(AND(Imóveis!$E$6&gt;0,Dados!$A1088&gt;Imóveis!$E$6),0,1)*Imóveis!$I$6</f>
        <v>0</v>
      </c>
      <c r="N1088" s="18">
        <f t="shared" si="133"/>
        <v>0</v>
      </c>
      <c r="O1088" s="18">
        <f>SUMIFS(Receitas!$F:$F,Receitas!$J:$J,"&lt;="&amp;$A1088,Receitas!$L:$L,"&gt;="&amp;$A1088,Receitas!$C:$C,O$1,Receitas!$M:$M,"Mensal")+SUMIFS(Receitas!$F:$F,Receitas!$J:$J,"&lt;="&amp;$A1088,Receitas!$L:$L,"&gt;="&amp;$A1088,Receitas!$C:$C,O$1,Receitas!$M:$M,$B1088)</f>
        <v>0</v>
      </c>
      <c r="P1088" s="18">
        <f>SUMIFS(Receitas!$F:$F,Receitas!$J:$J,"&lt;="&amp;$A1088,Receitas!$L:$L,"&gt;="&amp;$A1088,Receitas!$C:$C,P$1,Receitas!$M:$M,"Mensal")+SUMIFS(Receitas!$F:$F,Receitas!$J:$J,"&lt;="&amp;$A1088,Receitas!$L:$L,"&gt;="&amp;$A1088,Receitas!$C:$C,P$1,Receitas!$M:$M,$B1088)</f>
        <v>0</v>
      </c>
      <c r="Q1088" s="18">
        <f>SUMIFS(Receitas!$F:$F,Receitas!$J:$J,"&lt;="&amp;$A1088,Receitas!$L:$L,"&gt;="&amp;$A1088,Receitas!$C:$C,Q$1,Receitas!$M:$M,"Mensal")+SUMIFS(Receitas!$F:$F,Receitas!$J:$J,"&lt;="&amp;$A1088,Receitas!$L:$L,"&gt;="&amp;$A1088,Receitas!$C:$C,Q$1,Receitas!$M:$M,$B1088)</f>
        <v>0</v>
      </c>
      <c r="R1088" s="18" cm="1">
        <f t="array" ref="R1088">(IF(AND(Membros!$F$2="Sim",A1088&lt;=MAX(Membros!$E$2:$E$5)),Membros!K$2,IF(AND(A1088&gt;=Membros!J$2,A1088&lt;=MAX(Membros!$E$2:$E$5)),Membros!K$2,0))+IF(AND(Membros!$F$3="Sim",A1088&lt;=MAX(Membros!$E$2:$E$5)),Membros!K$3,IF(AND(A1088&gt;=Membros!J$3,A1088&lt;=MAX(Membros!$E$2:$E$5)),Membros!K$3,0)))*IF(AND(COUNTIFS(Tabela3[Tipo],"Provedor",Tabela3[Simulação Seguro],"Sim")=2,A1088&gt;=MAX(IF(Tabela3[Tipo]="Dependente",Tabela3[Expectativa de Vida (Data)]))),0,1)</f>
        <v>0</v>
      </c>
      <c r="S1088" s="18">
        <f t="shared" si="134"/>
        <v>0</v>
      </c>
      <c r="U1088" s="18">
        <f t="shared" ca="1" si="137"/>
        <v>164512429.86570749</v>
      </c>
      <c r="V1088" s="18">
        <f>SUMIF(Imóveis!E:E,Dados!A:A,Imóveis!Z:Z)-SUMIF(Imóveis!E:E,Dados!A:A,Imóveis!Y:Y)</f>
        <v>0</v>
      </c>
      <c r="W1088" s="18">
        <f>-SUMIF(Projetos!N:N,A1088,Projetos!F:F)</f>
        <v>0</v>
      </c>
      <c r="X1088" s="18">
        <f t="shared" si="131"/>
        <v>0</v>
      </c>
      <c r="Y1088" s="26">
        <f ca="1">(U1088*((Indicadores_Economicos!D$2+1)^(1/12)-1))</f>
        <v>538570.88631757547</v>
      </c>
      <c r="Z1088" s="18">
        <f t="shared" ca="1" si="135"/>
        <v>165051000.75202507</v>
      </c>
      <c r="AA1088" s="18">
        <f ca="1">Auxiliar_Projetos!E1088</f>
        <v>1.3605447413582328E-8</v>
      </c>
      <c r="AB1088" s="18">
        <f ca="1">Auxiliar_Projetos!K1088</f>
        <v>1.0465728779678709E-8</v>
      </c>
      <c r="AC1088" s="18">
        <f ca="1">IF(Z1088-AA1088-AB1088&gt;Investimentos!$C$14,Investimentos!$C$14,IF(Z1088-AA1088-AB1088&lt;Investimentos!$C$14,Z1088-AA1088-AB1088,0))</f>
        <v>300000</v>
      </c>
      <c r="AD1088" s="18">
        <f t="shared" ca="1" si="136"/>
        <v>164751000.75202507</v>
      </c>
      <c r="AE1088" s="18"/>
    </row>
    <row r="1089" spans="1:31" x14ac:dyDescent="0.2">
      <c r="A1089" s="4">
        <v>78741</v>
      </c>
      <c r="B1089" s="5" t="str">
        <f t="shared" si="132"/>
        <v>agosto</v>
      </c>
      <c r="C1089" s="5" t="str">
        <f t="shared" si="138"/>
        <v>2115</v>
      </c>
      <c r="D1089" s="5">
        <f>SUMIFS(Despesas!$F:$F,Despesas!$J:$J,"&lt;="&amp;$A1089,Despesas!$L:$L,"&gt;="&amp;$A1089,Despesas!$C:$C,D$1,Despesas!$M:$M,"Mensal")+SUMIFS(Despesas!$F:$F,Despesas!$J:$J,"&lt;="&amp;$A1089,Despesas!$L:$L,"&gt;="&amp;$A1089,Despesas!$C:$C,D$1,Despesas!$M:$M,$B1089)</f>
        <v>0</v>
      </c>
      <c r="E1089" s="18">
        <f>SUMIFS(Despesas!$F:$F,Despesas!$J:$J,"&lt;="&amp;$A1089,Despesas!$L:$L,"&gt;="&amp;$A1089,Despesas!$C:$C,E$1,Despesas!$M:$M,"Mensal")+SUMIFS(Despesas!$F:$F,Despesas!$J:$J,"&lt;="&amp;$A1089,Despesas!$L:$L,"&gt;="&amp;$A1089,Despesas!$C:$C,E$1,Despesas!$M:$M,$B1089)</f>
        <v>0</v>
      </c>
      <c r="F1089" s="5">
        <f>SUMIFS(Despesas!$F:$F,Despesas!$J:$J,"&lt;="&amp;$A1089,Despesas!$L:$L,"&gt;="&amp;$A1089,Despesas!$C:$C,F$1,Despesas!$M:$M,"Mensal")+SUMIFS(Despesas!$F:$F,Despesas!$J:$J,"&lt;="&amp;$A1089,Despesas!$L:$L,"&gt;="&amp;$A1089,Despesas!$C:$C,F$1,Despesas!$M:$M,$B1089)</f>
        <v>0</v>
      </c>
      <c r="G1089" s="5">
        <f>SUMIFS(Despesas!$F:$F,Despesas!$J:$J,"&lt;="&amp;$A1089,Despesas!$L:$L,"&gt;="&amp;$A1089,Despesas!$C:$C,G$1,Despesas!$M:$M,"Mensal")+SUMIFS(Despesas!$F:$F,Despesas!$J:$J,"&lt;="&amp;$A1089,Despesas!$L:$L,"&gt;="&amp;$A1089,Despesas!$C:$C,G$1,Despesas!$M:$M,$B1089)</f>
        <v>0</v>
      </c>
      <c r="H1089" s="18">
        <f>SUMIFS(Despesas!$F:$F,Despesas!$J:$J,"&lt;="&amp;$A1089,Despesas!$L:$L,"&gt;="&amp;$A1089,Despesas!$C:$C,H$1,Despesas!$M:$M,"Mensal")+SUMIFS(Despesas!$F:$F,Despesas!$J:$J,"&lt;="&amp;$A1089,Despesas!$L:$L,"&gt;="&amp;$A1089,Despesas!$C:$C,H$1,Despesas!$M:$M,$B1089)</f>
        <v>0</v>
      </c>
      <c r="I1089" s="18">
        <f>IF(Imóveis!$F$2="PRICE",IF(AND(Dados!$A1089&gt;=Imóveis!$Q$2,Dados!$A1089&lt;=Imóveis!$T$2),Imóveis!$U$2,0),IF((IF(AND(Dados!$A1089&gt;=Imóveis!$Q$2,Dados!$A1089&lt;=Imóveis!$T$2),Imóveis!$S$2-(DATEDIF(Imóveis!$Q$2,Dados!$A1089,"m")),0))=0,0,((Imóveis!$N$2/Imóveis!$S$2)+((Imóveis!$N$2-((Imóveis!$S$2-(IF(AND(Dados!$A1089&gt;=Imóveis!$Q$2,Dados!$A1089&lt;=Imóveis!$T$2),Imóveis!$S$2-(DATEDIF(Imóveis!$Q$2,Dados!$A1089,"m")),)))*(Imóveis!$N$2/Imóveis!$S$2)))*Imóveis!$P$2))))*IF(AND(Imóveis!$E$2&gt;0,Dados!$A1089&gt;Imóveis!$E$2),0,1)</f>
        <v>0</v>
      </c>
      <c r="J1089" s="18">
        <f>IF(Imóveis!$F$3="PRICE",IF(AND(Dados!$A1089&gt;=Imóveis!$Q$3,Dados!$A1089&lt;=Imóveis!$T$3),Imóveis!$U$3,0),IF((IF(AND(Dados!$A1089&gt;=Imóveis!$Q$3,Dados!$A1089&lt;=Imóveis!$T$3),Imóveis!$S$3-(DATEDIF(Imóveis!$Q$3,Dados!$A1089,"m")),0))=0,0,((Imóveis!$N$3/Imóveis!$S$3)+((Imóveis!$N$3-((Imóveis!$S$3-(IF(AND(Dados!$A1089&gt;=Imóveis!$Q$3,Dados!$A1089&lt;=Imóveis!$T$3),Imóveis!$S$3-(DATEDIF(Imóveis!$Q$3,Dados!$A1089,"m")),)))*(Imóveis!$N$3/Imóveis!$S$3)))*Imóveis!$P$3))))*IF(AND(Imóveis!$E$3&gt;0,Dados!$A1089&gt;Imóveis!$E$3),0,1)</f>
        <v>0</v>
      </c>
      <c r="K1089" s="18">
        <f>IF(Imóveis!$F$4="PRICE",IF(AND(Dados!$A1089&gt;=Imóveis!$Q$4,Dados!$A1089&lt;=Imóveis!$T$4),Imóveis!$U$4,0),IF((IF(AND(Dados!$A1089&gt;=Imóveis!$Q$4,Dados!$A1089&lt;=Imóveis!$T$4),Imóveis!$S$4-(DATEDIF(Imóveis!$Q$4,Dados!$A1089,"m")),0))=0,0,((Imóveis!$N$4/Imóveis!$S$4)+((Imóveis!$N$4-((Imóveis!$S$4-(IF(AND(Dados!$A1089&gt;=Imóveis!$Q$4,Dados!$A1089&lt;=Imóveis!$T$4),Imóveis!$S$4-(DATEDIF(Imóveis!$Q$4,Dados!$A1089,"m")),)))*(Imóveis!$N$4/Imóveis!$S$4)))*Imóveis!$P$4))))*IF(AND(Imóveis!$E$4&gt;0,Dados!$A1089&gt;Imóveis!$E$4),0,1)</f>
        <v>0</v>
      </c>
      <c r="L1089" s="18">
        <f>IF(Imóveis!$F$5="PRICE",IF(AND(Dados!$A1089&gt;=Imóveis!$Q$5,Dados!$A1089&lt;=Imóveis!$T$5),Imóveis!$U$5,0),IF((IF(AND(Dados!$A1089&gt;=Imóveis!$Q$5,Dados!$A1089&lt;=Imóveis!$T$5),Imóveis!$S$5-(DATEDIF(Imóveis!$Q$5,Dados!$A1089,"m")),0))=0,0,((Imóveis!$N$5/Imóveis!$S$5)+((Imóveis!$N$5-((Imóveis!$S$5-(IF(AND(Dados!$A1089 &gt;=Imóveis!$Q$5,Dados!$A1089&lt;=Imóveis!$T$5),Imóveis!$S$5-(DATEDIF(Imóveis!$Q$5,Dados!$A1089,"m")),)))*(Imóveis!$N$5/Imóveis!$S$5)))*Imóveis!$P$5))))*IF(AND(Imóveis!$E$5&gt;0,Dados!$A1089&gt;Imóveis!$E$5),0,1)*Imóveis!$I$5</f>
        <v>0</v>
      </c>
      <c r="M1089" s="18">
        <f>IF(Imóveis!$F$6="PRICE",IF(AND(Dados!$A1089&gt;=Imóveis!$Q$6,Dados!$A1089&lt;=Imóveis!$T$6),Imóveis!$U$6,0),IF((IF(AND(Dados!$A1089&gt;=Imóveis!$Q$6,Dados!$A1089&lt;=Imóveis!$T$6),Imóveis!$S$6-(DATEDIF(Imóveis!$Q$6,Dados!$A1089,"m")),0))=0,0,((Imóveis!$N$6/Imóveis!$S$6)+((Imóveis!$N$6-((Imóveis!$S$6-(IF(AND(Dados!$A1089&gt;=Imóveis!$Q$6,Dados!$A1089&lt;=Imóveis!$T$6),Imóveis!$S$6-(DATEDIF(Imóveis!$Q$6,Dados!$A1089,"m")),)))*(Imóveis!$N$6/Imóveis!$S$6)))*Imóveis!$P$6))))*IF(AND(Imóveis!$E$6&gt;0,Dados!$A1089&gt;Imóveis!$E$6),0,1)*Imóveis!$I$6</f>
        <v>0</v>
      </c>
      <c r="N1089" s="18">
        <f t="shared" si="133"/>
        <v>0</v>
      </c>
      <c r="O1089" s="18">
        <f>SUMIFS(Receitas!$F:$F,Receitas!$J:$J,"&lt;="&amp;$A1089,Receitas!$L:$L,"&gt;="&amp;$A1089,Receitas!$C:$C,O$1,Receitas!$M:$M,"Mensal")+SUMIFS(Receitas!$F:$F,Receitas!$J:$J,"&lt;="&amp;$A1089,Receitas!$L:$L,"&gt;="&amp;$A1089,Receitas!$C:$C,O$1,Receitas!$M:$M,$B1089)</f>
        <v>0</v>
      </c>
      <c r="P1089" s="18">
        <f>SUMIFS(Receitas!$F:$F,Receitas!$J:$J,"&lt;="&amp;$A1089,Receitas!$L:$L,"&gt;="&amp;$A1089,Receitas!$C:$C,P$1,Receitas!$M:$M,"Mensal")+SUMIFS(Receitas!$F:$F,Receitas!$J:$J,"&lt;="&amp;$A1089,Receitas!$L:$L,"&gt;="&amp;$A1089,Receitas!$C:$C,P$1,Receitas!$M:$M,$B1089)</f>
        <v>0</v>
      </c>
      <c r="Q1089" s="18">
        <f>SUMIFS(Receitas!$F:$F,Receitas!$J:$J,"&lt;="&amp;$A1089,Receitas!$L:$L,"&gt;="&amp;$A1089,Receitas!$C:$C,Q$1,Receitas!$M:$M,"Mensal")+SUMIFS(Receitas!$F:$F,Receitas!$J:$J,"&lt;="&amp;$A1089,Receitas!$L:$L,"&gt;="&amp;$A1089,Receitas!$C:$C,Q$1,Receitas!$M:$M,$B1089)</f>
        <v>0</v>
      </c>
      <c r="R1089" s="18" cm="1">
        <f t="array" ref="R1089">(IF(AND(Membros!$F$2="Sim",A1089&lt;=MAX(Membros!$E$2:$E$5)),Membros!K$2,IF(AND(A1089&gt;=Membros!J$2,A1089&lt;=MAX(Membros!$E$2:$E$5)),Membros!K$2,0))+IF(AND(Membros!$F$3="Sim",A1089&lt;=MAX(Membros!$E$2:$E$5)),Membros!K$3,IF(AND(A1089&gt;=Membros!J$3,A1089&lt;=MAX(Membros!$E$2:$E$5)),Membros!K$3,0)))*IF(AND(COUNTIFS(Tabela3[Tipo],"Provedor",Tabela3[Simulação Seguro],"Sim")=2,A1089&gt;=MAX(IF(Tabela3[Tipo]="Dependente",Tabela3[Expectativa de Vida (Data)]))),0,1)</f>
        <v>0</v>
      </c>
      <c r="S1089" s="18">
        <f t="shared" si="134"/>
        <v>0</v>
      </c>
      <c r="U1089" s="18">
        <f t="shared" ca="1" si="137"/>
        <v>165051000.75202507</v>
      </c>
      <c r="V1089" s="18">
        <f>SUMIF(Imóveis!E:E,Dados!A:A,Imóveis!Z:Z)-SUMIF(Imóveis!E:E,Dados!A:A,Imóveis!Y:Y)</f>
        <v>0</v>
      </c>
      <c r="W1089" s="18">
        <f>-SUMIF(Projetos!N:N,A1089,Projetos!F:F)</f>
        <v>0</v>
      </c>
      <c r="X1089" s="18">
        <f t="shared" si="131"/>
        <v>0</v>
      </c>
      <c r="Y1089" s="26">
        <f ca="1">(U1089*((Indicadores_Economicos!D$2+1)^(1/12)-1))</f>
        <v>540334.02725364745</v>
      </c>
      <c r="Z1089" s="18">
        <f t="shared" ca="1" si="135"/>
        <v>165591334.77927873</v>
      </c>
      <c r="AA1089" s="18">
        <f ca="1">Auxiliar_Projetos!E1089</f>
        <v>1.3649988108034787E-8</v>
      </c>
      <c r="AB1089" s="18">
        <f ca="1">Auxiliar_Projetos!K1089</f>
        <v>1.0499990852334447E-8</v>
      </c>
      <c r="AC1089" s="18">
        <f ca="1">IF(Z1089-AA1089-AB1089&gt;Investimentos!$C$14,Investimentos!$C$14,IF(Z1089-AA1089-AB1089&lt;Investimentos!$C$14,Z1089-AA1089-AB1089,0))</f>
        <v>300000</v>
      </c>
      <c r="AD1089" s="18">
        <f t="shared" ca="1" si="136"/>
        <v>165291334.77927873</v>
      </c>
      <c r="AE1089" s="18"/>
    </row>
    <row r="1090" spans="1:31" x14ac:dyDescent="0.2">
      <c r="A1090" s="4">
        <v>78772</v>
      </c>
      <c r="B1090" s="5" t="str">
        <f t="shared" si="132"/>
        <v>setembro</v>
      </c>
      <c r="C1090" s="5" t="str">
        <f t="shared" si="138"/>
        <v>2115</v>
      </c>
      <c r="D1090" s="5">
        <f>SUMIFS(Despesas!$F:$F,Despesas!$J:$J,"&lt;="&amp;$A1090,Despesas!$L:$L,"&gt;="&amp;$A1090,Despesas!$C:$C,D$1,Despesas!$M:$M,"Mensal")+SUMIFS(Despesas!$F:$F,Despesas!$J:$J,"&lt;="&amp;$A1090,Despesas!$L:$L,"&gt;="&amp;$A1090,Despesas!$C:$C,D$1,Despesas!$M:$M,$B1090)</f>
        <v>0</v>
      </c>
      <c r="E1090" s="18">
        <f>SUMIFS(Despesas!$F:$F,Despesas!$J:$J,"&lt;="&amp;$A1090,Despesas!$L:$L,"&gt;="&amp;$A1090,Despesas!$C:$C,E$1,Despesas!$M:$M,"Mensal")+SUMIFS(Despesas!$F:$F,Despesas!$J:$J,"&lt;="&amp;$A1090,Despesas!$L:$L,"&gt;="&amp;$A1090,Despesas!$C:$C,E$1,Despesas!$M:$M,$B1090)</f>
        <v>0</v>
      </c>
      <c r="F1090" s="5">
        <f>SUMIFS(Despesas!$F:$F,Despesas!$J:$J,"&lt;="&amp;$A1090,Despesas!$L:$L,"&gt;="&amp;$A1090,Despesas!$C:$C,F$1,Despesas!$M:$M,"Mensal")+SUMIFS(Despesas!$F:$F,Despesas!$J:$J,"&lt;="&amp;$A1090,Despesas!$L:$L,"&gt;="&amp;$A1090,Despesas!$C:$C,F$1,Despesas!$M:$M,$B1090)</f>
        <v>0</v>
      </c>
      <c r="G1090" s="5">
        <f>SUMIFS(Despesas!$F:$F,Despesas!$J:$J,"&lt;="&amp;$A1090,Despesas!$L:$L,"&gt;="&amp;$A1090,Despesas!$C:$C,G$1,Despesas!$M:$M,"Mensal")+SUMIFS(Despesas!$F:$F,Despesas!$J:$J,"&lt;="&amp;$A1090,Despesas!$L:$L,"&gt;="&amp;$A1090,Despesas!$C:$C,G$1,Despesas!$M:$M,$B1090)</f>
        <v>0</v>
      </c>
      <c r="H1090" s="18">
        <f>SUMIFS(Despesas!$F:$F,Despesas!$J:$J,"&lt;="&amp;$A1090,Despesas!$L:$L,"&gt;="&amp;$A1090,Despesas!$C:$C,H$1,Despesas!$M:$M,"Mensal")+SUMIFS(Despesas!$F:$F,Despesas!$J:$J,"&lt;="&amp;$A1090,Despesas!$L:$L,"&gt;="&amp;$A1090,Despesas!$C:$C,H$1,Despesas!$M:$M,$B1090)</f>
        <v>0</v>
      </c>
      <c r="I1090" s="18">
        <f>IF(Imóveis!$F$2="PRICE",IF(AND(Dados!$A1090&gt;=Imóveis!$Q$2,Dados!$A1090&lt;=Imóveis!$T$2),Imóveis!$U$2,0),IF((IF(AND(Dados!$A1090&gt;=Imóveis!$Q$2,Dados!$A1090&lt;=Imóveis!$T$2),Imóveis!$S$2-(DATEDIF(Imóveis!$Q$2,Dados!$A1090,"m")),0))=0,0,((Imóveis!$N$2/Imóveis!$S$2)+((Imóveis!$N$2-((Imóveis!$S$2-(IF(AND(Dados!$A1090&gt;=Imóveis!$Q$2,Dados!$A1090&lt;=Imóveis!$T$2),Imóveis!$S$2-(DATEDIF(Imóveis!$Q$2,Dados!$A1090,"m")),)))*(Imóveis!$N$2/Imóveis!$S$2)))*Imóveis!$P$2))))*IF(AND(Imóveis!$E$2&gt;0,Dados!$A1090&gt;Imóveis!$E$2),0,1)</f>
        <v>0</v>
      </c>
      <c r="J1090" s="18">
        <f>IF(Imóveis!$F$3="PRICE",IF(AND(Dados!$A1090&gt;=Imóveis!$Q$3,Dados!$A1090&lt;=Imóveis!$T$3),Imóveis!$U$3,0),IF((IF(AND(Dados!$A1090&gt;=Imóveis!$Q$3,Dados!$A1090&lt;=Imóveis!$T$3),Imóveis!$S$3-(DATEDIF(Imóveis!$Q$3,Dados!$A1090,"m")),0))=0,0,((Imóveis!$N$3/Imóveis!$S$3)+((Imóveis!$N$3-((Imóveis!$S$3-(IF(AND(Dados!$A1090&gt;=Imóveis!$Q$3,Dados!$A1090&lt;=Imóveis!$T$3),Imóveis!$S$3-(DATEDIF(Imóveis!$Q$3,Dados!$A1090,"m")),)))*(Imóveis!$N$3/Imóveis!$S$3)))*Imóveis!$P$3))))*IF(AND(Imóveis!$E$3&gt;0,Dados!$A1090&gt;Imóveis!$E$3),0,1)</f>
        <v>0</v>
      </c>
      <c r="K1090" s="18">
        <f>IF(Imóveis!$F$4="PRICE",IF(AND(Dados!$A1090&gt;=Imóveis!$Q$4,Dados!$A1090&lt;=Imóveis!$T$4),Imóveis!$U$4,0),IF((IF(AND(Dados!$A1090&gt;=Imóveis!$Q$4,Dados!$A1090&lt;=Imóveis!$T$4),Imóveis!$S$4-(DATEDIF(Imóveis!$Q$4,Dados!$A1090,"m")),0))=0,0,((Imóveis!$N$4/Imóveis!$S$4)+((Imóveis!$N$4-((Imóveis!$S$4-(IF(AND(Dados!$A1090&gt;=Imóveis!$Q$4,Dados!$A1090&lt;=Imóveis!$T$4),Imóveis!$S$4-(DATEDIF(Imóveis!$Q$4,Dados!$A1090,"m")),)))*(Imóveis!$N$4/Imóveis!$S$4)))*Imóveis!$P$4))))*IF(AND(Imóveis!$E$4&gt;0,Dados!$A1090&gt;Imóveis!$E$4),0,1)</f>
        <v>0</v>
      </c>
      <c r="L1090" s="18">
        <f>IF(Imóveis!$F$5="PRICE",IF(AND(Dados!$A1090&gt;=Imóveis!$Q$5,Dados!$A1090&lt;=Imóveis!$T$5),Imóveis!$U$5,0),IF((IF(AND(Dados!$A1090&gt;=Imóveis!$Q$5,Dados!$A1090&lt;=Imóveis!$T$5),Imóveis!$S$5-(DATEDIF(Imóveis!$Q$5,Dados!$A1090,"m")),0))=0,0,((Imóveis!$N$5/Imóveis!$S$5)+((Imóveis!$N$5-((Imóveis!$S$5-(IF(AND(Dados!$A1090 &gt;=Imóveis!$Q$5,Dados!$A1090&lt;=Imóveis!$T$5),Imóveis!$S$5-(DATEDIF(Imóveis!$Q$5,Dados!$A1090,"m")),)))*(Imóveis!$N$5/Imóveis!$S$5)))*Imóveis!$P$5))))*IF(AND(Imóveis!$E$5&gt;0,Dados!$A1090&gt;Imóveis!$E$5),0,1)*Imóveis!$I$5</f>
        <v>0</v>
      </c>
      <c r="M1090" s="18">
        <f>IF(Imóveis!$F$6="PRICE",IF(AND(Dados!$A1090&gt;=Imóveis!$Q$6,Dados!$A1090&lt;=Imóveis!$T$6),Imóveis!$U$6,0),IF((IF(AND(Dados!$A1090&gt;=Imóveis!$Q$6,Dados!$A1090&lt;=Imóveis!$T$6),Imóveis!$S$6-(DATEDIF(Imóveis!$Q$6,Dados!$A1090,"m")),0))=0,0,((Imóveis!$N$6/Imóveis!$S$6)+((Imóveis!$N$6-((Imóveis!$S$6-(IF(AND(Dados!$A1090&gt;=Imóveis!$Q$6,Dados!$A1090&lt;=Imóveis!$T$6),Imóveis!$S$6-(DATEDIF(Imóveis!$Q$6,Dados!$A1090,"m")),)))*(Imóveis!$N$6/Imóveis!$S$6)))*Imóveis!$P$6))))*IF(AND(Imóveis!$E$6&gt;0,Dados!$A1090&gt;Imóveis!$E$6),0,1)*Imóveis!$I$6</f>
        <v>0</v>
      </c>
      <c r="N1090" s="18">
        <f t="shared" si="133"/>
        <v>0</v>
      </c>
      <c r="O1090" s="18">
        <f>SUMIFS(Receitas!$F:$F,Receitas!$J:$J,"&lt;="&amp;$A1090,Receitas!$L:$L,"&gt;="&amp;$A1090,Receitas!$C:$C,O$1,Receitas!$M:$M,"Mensal")+SUMIFS(Receitas!$F:$F,Receitas!$J:$J,"&lt;="&amp;$A1090,Receitas!$L:$L,"&gt;="&amp;$A1090,Receitas!$C:$C,O$1,Receitas!$M:$M,$B1090)</f>
        <v>0</v>
      </c>
      <c r="P1090" s="18">
        <f>SUMIFS(Receitas!$F:$F,Receitas!$J:$J,"&lt;="&amp;$A1090,Receitas!$L:$L,"&gt;="&amp;$A1090,Receitas!$C:$C,P$1,Receitas!$M:$M,"Mensal")+SUMIFS(Receitas!$F:$F,Receitas!$J:$J,"&lt;="&amp;$A1090,Receitas!$L:$L,"&gt;="&amp;$A1090,Receitas!$C:$C,P$1,Receitas!$M:$M,$B1090)</f>
        <v>0</v>
      </c>
      <c r="Q1090" s="18">
        <f>SUMIFS(Receitas!$F:$F,Receitas!$J:$J,"&lt;="&amp;$A1090,Receitas!$L:$L,"&gt;="&amp;$A1090,Receitas!$C:$C,Q$1,Receitas!$M:$M,"Mensal")+SUMIFS(Receitas!$F:$F,Receitas!$J:$J,"&lt;="&amp;$A1090,Receitas!$L:$L,"&gt;="&amp;$A1090,Receitas!$C:$C,Q$1,Receitas!$M:$M,$B1090)</f>
        <v>0</v>
      </c>
      <c r="R1090" s="18" cm="1">
        <f t="array" ref="R1090">(IF(AND(Membros!$F$2="Sim",A1090&lt;=MAX(Membros!$E$2:$E$5)),Membros!K$2,IF(AND(A1090&gt;=Membros!J$2,A1090&lt;=MAX(Membros!$E$2:$E$5)),Membros!K$2,0))+IF(AND(Membros!$F$3="Sim",A1090&lt;=MAX(Membros!$E$2:$E$5)),Membros!K$3,IF(AND(A1090&gt;=Membros!J$3,A1090&lt;=MAX(Membros!$E$2:$E$5)),Membros!K$3,0)))*IF(AND(COUNTIFS(Tabela3[Tipo],"Provedor",Tabela3[Simulação Seguro],"Sim")=2,A1090&gt;=MAX(IF(Tabela3[Tipo]="Dependente",Tabela3[Expectativa de Vida (Data)]))),0,1)</f>
        <v>0</v>
      </c>
      <c r="S1090" s="18">
        <f t="shared" si="134"/>
        <v>0</v>
      </c>
      <c r="U1090" s="18">
        <f t="shared" ca="1" si="137"/>
        <v>165591334.77927873</v>
      </c>
      <c r="V1090" s="18">
        <f>SUMIF(Imóveis!E:E,Dados!A:A,Imóveis!Z:Z)-SUMIF(Imóveis!E:E,Dados!A:A,Imóveis!Y:Y)</f>
        <v>0</v>
      </c>
      <c r="W1090" s="18">
        <f>-SUMIF(Projetos!N:N,A1090,Projetos!F:F)</f>
        <v>0</v>
      </c>
      <c r="X1090" s="18">
        <f t="shared" ref="X1090:X1153" si="139">(S1090-N1090)</f>
        <v>0</v>
      </c>
      <c r="Y1090" s="26">
        <f ca="1">(U1090*((Indicadores_Economicos!D$2+1)^(1/12)-1))</f>
        <v>542102.94025434344</v>
      </c>
      <c r="Z1090" s="18">
        <f t="shared" ca="1" si="135"/>
        <v>166133437.71953306</v>
      </c>
      <c r="AA1090" s="18">
        <f ca="1">Auxiliar_Projetos!E1090</f>
        <v>1.3694674617130603E-8</v>
      </c>
      <c r="AB1090" s="18">
        <f ca="1">Auxiliar_Projetos!K1090</f>
        <v>1.0534365090100459E-8</v>
      </c>
      <c r="AC1090" s="18">
        <f ca="1">IF(Z1090-AA1090-AB1090&gt;Investimentos!$C$14,Investimentos!$C$14,IF(Z1090-AA1090-AB1090&lt;Investimentos!$C$14,Z1090-AA1090-AB1090,0))</f>
        <v>300000</v>
      </c>
      <c r="AD1090" s="18">
        <f t="shared" ca="1" si="136"/>
        <v>165833437.71953306</v>
      </c>
      <c r="AE1090" s="18"/>
    </row>
    <row r="1091" spans="1:31" x14ac:dyDescent="0.2">
      <c r="A1091" s="4">
        <v>78802</v>
      </c>
      <c r="B1091" s="5" t="str">
        <f t="shared" ref="B1091:B1154" si="140">TEXT(A1091,"MMMM")</f>
        <v>outubro</v>
      </c>
      <c r="C1091" s="5" t="str">
        <f t="shared" si="138"/>
        <v>2115</v>
      </c>
      <c r="D1091" s="5">
        <f>SUMIFS(Despesas!$F:$F,Despesas!$J:$J,"&lt;="&amp;$A1091,Despesas!$L:$L,"&gt;="&amp;$A1091,Despesas!$C:$C,D$1,Despesas!$M:$M,"Mensal")+SUMIFS(Despesas!$F:$F,Despesas!$J:$J,"&lt;="&amp;$A1091,Despesas!$L:$L,"&gt;="&amp;$A1091,Despesas!$C:$C,D$1,Despesas!$M:$M,$B1091)</f>
        <v>0</v>
      </c>
      <c r="E1091" s="18">
        <f>SUMIFS(Despesas!$F:$F,Despesas!$J:$J,"&lt;="&amp;$A1091,Despesas!$L:$L,"&gt;="&amp;$A1091,Despesas!$C:$C,E$1,Despesas!$M:$M,"Mensal")+SUMIFS(Despesas!$F:$F,Despesas!$J:$J,"&lt;="&amp;$A1091,Despesas!$L:$L,"&gt;="&amp;$A1091,Despesas!$C:$C,E$1,Despesas!$M:$M,$B1091)</f>
        <v>0</v>
      </c>
      <c r="F1091" s="5">
        <f>SUMIFS(Despesas!$F:$F,Despesas!$J:$J,"&lt;="&amp;$A1091,Despesas!$L:$L,"&gt;="&amp;$A1091,Despesas!$C:$C,F$1,Despesas!$M:$M,"Mensal")+SUMIFS(Despesas!$F:$F,Despesas!$J:$J,"&lt;="&amp;$A1091,Despesas!$L:$L,"&gt;="&amp;$A1091,Despesas!$C:$C,F$1,Despesas!$M:$M,$B1091)</f>
        <v>0</v>
      </c>
      <c r="G1091" s="5">
        <f>SUMIFS(Despesas!$F:$F,Despesas!$J:$J,"&lt;="&amp;$A1091,Despesas!$L:$L,"&gt;="&amp;$A1091,Despesas!$C:$C,G$1,Despesas!$M:$M,"Mensal")+SUMIFS(Despesas!$F:$F,Despesas!$J:$J,"&lt;="&amp;$A1091,Despesas!$L:$L,"&gt;="&amp;$A1091,Despesas!$C:$C,G$1,Despesas!$M:$M,$B1091)</f>
        <v>0</v>
      </c>
      <c r="H1091" s="18">
        <f>SUMIFS(Despesas!$F:$F,Despesas!$J:$J,"&lt;="&amp;$A1091,Despesas!$L:$L,"&gt;="&amp;$A1091,Despesas!$C:$C,H$1,Despesas!$M:$M,"Mensal")+SUMIFS(Despesas!$F:$F,Despesas!$J:$J,"&lt;="&amp;$A1091,Despesas!$L:$L,"&gt;="&amp;$A1091,Despesas!$C:$C,H$1,Despesas!$M:$M,$B1091)</f>
        <v>0</v>
      </c>
      <c r="I1091" s="18">
        <f>IF(Imóveis!$F$2="PRICE",IF(AND(Dados!$A1091&gt;=Imóveis!$Q$2,Dados!$A1091&lt;=Imóveis!$T$2),Imóveis!$U$2,0),IF((IF(AND(Dados!$A1091&gt;=Imóveis!$Q$2,Dados!$A1091&lt;=Imóveis!$T$2),Imóveis!$S$2-(DATEDIF(Imóveis!$Q$2,Dados!$A1091,"m")),0))=0,0,((Imóveis!$N$2/Imóveis!$S$2)+((Imóveis!$N$2-((Imóveis!$S$2-(IF(AND(Dados!$A1091&gt;=Imóveis!$Q$2,Dados!$A1091&lt;=Imóveis!$T$2),Imóveis!$S$2-(DATEDIF(Imóveis!$Q$2,Dados!$A1091,"m")),)))*(Imóveis!$N$2/Imóveis!$S$2)))*Imóveis!$P$2))))*IF(AND(Imóveis!$E$2&gt;0,Dados!$A1091&gt;Imóveis!$E$2),0,1)</f>
        <v>0</v>
      </c>
      <c r="J1091" s="18">
        <f>IF(Imóveis!$F$3="PRICE",IF(AND(Dados!$A1091&gt;=Imóveis!$Q$3,Dados!$A1091&lt;=Imóveis!$T$3),Imóveis!$U$3,0),IF((IF(AND(Dados!$A1091&gt;=Imóveis!$Q$3,Dados!$A1091&lt;=Imóveis!$T$3),Imóveis!$S$3-(DATEDIF(Imóveis!$Q$3,Dados!$A1091,"m")),0))=0,0,((Imóveis!$N$3/Imóveis!$S$3)+((Imóveis!$N$3-((Imóveis!$S$3-(IF(AND(Dados!$A1091&gt;=Imóveis!$Q$3,Dados!$A1091&lt;=Imóveis!$T$3),Imóveis!$S$3-(DATEDIF(Imóveis!$Q$3,Dados!$A1091,"m")),)))*(Imóveis!$N$3/Imóveis!$S$3)))*Imóveis!$P$3))))*IF(AND(Imóveis!$E$3&gt;0,Dados!$A1091&gt;Imóveis!$E$3),0,1)</f>
        <v>0</v>
      </c>
      <c r="K1091" s="18">
        <f>IF(Imóveis!$F$4="PRICE",IF(AND(Dados!$A1091&gt;=Imóveis!$Q$4,Dados!$A1091&lt;=Imóveis!$T$4),Imóveis!$U$4,0),IF((IF(AND(Dados!$A1091&gt;=Imóveis!$Q$4,Dados!$A1091&lt;=Imóveis!$T$4),Imóveis!$S$4-(DATEDIF(Imóveis!$Q$4,Dados!$A1091,"m")),0))=0,0,((Imóveis!$N$4/Imóveis!$S$4)+((Imóveis!$N$4-((Imóveis!$S$4-(IF(AND(Dados!$A1091&gt;=Imóveis!$Q$4,Dados!$A1091&lt;=Imóveis!$T$4),Imóveis!$S$4-(DATEDIF(Imóveis!$Q$4,Dados!$A1091,"m")),)))*(Imóveis!$N$4/Imóveis!$S$4)))*Imóveis!$P$4))))*IF(AND(Imóveis!$E$4&gt;0,Dados!$A1091&gt;Imóveis!$E$4),0,1)</f>
        <v>0</v>
      </c>
      <c r="L1091" s="18">
        <f>IF(Imóveis!$F$5="PRICE",IF(AND(Dados!$A1091&gt;=Imóveis!$Q$5,Dados!$A1091&lt;=Imóveis!$T$5),Imóveis!$U$5,0),IF((IF(AND(Dados!$A1091&gt;=Imóveis!$Q$5,Dados!$A1091&lt;=Imóveis!$T$5),Imóveis!$S$5-(DATEDIF(Imóveis!$Q$5,Dados!$A1091,"m")),0))=0,0,((Imóveis!$N$5/Imóveis!$S$5)+((Imóveis!$N$5-((Imóveis!$S$5-(IF(AND(Dados!$A1091 &gt;=Imóveis!$Q$5,Dados!$A1091&lt;=Imóveis!$T$5),Imóveis!$S$5-(DATEDIF(Imóveis!$Q$5,Dados!$A1091,"m")),)))*(Imóveis!$N$5/Imóveis!$S$5)))*Imóveis!$P$5))))*IF(AND(Imóveis!$E$5&gt;0,Dados!$A1091&gt;Imóveis!$E$5),0,1)*Imóveis!$I$5</f>
        <v>0</v>
      </c>
      <c r="M1091" s="18">
        <f>IF(Imóveis!$F$6="PRICE",IF(AND(Dados!$A1091&gt;=Imóveis!$Q$6,Dados!$A1091&lt;=Imóveis!$T$6),Imóveis!$U$6,0),IF((IF(AND(Dados!$A1091&gt;=Imóveis!$Q$6,Dados!$A1091&lt;=Imóveis!$T$6),Imóveis!$S$6-(DATEDIF(Imóveis!$Q$6,Dados!$A1091,"m")),0))=0,0,((Imóveis!$N$6/Imóveis!$S$6)+((Imóveis!$N$6-((Imóveis!$S$6-(IF(AND(Dados!$A1091&gt;=Imóveis!$Q$6,Dados!$A1091&lt;=Imóveis!$T$6),Imóveis!$S$6-(DATEDIF(Imóveis!$Q$6,Dados!$A1091,"m")),)))*(Imóveis!$N$6/Imóveis!$S$6)))*Imóveis!$P$6))))*IF(AND(Imóveis!$E$6&gt;0,Dados!$A1091&gt;Imóveis!$E$6),0,1)*Imóveis!$I$6</f>
        <v>0</v>
      </c>
      <c r="N1091" s="18">
        <f t="shared" ref="N1091:N1154" si="141">SUM(D1091:M1091)</f>
        <v>0</v>
      </c>
      <c r="O1091" s="18">
        <f>SUMIFS(Receitas!$F:$F,Receitas!$J:$J,"&lt;="&amp;$A1091,Receitas!$L:$L,"&gt;="&amp;$A1091,Receitas!$C:$C,O$1,Receitas!$M:$M,"Mensal")+SUMIFS(Receitas!$F:$F,Receitas!$J:$J,"&lt;="&amp;$A1091,Receitas!$L:$L,"&gt;="&amp;$A1091,Receitas!$C:$C,O$1,Receitas!$M:$M,$B1091)</f>
        <v>0</v>
      </c>
      <c r="P1091" s="18">
        <f>SUMIFS(Receitas!$F:$F,Receitas!$J:$J,"&lt;="&amp;$A1091,Receitas!$L:$L,"&gt;="&amp;$A1091,Receitas!$C:$C,P$1,Receitas!$M:$M,"Mensal")+SUMIFS(Receitas!$F:$F,Receitas!$J:$J,"&lt;="&amp;$A1091,Receitas!$L:$L,"&gt;="&amp;$A1091,Receitas!$C:$C,P$1,Receitas!$M:$M,$B1091)</f>
        <v>0</v>
      </c>
      <c r="Q1091" s="18">
        <f>SUMIFS(Receitas!$F:$F,Receitas!$J:$J,"&lt;="&amp;$A1091,Receitas!$L:$L,"&gt;="&amp;$A1091,Receitas!$C:$C,Q$1,Receitas!$M:$M,"Mensal")+SUMIFS(Receitas!$F:$F,Receitas!$J:$J,"&lt;="&amp;$A1091,Receitas!$L:$L,"&gt;="&amp;$A1091,Receitas!$C:$C,Q$1,Receitas!$M:$M,$B1091)</f>
        <v>0</v>
      </c>
      <c r="R1091" s="18" cm="1">
        <f t="array" ref="R1091">(IF(AND(Membros!$F$2="Sim",A1091&lt;=MAX(Membros!$E$2:$E$5)),Membros!K$2,IF(AND(A1091&gt;=Membros!J$2,A1091&lt;=MAX(Membros!$E$2:$E$5)),Membros!K$2,0))+IF(AND(Membros!$F$3="Sim",A1091&lt;=MAX(Membros!$E$2:$E$5)),Membros!K$3,IF(AND(A1091&gt;=Membros!J$3,A1091&lt;=MAX(Membros!$E$2:$E$5)),Membros!K$3,0)))*IF(AND(COUNTIFS(Tabela3[Tipo],"Provedor",Tabela3[Simulação Seguro],"Sim")=2,A1091&gt;=MAX(IF(Tabela3[Tipo]="Dependente",Tabela3[Expectativa de Vida (Data)]))),0,1)</f>
        <v>0</v>
      </c>
      <c r="S1091" s="18">
        <f t="shared" ref="S1091:S1154" si="142">O1091+P1091+Q1091+R1091</f>
        <v>0</v>
      </c>
      <c r="U1091" s="18">
        <f t="shared" ca="1" si="137"/>
        <v>166133437.71953306</v>
      </c>
      <c r="V1091" s="18">
        <f>SUMIF(Imóveis!E:E,Dados!A:A,Imóveis!Z:Z)-SUMIF(Imóveis!E:E,Dados!A:A,Imóveis!Y:Y)</f>
        <v>0</v>
      </c>
      <c r="W1091" s="18">
        <f>-SUMIF(Projetos!N:N,A1091,Projetos!F:F)</f>
        <v>0</v>
      </c>
      <c r="X1091" s="18">
        <f t="shared" si="139"/>
        <v>0</v>
      </c>
      <c r="Y1091" s="26">
        <f ca="1">(U1091*((Indicadores_Economicos!D$2+1)^(1/12)-1))</f>
        <v>543877.64421590103</v>
      </c>
      <c r="Z1091" s="18">
        <f t="shared" ref="Z1091:Z1154" ca="1" si="143">U1091+V1091+W1091+X1091+Y1091</f>
        <v>166677315.36374897</v>
      </c>
      <c r="AA1091" s="18">
        <f ca="1">Auxiliar_Projetos!E1091</f>
        <v>1.3739507418228972E-8</v>
      </c>
      <c r="AB1091" s="18">
        <f ca="1">Auxiliar_Projetos!K1091</f>
        <v>1.0568851860176128E-8</v>
      </c>
      <c r="AC1091" s="18">
        <f ca="1">IF(Z1091-AA1091-AB1091&gt;Investimentos!$C$14,Investimentos!$C$14,IF(Z1091-AA1091-AB1091&lt;Investimentos!$C$14,Z1091-AA1091-AB1091,0))</f>
        <v>300000</v>
      </c>
      <c r="AD1091" s="18">
        <f t="shared" ref="AD1091:AD1154" ca="1" si="144">Z1091-AA1091-AB1091-AC1091</f>
        <v>166377315.36374897</v>
      </c>
      <c r="AE1091" s="18"/>
    </row>
    <row r="1092" spans="1:31" x14ac:dyDescent="0.2">
      <c r="A1092" s="4">
        <v>78833</v>
      </c>
      <c r="B1092" s="5" t="str">
        <f t="shared" si="140"/>
        <v>novembro</v>
      </c>
      <c r="C1092" s="5" t="str">
        <f t="shared" si="138"/>
        <v>2115</v>
      </c>
      <c r="D1092" s="5">
        <f>SUMIFS(Despesas!$F:$F,Despesas!$J:$J,"&lt;="&amp;$A1092,Despesas!$L:$L,"&gt;="&amp;$A1092,Despesas!$C:$C,D$1,Despesas!$M:$M,"Mensal")+SUMIFS(Despesas!$F:$F,Despesas!$J:$J,"&lt;="&amp;$A1092,Despesas!$L:$L,"&gt;="&amp;$A1092,Despesas!$C:$C,D$1,Despesas!$M:$M,$B1092)</f>
        <v>0</v>
      </c>
      <c r="E1092" s="18">
        <f>SUMIFS(Despesas!$F:$F,Despesas!$J:$J,"&lt;="&amp;$A1092,Despesas!$L:$L,"&gt;="&amp;$A1092,Despesas!$C:$C,E$1,Despesas!$M:$M,"Mensal")+SUMIFS(Despesas!$F:$F,Despesas!$J:$J,"&lt;="&amp;$A1092,Despesas!$L:$L,"&gt;="&amp;$A1092,Despesas!$C:$C,E$1,Despesas!$M:$M,$B1092)</f>
        <v>0</v>
      </c>
      <c r="F1092" s="5">
        <f>SUMIFS(Despesas!$F:$F,Despesas!$J:$J,"&lt;="&amp;$A1092,Despesas!$L:$L,"&gt;="&amp;$A1092,Despesas!$C:$C,F$1,Despesas!$M:$M,"Mensal")+SUMIFS(Despesas!$F:$F,Despesas!$J:$J,"&lt;="&amp;$A1092,Despesas!$L:$L,"&gt;="&amp;$A1092,Despesas!$C:$C,F$1,Despesas!$M:$M,$B1092)</f>
        <v>0</v>
      </c>
      <c r="G1092" s="5">
        <f>SUMIFS(Despesas!$F:$F,Despesas!$J:$J,"&lt;="&amp;$A1092,Despesas!$L:$L,"&gt;="&amp;$A1092,Despesas!$C:$C,G$1,Despesas!$M:$M,"Mensal")+SUMIFS(Despesas!$F:$F,Despesas!$J:$J,"&lt;="&amp;$A1092,Despesas!$L:$L,"&gt;="&amp;$A1092,Despesas!$C:$C,G$1,Despesas!$M:$M,$B1092)</f>
        <v>0</v>
      </c>
      <c r="H1092" s="18">
        <f>SUMIFS(Despesas!$F:$F,Despesas!$J:$J,"&lt;="&amp;$A1092,Despesas!$L:$L,"&gt;="&amp;$A1092,Despesas!$C:$C,H$1,Despesas!$M:$M,"Mensal")+SUMIFS(Despesas!$F:$F,Despesas!$J:$J,"&lt;="&amp;$A1092,Despesas!$L:$L,"&gt;="&amp;$A1092,Despesas!$C:$C,H$1,Despesas!$M:$M,$B1092)</f>
        <v>0</v>
      </c>
      <c r="I1092" s="18">
        <f>IF(Imóveis!$F$2="PRICE",IF(AND(Dados!$A1092&gt;=Imóveis!$Q$2,Dados!$A1092&lt;=Imóveis!$T$2),Imóveis!$U$2,0),IF((IF(AND(Dados!$A1092&gt;=Imóveis!$Q$2,Dados!$A1092&lt;=Imóveis!$T$2),Imóveis!$S$2-(DATEDIF(Imóveis!$Q$2,Dados!$A1092,"m")),0))=0,0,((Imóveis!$N$2/Imóveis!$S$2)+((Imóveis!$N$2-((Imóveis!$S$2-(IF(AND(Dados!$A1092&gt;=Imóveis!$Q$2,Dados!$A1092&lt;=Imóveis!$T$2),Imóveis!$S$2-(DATEDIF(Imóveis!$Q$2,Dados!$A1092,"m")),)))*(Imóveis!$N$2/Imóveis!$S$2)))*Imóveis!$P$2))))*IF(AND(Imóveis!$E$2&gt;0,Dados!$A1092&gt;Imóveis!$E$2),0,1)</f>
        <v>0</v>
      </c>
      <c r="J1092" s="18">
        <f>IF(Imóveis!$F$3="PRICE",IF(AND(Dados!$A1092&gt;=Imóveis!$Q$3,Dados!$A1092&lt;=Imóveis!$T$3),Imóveis!$U$3,0),IF((IF(AND(Dados!$A1092&gt;=Imóveis!$Q$3,Dados!$A1092&lt;=Imóveis!$T$3),Imóveis!$S$3-(DATEDIF(Imóveis!$Q$3,Dados!$A1092,"m")),0))=0,0,((Imóveis!$N$3/Imóveis!$S$3)+((Imóveis!$N$3-((Imóveis!$S$3-(IF(AND(Dados!$A1092&gt;=Imóveis!$Q$3,Dados!$A1092&lt;=Imóveis!$T$3),Imóveis!$S$3-(DATEDIF(Imóveis!$Q$3,Dados!$A1092,"m")),)))*(Imóveis!$N$3/Imóveis!$S$3)))*Imóveis!$P$3))))*IF(AND(Imóveis!$E$3&gt;0,Dados!$A1092&gt;Imóveis!$E$3),0,1)</f>
        <v>0</v>
      </c>
      <c r="K1092" s="18">
        <f>IF(Imóveis!$F$4="PRICE",IF(AND(Dados!$A1092&gt;=Imóveis!$Q$4,Dados!$A1092&lt;=Imóveis!$T$4),Imóveis!$U$4,0),IF((IF(AND(Dados!$A1092&gt;=Imóveis!$Q$4,Dados!$A1092&lt;=Imóveis!$T$4),Imóveis!$S$4-(DATEDIF(Imóveis!$Q$4,Dados!$A1092,"m")),0))=0,0,((Imóveis!$N$4/Imóveis!$S$4)+((Imóveis!$N$4-((Imóveis!$S$4-(IF(AND(Dados!$A1092&gt;=Imóveis!$Q$4,Dados!$A1092&lt;=Imóveis!$T$4),Imóveis!$S$4-(DATEDIF(Imóveis!$Q$4,Dados!$A1092,"m")),)))*(Imóveis!$N$4/Imóveis!$S$4)))*Imóveis!$P$4))))*IF(AND(Imóveis!$E$4&gt;0,Dados!$A1092&gt;Imóveis!$E$4),0,1)</f>
        <v>0</v>
      </c>
      <c r="L1092" s="18">
        <f>IF(Imóveis!$F$5="PRICE",IF(AND(Dados!$A1092&gt;=Imóveis!$Q$5,Dados!$A1092&lt;=Imóveis!$T$5),Imóveis!$U$5,0),IF((IF(AND(Dados!$A1092&gt;=Imóveis!$Q$5,Dados!$A1092&lt;=Imóveis!$T$5),Imóveis!$S$5-(DATEDIF(Imóveis!$Q$5,Dados!$A1092,"m")),0))=0,0,((Imóveis!$N$5/Imóveis!$S$5)+((Imóveis!$N$5-((Imóveis!$S$5-(IF(AND(Dados!$A1092 &gt;=Imóveis!$Q$5,Dados!$A1092&lt;=Imóveis!$T$5),Imóveis!$S$5-(DATEDIF(Imóveis!$Q$5,Dados!$A1092,"m")),)))*(Imóveis!$N$5/Imóveis!$S$5)))*Imóveis!$P$5))))*IF(AND(Imóveis!$E$5&gt;0,Dados!$A1092&gt;Imóveis!$E$5),0,1)*Imóveis!$I$5</f>
        <v>0</v>
      </c>
      <c r="M1092" s="18">
        <f>IF(Imóveis!$F$6="PRICE",IF(AND(Dados!$A1092&gt;=Imóveis!$Q$6,Dados!$A1092&lt;=Imóveis!$T$6),Imóveis!$U$6,0),IF((IF(AND(Dados!$A1092&gt;=Imóveis!$Q$6,Dados!$A1092&lt;=Imóveis!$T$6),Imóveis!$S$6-(DATEDIF(Imóveis!$Q$6,Dados!$A1092,"m")),0))=0,0,((Imóveis!$N$6/Imóveis!$S$6)+((Imóveis!$N$6-((Imóveis!$S$6-(IF(AND(Dados!$A1092&gt;=Imóveis!$Q$6,Dados!$A1092&lt;=Imóveis!$T$6),Imóveis!$S$6-(DATEDIF(Imóveis!$Q$6,Dados!$A1092,"m")),)))*(Imóveis!$N$6/Imóveis!$S$6)))*Imóveis!$P$6))))*IF(AND(Imóveis!$E$6&gt;0,Dados!$A1092&gt;Imóveis!$E$6),0,1)*Imóveis!$I$6</f>
        <v>0</v>
      </c>
      <c r="N1092" s="18">
        <f t="shared" si="141"/>
        <v>0</v>
      </c>
      <c r="O1092" s="18">
        <f>SUMIFS(Receitas!$F:$F,Receitas!$J:$J,"&lt;="&amp;$A1092,Receitas!$L:$L,"&gt;="&amp;$A1092,Receitas!$C:$C,O$1,Receitas!$M:$M,"Mensal")+SUMIFS(Receitas!$F:$F,Receitas!$J:$J,"&lt;="&amp;$A1092,Receitas!$L:$L,"&gt;="&amp;$A1092,Receitas!$C:$C,O$1,Receitas!$M:$M,$B1092)</f>
        <v>0</v>
      </c>
      <c r="P1092" s="18">
        <f>SUMIFS(Receitas!$F:$F,Receitas!$J:$J,"&lt;="&amp;$A1092,Receitas!$L:$L,"&gt;="&amp;$A1092,Receitas!$C:$C,P$1,Receitas!$M:$M,"Mensal")+SUMIFS(Receitas!$F:$F,Receitas!$J:$J,"&lt;="&amp;$A1092,Receitas!$L:$L,"&gt;="&amp;$A1092,Receitas!$C:$C,P$1,Receitas!$M:$M,$B1092)</f>
        <v>0</v>
      </c>
      <c r="Q1092" s="18">
        <f>SUMIFS(Receitas!$F:$F,Receitas!$J:$J,"&lt;="&amp;$A1092,Receitas!$L:$L,"&gt;="&amp;$A1092,Receitas!$C:$C,Q$1,Receitas!$M:$M,"Mensal")+SUMIFS(Receitas!$F:$F,Receitas!$J:$J,"&lt;="&amp;$A1092,Receitas!$L:$L,"&gt;="&amp;$A1092,Receitas!$C:$C,Q$1,Receitas!$M:$M,$B1092)</f>
        <v>0</v>
      </c>
      <c r="R1092" s="18" cm="1">
        <f t="array" ref="R1092">(IF(AND(Membros!$F$2="Sim",A1092&lt;=MAX(Membros!$E$2:$E$5)),Membros!K$2,IF(AND(A1092&gt;=Membros!J$2,A1092&lt;=MAX(Membros!$E$2:$E$5)),Membros!K$2,0))+IF(AND(Membros!$F$3="Sim",A1092&lt;=MAX(Membros!$E$2:$E$5)),Membros!K$3,IF(AND(A1092&gt;=Membros!J$3,A1092&lt;=MAX(Membros!$E$2:$E$5)),Membros!K$3,0)))*IF(AND(COUNTIFS(Tabela3[Tipo],"Provedor",Tabela3[Simulação Seguro],"Sim")=2,A1092&gt;=MAX(IF(Tabela3[Tipo]="Dependente",Tabela3[Expectativa de Vida (Data)]))),0,1)</f>
        <v>0</v>
      </c>
      <c r="S1092" s="18">
        <f t="shared" si="142"/>
        <v>0</v>
      </c>
      <c r="U1092" s="18">
        <f t="shared" ref="U1092:U1155" ca="1" si="145">Z1091</f>
        <v>166677315.36374897</v>
      </c>
      <c r="V1092" s="18">
        <f>SUMIF(Imóveis!E:E,Dados!A:A,Imóveis!Z:Z)-SUMIF(Imóveis!E:E,Dados!A:A,Imóveis!Y:Y)</f>
        <v>0</v>
      </c>
      <c r="W1092" s="18">
        <f>-SUMIF(Projetos!N:N,A1092,Projetos!F:F)</f>
        <v>0</v>
      </c>
      <c r="X1092" s="18">
        <f t="shared" si="139"/>
        <v>0</v>
      </c>
      <c r="Y1092" s="26">
        <f ca="1">(U1092*((Indicadores_Economicos!D$2+1)^(1/12)-1))</f>
        <v>545658.1580964193</v>
      </c>
      <c r="Z1092" s="18">
        <f t="shared" ca="1" si="143"/>
        <v>167222973.5218454</v>
      </c>
      <c r="AA1092" s="18">
        <f ca="1">Auxiliar_Projetos!E1092</f>
        <v>1.3784486990251846E-8</v>
      </c>
      <c r="AB1092" s="18">
        <f ca="1">Auxiliar_Projetos!K1092</f>
        <v>1.0603451530962954E-8</v>
      </c>
      <c r="AC1092" s="18">
        <f ca="1">IF(Z1092-AA1092-AB1092&gt;Investimentos!$C$14,Investimentos!$C$14,IF(Z1092-AA1092-AB1092&lt;Investimentos!$C$14,Z1092-AA1092-AB1092,0))</f>
        <v>300000</v>
      </c>
      <c r="AD1092" s="18">
        <f t="shared" ca="1" si="144"/>
        <v>166922973.5218454</v>
      </c>
      <c r="AE1092" s="18"/>
    </row>
    <row r="1093" spans="1:31" x14ac:dyDescent="0.2">
      <c r="A1093" s="4">
        <v>78863</v>
      </c>
      <c r="B1093" s="5" t="str">
        <f t="shared" si="140"/>
        <v>dezembro</v>
      </c>
      <c r="C1093" s="5" t="str">
        <f t="shared" si="138"/>
        <v>2115</v>
      </c>
      <c r="D1093" s="5">
        <f>SUMIFS(Despesas!$F:$F,Despesas!$J:$J,"&lt;="&amp;$A1093,Despesas!$L:$L,"&gt;="&amp;$A1093,Despesas!$C:$C,D$1,Despesas!$M:$M,"Mensal")+SUMIFS(Despesas!$F:$F,Despesas!$J:$J,"&lt;="&amp;$A1093,Despesas!$L:$L,"&gt;="&amp;$A1093,Despesas!$C:$C,D$1,Despesas!$M:$M,$B1093)</f>
        <v>0</v>
      </c>
      <c r="E1093" s="18">
        <f>SUMIFS(Despesas!$F:$F,Despesas!$J:$J,"&lt;="&amp;$A1093,Despesas!$L:$L,"&gt;="&amp;$A1093,Despesas!$C:$C,E$1,Despesas!$M:$M,"Mensal")+SUMIFS(Despesas!$F:$F,Despesas!$J:$J,"&lt;="&amp;$A1093,Despesas!$L:$L,"&gt;="&amp;$A1093,Despesas!$C:$C,E$1,Despesas!$M:$M,$B1093)</f>
        <v>0</v>
      </c>
      <c r="F1093" s="5">
        <f>SUMIFS(Despesas!$F:$F,Despesas!$J:$J,"&lt;="&amp;$A1093,Despesas!$L:$L,"&gt;="&amp;$A1093,Despesas!$C:$C,F$1,Despesas!$M:$M,"Mensal")+SUMIFS(Despesas!$F:$F,Despesas!$J:$J,"&lt;="&amp;$A1093,Despesas!$L:$L,"&gt;="&amp;$A1093,Despesas!$C:$C,F$1,Despesas!$M:$M,$B1093)</f>
        <v>0</v>
      </c>
      <c r="G1093" s="5">
        <f>SUMIFS(Despesas!$F:$F,Despesas!$J:$J,"&lt;="&amp;$A1093,Despesas!$L:$L,"&gt;="&amp;$A1093,Despesas!$C:$C,G$1,Despesas!$M:$M,"Mensal")+SUMIFS(Despesas!$F:$F,Despesas!$J:$J,"&lt;="&amp;$A1093,Despesas!$L:$L,"&gt;="&amp;$A1093,Despesas!$C:$C,G$1,Despesas!$M:$M,$B1093)</f>
        <v>0</v>
      </c>
      <c r="H1093" s="18">
        <f>SUMIFS(Despesas!$F:$F,Despesas!$J:$J,"&lt;="&amp;$A1093,Despesas!$L:$L,"&gt;="&amp;$A1093,Despesas!$C:$C,H$1,Despesas!$M:$M,"Mensal")+SUMIFS(Despesas!$F:$F,Despesas!$J:$J,"&lt;="&amp;$A1093,Despesas!$L:$L,"&gt;="&amp;$A1093,Despesas!$C:$C,H$1,Despesas!$M:$M,$B1093)</f>
        <v>0</v>
      </c>
      <c r="I1093" s="18">
        <f>IF(Imóveis!$F$2="PRICE",IF(AND(Dados!$A1093&gt;=Imóveis!$Q$2,Dados!$A1093&lt;=Imóveis!$T$2),Imóveis!$U$2,0),IF((IF(AND(Dados!$A1093&gt;=Imóveis!$Q$2,Dados!$A1093&lt;=Imóveis!$T$2),Imóveis!$S$2-(DATEDIF(Imóveis!$Q$2,Dados!$A1093,"m")),0))=0,0,((Imóveis!$N$2/Imóveis!$S$2)+((Imóveis!$N$2-((Imóveis!$S$2-(IF(AND(Dados!$A1093&gt;=Imóveis!$Q$2,Dados!$A1093&lt;=Imóveis!$T$2),Imóveis!$S$2-(DATEDIF(Imóveis!$Q$2,Dados!$A1093,"m")),)))*(Imóveis!$N$2/Imóveis!$S$2)))*Imóveis!$P$2))))*IF(AND(Imóveis!$E$2&gt;0,Dados!$A1093&gt;Imóveis!$E$2),0,1)</f>
        <v>0</v>
      </c>
      <c r="J1093" s="18">
        <f>IF(Imóveis!$F$3="PRICE",IF(AND(Dados!$A1093&gt;=Imóveis!$Q$3,Dados!$A1093&lt;=Imóveis!$T$3),Imóveis!$U$3,0),IF((IF(AND(Dados!$A1093&gt;=Imóveis!$Q$3,Dados!$A1093&lt;=Imóveis!$T$3),Imóveis!$S$3-(DATEDIF(Imóveis!$Q$3,Dados!$A1093,"m")),0))=0,0,((Imóveis!$N$3/Imóveis!$S$3)+((Imóveis!$N$3-((Imóveis!$S$3-(IF(AND(Dados!$A1093&gt;=Imóveis!$Q$3,Dados!$A1093&lt;=Imóveis!$T$3),Imóveis!$S$3-(DATEDIF(Imóveis!$Q$3,Dados!$A1093,"m")),)))*(Imóveis!$N$3/Imóveis!$S$3)))*Imóveis!$P$3))))*IF(AND(Imóveis!$E$3&gt;0,Dados!$A1093&gt;Imóveis!$E$3),0,1)</f>
        <v>0</v>
      </c>
      <c r="K1093" s="18">
        <f>IF(Imóveis!$F$4="PRICE",IF(AND(Dados!$A1093&gt;=Imóveis!$Q$4,Dados!$A1093&lt;=Imóveis!$T$4),Imóveis!$U$4,0),IF((IF(AND(Dados!$A1093&gt;=Imóveis!$Q$4,Dados!$A1093&lt;=Imóveis!$T$4),Imóveis!$S$4-(DATEDIF(Imóveis!$Q$4,Dados!$A1093,"m")),0))=0,0,((Imóveis!$N$4/Imóveis!$S$4)+((Imóveis!$N$4-((Imóveis!$S$4-(IF(AND(Dados!$A1093&gt;=Imóveis!$Q$4,Dados!$A1093&lt;=Imóveis!$T$4),Imóveis!$S$4-(DATEDIF(Imóveis!$Q$4,Dados!$A1093,"m")),)))*(Imóveis!$N$4/Imóveis!$S$4)))*Imóveis!$P$4))))*IF(AND(Imóveis!$E$4&gt;0,Dados!$A1093&gt;Imóveis!$E$4),0,1)</f>
        <v>0</v>
      </c>
      <c r="L1093" s="18">
        <f>IF(Imóveis!$F$5="PRICE",IF(AND(Dados!$A1093&gt;=Imóveis!$Q$5,Dados!$A1093&lt;=Imóveis!$T$5),Imóveis!$U$5,0),IF((IF(AND(Dados!$A1093&gt;=Imóveis!$Q$5,Dados!$A1093&lt;=Imóveis!$T$5),Imóveis!$S$5-(DATEDIF(Imóveis!$Q$5,Dados!$A1093,"m")),0))=0,0,((Imóveis!$N$5/Imóveis!$S$5)+((Imóveis!$N$5-((Imóveis!$S$5-(IF(AND(Dados!$A1093 &gt;=Imóveis!$Q$5,Dados!$A1093&lt;=Imóveis!$T$5),Imóveis!$S$5-(DATEDIF(Imóveis!$Q$5,Dados!$A1093,"m")),)))*(Imóveis!$N$5/Imóveis!$S$5)))*Imóveis!$P$5))))*IF(AND(Imóveis!$E$5&gt;0,Dados!$A1093&gt;Imóveis!$E$5),0,1)*Imóveis!$I$5</f>
        <v>0</v>
      </c>
      <c r="M1093" s="18">
        <f>IF(Imóveis!$F$6="PRICE",IF(AND(Dados!$A1093&gt;=Imóveis!$Q$6,Dados!$A1093&lt;=Imóveis!$T$6),Imóveis!$U$6,0),IF((IF(AND(Dados!$A1093&gt;=Imóveis!$Q$6,Dados!$A1093&lt;=Imóveis!$T$6),Imóveis!$S$6-(DATEDIF(Imóveis!$Q$6,Dados!$A1093,"m")),0))=0,0,((Imóveis!$N$6/Imóveis!$S$6)+((Imóveis!$N$6-((Imóveis!$S$6-(IF(AND(Dados!$A1093&gt;=Imóveis!$Q$6,Dados!$A1093&lt;=Imóveis!$T$6),Imóveis!$S$6-(DATEDIF(Imóveis!$Q$6,Dados!$A1093,"m")),)))*(Imóveis!$N$6/Imóveis!$S$6)))*Imóveis!$P$6))))*IF(AND(Imóveis!$E$6&gt;0,Dados!$A1093&gt;Imóveis!$E$6),0,1)*Imóveis!$I$6</f>
        <v>0</v>
      </c>
      <c r="N1093" s="18">
        <f t="shared" si="141"/>
        <v>0</v>
      </c>
      <c r="O1093" s="18">
        <f>SUMIFS(Receitas!$F:$F,Receitas!$J:$J,"&lt;="&amp;$A1093,Receitas!$L:$L,"&gt;="&amp;$A1093,Receitas!$C:$C,O$1,Receitas!$M:$M,"Mensal")+SUMIFS(Receitas!$F:$F,Receitas!$J:$J,"&lt;="&amp;$A1093,Receitas!$L:$L,"&gt;="&amp;$A1093,Receitas!$C:$C,O$1,Receitas!$M:$M,$B1093)</f>
        <v>0</v>
      </c>
      <c r="P1093" s="18">
        <f>SUMIFS(Receitas!$F:$F,Receitas!$J:$J,"&lt;="&amp;$A1093,Receitas!$L:$L,"&gt;="&amp;$A1093,Receitas!$C:$C,P$1,Receitas!$M:$M,"Mensal")+SUMIFS(Receitas!$F:$F,Receitas!$J:$J,"&lt;="&amp;$A1093,Receitas!$L:$L,"&gt;="&amp;$A1093,Receitas!$C:$C,P$1,Receitas!$M:$M,$B1093)</f>
        <v>0</v>
      </c>
      <c r="Q1093" s="18">
        <f>SUMIFS(Receitas!$F:$F,Receitas!$J:$J,"&lt;="&amp;$A1093,Receitas!$L:$L,"&gt;="&amp;$A1093,Receitas!$C:$C,Q$1,Receitas!$M:$M,"Mensal")+SUMIFS(Receitas!$F:$F,Receitas!$J:$J,"&lt;="&amp;$A1093,Receitas!$L:$L,"&gt;="&amp;$A1093,Receitas!$C:$C,Q$1,Receitas!$M:$M,$B1093)</f>
        <v>0</v>
      </c>
      <c r="R1093" s="18" cm="1">
        <f t="array" ref="R1093">(IF(AND(Membros!$F$2="Sim",A1093&lt;=MAX(Membros!$E$2:$E$5)),Membros!K$2,IF(AND(A1093&gt;=Membros!J$2,A1093&lt;=MAX(Membros!$E$2:$E$5)),Membros!K$2,0))+IF(AND(Membros!$F$3="Sim",A1093&lt;=MAX(Membros!$E$2:$E$5)),Membros!K$3,IF(AND(A1093&gt;=Membros!J$3,A1093&lt;=MAX(Membros!$E$2:$E$5)),Membros!K$3,0)))*IF(AND(COUNTIFS(Tabela3[Tipo],"Provedor",Tabela3[Simulação Seguro],"Sim")=2,A1093&gt;=MAX(IF(Tabela3[Tipo]="Dependente",Tabela3[Expectativa de Vida (Data)]))),0,1)</f>
        <v>0</v>
      </c>
      <c r="S1093" s="18">
        <f t="shared" si="142"/>
        <v>0</v>
      </c>
      <c r="U1093" s="18">
        <f t="shared" ca="1" si="145"/>
        <v>167222973.5218454</v>
      </c>
      <c r="V1093" s="18">
        <f>SUMIF(Imóveis!E:E,Dados!A:A,Imóveis!Z:Z)-SUMIF(Imóveis!E:E,Dados!A:A,Imóveis!Y:Y)</f>
        <v>0</v>
      </c>
      <c r="W1093" s="18">
        <f>-SUMIF(Projetos!N:N,A1093,Projetos!F:F)</f>
        <v>0</v>
      </c>
      <c r="X1093" s="18">
        <f t="shared" si="139"/>
        <v>0</v>
      </c>
      <c r="Y1093" s="26">
        <f ca="1">(U1093*((Indicadores_Economicos!D$2+1)^(1/12)-1))</f>
        <v>547444.50091606099</v>
      </c>
      <c r="Z1093" s="18">
        <f t="shared" ca="1" si="143"/>
        <v>167770418.02276146</v>
      </c>
      <c r="AA1093" s="18">
        <f ca="1">Auxiliar_Projetos!E1093</f>
        <v>1.3829613813689037E-8</v>
      </c>
      <c r="AB1093" s="18">
        <f ca="1">Auxiliar_Projetos!K1093</f>
        <v>1.0638164472068485E-8</v>
      </c>
      <c r="AC1093" s="18">
        <f ca="1">IF(Z1093-AA1093-AB1093&gt;Investimentos!$C$14,Investimentos!$C$14,IF(Z1093-AA1093-AB1093&lt;Investimentos!$C$14,Z1093-AA1093-AB1093,0))</f>
        <v>300000</v>
      </c>
      <c r="AD1093" s="18">
        <f t="shared" ca="1" si="144"/>
        <v>167470418.02276146</v>
      </c>
      <c r="AE1093" s="18"/>
    </row>
    <row r="1094" spans="1:31" x14ac:dyDescent="0.2">
      <c r="A1094" s="4">
        <v>78894</v>
      </c>
      <c r="B1094" s="5" t="str">
        <f t="shared" si="140"/>
        <v>janeiro</v>
      </c>
      <c r="C1094" s="5" t="str">
        <f t="shared" si="138"/>
        <v>2116</v>
      </c>
      <c r="D1094" s="5">
        <f>SUMIFS(Despesas!$F:$F,Despesas!$J:$J,"&lt;="&amp;$A1094,Despesas!$L:$L,"&gt;="&amp;$A1094,Despesas!$C:$C,D$1,Despesas!$M:$M,"Mensal")+SUMIFS(Despesas!$F:$F,Despesas!$J:$J,"&lt;="&amp;$A1094,Despesas!$L:$L,"&gt;="&amp;$A1094,Despesas!$C:$C,D$1,Despesas!$M:$M,$B1094)</f>
        <v>0</v>
      </c>
      <c r="E1094" s="18">
        <f>SUMIFS(Despesas!$F:$F,Despesas!$J:$J,"&lt;="&amp;$A1094,Despesas!$L:$L,"&gt;="&amp;$A1094,Despesas!$C:$C,E$1,Despesas!$M:$M,"Mensal")+SUMIFS(Despesas!$F:$F,Despesas!$J:$J,"&lt;="&amp;$A1094,Despesas!$L:$L,"&gt;="&amp;$A1094,Despesas!$C:$C,E$1,Despesas!$M:$M,$B1094)</f>
        <v>0</v>
      </c>
      <c r="F1094" s="5">
        <f>SUMIFS(Despesas!$F:$F,Despesas!$J:$J,"&lt;="&amp;$A1094,Despesas!$L:$L,"&gt;="&amp;$A1094,Despesas!$C:$C,F$1,Despesas!$M:$M,"Mensal")+SUMIFS(Despesas!$F:$F,Despesas!$J:$J,"&lt;="&amp;$A1094,Despesas!$L:$L,"&gt;="&amp;$A1094,Despesas!$C:$C,F$1,Despesas!$M:$M,$B1094)</f>
        <v>0</v>
      </c>
      <c r="G1094" s="5">
        <f>SUMIFS(Despesas!$F:$F,Despesas!$J:$J,"&lt;="&amp;$A1094,Despesas!$L:$L,"&gt;="&amp;$A1094,Despesas!$C:$C,G$1,Despesas!$M:$M,"Mensal")+SUMIFS(Despesas!$F:$F,Despesas!$J:$J,"&lt;="&amp;$A1094,Despesas!$L:$L,"&gt;="&amp;$A1094,Despesas!$C:$C,G$1,Despesas!$M:$M,$B1094)</f>
        <v>0</v>
      </c>
      <c r="H1094" s="18">
        <f>SUMIFS(Despesas!$F:$F,Despesas!$J:$J,"&lt;="&amp;$A1094,Despesas!$L:$L,"&gt;="&amp;$A1094,Despesas!$C:$C,H$1,Despesas!$M:$M,"Mensal")+SUMIFS(Despesas!$F:$F,Despesas!$J:$J,"&lt;="&amp;$A1094,Despesas!$L:$L,"&gt;="&amp;$A1094,Despesas!$C:$C,H$1,Despesas!$M:$M,$B1094)</f>
        <v>0</v>
      </c>
      <c r="I1094" s="18">
        <f>IF(Imóveis!$F$2="PRICE",IF(AND(Dados!$A1094&gt;=Imóveis!$Q$2,Dados!$A1094&lt;=Imóveis!$T$2),Imóveis!$U$2,0),IF((IF(AND(Dados!$A1094&gt;=Imóveis!$Q$2,Dados!$A1094&lt;=Imóveis!$T$2),Imóveis!$S$2-(DATEDIF(Imóveis!$Q$2,Dados!$A1094,"m")),0))=0,0,((Imóveis!$N$2/Imóveis!$S$2)+((Imóveis!$N$2-((Imóveis!$S$2-(IF(AND(Dados!$A1094&gt;=Imóveis!$Q$2,Dados!$A1094&lt;=Imóveis!$T$2),Imóveis!$S$2-(DATEDIF(Imóveis!$Q$2,Dados!$A1094,"m")),)))*(Imóveis!$N$2/Imóveis!$S$2)))*Imóveis!$P$2))))*IF(AND(Imóveis!$E$2&gt;0,Dados!$A1094&gt;Imóveis!$E$2),0,1)</f>
        <v>0</v>
      </c>
      <c r="J1094" s="18">
        <f>IF(Imóveis!$F$3="PRICE",IF(AND(Dados!$A1094&gt;=Imóveis!$Q$3,Dados!$A1094&lt;=Imóveis!$T$3),Imóveis!$U$3,0),IF((IF(AND(Dados!$A1094&gt;=Imóveis!$Q$3,Dados!$A1094&lt;=Imóveis!$T$3),Imóveis!$S$3-(DATEDIF(Imóveis!$Q$3,Dados!$A1094,"m")),0))=0,0,((Imóveis!$N$3/Imóveis!$S$3)+((Imóveis!$N$3-((Imóveis!$S$3-(IF(AND(Dados!$A1094&gt;=Imóveis!$Q$3,Dados!$A1094&lt;=Imóveis!$T$3),Imóveis!$S$3-(DATEDIF(Imóveis!$Q$3,Dados!$A1094,"m")),)))*(Imóveis!$N$3/Imóveis!$S$3)))*Imóveis!$P$3))))*IF(AND(Imóveis!$E$3&gt;0,Dados!$A1094&gt;Imóveis!$E$3),0,1)</f>
        <v>0</v>
      </c>
      <c r="K1094" s="18">
        <f>IF(Imóveis!$F$4="PRICE",IF(AND(Dados!$A1094&gt;=Imóveis!$Q$4,Dados!$A1094&lt;=Imóveis!$T$4),Imóveis!$U$4,0),IF((IF(AND(Dados!$A1094&gt;=Imóveis!$Q$4,Dados!$A1094&lt;=Imóveis!$T$4),Imóveis!$S$4-(DATEDIF(Imóveis!$Q$4,Dados!$A1094,"m")),0))=0,0,((Imóveis!$N$4/Imóveis!$S$4)+((Imóveis!$N$4-((Imóveis!$S$4-(IF(AND(Dados!$A1094&gt;=Imóveis!$Q$4,Dados!$A1094&lt;=Imóveis!$T$4),Imóveis!$S$4-(DATEDIF(Imóveis!$Q$4,Dados!$A1094,"m")),)))*(Imóveis!$N$4/Imóveis!$S$4)))*Imóveis!$P$4))))*IF(AND(Imóveis!$E$4&gt;0,Dados!$A1094&gt;Imóveis!$E$4),0,1)</f>
        <v>0</v>
      </c>
      <c r="L1094" s="18">
        <f>IF(Imóveis!$F$5="PRICE",IF(AND(Dados!$A1094&gt;=Imóveis!$Q$5,Dados!$A1094&lt;=Imóveis!$T$5),Imóveis!$U$5,0),IF((IF(AND(Dados!$A1094&gt;=Imóveis!$Q$5,Dados!$A1094&lt;=Imóveis!$T$5),Imóveis!$S$5-(DATEDIF(Imóveis!$Q$5,Dados!$A1094,"m")),0))=0,0,((Imóveis!$N$5/Imóveis!$S$5)+((Imóveis!$N$5-((Imóveis!$S$5-(IF(AND(Dados!$A1094 &gt;=Imóveis!$Q$5,Dados!$A1094&lt;=Imóveis!$T$5),Imóveis!$S$5-(DATEDIF(Imóveis!$Q$5,Dados!$A1094,"m")),)))*(Imóveis!$N$5/Imóveis!$S$5)))*Imóveis!$P$5))))*IF(AND(Imóveis!$E$5&gt;0,Dados!$A1094&gt;Imóveis!$E$5),0,1)*Imóveis!$I$5</f>
        <v>0</v>
      </c>
      <c r="M1094" s="18">
        <f>IF(Imóveis!$F$6="PRICE",IF(AND(Dados!$A1094&gt;=Imóveis!$Q$6,Dados!$A1094&lt;=Imóveis!$T$6),Imóveis!$U$6,0),IF((IF(AND(Dados!$A1094&gt;=Imóveis!$Q$6,Dados!$A1094&lt;=Imóveis!$T$6),Imóveis!$S$6-(DATEDIF(Imóveis!$Q$6,Dados!$A1094,"m")),0))=0,0,((Imóveis!$N$6/Imóveis!$S$6)+((Imóveis!$N$6-((Imóveis!$S$6-(IF(AND(Dados!$A1094&gt;=Imóveis!$Q$6,Dados!$A1094&lt;=Imóveis!$T$6),Imóveis!$S$6-(DATEDIF(Imóveis!$Q$6,Dados!$A1094,"m")),)))*(Imóveis!$N$6/Imóveis!$S$6)))*Imóveis!$P$6))))*IF(AND(Imóveis!$E$6&gt;0,Dados!$A1094&gt;Imóveis!$E$6),0,1)*Imóveis!$I$6</f>
        <v>0</v>
      </c>
      <c r="N1094" s="18">
        <f t="shared" si="141"/>
        <v>0</v>
      </c>
      <c r="O1094" s="18">
        <f>SUMIFS(Receitas!$F:$F,Receitas!$J:$J,"&lt;="&amp;$A1094,Receitas!$L:$L,"&gt;="&amp;$A1094,Receitas!$C:$C,O$1,Receitas!$M:$M,"Mensal")+SUMIFS(Receitas!$F:$F,Receitas!$J:$J,"&lt;="&amp;$A1094,Receitas!$L:$L,"&gt;="&amp;$A1094,Receitas!$C:$C,O$1,Receitas!$M:$M,$B1094)</f>
        <v>0</v>
      </c>
      <c r="P1094" s="18">
        <f>SUMIFS(Receitas!$F:$F,Receitas!$J:$J,"&lt;="&amp;$A1094,Receitas!$L:$L,"&gt;="&amp;$A1094,Receitas!$C:$C,P$1,Receitas!$M:$M,"Mensal")+SUMIFS(Receitas!$F:$F,Receitas!$J:$J,"&lt;="&amp;$A1094,Receitas!$L:$L,"&gt;="&amp;$A1094,Receitas!$C:$C,P$1,Receitas!$M:$M,$B1094)</f>
        <v>0</v>
      </c>
      <c r="Q1094" s="18">
        <f>SUMIFS(Receitas!$F:$F,Receitas!$J:$J,"&lt;="&amp;$A1094,Receitas!$L:$L,"&gt;="&amp;$A1094,Receitas!$C:$C,Q$1,Receitas!$M:$M,"Mensal")+SUMIFS(Receitas!$F:$F,Receitas!$J:$J,"&lt;="&amp;$A1094,Receitas!$L:$L,"&gt;="&amp;$A1094,Receitas!$C:$C,Q$1,Receitas!$M:$M,$B1094)</f>
        <v>0</v>
      </c>
      <c r="R1094" s="18" cm="1">
        <f t="array" ref="R1094">(IF(AND(Membros!$F$2="Sim",A1094&lt;=MAX(Membros!$E$2:$E$5)),Membros!K$2,IF(AND(A1094&gt;=Membros!J$2,A1094&lt;=MAX(Membros!$E$2:$E$5)),Membros!K$2,0))+IF(AND(Membros!$F$3="Sim",A1094&lt;=MAX(Membros!$E$2:$E$5)),Membros!K$3,IF(AND(A1094&gt;=Membros!J$3,A1094&lt;=MAX(Membros!$E$2:$E$5)),Membros!K$3,0)))*IF(AND(COUNTIFS(Tabela3[Tipo],"Provedor",Tabela3[Simulação Seguro],"Sim")=2,A1094&gt;=MAX(IF(Tabela3[Tipo]="Dependente",Tabela3[Expectativa de Vida (Data)]))),0,1)</f>
        <v>0</v>
      </c>
      <c r="S1094" s="18">
        <f t="shared" si="142"/>
        <v>0</v>
      </c>
      <c r="U1094" s="18">
        <f t="shared" ca="1" si="145"/>
        <v>167770418.02276146</v>
      </c>
      <c r="V1094" s="18">
        <f>SUMIF(Imóveis!E:E,Dados!A:A,Imóveis!Z:Z)-SUMIF(Imóveis!E:E,Dados!A:A,Imóveis!Y:Y)</f>
        <v>0</v>
      </c>
      <c r="W1094" s="18">
        <f>-SUMIF(Projetos!N:N,A1094,Projetos!F:F)</f>
        <v>0</v>
      </c>
      <c r="X1094" s="18">
        <f t="shared" si="139"/>
        <v>0</v>
      </c>
      <c r="Y1094" s="26">
        <f ca="1">(U1094*((Indicadores_Economicos!D$2+1)^(1/12)-1))</f>
        <v>549236.69175725593</v>
      </c>
      <c r="Z1094" s="18">
        <f t="shared" ca="1" si="143"/>
        <v>168319654.71451873</v>
      </c>
      <c r="AA1094" s="18">
        <f ca="1">Auxiliar_Projetos!E1094</f>
        <v>1.3874888370603359E-8</v>
      </c>
      <c r="AB1094" s="18">
        <f ca="1">Auxiliar_Projetos!K1094</f>
        <v>1.0672991054310271E-8</v>
      </c>
      <c r="AC1094" s="18">
        <f ca="1">IF(Z1094-AA1094-AB1094&gt;Investimentos!$C$14,Investimentos!$C$14,IF(Z1094-AA1094-AB1094&lt;Investimentos!$C$14,Z1094-AA1094-AB1094,0))</f>
        <v>300000</v>
      </c>
      <c r="AD1094" s="18">
        <f t="shared" ca="1" si="144"/>
        <v>168019654.71451873</v>
      </c>
      <c r="AE1094" s="18"/>
    </row>
    <row r="1095" spans="1:31" x14ac:dyDescent="0.2">
      <c r="A1095" s="4">
        <v>78925</v>
      </c>
      <c r="B1095" s="5" t="str">
        <f t="shared" si="140"/>
        <v>fevereiro</v>
      </c>
      <c r="C1095" s="5" t="str">
        <f t="shared" si="138"/>
        <v>2116</v>
      </c>
      <c r="D1095" s="5">
        <f>SUMIFS(Despesas!$F:$F,Despesas!$J:$J,"&lt;="&amp;$A1095,Despesas!$L:$L,"&gt;="&amp;$A1095,Despesas!$C:$C,D$1,Despesas!$M:$M,"Mensal")+SUMIFS(Despesas!$F:$F,Despesas!$J:$J,"&lt;="&amp;$A1095,Despesas!$L:$L,"&gt;="&amp;$A1095,Despesas!$C:$C,D$1,Despesas!$M:$M,$B1095)</f>
        <v>0</v>
      </c>
      <c r="E1095" s="18">
        <f>SUMIFS(Despesas!$F:$F,Despesas!$J:$J,"&lt;="&amp;$A1095,Despesas!$L:$L,"&gt;="&amp;$A1095,Despesas!$C:$C,E$1,Despesas!$M:$M,"Mensal")+SUMIFS(Despesas!$F:$F,Despesas!$J:$J,"&lt;="&amp;$A1095,Despesas!$L:$L,"&gt;="&amp;$A1095,Despesas!$C:$C,E$1,Despesas!$M:$M,$B1095)</f>
        <v>0</v>
      </c>
      <c r="F1095" s="5">
        <f>SUMIFS(Despesas!$F:$F,Despesas!$J:$J,"&lt;="&amp;$A1095,Despesas!$L:$L,"&gt;="&amp;$A1095,Despesas!$C:$C,F$1,Despesas!$M:$M,"Mensal")+SUMIFS(Despesas!$F:$F,Despesas!$J:$J,"&lt;="&amp;$A1095,Despesas!$L:$L,"&gt;="&amp;$A1095,Despesas!$C:$C,F$1,Despesas!$M:$M,$B1095)</f>
        <v>0</v>
      </c>
      <c r="G1095" s="5">
        <f>SUMIFS(Despesas!$F:$F,Despesas!$J:$J,"&lt;="&amp;$A1095,Despesas!$L:$L,"&gt;="&amp;$A1095,Despesas!$C:$C,G$1,Despesas!$M:$M,"Mensal")+SUMIFS(Despesas!$F:$F,Despesas!$J:$J,"&lt;="&amp;$A1095,Despesas!$L:$L,"&gt;="&amp;$A1095,Despesas!$C:$C,G$1,Despesas!$M:$M,$B1095)</f>
        <v>0</v>
      </c>
      <c r="H1095" s="18">
        <f>SUMIFS(Despesas!$F:$F,Despesas!$J:$J,"&lt;="&amp;$A1095,Despesas!$L:$L,"&gt;="&amp;$A1095,Despesas!$C:$C,H$1,Despesas!$M:$M,"Mensal")+SUMIFS(Despesas!$F:$F,Despesas!$J:$J,"&lt;="&amp;$A1095,Despesas!$L:$L,"&gt;="&amp;$A1095,Despesas!$C:$C,H$1,Despesas!$M:$M,$B1095)</f>
        <v>0</v>
      </c>
      <c r="I1095" s="18">
        <f>IF(Imóveis!$F$2="PRICE",IF(AND(Dados!$A1095&gt;=Imóveis!$Q$2,Dados!$A1095&lt;=Imóveis!$T$2),Imóveis!$U$2,0),IF((IF(AND(Dados!$A1095&gt;=Imóveis!$Q$2,Dados!$A1095&lt;=Imóveis!$T$2),Imóveis!$S$2-(DATEDIF(Imóveis!$Q$2,Dados!$A1095,"m")),0))=0,0,((Imóveis!$N$2/Imóveis!$S$2)+((Imóveis!$N$2-((Imóveis!$S$2-(IF(AND(Dados!$A1095&gt;=Imóveis!$Q$2,Dados!$A1095&lt;=Imóveis!$T$2),Imóveis!$S$2-(DATEDIF(Imóveis!$Q$2,Dados!$A1095,"m")),)))*(Imóveis!$N$2/Imóveis!$S$2)))*Imóveis!$P$2))))*IF(AND(Imóveis!$E$2&gt;0,Dados!$A1095&gt;Imóveis!$E$2),0,1)</f>
        <v>0</v>
      </c>
      <c r="J1095" s="18">
        <f>IF(Imóveis!$F$3="PRICE",IF(AND(Dados!$A1095&gt;=Imóveis!$Q$3,Dados!$A1095&lt;=Imóveis!$T$3),Imóveis!$U$3,0),IF((IF(AND(Dados!$A1095&gt;=Imóveis!$Q$3,Dados!$A1095&lt;=Imóveis!$T$3),Imóveis!$S$3-(DATEDIF(Imóveis!$Q$3,Dados!$A1095,"m")),0))=0,0,((Imóveis!$N$3/Imóveis!$S$3)+((Imóveis!$N$3-((Imóveis!$S$3-(IF(AND(Dados!$A1095&gt;=Imóveis!$Q$3,Dados!$A1095&lt;=Imóveis!$T$3),Imóveis!$S$3-(DATEDIF(Imóveis!$Q$3,Dados!$A1095,"m")),)))*(Imóveis!$N$3/Imóveis!$S$3)))*Imóveis!$P$3))))*IF(AND(Imóveis!$E$3&gt;0,Dados!$A1095&gt;Imóveis!$E$3),0,1)</f>
        <v>0</v>
      </c>
      <c r="K1095" s="18">
        <f>IF(Imóveis!$F$4="PRICE",IF(AND(Dados!$A1095&gt;=Imóveis!$Q$4,Dados!$A1095&lt;=Imóveis!$T$4),Imóveis!$U$4,0),IF((IF(AND(Dados!$A1095&gt;=Imóveis!$Q$4,Dados!$A1095&lt;=Imóveis!$T$4),Imóveis!$S$4-(DATEDIF(Imóveis!$Q$4,Dados!$A1095,"m")),0))=0,0,((Imóveis!$N$4/Imóveis!$S$4)+((Imóveis!$N$4-((Imóveis!$S$4-(IF(AND(Dados!$A1095&gt;=Imóveis!$Q$4,Dados!$A1095&lt;=Imóveis!$T$4),Imóveis!$S$4-(DATEDIF(Imóveis!$Q$4,Dados!$A1095,"m")),)))*(Imóveis!$N$4/Imóveis!$S$4)))*Imóveis!$P$4))))*IF(AND(Imóveis!$E$4&gt;0,Dados!$A1095&gt;Imóveis!$E$4),0,1)</f>
        <v>0</v>
      </c>
      <c r="L1095" s="18">
        <f>IF(Imóveis!$F$5="PRICE",IF(AND(Dados!$A1095&gt;=Imóveis!$Q$5,Dados!$A1095&lt;=Imóveis!$T$5),Imóveis!$U$5,0),IF((IF(AND(Dados!$A1095&gt;=Imóveis!$Q$5,Dados!$A1095&lt;=Imóveis!$T$5),Imóveis!$S$5-(DATEDIF(Imóveis!$Q$5,Dados!$A1095,"m")),0))=0,0,((Imóveis!$N$5/Imóveis!$S$5)+((Imóveis!$N$5-((Imóveis!$S$5-(IF(AND(Dados!$A1095 &gt;=Imóveis!$Q$5,Dados!$A1095&lt;=Imóveis!$T$5),Imóveis!$S$5-(DATEDIF(Imóveis!$Q$5,Dados!$A1095,"m")),)))*(Imóveis!$N$5/Imóveis!$S$5)))*Imóveis!$P$5))))*IF(AND(Imóveis!$E$5&gt;0,Dados!$A1095&gt;Imóveis!$E$5),0,1)*Imóveis!$I$5</f>
        <v>0</v>
      </c>
      <c r="M1095" s="18">
        <f>IF(Imóveis!$F$6="PRICE",IF(AND(Dados!$A1095&gt;=Imóveis!$Q$6,Dados!$A1095&lt;=Imóveis!$T$6),Imóveis!$U$6,0),IF((IF(AND(Dados!$A1095&gt;=Imóveis!$Q$6,Dados!$A1095&lt;=Imóveis!$T$6),Imóveis!$S$6-(DATEDIF(Imóveis!$Q$6,Dados!$A1095,"m")),0))=0,0,((Imóveis!$N$6/Imóveis!$S$6)+((Imóveis!$N$6-((Imóveis!$S$6-(IF(AND(Dados!$A1095&gt;=Imóveis!$Q$6,Dados!$A1095&lt;=Imóveis!$T$6),Imóveis!$S$6-(DATEDIF(Imóveis!$Q$6,Dados!$A1095,"m")),)))*(Imóveis!$N$6/Imóveis!$S$6)))*Imóveis!$P$6))))*IF(AND(Imóveis!$E$6&gt;0,Dados!$A1095&gt;Imóveis!$E$6),0,1)*Imóveis!$I$6</f>
        <v>0</v>
      </c>
      <c r="N1095" s="18">
        <f t="shared" si="141"/>
        <v>0</v>
      </c>
      <c r="O1095" s="18">
        <f>SUMIFS(Receitas!$F:$F,Receitas!$J:$J,"&lt;="&amp;$A1095,Receitas!$L:$L,"&gt;="&amp;$A1095,Receitas!$C:$C,O$1,Receitas!$M:$M,"Mensal")+SUMIFS(Receitas!$F:$F,Receitas!$J:$J,"&lt;="&amp;$A1095,Receitas!$L:$L,"&gt;="&amp;$A1095,Receitas!$C:$C,O$1,Receitas!$M:$M,$B1095)</f>
        <v>0</v>
      </c>
      <c r="P1095" s="18">
        <f>SUMIFS(Receitas!$F:$F,Receitas!$J:$J,"&lt;="&amp;$A1095,Receitas!$L:$L,"&gt;="&amp;$A1095,Receitas!$C:$C,P$1,Receitas!$M:$M,"Mensal")+SUMIFS(Receitas!$F:$F,Receitas!$J:$J,"&lt;="&amp;$A1095,Receitas!$L:$L,"&gt;="&amp;$A1095,Receitas!$C:$C,P$1,Receitas!$M:$M,$B1095)</f>
        <v>0</v>
      </c>
      <c r="Q1095" s="18">
        <f>SUMIFS(Receitas!$F:$F,Receitas!$J:$J,"&lt;="&amp;$A1095,Receitas!$L:$L,"&gt;="&amp;$A1095,Receitas!$C:$C,Q$1,Receitas!$M:$M,"Mensal")+SUMIFS(Receitas!$F:$F,Receitas!$J:$J,"&lt;="&amp;$A1095,Receitas!$L:$L,"&gt;="&amp;$A1095,Receitas!$C:$C,Q$1,Receitas!$M:$M,$B1095)</f>
        <v>0</v>
      </c>
      <c r="R1095" s="18" cm="1">
        <f t="array" ref="R1095">(IF(AND(Membros!$F$2="Sim",A1095&lt;=MAX(Membros!$E$2:$E$5)),Membros!K$2,IF(AND(A1095&gt;=Membros!J$2,A1095&lt;=MAX(Membros!$E$2:$E$5)),Membros!K$2,0))+IF(AND(Membros!$F$3="Sim",A1095&lt;=MAX(Membros!$E$2:$E$5)),Membros!K$3,IF(AND(A1095&gt;=Membros!J$3,A1095&lt;=MAX(Membros!$E$2:$E$5)),Membros!K$3,0)))*IF(AND(COUNTIFS(Tabela3[Tipo],"Provedor",Tabela3[Simulação Seguro],"Sim")=2,A1095&gt;=MAX(IF(Tabela3[Tipo]="Dependente",Tabela3[Expectativa de Vida (Data)]))),0,1)</f>
        <v>0</v>
      </c>
      <c r="S1095" s="18">
        <f t="shared" si="142"/>
        <v>0</v>
      </c>
      <c r="U1095" s="18">
        <f t="shared" ca="1" si="145"/>
        <v>168319654.71451873</v>
      </c>
      <c r="V1095" s="18">
        <f>SUMIF(Imóveis!E:E,Dados!A:A,Imóveis!Z:Z)-SUMIF(Imóveis!E:E,Dados!A:A,Imóveis!Y:Y)</f>
        <v>0</v>
      </c>
      <c r="W1095" s="18">
        <f>-SUMIF(Projetos!N:N,A1095,Projetos!F:F)</f>
        <v>0</v>
      </c>
      <c r="X1095" s="18">
        <f t="shared" si="139"/>
        <v>0</v>
      </c>
      <c r="Y1095" s="26">
        <f ca="1">(U1095*((Indicadores_Economicos!D$2+1)^(1/12)-1))</f>
        <v>551034.74976490508</v>
      </c>
      <c r="Z1095" s="18">
        <f t="shared" ca="1" si="143"/>
        <v>168870689.46428365</v>
      </c>
      <c r="AA1095" s="18">
        <f ca="1">Auxiliar_Projetos!E1095</f>
        <v>1.3920311144635772E-8</v>
      </c>
      <c r="AB1095" s="18">
        <f ca="1">Auxiliar_Projetos!K1095</f>
        <v>1.070793164971982E-8</v>
      </c>
      <c r="AC1095" s="18">
        <f ca="1">IF(Z1095-AA1095-AB1095&gt;Investimentos!$C$14,Investimentos!$C$14,IF(Z1095-AA1095-AB1095&lt;Investimentos!$C$14,Z1095-AA1095-AB1095,0))</f>
        <v>300000</v>
      </c>
      <c r="AD1095" s="18">
        <f t="shared" ca="1" si="144"/>
        <v>168570689.46428365</v>
      </c>
      <c r="AE1095" s="18"/>
    </row>
    <row r="1096" spans="1:31" x14ac:dyDescent="0.2">
      <c r="A1096" s="4">
        <v>78954</v>
      </c>
      <c r="B1096" s="5" t="str">
        <f t="shared" si="140"/>
        <v>março</v>
      </c>
      <c r="C1096" s="5" t="str">
        <f t="shared" si="138"/>
        <v>2116</v>
      </c>
      <c r="D1096" s="5">
        <f>SUMIFS(Despesas!$F:$F,Despesas!$J:$J,"&lt;="&amp;$A1096,Despesas!$L:$L,"&gt;="&amp;$A1096,Despesas!$C:$C,D$1,Despesas!$M:$M,"Mensal")+SUMIFS(Despesas!$F:$F,Despesas!$J:$J,"&lt;="&amp;$A1096,Despesas!$L:$L,"&gt;="&amp;$A1096,Despesas!$C:$C,D$1,Despesas!$M:$M,$B1096)</f>
        <v>0</v>
      </c>
      <c r="E1096" s="18">
        <f>SUMIFS(Despesas!$F:$F,Despesas!$J:$J,"&lt;="&amp;$A1096,Despesas!$L:$L,"&gt;="&amp;$A1096,Despesas!$C:$C,E$1,Despesas!$M:$M,"Mensal")+SUMIFS(Despesas!$F:$F,Despesas!$J:$J,"&lt;="&amp;$A1096,Despesas!$L:$L,"&gt;="&amp;$A1096,Despesas!$C:$C,E$1,Despesas!$M:$M,$B1096)</f>
        <v>0</v>
      </c>
      <c r="F1096" s="5">
        <f>SUMIFS(Despesas!$F:$F,Despesas!$J:$J,"&lt;="&amp;$A1096,Despesas!$L:$L,"&gt;="&amp;$A1096,Despesas!$C:$C,F$1,Despesas!$M:$M,"Mensal")+SUMIFS(Despesas!$F:$F,Despesas!$J:$J,"&lt;="&amp;$A1096,Despesas!$L:$L,"&gt;="&amp;$A1096,Despesas!$C:$C,F$1,Despesas!$M:$M,$B1096)</f>
        <v>0</v>
      </c>
      <c r="G1096" s="5">
        <f>SUMIFS(Despesas!$F:$F,Despesas!$J:$J,"&lt;="&amp;$A1096,Despesas!$L:$L,"&gt;="&amp;$A1096,Despesas!$C:$C,G$1,Despesas!$M:$M,"Mensal")+SUMIFS(Despesas!$F:$F,Despesas!$J:$J,"&lt;="&amp;$A1096,Despesas!$L:$L,"&gt;="&amp;$A1096,Despesas!$C:$C,G$1,Despesas!$M:$M,$B1096)</f>
        <v>0</v>
      </c>
      <c r="H1096" s="18">
        <f>SUMIFS(Despesas!$F:$F,Despesas!$J:$J,"&lt;="&amp;$A1096,Despesas!$L:$L,"&gt;="&amp;$A1096,Despesas!$C:$C,H$1,Despesas!$M:$M,"Mensal")+SUMIFS(Despesas!$F:$F,Despesas!$J:$J,"&lt;="&amp;$A1096,Despesas!$L:$L,"&gt;="&amp;$A1096,Despesas!$C:$C,H$1,Despesas!$M:$M,$B1096)</f>
        <v>0</v>
      </c>
      <c r="I1096" s="18">
        <f>IF(Imóveis!$F$2="PRICE",IF(AND(Dados!$A1096&gt;=Imóveis!$Q$2,Dados!$A1096&lt;=Imóveis!$T$2),Imóveis!$U$2,0),IF((IF(AND(Dados!$A1096&gt;=Imóveis!$Q$2,Dados!$A1096&lt;=Imóveis!$T$2),Imóveis!$S$2-(DATEDIF(Imóveis!$Q$2,Dados!$A1096,"m")),0))=0,0,((Imóveis!$N$2/Imóveis!$S$2)+((Imóveis!$N$2-((Imóveis!$S$2-(IF(AND(Dados!$A1096&gt;=Imóveis!$Q$2,Dados!$A1096&lt;=Imóveis!$T$2),Imóveis!$S$2-(DATEDIF(Imóveis!$Q$2,Dados!$A1096,"m")),)))*(Imóveis!$N$2/Imóveis!$S$2)))*Imóveis!$P$2))))*IF(AND(Imóveis!$E$2&gt;0,Dados!$A1096&gt;Imóveis!$E$2),0,1)</f>
        <v>0</v>
      </c>
      <c r="J1096" s="18">
        <f>IF(Imóveis!$F$3="PRICE",IF(AND(Dados!$A1096&gt;=Imóveis!$Q$3,Dados!$A1096&lt;=Imóveis!$T$3),Imóveis!$U$3,0),IF((IF(AND(Dados!$A1096&gt;=Imóveis!$Q$3,Dados!$A1096&lt;=Imóveis!$T$3),Imóveis!$S$3-(DATEDIF(Imóveis!$Q$3,Dados!$A1096,"m")),0))=0,0,((Imóveis!$N$3/Imóveis!$S$3)+((Imóveis!$N$3-((Imóveis!$S$3-(IF(AND(Dados!$A1096&gt;=Imóveis!$Q$3,Dados!$A1096&lt;=Imóveis!$T$3),Imóveis!$S$3-(DATEDIF(Imóveis!$Q$3,Dados!$A1096,"m")),)))*(Imóveis!$N$3/Imóveis!$S$3)))*Imóveis!$P$3))))*IF(AND(Imóveis!$E$3&gt;0,Dados!$A1096&gt;Imóveis!$E$3),0,1)</f>
        <v>0</v>
      </c>
      <c r="K1096" s="18">
        <f>IF(Imóveis!$F$4="PRICE",IF(AND(Dados!$A1096&gt;=Imóveis!$Q$4,Dados!$A1096&lt;=Imóveis!$T$4),Imóveis!$U$4,0),IF((IF(AND(Dados!$A1096&gt;=Imóveis!$Q$4,Dados!$A1096&lt;=Imóveis!$T$4),Imóveis!$S$4-(DATEDIF(Imóveis!$Q$4,Dados!$A1096,"m")),0))=0,0,((Imóveis!$N$4/Imóveis!$S$4)+((Imóveis!$N$4-((Imóveis!$S$4-(IF(AND(Dados!$A1096&gt;=Imóveis!$Q$4,Dados!$A1096&lt;=Imóveis!$T$4),Imóveis!$S$4-(DATEDIF(Imóveis!$Q$4,Dados!$A1096,"m")),)))*(Imóveis!$N$4/Imóveis!$S$4)))*Imóveis!$P$4))))*IF(AND(Imóveis!$E$4&gt;0,Dados!$A1096&gt;Imóveis!$E$4),0,1)</f>
        <v>0</v>
      </c>
      <c r="L1096" s="18">
        <f>IF(Imóveis!$F$5="PRICE",IF(AND(Dados!$A1096&gt;=Imóveis!$Q$5,Dados!$A1096&lt;=Imóveis!$T$5),Imóveis!$U$5,0),IF((IF(AND(Dados!$A1096&gt;=Imóveis!$Q$5,Dados!$A1096&lt;=Imóveis!$T$5),Imóveis!$S$5-(DATEDIF(Imóveis!$Q$5,Dados!$A1096,"m")),0))=0,0,((Imóveis!$N$5/Imóveis!$S$5)+((Imóveis!$N$5-((Imóveis!$S$5-(IF(AND(Dados!$A1096 &gt;=Imóveis!$Q$5,Dados!$A1096&lt;=Imóveis!$T$5),Imóveis!$S$5-(DATEDIF(Imóveis!$Q$5,Dados!$A1096,"m")),)))*(Imóveis!$N$5/Imóveis!$S$5)))*Imóveis!$P$5))))*IF(AND(Imóveis!$E$5&gt;0,Dados!$A1096&gt;Imóveis!$E$5),0,1)*Imóveis!$I$5</f>
        <v>0</v>
      </c>
      <c r="M1096" s="18">
        <f>IF(Imóveis!$F$6="PRICE",IF(AND(Dados!$A1096&gt;=Imóveis!$Q$6,Dados!$A1096&lt;=Imóveis!$T$6),Imóveis!$U$6,0),IF((IF(AND(Dados!$A1096&gt;=Imóveis!$Q$6,Dados!$A1096&lt;=Imóveis!$T$6),Imóveis!$S$6-(DATEDIF(Imóveis!$Q$6,Dados!$A1096,"m")),0))=0,0,((Imóveis!$N$6/Imóveis!$S$6)+((Imóveis!$N$6-((Imóveis!$S$6-(IF(AND(Dados!$A1096&gt;=Imóveis!$Q$6,Dados!$A1096&lt;=Imóveis!$T$6),Imóveis!$S$6-(DATEDIF(Imóveis!$Q$6,Dados!$A1096,"m")),)))*(Imóveis!$N$6/Imóveis!$S$6)))*Imóveis!$P$6))))*IF(AND(Imóveis!$E$6&gt;0,Dados!$A1096&gt;Imóveis!$E$6),0,1)*Imóveis!$I$6</f>
        <v>0</v>
      </c>
      <c r="N1096" s="18">
        <f t="shared" si="141"/>
        <v>0</v>
      </c>
      <c r="O1096" s="18">
        <f>SUMIFS(Receitas!$F:$F,Receitas!$J:$J,"&lt;="&amp;$A1096,Receitas!$L:$L,"&gt;="&amp;$A1096,Receitas!$C:$C,O$1,Receitas!$M:$M,"Mensal")+SUMIFS(Receitas!$F:$F,Receitas!$J:$J,"&lt;="&amp;$A1096,Receitas!$L:$L,"&gt;="&amp;$A1096,Receitas!$C:$C,O$1,Receitas!$M:$M,$B1096)</f>
        <v>0</v>
      </c>
      <c r="P1096" s="18">
        <f>SUMIFS(Receitas!$F:$F,Receitas!$J:$J,"&lt;="&amp;$A1096,Receitas!$L:$L,"&gt;="&amp;$A1096,Receitas!$C:$C,P$1,Receitas!$M:$M,"Mensal")+SUMIFS(Receitas!$F:$F,Receitas!$J:$J,"&lt;="&amp;$A1096,Receitas!$L:$L,"&gt;="&amp;$A1096,Receitas!$C:$C,P$1,Receitas!$M:$M,$B1096)</f>
        <v>0</v>
      </c>
      <c r="Q1096" s="18">
        <f>SUMIFS(Receitas!$F:$F,Receitas!$J:$J,"&lt;="&amp;$A1096,Receitas!$L:$L,"&gt;="&amp;$A1096,Receitas!$C:$C,Q$1,Receitas!$M:$M,"Mensal")+SUMIFS(Receitas!$F:$F,Receitas!$J:$J,"&lt;="&amp;$A1096,Receitas!$L:$L,"&gt;="&amp;$A1096,Receitas!$C:$C,Q$1,Receitas!$M:$M,$B1096)</f>
        <v>0</v>
      </c>
      <c r="R1096" s="18" cm="1">
        <f t="array" ref="R1096">(IF(AND(Membros!$F$2="Sim",A1096&lt;=MAX(Membros!$E$2:$E$5)),Membros!K$2,IF(AND(A1096&gt;=Membros!J$2,A1096&lt;=MAX(Membros!$E$2:$E$5)),Membros!K$2,0))+IF(AND(Membros!$F$3="Sim",A1096&lt;=MAX(Membros!$E$2:$E$5)),Membros!K$3,IF(AND(A1096&gt;=Membros!J$3,A1096&lt;=MAX(Membros!$E$2:$E$5)),Membros!K$3,0)))*IF(AND(COUNTIFS(Tabela3[Tipo],"Provedor",Tabela3[Simulação Seguro],"Sim")=2,A1096&gt;=MAX(IF(Tabela3[Tipo]="Dependente",Tabela3[Expectativa de Vida (Data)]))),0,1)</f>
        <v>0</v>
      </c>
      <c r="S1096" s="18">
        <f t="shared" si="142"/>
        <v>0</v>
      </c>
      <c r="U1096" s="18">
        <f t="shared" ca="1" si="145"/>
        <v>168870689.46428365</v>
      </c>
      <c r="V1096" s="18">
        <f>SUMIF(Imóveis!E:E,Dados!A:A,Imóveis!Z:Z)-SUMIF(Imóveis!E:E,Dados!A:A,Imóveis!Y:Y)</f>
        <v>0</v>
      </c>
      <c r="W1096" s="18">
        <f>-SUMIF(Projetos!N:N,A1096,Projetos!F:F)</f>
        <v>0</v>
      </c>
      <c r="X1096" s="18">
        <f t="shared" si="139"/>
        <v>0</v>
      </c>
      <c r="Y1096" s="26">
        <f ca="1">(U1096*((Indicadores_Economicos!D$2+1)^(1/12)-1))</f>
        <v>552838.69414658449</v>
      </c>
      <c r="Z1096" s="18">
        <f t="shared" ca="1" si="143"/>
        <v>169423528.15843022</v>
      </c>
      <c r="AA1096" s="18">
        <f ca="1">Auxiliar_Projetos!E1096</f>
        <v>1.3965882621010553E-8</v>
      </c>
      <c r="AB1096" s="18">
        <f ca="1">Auxiliar_Projetos!K1096</f>
        <v>1.0742986631546575E-8</v>
      </c>
      <c r="AC1096" s="18">
        <f ca="1">IF(Z1096-AA1096-AB1096&gt;Investimentos!$C$14,Investimentos!$C$14,IF(Z1096-AA1096-AB1096&lt;Investimentos!$C$14,Z1096-AA1096-AB1096,0))</f>
        <v>300000</v>
      </c>
      <c r="AD1096" s="18">
        <f t="shared" ca="1" si="144"/>
        <v>169123528.15843022</v>
      </c>
      <c r="AE1096" s="18"/>
    </row>
    <row r="1097" spans="1:31" x14ac:dyDescent="0.2">
      <c r="A1097" s="4">
        <v>78985</v>
      </c>
      <c r="B1097" s="5" t="str">
        <f t="shared" si="140"/>
        <v>abril</v>
      </c>
      <c r="C1097" s="5" t="str">
        <f t="shared" si="138"/>
        <v>2116</v>
      </c>
      <c r="D1097" s="5">
        <f>SUMIFS(Despesas!$F:$F,Despesas!$J:$J,"&lt;="&amp;$A1097,Despesas!$L:$L,"&gt;="&amp;$A1097,Despesas!$C:$C,D$1,Despesas!$M:$M,"Mensal")+SUMIFS(Despesas!$F:$F,Despesas!$J:$J,"&lt;="&amp;$A1097,Despesas!$L:$L,"&gt;="&amp;$A1097,Despesas!$C:$C,D$1,Despesas!$M:$M,$B1097)</f>
        <v>0</v>
      </c>
      <c r="E1097" s="18">
        <f>SUMIFS(Despesas!$F:$F,Despesas!$J:$J,"&lt;="&amp;$A1097,Despesas!$L:$L,"&gt;="&amp;$A1097,Despesas!$C:$C,E$1,Despesas!$M:$M,"Mensal")+SUMIFS(Despesas!$F:$F,Despesas!$J:$J,"&lt;="&amp;$A1097,Despesas!$L:$L,"&gt;="&amp;$A1097,Despesas!$C:$C,E$1,Despesas!$M:$M,$B1097)</f>
        <v>0</v>
      </c>
      <c r="F1097" s="5">
        <f>SUMIFS(Despesas!$F:$F,Despesas!$J:$J,"&lt;="&amp;$A1097,Despesas!$L:$L,"&gt;="&amp;$A1097,Despesas!$C:$C,F$1,Despesas!$M:$M,"Mensal")+SUMIFS(Despesas!$F:$F,Despesas!$J:$J,"&lt;="&amp;$A1097,Despesas!$L:$L,"&gt;="&amp;$A1097,Despesas!$C:$C,F$1,Despesas!$M:$M,$B1097)</f>
        <v>0</v>
      </c>
      <c r="G1097" s="5">
        <f>SUMIFS(Despesas!$F:$F,Despesas!$J:$J,"&lt;="&amp;$A1097,Despesas!$L:$L,"&gt;="&amp;$A1097,Despesas!$C:$C,G$1,Despesas!$M:$M,"Mensal")+SUMIFS(Despesas!$F:$F,Despesas!$J:$J,"&lt;="&amp;$A1097,Despesas!$L:$L,"&gt;="&amp;$A1097,Despesas!$C:$C,G$1,Despesas!$M:$M,$B1097)</f>
        <v>0</v>
      </c>
      <c r="H1097" s="18">
        <f>SUMIFS(Despesas!$F:$F,Despesas!$J:$J,"&lt;="&amp;$A1097,Despesas!$L:$L,"&gt;="&amp;$A1097,Despesas!$C:$C,H$1,Despesas!$M:$M,"Mensal")+SUMIFS(Despesas!$F:$F,Despesas!$J:$J,"&lt;="&amp;$A1097,Despesas!$L:$L,"&gt;="&amp;$A1097,Despesas!$C:$C,H$1,Despesas!$M:$M,$B1097)</f>
        <v>0</v>
      </c>
      <c r="I1097" s="18">
        <f>IF(Imóveis!$F$2="PRICE",IF(AND(Dados!$A1097&gt;=Imóveis!$Q$2,Dados!$A1097&lt;=Imóveis!$T$2),Imóveis!$U$2,0),IF((IF(AND(Dados!$A1097&gt;=Imóveis!$Q$2,Dados!$A1097&lt;=Imóveis!$T$2),Imóveis!$S$2-(DATEDIF(Imóveis!$Q$2,Dados!$A1097,"m")),0))=0,0,((Imóveis!$N$2/Imóveis!$S$2)+((Imóveis!$N$2-((Imóveis!$S$2-(IF(AND(Dados!$A1097&gt;=Imóveis!$Q$2,Dados!$A1097&lt;=Imóveis!$T$2),Imóveis!$S$2-(DATEDIF(Imóveis!$Q$2,Dados!$A1097,"m")),)))*(Imóveis!$N$2/Imóveis!$S$2)))*Imóveis!$P$2))))*IF(AND(Imóveis!$E$2&gt;0,Dados!$A1097&gt;Imóveis!$E$2),0,1)</f>
        <v>0</v>
      </c>
      <c r="J1097" s="18">
        <f>IF(Imóveis!$F$3="PRICE",IF(AND(Dados!$A1097&gt;=Imóveis!$Q$3,Dados!$A1097&lt;=Imóveis!$T$3),Imóveis!$U$3,0),IF((IF(AND(Dados!$A1097&gt;=Imóveis!$Q$3,Dados!$A1097&lt;=Imóveis!$T$3),Imóveis!$S$3-(DATEDIF(Imóveis!$Q$3,Dados!$A1097,"m")),0))=0,0,((Imóveis!$N$3/Imóveis!$S$3)+((Imóveis!$N$3-((Imóveis!$S$3-(IF(AND(Dados!$A1097&gt;=Imóveis!$Q$3,Dados!$A1097&lt;=Imóveis!$T$3),Imóveis!$S$3-(DATEDIF(Imóveis!$Q$3,Dados!$A1097,"m")),)))*(Imóveis!$N$3/Imóveis!$S$3)))*Imóveis!$P$3))))*IF(AND(Imóveis!$E$3&gt;0,Dados!$A1097&gt;Imóveis!$E$3),0,1)</f>
        <v>0</v>
      </c>
      <c r="K1097" s="18">
        <f>IF(Imóveis!$F$4="PRICE",IF(AND(Dados!$A1097&gt;=Imóveis!$Q$4,Dados!$A1097&lt;=Imóveis!$T$4),Imóveis!$U$4,0),IF((IF(AND(Dados!$A1097&gt;=Imóveis!$Q$4,Dados!$A1097&lt;=Imóveis!$T$4),Imóveis!$S$4-(DATEDIF(Imóveis!$Q$4,Dados!$A1097,"m")),0))=0,0,((Imóveis!$N$4/Imóveis!$S$4)+((Imóveis!$N$4-((Imóveis!$S$4-(IF(AND(Dados!$A1097&gt;=Imóveis!$Q$4,Dados!$A1097&lt;=Imóveis!$T$4),Imóveis!$S$4-(DATEDIF(Imóveis!$Q$4,Dados!$A1097,"m")),)))*(Imóveis!$N$4/Imóveis!$S$4)))*Imóveis!$P$4))))*IF(AND(Imóveis!$E$4&gt;0,Dados!$A1097&gt;Imóveis!$E$4),0,1)</f>
        <v>0</v>
      </c>
      <c r="L1097" s="18">
        <f>IF(Imóveis!$F$5="PRICE",IF(AND(Dados!$A1097&gt;=Imóveis!$Q$5,Dados!$A1097&lt;=Imóveis!$T$5),Imóveis!$U$5,0),IF((IF(AND(Dados!$A1097&gt;=Imóveis!$Q$5,Dados!$A1097&lt;=Imóveis!$T$5),Imóveis!$S$5-(DATEDIF(Imóveis!$Q$5,Dados!$A1097,"m")),0))=0,0,((Imóveis!$N$5/Imóveis!$S$5)+((Imóveis!$N$5-((Imóveis!$S$5-(IF(AND(Dados!$A1097 &gt;=Imóveis!$Q$5,Dados!$A1097&lt;=Imóveis!$T$5),Imóveis!$S$5-(DATEDIF(Imóveis!$Q$5,Dados!$A1097,"m")),)))*(Imóveis!$N$5/Imóveis!$S$5)))*Imóveis!$P$5))))*IF(AND(Imóveis!$E$5&gt;0,Dados!$A1097&gt;Imóveis!$E$5),0,1)*Imóveis!$I$5</f>
        <v>0</v>
      </c>
      <c r="M1097" s="18">
        <f>IF(Imóveis!$F$6="PRICE",IF(AND(Dados!$A1097&gt;=Imóveis!$Q$6,Dados!$A1097&lt;=Imóveis!$T$6),Imóveis!$U$6,0),IF((IF(AND(Dados!$A1097&gt;=Imóveis!$Q$6,Dados!$A1097&lt;=Imóveis!$T$6),Imóveis!$S$6-(DATEDIF(Imóveis!$Q$6,Dados!$A1097,"m")),0))=0,0,((Imóveis!$N$6/Imóveis!$S$6)+((Imóveis!$N$6-((Imóveis!$S$6-(IF(AND(Dados!$A1097&gt;=Imóveis!$Q$6,Dados!$A1097&lt;=Imóveis!$T$6),Imóveis!$S$6-(DATEDIF(Imóveis!$Q$6,Dados!$A1097,"m")),)))*(Imóveis!$N$6/Imóveis!$S$6)))*Imóveis!$P$6))))*IF(AND(Imóveis!$E$6&gt;0,Dados!$A1097&gt;Imóveis!$E$6),0,1)*Imóveis!$I$6</f>
        <v>0</v>
      </c>
      <c r="N1097" s="18">
        <f t="shared" si="141"/>
        <v>0</v>
      </c>
      <c r="O1097" s="18">
        <f>SUMIFS(Receitas!$F:$F,Receitas!$J:$J,"&lt;="&amp;$A1097,Receitas!$L:$L,"&gt;="&amp;$A1097,Receitas!$C:$C,O$1,Receitas!$M:$M,"Mensal")+SUMIFS(Receitas!$F:$F,Receitas!$J:$J,"&lt;="&amp;$A1097,Receitas!$L:$L,"&gt;="&amp;$A1097,Receitas!$C:$C,O$1,Receitas!$M:$M,$B1097)</f>
        <v>0</v>
      </c>
      <c r="P1097" s="18">
        <f>SUMIFS(Receitas!$F:$F,Receitas!$J:$J,"&lt;="&amp;$A1097,Receitas!$L:$L,"&gt;="&amp;$A1097,Receitas!$C:$C,P$1,Receitas!$M:$M,"Mensal")+SUMIFS(Receitas!$F:$F,Receitas!$J:$J,"&lt;="&amp;$A1097,Receitas!$L:$L,"&gt;="&amp;$A1097,Receitas!$C:$C,P$1,Receitas!$M:$M,$B1097)</f>
        <v>0</v>
      </c>
      <c r="Q1097" s="18">
        <f>SUMIFS(Receitas!$F:$F,Receitas!$J:$J,"&lt;="&amp;$A1097,Receitas!$L:$L,"&gt;="&amp;$A1097,Receitas!$C:$C,Q$1,Receitas!$M:$M,"Mensal")+SUMIFS(Receitas!$F:$F,Receitas!$J:$J,"&lt;="&amp;$A1097,Receitas!$L:$L,"&gt;="&amp;$A1097,Receitas!$C:$C,Q$1,Receitas!$M:$M,$B1097)</f>
        <v>0</v>
      </c>
      <c r="R1097" s="18" cm="1">
        <f t="array" ref="R1097">(IF(AND(Membros!$F$2="Sim",A1097&lt;=MAX(Membros!$E$2:$E$5)),Membros!K$2,IF(AND(A1097&gt;=Membros!J$2,A1097&lt;=MAX(Membros!$E$2:$E$5)),Membros!K$2,0))+IF(AND(Membros!$F$3="Sim",A1097&lt;=MAX(Membros!$E$2:$E$5)),Membros!K$3,IF(AND(A1097&gt;=Membros!J$3,A1097&lt;=MAX(Membros!$E$2:$E$5)),Membros!K$3,0)))*IF(AND(COUNTIFS(Tabela3[Tipo],"Provedor",Tabela3[Simulação Seguro],"Sim")=2,A1097&gt;=MAX(IF(Tabela3[Tipo]="Dependente",Tabela3[Expectativa de Vida (Data)]))),0,1)</f>
        <v>0</v>
      </c>
      <c r="S1097" s="18">
        <f t="shared" si="142"/>
        <v>0</v>
      </c>
      <c r="U1097" s="18">
        <f t="shared" ca="1" si="145"/>
        <v>169423528.15843022</v>
      </c>
      <c r="V1097" s="18">
        <f>SUMIF(Imóveis!E:E,Dados!A:A,Imóveis!Z:Z)-SUMIF(Imóveis!E:E,Dados!A:A,Imóveis!Y:Y)</f>
        <v>0</v>
      </c>
      <c r="W1097" s="18">
        <f>-SUMIF(Projetos!N:N,A1097,Projetos!F:F)</f>
        <v>0</v>
      </c>
      <c r="X1097" s="18">
        <f t="shared" si="139"/>
        <v>0</v>
      </c>
      <c r="Y1097" s="26">
        <f ca="1">(U1097*((Indicadores_Economicos!D$2+1)^(1/12)-1))</f>
        <v>554648.54417275102</v>
      </c>
      <c r="Z1097" s="18">
        <f t="shared" ca="1" si="143"/>
        <v>169978176.70260298</v>
      </c>
      <c r="AA1097" s="18">
        <f ca="1">Auxiliar_Projetos!E1097</f>
        <v>1.4011603286540475E-8</v>
      </c>
      <c r="AB1097" s="18">
        <f ca="1">Auxiliar_Projetos!K1097</f>
        <v>1.0778156374261901E-8</v>
      </c>
      <c r="AC1097" s="18">
        <f ca="1">IF(Z1097-AA1097-AB1097&gt;Investimentos!$C$14,Investimentos!$C$14,IF(Z1097-AA1097-AB1097&lt;Investimentos!$C$14,Z1097-AA1097-AB1097,0))</f>
        <v>300000</v>
      </c>
      <c r="AD1097" s="18">
        <f t="shared" ca="1" si="144"/>
        <v>169678176.70260298</v>
      </c>
      <c r="AE1097" s="18"/>
    </row>
    <row r="1098" spans="1:31" x14ac:dyDescent="0.2">
      <c r="A1098" s="4">
        <v>79015</v>
      </c>
      <c r="B1098" s="5" t="str">
        <f t="shared" si="140"/>
        <v>maio</v>
      </c>
      <c r="C1098" s="5" t="str">
        <f t="shared" si="138"/>
        <v>2116</v>
      </c>
      <c r="D1098" s="5">
        <f>SUMIFS(Despesas!$F:$F,Despesas!$J:$J,"&lt;="&amp;$A1098,Despesas!$L:$L,"&gt;="&amp;$A1098,Despesas!$C:$C,D$1,Despesas!$M:$M,"Mensal")+SUMIFS(Despesas!$F:$F,Despesas!$J:$J,"&lt;="&amp;$A1098,Despesas!$L:$L,"&gt;="&amp;$A1098,Despesas!$C:$C,D$1,Despesas!$M:$M,$B1098)</f>
        <v>0</v>
      </c>
      <c r="E1098" s="18">
        <f>SUMIFS(Despesas!$F:$F,Despesas!$J:$J,"&lt;="&amp;$A1098,Despesas!$L:$L,"&gt;="&amp;$A1098,Despesas!$C:$C,E$1,Despesas!$M:$M,"Mensal")+SUMIFS(Despesas!$F:$F,Despesas!$J:$J,"&lt;="&amp;$A1098,Despesas!$L:$L,"&gt;="&amp;$A1098,Despesas!$C:$C,E$1,Despesas!$M:$M,$B1098)</f>
        <v>0</v>
      </c>
      <c r="F1098" s="5">
        <f>SUMIFS(Despesas!$F:$F,Despesas!$J:$J,"&lt;="&amp;$A1098,Despesas!$L:$L,"&gt;="&amp;$A1098,Despesas!$C:$C,F$1,Despesas!$M:$M,"Mensal")+SUMIFS(Despesas!$F:$F,Despesas!$J:$J,"&lt;="&amp;$A1098,Despesas!$L:$L,"&gt;="&amp;$A1098,Despesas!$C:$C,F$1,Despesas!$M:$M,$B1098)</f>
        <v>0</v>
      </c>
      <c r="G1098" s="5">
        <f>SUMIFS(Despesas!$F:$F,Despesas!$J:$J,"&lt;="&amp;$A1098,Despesas!$L:$L,"&gt;="&amp;$A1098,Despesas!$C:$C,G$1,Despesas!$M:$M,"Mensal")+SUMIFS(Despesas!$F:$F,Despesas!$J:$J,"&lt;="&amp;$A1098,Despesas!$L:$L,"&gt;="&amp;$A1098,Despesas!$C:$C,G$1,Despesas!$M:$M,$B1098)</f>
        <v>0</v>
      </c>
      <c r="H1098" s="18">
        <f>SUMIFS(Despesas!$F:$F,Despesas!$J:$J,"&lt;="&amp;$A1098,Despesas!$L:$L,"&gt;="&amp;$A1098,Despesas!$C:$C,H$1,Despesas!$M:$M,"Mensal")+SUMIFS(Despesas!$F:$F,Despesas!$J:$J,"&lt;="&amp;$A1098,Despesas!$L:$L,"&gt;="&amp;$A1098,Despesas!$C:$C,H$1,Despesas!$M:$M,$B1098)</f>
        <v>0</v>
      </c>
      <c r="I1098" s="18">
        <f>IF(Imóveis!$F$2="PRICE",IF(AND(Dados!$A1098&gt;=Imóveis!$Q$2,Dados!$A1098&lt;=Imóveis!$T$2),Imóveis!$U$2,0),IF((IF(AND(Dados!$A1098&gt;=Imóveis!$Q$2,Dados!$A1098&lt;=Imóveis!$T$2),Imóveis!$S$2-(DATEDIF(Imóveis!$Q$2,Dados!$A1098,"m")),0))=0,0,((Imóveis!$N$2/Imóveis!$S$2)+((Imóveis!$N$2-((Imóveis!$S$2-(IF(AND(Dados!$A1098&gt;=Imóveis!$Q$2,Dados!$A1098&lt;=Imóveis!$T$2),Imóveis!$S$2-(DATEDIF(Imóveis!$Q$2,Dados!$A1098,"m")),)))*(Imóveis!$N$2/Imóveis!$S$2)))*Imóveis!$P$2))))*IF(AND(Imóveis!$E$2&gt;0,Dados!$A1098&gt;Imóveis!$E$2),0,1)</f>
        <v>0</v>
      </c>
      <c r="J1098" s="18">
        <f>IF(Imóveis!$F$3="PRICE",IF(AND(Dados!$A1098&gt;=Imóveis!$Q$3,Dados!$A1098&lt;=Imóveis!$T$3),Imóveis!$U$3,0),IF((IF(AND(Dados!$A1098&gt;=Imóveis!$Q$3,Dados!$A1098&lt;=Imóveis!$T$3),Imóveis!$S$3-(DATEDIF(Imóveis!$Q$3,Dados!$A1098,"m")),0))=0,0,((Imóveis!$N$3/Imóveis!$S$3)+((Imóveis!$N$3-((Imóveis!$S$3-(IF(AND(Dados!$A1098&gt;=Imóveis!$Q$3,Dados!$A1098&lt;=Imóveis!$T$3),Imóveis!$S$3-(DATEDIF(Imóveis!$Q$3,Dados!$A1098,"m")),)))*(Imóveis!$N$3/Imóveis!$S$3)))*Imóveis!$P$3))))*IF(AND(Imóveis!$E$3&gt;0,Dados!$A1098&gt;Imóveis!$E$3),0,1)</f>
        <v>0</v>
      </c>
      <c r="K1098" s="18">
        <f>IF(Imóveis!$F$4="PRICE",IF(AND(Dados!$A1098&gt;=Imóveis!$Q$4,Dados!$A1098&lt;=Imóveis!$T$4),Imóveis!$U$4,0),IF((IF(AND(Dados!$A1098&gt;=Imóveis!$Q$4,Dados!$A1098&lt;=Imóveis!$T$4),Imóveis!$S$4-(DATEDIF(Imóveis!$Q$4,Dados!$A1098,"m")),0))=0,0,((Imóveis!$N$4/Imóveis!$S$4)+((Imóveis!$N$4-((Imóveis!$S$4-(IF(AND(Dados!$A1098&gt;=Imóveis!$Q$4,Dados!$A1098&lt;=Imóveis!$T$4),Imóveis!$S$4-(DATEDIF(Imóveis!$Q$4,Dados!$A1098,"m")),)))*(Imóveis!$N$4/Imóveis!$S$4)))*Imóveis!$P$4))))*IF(AND(Imóveis!$E$4&gt;0,Dados!$A1098&gt;Imóveis!$E$4),0,1)</f>
        <v>0</v>
      </c>
      <c r="L1098" s="18">
        <f>IF(Imóveis!$F$5="PRICE",IF(AND(Dados!$A1098&gt;=Imóveis!$Q$5,Dados!$A1098&lt;=Imóveis!$T$5),Imóveis!$U$5,0),IF((IF(AND(Dados!$A1098&gt;=Imóveis!$Q$5,Dados!$A1098&lt;=Imóveis!$T$5),Imóveis!$S$5-(DATEDIF(Imóveis!$Q$5,Dados!$A1098,"m")),0))=0,0,((Imóveis!$N$5/Imóveis!$S$5)+((Imóveis!$N$5-((Imóveis!$S$5-(IF(AND(Dados!$A1098 &gt;=Imóveis!$Q$5,Dados!$A1098&lt;=Imóveis!$T$5),Imóveis!$S$5-(DATEDIF(Imóveis!$Q$5,Dados!$A1098,"m")),)))*(Imóveis!$N$5/Imóveis!$S$5)))*Imóveis!$P$5))))*IF(AND(Imóveis!$E$5&gt;0,Dados!$A1098&gt;Imóveis!$E$5),0,1)*Imóveis!$I$5</f>
        <v>0</v>
      </c>
      <c r="M1098" s="18">
        <f>IF(Imóveis!$F$6="PRICE",IF(AND(Dados!$A1098&gt;=Imóveis!$Q$6,Dados!$A1098&lt;=Imóveis!$T$6),Imóveis!$U$6,0),IF((IF(AND(Dados!$A1098&gt;=Imóveis!$Q$6,Dados!$A1098&lt;=Imóveis!$T$6),Imóveis!$S$6-(DATEDIF(Imóveis!$Q$6,Dados!$A1098,"m")),0))=0,0,((Imóveis!$N$6/Imóveis!$S$6)+((Imóveis!$N$6-((Imóveis!$S$6-(IF(AND(Dados!$A1098&gt;=Imóveis!$Q$6,Dados!$A1098&lt;=Imóveis!$T$6),Imóveis!$S$6-(DATEDIF(Imóveis!$Q$6,Dados!$A1098,"m")),)))*(Imóveis!$N$6/Imóveis!$S$6)))*Imóveis!$P$6))))*IF(AND(Imóveis!$E$6&gt;0,Dados!$A1098&gt;Imóveis!$E$6),0,1)*Imóveis!$I$6</f>
        <v>0</v>
      </c>
      <c r="N1098" s="18">
        <f t="shared" si="141"/>
        <v>0</v>
      </c>
      <c r="O1098" s="18">
        <f>SUMIFS(Receitas!$F:$F,Receitas!$J:$J,"&lt;="&amp;$A1098,Receitas!$L:$L,"&gt;="&amp;$A1098,Receitas!$C:$C,O$1,Receitas!$M:$M,"Mensal")+SUMIFS(Receitas!$F:$F,Receitas!$J:$J,"&lt;="&amp;$A1098,Receitas!$L:$L,"&gt;="&amp;$A1098,Receitas!$C:$C,O$1,Receitas!$M:$M,$B1098)</f>
        <v>0</v>
      </c>
      <c r="P1098" s="18">
        <f>SUMIFS(Receitas!$F:$F,Receitas!$J:$J,"&lt;="&amp;$A1098,Receitas!$L:$L,"&gt;="&amp;$A1098,Receitas!$C:$C,P$1,Receitas!$M:$M,"Mensal")+SUMIFS(Receitas!$F:$F,Receitas!$J:$J,"&lt;="&amp;$A1098,Receitas!$L:$L,"&gt;="&amp;$A1098,Receitas!$C:$C,P$1,Receitas!$M:$M,$B1098)</f>
        <v>0</v>
      </c>
      <c r="Q1098" s="18">
        <f>SUMIFS(Receitas!$F:$F,Receitas!$J:$J,"&lt;="&amp;$A1098,Receitas!$L:$L,"&gt;="&amp;$A1098,Receitas!$C:$C,Q$1,Receitas!$M:$M,"Mensal")+SUMIFS(Receitas!$F:$F,Receitas!$J:$J,"&lt;="&amp;$A1098,Receitas!$L:$L,"&gt;="&amp;$A1098,Receitas!$C:$C,Q$1,Receitas!$M:$M,$B1098)</f>
        <v>0</v>
      </c>
      <c r="R1098" s="18" cm="1">
        <f t="array" ref="R1098">(IF(AND(Membros!$F$2="Sim",A1098&lt;=MAX(Membros!$E$2:$E$5)),Membros!K$2,IF(AND(A1098&gt;=Membros!J$2,A1098&lt;=MAX(Membros!$E$2:$E$5)),Membros!K$2,0))+IF(AND(Membros!$F$3="Sim",A1098&lt;=MAX(Membros!$E$2:$E$5)),Membros!K$3,IF(AND(A1098&gt;=Membros!J$3,A1098&lt;=MAX(Membros!$E$2:$E$5)),Membros!K$3,0)))*IF(AND(COUNTIFS(Tabela3[Tipo],"Provedor",Tabela3[Simulação Seguro],"Sim")=2,A1098&gt;=MAX(IF(Tabela3[Tipo]="Dependente",Tabela3[Expectativa de Vida (Data)]))),0,1)</f>
        <v>0</v>
      </c>
      <c r="S1098" s="18">
        <f t="shared" si="142"/>
        <v>0</v>
      </c>
      <c r="U1098" s="18">
        <f t="shared" ca="1" si="145"/>
        <v>169978176.70260298</v>
      </c>
      <c r="V1098" s="18">
        <f>SUMIF(Imóveis!E:E,Dados!A:A,Imóveis!Z:Z)-SUMIF(Imóveis!E:E,Dados!A:A,Imóveis!Y:Y)</f>
        <v>0</v>
      </c>
      <c r="W1098" s="18">
        <f>-SUMIF(Projetos!N:N,A1098,Projetos!F:F)</f>
        <v>0</v>
      </c>
      <c r="X1098" s="18">
        <f t="shared" si="139"/>
        <v>0</v>
      </c>
      <c r="Y1098" s="26">
        <f ca="1">(U1098*((Indicadores_Economicos!D$2+1)^(1/12)-1))</f>
        <v>556464.31917694805</v>
      </c>
      <c r="Z1098" s="18">
        <f t="shared" ca="1" si="143"/>
        <v>170534641.02177992</v>
      </c>
      <c r="AA1098" s="18">
        <f ca="1">Auxiliar_Projetos!E1098</f>
        <v>1.4057473629632012E-8</v>
      </c>
      <c r="AB1098" s="18">
        <f ca="1">Auxiliar_Projetos!K1098</f>
        <v>1.0813441253563082E-8</v>
      </c>
      <c r="AC1098" s="18">
        <f ca="1">IF(Z1098-AA1098-AB1098&gt;Investimentos!$C$14,Investimentos!$C$14,IF(Z1098-AA1098-AB1098&lt;Investimentos!$C$14,Z1098-AA1098-AB1098,0))</f>
        <v>300000</v>
      </c>
      <c r="AD1098" s="18">
        <f t="shared" ca="1" si="144"/>
        <v>170234641.02177992</v>
      </c>
      <c r="AE1098" s="18"/>
    </row>
    <row r="1099" spans="1:31" x14ac:dyDescent="0.2">
      <c r="A1099" s="4">
        <v>79046</v>
      </c>
      <c r="B1099" s="5" t="str">
        <f t="shared" si="140"/>
        <v>junho</v>
      </c>
      <c r="C1099" s="5" t="str">
        <f t="shared" si="138"/>
        <v>2116</v>
      </c>
      <c r="D1099" s="5">
        <f>SUMIFS(Despesas!$F:$F,Despesas!$J:$J,"&lt;="&amp;$A1099,Despesas!$L:$L,"&gt;="&amp;$A1099,Despesas!$C:$C,D$1,Despesas!$M:$M,"Mensal")+SUMIFS(Despesas!$F:$F,Despesas!$J:$J,"&lt;="&amp;$A1099,Despesas!$L:$L,"&gt;="&amp;$A1099,Despesas!$C:$C,D$1,Despesas!$M:$M,$B1099)</f>
        <v>0</v>
      </c>
      <c r="E1099" s="18">
        <f>SUMIFS(Despesas!$F:$F,Despesas!$J:$J,"&lt;="&amp;$A1099,Despesas!$L:$L,"&gt;="&amp;$A1099,Despesas!$C:$C,E$1,Despesas!$M:$M,"Mensal")+SUMIFS(Despesas!$F:$F,Despesas!$J:$J,"&lt;="&amp;$A1099,Despesas!$L:$L,"&gt;="&amp;$A1099,Despesas!$C:$C,E$1,Despesas!$M:$M,$B1099)</f>
        <v>0</v>
      </c>
      <c r="F1099" s="5">
        <f>SUMIFS(Despesas!$F:$F,Despesas!$J:$J,"&lt;="&amp;$A1099,Despesas!$L:$L,"&gt;="&amp;$A1099,Despesas!$C:$C,F$1,Despesas!$M:$M,"Mensal")+SUMIFS(Despesas!$F:$F,Despesas!$J:$J,"&lt;="&amp;$A1099,Despesas!$L:$L,"&gt;="&amp;$A1099,Despesas!$C:$C,F$1,Despesas!$M:$M,$B1099)</f>
        <v>0</v>
      </c>
      <c r="G1099" s="5">
        <f>SUMIFS(Despesas!$F:$F,Despesas!$J:$J,"&lt;="&amp;$A1099,Despesas!$L:$L,"&gt;="&amp;$A1099,Despesas!$C:$C,G$1,Despesas!$M:$M,"Mensal")+SUMIFS(Despesas!$F:$F,Despesas!$J:$J,"&lt;="&amp;$A1099,Despesas!$L:$L,"&gt;="&amp;$A1099,Despesas!$C:$C,G$1,Despesas!$M:$M,$B1099)</f>
        <v>0</v>
      </c>
      <c r="H1099" s="18">
        <f>SUMIFS(Despesas!$F:$F,Despesas!$J:$J,"&lt;="&amp;$A1099,Despesas!$L:$L,"&gt;="&amp;$A1099,Despesas!$C:$C,H$1,Despesas!$M:$M,"Mensal")+SUMIFS(Despesas!$F:$F,Despesas!$J:$J,"&lt;="&amp;$A1099,Despesas!$L:$L,"&gt;="&amp;$A1099,Despesas!$C:$C,H$1,Despesas!$M:$M,$B1099)</f>
        <v>0</v>
      </c>
      <c r="I1099" s="18">
        <f>IF(Imóveis!$F$2="PRICE",IF(AND(Dados!$A1099&gt;=Imóveis!$Q$2,Dados!$A1099&lt;=Imóveis!$T$2),Imóveis!$U$2,0),IF((IF(AND(Dados!$A1099&gt;=Imóveis!$Q$2,Dados!$A1099&lt;=Imóveis!$T$2),Imóveis!$S$2-(DATEDIF(Imóveis!$Q$2,Dados!$A1099,"m")),0))=0,0,((Imóveis!$N$2/Imóveis!$S$2)+((Imóveis!$N$2-((Imóveis!$S$2-(IF(AND(Dados!$A1099&gt;=Imóveis!$Q$2,Dados!$A1099&lt;=Imóveis!$T$2),Imóveis!$S$2-(DATEDIF(Imóveis!$Q$2,Dados!$A1099,"m")),)))*(Imóveis!$N$2/Imóveis!$S$2)))*Imóveis!$P$2))))*IF(AND(Imóveis!$E$2&gt;0,Dados!$A1099&gt;Imóveis!$E$2),0,1)</f>
        <v>0</v>
      </c>
      <c r="J1099" s="18">
        <f>IF(Imóveis!$F$3="PRICE",IF(AND(Dados!$A1099&gt;=Imóveis!$Q$3,Dados!$A1099&lt;=Imóveis!$T$3),Imóveis!$U$3,0),IF((IF(AND(Dados!$A1099&gt;=Imóveis!$Q$3,Dados!$A1099&lt;=Imóveis!$T$3),Imóveis!$S$3-(DATEDIF(Imóveis!$Q$3,Dados!$A1099,"m")),0))=0,0,((Imóveis!$N$3/Imóveis!$S$3)+((Imóveis!$N$3-((Imóveis!$S$3-(IF(AND(Dados!$A1099&gt;=Imóveis!$Q$3,Dados!$A1099&lt;=Imóveis!$T$3),Imóveis!$S$3-(DATEDIF(Imóveis!$Q$3,Dados!$A1099,"m")),)))*(Imóveis!$N$3/Imóveis!$S$3)))*Imóveis!$P$3))))*IF(AND(Imóveis!$E$3&gt;0,Dados!$A1099&gt;Imóveis!$E$3),0,1)</f>
        <v>0</v>
      </c>
      <c r="K1099" s="18">
        <f>IF(Imóveis!$F$4="PRICE",IF(AND(Dados!$A1099&gt;=Imóveis!$Q$4,Dados!$A1099&lt;=Imóveis!$T$4),Imóveis!$U$4,0),IF((IF(AND(Dados!$A1099&gt;=Imóveis!$Q$4,Dados!$A1099&lt;=Imóveis!$T$4),Imóveis!$S$4-(DATEDIF(Imóveis!$Q$4,Dados!$A1099,"m")),0))=0,0,((Imóveis!$N$4/Imóveis!$S$4)+((Imóveis!$N$4-((Imóveis!$S$4-(IF(AND(Dados!$A1099&gt;=Imóveis!$Q$4,Dados!$A1099&lt;=Imóveis!$T$4),Imóveis!$S$4-(DATEDIF(Imóveis!$Q$4,Dados!$A1099,"m")),)))*(Imóveis!$N$4/Imóveis!$S$4)))*Imóveis!$P$4))))*IF(AND(Imóveis!$E$4&gt;0,Dados!$A1099&gt;Imóveis!$E$4),0,1)</f>
        <v>0</v>
      </c>
      <c r="L1099" s="18">
        <f>IF(Imóveis!$F$5="PRICE",IF(AND(Dados!$A1099&gt;=Imóveis!$Q$5,Dados!$A1099&lt;=Imóveis!$T$5),Imóveis!$U$5,0),IF((IF(AND(Dados!$A1099&gt;=Imóveis!$Q$5,Dados!$A1099&lt;=Imóveis!$T$5),Imóveis!$S$5-(DATEDIF(Imóveis!$Q$5,Dados!$A1099,"m")),0))=0,0,((Imóveis!$N$5/Imóveis!$S$5)+((Imóveis!$N$5-((Imóveis!$S$5-(IF(AND(Dados!$A1099 &gt;=Imóveis!$Q$5,Dados!$A1099&lt;=Imóveis!$T$5),Imóveis!$S$5-(DATEDIF(Imóveis!$Q$5,Dados!$A1099,"m")),)))*(Imóveis!$N$5/Imóveis!$S$5)))*Imóveis!$P$5))))*IF(AND(Imóveis!$E$5&gt;0,Dados!$A1099&gt;Imóveis!$E$5),0,1)*Imóveis!$I$5</f>
        <v>0</v>
      </c>
      <c r="M1099" s="18">
        <f>IF(Imóveis!$F$6="PRICE",IF(AND(Dados!$A1099&gt;=Imóveis!$Q$6,Dados!$A1099&lt;=Imóveis!$T$6),Imóveis!$U$6,0),IF((IF(AND(Dados!$A1099&gt;=Imóveis!$Q$6,Dados!$A1099&lt;=Imóveis!$T$6),Imóveis!$S$6-(DATEDIF(Imóveis!$Q$6,Dados!$A1099,"m")),0))=0,0,((Imóveis!$N$6/Imóveis!$S$6)+((Imóveis!$N$6-((Imóveis!$S$6-(IF(AND(Dados!$A1099&gt;=Imóveis!$Q$6,Dados!$A1099&lt;=Imóveis!$T$6),Imóveis!$S$6-(DATEDIF(Imóveis!$Q$6,Dados!$A1099,"m")),)))*(Imóveis!$N$6/Imóveis!$S$6)))*Imóveis!$P$6))))*IF(AND(Imóveis!$E$6&gt;0,Dados!$A1099&gt;Imóveis!$E$6),0,1)*Imóveis!$I$6</f>
        <v>0</v>
      </c>
      <c r="N1099" s="18">
        <f t="shared" si="141"/>
        <v>0</v>
      </c>
      <c r="O1099" s="18">
        <f>SUMIFS(Receitas!$F:$F,Receitas!$J:$J,"&lt;="&amp;$A1099,Receitas!$L:$L,"&gt;="&amp;$A1099,Receitas!$C:$C,O$1,Receitas!$M:$M,"Mensal")+SUMIFS(Receitas!$F:$F,Receitas!$J:$J,"&lt;="&amp;$A1099,Receitas!$L:$L,"&gt;="&amp;$A1099,Receitas!$C:$C,O$1,Receitas!$M:$M,$B1099)</f>
        <v>0</v>
      </c>
      <c r="P1099" s="18">
        <f>SUMIFS(Receitas!$F:$F,Receitas!$J:$J,"&lt;="&amp;$A1099,Receitas!$L:$L,"&gt;="&amp;$A1099,Receitas!$C:$C,P$1,Receitas!$M:$M,"Mensal")+SUMIFS(Receitas!$F:$F,Receitas!$J:$J,"&lt;="&amp;$A1099,Receitas!$L:$L,"&gt;="&amp;$A1099,Receitas!$C:$C,P$1,Receitas!$M:$M,$B1099)</f>
        <v>0</v>
      </c>
      <c r="Q1099" s="18">
        <f>SUMIFS(Receitas!$F:$F,Receitas!$J:$J,"&lt;="&amp;$A1099,Receitas!$L:$L,"&gt;="&amp;$A1099,Receitas!$C:$C,Q$1,Receitas!$M:$M,"Mensal")+SUMIFS(Receitas!$F:$F,Receitas!$J:$J,"&lt;="&amp;$A1099,Receitas!$L:$L,"&gt;="&amp;$A1099,Receitas!$C:$C,Q$1,Receitas!$M:$M,$B1099)</f>
        <v>0</v>
      </c>
      <c r="R1099" s="18" cm="1">
        <f t="array" ref="R1099">(IF(AND(Membros!$F$2="Sim",A1099&lt;=MAX(Membros!$E$2:$E$5)),Membros!K$2,IF(AND(A1099&gt;=Membros!J$2,A1099&lt;=MAX(Membros!$E$2:$E$5)),Membros!K$2,0))+IF(AND(Membros!$F$3="Sim",A1099&lt;=MAX(Membros!$E$2:$E$5)),Membros!K$3,IF(AND(A1099&gt;=Membros!J$3,A1099&lt;=MAX(Membros!$E$2:$E$5)),Membros!K$3,0)))*IF(AND(COUNTIFS(Tabela3[Tipo],"Provedor",Tabela3[Simulação Seguro],"Sim")=2,A1099&gt;=MAX(IF(Tabela3[Tipo]="Dependente",Tabela3[Expectativa de Vida (Data)]))),0,1)</f>
        <v>0</v>
      </c>
      <c r="S1099" s="18">
        <f t="shared" si="142"/>
        <v>0</v>
      </c>
      <c r="U1099" s="18">
        <f t="shared" ca="1" si="145"/>
        <v>170534641.02177992</v>
      </c>
      <c r="V1099" s="18">
        <f>SUMIF(Imóveis!E:E,Dados!A:A,Imóveis!Z:Z)-SUMIF(Imóveis!E:E,Dados!A:A,Imóveis!Y:Y)</f>
        <v>0</v>
      </c>
      <c r="W1099" s="18">
        <f>-SUMIF(Projetos!N:N,A1099,Projetos!F:F)</f>
        <v>0</v>
      </c>
      <c r="X1099" s="18">
        <f t="shared" si="139"/>
        <v>0</v>
      </c>
      <c r="Y1099" s="26">
        <f ca="1">(U1099*((Indicadores_Economicos!D$2+1)^(1/12)-1))</f>
        <v>558286.03855601186</v>
      </c>
      <c r="Z1099" s="18">
        <f t="shared" ca="1" si="143"/>
        <v>171092927.06033593</v>
      </c>
      <c r="AA1099" s="18">
        <f ca="1">Auxiliar_Projetos!E1099</f>
        <v>1.4103494140290551E-8</v>
      </c>
      <c r="AB1099" s="18">
        <f ca="1">Auxiliar_Projetos!K1099</f>
        <v>1.0848841646377343E-8</v>
      </c>
      <c r="AC1099" s="18">
        <f ca="1">IF(Z1099-AA1099-AB1099&gt;Investimentos!$C$14,Investimentos!$C$14,IF(Z1099-AA1099-AB1099&lt;Investimentos!$C$14,Z1099-AA1099-AB1099,0))</f>
        <v>300000</v>
      </c>
      <c r="AD1099" s="18">
        <f t="shared" ca="1" si="144"/>
        <v>170792927.06033593</v>
      </c>
      <c r="AE1099" s="18"/>
    </row>
    <row r="1100" spans="1:31" x14ac:dyDescent="0.2">
      <c r="A1100" s="4">
        <v>79076</v>
      </c>
      <c r="B1100" s="5" t="str">
        <f t="shared" si="140"/>
        <v>julho</v>
      </c>
      <c r="C1100" s="5" t="str">
        <f t="shared" si="138"/>
        <v>2116</v>
      </c>
      <c r="D1100" s="5">
        <f>SUMIFS(Despesas!$F:$F,Despesas!$J:$J,"&lt;="&amp;$A1100,Despesas!$L:$L,"&gt;="&amp;$A1100,Despesas!$C:$C,D$1,Despesas!$M:$M,"Mensal")+SUMIFS(Despesas!$F:$F,Despesas!$J:$J,"&lt;="&amp;$A1100,Despesas!$L:$L,"&gt;="&amp;$A1100,Despesas!$C:$C,D$1,Despesas!$M:$M,$B1100)</f>
        <v>0</v>
      </c>
      <c r="E1100" s="18">
        <f>SUMIFS(Despesas!$F:$F,Despesas!$J:$J,"&lt;="&amp;$A1100,Despesas!$L:$L,"&gt;="&amp;$A1100,Despesas!$C:$C,E$1,Despesas!$M:$M,"Mensal")+SUMIFS(Despesas!$F:$F,Despesas!$J:$J,"&lt;="&amp;$A1100,Despesas!$L:$L,"&gt;="&amp;$A1100,Despesas!$C:$C,E$1,Despesas!$M:$M,$B1100)</f>
        <v>0</v>
      </c>
      <c r="F1100" s="5">
        <f>SUMIFS(Despesas!$F:$F,Despesas!$J:$J,"&lt;="&amp;$A1100,Despesas!$L:$L,"&gt;="&amp;$A1100,Despesas!$C:$C,F$1,Despesas!$M:$M,"Mensal")+SUMIFS(Despesas!$F:$F,Despesas!$J:$J,"&lt;="&amp;$A1100,Despesas!$L:$L,"&gt;="&amp;$A1100,Despesas!$C:$C,F$1,Despesas!$M:$M,$B1100)</f>
        <v>0</v>
      </c>
      <c r="G1100" s="5">
        <f>SUMIFS(Despesas!$F:$F,Despesas!$J:$J,"&lt;="&amp;$A1100,Despesas!$L:$L,"&gt;="&amp;$A1100,Despesas!$C:$C,G$1,Despesas!$M:$M,"Mensal")+SUMIFS(Despesas!$F:$F,Despesas!$J:$J,"&lt;="&amp;$A1100,Despesas!$L:$L,"&gt;="&amp;$A1100,Despesas!$C:$C,G$1,Despesas!$M:$M,$B1100)</f>
        <v>0</v>
      </c>
      <c r="H1100" s="18">
        <f>SUMIFS(Despesas!$F:$F,Despesas!$J:$J,"&lt;="&amp;$A1100,Despesas!$L:$L,"&gt;="&amp;$A1100,Despesas!$C:$C,H$1,Despesas!$M:$M,"Mensal")+SUMIFS(Despesas!$F:$F,Despesas!$J:$J,"&lt;="&amp;$A1100,Despesas!$L:$L,"&gt;="&amp;$A1100,Despesas!$C:$C,H$1,Despesas!$M:$M,$B1100)</f>
        <v>0</v>
      </c>
      <c r="I1100" s="18">
        <f>IF(Imóveis!$F$2="PRICE",IF(AND(Dados!$A1100&gt;=Imóveis!$Q$2,Dados!$A1100&lt;=Imóveis!$T$2),Imóveis!$U$2,0),IF((IF(AND(Dados!$A1100&gt;=Imóveis!$Q$2,Dados!$A1100&lt;=Imóveis!$T$2),Imóveis!$S$2-(DATEDIF(Imóveis!$Q$2,Dados!$A1100,"m")),0))=0,0,((Imóveis!$N$2/Imóveis!$S$2)+((Imóveis!$N$2-((Imóveis!$S$2-(IF(AND(Dados!$A1100&gt;=Imóveis!$Q$2,Dados!$A1100&lt;=Imóveis!$T$2),Imóveis!$S$2-(DATEDIF(Imóveis!$Q$2,Dados!$A1100,"m")),)))*(Imóveis!$N$2/Imóveis!$S$2)))*Imóveis!$P$2))))*IF(AND(Imóveis!$E$2&gt;0,Dados!$A1100&gt;Imóveis!$E$2),0,1)</f>
        <v>0</v>
      </c>
      <c r="J1100" s="18">
        <f>IF(Imóveis!$F$3="PRICE",IF(AND(Dados!$A1100&gt;=Imóveis!$Q$3,Dados!$A1100&lt;=Imóveis!$T$3),Imóveis!$U$3,0),IF((IF(AND(Dados!$A1100&gt;=Imóveis!$Q$3,Dados!$A1100&lt;=Imóveis!$T$3),Imóveis!$S$3-(DATEDIF(Imóveis!$Q$3,Dados!$A1100,"m")),0))=0,0,((Imóveis!$N$3/Imóveis!$S$3)+((Imóveis!$N$3-((Imóveis!$S$3-(IF(AND(Dados!$A1100&gt;=Imóveis!$Q$3,Dados!$A1100&lt;=Imóveis!$T$3),Imóveis!$S$3-(DATEDIF(Imóveis!$Q$3,Dados!$A1100,"m")),)))*(Imóveis!$N$3/Imóveis!$S$3)))*Imóveis!$P$3))))*IF(AND(Imóveis!$E$3&gt;0,Dados!$A1100&gt;Imóveis!$E$3),0,1)</f>
        <v>0</v>
      </c>
      <c r="K1100" s="18">
        <f>IF(Imóveis!$F$4="PRICE",IF(AND(Dados!$A1100&gt;=Imóveis!$Q$4,Dados!$A1100&lt;=Imóveis!$T$4),Imóveis!$U$4,0),IF((IF(AND(Dados!$A1100&gt;=Imóveis!$Q$4,Dados!$A1100&lt;=Imóveis!$T$4),Imóveis!$S$4-(DATEDIF(Imóveis!$Q$4,Dados!$A1100,"m")),0))=0,0,((Imóveis!$N$4/Imóveis!$S$4)+((Imóveis!$N$4-((Imóveis!$S$4-(IF(AND(Dados!$A1100&gt;=Imóveis!$Q$4,Dados!$A1100&lt;=Imóveis!$T$4),Imóveis!$S$4-(DATEDIF(Imóveis!$Q$4,Dados!$A1100,"m")),)))*(Imóveis!$N$4/Imóveis!$S$4)))*Imóveis!$P$4))))*IF(AND(Imóveis!$E$4&gt;0,Dados!$A1100&gt;Imóveis!$E$4),0,1)</f>
        <v>0</v>
      </c>
      <c r="L1100" s="18">
        <f>IF(Imóveis!$F$5="PRICE",IF(AND(Dados!$A1100&gt;=Imóveis!$Q$5,Dados!$A1100&lt;=Imóveis!$T$5),Imóveis!$U$5,0),IF((IF(AND(Dados!$A1100&gt;=Imóveis!$Q$5,Dados!$A1100&lt;=Imóveis!$T$5),Imóveis!$S$5-(DATEDIF(Imóveis!$Q$5,Dados!$A1100,"m")),0))=0,0,((Imóveis!$N$5/Imóveis!$S$5)+((Imóveis!$N$5-((Imóveis!$S$5-(IF(AND(Dados!$A1100 &gt;=Imóveis!$Q$5,Dados!$A1100&lt;=Imóveis!$T$5),Imóveis!$S$5-(DATEDIF(Imóveis!$Q$5,Dados!$A1100,"m")),)))*(Imóveis!$N$5/Imóveis!$S$5)))*Imóveis!$P$5))))*IF(AND(Imóveis!$E$5&gt;0,Dados!$A1100&gt;Imóveis!$E$5),0,1)*Imóveis!$I$5</f>
        <v>0</v>
      </c>
      <c r="M1100" s="18">
        <f>IF(Imóveis!$F$6="PRICE",IF(AND(Dados!$A1100&gt;=Imóveis!$Q$6,Dados!$A1100&lt;=Imóveis!$T$6),Imóveis!$U$6,0),IF((IF(AND(Dados!$A1100&gt;=Imóveis!$Q$6,Dados!$A1100&lt;=Imóveis!$T$6),Imóveis!$S$6-(DATEDIF(Imóveis!$Q$6,Dados!$A1100,"m")),0))=0,0,((Imóveis!$N$6/Imóveis!$S$6)+((Imóveis!$N$6-((Imóveis!$S$6-(IF(AND(Dados!$A1100&gt;=Imóveis!$Q$6,Dados!$A1100&lt;=Imóveis!$T$6),Imóveis!$S$6-(DATEDIF(Imóveis!$Q$6,Dados!$A1100,"m")),)))*(Imóveis!$N$6/Imóveis!$S$6)))*Imóveis!$P$6))))*IF(AND(Imóveis!$E$6&gt;0,Dados!$A1100&gt;Imóveis!$E$6),0,1)*Imóveis!$I$6</f>
        <v>0</v>
      </c>
      <c r="N1100" s="18">
        <f t="shared" si="141"/>
        <v>0</v>
      </c>
      <c r="O1100" s="18">
        <f>SUMIFS(Receitas!$F:$F,Receitas!$J:$J,"&lt;="&amp;$A1100,Receitas!$L:$L,"&gt;="&amp;$A1100,Receitas!$C:$C,O$1,Receitas!$M:$M,"Mensal")+SUMIFS(Receitas!$F:$F,Receitas!$J:$J,"&lt;="&amp;$A1100,Receitas!$L:$L,"&gt;="&amp;$A1100,Receitas!$C:$C,O$1,Receitas!$M:$M,$B1100)</f>
        <v>0</v>
      </c>
      <c r="P1100" s="18">
        <f>SUMIFS(Receitas!$F:$F,Receitas!$J:$J,"&lt;="&amp;$A1100,Receitas!$L:$L,"&gt;="&amp;$A1100,Receitas!$C:$C,P$1,Receitas!$M:$M,"Mensal")+SUMIFS(Receitas!$F:$F,Receitas!$J:$J,"&lt;="&amp;$A1100,Receitas!$L:$L,"&gt;="&amp;$A1100,Receitas!$C:$C,P$1,Receitas!$M:$M,$B1100)</f>
        <v>0</v>
      </c>
      <c r="Q1100" s="18">
        <f>SUMIFS(Receitas!$F:$F,Receitas!$J:$J,"&lt;="&amp;$A1100,Receitas!$L:$L,"&gt;="&amp;$A1100,Receitas!$C:$C,Q$1,Receitas!$M:$M,"Mensal")+SUMIFS(Receitas!$F:$F,Receitas!$J:$J,"&lt;="&amp;$A1100,Receitas!$L:$L,"&gt;="&amp;$A1100,Receitas!$C:$C,Q$1,Receitas!$M:$M,$B1100)</f>
        <v>0</v>
      </c>
      <c r="R1100" s="18" cm="1">
        <f t="array" ref="R1100">(IF(AND(Membros!$F$2="Sim",A1100&lt;=MAX(Membros!$E$2:$E$5)),Membros!K$2,IF(AND(A1100&gt;=Membros!J$2,A1100&lt;=MAX(Membros!$E$2:$E$5)),Membros!K$2,0))+IF(AND(Membros!$F$3="Sim",A1100&lt;=MAX(Membros!$E$2:$E$5)),Membros!K$3,IF(AND(A1100&gt;=Membros!J$3,A1100&lt;=MAX(Membros!$E$2:$E$5)),Membros!K$3,0)))*IF(AND(COUNTIFS(Tabela3[Tipo],"Provedor",Tabela3[Simulação Seguro],"Sim")=2,A1100&gt;=MAX(IF(Tabela3[Tipo]="Dependente",Tabela3[Expectativa de Vida (Data)]))),0,1)</f>
        <v>0</v>
      </c>
      <c r="S1100" s="18">
        <f t="shared" si="142"/>
        <v>0</v>
      </c>
      <c r="U1100" s="18">
        <f t="shared" ca="1" si="145"/>
        <v>171092927.06033593</v>
      </c>
      <c r="V1100" s="18">
        <f>SUMIF(Imóveis!E:E,Dados!A:A,Imóveis!Z:Z)-SUMIF(Imóveis!E:E,Dados!A:A,Imóveis!Y:Y)</f>
        <v>0</v>
      </c>
      <c r="W1100" s="18">
        <f>-SUMIF(Projetos!N:N,A1100,Projetos!F:F)</f>
        <v>0</v>
      </c>
      <c r="X1100" s="18">
        <f t="shared" si="139"/>
        <v>0</v>
      </c>
      <c r="Y1100" s="26">
        <f ca="1">(U1100*((Indicadores_Economicos!D$2+1)^(1/12)-1))</f>
        <v>560113.72177027888</v>
      </c>
      <c r="Z1100" s="18">
        <f t="shared" ca="1" si="143"/>
        <v>171653040.78210622</v>
      </c>
      <c r="AA1100" s="18">
        <f ca="1">Auxiliar_Projetos!E1100</f>
        <v>1.4149665310125629E-8</v>
      </c>
      <c r="AB1100" s="18">
        <f ca="1">Auxiliar_Projetos!K1100</f>
        <v>1.0884357930865864E-8</v>
      </c>
      <c r="AC1100" s="18">
        <f ca="1">IF(Z1100-AA1100-AB1100&gt;Investimentos!$C$14,Investimentos!$C$14,IF(Z1100-AA1100-AB1100&lt;Investimentos!$C$14,Z1100-AA1100-AB1100,0))</f>
        <v>300000</v>
      </c>
      <c r="AD1100" s="18">
        <f t="shared" ca="1" si="144"/>
        <v>171353040.78210622</v>
      </c>
      <c r="AE1100" s="18"/>
    </row>
    <row r="1101" spans="1:31" x14ac:dyDescent="0.2">
      <c r="A1101" s="4">
        <v>79107</v>
      </c>
      <c r="B1101" s="5" t="str">
        <f t="shared" si="140"/>
        <v>agosto</v>
      </c>
      <c r="C1101" s="5" t="str">
        <f t="shared" si="138"/>
        <v>2116</v>
      </c>
      <c r="D1101" s="5">
        <f>SUMIFS(Despesas!$F:$F,Despesas!$J:$J,"&lt;="&amp;$A1101,Despesas!$L:$L,"&gt;="&amp;$A1101,Despesas!$C:$C,D$1,Despesas!$M:$M,"Mensal")+SUMIFS(Despesas!$F:$F,Despesas!$J:$J,"&lt;="&amp;$A1101,Despesas!$L:$L,"&gt;="&amp;$A1101,Despesas!$C:$C,D$1,Despesas!$M:$M,$B1101)</f>
        <v>0</v>
      </c>
      <c r="E1101" s="18">
        <f>SUMIFS(Despesas!$F:$F,Despesas!$J:$J,"&lt;="&amp;$A1101,Despesas!$L:$L,"&gt;="&amp;$A1101,Despesas!$C:$C,E$1,Despesas!$M:$M,"Mensal")+SUMIFS(Despesas!$F:$F,Despesas!$J:$J,"&lt;="&amp;$A1101,Despesas!$L:$L,"&gt;="&amp;$A1101,Despesas!$C:$C,E$1,Despesas!$M:$M,$B1101)</f>
        <v>0</v>
      </c>
      <c r="F1101" s="5">
        <f>SUMIFS(Despesas!$F:$F,Despesas!$J:$J,"&lt;="&amp;$A1101,Despesas!$L:$L,"&gt;="&amp;$A1101,Despesas!$C:$C,F$1,Despesas!$M:$M,"Mensal")+SUMIFS(Despesas!$F:$F,Despesas!$J:$J,"&lt;="&amp;$A1101,Despesas!$L:$L,"&gt;="&amp;$A1101,Despesas!$C:$C,F$1,Despesas!$M:$M,$B1101)</f>
        <v>0</v>
      </c>
      <c r="G1101" s="5">
        <f>SUMIFS(Despesas!$F:$F,Despesas!$J:$J,"&lt;="&amp;$A1101,Despesas!$L:$L,"&gt;="&amp;$A1101,Despesas!$C:$C,G$1,Despesas!$M:$M,"Mensal")+SUMIFS(Despesas!$F:$F,Despesas!$J:$J,"&lt;="&amp;$A1101,Despesas!$L:$L,"&gt;="&amp;$A1101,Despesas!$C:$C,G$1,Despesas!$M:$M,$B1101)</f>
        <v>0</v>
      </c>
      <c r="H1101" s="18">
        <f>SUMIFS(Despesas!$F:$F,Despesas!$J:$J,"&lt;="&amp;$A1101,Despesas!$L:$L,"&gt;="&amp;$A1101,Despesas!$C:$C,H$1,Despesas!$M:$M,"Mensal")+SUMIFS(Despesas!$F:$F,Despesas!$J:$J,"&lt;="&amp;$A1101,Despesas!$L:$L,"&gt;="&amp;$A1101,Despesas!$C:$C,H$1,Despesas!$M:$M,$B1101)</f>
        <v>0</v>
      </c>
      <c r="I1101" s="18">
        <f>IF(Imóveis!$F$2="PRICE",IF(AND(Dados!$A1101&gt;=Imóveis!$Q$2,Dados!$A1101&lt;=Imóveis!$T$2),Imóveis!$U$2,0),IF((IF(AND(Dados!$A1101&gt;=Imóveis!$Q$2,Dados!$A1101&lt;=Imóveis!$T$2),Imóveis!$S$2-(DATEDIF(Imóveis!$Q$2,Dados!$A1101,"m")),0))=0,0,((Imóveis!$N$2/Imóveis!$S$2)+((Imóveis!$N$2-((Imóveis!$S$2-(IF(AND(Dados!$A1101&gt;=Imóveis!$Q$2,Dados!$A1101&lt;=Imóveis!$T$2),Imóveis!$S$2-(DATEDIF(Imóveis!$Q$2,Dados!$A1101,"m")),)))*(Imóveis!$N$2/Imóveis!$S$2)))*Imóveis!$P$2))))*IF(AND(Imóveis!$E$2&gt;0,Dados!$A1101&gt;Imóveis!$E$2),0,1)</f>
        <v>0</v>
      </c>
      <c r="J1101" s="18">
        <f>IF(Imóveis!$F$3="PRICE",IF(AND(Dados!$A1101&gt;=Imóveis!$Q$3,Dados!$A1101&lt;=Imóveis!$T$3),Imóveis!$U$3,0),IF((IF(AND(Dados!$A1101&gt;=Imóveis!$Q$3,Dados!$A1101&lt;=Imóveis!$T$3),Imóveis!$S$3-(DATEDIF(Imóveis!$Q$3,Dados!$A1101,"m")),0))=0,0,((Imóveis!$N$3/Imóveis!$S$3)+((Imóveis!$N$3-((Imóveis!$S$3-(IF(AND(Dados!$A1101&gt;=Imóveis!$Q$3,Dados!$A1101&lt;=Imóveis!$T$3),Imóveis!$S$3-(DATEDIF(Imóveis!$Q$3,Dados!$A1101,"m")),)))*(Imóveis!$N$3/Imóveis!$S$3)))*Imóveis!$P$3))))*IF(AND(Imóveis!$E$3&gt;0,Dados!$A1101&gt;Imóveis!$E$3),0,1)</f>
        <v>0</v>
      </c>
      <c r="K1101" s="18">
        <f>IF(Imóveis!$F$4="PRICE",IF(AND(Dados!$A1101&gt;=Imóveis!$Q$4,Dados!$A1101&lt;=Imóveis!$T$4),Imóveis!$U$4,0),IF((IF(AND(Dados!$A1101&gt;=Imóveis!$Q$4,Dados!$A1101&lt;=Imóveis!$T$4),Imóveis!$S$4-(DATEDIF(Imóveis!$Q$4,Dados!$A1101,"m")),0))=0,0,((Imóveis!$N$4/Imóveis!$S$4)+((Imóveis!$N$4-((Imóveis!$S$4-(IF(AND(Dados!$A1101&gt;=Imóveis!$Q$4,Dados!$A1101&lt;=Imóveis!$T$4),Imóveis!$S$4-(DATEDIF(Imóveis!$Q$4,Dados!$A1101,"m")),)))*(Imóveis!$N$4/Imóveis!$S$4)))*Imóveis!$P$4))))*IF(AND(Imóveis!$E$4&gt;0,Dados!$A1101&gt;Imóveis!$E$4),0,1)</f>
        <v>0</v>
      </c>
      <c r="L1101" s="18">
        <f>IF(Imóveis!$F$5="PRICE",IF(AND(Dados!$A1101&gt;=Imóveis!$Q$5,Dados!$A1101&lt;=Imóveis!$T$5),Imóveis!$U$5,0),IF((IF(AND(Dados!$A1101&gt;=Imóveis!$Q$5,Dados!$A1101&lt;=Imóveis!$T$5),Imóveis!$S$5-(DATEDIF(Imóveis!$Q$5,Dados!$A1101,"m")),0))=0,0,((Imóveis!$N$5/Imóveis!$S$5)+((Imóveis!$N$5-((Imóveis!$S$5-(IF(AND(Dados!$A1101 &gt;=Imóveis!$Q$5,Dados!$A1101&lt;=Imóveis!$T$5),Imóveis!$S$5-(DATEDIF(Imóveis!$Q$5,Dados!$A1101,"m")),)))*(Imóveis!$N$5/Imóveis!$S$5)))*Imóveis!$P$5))))*IF(AND(Imóveis!$E$5&gt;0,Dados!$A1101&gt;Imóveis!$E$5),0,1)*Imóveis!$I$5</f>
        <v>0</v>
      </c>
      <c r="M1101" s="18">
        <f>IF(Imóveis!$F$6="PRICE",IF(AND(Dados!$A1101&gt;=Imóveis!$Q$6,Dados!$A1101&lt;=Imóveis!$T$6),Imóveis!$U$6,0),IF((IF(AND(Dados!$A1101&gt;=Imóveis!$Q$6,Dados!$A1101&lt;=Imóveis!$T$6),Imóveis!$S$6-(DATEDIF(Imóveis!$Q$6,Dados!$A1101,"m")),0))=0,0,((Imóveis!$N$6/Imóveis!$S$6)+((Imóveis!$N$6-((Imóveis!$S$6-(IF(AND(Dados!$A1101&gt;=Imóveis!$Q$6,Dados!$A1101&lt;=Imóveis!$T$6),Imóveis!$S$6-(DATEDIF(Imóveis!$Q$6,Dados!$A1101,"m")),)))*(Imóveis!$N$6/Imóveis!$S$6)))*Imóveis!$P$6))))*IF(AND(Imóveis!$E$6&gt;0,Dados!$A1101&gt;Imóveis!$E$6),0,1)*Imóveis!$I$6</f>
        <v>0</v>
      </c>
      <c r="N1101" s="18">
        <f t="shared" si="141"/>
        <v>0</v>
      </c>
      <c r="O1101" s="18">
        <f>SUMIFS(Receitas!$F:$F,Receitas!$J:$J,"&lt;="&amp;$A1101,Receitas!$L:$L,"&gt;="&amp;$A1101,Receitas!$C:$C,O$1,Receitas!$M:$M,"Mensal")+SUMIFS(Receitas!$F:$F,Receitas!$J:$J,"&lt;="&amp;$A1101,Receitas!$L:$L,"&gt;="&amp;$A1101,Receitas!$C:$C,O$1,Receitas!$M:$M,$B1101)</f>
        <v>0</v>
      </c>
      <c r="P1101" s="18">
        <f>SUMIFS(Receitas!$F:$F,Receitas!$J:$J,"&lt;="&amp;$A1101,Receitas!$L:$L,"&gt;="&amp;$A1101,Receitas!$C:$C,P$1,Receitas!$M:$M,"Mensal")+SUMIFS(Receitas!$F:$F,Receitas!$J:$J,"&lt;="&amp;$A1101,Receitas!$L:$L,"&gt;="&amp;$A1101,Receitas!$C:$C,P$1,Receitas!$M:$M,$B1101)</f>
        <v>0</v>
      </c>
      <c r="Q1101" s="18">
        <f>SUMIFS(Receitas!$F:$F,Receitas!$J:$J,"&lt;="&amp;$A1101,Receitas!$L:$L,"&gt;="&amp;$A1101,Receitas!$C:$C,Q$1,Receitas!$M:$M,"Mensal")+SUMIFS(Receitas!$F:$F,Receitas!$J:$J,"&lt;="&amp;$A1101,Receitas!$L:$L,"&gt;="&amp;$A1101,Receitas!$C:$C,Q$1,Receitas!$M:$M,$B1101)</f>
        <v>0</v>
      </c>
      <c r="R1101" s="18" cm="1">
        <f t="array" ref="R1101">(IF(AND(Membros!$F$2="Sim",A1101&lt;=MAX(Membros!$E$2:$E$5)),Membros!K$2,IF(AND(A1101&gt;=Membros!J$2,A1101&lt;=MAX(Membros!$E$2:$E$5)),Membros!K$2,0))+IF(AND(Membros!$F$3="Sim",A1101&lt;=MAX(Membros!$E$2:$E$5)),Membros!K$3,IF(AND(A1101&gt;=Membros!J$3,A1101&lt;=MAX(Membros!$E$2:$E$5)),Membros!K$3,0)))*IF(AND(COUNTIFS(Tabela3[Tipo],"Provedor",Tabela3[Simulação Seguro],"Sim")=2,A1101&gt;=MAX(IF(Tabela3[Tipo]="Dependente",Tabela3[Expectativa de Vida (Data)]))),0,1)</f>
        <v>0</v>
      </c>
      <c r="S1101" s="18">
        <f t="shared" si="142"/>
        <v>0</v>
      </c>
      <c r="U1101" s="18">
        <f t="shared" ca="1" si="145"/>
        <v>171653040.78210622</v>
      </c>
      <c r="V1101" s="18">
        <f>SUMIF(Imóveis!E:E,Dados!A:A,Imóveis!Z:Z)-SUMIF(Imóveis!E:E,Dados!A:A,Imóveis!Y:Y)</f>
        <v>0</v>
      </c>
      <c r="W1101" s="18">
        <f>-SUMIF(Projetos!N:N,A1101,Projetos!F:F)</f>
        <v>0</v>
      </c>
      <c r="X1101" s="18">
        <f t="shared" si="139"/>
        <v>0</v>
      </c>
      <c r="Y1101" s="26">
        <f ca="1">(U1101*((Indicadores_Economicos!D$2+1)^(1/12)-1))</f>
        <v>561947.38834379381</v>
      </c>
      <c r="Z1101" s="18">
        <f t="shared" ca="1" si="143"/>
        <v>172214988.17045</v>
      </c>
      <c r="AA1101" s="18">
        <f ca="1">Auxiliar_Projetos!E1101</f>
        <v>1.4195987632356187E-8</v>
      </c>
      <c r="AB1101" s="18">
        <f ca="1">Auxiliar_Projetos!K1101</f>
        <v>1.0919990486427832E-8</v>
      </c>
      <c r="AC1101" s="18">
        <f ca="1">IF(Z1101-AA1101-AB1101&gt;Investimentos!$C$14,Investimentos!$C$14,IF(Z1101-AA1101-AB1101&lt;Investimentos!$C$14,Z1101-AA1101-AB1101,0))</f>
        <v>300000</v>
      </c>
      <c r="AD1101" s="18">
        <f t="shared" ca="1" si="144"/>
        <v>171914988.17045</v>
      </c>
      <c r="AE1101" s="18"/>
    </row>
    <row r="1102" spans="1:31" x14ac:dyDescent="0.2">
      <c r="A1102" s="4">
        <v>79138</v>
      </c>
      <c r="B1102" s="5" t="str">
        <f t="shared" si="140"/>
        <v>setembro</v>
      </c>
      <c r="C1102" s="5" t="str">
        <f t="shared" si="138"/>
        <v>2116</v>
      </c>
      <c r="D1102" s="5">
        <f>SUMIFS(Despesas!$F:$F,Despesas!$J:$J,"&lt;="&amp;$A1102,Despesas!$L:$L,"&gt;="&amp;$A1102,Despesas!$C:$C,D$1,Despesas!$M:$M,"Mensal")+SUMIFS(Despesas!$F:$F,Despesas!$J:$J,"&lt;="&amp;$A1102,Despesas!$L:$L,"&gt;="&amp;$A1102,Despesas!$C:$C,D$1,Despesas!$M:$M,$B1102)</f>
        <v>0</v>
      </c>
      <c r="E1102" s="18">
        <f>SUMIFS(Despesas!$F:$F,Despesas!$J:$J,"&lt;="&amp;$A1102,Despesas!$L:$L,"&gt;="&amp;$A1102,Despesas!$C:$C,E$1,Despesas!$M:$M,"Mensal")+SUMIFS(Despesas!$F:$F,Despesas!$J:$J,"&lt;="&amp;$A1102,Despesas!$L:$L,"&gt;="&amp;$A1102,Despesas!$C:$C,E$1,Despesas!$M:$M,$B1102)</f>
        <v>0</v>
      </c>
      <c r="F1102" s="5">
        <f>SUMIFS(Despesas!$F:$F,Despesas!$J:$J,"&lt;="&amp;$A1102,Despesas!$L:$L,"&gt;="&amp;$A1102,Despesas!$C:$C,F$1,Despesas!$M:$M,"Mensal")+SUMIFS(Despesas!$F:$F,Despesas!$J:$J,"&lt;="&amp;$A1102,Despesas!$L:$L,"&gt;="&amp;$A1102,Despesas!$C:$C,F$1,Despesas!$M:$M,$B1102)</f>
        <v>0</v>
      </c>
      <c r="G1102" s="5">
        <f>SUMIFS(Despesas!$F:$F,Despesas!$J:$J,"&lt;="&amp;$A1102,Despesas!$L:$L,"&gt;="&amp;$A1102,Despesas!$C:$C,G$1,Despesas!$M:$M,"Mensal")+SUMIFS(Despesas!$F:$F,Despesas!$J:$J,"&lt;="&amp;$A1102,Despesas!$L:$L,"&gt;="&amp;$A1102,Despesas!$C:$C,G$1,Despesas!$M:$M,$B1102)</f>
        <v>0</v>
      </c>
      <c r="H1102" s="18">
        <f>SUMIFS(Despesas!$F:$F,Despesas!$J:$J,"&lt;="&amp;$A1102,Despesas!$L:$L,"&gt;="&amp;$A1102,Despesas!$C:$C,H$1,Despesas!$M:$M,"Mensal")+SUMIFS(Despesas!$F:$F,Despesas!$J:$J,"&lt;="&amp;$A1102,Despesas!$L:$L,"&gt;="&amp;$A1102,Despesas!$C:$C,H$1,Despesas!$M:$M,$B1102)</f>
        <v>0</v>
      </c>
      <c r="I1102" s="18">
        <f>IF(Imóveis!$F$2="PRICE",IF(AND(Dados!$A1102&gt;=Imóveis!$Q$2,Dados!$A1102&lt;=Imóveis!$T$2),Imóveis!$U$2,0),IF((IF(AND(Dados!$A1102&gt;=Imóveis!$Q$2,Dados!$A1102&lt;=Imóveis!$T$2),Imóveis!$S$2-(DATEDIF(Imóveis!$Q$2,Dados!$A1102,"m")),0))=0,0,((Imóveis!$N$2/Imóveis!$S$2)+((Imóveis!$N$2-((Imóveis!$S$2-(IF(AND(Dados!$A1102&gt;=Imóveis!$Q$2,Dados!$A1102&lt;=Imóveis!$T$2),Imóveis!$S$2-(DATEDIF(Imóveis!$Q$2,Dados!$A1102,"m")),)))*(Imóveis!$N$2/Imóveis!$S$2)))*Imóveis!$P$2))))*IF(AND(Imóveis!$E$2&gt;0,Dados!$A1102&gt;Imóveis!$E$2),0,1)</f>
        <v>0</v>
      </c>
      <c r="J1102" s="18">
        <f>IF(Imóveis!$F$3="PRICE",IF(AND(Dados!$A1102&gt;=Imóveis!$Q$3,Dados!$A1102&lt;=Imóveis!$T$3),Imóveis!$U$3,0),IF((IF(AND(Dados!$A1102&gt;=Imóveis!$Q$3,Dados!$A1102&lt;=Imóveis!$T$3),Imóveis!$S$3-(DATEDIF(Imóveis!$Q$3,Dados!$A1102,"m")),0))=0,0,((Imóveis!$N$3/Imóveis!$S$3)+((Imóveis!$N$3-((Imóveis!$S$3-(IF(AND(Dados!$A1102&gt;=Imóveis!$Q$3,Dados!$A1102&lt;=Imóveis!$T$3),Imóveis!$S$3-(DATEDIF(Imóveis!$Q$3,Dados!$A1102,"m")),)))*(Imóveis!$N$3/Imóveis!$S$3)))*Imóveis!$P$3))))*IF(AND(Imóveis!$E$3&gt;0,Dados!$A1102&gt;Imóveis!$E$3),0,1)</f>
        <v>0</v>
      </c>
      <c r="K1102" s="18">
        <f>IF(Imóveis!$F$4="PRICE",IF(AND(Dados!$A1102&gt;=Imóveis!$Q$4,Dados!$A1102&lt;=Imóveis!$T$4),Imóveis!$U$4,0),IF((IF(AND(Dados!$A1102&gt;=Imóveis!$Q$4,Dados!$A1102&lt;=Imóveis!$T$4),Imóveis!$S$4-(DATEDIF(Imóveis!$Q$4,Dados!$A1102,"m")),0))=0,0,((Imóveis!$N$4/Imóveis!$S$4)+((Imóveis!$N$4-((Imóveis!$S$4-(IF(AND(Dados!$A1102&gt;=Imóveis!$Q$4,Dados!$A1102&lt;=Imóveis!$T$4),Imóveis!$S$4-(DATEDIF(Imóveis!$Q$4,Dados!$A1102,"m")),)))*(Imóveis!$N$4/Imóveis!$S$4)))*Imóveis!$P$4))))*IF(AND(Imóveis!$E$4&gt;0,Dados!$A1102&gt;Imóveis!$E$4),0,1)</f>
        <v>0</v>
      </c>
      <c r="L1102" s="18">
        <f>IF(Imóveis!$F$5="PRICE",IF(AND(Dados!$A1102&gt;=Imóveis!$Q$5,Dados!$A1102&lt;=Imóveis!$T$5),Imóveis!$U$5,0),IF((IF(AND(Dados!$A1102&gt;=Imóveis!$Q$5,Dados!$A1102&lt;=Imóveis!$T$5),Imóveis!$S$5-(DATEDIF(Imóveis!$Q$5,Dados!$A1102,"m")),0))=0,0,((Imóveis!$N$5/Imóveis!$S$5)+((Imóveis!$N$5-((Imóveis!$S$5-(IF(AND(Dados!$A1102 &gt;=Imóveis!$Q$5,Dados!$A1102&lt;=Imóveis!$T$5),Imóveis!$S$5-(DATEDIF(Imóveis!$Q$5,Dados!$A1102,"m")),)))*(Imóveis!$N$5/Imóveis!$S$5)))*Imóveis!$P$5))))*IF(AND(Imóveis!$E$5&gt;0,Dados!$A1102&gt;Imóveis!$E$5),0,1)*Imóveis!$I$5</f>
        <v>0</v>
      </c>
      <c r="M1102" s="18">
        <f>IF(Imóveis!$F$6="PRICE",IF(AND(Dados!$A1102&gt;=Imóveis!$Q$6,Dados!$A1102&lt;=Imóveis!$T$6),Imóveis!$U$6,0),IF((IF(AND(Dados!$A1102&gt;=Imóveis!$Q$6,Dados!$A1102&lt;=Imóveis!$T$6),Imóveis!$S$6-(DATEDIF(Imóveis!$Q$6,Dados!$A1102,"m")),0))=0,0,((Imóveis!$N$6/Imóveis!$S$6)+((Imóveis!$N$6-((Imóveis!$S$6-(IF(AND(Dados!$A1102&gt;=Imóveis!$Q$6,Dados!$A1102&lt;=Imóveis!$T$6),Imóveis!$S$6-(DATEDIF(Imóveis!$Q$6,Dados!$A1102,"m")),)))*(Imóveis!$N$6/Imóveis!$S$6)))*Imóveis!$P$6))))*IF(AND(Imóveis!$E$6&gt;0,Dados!$A1102&gt;Imóveis!$E$6),0,1)*Imóveis!$I$6</f>
        <v>0</v>
      </c>
      <c r="N1102" s="18">
        <f t="shared" si="141"/>
        <v>0</v>
      </c>
      <c r="O1102" s="18">
        <f>SUMIFS(Receitas!$F:$F,Receitas!$J:$J,"&lt;="&amp;$A1102,Receitas!$L:$L,"&gt;="&amp;$A1102,Receitas!$C:$C,O$1,Receitas!$M:$M,"Mensal")+SUMIFS(Receitas!$F:$F,Receitas!$J:$J,"&lt;="&amp;$A1102,Receitas!$L:$L,"&gt;="&amp;$A1102,Receitas!$C:$C,O$1,Receitas!$M:$M,$B1102)</f>
        <v>0</v>
      </c>
      <c r="P1102" s="18">
        <f>SUMIFS(Receitas!$F:$F,Receitas!$J:$J,"&lt;="&amp;$A1102,Receitas!$L:$L,"&gt;="&amp;$A1102,Receitas!$C:$C,P$1,Receitas!$M:$M,"Mensal")+SUMIFS(Receitas!$F:$F,Receitas!$J:$J,"&lt;="&amp;$A1102,Receitas!$L:$L,"&gt;="&amp;$A1102,Receitas!$C:$C,P$1,Receitas!$M:$M,$B1102)</f>
        <v>0</v>
      </c>
      <c r="Q1102" s="18">
        <f>SUMIFS(Receitas!$F:$F,Receitas!$J:$J,"&lt;="&amp;$A1102,Receitas!$L:$L,"&gt;="&amp;$A1102,Receitas!$C:$C,Q$1,Receitas!$M:$M,"Mensal")+SUMIFS(Receitas!$F:$F,Receitas!$J:$J,"&lt;="&amp;$A1102,Receitas!$L:$L,"&gt;="&amp;$A1102,Receitas!$C:$C,Q$1,Receitas!$M:$M,$B1102)</f>
        <v>0</v>
      </c>
      <c r="R1102" s="18" cm="1">
        <f t="array" ref="R1102">(IF(AND(Membros!$F$2="Sim",A1102&lt;=MAX(Membros!$E$2:$E$5)),Membros!K$2,IF(AND(A1102&gt;=Membros!J$2,A1102&lt;=MAX(Membros!$E$2:$E$5)),Membros!K$2,0))+IF(AND(Membros!$F$3="Sim",A1102&lt;=MAX(Membros!$E$2:$E$5)),Membros!K$3,IF(AND(A1102&gt;=Membros!J$3,A1102&lt;=MAX(Membros!$E$2:$E$5)),Membros!K$3,0)))*IF(AND(COUNTIFS(Tabela3[Tipo],"Provedor",Tabela3[Simulação Seguro],"Sim")=2,A1102&gt;=MAX(IF(Tabela3[Tipo]="Dependente",Tabela3[Expectativa de Vida (Data)]))),0,1)</f>
        <v>0</v>
      </c>
      <c r="S1102" s="18">
        <f t="shared" si="142"/>
        <v>0</v>
      </c>
      <c r="U1102" s="18">
        <f t="shared" ca="1" si="145"/>
        <v>172214988.17045</v>
      </c>
      <c r="V1102" s="18">
        <f>SUMIF(Imóveis!E:E,Dados!A:A,Imóveis!Z:Z)-SUMIF(Imóveis!E:E,Dados!A:A,Imóveis!Y:Y)</f>
        <v>0</v>
      </c>
      <c r="W1102" s="18">
        <f>-SUMIF(Projetos!N:N,A1102,Projetos!F:F)</f>
        <v>0</v>
      </c>
      <c r="X1102" s="18">
        <f t="shared" si="139"/>
        <v>0</v>
      </c>
      <c r="Y1102" s="26">
        <f ca="1">(U1102*((Indicadores_Economicos!D$2+1)^(1/12)-1))</f>
        <v>563787.05786451767</v>
      </c>
      <c r="Z1102" s="18">
        <f t="shared" ca="1" si="143"/>
        <v>172778775.22831452</v>
      </c>
      <c r="AA1102" s="18">
        <f ca="1">Auxiliar_Projetos!E1102</f>
        <v>1.4242461601815834E-8</v>
      </c>
      <c r="AB1102" s="18">
        <f ca="1">Auxiliar_Projetos!K1102</f>
        <v>1.0955739693704484E-8</v>
      </c>
      <c r="AC1102" s="18">
        <f ca="1">IF(Z1102-AA1102-AB1102&gt;Investimentos!$C$14,Investimentos!$C$14,IF(Z1102-AA1102-AB1102&lt;Investimentos!$C$14,Z1102-AA1102-AB1102,0))</f>
        <v>300000</v>
      </c>
      <c r="AD1102" s="18">
        <f t="shared" ca="1" si="144"/>
        <v>172478775.22831452</v>
      </c>
      <c r="AE1102" s="18"/>
    </row>
    <row r="1103" spans="1:31" x14ac:dyDescent="0.2">
      <c r="A1103" s="4">
        <v>79168</v>
      </c>
      <c r="B1103" s="5" t="str">
        <f t="shared" si="140"/>
        <v>outubro</v>
      </c>
      <c r="C1103" s="5" t="str">
        <f t="shared" si="138"/>
        <v>2116</v>
      </c>
      <c r="D1103" s="5">
        <f>SUMIFS(Despesas!$F:$F,Despesas!$J:$J,"&lt;="&amp;$A1103,Despesas!$L:$L,"&gt;="&amp;$A1103,Despesas!$C:$C,D$1,Despesas!$M:$M,"Mensal")+SUMIFS(Despesas!$F:$F,Despesas!$J:$J,"&lt;="&amp;$A1103,Despesas!$L:$L,"&gt;="&amp;$A1103,Despesas!$C:$C,D$1,Despesas!$M:$M,$B1103)</f>
        <v>0</v>
      </c>
      <c r="E1103" s="18">
        <f>SUMIFS(Despesas!$F:$F,Despesas!$J:$J,"&lt;="&amp;$A1103,Despesas!$L:$L,"&gt;="&amp;$A1103,Despesas!$C:$C,E$1,Despesas!$M:$M,"Mensal")+SUMIFS(Despesas!$F:$F,Despesas!$J:$J,"&lt;="&amp;$A1103,Despesas!$L:$L,"&gt;="&amp;$A1103,Despesas!$C:$C,E$1,Despesas!$M:$M,$B1103)</f>
        <v>0</v>
      </c>
      <c r="F1103" s="5">
        <f>SUMIFS(Despesas!$F:$F,Despesas!$J:$J,"&lt;="&amp;$A1103,Despesas!$L:$L,"&gt;="&amp;$A1103,Despesas!$C:$C,F$1,Despesas!$M:$M,"Mensal")+SUMIFS(Despesas!$F:$F,Despesas!$J:$J,"&lt;="&amp;$A1103,Despesas!$L:$L,"&gt;="&amp;$A1103,Despesas!$C:$C,F$1,Despesas!$M:$M,$B1103)</f>
        <v>0</v>
      </c>
      <c r="G1103" s="5">
        <f>SUMIFS(Despesas!$F:$F,Despesas!$J:$J,"&lt;="&amp;$A1103,Despesas!$L:$L,"&gt;="&amp;$A1103,Despesas!$C:$C,G$1,Despesas!$M:$M,"Mensal")+SUMIFS(Despesas!$F:$F,Despesas!$J:$J,"&lt;="&amp;$A1103,Despesas!$L:$L,"&gt;="&amp;$A1103,Despesas!$C:$C,G$1,Despesas!$M:$M,$B1103)</f>
        <v>0</v>
      </c>
      <c r="H1103" s="18">
        <f>SUMIFS(Despesas!$F:$F,Despesas!$J:$J,"&lt;="&amp;$A1103,Despesas!$L:$L,"&gt;="&amp;$A1103,Despesas!$C:$C,H$1,Despesas!$M:$M,"Mensal")+SUMIFS(Despesas!$F:$F,Despesas!$J:$J,"&lt;="&amp;$A1103,Despesas!$L:$L,"&gt;="&amp;$A1103,Despesas!$C:$C,H$1,Despesas!$M:$M,$B1103)</f>
        <v>0</v>
      </c>
      <c r="I1103" s="18">
        <f>IF(Imóveis!$F$2="PRICE",IF(AND(Dados!$A1103&gt;=Imóveis!$Q$2,Dados!$A1103&lt;=Imóveis!$T$2),Imóveis!$U$2,0),IF((IF(AND(Dados!$A1103&gt;=Imóveis!$Q$2,Dados!$A1103&lt;=Imóveis!$T$2),Imóveis!$S$2-(DATEDIF(Imóveis!$Q$2,Dados!$A1103,"m")),0))=0,0,((Imóveis!$N$2/Imóveis!$S$2)+((Imóveis!$N$2-((Imóveis!$S$2-(IF(AND(Dados!$A1103&gt;=Imóveis!$Q$2,Dados!$A1103&lt;=Imóveis!$T$2),Imóveis!$S$2-(DATEDIF(Imóveis!$Q$2,Dados!$A1103,"m")),)))*(Imóveis!$N$2/Imóveis!$S$2)))*Imóveis!$P$2))))*IF(AND(Imóveis!$E$2&gt;0,Dados!$A1103&gt;Imóveis!$E$2),0,1)</f>
        <v>0</v>
      </c>
      <c r="J1103" s="18">
        <f>IF(Imóveis!$F$3="PRICE",IF(AND(Dados!$A1103&gt;=Imóveis!$Q$3,Dados!$A1103&lt;=Imóveis!$T$3),Imóveis!$U$3,0),IF((IF(AND(Dados!$A1103&gt;=Imóveis!$Q$3,Dados!$A1103&lt;=Imóveis!$T$3),Imóveis!$S$3-(DATEDIF(Imóveis!$Q$3,Dados!$A1103,"m")),0))=0,0,((Imóveis!$N$3/Imóveis!$S$3)+((Imóveis!$N$3-((Imóveis!$S$3-(IF(AND(Dados!$A1103&gt;=Imóveis!$Q$3,Dados!$A1103&lt;=Imóveis!$T$3),Imóveis!$S$3-(DATEDIF(Imóveis!$Q$3,Dados!$A1103,"m")),)))*(Imóveis!$N$3/Imóveis!$S$3)))*Imóveis!$P$3))))*IF(AND(Imóveis!$E$3&gt;0,Dados!$A1103&gt;Imóveis!$E$3),0,1)</f>
        <v>0</v>
      </c>
      <c r="K1103" s="18">
        <f>IF(Imóveis!$F$4="PRICE",IF(AND(Dados!$A1103&gt;=Imóveis!$Q$4,Dados!$A1103&lt;=Imóveis!$T$4),Imóveis!$U$4,0),IF((IF(AND(Dados!$A1103&gt;=Imóveis!$Q$4,Dados!$A1103&lt;=Imóveis!$T$4),Imóveis!$S$4-(DATEDIF(Imóveis!$Q$4,Dados!$A1103,"m")),0))=0,0,((Imóveis!$N$4/Imóveis!$S$4)+((Imóveis!$N$4-((Imóveis!$S$4-(IF(AND(Dados!$A1103&gt;=Imóveis!$Q$4,Dados!$A1103&lt;=Imóveis!$T$4),Imóveis!$S$4-(DATEDIF(Imóveis!$Q$4,Dados!$A1103,"m")),)))*(Imóveis!$N$4/Imóveis!$S$4)))*Imóveis!$P$4))))*IF(AND(Imóveis!$E$4&gt;0,Dados!$A1103&gt;Imóveis!$E$4),0,1)</f>
        <v>0</v>
      </c>
      <c r="L1103" s="18">
        <f>IF(Imóveis!$F$5="PRICE",IF(AND(Dados!$A1103&gt;=Imóveis!$Q$5,Dados!$A1103&lt;=Imóveis!$T$5),Imóveis!$U$5,0),IF((IF(AND(Dados!$A1103&gt;=Imóveis!$Q$5,Dados!$A1103&lt;=Imóveis!$T$5),Imóveis!$S$5-(DATEDIF(Imóveis!$Q$5,Dados!$A1103,"m")),0))=0,0,((Imóveis!$N$5/Imóveis!$S$5)+((Imóveis!$N$5-((Imóveis!$S$5-(IF(AND(Dados!$A1103 &gt;=Imóveis!$Q$5,Dados!$A1103&lt;=Imóveis!$T$5),Imóveis!$S$5-(DATEDIF(Imóveis!$Q$5,Dados!$A1103,"m")),)))*(Imóveis!$N$5/Imóveis!$S$5)))*Imóveis!$P$5))))*IF(AND(Imóveis!$E$5&gt;0,Dados!$A1103&gt;Imóveis!$E$5),0,1)*Imóveis!$I$5</f>
        <v>0</v>
      </c>
      <c r="M1103" s="18">
        <f>IF(Imóveis!$F$6="PRICE",IF(AND(Dados!$A1103&gt;=Imóveis!$Q$6,Dados!$A1103&lt;=Imóveis!$T$6),Imóveis!$U$6,0),IF((IF(AND(Dados!$A1103&gt;=Imóveis!$Q$6,Dados!$A1103&lt;=Imóveis!$T$6),Imóveis!$S$6-(DATEDIF(Imóveis!$Q$6,Dados!$A1103,"m")),0))=0,0,((Imóveis!$N$6/Imóveis!$S$6)+((Imóveis!$N$6-((Imóveis!$S$6-(IF(AND(Dados!$A1103&gt;=Imóveis!$Q$6,Dados!$A1103&lt;=Imóveis!$T$6),Imóveis!$S$6-(DATEDIF(Imóveis!$Q$6,Dados!$A1103,"m")),)))*(Imóveis!$N$6/Imóveis!$S$6)))*Imóveis!$P$6))))*IF(AND(Imóveis!$E$6&gt;0,Dados!$A1103&gt;Imóveis!$E$6),0,1)*Imóveis!$I$6</f>
        <v>0</v>
      </c>
      <c r="N1103" s="18">
        <f t="shared" si="141"/>
        <v>0</v>
      </c>
      <c r="O1103" s="18">
        <f>SUMIFS(Receitas!$F:$F,Receitas!$J:$J,"&lt;="&amp;$A1103,Receitas!$L:$L,"&gt;="&amp;$A1103,Receitas!$C:$C,O$1,Receitas!$M:$M,"Mensal")+SUMIFS(Receitas!$F:$F,Receitas!$J:$J,"&lt;="&amp;$A1103,Receitas!$L:$L,"&gt;="&amp;$A1103,Receitas!$C:$C,O$1,Receitas!$M:$M,$B1103)</f>
        <v>0</v>
      </c>
      <c r="P1103" s="18">
        <f>SUMIFS(Receitas!$F:$F,Receitas!$J:$J,"&lt;="&amp;$A1103,Receitas!$L:$L,"&gt;="&amp;$A1103,Receitas!$C:$C,P$1,Receitas!$M:$M,"Mensal")+SUMIFS(Receitas!$F:$F,Receitas!$J:$J,"&lt;="&amp;$A1103,Receitas!$L:$L,"&gt;="&amp;$A1103,Receitas!$C:$C,P$1,Receitas!$M:$M,$B1103)</f>
        <v>0</v>
      </c>
      <c r="Q1103" s="18">
        <f>SUMIFS(Receitas!$F:$F,Receitas!$J:$J,"&lt;="&amp;$A1103,Receitas!$L:$L,"&gt;="&amp;$A1103,Receitas!$C:$C,Q$1,Receitas!$M:$M,"Mensal")+SUMIFS(Receitas!$F:$F,Receitas!$J:$J,"&lt;="&amp;$A1103,Receitas!$L:$L,"&gt;="&amp;$A1103,Receitas!$C:$C,Q$1,Receitas!$M:$M,$B1103)</f>
        <v>0</v>
      </c>
      <c r="R1103" s="18" cm="1">
        <f t="array" ref="R1103">(IF(AND(Membros!$F$2="Sim",A1103&lt;=MAX(Membros!$E$2:$E$5)),Membros!K$2,IF(AND(A1103&gt;=Membros!J$2,A1103&lt;=MAX(Membros!$E$2:$E$5)),Membros!K$2,0))+IF(AND(Membros!$F$3="Sim",A1103&lt;=MAX(Membros!$E$2:$E$5)),Membros!K$3,IF(AND(A1103&gt;=Membros!J$3,A1103&lt;=MAX(Membros!$E$2:$E$5)),Membros!K$3,0)))*IF(AND(COUNTIFS(Tabela3[Tipo],"Provedor",Tabela3[Simulação Seguro],"Sim")=2,A1103&gt;=MAX(IF(Tabela3[Tipo]="Dependente",Tabela3[Expectativa de Vida (Data)]))),0,1)</f>
        <v>0</v>
      </c>
      <c r="S1103" s="18">
        <f t="shared" si="142"/>
        <v>0</v>
      </c>
      <c r="U1103" s="18">
        <f t="shared" ca="1" si="145"/>
        <v>172778775.22831452</v>
      </c>
      <c r="V1103" s="18">
        <f>SUMIF(Imóveis!E:E,Dados!A:A,Imóveis!Z:Z)-SUMIF(Imóveis!E:E,Dados!A:A,Imóveis!Y:Y)</f>
        <v>0</v>
      </c>
      <c r="W1103" s="18">
        <f>-SUMIF(Projetos!N:N,A1103,Projetos!F:F)</f>
        <v>0</v>
      </c>
      <c r="X1103" s="18">
        <f t="shared" si="139"/>
        <v>0</v>
      </c>
      <c r="Y1103" s="26">
        <f ca="1">(U1103*((Indicadores_Economicos!D$2+1)^(1/12)-1))</f>
        <v>565632.7499845376</v>
      </c>
      <c r="Z1103" s="18">
        <f t="shared" ca="1" si="143"/>
        <v>173344407.97829905</v>
      </c>
      <c r="AA1103" s="18">
        <f ca="1">Auxiliar_Projetos!E1103</f>
        <v>1.428908771495814E-8</v>
      </c>
      <c r="AB1103" s="18">
        <f ca="1">Auxiliar_Projetos!K1103</f>
        <v>1.0991605934583181E-8</v>
      </c>
      <c r="AC1103" s="18">
        <f ca="1">IF(Z1103-AA1103-AB1103&gt;Investimentos!$C$14,Investimentos!$C$14,IF(Z1103-AA1103-AB1103&lt;Investimentos!$C$14,Z1103-AA1103-AB1103,0))</f>
        <v>300000</v>
      </c>
      <c r="AD1103" s="18">
        <f t="shared" ca="1" si="144"/>
        <v>173044407.97829905</v>
      </c>
      <c r="AE1103" s="18"/>
    </row>
    <row r="1104" spans="1:31" x14ac:dyDescent="0.2">
      <c r="A1104" s="4">
        <v>79199</v>
      </c>
      <c r="B1104" s="5" t="str">
        <f t="shared" si="140"/>
        <v>novembro</v>
      </c>
      <c r="C1104" s="5" t="str">
        <f t="shared" si="138"/>
        <v>2116</v>
      </c>
      <c r="D1104" s="5">
        <f>SUMIFS(Despesas!$F:$F,Despesas!$J:$J,"&lt;="&amp;$A1104,Despesas!$L:$L,"&gt;="&amp;$A1104,Despesas!$C:$C,D$1,Despesas!$M:$M,"Mensal")+SUMIFS(Despesas!$F:$F,Despesas!$J:$J,"&lt;="&amp;$A1104,Despesas!$L:$L,"&gt;="&amp;$A1104,Despesas!$C:$C,D$1,Despesas!$M:$M,$B1104)</f>
        <v>0</v>
      </c>
      <c r="E1104" s="18">
        <f>SUMIFS(Despesas!$F:$F,Despesas!$J:$J,"&lt;="&amp;$A1104,Despesas!$L:$L,"&gt;="&amp;$A1104,Despesas!$C:$C,E$1,Despesas!$M:$M,"Mensal")+SUMIFS(Despesas!$F:$F,Despesas!$J:$J,"&lt;="&amp;$A1104,Despesas!$L:$L,"&gt;="&amp;$A1104,Despesas!$C:$C,E$1,Despesas!$M:$M,$B1104)</f>
        <v>0</v>
      </c>
      <c r="F1104" s="5">
        <f>SUMIFS(Despesas!$F:$F,Despesas!$J:$J,"&lt;="&amp;$A1104,Despesas!$L:$L,"&gt;="&amp;$A1104,Despesas!$C:$C,F$1,Despesas!$M:$M,"Mensal")+SUMIFS(Despesas!$F:$F,Despesas!$J:$J,"&lt;="&amp;$A1104,Despesas!$L:$L,"&gt;="&amp;$A1104,Despesas!$C:$C,F$1,Despesas!$M:$M,$B1104)</f>
        <v>0</v>
      </c>
      <c r="G1104" s="5">
        <f>SUMIFS(Despesas!$F:$F,Despesas!$J:$J,"&lt;="&amp;$A1104,Despesas!$L:$L,"&gt;="&amp;$A1104,Despesas!$C:$C,G$1,Despesas!$M:$M,"Mensal")+SUMIFS(Despesas!$F:$F,Despesas!$J:$J,"&lt;="&amp;$A1104,Despesas!$L:$L,"&gt;="&amp;$A1104,Despesas!$C:$C,G$1,Despesas!$M:$M,$B1104)</f>
        <v>0</v>
      </c>
      <c r="H1104" s="18">
        <f>SUMIFS(Despesas!$F:$F,Despesas!$J:$J,"&lt;="&amp;$A1104,Despesas!$L:$L,"&gt;="&amp;$A1104,Despesas!$C:$C,H$1,Despesas!$M:$M,"Mensal")+SUMIFS(Despesas!$F:$F,Despesas!$J:$J,"&lt;="&amp;$A1104,Despesas!$L:$L,"&gt;="&amp;$A1104,Despesas!$C:$C,H$1,Despesas!$M:$M,$B1104)</f>
        <v>0</v>
      </c>
      <c r="I1104" s="18">
        <f>IF(Imóveis!$F$2="PRICE",IF(AND(Dados!$A1104&gt;=Imóveis!$Q$2,Dados!$A1104&lt;=Imóveis!$T$2),Imóveis!$U$2,0),IF((IF(AND(Dados!$A1104&gt;=Imóveis!$Q$2,Dados!$A1104&lt;=Imóveis!$T$2),Imóveis!$S$2-(DATEDIF(Imóveis!$Q$2,Dados!$A1104,"m")),0))=0,0,((Imóveis!$N$2/Imóveis!$S$2)+((Imóveis!$N$2-((Imóveis!$S$2-(IF(AND(Dados!$A1104&gt;=Imóveis!$Q$2,Dados!$A1104&lt;=Imóveis!$T$2),Imóveis!$S$2-(DATEDIF(Imóveis!$Q$2,Dados!$A1104,"m")),)))*(Imóveis!$N$2/Imóveis!$S$2)))*Imóveis!$P$2))))*IF(AND(Imóveis!$E$2&gt;0,Dados!$A1104&gt;Imóveis!$E$2),0,1)</f>
        <v>0</v>
      </c>
      <c r="J1104" s="18">
        <f>IF(Imóveis!$F$3="PRICE",IF(AND(Dados!$A1104&gt;=Imóveis!$Q$3,Dados!$A1104&lt;=Imóveis!$T$3),Imóveis!$U$3,0),IF((IF(AND(Dados!$A1104&gt;=Imóveis!$Q$3,Dados!$A1104&lt;=Imóveis!$T$3),Imóveis!$S$3-(DATEDIF(Imóveis!$Q$3,Dados!$A1104,"m")),0))=0,0,((Imóveis!$N$3/Imóveis!$S$3)+((Imóveis!$N$3-((Imóveis!$S$3-(IF(AND(Dados!$A1104&gt;=Imóveis!$Q$3,Dados!$A1104&lt;=Imóveis!$T$3),Imóveis!$S$3-(DATEDIF(Imóveis!$Q$3,Dados!$A1104,"m")),)))*(Imóveis!$N$3/Imóveis!$S$3)))*Imóveis!$P$3))))*IF(AND(Imóveis!$E$3&gt;0,Dados!$A1104&gt;Imóveis!$E$3),0,1)</f>
        <v>0</v>
      </c>
      <c r="K1104" s="18">
        <f>IF(Imóveis!$F$4="PRICE",IF(AND(Dados!$A1104&gt;=Imóveis!$Q$4,Dados!$A1104&lt;=Imóveis!$T$4),Imóveis!$U$4,0),IF((IF(AND(Dados!$A1104&gt;=Imóveis!$Q$4,Dados!$A1104&lt;=Imóveis!$T$4),Imóveis!$S$4-(DATEDIF(Imóveis!$Q$4,Dados!$A1104,"m")),0))=0,0,((Imóveis!$N$4/Imóveis!$S$4)+((Imóveis!$N$4-((Imóveis!$S$4-(IF(AND(Dados!$A1104&gt;=Imóveis!$Q$4,Dados!$A1104&lt;=Imóveis!$T$4),Imóveis!$S$4-(DATEDIF(Imóveis!$Q$4,Dados!$A1104,"m")),)))*(Imóveis!$N$4/Imóveis!$S$4)))*Imóveis!$P$4))))*IF(AND(Imóveis!$E$4&gt;0,Dados!$A1104&gt;Imóveis!$E$4),0,1)</f>
        <v>0</v>
      </c>
      <c r="L1104" s="18">
        <f>IF(Imóveis!$F$5="PRICE",IF(AND(Dados!$A1104&gt;=Imóveis!$Q$5,Dados!$A1104&lt;=Imóveis!$T$5),Imóveis!$U$5,0),IF((IF(AND(Dados!$A1104&gt;=Imóveis!$Q$5,Dados!$A1104&lt;=Imóveis!$T$5),Imóveis!$S$5-(DATEDIF(Imóveis!$Q$5,Dados!$A1104,"m")),0))=0,0,((Imóveis!$N$5/Imóveis!$S$5)+((Imóveis!$N$5-((Imóveis!$S$5-(IF(AND(Dados!$A1104 &gt;=Imóveis!$Q$5,Dados!$A1104&lt;=Imóveis!$T$5),Imóveis!$S$5-(DATEDIF(Imóveis!$Q$5,Dados!$A1104,"m")),)))*(Imóveis!$N$5/Imóveis!$S$5)))*Imóveis!$P$5))))*IF(AND(Imóveis!$E$5&gt;0,Dados!$A1104&gt;Imóveis!$E$5),0,1)*Imóveis!$I$5</f>
        <v>0</v>
      </c>
      <c r="M1104" s="18">
        <f>IF(Imóveis!$F$6="PRICE",IF(AND(Dados!$A1104&gt;=Imóveis!$Q$6,Dados!$A1104&lt;=Imóveis!$T$6),Imóveis!$U$6,0),IF((IF(AND(Dados!$A1104&gt;=Imóveis!$Q$6,Dados!$A1104&lt;=Imóveis!$T$6),Imóveis!$S$6-(DATEDIF(Imóveis!$Q$6,Dados!$A1104,"m")),0))=0,0,((Imóveis!$N$6/Imóveis!$S$6)+((Imóveis!$N$6-((Imóveis!$S$6-(IF(AND(Dados!$A1104&gt;=Imóveis!$Q$6,Dados!$A1104&lt;=Imóveis!$T$6),Imóveis!$S$6-(DATEDIF(Imóveis!$Q$6,Dados!$A1104,"m")),)))*(Imóveis!$N$6/Imóveis!$S$6)))*Imóveis!$P$6))))*IF(AND(Imóveis!$E$6&gt;0,Dados!$A1104&gt;Imóveis!$E$6),0,1)*Imóveis!$I$6</f>
        <v>0</v>
      </c>
      <c r="N1104" s="18">
        <f t="shared" si="141"/>
        <v>0</v>
      </c>
      <c r="O1104" s="18">
        <f>SUMIFS(Receitas!$F:$F,Receitas!$J:$J,"&lt;="&amp;$A1104,Receitas!$L:$L,"&gt;="&amp;$A1104,Receitas!$C:$C,O$1,Receitas!$M:$M,"Mensal")+SUMIFS(Receitas!$F:$F,Receitas!$J:$J,"&lt;="&amp;$A1104,Receitas!$L:$L,"&gt;="&amp;$A1104,Receitas!$C:$C,O$1,Receitas!$M:$M,$B1104)</f>
        <v>0</v>
      </c>
      <c r="P1104" s="18">
        <f>SUMIFS(Receitas!$F:$F,Receitas!$J:$J,"&lt;="&amp;$A1104,Receitas!$L:$L,"&gt;="&amp;$A1104,Receitas!$C:$C,P$1,Receitas!$M:$M,"Mensal")+SUMIFS(Receitas!$F:$F,Receitas!$J:$J,"&lt;="&amp;$A1104,Receitas!$L:$L,"&gt;="&amp;$A1104,Receitas!$C:$C,P$1,Receitas!$M:$M,$B1104)</f>
        <v>0</v>
      </c>
      <c r="Q1104" s="18">
        <f>SUMIFS(Receitas!$F:$F,Receitas!$J:$J,"&lt;="&amp;$A1104,Receitas!$L:$L,"&gt;="&amp;$A1104,Receitas!$C:$C,Q$1,Receitas!$M:$M,"Mensal")+SUMIFS(Receitas!$F:$F,Receitas!$J:$J,"&lt;="&amp;$A1104,Receitas!$L:$L,"&gt;="&amp;$A1104,Receitas!$C:$C,Q$1,Receitas!$M:$M,$B1104)</f>
        <v>0</v>
      </c>
      <c r="R1104" s="18" cm="1">
        <f t="array" ref="R1104">(IF(AND(Membros!$F$2="Sim",A1104&lt;=MAX(Membros!$E$2:$E$5)),Membros!K$2,IF(AND(A1104&gt;=Membros!J$2,A1104&lt;=MAX(Membros!$E$2:$E$5)),Membros!K$2,0))+IF(AND(Membros!$F$3="Sim",A1104&lt;=MAX(Membros!$E$2:$E$5)),Membros!K$3,IF(AND(A1104&gt;=Membros!J$3,A1104&lt;=MAX(Membros!$E$2:$E$5)),Membros!K$3,0)))*IF(AND(COUNTIFS(Tabela3[Tipo],"Provedor",Tabela3[Simulação Seguro],"Sim")=2,A1104&gt;=MAX(IF(Tabela3[Tipo]="Dependente",Tabela3[Expectativa de Vida (Data)]))),0,1)</f>
        <v>0</v>
      </c>
      <c r="S1104" s="18">
        <f t="shared" si="142"/>
        <v>0</v>
      </c>
      <c r="U1104" s="18">
        <f t="shared" ca="1" si="145"/>
        <v>173344407.97829905</v>
      </c>
      <c r="V1104" s="18">
        <f>SUMIF(Imóveis!E:E,Dados!A:A,Imóveis!Z:Z)-SUMIF(Imóveis!E:E,Dados!A:A,Imóveis!Y:Y)</f>
        <v>0</v>
      </c>
      <c r="W1104" s="18">
        <f>-SUMIF(Projetos!N:N,A1104,Projetos!F:F)</f>
        <v>0</v>
      </c>
      <c r="X1104" s="18">
        <f t="shared" si="139"/>
        <v>0</v>
      </c>
      <c r="Y1104" s="26">
        <f ca="1">(U1104*((Indicadores_Economicos!D$2+1)^(1/12)-1))</f>
        <v>567484.48442027648</v>
      </c>
      <c r="Z1104" s="18">
        <f t="shared" ca="1" si="143"/>
        <v>173911892.46271932</v>
      </c>
      <c r="AA1104" s="18">
        <f ca="1">Auxiliar_Projetos!E1104</f>
        <v>1.4335866469861928E-8</v>
      </c>
      <c r="AB1104" s="18">
        <f ca="1">Auxiliar_Projetos!K1104</f>
        <v>1.102758959220148E-8</v>
      </c>
      <c r="AC1104" s="18">
        <f ca="1">IF(Z1104-AA1104-AB1104&gt;Investimentos!$C$14,Investimentos!$C$14,IF(Z1104-AA1104-AB1104&lt;Investimentos!$C$14,Z1104-AA1104-AB1104,0))</f>
        <v>300000</v>
      </c>
      <c r="AD1104" s="18">
        <f t="shared" ca="1" si="144"/>
        <v>173611892.46271932</v>
      </c>
      <c r="AE1104" s="18"/>
    </row>
    <row r="1105" spans="1:31" x14ac:dyDescent="0.2">
      <c r="A1105" s="4">
        <v>79229</v>
      </c>
      <c r="B1105" s="5" t="str">
        <f t="shared" si="140"/>
        <v>dezembro</v>
      </c>
      <c r="C1105" s="5" t="str">
        <f t="shared" si="138"/>
        <v>2116</v>
      </c>
      <c r="D1105" s="5">
        <f>SUMIFS(Despesas!$F:$F,Despesas!$J:$J,"&lt;="&amp;$A1105,Despesas!$L:$L,"&gt;="&amp;$A1105,Despesas!$C:$C,D$1,Despesas!$M:$M,"Mensal")+SUMIFS(Despesas!$F:$F,Despesas!$J:$J,"&lt;="&amp;$A1105,Despesas!$L:$L,"&gt;="&amp;$A1105,Despesas!$C:$C,D$1,Despesas!$M:$M,$B1105)</f>
        <v>0</v>
      </c>
      <c r="E1105" s="18">
        <f>SUMIFS(Despesas!$F:$F,Despesas!$J:$J,"&lt;="&amp;$A1105,Despesas!$L:$L,"&gt;="&amp;$A1105,Despesas!$C:$C,E$1,Despesas!$M:$M,"Mensal")+SUMIFS(Despesas!$F:$F,Despesas!$J:$J,"&lt;="&amp;$A1105,Despesas!$L:$L,"&gt;="&amp;$A1105,Despesas!$C:$C,E$1,Despesas!$M:$M,$B1105)</f>
        <v>0</v>
      </c>
      <c r="F1105" s="5">
        <f>SUMIFS(Despesas!$F:$F,Despesas!$J:$J,"&lt;="&amp;$A1105,Despesas!$L:$L,"&gt;="&amp;$A1105,Despesas!$C:$C,F$1,Despesas!$M:$M,"Mensal")+SUMIFS(Despesas!$F:$F,Despesas!$J:$J,"&lt;="&amp;$A1105,Despesas!$L:$L,"&gt;="&amp;$A1105,Despesas!$C:$C,F$1,Despesas!$M:$M,$B1105)</f>
        <v>0</v>
      </c>
      <c r="G1105" s="5">
        <f>SUMIFS(Despesas!$F:$F,Despesas!$J:$J,"&lt;="&amp;$A1105,Despesas!$L:$L,"&gt;="&amp;$A1105,Despesas!$C:$C,G$1,Despesas!$M:$M,"Mensal")+SUMIFS(Despesas!$F:$F,Despesas!$J:$J,"&lt;="&amp;$A1105,Despesas!$L:$L,"&gt;="&amp;$A1105,Despesas!$C:$C,G$1,Despesas!$M:$M,$B1105)</f>
        <v>0</v>
      </c>
      <c r="H1105" s="18">
        <f>SUMIFS(Despesas!$F:$F,Despesas!$J:$J,"&lt;="&amp;$A1105,Despesas!$L:$L,"&gt;="&amp;$A1105,Despesas!$C:$C,H$1,Despesas!$M:$M,"Mensal")+SUMIFS(Despesas!$F:$F,Despesas!$J:$J,"&lt;="&amp;$A1105,Despesas!$L:$L,"&gt;="&amp;$A1105,Despesas!$C:$C,H$1,Despesas!$M:$M,$B1105)</f>
        <v>0</v>
      </c>
      <c r="I1105" s="18">
        <f>IF(Imóveis!$F$2="PRICE",IF(AND(Dados!$A1105&gt;=Imóveis!$Q$2,Dados!$A1105&lt;=Imóveis!$T$2),Imóveis!$U$2,0),IF((IF(AND(Dados!$A1105&gt;=Imóveis!$Q$2,Dados!$A1105&lt;=Imóveis!$T$2),Imóveis!$S$2-(DATEDIF(Imóveis!$Q$2,Dados!$A1105,"m")),0))=0,0,((Imóveis!$N$2/Imóveis!$S$2)+((Imóveis!$N$2-((Imóveis!$S$2-(IF(AND(Dados!$A1105&gt;=Imóveis!$Q$2,Dados!$A1105&lt;=Imóveis!$T$2),Imóveis!$S$2-(DATEDIF(Imóveis!$Q$2,Dados!$A1105,"m")),)))*(Imóveis!$N$2/Imóveis!$S$2)))*Imóveis!$P$2))))*IF(AND(Imóveis!$E$2&gt;0,Dados!$A1105&gt;Imóveis!$E$2),0,1)</f>
        <v>0</v>
      </c>
      <c r="J1105" s="18">
        <f>IF(Imóveis!$F$3="PRICE",IF(AND(Dados!$A1105&gt;=Imóveis!$Q$3,Dados!$A1105&lt;=Imóveis!$T$3),Imóveis!$U$3,0),IF((IF(AND(Dados!$A1105&gt;=Imóveis!$Q$3,Dados!$A1105&lt;=Imóveis!$T$3),Imóveis!$S$3-(DATEDIF(Imóveis!$Q$3,Dados!$A1105,"m")),0))=0,0,((Imóveis!$N$3/Imóveis!$S$3)+((Imóveis!$N$3-((Imóveis!$S$3-(IF(AND(Dados!$A1105&gt;=Imóveis!$Q$3,Dados!$A1105&lt;=Imóveis!$T$3),Imóveis!$S$3-(DATEDIF(Imóveis!$Q$3,Dados!$A1105,"m")),)))*(Imóveis!$N$3/Imóveis!$S$3)))*Imóveis!$P$3))))*IF(AND(Imóveis!$E$3&gt;0,Dados!$A1105&gt;Imóveis!$E$3),0,1)</f>
        <v>0</v>
      </c>
      <c r="K1105" s="18">
        <f>IF(Imóveis!$F$4="PRICE",IF(AND(Dados!$A1105&gt;=Imóveis!$Q$4,Dados!$A1105&lt;=Imóveis!$T$4),Imóveis!$U$4,0),IF((IF(AND(Dados!$A1105&gt;=Imóveis!$Q$4,Dados!$A1105&lt;=Imóveis!$T$4),Imóveis!$S$4-(DATEDIF(Imóveis!$Q$4,Dados!$A1105,"m")),0))=0,0,((Imóveis!$N$4/Imóveis!$S$4)+((Imóveis!$N$4-((Imóveis!$S$4-(IF(AND(Dados!$A1105&gt;=Imóveis!$Q$4,Dados!$A1105&lt;=Imóveis!$T$4),Imóveis!$S$4-(DATEDIF(Imóveis!$Q$4,Dados!$A1105,"m")),)))*(Imóveis!$N$4/Imóveis!$S$4)))*Imóveis!$P$4))))*IF(AND(Imóveis!$E$4&gt;0,Dados!$A1105&gt;Imóveis!$E$4),0,1)</f>
        <v>0</v>
      </c>
      <c r="L1105" s="18">
        <f>IF(Imóveis!$F$5="PRICE",IF(AND(Dados!$A1105&gt;=Imóveis!$Q$5,Dados!$A1105&lt;=Imóveis!$T$5),Imóveis!$U$5,0),IF((IF(AND(Dados!$A1105&gt;=Imóveis!$Q$5,Dados!$A1105&lt;=Imóveis!$T$5),Imóveis!$S$5-(DATEDIF(Imóveis!$Q$5,Dados!$A1105,"m")),0))=0,0,((Imóveis!$N$5/Imóveis!$S$5)+((Imóveis!$N$5-((Imóveis!$S$5-(IF(AND(Dados!$A1105 &gt;=Imóveis!$Q$5,Dados!$A1105&lt;=Imóveis!$T$5),Imóveis!$S$5-(DATEDIF(Imóveis!$Q$5,Dados!$A1105,"m")),)))*(Imóveis!$N$5/Imóveis!$S$5)))*Imóveis!$P$5))))*IF(AND(Imóveis!$E$5&gt;0,Dados!$A1105&gt;Imóveis!$E$5),0,1)*Imóveis!$I$5</f>
        <v>0</v>
      </c>
      <c r="M1105" s="18">
        <f>IF(Imóveis!$F$6="PRICE",IF(AND(Dados!$A1105&gt;=Imóveis!$Q$6,Dados!$A1105&lt;=Imóveis!$T$6),Imóveis!$U$6,0),IF((IF(AND(Dados!$A1105&gt;=Imóveis!$Q$6,Dados!$A1105&lt;=Imóveis!$T$6),Imóveis!$S$6-(DATEDIF(Imóveis!$Q$6,Dados!$A1105,"m")),0))=0,0,((Imóveis!$N$6/Imóveis!$S$6)+((Imóveis!$N$6-((Imóveis!$S$6-(IF(AND(Dados!$A1105&gt;=Imóveis!$Q$6,Dados!$A1105&lt;=Imóveis!$T$6),Imóveis!$S$6-(DATEDIF(Imóveis!$Q$6,Dados!$A1105,"m")),)))*(Imóveis!$N$6/Imóveis!$S$6)))*Imóveis!$P$6))))*IF(AND(Imóveis!$E$6&gt;0,Dados!$A1105&gt;Imóveis!$E$6),0,1)*Imóveis!$I$6</f>
        <v>0</v>
      </c>
      <c r="N1105" s="18">
        <f t="shared" si="141"/>
        <v>0</v>
      </c>
      <c r="O1105" s="18">
        <f>SUMIFS(Receitas!$F:$F,Receitas!$J:$J,"&lt;="&amp;$A1105,Receitas!$L:$L,"&gt;="&amp;$A1105,Receitas!$C:$C,O$1,Receitas!$M:$M,"Mensal")+SUMIFS(Receitas!$F:$F,Receitas!$J:$J,"&lt;="&amp;$A1105,Receitas!$L:$L,"&gt;="&amp;$A1105,Receitas!$C:$C,O$1,Receitas!$M:$M,$B1105)</f>
        <v>0</v>
      </c>
      <c r="P1105" s="18">
        <f>SUMIFS(Receitas!$F:$F,Receitas!$J:$J,"&lt;="&amp;$A1105,Receitas!$L:$L,"&gt;="&amp;$A1105,Receitas!$C:$C,P$1,Receitas!$M:$M,"Mensal")+SUMIFS(Receitas!$F:$F,Receitas!$J:$J,"&lt;="&amp;$A1105,Receitas!$L:$L,"&gt;="&amp;$A1105,Receitas!$C:$C,P$1,Receitas!$M:$M,$B1105)</f>
        <v>0</v>
      </c>
      <c r="Q1105" s="18">
        <f>SUMIFS(Receitas!$F:$F,Receitas!$J:$J,"&lt;="&amp;$A1105,Receitas!$L:$L,"&gt;="&amp;$A1105,Receitas!$C:$C,Q$1,Receitas!$M:$M,"Mensal")+SUMIFS(Receitas!$F:$F,Receitas!$J:$J,"&lt;="&amp;$A1105,Receitas!$L:$L,"&gt;="&amp;$A1105,Receitas!$C:$C,Q$1,Receitas!$M:$M,$B1105)</f>
        <v>0</v>
      </c>
      <c r="R1105" s="18" cm="1">
        <f t="array" ref="R1105">(IF(AND(Membros!$F$2="Sim",A1105&lt;=MAX(Membros!$E$2:$E$5)),Membros!K$2,IF(AND(A1105&gt;=Membros!J$2,A1105&lt;=MAX(Membros!$E$2:$E$5)),Membros!K$2,0))+IF(AND(Membros!$F$3="Sim",A1105&lt;=MAX(Membros!$E$2:$E$5)),Membros!K$3,IF(AND(A1105&gt;=Membros!J$3,A1105&lt;=MAX(Membros!$E$2:$E$5)),Membros!K$3,0)))*IF(AND(COUNTIFS(Tabela3[Tipo],"Provedor",Tabela3[Simulação Seguro],"Sim")=2,A1105&gt;=MAX(IF(Tabela3[Tipo]="Dependente",Tabela3[Expectativa de Vida (Data)]))),0,1)</f>
        <v>0</v>
      </c>
      <c r="S1105" s="18">
        <f t="shared" si="142"/>
        <v>0</v>
      </c>
      <c r="U1105" s="18">
        <f t="shared" ca="1" si="145"/>
        <v>173911892.46271932</v>
      </c>
      <c r="V1105" s="18">
        <f>SUMIF(Imóveis!E:E,Dados!A:A,Imóveis!Z:Z)-SUMIF(Imóveis!E:E,Dados!A:A,Imóveis!Y:Y)</f>
        <v>0</v>
      </c>
      <c r="W1105" s="18">
        <f>-SUMIF(Projetos!N:N,A1105,Projetos!F:F)</f>
        <v>0</v>
      </c>
      <c r="X1105" s="18">
        <f t="shared" si="139"/>
        <v>0</v>
      </c>
      <c r="Y1105" s="26">
        <f ca="1">(U1105*((Indicadores_Economicos!D$2+1)^(1/12)-1))</f>
        <v>569342.28095270379</v>
      </c>
      <c r="Z1105" s="18">
        <f t="shared" ca="1" si="143"/>
        <v>174481234.74367201</v>
      </c>
      <c r="AA1105" s="18">
        <f ca="1">Auxiliar_Projetos!E1105</f>
        <v>1.4382798366236607E-8</v>
      </c>
      <c r="AB1105" s="18">
        <f ca="1">Auxiliar_Projetos!K1105</f>
        <v>1.1063691050951232E-8</v>
      </c>
      <c r="AC1105" s="18">
        <f ca="1">IF(Z1105-AA1105-AB1105&gt;Investimentos!$C$14,Investimentos!$C$14,IF(Z1105-AA1105-AB1105&lt;Investimentos!$C$14,Z1105-AA1105-AB1105,0))</f>
        <v>300000</v>
      </c>
      <c r="AD1105" s="18">
        <f t="shared" ca="1" si="144"/>
        <v>174181234.74367201</v>
      </c>
      <c r="AE1105" s="18"/>
    </row>
    <row r="1106" spans="1:31" x14ac:dyDescent="0.2">
      <c r="A1106" s="4">
        <v>79260</v>
      </c>
      <c r="B1106" s="5" t="str">
        <f t="shared" si="140"/>
        <v>janeiro</v>
      </c>
      <c r="C1106" s="5" t="str">
        <f t="shared" si="138"/>
        <v>2117</v>
      </c>
      <c r="D1106" s="5">
        <f>SUMIFS(Despesas!$F:$F,Despesas!$J:$J,"&lt;="&amp;$A1106,Despesas!$L:$L,"&gt;="&amp;$A1106,Despesas!$C:$C,D$1,Despesas!$M:$M,"Mensal")+SUMIFS(Despesas!$F:$F,Despesas!$J:$J,"&lt;="&amp;$A1106,Despesas!$L:$L,"&gt;="&amp;$A1106,Despesas!$C:$C,D$1,Despesas!$M:$M,$B1106)</f>
        <v>0</v>
      </c>
      <c r="E1106" s="18">
        <f>SUMIFS(Despesas!$F:$F,Despesas!$J:$J,"&lt;="&amp;$A1106,Despesas!$L:$L,"&gt;="&amp;$A1106,Despesas!$C:$C,E$1,Despesas!$M:$M,"Mensal")+SUMIFS(Despesas!$F:$F,Despesas!$J:$J,"&lt;="&amp;$A1106,Despesas!$L:$L,"&gt;="&amp;$A1106,Despesas!$C:$C,E$1,Despesas!$M:$M,$B1106)</f>
        <v>0</v>
      </c>
      <c r="F1106" s="5">
        <f>SUMIFS(Despesas!$F:$F,Despesas!$J:$J,"&lt;="&amp;$A1106,Despesas!$L:$L,"&gt;="&amp;$A1106,Despesas!$C:$C,F$1,Despesas!$M:$M,"Mensal")+SUMIFS(Despesas!$F:$F,Despesas!$J:$J,"&lt;="&amp;$A1106,Despesas!$L:$L,"&gt;="&amp;$A1106,Despesas!$C:$C,F$1,Despesas!$M:$M,$B1106)</f>
        <v>0</v>
      </c>
      <c r="G1106" s="5">
        <f>SUMIFS(Despesas!$F:$F,Despesas!$J:$J,"&lt;="&amp;$A1106,Despesas!$L:$L,"&gt;="&amp;$A1106,Despesas!$C:$C,G$1,Despesas!$M:$M,"Mensal")+SUMIFS(Despesas!$F:$F,Despesas!$J:$J,"&lt;="&amp;$A1106,Despesas!$L:$L,"&gt;="&amp;$A1106,Despesas!$C:$C,G$1,Despesas!$M:$M,$B1106)</f>
        <v>0</v>
      </c>
      <c r="H1106" s="18">
        <f>SUMIFS(Despesas!$F:$F,Despesas!$J:$J,"&lt;="&amp;$A1106,Despesas!$L:$L,"&gt;="&amp;$A1106,Despesas!$C:$C,H$1,Despesas!$M:$M,"Mensal")+SUMIFS(Despesas!$F:$F,Despesas!$J:$J,"&lt;="&amp;$A1106,Despesas!$L:$L,"&gt;="&amp;$A1106,Despesas!$C:$C,H$1,Despesas!$M:$M,$B1106)</f>
        <v>0</v>
      </c>
      <c r="I1106" s="18">
        <f>IF(Imóveis!$F$2="PRICE",IF(AND(Dados!$A1106&gt;=Imóveis!$Q$2,Dados!$A1106&lt;=Imóveis!$T$2),Imóveis!$U$2,0),IF((IF(AND(Dados!$A1106&gt;=Imóveis!$Q$2,Dados!$A1106&lt;=Imóveis!$T$2),Imóveis!$S$2-(DATEDIF(Imóveis!$Q$2,Dados!$A1106,"m")),0))=0,0,((Imóveis!$N$2/Imóveis!$S$2)+((Imóveis!$N$2-((Imóveis!$S$2-(IF(AND(Dados!$A1106&gt;=Imóveis!$Q$2,Dados!$A1106&lt;=Imóveis!$T$2),Imóveis!$S$2-(DATEDIF(Imóveis!$Q$2,Dados!$A1106,"m")),)))*(Imóveis!$N$2/Imóveis!$S$2)))*Imóveis!$P$2))))*IF(AND(Imóveis!$E$2&gt;0,Dados!$A1106&gt;Imóveis!$E$2),0,1)</f>
        <v>0</v>
      </c>
      <c r="J1106" s="18">
        <f>IF(Imóveis!$F$3="PRICE",IF(AND(Dados!$A1106&gt;=Imóveis!$Q$3,Dados!$A1106&lt;=Imóveis!$T$3),Imóveis!$U$3,0),IF((IF(AND(Dados!$A1106&gt;=Imóveis!$Q$3,Dados!$A1106&lt;=Imóveis!$T$3),Imóveis!$S$3-(DATEDIF(Imóveis!$Q$3,Dados!$A1106,"m")),0))=0,0,((Imóveis!$N$3/Imóveis!$S$3)+((Imóveis!$N$3-((Imóveis!$S$3-(IF(AND(Dados!$A1106&gt;=Imóveis!$Q$3,Dados!$A1106&lt;=Imóveis!$T$3),Imóveis!$S$3-(DATEDIF(Imóveis!$Q$3,Dados!$A1106,"m")),)))*(Imóveis!$N$3/Imóveis!$S$3)))*Imóveis!$P$3))))*IF(AND(Imóveis!$E$3&gt;0,Dados!$A1106&gt;Imóveis!$E$3),0,1)</f>
        <v>0</v>
      </c>
      <c r="K1106" s="18">
        <f>IF(Imóveis!$F$4="PRICE",IF(AND(Dados!$A1106&gt;=Imóveis!$Q$4,Dados!$A1106&lt;=Imóveis!$T$4),Imóveis!$U$4,0),IF((IF(AND(Dados!$A1106&gt;=Imóveis!$Q$4,Dados!$A1106&lt;=Imóveis!$T$4),Imóveis!$S$4-(DATEDIF(Imóveis!$Q$4,Dados!$A1106,"m")),0))=0,0,((Imóveis!$N$4/Imóveis!$S$4)+((Imóveis!$N$4-((Imóveis!$S$4-(IF(AND(Dados!$A1106&gt;=Imóveis!$Q$4,Dados!$A1106&lt;=Imóveis!$T$4),Imóveis!$S$4-(DATEDIF(Imóveis!$Q$4,Dados!$A1106,"m")),)))*(Imóveis!$N$4/Imóveis!$S$4)))*Imóveis!$P$4))))*IF(AND(Imóveis!$E$4&gt;0,Dados!$A1106&gt;Imóveis!$E$4),0,1)</f>
        <v>0</v>
      </c>
      <c r="L1106" s="18">
        <f>IF(Imóveis!$F$5="PRICE",IF(AND(Dados!$A1106&gt;=Imóveis!$Q$5,Dados!$A1106&lt;=Imóveis!$T$5),Imóveis!$U$5,0),IF((IF(AND(Dados!$A1106&gt;=Imóveis!$Q$5,Dados!$A1106&lt;=Imóveis!$T$5),Imóveis!$S$5-(DATEDIF(Imóveis!$Q$5,Dados!$A1106,"m")),0))=0,0,((Imóveis!$N$5/Imóveis!$S$5)+((Imóveis!$N$5-((Imóveis!$S$5-(IF(AND(Dados!$A1106 &gt;=Imóveis!$Q$5,Dados!$A1106&lt;=Imóveis!$T$5),Imóveis!$S$5-(DATEDIF(Imóveis!$Q$5,Dados!$A1106,"m")),)))*(Imóveis!$N$5/Imóveis!$S$5)))*Imóveis!$P$5))))*IF(AND(Imóveis!$E$5&gt;0,Dados!$A1106&gt;Imóveis!$E$5),0,1)*Imóveis!$I$5</f>
        <v>0</v>
      </c>
      <c r="M1106" s="18">
        <f>IF(Imóveis!$F$6="PRICE",IF(AND(Dados!$A1106&gt;=Imóveis!$Q$6,Dados!$A1106&lt;=Imóveis!$T$6),Imóveis!$U$6,0),IF((IF(AND(Dados!$A1106&gt;=Imóveis!$Q$6,Dados!$A1106&lt;=Imóveis!$T$6),Imóveis!$S$6-(DATEDIF(Imóveis!$Q$6,Dados!$A1106,"m")),0))=0,0,((Imóveis!$N$6/Imóveis!$S$6)+((Imóveis!$N$6-((Imóveis!$S$6-(IF(AND(Dados!$A1106&gt;=Imóveis!$Q$6,Dados!$A1106&lt;=Imóveis!$T$6),Imóveis!$S$6-(DATEDIF(Imóveis!$Q$6,Dados!$A1106,"m")),)))*(Imóveis!$N$6/Imóveis!$S$6)))*Imóveis!$P$6))))*IF(AND(Imóveis!$E$6&gt;0,Dados!$A1106&gt;Imóveis!$E$6),0,1)*Imóveis!$I$6</f>
        <v>0</v>
      </c>
      <c r="N1106" s="18">
        <f t="shared" si="141"/>
        <v>0</v>
      </c>
      <c r="O1106" s="18">
        <f>SUMIFS(Receitas!$F:$F,Receitas!$J:$J,"&lt;="&amp;$A1106,Receitas!$L:$L,"&gt;="&amp;$A1106,Receitas!$C:$C,O$1,Receitas!$M:$M,"Mensal")+SUMIFS(Receitas!$F:$F,Receitas!$J:$J,"&lt;="&amp;$A1106,Receitas!$L:$L,"&gt;="&amp;$A1106,Receitas!$C:$C,O$1,Receitas!$M:$M,$B1106)</f>
        <v>0</v>
      </c>
      <c r="P1106" s="18">
        <f>SUMIFS(Receitas!$F:$F,Receitas!$J:$J,"&lt;="&amp;$A1106,Receitas!$L:$L,"&gt;="&amp;$A1106,Receitas!$C:$C,P$1,Receitas!$M:$M,"Mensal")+SUMIFS(Receitas!$F:$F,Receitas!$J:$J,"&lt;="&amp;$A1106,Receitas!$L:$L,"&gt;="&amp;$A1106,Receitas!$C:$C,P$1,Receitas!$M:$M,$B1106)</f>
        <v>0</v>
      </c>
      <c r="Q1106" s="18">
        <f>SUMIFS(Receitas!$F:$F,Receitas!$J:$J,"&lt;="&amp;$A1106,Receitas!$L:$L,"&gt;="&amp;$A1106,Receitas!$C:$C,Q$1,Receitas!$M:$M,"Mensal")+SUMIFS(Receitas!$F:$F,Receitas!$J:$J,"&lt;="&amp;$A1106,Receitas!$L:$L,"&gt;="&amp;$A1106,Receitas!$C:$C,Q$1,Receitas!$M:$M,$B1106)</f>
        <v>0</v>
      </c>
      <c r="R1106" s="18" cm="1">
        <f t="array" ref="R1106">(IF(AND(Membros!$F$2="Sim",A1106&lt;=MAX(Membros!$E$2:$E$5)),Membros!K$2,IF(AND(A1106&gt;=Membros!J$2,A1106&lt;=MAX(Membros!$E$2:$E$5)),Membros!K$2,0))+IF(AND(Membros!$F$3="Sim",A1106&lt;=MAX(Membros!$E$2:$E$5)),Membros!K$3,IF(AND(A1106&gt;=Membros!J$3,A1106&lt;=MAX(Membros!$E$2:$E$5)),Membros!K$3,0)))*IF(AND(COUNTIFS(Tabela3[Tipo],"Provedor",Tabela3[Simulação Seguro],"Sim")=2,A1106&gt;=MAX(IF(Tabela3[Tipo]="Dependente",Tabela3[Expectativa de Vida (Data)]))),0,1)</f>
        <v>0</v>
      </c>
      <c r="S1106" s="18">
        <f t="shared" si="142"/>
        <v>0</v>
      </c>
      <c r="U1106" s="18">
        <f t="shared" ca="1" si="145"/>
        <v>174481234.74367201</v>
      </c>
      <c r="V1106" s="18">
        <f>SUMIF(Imóveis!E:E,Dados!A:A,Imóveis!Z:Z)-SUMIF(Imóveis!E:E,Dados!A:A,Imóveis!Y:Y)</f>
        <v>0</v>
      </c>
      <c r="W1106" s="18">
        <f>-SUMIF(Projetos!N:N,A1106,Projetos!F:F)</f>
        <v>0</v>
      </c>
      <c r="X1106" s="18">
        <f t="shared" si="139"/>
        <v>0</v>
      </c>
      <c r="Y1106" s="26">
        <f ca="1">(U1106*((Indicadores_Economicos!D$2+1)^(1/12)-1))</f>
        <v>571206.15942754643</v>
      </c>
      <c r="Z1106" s="18">
        <f t="shared" ca="1" si="143"/>
        <v>175052440.90309957</v>
      </c>
      <c r="AA1106" s="18">
        <f ca="1">Auxiliar_Projetos!E1106</f>
        <v>1.4429883905427501E-8</v>
      </c>
      <c r="AB1106" s="18">
        <f ca="1">Auxiliar_Projetos!K1106</f>
        <v>1.1099910696482689E-8</v>
      </c>
      <c r="AC1106" s="18">
        <f ca="1">IF(Z1106-AA1106-AB1106&gt;Investimentos!$C$14,Investimentos!$C$14,IF(Z1106-AA1106-AB1106&lt;Investimentos!$C$14,Z1106-AA1106-AB1106,0))</f>
        <v>300000</v>
      </c>
      <c r="AD1106" s="18">
        <f t="shared" ca="1" si="144"/>
        <v>174752440.90309957</v>
      </c>
      <c r="AE1106" s="18"/>
    </row>
    <row r="1107" spans="1:31" x14ac:dyDescent="0.2">
      <c r="A1107" s="4">
        <v>79291</v>
      </c>
      <c r="B1107" s="5" t="str">
        <f t="shared" si="140"/>
        <v>fevereiro</v>
      </c>
      <c r="C1107" s="5" t="str">
        <f t="shared" si="138"/>
        <v>2117</v>
      </c>
      <c r="D1107" s="5">
        <f>SUMIFS(Despesas!$F:$F,Despesas!$J:$J,"&lt;="&amp;$A1107,Despesas!$L:$L,"&gt;="&amp;$A1107,Despesas!$C:$C,D$1,Despesas!$M:$M,"Mensal")+SUMIFS(Despesas!$F:$F,Despesas!$J:$J,"&lt;="&amp;$A1107,Despesas!$L:$L,"&gt;="&amp;$A1107,Despesas!$C:$C,D$1,Despesas!$M:$M,$B1107)</f>
        <v>0</v>
      </c>
      <c r="E1107" s="18">
        <f>SUMIFS(Despesas!$F:$F,Despesas!$J:$J,"&lt;="&amp;$A1107,Despesas!$L:$L,"&gt;="&amp;$A1107,Despesas!$C:$C,E$1,Despesas!$M:$M,"Mensal")+SUMIFS(Despesas!$F:$F,Despesas!$J:$J,"&lt;="&amp;$A1107,Despesas!$L:$L,"&gt;="&amp;$A1107,Despesas!$C:$C,E$1,Despesas!$M:$M,$B1107)</f>
        <v>0</v>
      </c>
      <c r="F1107" s="5">
        <f>SUMIFS(Despesas!$F:$F,Despesas!$J:$J,"&lt;="&amp;$A1107,Despesas!$L:$L,"&gt;="&amp;$A1107,Despesas!$C:$C,F$1,Despesas!$M:$M,"Mensal")+SUMIFS(Despesas!$F:$F,Despesas!$J:$J,"&lt;="&amp;$A1107,Despesas!$L:$L,"&gt;="&amp;$A1107,Despesas!$C:$C,F$1,Despesas!$M:$M,$B1107)</f>
        <v>0</v>
      </c>
      <c r="G1107" s="5">
        <f>SUMIFS(Despesas!$F:$F,Despesas!$J:$J,"&lt;="&amp;$A1107,Despesas!$L:$L,"&gt;="&amp;$A1107,Despesas!$C:$C,G$1,Despesas!$M:$M,"Mensal")+SUMIFS(Despesas!$F:$F,Despesas!$J:$J,"&lt;="&amp;$A1107,Despesas!$L:$L,"&gt;="&amp;$A1107,Despesas!$C:$C,G$1,Despesas!$M:$M,$B1107)</f>
        <v>0</v>
      </c>
      <c r="H1107" s="18">
        <f>SUMIFS(Despesas!$F:$F,Despesas!$J:$J,"&lt;="&amp;$A1107,Despesas!$L:$L,"&gt;="&amp;$A1107,Despesas!$C:$C,H$1,Despesas!$M:$M,"Mensal")+SUMIFS(Despesas!$F:$F,Despesas!$J:$J,"&lt;="&amp;$A1107,Despesas!$L:$L,"&gt;="&amp;$A1107,Despesas!$C:$C,H$1,Despesas!$M:$M,$B1107)</f>
        <v>0</v>
      </c>
      <c r="I1107" s="18">
        <f>IF(Imóveis!$F$2="PRICE",IF(AND(Dados!$A1107&gt;=Imóveis!$Q$2,Dados!$A1107&lt;=Imóveis!$T$2),Imóveis!$U$2,0),IF((IF(AND(Dados!$A1107&gt;=Imóveis!$Q$2,Dados!$A1107&lt;=Imóveis!$T$2),Imóveis!$S$2-(DATEDIF(Imóveis!$Q$2,Dados!$A1107,"m")),0))=0,0,((Imóveis!$N$2/Imóveis!$S$2)+((Imóveis!$N$2-((Imóveis!$S$2-(IF(AND(Dados!$A1107&gt;=Imóveis!$Q$2,Dados!$A1107&lt;=Imóveis!$T$2),Imóveis!$S$2-(DATEDIF(Imóveis!$Q$2,Dados!$A1107,"m")),)))*(Imóveis!$N$2/Imóveis!$S$2)))*Imóveis!$P$2))))*IF(AND(Imóveis!$E$2&gt;0,Dados!$A1107&gt;Imóveis!$E$2),0,1)</f>
        <v>0</v>
      </c>
      <c r="J1107" s="18">
        <f>IF(Imóveis!$F$3="PRICE",IF(AND(Dados!$A1107&gt;=Imóveis!$Q$3,Dados!$A1107&lt;=Imóveis!$T$3),Imóveis!$U$3,0),IF((IF(AND(Dados!$A1107&gt;=Imóveis!$Q$3,Dados!$A1107&lt;=Imóveis!$T$3),Imóveis!$S$3-(DATEDIF(Imóveis!$Q$3,Dados!$A1107,"m")),0))=0,0,((Imóveis!$N$3/Imóveis!$S$3)+((Imóveis!$N$3-((Imóveis!$S$3-(IF(AND(Dados!$A1107&gt;=Imóveis!$Q$3,Dados!$A1107&lt;=Imóveis!$T$3),Imóveis!$S$3-(DATEDIF(Imóveis!$Q$3,Dados!$A1107,"m")),)))*(Imóveis!$N$3/Imóveis!$S$3)))*Imóveis!$P$3))))*IF(AND(Imóveis!$E$3&gt;0,Dados!$A1107&gt;Imóveis!$E$3),0,1)</f>
        <v>0</v>
      </c>
      <c r="K1107" s="18">
        <f>IF(Imóveis!$F$4="PRICE",IF(AND(Dados!$A1107&gt;=Imóveis!$Q$4,Dados!$A1107&lt;=Imóveis!$T$4),Imóveis!$U$4,0),IF((IF(AND(Dados!$A1107&gt;=Imóveis!$Q$4,Dados!$A1107&lt;=Imóveis!$T$4),Imóveis!$S$4-(DATEDIF(Imóveis!$Q$4,Dados!$A1107,"m")),0))=0,0,((Imóveis!$N$4/Imóveis!$S$4)+((Imóveis!$N$4-((Imóveis!$S$4-(IF(AND(Dados!$A1107&gt;=Imóveis!$Q$4,Dados!$A1107&lt;=Imóveis!$T$4),Imóveis!$S$4-(DATEDIF(Imóveis!$Q$4,Dados!$A1107,"m")),)))*(Imóveis!$N$4/Imóveis!$S$4)))*Imóveis!$P$4))))*IF(AND(Imóveis!$E$4&gt;0,Dados!$A1107&gt;Imóveis!$E$4),0,1)</f>
        <v>0</v>
      </c>
      <c r="L1107" s="18">
        <f>IF(Imóveis!$F$5="PRICE",IF(AND(Dados!$A1107&gt;=Imóveis!$Q$5,Dados!$A1107&lt;=Imóveis!$T$5),Imóveis!$U$5,0),IF((IF(AND(Dados!$A1107&gt;=Imóveis!$Q$5,Dados!$A1107&lt;=Imóveis!$T$5),Imóveis!$S$5-(DATEDIF(Imóveis!$Q$5,Dados!$A1107,"m")),0))=0,0,((Imóveis!$N$5/Imóveis!$S$5)+((Imóveis!$N$5-((Imóveis!$S$5-(IF(AND(Dados!$A1107 &gt;=Imóveis!$Q$5,Dados!$A1107&lt;=Imóveis!$T$5),Imóveis!$S$5-(DATEDIF(Imóveis!$Q$5,Dados!$A1107,"m")),)))*(Imóveis!$N$5/Imóveis!$S$5)))*Imóveis!$P$5))))*IF(AND(Imóveis!$E$5&gt;0,Dados!$A1107&gt;Imóveis!$E$5),0,1)*Imóveis!$I$5</f>
        <v>0</v>
      </c>
      <c r="M1107" s="18">
        <f>IF(Imóveis!$F$6="PRICE",IF(AND(Dados!$A1107&gt;=Imóveis!$Q$6,Dados!$A1107&lt;=Imóveis!$T$6),Imóveis!$U$6,0),IF((IF(AND(Dados!$A1107&gt;=Imóveis!$Q$6,Dados!$A1107&lt;=Imóveis!$T$6),Imóveis!$S$6-(DATEDIF(Imóveis!$Q$6,Dados!$A1107,"m")),0))=0,0,((Imóveis!$N$6/Imóveis!$S$6)+((Imóveis!$N$6-((Imóveis!$S$6-(IF(AND(Dados!$A1107&gt;=Imóveis!$Q$6,Dados!$A1107&lt;=Imóveis!$T$6),Imóveis!$S$6-(DATEDIF(Imóveis!$Q$6,Dados!$A1107,"m")),)))*(Imóveis!$N$6/Imóveis!$S$6)))*Imóveis!$P$6))))*IF(AND(Imóveis!$E$6&gt;0,Dados!$A1107&gt;Imóveis!$E$6),0,1)*Imóveis!$I$6</f>
        <v>0</v>
      </c>
      <c r="N1107" s="18">
        <f t="shared" si="141"/>
        <v>0</v>
      </c>
      <c r="O1107" s="18">
        <f>SUMIFS(Receitas!$F:$F,Receitas!$J:$J,"&lt;="&amp;$A1107,Receitas!$L:$L,"&gt;="&amp;$A1107,Receitas!$C:$C,O$1,Receitas!$M:$M,"Mensal")+SUMIFS(Receitas!$F:$F,Receitas!$J:$J,"&lt;="&amp;$A1107,Receitas!$L:$L,"&gt;="&amp;$A1107,Receitas!$C:$C,O$1,Receitas!$M:$M,$B1107)</f>
        <v>0</v>
      </c>
      <c r="P1107" s="18">
        <f>SUMIFS(Receitas!$F:$F,Receitas!$J:$J,"&lt;="&amp;$A1107,Receitas!$L:$L,"&gt;="&amp;$A1107,Receitas!$C:$C,P$1,Receitas!$M:$M,"Mensal")+SUMIFS(Receitas!$F:$F,Receitas!$J:$J,"&lt;="&amp;$A1107,Receitas!$L:$L,"&gt;="&amp;$A1107,Receitas!$C:$C,P$1,Receitas!$M:$M,$B1107)</f>
        <v>0</v>
      </c>
      <c r="Q1107" s="18">
        <f>SUMIFS(Receitas!$F:$F,Receitas!$J:$J,"&lt;="&amp;$A1107,Receitas!$L:$L,"&gt;="&amp;$A1107,Receitas!$C:$C,Q$1,Receitas!$M:$M,"Mensal")+SUMIFS(Receitas!$F:$F,Receitas!$J:$J,"&lt;="&amp;$A1107,Receitas!$L:$L,"&gt;="&amp;$A1107,Receitas!$C:$C,Q$1,Receitas!$M:$M,$B1107)</f>
        <v>0</v>
      </c>
      <c r="R1107" s="18" cm="1">
        <f t="array" ref="R1107">(IF(AND(Membros!$F$2="Sim",A1107&lt;=MAX(Membros!$E$2:$E$5)),Membros!K$2,IF(AND(A1107&gt;=Membros!J$2,A1107&lt;=MAX(Membros!$E$2:$E$5)),Membros!K$2,0))+IF(AND(Membros!$F$3="Sim",A1107&lt;=MAX(Membros!$E$2:$E$5)),Membros!K$3,IF(AND(A1107&gt;=Membros!J$3,A1107&lt;=MAX(Membros!$E$2:$E$5)),Membros!K$3,0)))*IF(AND(COUNTIFS(Tabela3[Tipo],"Provedor",Tabela3[Simulação Seguro],"Sim")=2,A1107&gt;=MAX(IF(Tabela3[Tipo]="Dependente",Tabela3[Expectativa de Vida (Data)]))),0,1)</f>
        <v>0</v>
      </c>
      <c r="S1107" s="18">
        <f t="shared" si="142"/>
        <v>0</v>
      </c>
      <c r="U1107" s="18">
        <f t="shared" ca="1" si="145"/>
        <v>175052440.90309957</v>
      </c>
      <c r="V1107" s="18">
        <f>SUMIF(Imóveis!E:E,Dados!A:A,Imóveis!Z:Z)-SUMIF(Imóveis!E:E,Dados!A:A,Imóveis!Y:Y)</f>
        <v>0</v>
      </c>
      <c r="W1107" s="18">
        <f>-SUMIF(Projetos!N:N,A1107,Projetos!F:F)</f>
        <v>0</v>
      </c>
      <c r="X1107" s="18">
        <f t="shared" si="139"/>
        <v>0</v>
      </c>
      <c r="Y1107" s="26">
        <f ca="1">(U1107*((Indicadores_Economicos!D$2+1)^(1/12)-1))</f>
        <v>573076.13975550153</v>
      </c>
      <c r="Z1107" s="18">
        <f t="shared" ca="1" si="143"/>
        <v>175625517.04285505</v>
      </c>
      <c r="AA1107" s="18">
        <f ca="1">Auxiliar_Projetos!E1107</f>
        <v>1.4477123590421211E-8</v>
      </c>
      <c r="AB1107" s="18">
        <f ca="1">Auxiliar_Projetos!K1107</f>
        <v>1.1136248915708619E-8</v>
      </c>
      <c r="AC1107" s="18">
        <f ca="1">IF(Z1107-AA1107-AB1107&gt;Investimentos!$C$14,Investimentos!$C$14,IF(Z1107-AA1107-AB1107&lt;Investimentos!$C$14,Z1107-AA1107-AB1107,0))</f>
        <v>300000</v>
      </c>
      <c r="AD1107" s="18">
        <f t="shared" ca="1" si="144"/>
        <v>175325517.04285505</v>
      </c>
      <c r="AE1107" s="18"/>
    </row>
    <row r="1108" spans="1:31" x14ac:dyDescent="0.2">
      <c r="A1108" s="4">
        <v>79319</v>
      </c>
      <c r="B1108" s="5" t="str">
        <f t="shared" si="140"/>
        <v>março</v>
      </c>
      <c r="C1108" s="5" t="str">
        <f t="shared" si="138"/>
        <v>2117</v>
      </c>
      <c r="D1108" s="5">
        <f>SUMIFS(Despesas!$F:$F,Despesas!$J:$J,"&lt;="&amp;$A1108,Despesas!$L:$L,"&gt;="&amp;$A1108,Despesas!$C:$C,D$1,Despesas!$M:$M,"Mensal")+SUMIFS(Despesas!$F:$F,Despesas!$J:$J,"&lt;="&amp;$A1108,Despesas!$L:$L,"&gt;="&amp;$A1108,Despesas!$C:$C,D$1,Despesas!$M:$M,$B1108)</f>
        <v>0</v>
      </c>
      <c r="E1108" s="18">
        <f>SUMIFS(Despesas!$F:$F,Despesas!$J:$J,"&lt;="&amp;$A1108,Despesas!$L:$L,"&gt;="&amp;$A1108,Despesas!$C:$C,E$1,Despesas!$M:$M,"Mensal")+SUMIFS(Despesas!$F:$F,Despesas!$J:$J,"&lt;="&amp;$A1108,Despesas!$L:$L,"&gt;="&amp;$A1108,Despesas!$C:$C,E$1,Despesas!$M:$M,$B1108)</f>
        <v>0</v>
      </c>
      <c r="F1108" s="5">
        <f>SUMIFS(Despesas!$F:$F,Despesas!$J:$J,"&lt;="&amp;$A1108,Despesas!$L:$L,"&gt;="&amp;$A1108,Despesas!$C:$C,F$1,Despesas!$M:$M,"Mensal")+SUMIFS(Despesas!$F:$F,Despesas!$J:$J,"&lt;="&amp;$A1108,Despesas!$L:$L,"&gt;="&amp;$A1108,Despesas!$C:$C,F$1,Despesas!$M:$M,$B1108)</f>
        <v>0</v>
      </c>
      <c r="G1108" s="5">
        <f>SUMIFS(Despesas!$F:$F,Despesas!$J:$J,"&lt;="&amp;$A1108,Despesas!$L:$L,"&gt;="&amp;$A1108,Despesas!$C:$C,G$1,Despesas!$M:$M,"Mensal")+SUMIFS(Despesas!$F:$F,Despesas!$J:$J,"&lt;="&amp;$A1108,Despesas!$L:$L,"&gt;="&amp;$A1108,Despesas!$C:$C,G$1,Despesas!$M:$M,$B1108)</f>
        <v>0</v>
      </c>
      <c r="H1108" s="18">
        <f>SUMIFS(Despesas!$F:$F,Despesas!$J:$J,"&lt;="&amp;$A1108,Despesas!$L:$L,"&gt;="&amp;$A1108,Despesas!$C:$C,H$1,Despesas!$M:$M,"Mensal")+SUMIFS(Despesas!$F:$F,Despesas!$J:$J,"&lt;="&amp;$A1108,Despesas!$L:$L,"&gt;="&amp;$A1108,Despesas!$C:$C,H$1,Despesas!$M:$M,$B1108)</f>
        <v>0</v>
      </c>
      <c r="I1108" s="18">
        <f>IF(Imóveis!$F$2="PRICE",IF(AND(Dados!$A1108&gt;=Imóveis!$Q$2,Dados!$A1108&lt;=Imóveis!$T$2),Imóveis!$U$2,0),IF((IF(AND(Dados!$A1108&gt;=Imóveis!$Q$2,Dados!$A1108&lt;=Imóveis!$T$2),Imóveis!$S$2-(DATEDIF(Imóveis!$Q$2,Dados!$A1108,"m")),0))=0,0,((Imóveis!$N$2/Imóveis!$S$2)+((Imóveis!$N$2-((Imóveis!$S$2-(IF(AND(Dados!$A1108&gt;=Imóveis!$Q$2,Dados!$A1108&lt;=Imóveis!$T$2),Imóveis!$S$2-(DATEDIF(Imóveis!$Q$2,Dados!$A1108,"m")),)))*(Imóveis!$N$2/Imóveis!$S$2)))*Imóveis!$P$2))))*IF(AND(Imóveis!$E$2&gt;0,Dados!$A1108&gt;Imóveis!$E$2),0,1)</f>
        <v>0</v>
      </c>
      <c r="J1108" s="18">
        <f>IF(Imóveis!$F$3="PRICE",IF(AND(Dados!$A1108&gt;=Imóveis!$Q$3,Dados!$A1108&lt;=Imóveis!$T$3),Imóveis!$U$3,0),IF((IF(AND(Dados!$A1108&gt;=Imóveis!$Q$3,Dados!$A1108&lt;=Imóveis!$T$3),Imóveis!$S$3-(DATEDIF(Imóveis!$Q$3,Dados!$A1108,"m")),0))=0,0,((Imóveis!$N$3/Imóveis!$S$3)+((Imóveis!$N$3-((Imóveis!$S$3-(IF(AND(Dados!$A1108&gt;=Imóveis!$Q$3,Dados!$A1108&lt;=Imóveis!$T$3),Imóveis!$S$3-(DATEDIF(Imóveis!$Q$3,Dados!$A1108,"m")),)))*(Imóveis!$N$3/Imóveis!$S$3)))*Imóveis!$P$3))))*IF(AND(Imóveis!$E$3&gt;0,Dados!$A1108&gt;Imóveis!$E$3),0,1)</f>
        <v>0</v>
      </c>
      <c r="K1108" s="18">
        <f>IF(Imóveis!$F$4="PRICE",IF(AND(Dados!$A1108&gt;=Imóveis!$Q$4,Dados!$A1108&lt;=Imóveis!$T$4),Imóveis!$U$4,0),IF((IF(AND(Dados!$A1108&gt;=Imóveis!$Q$4,Dados!$A1108&lt;=Imóveis!$T$4),Imóveis!$S$4-(DATEDIF(Imóveis!$Q$4,Dados!$A1108,"m")),0))=0,0,((Imóveis!$N$4/Imóveis!$S$4)+((Imóveis!$N$4-((Imóveis!$S$4-(IF(AND(Dados!$A1108&gt;=Imóveis!$Q$4,Dados!$A1108&lt;=Imóveis!$T$4),Imóveis!$S$4-(DATEDIF(Imóveis!$Q$4,Dados!$A1108,"m")),)))*(Imóveis!$N$4/Imóveis!$S$4)))*Imóveis!$P$4))))*IF(AND(Imóveis!$E$4&gt;0,Dados!$A1108&gt;Imóveis!$E$4),0,1)</f>
        <v>0</v>
      </c>
      <c r="L1108" s="18">
        <f>IF(Imóveis!$F$5="PRICE",IF(AND(Dados!$A1108&gt;=Imóveis!$Q$5,Dados!$A1108&lt;=Imóveis!$T$5),Imóveis!$U$5,0),IF((IF(AND(Dados!$A1108&gt;=Imóveis!$Q$5,Dados!$A1108&lt;=Imóveis!$T$5),Imóveis!$S$5-(DATEDIF(Imóveis!$Q$5,Dados!$A1108,"m")),0))=0,0,((Imóveis!$N$5/Imóveis!$S$5)+((Imóveis!$N$5-((Imóveis!$S$5-(IF(AND(Dados!$A1108 &gt;=Imóveis!$Q$5,Dados!$A1108&lt;=Imóveis!$T$5),Imóveis!$S$5-(DATEDIF(Imóveis!$Q$5,Dados!$A1108,"m")),)))*(Imóveis!$N$5/Imóveis!$S$5)))*Imóveis!$P$5))))*IF(AND(Imóveis!$E$5&gt;0,Dados!$A1108&gt;Imóveis!$E$5),0,1)*Imóveis!$I$5</f>
        <v>0</v>
      </c>
      <c r="M1108" s="18">
        <f>IF(Imóveis!$F$6="PRICE",IF(AND(Dados!$A1108&gt;=Imóveis!$Q$6,Dados!$A1108&lt;=Imóveis!$T$6),Imóveis!$U$6,0),IF((IF(AND(Dados!$A1108&gt;=Imóveis!$Q$6,Dados!$A1108&lt;=Imóveis!$T$6),Imóveis!$S$6-(DATEDIF(Imóveis!$Q$6,Dados!$A1108,"m")),0))=0,0,((Imóveis!$N$6/Imóveis!$S$6)+((Imóveis!$N$6-((Imóveis!$S$6-(IF(AND(Dados!$A1108&gt;=Imóveis!$Q$6,Dados!$A1108&lt;=Imóveis!$T$6),Imóveis!$S$6-(DATEDIF(Imóveis!$Q$6,Dados!$A1108,"m")),)))*(Imóveis!$N$6/Imóveis!$S$6)))*Imóveis!$P$6))))*IF(AND(Imóveis!$E$6&gt;0,Dados!$A1108&gt;Imóveis!$E$6),0,1)*Imóveis!$I$6</f>
        <v>0</v>
      </c>
      <c r="N1108" s="18">
        <f t="shared" si="141"/>
        <v>0</v>
      </c>
      <c r="O1108" s="18">
        <f>SUMIFS(Receitas!$F:$F,Receitas!$J:$J,"&lt;="&amp;$A1108,Receitas!$L:$L,"&gt;="&amp;$A1108,Receitas!$C:$C,O$1,Receitas!$M:$M,"Mensal")+SUMIFS(Receitas!$F:$F,Receitas!$J:$J,"&lt;="&amp;$A1108,Receitas!$L:$L,"&gt;="&amp;$A1108,Receitas!$C:$C,O$1,Receitas!$M:$M,$B1108)</f>
        <v>0</v>
      </c>
      <c r="P1108" s="18">
        <f>SUMIFS(Receitas!$F:$F,Receitas!$J:$J,"&lt;="&amp;$A1108,Receitas!$L:$L,"&gt;="&amp;$A1108,Receitas!$C:$C,P$1,Receitas!$M:$M,"Mensal")+SUMIFS(Receitas!$F:$F,Receitas!$J:$J,"&lt;="&amp;$A1108,Receitas!$L:$L,"&gt;="&amp;$A1108,Receitas!$C:$C,P$1,Receitas!$M:$M,$B1108)</f>
        <v>0</v>
      </c>
      <c r="Q1108" s="18">
        <f>SUMIFS(Receitas!$F:$F,Receitas!$J:$J,"&lt;="&amp;$A1108,Receitas!$L:$L,"&gt;="&amp;$A1108,Receitas!$C:$C,Q$1,Receitas!$M:$M,"Mensal")+SUMIFS(Receitas!$F:$F,Receitas!$J:$J,"&lt;="&amp;$A1108,Receitas!$L:$L,"&gt;="&amp;$A1108,Receitas!$C:$C,Q$1,Receitas!$M:$M,$B1108)</f>
        <v>0</v>
      </c>
      <c r="R1108" s="18" cm="1">
        <f t="array" ref="R1108">(IF(AND(Membros!$F$2="Sim",A1108&lt;=MAX(Membros!$E$2:$E$5)),Membros!K$2,IF(AND(A1108&gt;=Membros!J$2,A1108&lt;=MAX(Membros!$E$2:$E$5)),Membros!K$2,0))+IF(AND(Membros!$F$3="Sim",A1108&lt;=MAX(Membros!$E$2:$E$5)),Membros!K$3,IF(AND(A1108&gt;=Membros!J$3,A1108&lt;=MAX(Membros!$E$2:$E$5)),Membros!K$3,0)))*IF(AND(COUNTIFS(Tabela3[Tipo],"Provedor",Tabela3[Simulação Seguro],"Sim")=2,A1108&gt;=MAX(IF(Tabela3[Tipo]="Dependente",Tabela3[Expectativa de Vida (Data)]))),0,1)</f>
        <v>0</v>
      </c>
      <c r="S1108" s="18">
        <f t="shared" si="142"/>
        <v>0</v>
      </c>
      <c r="U1108" s="18">
        <f t="shared" ca="1" si="145"/>
        <v>175625517.04285505</v>
      </c>
      <c r="V1108" s="18">
        <f>SUMIF(Imóveis!E:E,Dados!A:A,Imóveis!Z:Z)-SUMIF(Imóveis!E:E,Dados!A:A,Imóveis!Y:Y)</f>
        <v>0</v>
      </c>
      <c r="W1108" s="18">
        <f>-SUMIF(Projetos!N:N,A1108,Projetos!F:F)</f>
        <v>0</v>
      </c>
      <c r="X1108" s="18">
        <f t="shared" si="139"/>
        <v>0</v>
      </c>
      <c r="Y1108" s="26">
        <f ca="1">(U1108*((Indicadores_Economicos!D$2+1)^(1/12)-1))</f>
        <v>574952.24191244808</v>
      </c>
      <c r="Z1108" s="18">
        <f t="shared" ca="1" si="143"/>
        <v>176200469.28476751</v>
      </c>
      <c r="AA1108" s="18">
        <f ca="1">Auxiliar_Projetos!E1108</f>
        <v>1.4524517925850984E-8</v>
      </c>
      <c r="AB1108" s="18">
        <f ca="1">Auxiliar_Projetos!K1108</f>
        <v>1.1172706096808444E-8</v>
      </c>
      <c r="AC1108" s="18">
        <f ca="1">IF(Z1108-AA1108-AB1108&gt;Investimentos!$C$14,Investimentos!$C$14,IF(Z1108-AA1108-AB1108&lt;Investimentos!$C$14,Z1108-AA1108-AB1108,0))</f>
        <v>300000</v>
      </c>
      <c r="AD1108" s="18">
        <f t="shared" ca="1" si="144"/>
        <v>175900469.28476751</v>
      </c>
      <c r="AE1108" s="18"/>
    </row>
    <row r="1109" spans="1:31" x14ac:dyDescent="0.2">
      <c r="A1109" s="4">
        <v>79350</v>
      </c>
      <c r="B1109" s="5" t="str">
        <f t="shared" si="140"/>
        <v>abril</v>
      </c>
      <c r="C1109" s="5" t="str">
        <f t="shared" si="138"/>
        <v>2117</v>
      </c>
      <c r="D1109" s="5">
        <f>SUMIFS(Despesas!$F:$F,Despesas!$J:$J,"&lt;="&amp;$A1109,Despesas!$L:$L,"&gt;="&amp;$A1109,Despesas!$C:$C,D$1,Despesas!$M:$M,"Mensal")+SUMIFS(Despesas!$F:$F,Despesas!$J:$J,"&lt;="&amp;$A1109,Despesas!$L:$L,"&gt;="&amp;$A1109,Despesas!$C:$C,D$1,Despesas!$M:$M,$B1109)</f>
        <v>0</v>
      </c>
      <c r="E1109" s="18">
        <f>SUMIFS(Despesas!$F:$F,Despesas!$J:$J,"&lt;="&amp;$A1109,Despesas!$L:$L,"&gt;="&amp;$A1109,Despesas!$C:$C,E$1,Despesas!$M:$M,"Mensal")+SUMIFS(Despesas!$F:$F,Despesas!$J:$J,"&lt;="&amp;$A1109,Despesas!$L:$L,"&gt;="&amp;$A1109,Despesas!$C:$C,E$1,Despesas!$M:$M,$B1109)</f>
        <v>0</v>
      </c>
      <c r="F1109" s="5">
        <f>SUMIFS(Despesas!$F:$F,Despesas!$J:$J,"&lt;="&amp;$A1109,Despesas!$L:$L,"&gt;="&amp;$A1109,Despesas!$C:$C,F$1,Despesas!$M:$M,"Mensal")+SUMIFS(Despesas!$F:$F,Despesas!$J:$J,"&lt;="&amp;$A1109,Despesas!$L:$L,"&gt;="&amp;$A1109,Despesas!$C:$C,F$1,Despesas!$M:$M,$B1109)</f>
        <v>0</v>
      </c>
      <c r="G1109" s="5">
        <f>SUMIFS(Despesas!$F:$F,Despesas!$J:$J,"&lt;="&amp;$A1109,Despesas!$L:$L,"&gt;="&amp;$A1109,Despesas!$C:$C,G$1,Despesas!$M:$M,"Mensal")+SUMIFS(Despesas!$F:$F,Despesas!$J:$J,"&lt;="&amp;$A1109,Despesas!$L:$L,"&gt;="&amp;$A1109,Despesas!$C:$C,G$1,Despesas!$M:$M,$B1109)</f>
        <v>0</v>
      </c>
      <c r="H1109" s="18">
        <f>SUMIFS(Despesas!$F:$F,Despesas!$J:$J,"&lt;="&amp;$A1109,Despesas!$L:$L,"&gt;="&amp;$A1109,Despesas!$C:$C,H$1,Despesas!$M:$M,"Mensal")+SUMIFS(Despesas!$F:$F,Despesas!$J:$J,"&lt;="&amp;$A1109,Despesas!$L:$L,"&gt;="&amp;$A1109,Despesas!$C:$C,H$1,Despesas!$M:$M,$B1109)</f>
        <v>0</v>
      </c>
      <c r="I1109" s="18">
        <f>IF(Imóveis!$F$2="PRICE",IF(AND(Dados!$A1109&gt;=Imóveis!$Q$2,Dados!$A1109&lt;=Imóveis!$T$2),Imóveis!$U$2,0),IF((IF(AND(Dados!$A1109&gt;=Imóveis!$Q$2,Dados!$A1109&lt;=Imóveis!$T$2),Imóveis!$S$2-(DATEDIF(Imóveis!$Q$2,Dados!$A1109,"m")),0))=0,0,((Imóveis!$N$2/Imóveis!$S$2)+((Imóveis!$N$2-((Imóveis!$S$2-(IF(AND(Dados!$A1109&gt;=Imóveis!$Q$2,Dados!$A1109&lt;=Imóveis!$T$2),Imóveis!$S$2-(DATEDIF(Imóveis!$Q$2,Dados!$A1109,"m")),)))*(Imóveis!$N$2/Imóveis!$S$2)))*Imóveis!$P$2))))*IF(AND(Imóveis!$E$2&gt;0,Dados!$A1109&gt;Imóveis!$E$2),0,1)</f>
        <v>0</v>
      </c>
      <c r="J1109" s="18">
        <f>IF(Imóveis!$F$3="PRICE",IF(AND(Dados!$A1109&gt;=Imóveis!$Q$3,Dados!$A1109&lt;=Imóveis!$T$3),Imóveis!$U$3,0),IF((IF(AND(Dados!$A1109&gt;=Imóveis!$Q$3,Dados!$A1109&lt;=Imóveis!$T$3),Imóveis!$S$3-(DATEDIF(Imóveis!$Q$3,Dados!$A1109,"m")),0))=0,0,((Imóveis!$N$3/Imóveis!$S$3)+((Imóveis!$N$3-((Imóveis!$S$3-(IF(AND(Dados!$A1109&gt;=Imóveis!$Q$3,Dados!$A1109&lt;=Imóveis!$T$3),Imóveis!$S$3-(DATEDIF(Imóveis!$Q$3,Dados!$A1109,"m")),)))*(Imóveis!$N$3/Imóveis!$S$3)))*Imóveis!$P$3))))*IF(AND(Imóveis!$E$3&gt;0,Dados!$A1109&gt;Imóveis!$E$3),0,1)</f>
        <v>0</v>
      </c>
      <c r="K1109" s="18">
        <f>IF(Imóveis!$F$4="PRICE",IF(AND(Dados!$A1109&gt;=Imóveis!$Q$4,Dados!$A1109&lt;=Imóveis!$T$4),Imóveis!$U$4,0),IF((IF(AND(Dados!$A1109&gt;=Imóveis!$Q$4,Dados!$A1109&lt;=Imóveis!$T$4),Imóveis!$S$4-(DATEDIF(Imóveis!$Q$4,Dados!$A1109,"m")),0))=0,0,((Imóveis!$N$4/Imóveis!$S$4)+((Imóveis!$N$4-((Imóveis!$S$4-(IF(AND(Dados!$A1109&gt;=Imóveis!$Q$4,Dados!$A1109&lt;=Imóveis!$T$4),Imóveis!$S$4-(DATEDIF(Imóveis!$Q$4,Dados!$A1109,"m")),)))*(Imóveis!$N$4/Imóveis!$S$4)))*Imóveis!$P$4))))*IF(AND(Imóveis!$E$4&gt;0,Dados!$A1109&gt;Imóveis!$E$4),0,1)</f>
        <v>0</v>
      </c>
      <c r="L1109" s="18">
        <f>IF(Imóveis!$F$5="PRICE",IF(AND(Dados!$A1109&gt;=Imóveis!$Q$5,Dados!$A1109&lt;=Imóveis!$T$5),Imóveis!$U$5,0),IF((IF(AND(Dados!$A1109&gt;=Imóveis!$Q$5,Dados!$A1109&lt;=Imóveis!$T$5),Imóveis!$S$5-(DATEDIF(Imóveis!$Q$5,Dados!$A1109,"m")),0))=0,0,((Imóveis!$N$5/Imóveis!$S$5)+((Imóveis!$N$5-((Imóveis!$S$5-(IF(AND(Dados!$A1109 &gt;=Imóveis!$Q$5,Dados!$A1109&lt;=Imóveis!$T$5),Imóveis!$S$5-(DATEDIF(Imóveis!$Q$5,Dados!$A1109,"m")),)))*(Imóveis!$N$5/Imóveis!$S$5)))*Imóveis!$P$5))))*IF(AND(Imóveis!$E$5&gt;0,Dados!$A1109&gt;Imóveis!$E$5),0,1)*Imóveis!$I$5</f>
        <v>0</v>
      </c>
      <c r="M1109" s="18">
        <f>IF(Imóveis!$F$6="PRICE",IF(AND(Dados!$A1109&gt;=Imóveis!$Q$6,Dados!$A1109&lt;=Imóveis!$T$6),Imóveis!$U$6,0),IF((IF(AND(Dados!$A1109&gt;=Imóveis!$Q$6,Dados!$A1109&lt;=Imóveis!$T$6),Imóveis!$S$6-(DATEDIF(Imóveis!$Q$6,Dados!$A1109,"m")),0))=0,0,((Imóveis!$N$6/Imóveis!$S$6)+((Imóveis!$N$6-((Imóveis!$S$6-(IF(AND(Dados!$A1109&gt;=Imóveis!$Q$6,Dados!$A1109&lt;=Imóveis!$T$6),Imóveis!$S$6-(DATEDIF(Imóveis!$Q$6,Dados!$A1109,"m")),)))*(Imóveis!$N$6/Imóveis!$S$6)))*Imóveis!$P$6))))*IF(AND(Imóveis!$E$6&gt;0,Dados!$A1109&gt;Imóveis!$E$6),0,1)*Imóveis!$I$6</f>
        <v>0</v>
      </c>
      <c r="N1109" s="18">
        <f t="shared" si="141"/>
        <v>0</v>
      </c>
      <c r="O1109" s="18">
        <f>SUMIFS(Receitas!$F:$F,Receitas!$J:$J,"&lt;="&amp;$A1109,Receitas!$L:$L,"&gt;="&amp;$A1109,Receitas!$C:$C,O$1,Receitas!$M:$M,"Mensal")+SUMIFS(Receitas!$F:$F,Receitas!$J:$J,"&lt;="&amp;$A1109,Receitas!$L:$L,"&gt;="&amp;$A1109,Receitas!$C:$C,O$1,Receitas!$M:$M,$B1109)</f>
        <v>0</v>
      </c>
      <c r="P1109" s="18">
        <f>SUMIFS(Receitas!$F:$F,Receitas!$J:$J,"&lt;="&amp;$A1109,Receitas!$L:$L,"&gt;="&amp;$A1109,Receitas!$C:$C,P$1,Receitas!$M:$M,"Mensal")+SUMIFS(Receitas!$F:$F,Receitas!$J:$J,"&lt;="&amp;$A1109,Receitas!$L:$L,"&gt;="&amp;$A1109,Receitas!$C:$C,P$1,Receitas!$M:$M,$B1109)</f>
        <v>0</v>
      </c>
      <c r="Q1109" s="18">
        <f>SUMIFS(Receitas!$F:$F,Receitas!$J:$J,"&lt;="&amp;$A1109,Receitas!$L:$L,"&gt;="&amp;$A1109,Receitas!$C:$C,Q$1,Receitas!$M:$M,"Mensal")+SUMIFS(Receitas!$F:$F,Receitas!$J:$J,"&lt;="&amp;$A1109,Receitas!$L:$L,"&gt;="&amp;$A1109,Receitas!$C:$C,Q$1,Receitas!$M:$M,$B1109)</f>
        <v>0</v>
      </c>
      <c r="R1109" s="18" cm="1">
        <f t="array" ref="R1109">(IF(AND(Membros!$F$2="Sim",A1109&lt;=MAX(Membros!$E$2:$E$5)),Membros!K$2,IF(AND(A1109&gt;=Membros!J$2,A1109&lt;=MAX(Membros!$E$2:$E$5)),Membros!K$2,0))+IF(AND(Membros!$F$3="Sim",A1109&lt;=MAX(Membros!$E$2:$E$5)),Membros!K$3,IF(AND(A1109&gt;=Membros!J$3,A1109&lt;=MAX(Membros!$E$2:$E$5)),Membros!K$3,0)))*IF(AND(COUNTIFS(Tabela3[Tipo],"Provedor",Tabela3[Simulação Seguro],"Sim")=2,A1109&gt;=MAX(IF(Tabela3[Tipo]="Dependente",Tabela3[Expectativa de Vida (Data)]))),0,1)</f>
        <v>0</v>
      </c>
      <c r="S1109" s="18">
        <f t="shared" si="142"/>
        <v>0</v>
      </c>
      <c r="U1109" s="18">
        <f t="shared" ca="1" si="145"/>
        <v>176200469.28476751</v>
      </c>
      <c r="V1109" s="18">
        <f>SUMIF(Imóveis!E:E,Dados!A:A,Imóveis!Z:Z)-SUMIF(Imóveis!E:E,Dados!A:A,Imóveis!Y:Y)</f>
        <v>0</v>
      </c>
      <c r="W1109" s="18">
        <f>-SUMIF(Projetos!N:N,A1109,Projetos!F:F)</f>
        <v>0</v>
      </c>
      <c r="X1109" s="18">
        <f t="shared" si="139"/>
        <v>0</v>
      </c>
      <c r="Y1109" s="26">
        <f ca="1">(U1109*((Indicadores_Economicos!D$2+1)^(1/12)-1))</f>
        <v>576834.48593966127</v>
      </c>
      <c r="Z1109" s="18">
        <f t="shared" ca="1" si="143"/>
        <v>176777303.77070716</v>
      </c>
      <c r="AA1109" s="18">
        <f ca="1">Auxiliar_Projetos!E1109</f>
        <v>1.4572067418002103E-8</v>
      </c>
      <c r="AB1109" s="18">
        <f ca="1">Auxiliar_Projetos!K1109</f>
        <v>1.1209282629232381E-8</v>
      </c>
      <c r="AC1109" s="18">
        <f ca="1">IF(Z1109-AA1109-AB1109&gt;Investimentos!$C$14,Investimentos!$C$14,IF(Z1109-AA1109-AB1109&lt;Investimentos!$C$14,Z1109-AA1109-AB1109,0))</f>
        <v>300000</v>
      </c>
      <c r="AD1109" s="18">
        <f t="shared" ca="1" si="144"/>
        <v>176477303.77070716</v>
      </c>
      <c r="AE1109" s="18"/>
    </row>
    <row r="1110" spans="1:31" x14ac:dyDescent="0.2">
      <c r="A1110" s="4">
        <v>79380</v>
      </c>
      <c r="B1110" s="5" t="str">
        <f t="shared" si="140"/>
        <v>maio</v>
      </c>
      <c r="C1110" s="5" t="str">
        <f t="shared" si="138"/>
        <v>2117</v>
      </c>
      <c r="D1110" s="5">
        <f>SUMIFS(Despesas!$F:$F,Despesas!$J:$J,"&lt;="&amp;$A1110,Despesas!$L:$L,"&gt;="&amp;$A1110,Despesas!$C:$C,D$1,Despesas!$M:$M,"Mensal")+SUMIFS(Despesas!$F:$F,Despesas!$J:$J,"&lt;="&amp;$A1110,Despesas!$L:$L,"&gt;="&amp;$A1110,Despesas!$C:$C,D$1,Despesas!$M:$M,$B1110)</f>
        <v>0</v>
      </c>
      <c r="E1110" s="18">
        <f>SUMIFS(Despesas!$F:$F,Despesas!$J:$J,"&lt;="&amp;$A1110,Despesas!$L:$L,"&gt;="&amp;$A1110,Despesas!$C:$C,E$1,Despesas!$M:$M,"Mensal")+SUMIFS(Despesas!$F:$F,Despesas!$J:$J,"&lt;="&amp;$A1110,Despesas!$L:$L,"&gt;="&amp;$A1110,Despesas!$C:$C,E$1,Despesas!$M:$M,$B1110)</f>
        <v>0</v>
      </c>
      <c r="F1110" s="5">
        <f>SUMIFS(Despesas!$F:$F,Despesas!$J:$J,"&lt;="&amp;$A1110,Despesas!$L:$L,"&gt;="&amp;$A1110,Despesas!$C:$C,F$1,Despesas!$M:$M,"Mensal")+SUMIFS(Despesas!$F:$F,Despesas!$J:$J,"&lt;="&amp;$A1110,Despesas!$L:$L,"&gt;="&amp;$A1110,Despesas!$C:$C,F$1,Despesas!$M:$M,$B1110)</f>
        <v>0</v>
      </c>
      <c r="G1110" s="5">
        <f>SUMIFS(Despesas!$F:$F,Despesas!$J:$J,"&lt;="&amp;$A1110,Despesas!$L:$L,"&gt;="&amp;$A1110,Despesas!$C:$C,G$1,Despesas!$M:$M,"Mensal")+SUMIFS(Despesas!$F:$F,Despesas!$J:$J,"&lt;="&amp;$A1110,Despesas!$L:$L,"&gt;="&amp;$A1110,Despesas!$C:$C,G$1,Despesas!$M:$M,$B1110)</f>
        <v>0</v>
      </c>
      <c r="H1110" s="18">
        <f>SUMIFS(Despesas!$F:$F,Despesas!$J:$J,"&lt;="&amp;$A1110,Despesas!$L:$L,"&gt;="&amp;$A1110,Despesas!$C:$C,H$1,Despesas!$M:$M,"Mensal")+SUMIFS(Despesas!$F:$F,Despesas!$J:$J,"&lt;="&amp;$A1110,Despesas!$L:$L,"&gt;="&amp;$A1110,Despesas!$C:$C,H$1,Despesas!$M:$M,$B1110)</f>
        <v>0</v>
      </c>
      <c r="I1110" s="18">
        <f>IF(Imóveis!$F$2="PRICE",IF(AND(Dados!$A1110&gt;=Imóveis!$Q$2,Dados!$A1110&lt;=Imóveis!$T$2),Imóveis!$U$2,0),IF((IF(AND(Dados!$A1110&gt;=Imóveis!$Q$2,Dados!$A1110&lt;=Imóveis!$T$2),Imóveis!$S$2-(DATEDIF(Imóveis!$Q$2,Dados!$A1110,"m")),0))=0,0,((Imóveis!$N$2/Imóveis!$S$2)+((Imóveis!$N$2-((Imóveis!$S$2-(IF(AND(Dados!$A1110&gt;=Imóveis!$Q$2,Dados!$A1110&lt;=Imóveis!$T$2),Imóveis!$S$2-(DATEDIF(Imóveis!$Q$2,Dados!$A1110,"m")),)))*(Imóveis!$N$2/Imóveis!$S$2)))*Imóveis!$P$2))))*IF(AND(Imóveis!$E$2&gt;0,Dados!$A1110&gt;Imóveis!$E$2),0,1)</f>
        <v>0</v>
      </c>
      <c r="J1110" s="18">
        <f>IF(Imóveis!$F$3="PRICE",IF(AND(Dados!$A1110&gt;=Imóveis!$Q$3,Dados!$A1110&lt;=Imóveis!$T$3),Imóveis!$U$3,0),IF((IF(AND(Dados!$A1110&gt;=Imóveis!$Q$3,Dados!$A1110&lt;=Imóveis!$T$3),Imóveis!$S$3-(DATEDIF(Imóveis!$Q$3,Dados!$A1110,"m")),0))=0,0,((Imóveis!$N$3/Imóveis!$S$3)+((Imóveis!$N$3-((Imóveis!$S$3-(IF(AND(Dados!$A1110&gt;=Imóveis!$Q$3,Dados!$A1110&lt;=Imóveis!$T$3),Imóveis!$S$3-(DATEDIF(Imóveis!$Q$3,Dados!$A1110,"m")),)))*(Imóveis!$N$3/Imóveis!$S$3)))*Imóveis!$P$3))))*IF(AND(Imóveis!$E$3&gt;0,Dados!$A1110&gt;Imóveis!$E$3),0,1)</f>
        <v>0</v>
      </c>
      <c r="K1110" s="18">
        <f>IF(Imóveis!$F$4="PRICE",IF(AND(Dados!$A1110&gt;=Imóveis!$Q$4,Dados!$A1110&lt;=Imóveis!$T$4),Imóveis!$U$4,0),IF((IF(AND(Dados!$A1110&gt;=Imóveis!$Q$4,Dados!$A1110&lt;=Imóveis!$T$4),Imóveis!$S$4-(DATEDIF(Imóveis!$Q$4,Dados!$A1110,"m")),0))=0,0,((Imóveis!$N$4/Imóveis!$S$4)+((Imóveis!$N$4-((Imóveis!$S$4-(IF(AND(Dados!$A1110&gt;=Imóveis!$Q$4,Dados!$A1110&lt;=Imóveis!$T$4),Imóveis!$S$4-(DATEDIF(Imóveis!$Q$4,Dados!$A1110,"m")),)))*(Imóveis!$N$4/Imóveis!$S$4)))*Imóveis!$P$4))))*IF(AND(Imóveis!$E$4&gt;0,Dados!$A1110&gt;Imóveis!$E$4),0,1)</f>
        <v>0</v>
      </c>
      <c r="L1110" s="18">
        <f>IF(Imóveis!$F$5="PRICE",IF(AND(Dados!$A1110&gt;=Imóveis!$Q$5,Dados!$A1110&lt;=Imóveis!$T$5),Imóveis!$U$5,0),IF((IF(AND(Dados!$A1110&gt;=Imóveis!$Q$5,Dados!$A1110&lt;=Imóveis!$T$5),Imóveis!$S$5-(DATEDIF(Imóveis!$Q$5,Dados!$A1110,"m")),0))=0,0,((Imóveis!$N$5/Imóveis!$S$5)+((Imóveis!$N$5-((Imóveis!$S$5-(IF(AND(Dados!$A1110 &gt;=Imóveis!$Q$5,Dados!$A1110&lt;=Imóveis!$T$5),Imóveis!$S$5-(DATEDIF(Imóveis!$Q$5,Dados!$A1110,"m")),)))*(Imóveis!$N$5/Imóveis!$S$5)))*Imóveis!$P$5))))*IF(AND(Imóveis!$E$5&gt;0,Dados!$A1110&gt;Imóveis!$E$5),0,1)*Imóveis!$I$5</f>
        <v>0</v>
      </c>
      <c r="M1110" s="18">
        <f>IF(Imóveis!$F$6="PRICE",IF(AND(Dados!$A1110&gt;=Imóveis!$Q$6,Dados!$A1110&lt;=Imóveis!$T$6),Imóveis!$U$6,0),IF((IF(AND(Dados!$A1110&gt;=Imóveis!$Q$6,Dados!$A1110&lt;=Imóveis!$T$6),Imóveis!$S$6-(DATEDIF(Imóveis!$Q$6,Dados!$A1110,"m")),0))=0,0,((Imóveis!$N$6/Imóveis!$S$6)+((Imóveis!$N$6-((Imóveis!$S$6-(IF(AND(Dados!$A1110&gt;=Imóveis!$Q$6,Dados!$A1110&lt;=Imóveis!$T$6),Imóveis!$S$6-(DATEDIF(Imóveis!$Q$6,Dados!$A1110,"m")),)))*(Imóveis!$N$6/Imóveis!$S$6)))*Imóveis!$P$6))))*IF(AND(Imóveis!$E$6&gt;0,Dados!$A1110&gt;Imóveis!$E$6),0,1)*Imóveis!$I$6</f>
        <v>0</v>
      </c>
      <c r="N1110" s="18">
        <f t="shared" si="141"/>
        <v>0</v>
      </c>
      <c r="O1110" s="18">
        <f>SUMIFS(Receitas!$F:$F,Receitas!$J:$J,"&lt;="&amp;$A1110,Receitas!$L:$L,"&gt;="&amp;$A1110,Receitas!$C:$C,O$1,Receitas!$M:$M,"Mensal")+SUMIFS(Receitas!$F:$F,Receitas!$J:$J,"&lt;="&amp;$A1110,Receitas!$L:$L,"&gt;="&amp;$A1110,Receitas!$C:$C,O$1,Receitas!$M:$M,$B1110)</f>
        <v>0</v>
      </c>
      <c r="P1110" s="18">
        <f>SUMIFS(Receitas!$F:$F,Receitas!$J:$J,"&lt;="&amp;$A1110,Receitas!$L:$L,"&gt;="&amp;$A1110,Receitas!$C:$C,P$1,Receitas!$M:$M,"Mensal")+SUMIFS(Receitas!$F:$F,Receitas!$J:$J,"&lt;="&amp;$A1110,Receitas!$L:$L,"&gt;="&amp;$A1110,Receitas!$C:$C,P$1,Receitas!$M:$M,$B1110)</f>
        <v>0</v>
      </c>
      <c r="Q1110" s="18">
        <f>SUMIFS(Receitas!$F:$F,Receitas!$J:$J,"&lt;="&amp;$A1110,Receitas!$L:$L,"&gt;="&amp;$A1110,Receitas!$C:$C,Q$1,Receitas!$M:$M,"Mensal")+SUMIFS(Receitas!$F:$F,Receitas!$J:$J,"&lt;="&amp;$A1110,Receitas!$L:$L,"&gt;="&amp;$A1110,Receitas!$C:$C,Q$1,Receitas!$M:$M,$B1110)</f>
        <v>0</v>
      </c>
      <c r="R1110" s="18" cm="1">
        <f t="array" ref="R1110">(IF(AND(Membros!$F$2="Sim",A1110&lt;=MAX(Membros!$E$2:$E$5)),Membros!K$2,IF(AND(A1110&gt;=Membros!J$2,A1110&lt;=MAX(Membros!$E$2:$E$5)),Membros!K$2,0))+IF(AND(Membros!$F$3="Sim",A1110&lt;=MAX(Membros!$E$2:$E$5)),Membros!K$3,IF(AND(A1110&gt;=Membros!J$3,A1110&lt;=MAX(Membros!$E$2:$E$5)),Membros!K$3,0)))*IF(AND(COUNTIFS(Tabela3[Tipo],"Provedor",Tabela3[Simulação Seguro],"Sim")=2,A1110&gt;=MAX(IF(Tabela3[Tipo]="Dependente",Tabela3[Expectativa de Vida (Data)]))),0,1)</f>
        <v>0</v>
      </c>
      <c r="S1110" s="18">
        <f t="shared" si="142"/>
        <v>0</v>
      </c>
      <c r="U1110" s="18">
        <f t="shared" ca="1" si="145"/>
        <v>176777303.77070716</v>
      </c>
      <c r="V1110" s="18">
        <f>SUMIF(Imóveis!E:E,Dados!A:A,Imóveis!Z:Z)-SUMIF(Imóveis!E:E,Dados!A:A,Imóveis!Y:Y)</f>
        <v>0</v>
      </c>
      <c r="W1110" s="18">
        <f>-SUMIF(Projetos!N:N,A1110,Projetos!F:F)</f>
        <v>0</v>
      </c>
      <c r="X1110" s="18">
        <f t="shared" si="139"/>
        <v>0</v>
      </c>
      <c r="Y1110" s="26">
        <f ca="1">(U1110*((Indicadores_Economicos!D$2+1)^(1/12)-1))</f>
        <v>578722.89194402623</v>
      </c>
      <c r="Z1110" s="18">
        <f t="shared" ca="1" si="143"/>
        <v>177356026.66265118</v>
      </c>
      <c r="AA1110" s="18">
        <f ca="1">Auxiliar_Projetos!E1110</f>
        <v>1.4619772574817302E-8</v>
      </c>
      <c r="AB1110" s="18">
        <f ca="1">Auxiliar_Projetos!K1110</f>
        <v>1.124597890370561E-8</v>
      </c>
      <c r="AC1110" s="18">
        <f ca="1">IF(Z1110-AA1110-AB1110&gt;Investimentos!$C$14,Investimentos!$C$14,IF(Z1110-AA1110-AB1110&lt;Investimentos!$C$14,Z1110-AA1110-AB1110,0))</f>
        <v>300000</v>
      </c>
      <c r="AD1110" s="18">
        <f t="shared" ca="1" si="144"/>
        <v>177056026.66265118</v>
      </c>
      <c r="AE1110" s="18"/>
    </row>
    <row r="1111" spans="1:31" x14ac:dyDescent="0.2">
      <c r="A1111" s="4">
        <v>79411</v>
      </c>
      <c r="B1111" s="5" t="str">
        <f t="shared" si="140"/>
        <v>junho</v>
      </c>
      <c r="C1111" s="5" t="str">
        <f t="shared" si="138"/>
        <v>2117</v>
      </c>
      <c r="D1111" s="5">
        <f>SUMIFS(Despesas!$F:$F,Despesas!$J:$J,"&lt;="&amp;$A1111,Despesas!$L:$L,"&gt;="&amp;$A1111,Despesas!$C:$C,D$1,Despesas!$M:$M,"Mensal")+SUMIFS(Despesas!$F:$F,Despesas!$J:$J,"&lt;="&amp;$A1111,Despesas!$L:$L,"&gt;="&amp;$A1111,Despesas!$C:$C,D$1,Despesas!$M:$M,$B1111)</f>
        <v>0</v>
      </c>
      <c r="E1111" s="18">
        <f>SUMIFS(Despesas!$F:$F,Despesas!$J:$J,"&lt;="&amp;$A1111,Despesas!$L:$L,"&gt;="&amp;$A1111,Despesas!$C:$C,E$1,Despesas!$M:$M,"Mensal")+SUMIFS(Despesas!$F:$F,Despesas!$J:$J,"&lt;="&amp;$A1111,Despesas!$L:$L,"&gt;="&amp;$A1111,Despesas!$C:$C,E$1,Despesas!$M:$M,$B1111)</f>
        <v>0</v>
      </c>
      <c r="F1111" s="5">
        <f>SUMIFS(Despesas!$F:$F,Despesas!$J:$J,"&lt;="&amp;$A1111,Despesas!$L:$L,"&gt;="&amp;$A1111,Despesas!$C:$C,F$1,Despesas!$M:$M,"Mensal")+SUMIFS(Despesas!$F:$F,Despesas!$J:$J,"&lt;="&amp;$A1111,Despesas!$L:$L,"&gt;="&amp;$A1111,Despesas!$C:$C,F$1,Despesas!$M:$M,$B1111)</f>
        <v>0</v>
      </c>
      <c r="G1111" s="5">
        <f>SUMIFS(Despesas!$F:$F,Despesas!$J:$J,"&lt;="&amp;$A1111,Despesas!$L:$L,"&gt;="&amp;$A1111,Despesas!$C:$C,G$1,Despesas!$M:$M,"Mensal")+SUMIFS(Despesas!$F:$F,Despesas!$J:$J,"&lt;="&amp;$A1111,Despesas!$L:$L,"&gt;="&amp;$A1111,Despesas!$C:$C,G$1,Despesas!$M:$M,$B1111)</f>
        <v>0</v>
      </c>
      <c r="H1111" s="18">
        <f>SUMIFS(Despesas!$F:$F,Despesas!$J:$J,"&lt;="&amp;$A1111,Despesas!$L:$L,"&gt;="&amp;$A1111,Despesas!$C:$C,H$1,Despesas!$M:$M,"Mensal")+SUMIFS(Despesas!$F:$F,Despesas!$J:$J,"&lt;="&amp;$A1111,Despesas!$L:$L,"&gt;="&amp;$A1111,Despesas!$C:$C,H$1,Despesas!$M:$M,$B1111)</f>
        <v>0</v>
      </c>
      <c r="I1111" s="18">
        <f>IF(Imóveis!$F$2="PRICE",IF(AND(Dados!$A1111&gt;=Imóveis!$Q$2,Dados!$A1111&lt;=Imóveis!$T$2),Imóveis!$U$2,0),IF((IF(AND(Dados!$A1111&gt;=Imóveis!$Q$2,Dados!$A1111&lt;=Imóveis!$T$2),Imóveis!$S$2-(DATEDIF(Imóveis!$Q$2,Dados!$A1111,"m")),0))=0,0,((Imóveis!$N$2/Imóveis!$S$2)+((Imóveis!$N$2-((Imóveis!$S$2-(IF(AND(Dados!$A1111&gt;=Imóveis!$Q$2,Dados!$A1111&lt;=Imóveis!$T$2),Imóveis!$S$2-(DATEDIF(Imóveis!$Q$2,Dados!$A1111,"m")),)))*(Imóveis!$N$2/Imóveis!$S$2)))*Imóveis!$P$2))))*IF(AND(Imóveis!$E$2&gt;0,Dados!$A1111&gt;Imóveis!$E$2),0,1)</f>
        <v>0</v>
      </c>
      <c r="J1111" s="18">
        <f>IF(Imóveis!$F$3="PRICE",IF(AND(Dados!$A1111&gt;=Imóveis!$Q$3,Dados!$A1111&lt;=Imóveis!$T$3),Imóveis!$U$3,0),IF((IF(AND(Dados!$A1111&gt;=Imóveis!$Q$3,Dados!$A1111&lt;=Imóveis!$T$3),Imóveis!$S$3-(DATEDIF(Imóveis!$Q$3,Dados!$A1111,"m")),0))=0,0,((Imóveis!$N$3/Imóveis!$S$3)+((Imóveis!$N$3-((Imóveis!$S$3-(IF(AND(Dados!$A1111&gt;=Imóveis!$Q$3,Dados!$A1111&lt;=Imóveis!$T$3),Imóveis!$S$3-(DATEDIF(Imóveis!$Q$3,Dados!$A1111,"m")),)))*(Imóveis!$N$3/Imóveis!$S$3)))*Imóveis!$P$3))))*IF(AND(Imóveis!$E$3&gt;0,Dados!$A1111&gt;Imóveis!$E$3),0,1)</f>
        <v>0</v>
      </c>
      <c r="K1111" s="18">
        <f>IF(Imóveis!$F$4="PRICE",IF(AND(Dados!$A1111&gt;=Imóveis!$Q$4,Dados!$A1111&lt;=Imóveis!$T$4),Imóveis!$U$4,0),IF((IF(AND(Dados!$A1111&gt;=Imóveis!$Q$4,Dados!$A1111&lt;=Imóveis!$T$4),Imóveis!$S$4-(DATEDIF(Imóveis!$Q$4,Dados!$A1111,"m")),0))=0,0,((Imóveis!$N$4/Imóveis!$S$4)+((Imóveis!$N$4-((Imóveis!$S$4-(IF(AND(Dados!$A1111&gt;=Imóveis!$Q$4,Dados!$A1111&lt;=Imóveis!$T$4),Imóveis!$S$4-(DATEDIF(Imóveis!$Q$4,Dados!$A1111,"m")),)))*(Imóveis!$N$4/Imóveis!$S$4)))*Imóveis!$P$4))))*IF(AND(Imóveis!$E$4&gt;0,Dados!$A1111&gt;Imóveis!$E$4),0,1)</f>
        <v>0</v>
      </c>
      <c r="L1111" s="18">
        <f>IF(Imóveis!$F$5="PRICE",IF(AND(Dados!$A1111&gt;=Imóveis!$Q$5,Dados!$A1111&lt;=Imóveis!$T$5),Imóveis!$U$5,0),IF((IF(AND(Dados!$A1111&gt;=Imóveis!$Q$5,Dados!$A1111&lt;=Imóveis!$T$5),Imóveis!$S$5-(DATEDIF(Imóveis!$Q$5,Dados!$A1111,"m")),0))=0,0,((Imóveis!$N$5/Imóveis!$S$5)+((Imóveis!$N$5-((Imóveis!$S$5-(IF(AND(Dados!$A1111 &gt;=Imóveis!$Q$5,Dados!$A1111&lt;=Imóveis!$T$5),Imóveis!$S$5-(DATEDIF(Imóveis!$Q$5,Dados!$A1111,"m")),)))*(Imóveis!$N$5/Imóveis!$S$5)))*Imóveis!$P$5))))*IF(AND(Imóveis!$E$5&gt;0,Dados!$A1111&gt;Imóveis!$E$5),0,1)*Imóveis!$I$5</f>
        <v>0</v>
      </c>
      <c r="M1111" s="18">
        <f>IF(Imóveis!$F$6="PRICE",IF(AND(Dados!$A1111&gt;=Imóveis!$Q$6,Dados!$A1111&lt;=Imóveis!$T$6),Imóveis!$U$6,0),IF((IF(AND(Dados!$A1111&gt;=Imóveis!$Q$6,Dados!$A1111&lt;=Imóveis!$T$6),Imóveis!$S$6-(DATEDIF(Imóveis!$Q$6,Dados!$A1111,"m")),0))=0,0,((Imóveis!$N$6/Imóveis!$S$6)+((Imóveis!$N$6-((Imóveis!$S$6-(IF(AND(Dados!$A1111&gt;=Imóveis!$Q$6,Dados!$A1111&lt;=Imóveis!$T$6),Imóveis!$S$6-(DATEDIF(Imóveis!$Q$6,Dados!$A1111,"m")),)))*(Imóveis!$N$6/Imóveis!$S$6)))*Imóveis!$P$6))))*IF(AND(Imóveis!$E$6&gt;0,Dados!$A1111&gt;Imóveis!$E$6),0,1)*Imóveis!$I$6</f>
        <v>0</v>
      </c>
      <c r="N1111" s="18">
        <f t="shared" si="141"/>
        <v>0</v>
      </c>
      <c r="O1111" s="18">
        <f>SUMIFS(Receitas!$F:$F,Receitas!$J:$J,"&lt;="&amp;$A1111,Receitas!$L:$L,"&gt;="&amp;$A1111,Receitas!$C:$C,O$1,Receitas!$M:$M,"Mensal")+SUMIFS(Receitas!$F:$F,Receitas!$J:$J,"&lt;="&amp;$A1111,Receitas!$L:$L,"&gt;="&amp;$A1111,Receitas!$C:$C,O$1,Receitas!$M:$M,$B1111)</f>
        <v>0</v>
      </c>
      <c r="P1111" s="18">
        <f>SUMIFS(Receitas!$F:$F,Receitas!$J:$J,"&lt;="&amp;$A1111,Receitas!$L:$L,"&gt;="&amp;$A1111,Receitas!$C:$C,P$1,Receitas!$M:$M,"Mensal")+SUMIFS(Receitas!$F:$F,Receitas!$J:$J,"&lt;="&amp;$A1111,Receitas!$L:$L,"&gt;="&amp;$A1111,Receitas!$C:$C,P$1,Receitas!$M:$M,$B1111)</f>
        <v>0</v>
      </c>
      <c r="Q1111" s="18">
        <f>SUMIFS(Receitas!$F:$F,Receitas!$J:$J,"&lt;="&amp;$A1111,Receitas!$L:$L,"&gt;="&amp;$A1111,Receitas!$C:$C,Q$1,Receitas!$M:$M,"Mensal")+SUMIFS(Receitas!$F:$F,Receitas!$J:$J,"&lt;="&amp;$A1111,Receitas!$L:$L,"&gt;="&amp;$A1111,Receitas!$C:$C,Q$1,Receitas!$M:$M,$B1111)</f>
        <v>0</v>
      </c>
      <c r="R1111" s="18" cm="1">
        <f t="array" ref="R1111">(IF(AND(Membros!$F$2="Sim",A1111&lt;=MAX(Membros!$E$2:$E$5)),Membros!K$2,IF(AND(A1111&gt;=Membros!J$2,A1111&lt;=MAX(Membros!$E$2:$E$5)),Membros!K$2,0))+IF(AND(Membros!$F$3="Sim",A1111&lt;=MAX(Membros!$E$2:$E$5)),Membros!K$3,IF(AND(A1111&gt;=Membros!J$3,A1111&lt;=MAX(Membros!$E$2:$E$5)),Membros!K$3,0)))*IF(AND(COUNTIFS(Tabela3[Tipo],"Provedor",Tabela3[Simulação Seguro],"Sim")=2,A1111&gt;=MAX(IF(Tabela3[Tipo]="Dependente",Tabela3[Expectativa de Vida (Data)]))),0,1)</f>
        <v>0</v>
      </c>
      <c r="S1111" s="18">
        <f t="shared" si="142"/>
        <v>0</v>
      </c>
      <c r="U1111" s="18">
        <f t="shared" ca="1" si="145"/>
        <v>177356026.66265118</v>
      </c>
      <c r="V1111" s="18">
        <f>SUMIF(Imóveis!E:E,Dados!A:A,Imóveis!Z:Z)-SUMIF(Imóveis!E:E,Dados!A:A,Imóveis!Y:Y)</f>
        <v>0</v>
      </c>
      <c r="W1111" s="18">
        <f>-SUMIF(Projetos!N:N,A1111,Projetos!F:F)</f>
        <v>0</v>
      </c>
      <c r="X1111" s="18">
        <f t="shared" si="139"/>
        <v>0</v>
      </c>
      <c r="Y1111" s="26">
        <f ca="1">(U1111*((Indicadores_Economicos!D$2+1)^(1/12)-1))</f>
        <v>580617.48009825253</v>
      </c>
      <c r="Z1111" s="18">
        <f t="shared" ca="1" si="143"/>
        <v>177936644.14274943</v>
      </c>
      <c r="AA1111" s="18">
        <f ca="1">Auxiliar_Projetos!E1111</f>
        <v>1.4667633905902182E-8</v>
      </c>
      <c r="AB1111" s="18">
        <f ca="1">Auxiliar_Projetos!K1111</f>
        <v>1.1282795312232441E-8</v>
      </c>
      <c r="AC1111" s="18">
        <f ca="1">IF(Z1111-AA1111-AB1111&gt;Investimentos!$C$14,Investimentos!$C$14,IF(Z1111-AA1111-AB1111&lt;Investimentos!$C$14,Z1111-AA1111-AB1111,0))</f>
        <v>300000</v>
      </c>
      <c r="AD1111" s="18">
        <f t="shared" ca="1" si="144"/>
        <v>177636644.14274943</v>
      </c>
      <c r="AE1111" s="18"/>
    </row>
    <row r="1112" spans="1:31" x14ac:dyDescent="0.2">
      <c r="A1112" s="4">
        <v>79441</v>
      </c>
      <c r="B1112" s="5" t="str">
        <f t="shared" si="140"/>
        <v>julho</v>
      </c>
      <c r="C1112" s="5" t="str">
        <f t="shared" ref="C1112:C1175" si="146">TEXT(A1112,"AAAA")</f>
        <v>2117</v>
      </c>
      <c r="D1112" s="5">
        <f>SUMIFS(Despesas!$F:$F,Despesas!$J:$J,"&lt;="&amp;$A1112,Despesas!$L:$L,"&gt;="&amp;$A1112,Despesas!$C:$C,D$1,Despesas!$M:$M,"Mensal")+SUMIFS(Despesas!$F:$F,Despesas!$J:$J,"&lt;="&amp;$A1112,Despesas!$L:$L,"&gt;="&amp;$A1112,Despesas!$C:$C,D$1,Despesas!$M:$M,$B1112)</f>
        <v>0</v>
      </c>
      <c r="E1112" s="18">
        <f>SUMIFS(Despesas!$F:$F,Despesas!$J:$J,"&lt;="&amp;$A1112,Despesas!$L:$L,"&gt;="&amp;$A1112,Despesas!$C:$C,E$1,Despesas!$M:$M,"Mensal")+SUMIFS(Despesas!$F:$F,Despesas!$J:$J,"&lt;="&amp;$A1112,Despesas!$L:$L,"&gt;="&amp;$A1112,Despesas!$C:$C,E$1,Despesas!$M:$M,$B1112)</f>
        <v>0</v>
      </c>
      <c r="F1112" s="5">
        <f>SUMIFS(Despesas!$F:$F,Despesas!$J:$J,"&lt;="&amp;$A1112,Despesas!$L:$L,"&gt;="&amp;$A1112,Despesas!$C:$C,F$1,Despesas!$M:$M,"Mensal")+SUMIFS(Despesas!$F:$F,Despesas!$J:$J,"&lt;="&amp;$A1112,Despesas!$L:$L,"&gt;="&amp;$A1112,Despesas!$C:$C,F$1,Despesas!$M:$M,$B1112)</f>
        <v>0</v>
      </c>
      <c r="G1112" s="5">
        <f>SUMIFS(Despesas!$F:$F,Despesas!$J:$J,"&lt;="&amp;$A1112,Despesas!$L:$L,"&gt;="&amp;$A1112,Despesas!$C:$C,G$1,Despesas!$M:$M,"Mensal")+SUMIFS(Despesas!$F:$F,Despesas!$J:$J,"&lt;="&amp;$A1112,Despesas!$L:$L,"&gt;="&amp;$A1112,Despesas!$C:$C,G$1,Despesas!$M:$M,$B1112)</f>
        <v>0</v>
      </c>
      <c r="H1112" s="18">
        <f>SUMIFS(Despesas!$F:$F,Despesas!$J:$J,"&lt;="&amp;$A1112,Despesas!$L:$L,"&gt;="&amp;$A1112,Despesas!$C:$C,H$1,Despesas!$M:$M,"Mensal")+SUMIFS(Despesas!$F:$F,Despesas!$J:$J,"&lt;="&amp;$A1112,Despesas!$L:$L,"&gt;="&amp;$A1112,Despesas!$C:$C,H$1,Despesas!$M:$M,$B1112)</f>
        <v>0</v>
      </c>
      <c r="I1112" s="18">
        <f>IF(Imóveis!$F$2="PRICE",IF(AND(Dados!$A1112&gt;=Imóveis!$Q$2,Dados!$A1112&lt;=Imóveis!$T$2),Imóveis!$U$2,0),IF((IF(AND(Dados!$A1112&gt;=Imóveis!$Q$2,Dados!$A1112&lt;=Imóveis!$T$2),Imóveis!$S$2-(DATEDIF(Imóveis!$Q$2,Dados!$A1112,"m")),0))=0,0,((Imóveis!$N$2/Imóveis!$S$2)+((Imóveis!$N$2-((Imóveis!$S$2-(IF(AND(Dados!$A1112&gt;=Imóveis!$Q$2,Dados!$A1112&lt;=Imóveis!$T$2),Imóveis!$S$2-(DATEDIF(Imóveis!$Q$2,Dados!$A1112,"m")),)))*(Imóveis!$N$2/Imóveis!$S$2)))*Imóveis!$P$2))))*IF(AND(Imóveis!$E$2&gt;0,Dados!$A1112&gt;Imóveis!$E$2),0,1)</f>
        <v>0</v>
      </c>
      <c r="J1112" s="18">
        <f>IF(Imóveis!$F$3="PRICE",IF(AND(Dados!$A1112&gt;=Imóveis!$Q$3,Dados!$A1112&lt;=Imóveis!$T$3),Imóveis!$U$3,0),IF((IF(AND(Dados!$A1112&gt;=Imóveis!$Q$3,Dados!$A1112&lt;=Imóveis!$T$3),Imóveis!$S$3-(DATEDIF(Imóveis!$Q$3,Dados!$A1112,"m")),0))=0,0,((Imóveis!$N$3/Imóveis!$S$3)+((Imóveis!$N$3-((Imóveis!$S$3-(IF(AND(Dados!$A1112&gt;=Imóveis!$Q$3,Dados!$A1112&lt;=Imóveis!$T$3),Imóveis!$S$3-(DATEDIF(Imóveis!$Q$3,Dados!$A1112,"m")),)))*(Imóveis!$N$3/Imóveis!$S$3)))*Imóveis!$P$3))))*IF(AND(Imóveis!$E$3&gt;0,Dados!$A1112&gt;Imóveis!$E$3),0,1)</f>
        <v>0</v>
      </c>
      <c r="K1112" s="18">
        <f>IF(Imóveis!$F$4="PRICE",IF(AND(Dados!$A1112&gt;=Imóveis!$Q$4,Dados!$A1112&lt;=Imóveis!$T$4),Imóveis!$U$4,0),IF((IF(AND(Dados!$A1112&gt;=Imóveis!$Q$4,Dados!$A1112&lt;=Imóveis!$T$4),Imóveis!$S$4-(DATEDIF(Imóveis!$Q$4,Dados!$A1112,"m")),0))=0,0,((Imóveis!$N$4/Imóveis!$S$4)+((Imóveis!$N$4-((Imóveis!$S$4-(IF(AND(Dados!$A1112&gt;=Imóveis!$Q$4,Dados!$A1112&lt;=Imóveis!$T$4),Imóveis!$S$4-(DATEDIF(Imóveis!$Q$4,Dados!$A1112,"m")),)))*(Imóveis!$N$4/Imóveis!$S$4)))*Imóveis!$P$4))))*IF(AND(Imóveis!$E$4&gt;0,Dados!$A1112&gt;Imóveis!$E$4),0,1)</f>
        <v>0</v>
      </c>
      <c r="L1112" s="18">
        <f>IF(Imóveis!$F$5="PRICE",IF(AND(Dados!$A1112&gt;=Imóveis!$Q$5,Dados!$A1112&lt;=Imóveis!$T$5),Imóveis!$U$5,0),IF((IF(AND(Dados!$A1112&gt;=Imóveis!$Q$5,Dados!$A1112&lt;=Imóveis!$T$5),Imóveis!$S$5-(DATEDIF(Imóveis!$Q$5,Dados!$A1112,"m")),0))=0,0,((Imóveis!$N$5/Imóveis!$S$5)+((Imóveis!$N$5-((Imóveis!$S$5-(IF(AND(Dados!$A1112 &gt;=Imóveis!$Q$5,Dados!$A1112&lt;=Imóveis!$T$5),Imóveis!$S$5-(DATEDIF(Imóveis!$Q$5,Dados!$A1112,"m")),)))*(Imóveis!$N$5/Imóveis!$S$5)))*Imóveis!$P$5))))*IF(AND(Imóveis!$E$5&gt;0,Dados!$A1112&gt;Imóveis!$E$5),0,1)*Imóveis!$I$5</f>
        <v>0</v>
      </c>
      <c r="M1112" s="18">
        <f>IF(Imóveis!$F$6="PRICE",IF(AND(Dados!$A1112&gt;=Imóveis!$Q$6,Dados!$A1112&lt;=Imóveis!$T$6),Imóveis!$U$6,0),IF((IF(AND(Dados!$A1112&gt;=Imóveis!$Q$6,Dados!$A1112&lt;=Imóveis!$T$6),Imóveis!$S$6-(DATEDIF(Imóveis!$Q$6,Dados!$A1112,"m")),0))=0,0,((Imóveis!$N$6/Imóveis!$S$6)+((Imóveis!$N$6-((Imóveis!$S$6-(IF(AND(Dados!$A1112&gt;=Imóveis!$Q$6,Dados!$A1112&lt;=Imóveis!$T$6),Imóveis!$S$6-(DATEDIF(Imóveis!$Q$6,Dados!$A1112,"m")),)))*(Imóveis!$N$6/Imóveis!$S$6)))*Imóveis!$P$6))))*IF(AND(Imóveis!$E$6&gt;0,Dados!$A1112&gt;Imóveis!$E$6),0,1)*Imóveis!$I$6</f>
        <v>0</v>
      </c>
      <c r="N1112" s="18">
        <f t="shared" si="141"/>
        <v>0</v>
      </c>
      <c r="O1112" s="18">
        <f>SUMIFS(Receitas!$F:$F,Receitas!$J:$J,"&lt;="&amp;$A1112,Receitas!$L:$L,"&gt;="&amp;$A1112,Receitas!$C:$C,O$1,Receitas!$M:$M,"Mensal")+SUMIFS(Receitas!$F:$F,Receitas!$J:$J,"&lt;="&amp;$A1112,Receitas!$L:$L,"&gt;="&amp;$A1112,Receitas!$C:$C,O$1,Receitas!$M:$M,$B1112)</f>
        <v>0</v>
      </c>
      <c r="P1112" s="18">
        <f>SUMIFS(Receitas!$F:$F,Receitas!$J:$J,"&lt;="&amp;$A1112,Receitas!$L:$L,"&gt;="&amp;$A1112,Receitas!$C:$C,P$1,Receitas!$M:$M,"Mensal")+SUMIFS(Receitas!$F:$F,Receitas!$J:$J,"&lt;="&amp;$A1112,Receitas!$L:$L,"&gt;="&amp;$A1112,Receitas!$C:$C,P$1,Receitas!$M:$M,$B1112)</f>
        <v>0</v>
      </c>
      <c r="Q1112" s="18">
        <f>SUMIFS(Receitas!$F:$F,Receitas!$J:$J,"&lt;="&amp;$A1112,Receitas!$L:$L,"&gt;="&amp;$A1112,Receitas!$C:$C,Q$1,Receitas!$M:$M,"Mensal")+SUMIFS(Receitas!$F:$F,Receitas!$J:$J,"&lt;="&amp;$A1112,Receitas!$L:$L,"&gt;="&amp;$A1112,Receitas!$C:$C,Q$1,Receitas!$M:$M,$B1112)</f>
        <v>0</v>
      </c>
      <c r="R1112" s="18" cm="1">
        <f t="array" ref="R1112">(IF(AND(Membros!$F$2="Sim",A1112&lt;=MAX(Membros!$E$2:$E$5)),Membros!K$2,IF(AND(A1112&gt;=Membros!J$2,A1112&lt;=MAX(Membros!$E$2:$E$5)),Membros!K$2,0))+IF(AND(Membros!$F$3="Sim",A1112&lt;=MAX(Membros!$E$2:$E$5)),Membros!K$3,IF(AND(A1112&gt;=Membros!J$3,A1112&lt;=MAX(Membros!$E$2:$E$5)),Membros!K$3,0)))*IF(AND(COUNTIFS(Tabela3[Tipo],"Provedor",Tabela3[Simulação Seguro],"Sim")=2,A1112&gt;=MAX(IF(Tabela3[Tipo]="Dependente",Tabela3[Expectativa de Vida (Data)]))),0,1)</f>
        <v>0</v>
      </c>
      <c r="S1112" s="18">
        <f t="shared" si="142"/>
        <v>0</v>
      </c>
      <c r="U1112" s="18">
        <f t="shared" ca="1" si="145"/>
        <v>177936644.14274943</v>
      </c>
      <c r="V1112" s="18">
        <f>SUMIF(Imóveis!E:E,Dados!A:A,Imóveis!Z:Z)-SUMIF(Imóveis!E:E,Dados!A:A,Imóveis!Y:Y)</f>
        <v>0</v>
      </c>
      <c r="W1112" s="18">
        <f>-SUMIF(Projetos!N:N,A1112,Projetos!F:F)</f>
        <v>0</v>
      </c>
      <c r="X1112" s="18">
        <f t="shared" si="139"/>
        <v>0</v>
      </c>
      <c r="Y1112" s="26">
        <f ca="1">(U1112*((Indicadores_Economicos!D$2+1)^(1/12)-1))</f>
        <v>582518.27064109023</v>
      </c>
      <c r="Z1112" s="18">
        <f t="shared" ca="1" si="143"/>
        <v>178519162.41339052</v>
      </c>
      <c r="AA1112" s="18">
        <f ca="1">Auxiliar_Projetos!E1112</f>
        <v>1.4715651922530664E-8</v>
      </c>
      <c r="AB1112" s="18">
        <f ca="1">Auxiliar_Projetos!K1112</f>
        <v>1.1319732248100503E-8</v>
      </c>
      <c r="AC1112" s="18">
        <f ca="1">IF(Z1112-AA1112-AB1112&gt;Investimentos!$C$14,Investimentos!$C$14,IF(Z1112-AA1112-AB1112&lt;Investimentos!$C$14,Z1112-AA1112-AB1112,0))</f>
        <v>300000</v>
      </c>
      <c r="AD1112" s="18">
        <f t="shared" ca="1" si="144"/>
        <v>178219162.41339052</v>
      </c>
      <c r="AE1112" s="18"/>
    </row>
    <row r="1113" spans="1:31" x14ac:dyDescent="0.2">
      <c r="A1113" s="4">
        <v>79472</v>
      </c>
      <c r="B1113" s="5" t="str">
        <f t="shared" si="140"/>
        <v>agosto</v>
      </c>
      <c r="C1113" s="5" t="str">
        <f t="shared" si="146"/>
        <v>2117</v>
      </c>
      <c r="D1113" s="5">
        <f>SUMIFS(Despesas!$F:$F,Despesas!$J:$J,"&lt;="&amp;$A1113,Despesas!$L:$L,"&gt;="&amp;$A1113,Despesas!$C:$C,D$1,Despesas!$M:$M,"Mensal")+SUMIFS(Despesas!$F:$F,Despesas!$J:$J,"&lt;="&amp;$A1113,Despesas!$L:$L,"&gt;="&amp;$A1113,Despesas!$C:$C,D$1,Despesas!$M:$M,$B1113)</f>
        <v>0</v>
      </c>
      <c r="E1113" s="18">
        <f>SUMIFS(Despesas!$F:$F,Despesas!$J:$J,"&lt;="&amp;$A1113,Despesas!$L:$L,"&gt;="&amp;$A1113,Despesas!$C:$C,E$1,Despesas!$M:$M,"Mensal")+SUMIFS(Despesas!$F:$F,Despesas!$J:$J,"&lt;="&amp;$A1113,Despesas!$L:$L,"&gt;="&amp;$A1113,Despesas!$C:$C,E$1,Despesas!$M:$M,$B1113)</f>
        <v>0</v>
      </c>
      <c r="F1113" s="5">
        <f>SUMIFS(Despesas!$F:$F,Despesas!$J:$J,"&lt;="&amp;$A1113,Despesas!$L:$L,"&gt;="&amp;$A1113,Despesas!$C:$C,F$1,Despesas!$M:$M,"Mensal")+SUMIFS(Despesas!$F:$F,Despesas!$J:$J,"&lt;="&amp;$A1113,Despesas!$L:$L,"&gt;="&amp;$A1113,Despesas!$C:$C,F$1,Despesas!$M:$M,$B1113)</f>
        <v>0</v>
      </c>
      <c r="G1113" s="5">
        <f>SUMIFS(Despesas!$F:$F,Despesas!$J:$J,"&lt;="&amp;$A1113,Despesas!$L:$L,"&gt;="&amp;$A1113,Despesas!$C:$C,G$1,Despesas!$M:$M,"Mensal")+SUMIFS(Despesas!$F:$F,Despesas!$J:$J,"&lt;="&amp;$A1113,Despesas!$L:$L,"&gt;="&amp;$A1113,Despesas!$C:$C,G$1,Despesas!$M:$M,$B1113)</f>
        <v>0</v>
      </c>
      <c r="H1113" s="18">
        <f>SUMIFS(Despesas!$F:$F,Despesas!$J:$J,"&lt;="&amp;$A1113,Despesas!$L:$L,"&gt;="&amp;$A1113,Despesas!$C:$C,H$1,Despesas!$M:$M,"Mensal")+SUMIFS(Despesas!$F:$F,Despesas!$J:$J,"&lt;="&amp;$A1113,Despesas!$L:$L,"&gt;="&amp;$A1113,Despesas!$C:$C,H$1,Despesas!$M:$M,$B1113)</f>
        <v>0</v>
      </c>
      <c r="I1113" s="18">
        <f>IF(Imóveis!$F$2="PRICE",IF(AND(Dados!$A1113&gt;=Imóveis!$Q$2,Dados!$A1113&lt;=Imóveis!$T$2),Imóveis!$U$2,0),IF((IF(AND(Dados!$A1113&gt;=Imóveis!$Q$2,Dados!$A1113&lt;=Imóveis!$T$2),Imóveis!$S$2-(DATEDIF(Imóveis!$Q$2,Dados!$A1113,"m")),0))=0,0,((Imóveis!$N$2/Imóveis!$S$2)+((Imóveis!$N$2-((Imóveis!$S$2-(IF(AND(Dados!$A1113&gt;=Imóveis!$Q$2,Dados!$A1113&lt;=Imóveis!$T$2),Imóveis!$S$2-(DATEDIF(Imóveis!$Q$2,Dados!$A1113,"m")),)))*(Imóveis!$N$2/Imóveis!$S$2)))*Imóveis!$P$2))))*IF(AND(Imóveis!$E$2&gt;0,Dados!$A1113&gt;Imóveis!$E$2),0,1)</f>
        <v>0</v>
      </c>
      <c r="J1113" s="18">
        <f>IF(Imóveis!$F$3="PRICE",IF(AND(Dados!$A1113&gt;=Imóveis!$Q$3,Dados!$A1113&lt;=Imóveis!$T$3),Imóveis!$U$3,0),IF((IF(AND(Dados!$A1113&gt;=Imóveis!$Q$3,Dados!$A1113&lt;=Imóveis!$T$3),Imóveis!$S$3-(DATEDIF(Imóveis!$Q$3,Dados!$A1113,"m")),0))=0,0,((Imóveis!$N$3/Imóveis!$S$3)+((Imóveis!$N$3-((Imóveis!$S$3-(IF(AND(Dados!$A1113&gt;=Imóveis!$Q$3,Dados!$A1113&lt;=Imóveis!$T$3),Imóveis!$S$3-(DATEDIF(Imóveis!$Q$3,Dados!$A1113,"m")),)))*(Imóveis!$N$3/Imóveis!$S$3)))*Imóveis!$P$3))))*IF(AND(Imóveis!$E$3&gt;0,Dados!$A1113&gt;Imóveis!$E$3),0,1)</f>
        <v>0</v>
      </c>
      <c r="K1113" s="18">
        <f>IF(Imóveis!$F$4="PRICE",IF(AND(Dados!$A1113&gt;=Imóveis!$Q$4,Dados!$A1113&lt;=Imóveis!$T$4),Imóveis!$U$4,0),IF((IF(AND(Dados!$A1113&gt;=Imóveis!$Q$4,Dados!$A1113&lt;=Imóveis!$T$4),Imóveis!$S$4-(DATEDIF(Imóveis!$Q$4,Dados!$A1113,"m")),0))=0,0,((Imóveis!$N$4/Imóveis!$S$4)+((Imóveis!$N$4-((Imóveis!$S$4-(IF(AND(Dados!$A1113&gt;=Imóveis!$Q$4,Dados!$A1113&lt;=Imóveis!$T$4),Imóveis!$S$4-(DATEDIF(Imóveis!$Q$4,Dados!$A1113,"m")),)))*(Imóveis!$N$4/Imóveis!$S$4)))*Imóveis!$P$4))))*IF(AND(Imóveis!$E$4&gt;0,Dados!$A1113&gt;Imóveis!$E$4),0,1)</f>
        <v>0</v>
      </c>
      <c r="L1113" s="18">
        <f>IF(Imóveis!$F$5="PRICE",IF(AND(Dados!$A1113&gt;=Imóveis!$Q$5,Dados!$A1113&lt;=Imóveis!$T$5),Imóveis!$U$5,0),IF((IF(AND(Dados!$A1113&gt;=Imóveis!$Q$5,Dados!$A1113&lt;=Imóveis!$T$5),Imóveis!$S$5-(DATEDIF(Imóveis!$Q$5,Dados!$A1113,"m")),0))=0,0,((Imóveis!$N$5/Imóveis!$S$5)+((Imóveis!$N$5-((Imóveis!$S$5-(IF(AND(Dados!$A1113 &gt;=Imóveis!$Q$5,Dados!$A1113&lt;=Imóveis!$T$5),Imóveis!$S$5-(DATEDIF(Imóveis!$Q$5,Dados!$A1113,"m")),)))*(Imóveis!$N$5/Imóveis!$S$5)))*Imóveis!$P$5))))*IF(AND(Imóveis!$E$5&gt;0,Dados!$A1113&gt;Imóveis!$E$5),0,1)*Imóveis!$I$5</f>
        <v>0</v>
      </c>
      <c r="M1113" s="18">
        <f>IF(Imóveis!$F$6="PRICE",IF(AND(Dados!$A1113&gt;=Imóveis!$Q$6,Dados!$A1113&lt;=Imóveis!$T$6),Imóveis!$U$6,0),IF((IF(AND(Dados!$A1113&gt;=Imóveis!$Q$6,Dados!$A1113&lt;=Imóveis!$T$6),Imóveis!$S$6-(DATEDIF(Imóveis!$Q$6,Dados!$A1113,"m")),0))=0,0,((Imóveis!$N$6/Imóveis!$S$6)+((Imóveis!$N$6-((Imóveis!$S$6-(IF(AND(Dados!$A1113&gt;=Imóveis!$Q$6,Dados!$A1113&lt;=Imóveis!$T$6),Imóveis!$S$6-(DATEDIF(Imóveis!$Q$6,Dados!$A1113,"m")),)))*(Imóveis!$N$6/Imóveis!$S$6)))*Imóveis!$P$6))))*IF(AND(Imóveis!$E$6&gt;0,Dados!$A1113&gt;Imóveis!$E$6),0,1)*Imóveis!$I$6</f>
        <v>0</v>
      </c>
      <c r="N1113" s="18">
        <f t="shared" si="141"/>
        <v>0</v>
      </c>
      <c r="O1113" s="18">
        <f>SUMIFS(Receitas!$F:$F,Receitas!$J:$J,"&lt;="&amp;$A1113,Receitas!$L:$L,"&gt;="&amp;$A1113,Receitas!$C:$C,O$1,Receitas!$M:$M,"Mensal")+SUMIFS(Receitas!$F:$F,Receitas!$J:$J,"&lt;="&amp;$A1113,Receitas!$L:$L,"&gt;="&amp;$A1113,Receitas!$C:$C,O$1,Receitas!$M:$M,$B1113)</f>
        <v>0</v>
      </c>
      <c r="P1113" s="18">
        <f>SUMIFS(Receitas!$F:$F,Receitas!$J:$J,"&lt;="&amp;$A1113,Receitas!$L:$L,"&gt;="&amp;$A1113,Receitas!$C:$C,P$1,Receitas!$M:$M,"Mensal")+SUMIFS(Receitas!$F:$F,Receitas!$J:$J,"&lt;="&amp;$A1113,Receitas!$L:$L,"&gt;="&amp;$A1113,Receitas!$C:$C,P$1,Receitas!$M:$M,$B1113)</f>
        <v>0</v>
      </c>
      <c r="Q1113" s="18">
        <f>SUMIFS(Receitas!$F:$F,Receitas!$J:$J,"&lt;="&amp;$A1113,Receitas!$L:$L,"&gt;="&amp;$A1113,Receitas!$C:$C,Q$1,Receitas!$M:$M,"Mensal")+SUMIFS(Receitas!$F:$F,Receitas!$J:$J,"&lt;="&amp;$A1113,Receitas!$L:$L,"&gt;="&amp;$A1113,Receitas!$C:$C,Q$1,Receitas!$M:$M,$B1113)</f>
        <v>0</v>
      </c>
      <c r="R1113" s="18" cm="1">
        <f t="array" ref="R1113">(IF(AND(Membros!$F$2="Sim",A1113&lt;=MAX(Membros!$E$2:$E$5)),Membros!K$2,IF(AND(A1113&gt;=Membros!J$2,A1113&lt;=MAX(Membros!$E$2:$E$5)),Membros!K$2,0))+IF(AND(Membros!$F$3="Sim",A1113&lt;=MAX(Membros!$E$2:$E$5)),Membros!K$3,IF(AND(A1113&gt;=Membros!J$3,A1113&lt;=MAX(Membros!$E$2:$E$5)),Membros!K$3,0)))*IF(AND(COUNTIFS(Tabela3[Tipo],"Provedor",Tabela3[Simulação Seguro],"Sim")=2,A1113&gt;=MAX(IF(Tabela3[Tipo]="Dependente",Tabela3[Expectativa de Vida (Data)]))),0,1)</f>
        <v>0</v>
      </c>
      <c r="S1113" s="18">
        <f t="shared" si="142"/>
        <v>0</v>
      </c>
      <c r="U1113" s="18">
        <f t="shared" ca="1" si="145"/>
        <v>178519162.41339052</v>
      </c>
      <c r="V1113" s="18">
        <f>SUMIF(Imóveis!E:E,Dados!A:A,Imóveis!Z:Z)-SUMIF(Imóveis!E:E,Dados!A:A,Imóveis!Y:Y)</f>
        <v>0</v>
      </c>
      <c r="W1113" s="18">
        <f>-SUMIF(Projetos!N:N,A1113,Projetos!F:F)</f>
        <v>0</v>
      </c>
      <c r="X1113" s="18">
        <f t="shared" si="139"/>
        <v>0</v>
      </c>
      <c r="Y1113" s="26">
        <f ca="1">(U1113*((Indicadores_Economicos!D$2+1)^(1/12)-1))</f>
        <v>584425.28387754573</v>
      </c>
      <c r="Z1113" s="18">
        <f t="shared" ca="1" si="143"/>
        <v>179103587.69726807</v>
      </c>
      <c r="AA1113" s="18">
        <f ca="1">Auxiliar_Projetos!E1113</f>
        <v>1.4763827137650444E-8</v>
      </c>
      <c r="AB1113" s="18">
        <f ca="1">Auxiliar_Projetos!K1113</f>
        <v>1.135679010588495E-8</v>
      </c>
      <c r="AC1113" s="18">
        <f ca="1">IF(Z1113-AA1113-AB1113&gt;Investimentos!$C$14,Investimentos!$C$14,IF(Z1113-AA1113-AB1113&lt;Investimentos!$C$14,Z1113-AA1113-AB1113,0))</f>
        <v>300000</v>
      </c>
      <c r="AD1113" s="18">
        <f t="shared" ca="1" si="144"/>
        <v>178803587.69726807</v>
      </c>
      <c r="AE1113" s="18"/>
    </row>
    <row r="1114" spans="1:31" x14ac:dyDescent="0.2">
      <c r="A1114" s="4">
        <v>79503</v>
      </c>
      <c r="B1114" s="5" t="str">
        <f t="shared" si="140"/>
        <v>setembro</v>
      </c>
      <c r="C1114" s="5" t="str">
        <f t="shared" si="146"/>
        <v>2117</v>
      </c>
      <c r="D1114" s="5">
        <f>SUMIFS(Despesas!$F:$F,Despesas!$J:$J,"&lt;="&amp;$A1114,Despesas!$L:$L,"&gt;="&amp;$A1114,Despesas!$C:$C,D$1,Despesas!$M:$M,"Mensal")+SUMIFS(Despesas!$F:$F,Despesas!$J:$J,"&lt;="&amp;$A1114,Despesas!$L:$L,"&gt;="&amp;$A1114,Despesas!$C:$C,D$1,Despesas!$M:$M,$B1114)</f>
        <v>0</v>
      </c>
      <c r="E1114" s="18">
        <f>SUMIFS(Despesas!$F:$F,Despesas!$J:$J,"&lt;="&amp;$A1114,Despesas!$L:$L,"&gt;="&amp;$A1114,Despesas!$C:$C,E$1,Despesas!$M:$M,"Mensal")+SUMIFS(Despesas!$F:$F,Despesas!$J:$J,"&lt;="&amp;$A1114,Despesas!$L:$L,"&gt;="&amp;$A1114,Despesas!$C:$C,E$1,Despesas!$M:$M,$B1114)</f>
        <v>0</v>
      </c>
      <c r="F1114" s="5">
        <f>SUMIFS(Despesas!$F:$F,Despesas!$J:$J,"&lt;="&amp;$A1114,Despesas!$L:$L,"&gt;="&amp;$A1114,Despesas!$C:$C,F$1,Despesas!$M:$M,"Mensal")+SUMIFS(Despesas!$F:$F,Despesas!$J:$J,"&lt;="&amp;$A1114,Despesas!$L:$L,"&gt;="&amp;$A1114,Despesas!$C:$C,F$1,Despesas!$M:$M,$B1114)</f>
        <v>0</v>
      </c>
      <c r="G1114" s="5">
        <f>SUMIFS(Despesas!$F:$F,Despesas!$J:$J,"&lt;="&amp;$A1114,Despesas!$L:$L,"&gt;="&amp;$A1114,Despesas!$C:$C,G$1,Despesas!$M:$M,"Mensal")+SUMIFS(Despesas!$F:$F,Despesas!$J:$J,"&lt;="&amp;$A1114,Despesas!$L:$L,"&gt;="&amp;$A1114,Despesas!$C:$C,G$1,Despesas!$M:$M,$B1114)</f>
        <v>0</v>
      </c>
      <c r="H1114" s="18">
        <f>SUMIFS(Despesas!$F:$F,Despesas!$J:$J,"&lt;="&amp;$A1114,Despesas!$L:$L,"&gt;="&amp;$A1114,Despesas!$C:$C,H$1,Despesas!$M:$M,"Mensal")+SUMIFS(Despesas!$F:$F,Despesas!$J:$J,"&lt;="&amp;$A1114,Despesas!$L:$L,"&gt;="&amp;$A1114,Despesas!$C:$C,H$1,Despesas!$M:$M,$B1114)</f>
        <v>0</v>
      </c>
      <c r="I1114" s="18">
        <f>IF(Imóveis!$F$2="PRICE",IF(AND(Dados!$A1114&gt;=Imóveis!$Q$2,Dados!$A1114&lt;=Imóveis!$T$2),Imóveis!$U$2,0),IF((IF(AND(Dados!$A1114&gt;=Imóveis!$Q$2,Dados!$A1114&lt;=Imóveis!$T$2),Imóveis!$S$2-(DATEDIF(Imóveis!$Q$2,Dados!$A1114,"m")),0))=0,0,((Imóveis!$N$2/Imóveis!$S$2)+((Imóveis!$N$2-((Imóveis!$S$2-(IF(AND(Dados!$A1114&gt;=Imóveis!$Q$2,Dados!$A1114&lt;=Imóveis!$T$2),Imóveis!$S$2-(DATEDIF(Imóveis!$Q$2,Dados!$A1114,"m")),)))*(Imóveis!$N$2/Imóveis!$S$2)))*Imóveis!$P$2))))*IF(AND(Imóveis!$E$2&gt;0,Dados!$A1114&gt;Imóveis!$E$2),0,1)</f>
        <v>0</v>
      </c>
      <c r="J1114" s="18">
        <f>IF(Imóveis!$F$3="PRICE",IF(AND(Dados!$A1114&gt;=Imóveis!$Q$3,Dados!$A1114&lt;=Imóveis!$T$3),Imóveis!$U$3,0),IF((IF(AND(Dados!$A1114&gt;=Imóveis!$Q$3,Dados!$A1114&lt;=Imóveis!$T$3),Imóveis!$S$3-(DATEDIF(Imóveis!$Q$3,Dados!$A1114,"m")),0))=0,0,((Imóveis!$N$3/Imóveis!$S$3)+((Imóveis!$N$3-((Imóveis!$S$3-(IF(AND(Dados!$A1114&gt;=Imóveis!$Q$3,Dados!$A1114&lt;=Imóveis!$T$3),Imóveis!$S$3-(DATEDIF(Imóveis!$Q$3,Dados!$A1114,"m")),)))*(Imóveis!$N$3/Imóveis!$S$3)))*Imóveis!$P$3))))*IF(AND(Imóveis!$E$3&gt;0,Dados!$A1114&gt;Imóveis!$E$3),0,1)</f>
        <v>0</v>
      </c>
      <c r="K1114" s="18">
        <f>IF(Imóveis!$F$4="PRICE",IF(AND(Dados!$A1114&gt;=Imóveis!$Q$4,Dados!$A1114&lt;=Imóveis!$T$4),Imóveis!$U$4,0),IF((IF(AND(Dados!$A1114&gt;=Imóveis!$Q$4,Dados!$A1114&lt;=Imóveis!$T$4),Imóveis!$S$4-(DATEDIF(Imóveis!$Q$4,Dados!$A1114,"m")),0))=0,0,((Imóveis!$N$4/Imóveis!$S$4)+((Imóveis!$N$4-((Imóveis!$S$4-(IF(AND(Dados!$A1114&gt;=Imóveis!$Q$4,Dados!$A1114&lt;=Imóveis!$T$4),Imóveis!$S$4-(DATEDIF(Imóveis!$Q$4,Dados!$A1114,"m")),)))*(Imóveis!$N$4/Imóveis!$S$4)))*Imóveis!$P$4))))*IF(AND(Imóveis!$E$4&gt;0,Dados!$A1114&gt;Imóveis!$E$4),0,1)</f>
        <v>0</v>
      </c>
      <c r="L1114" s="18">
        <f>IF(Imóveis!$F$5="PRICE",IF(AND(Dados!$A1114&gt;=Imóveis!$Q$5,Dados!$A1114&lt;=Imóveis!$T$5),Imóveis!$U$5,0),IF((IF(AND(Dados!$A1114&gt;=Imóveis!$Q$5,Dados!$A1114&lt;=Imóveis!$T$5),Imóveis!$S$5-(DATEDIF(Imóveis!$Q$5,Dados!$A1114,"m")),0))=0,0,((Imóveis!$N$5/Imóveis!$S$5)+((Imóveis!$N$5-((Imóveis!$S$5-(IF(AND(Dados!$A1114 &gt;=Imóveis!$Q$5,Dados!$A1114&lt;=Imóveis!$T$5),Imóveis!$S$5-(DATEDIF(Imóveis!$Q$5,Dados!$A1114,"m")),)))*(Imóveis!$N$5/Imóveis!$S$5)))*Imóveis!$P$5))))*IF(AND(Imóveis!$E$5&gt;0,Dados!$A1114&gt;Imóveis!$E$5),0,1)*Imóveis!$I$5</f>
        <v>0</v>
      </c>
      <c r="M1114" s="18">
        <f>IF(Imóveis!$F$6="PRICE",IF(AND(Dados!$A1114&gt;=Imóveis!$Q$6,Dados!$A1114&lt;=Imóveis!$T$6),Imóveis!$U$6,0),IF((IF(AND(Dados!$A1114&gt;=Imóveis!$Q$6,Dados!$A1114&lt;=Imóveis!$T$6),Imóveis!$S$6-(DATEDIF(Imóveis!$Q$6,Dados!$A1114,"m")),0))=0,0,((Imóveis!$N$6/Imóveis!$S$6)+((Imóveis!$N$6-((Imóveis!$S$6-(IF(AND(Dados!$A1114&gt;=Imóveis!$Q$6,Dados!$A1114&lt;=Imóveis!$T$6),Imóveis!$S$6-(DATEDIF(Imóveis!$Q$6,Dados!$A1114,"m")),)))*(Imóveis!$N$6/Imóveis!$S$6)))*Imóveis!$P$6))))*IF(AND(Imóveis!$E$6&gt;0,Dados!$A1114&gt;Imóveis!$E$6),0,1)*Imóveis!$I$6</f>
        <v>0</v>
      </c>
      <c r="N1114" s="18">
        <f t="shared" si="141"/>
        <v>0</v>
      </c>
      <c r="O1114" s="18">
        <f>SUMIFS(Receitas!$F:$F,Receitas!$J:$J,"&lt;="&amp;$A1114,Receitas!$L:$L,"&gt;="&amp;$A1114,Receitas!$C:$C,O$1,Receitas!$M:$M,"Mensal")+SUMIFS(Receitas!$F:$F,Receitas!$J:$J,"&lt;="&amp;$A1114,Receitas!$L:$L,"&gt;="&amp;$A1114,Receitas!$C:$C,O$1,Receitas!$M:$M,$B1114)</f>
        <v>0</v>
      </c>
      <c r="P1114" s="18">
        <f>SUMIFS(Receitas!$F:$F,Receitas!$J:$J,"&lt;="&amp;$A1114,Receitas!$L:$L,"&gt;="&amp;$A1114,Receitas!$C:$C,P$1,Receitas!$M:$M,"Mensal")+SUMIFS(Receitas!$F:$F,Receitas!$J:$J,"&lt;="&amp;$A1114,Receitas!$L:$L,"&gt;="&amp;$A1114,Receitas!$C:$C,P$1,Receitas!$M:$M,$B1114)</f>
        <v>0</v>
      </c>
      <c r="Q1114" s="18">
        <f>SUMIFS(Receitas!$F:$F,Receitas!$J:$J,"&lt;="&amp;$A1114,Receitas!$L:$L,"&gt;="&amp;$A1114,Receitas!$C:$C,Q$1,Receitas!$M:$M,"Mensal")+SUMIFS(Receitas!$F:$F,Receitas!$J:$J,"&lt;="&amp;$A1114,Receitas!$L:$L,"&gt;="&amp;$A1114,Receitas!$C:$C,Q$1,Receitas!$M:$M,$B1114)</f>
        <v>0</v>
      </c>
      <c r="R1114" s="18" cm="1">
        <f t="array" ref="R1114">(IF(AND(Membros!$F$2="Sim",A1114&lt;=MAX(Membros!$E$2:$E$5)),Membros!K$2,IF(AND(A1114&gt;=Membros!J$2,A1114&lt;=MAX(Membros!$E$2:$E$5)),Membros!K$2,0))+IF(AND(Membros!$F$3="Sim",A1114&lt;=MAX(Membros!$E$2:$E$5)),Membros!K$3,IF(AND(A1114&gt;=Membros!J$3,A1114&lt;=MAX(Membros!$E$2:$E$5)),Membros!K$3,0)))*IF(AND(COUNTIFS(Tabela3[Tipo],"Provedor",Tabela3[Simulação Seguro],"Sim")=2,A1114&gt;=MAX(IF(Tabela3[Tipo]="Dependente",Tabela3[Expectativa de Vida (Data)]))),0,1)</f>
        <v>0</v>
      </c>
      <c r="S1114" s="18">
        <f t="shared" si="142"/>
        <v>0</v>
      </c>
      <c r="U1114" s="18">
        <f t="shared" ca="1" si="145"/>
        <v>179103587.69726807</v>
      </c>
      <c r="V1114" s="18">
        <f>SUMIF(Imóveis!E:E,Dados!A:A,Imóveis!Z:Z)-SUMIF(Imóveis!E:E,Dados!A:A,Imóveis!Y:Y)</f>
        <v>0</v>
      </c>
      <c r="W1114" s="18">
        <f>-SUMIF(Projetos!N:N,A1114,Projetos!F:F)</f>
        <v>0</v>
      </c>
      <c r="X1114" s="18">
        <f t="shared" si="139"/>
        <v>0</v>
      </c>
      <c r="Y1114" s="26">
        <f ca="1">(U1114*((Indicadores_Economicos!D$2+1)^(1/12)-1))</f>
        <v>586338.54017909849</v>
      </c>
      <c r="Z1114" s="18">
        <f t="shared" ca="1" si="143"/>
        <v>179689926.23744717</v>
      </c>
      <c r="AA1114" s="18">
        <f ca="1">Auxiliar_Projetos!E1114</f>
        <v>1.4812160065888478E-8</v>
      </c>
      <c r="AB1114" s="18">
        <f ca="1">Auxiliar_Projetos!K1114</f>
        <v>1.1393969281452668E-8</v>
      </c>
      <c r="AC1114" s="18">
        <f ca="1">IF(Z1114-AA1114-AB1114&gt;Investimentos!$C$14,Investimentos!$C$14,IF(Z1114-AA1114-AB1114&lt;Investimentos!$C$14,Z1114-AA1114-AB1114,0))</f>
        <v>300000</v>
      </c>
      <c r="AD1114" s="18">
        <f t="shared" ca="1" si="144"/>
        <v>179389926.23744717</v>
      </c>
      <c r="AE1114" s="18"/>
    </row>
    <row r="1115" spans="1:31" x14ac:dyDescent="0.2">
      <c r="A1115" s="4">
        <v>79533</v>
      </c>
      <c r="B1115" s="5" t="str">
        <f t="shared" si="140"/>
        <v>outubro</v>
      </c>
      <c r="C1115" s="5" t="str">
        <f t="shared" si="146"/>
        <v>2117</v>
      </c>
      <c r="D1115" s="5">
        <f>SUMIFS(Despesas!$F:$F,Despesas!$J:$J,"&lt;="&amp;$A1115,Despesas!$L:$L,"&gt;="&amp;$A1115,Despesas!$C:$C,D$1,Despesas!$M:$M,"Mensal")+SUMIFS(Despesas!$F:$F,Despesas!$J:$J,"&lt;="&amp;$A1115,Despesas!$L:$L,"&gt;="&amp;$A1115,Despesas!$C:$C,D$1,Despesas!$M:$M,$B1115)</f>
        <v>0</v>
      </c>
      <c r="E1115" s="18">
        <f>SUMIFS(Despesas!$F:$F,Despesas!$J:$J,"&lt;="&amp;$A1115,Despesas!$L:$L,"&gt;="&amp;$A1115,Despesas!$C:$C,E$1,Despesas!$M:$M,"Mensal")+SUMIFS(Despesas!$F:$F,Despesas!$J:$J,"&lt;="&amp;$A1115,Despesas!$L:$L,"&gt;="&amp;$A1115,Despesas!$C:$C,E$1,Despesas!$M:$M,$B1115)</f>
        <v>0</v>
      </c>
      <c r="F1115" s="5">
        <f>SUMIFS(Despesas!$F:$F,Despesas!$J:$J,"&lt;="&amp;$A1115,Despesas!$L:$L,"&gt;="&amp;$A1115,Despesas!$C:$C,F$1,Despesas!$M:$M,"Mensal")+SUMIFS(Despesas!$F:$F,Despesas!$J:$J,"&lt;="&amp;$A1115,Despesas!$L:$L,"&gt;="&amp;$A1115,Despesas!$C:$C,F$1,Despesas!$M:$M,$B1115)</f>
        <v>0</v>
      </c>
      <c r="G1115" s="5">
        <f>SUMIFS(Despesas!$F:$F,Despesas!$J:$J,"&lt;="&amp;$A1115,Despesas!$L:$L,"&gt;="&amp;$A1115,Despesas!$C:$C,G$1,Despesas!$M:$M,"Mensal")+SUMIFS(Despesas!$F:$F,Despesas!$J:$J,"&lt;="&amp;$A1115,Despesas!$L:$L,"&gt;="&amp;$A1115,Despesas!$C:$C,G$1,Despesas!$M:$M,$B1115)</f>
        <v>0</v>
      </c>
      <c r="H1115" s="18">
        <f>SUMIFS(Despesas!$F:$F,Despesas!$J:$J,"&lt;="&amp;$A1115,Despesas!$L:$L,"&gt;="&amp;$A1115,Despesas!$C:$C,H$1,Despesas!$M:$M,"Mensal")+SUMIFS(Despesas!$F:$F,Despesas!$J:$J,"&lt;="&amp;$A1115,Despesas!$L:$L,"&gt;="&amp;$A1115,Despesas!$C:$C,H$1,Despesas!$M:$M,$B1115)</f>
        <v>0</v>
      </c>
      <c r="I1115" s="18">
        <f>IF(Imóveis!$F$2="PRICE",IF(AND(Dados!$A1115&gt;=Imóveis!$Q$2,Dados!$A1115&lt;=Imóveis!$T$2),Imóveis!$U$2,0),IF((IF(AND(Dados!$A1115&gt;=Imóveis!$Q$2,Dados!$A1115&lt;=Imóveis!$T$2),Imóveis!$S$2-(DATEDIF(Imóveis!$Q$2,Dados!$A1115,"m")),0))=0,0,((Imóveis!$N$2/Imóveis!$S$2)+((Imóveis!$N$2-((Imóveis!$S$2-(IF(AND(Dados!$A1115&gt;=Imóveis!$Q$2,Dados!$A1115&lt;=Imóveis!$T$2),Imóveis!$S$2-(DATEDIF(Imóveis!$Q$2,Dados!$A1115,"m")),)))*(Imóveis!$N$2/Imóveis!$S$2)))*Imóveis!$P$2))))*IF(AND(Imóveis!$E$2&gt;0,Dados!$A1115&gt;Imóveis!$E$2),0,1)</f>
        <v>0</v>
      </c>
      <c r="J1115" s="18">
        <f>IF(Imóveis!$F$3="PRICE",IF(AND(Dados!$A1115&gt;=Imóveis!$Q$3,Dados!$A1115&lt;=Imóveis!$T$3),Imóveis!$U$3,0),IF((IF(AND(Dados!$A1115&gt;=Imóveis!$Q$3,Dados!$A1115&lt;=Imóveis!$T$3),Imóveis!$S$3-(DATEDIF(Imóveis!$Q$3,Dados!$A1115,"m")),0))=0,0,((Imóveis!$N$3/Imóveis!$S$3)+((Imóveis!$N$3-((Imóveis!$S$3-(IF(AND(Dados!$A1115&gt;=Imóveis!$Q$3,Dados!$A1115&lt;=Imóveis!$T$3),Imóveis!$S$3-(DATEDIF(Imóveis!$Q$3,Dados!$A1115,"m")),)))*(Imóveis!$N$3/Imóveis!$S$3)))*Imóveis!$P$3))))*IF(AND(Imóveis!$E$3&gt;0,Dados!$A1115&gt;Imóveis!$E$3),0,1)</f>
        <v>0</v>
      </c>
      <c r="K1115" s="18">
        <f>IF(Imóveis!$F$4="PRICE",IF(AND(Dados!$A1115&gt;=Imóveis!$Q$4,Dados!$A1115&lt;=Imóveis!$T$4),Imóveis!$U$4,0),IF((IF(AND(Dados!$A1115&gt;=Imóveis!$Q$4,Dados!$A1115&lt;=Imóveis!$T$4),Imóveis!$S$4-(DATEDIF(Imóveis!$Q$4,Dados!$A1115,"m")),0))=0,0,((Imóveis!$N$4/Imóveis!$S$4)+((Imóveis!$N$4-((Imóveis!$S$4-(IF(AND(Dados!$A1115&gt;=Imóveis!$Q$4,Dados!$A1115&lt;=Imóveis!$T$4),Imóveis!$S$4-(DATEDIF(Imóveis!$Q$4,Dados!$A1115,"m")),)))*(Imóveis!$N$4/Imóveis!$S$4)))*Imóveis!$P$4))))*IF(AND(Imóveis!$E$4&gt;0,Dados!$A1115&gt;Imóveis!$E$4),0,1)</f>
        <v>0</v>
      </c>
      <c r="L1115" s="18">
        <f>IF(Imóveis!$F$5="PRICE",IF(AND(Dados!$A1115&gt;=Imóveis!$Q$5,Dados!$A1115&lt;=Imóveis!$T$5),Imóveis!$U$5,0),IF((IF(AND(Dados!$A1115&gt;=Imóveis!$Q$5,Dados!$A1115&lt;=Imóveis!$T$5),Imóveis!$S$5-(DATEDIF(Imóveis!$Q$5,Dados!$A1115,"m")),0))=0,0,((Imóveis!$N$5/Imóveis!$S$5)+((Imóveis!$N$5-((Imóveis!$S$5-(IF(AND(Dados!$A1115 &gt;=Imóveis!$Q$5,Dados!$A1115&lt;=Imóveis!$T$5),Imóveis!$S$5-(DATEDIF(Imóveis!$Q$5,Dados!$A1115,"m")),)))*(Imóveis!$N$5/Imóveis!$S$5)))*Imóveis!$P$5))))*IF(AND(Imóveis!$E$5&gt;0,Dados!$A1115&gt;Imóveis!$E$5),0,1)*Imóveis!$I$5</f>
        <v>0</v>
      </c>
      <c r="M1115" s="18">
        <f>IF(Imóveis!$F$6="PRICE",IF(AND(Dados!$A1115&gt;=Imóveis!$Q$6,Dados!$A1115&lt;=Imóveis!$T$6),Imóveis!$U$6,0),IF((IF(AND(Dados!$A1115&gt;=Imóveis!$Q$6,Dados!$A1115&lt;=Imóveis!$T$6),Imóveis!$S$6-(DATEDIF(Imóveis!$Q$6,Dados!$A1115,"m")),0))=0,0,((Imóveis!$N$6/Imóveis!$S$6)+((Imóveis!$N$6-((Imóveis!$S$6-(IF(AND(Dados!$A1115&gt;=Imóveis!$Q$6,Dados!$A1115&lt;=Imóveis!$T$6),Imóveis!$S$6-(DATEDIF(Imóveis!$Q$6,Dados!$A1115,"m")),)))*(Imóveis!$N$6/Imóveis!$S$6)))*Imóveis!$P$6))))*IF(AND(Imóveis!$E$6&gt;0,Dados!$A1115&gt;Imóveis!$E$6),0,1)*Imóveis!$I$6</f>
        <v>0</v>
      </c>
      <c r="N1115" s="18">
        <f t="shared" si="141"/>
        <v>0</v>
      </c>
      <c r="O1115" s="18">
        <f>SUMIFS(Receitas!$F:$F,Receitas!$J:$J,"&lt;="&amp;$A1115,Receitas!$L:$L,"&gt;="&amp;$A1115,Receitas!$C:$C,O$1,Receitas!$M:$M,"Mensal")+SUMIFS(Receitas!$F:$F,Receitas!$J:$J,"&lt;="&amp;$A1115,Receitas!$L:$L,"&gt;="&amp;$A1115,Receitas!$C:$C,O$1,Receitas!$M:$M,$B1115)</f>
        <v>0</v>
      </c>
      <c r="P1115" s="18">
        <f>SUMIFS(Receitas!$F:$F,Receitas!$J:$J,"&lt;="&amp;$A1115,Receitas!$L:$L,"&gt;="&amp;$A1115,Receitas!$C:$C,P$1,Receitas!$M:$M,"Mensal")+SUMIFS(Receitas!$F:$F,Receitas!$J:$J,"&lt;="&amp;$A1115,Receitas!$L:$L,"&gt;="&amp;$A1115,Receitas!$C:$C,P$1,Receitas!$M:$M,$B1115)</f>
        <v>0</v>
      </c>
      <c r="Q1115" s="18">
        <f>SUMIFS(Receitas!$F:$F,Receitas!$J:$J,"&lt;="&amp;$A1115,Receitas!$L:$L,"&gt;="&amp;$A1115,Receitas!$C:$C,Q$1,Receitas!$M:$M,"Mensal")+SUMIFS(Receitas!$F:$F,Receitas!$J:$J,"&lt;="&amp;$A1115,Receitas!$L:$L,"&gt;="&amp;$A1115,Receitas!$C:$C,Q$1,Receitas!$M:$M,$B1115)</f>
        <v>0</v>
      </c>
      <c r="R1115" s="18" cm="1">
        <f t="array" ref="R1115">(IF(AND(Membros!$F$2="Sim",A1115&lt;=MAX(Membros!$E$2:$E$5)),Membros!K$2,IF(AND(A1115&gt;=Membros!J$2,A1115&lt;=MAX(Membros!$E$2:$E$5)),Membros!K$2,0))+IF(AND(Membros!$F$3="Sim",A1115&lt;=MAX(Membros!$E$2:$E$5)),Membros!K$3,IF(AND(A1115&gt;=Membros!J$3,A1115&lt;=MAX(Membros!$E$2:$E$5)),Membros!K$3,0)))*IF(AND(COUNTIFS(Tabela3[Tipo],"Provedor",Tabela3[Simulação Seguro],"Sim")=2,A1115&gt;=MAX(IF(Tabela3[Tipo]="Dependente",Tabela3[Expectativa de Vida (Data)]))),0,1)</f>
        <v>0</v>
      </c>
      <c r="S1115" s="18">
        <f t="shared" si="142"/>
        <v>0</v>
      </c>
      <c r="U1115" s="18">
        <f t="shared" ca="1" si="145"/>
        <v>179689926.23744717</v>
      </c>
      <c r="V1115" s="18">
        <f>SUMIF(Imóveis!E:E,Dados!A:A,Imóveis!Z:Z)-SUMIF(Imóveis!E:E,Dados!A:A,Imóveis!Y:Y)</f>
        <v>0</v>
      </c>
      <c r="W1115" s="18">
        <f>-SUMIF(Projetos!N:N,A1115,Projetos!F:F)</f>
        <v>0</v>
      </c>
      <c r="X1115" s="18">
        <f t="shared" si="139"/>
        <v>0</v>
      </c>
      <c r="Y1115" s="26">
        <f ca="1">(U1115*((Indicadores_Economicos!D$2+1)^(1/12)-1))</f>
        <v>588258.05998391926</v>
      </c>
      <c r="Z1115" s="18">
        <f t="shared" ca="1" si="143"/>
        <v>180278184.29743108</v>
      </c>
      <c r="AA1115" s="18">
        <f ca="1">Auxiliar_Projetos!E1115</f>
        <v>1.4860651223556475E-8</v>
      </c>
      <c r="AB1115" s="18">
        <f ca="1">Auxiliar_Projetos!K1115</f>
        <v>1.1431270171966512E-8</v>
      </c>
      <c r="AC1115" s="18">
        <f ca="1">IF(Z1115-AA1115-AB1115&gt;Investimentos!$C$14,Investimentos!$C$14,IF(Z1115-AA1115-AB1115&lt;Investimentos!$C$14,Z1115-AA1115-AB1115,0))</f>
        <v>300000</v>
      </c>
      <c r="AD1115" s="18">
        <f t="shared" ca="1" si="144"/>
        <v>179978184.29743108</v>
      </c>
      <c r="AE1115" s="18"/>
    </row>
    <row r="1116" spans="1:31" x14ac:dyDescent="0.2">
      <c r="A1116" s="4">
        <v>79564</v>
      </c>
      <c r="B1116" s="5" t="str">
        <f t="shared" si="140"/>
        <v>novembro</v>
      </c>
      <c r="C1116" s="5" t="str">
        <f t="shared" si="146"/>
        <v>2117</v>
      </c>
      <c r="D1116" s="5">
        <f>SUMIFS(Despesas!$F:$F,Despesas!$J:$J,"&lt;="&amp;$A1116,Despesas!$L:$L,"&gt;="&amp;$A1116,Despesas!$C:$C,D$1,Despesas!$M:$M,"Mensal")+SUMIFS(Despesas!$F:$F,Despesas!$J:$J,"&lt;="&amp;$A1116,Despesas!$L:$L,"&gt;="&amp;$A1116,Despesas!$C:$C,D$1,Despesas!$M:$M,$B1116)</f>
        <v>0</v>
      </c>
      <c r="E1116" s="18">
        <f>SUMIFS(Despesas!$F:$F,Despesas!$J:$J,"&lt;="&amp;$A1116,Despesas!$L:$L,"&gt;="&amp;$A1116,Despesas!$C:$C,E$1,Despesas!$M:$M,"Mensal")+SUMIFS(Despesas!$F:$F,Despesas!$J:$J,"&lt;="&amp;$A1116,Despesas!$L:$L,"&gt;="&amp;$A1116,Despesas!$C:$C,E$1,Despesas!$M:$M,$B1116)</f>
        <v>0</v>
      </c>
      <c r="F1116" s="5">
        <f>SUMIFS(Despesas!$F:$F,Despesas!$J:$J,"&lt;="&amp;$A1116,Despesas!$L:$L,"&gt;="&amp;$A1116,Despesas!$C:$C,F$1,Despesas!$M:$M,"Mensal")+SUMIFS(Despesas!$F:$F,Despesas!$J:$J,"&lt;="&amp;$A1116,Despesas!$L:$L,"&gt;="&amp;$A1116,Despesas!$C:$C,F$1,Despesas!$M:$M,$B1116)</f>
        <v>0</v>
      </c>
      <c r="G1116" s="5">
        <f>SUMIFS(Despesas!$F:$F,Despesas!$J:$J,"&lt;="&amp;$A1116,Despesas!$L:$L,"&gt;="&amp;$A1116,Despesas!$C:$C,G$1,Despesas!$M:$M,"Mensal")+SUMIFS(Despesas!$F:$F,Despesas!$J:$J,"&lt;="&amp;$A1116,Despesas!$L:$L,"&gt;="&amp;$A1116,Despesas!$C:$C,G$1,Despesas!$M:$M,$B1116)</f>
        <v>0</v>
      </c>
      <c r="H1116" s="18">
        <f>SUMIFS(Despesas!$F:$F,Despesas!$J:$J,"&lt;="&amp;$A1116,Despesas!$L:$L,"&gt;="&amp;$A1116,Despesas!$C:$C,H$1,Despesas!$M:$M,"Mensal")+SUMIFS(Despesas!$F:$F,Despesas!$J:$J,"&lt;="&amp;$A1116,Despesas!$L:$L,"&gt;="&amp;$A1116,Despesas!$C:$C,H$1,Despesas!$M:$M,$B1116)</f>
        <v>0</v>
      </c>
      <c r="I1116" s="18">
        <f>IF(Imóveis!$F$2="PRICE",IF(AND(Dados!$A1116&gt;=Imóveis!$Q$2,Dados!$A1116&lt;=Imóveis!$T$2),Imóveis!$U$2,0),IF((IF(AND(Dados!$A1116&gt;=Imóveis!$Q$2,Dados!$A1116&lt;=Imóveis!$T$2),Imóveis!$S$2-(DATEDIF(Imóveis!$Q$2,Dados!$A1116,"m")),0))=0,0,((Imóveis!$N$2/Imóveis!$S$2)+((Imóveis!$N$2-((Imóveis!$S$2-(IF(AND(Dados!$A1116&gt;=Imóveis!$Q$2,Dados!$A1116&lt;=Imóveis!$T$2),Imóveis!$S$2-(DATEDIF(Imóveis!$Q$2,Dados!$A1116,"m")),)))*(Imóveis!$N$2/Imóveis!$S$2)))*Imóveis!$P$2))))*IF(AND(Imóveis!$E$2&gt;0,Dados!$A1116&gt;Imóveis!$E$2),0,1)</f>
        <v>0</v>
      </c>
      <c r="J1116" s="18">
        <f>IF(Imóveis!$F$3="PRICE",IF(AND(Dados!$A1116&gt;=Imóveis!$Q$3,Dados!$A1116&lt;=Imóveis!$T$3),Imóveis!$U$3,0),IF((IF(AND(Dados!$A1116&gt;=Imóveis!$Q$3,Dados!$A1116&lt;=Imóveis!$T$3),Imóveis!$S$3-(DATEDIF(Imóveis!$Q$3,Dados!$A1116,"m")),0))=0,0,((Imóveis!$N$3/Imóveis!$S$3)+((Imóveis!$N$3-((Imóveis!$S$3-(IF(AND(Dados!$A1116&gt;=Imóveis!$Q$3,Dados!$A1116&lt;=Imóveis!$T$3),Imóveis!$S$3-(DATEDIF(Imóveis!$Q$3,Dados!$A1116,"m")),)))*(Imóveis!$N$3/Imóveis!$S$3)))*Imóveis!$P$3))))*IF(AND(Imóveis!$E$3&gt;0,Dados!$A1116&gt;Imóveis!$E$3),0,1)</f>
        <v>0</v>
      </c>
      <c r="K1116" s="18">
        <f>IF(Imóveis!$F$4="PRICE",IF(AND(Dados!$A1116&gt;=Imóveis!$Q$4,Dados!$A1116&lt;=Imóveis!$T$4),Imóveis!$U$4,0),IF((IF(AND(Dados!$A1116&gt;=Imóveis!$Q$4,Dados!$A1116&lt;=Imóveis!$T$4),Imóveis!$S$4-(DATEDIF(Imóveis!$Q$4,Dados!$A1116,"m")),0))=0,0,((Imóveis!$N$4/Imóveis!$S$4)+((Imóveis!$N$4-((Imóveis!$S$4-(IF(AND(Dados!$A1116&gt;=Imóveis!$Q$4,Dados!$A1116&lt;=Imóveis!$T$4),Imóveis!$S$4-(DATEDIF(Imóveis!$Q$4,Dados!$A1116,"m")),)))*(Imóveis!$N$4/Imóveis!$S$4)))*Imóveis!$P$4))))*IF(AND(Imóveis!$E$4&gt;0,Dados!$A1116&gt;Imóveis!$E$4),0,1)</f>
        <v>0</v>
      </c>
      <c r="L1116" s="18">
        <f>IF(Imóveis!$F$5="PRICE",IF(AND(Dados!$A1116&gt;=Imóveis!$Q$5,Dados!$A1116&lt;=Imóveis!$T$5),Imóveis!$U$5,0),IF((IF(AND(Dados!$A1116&gt;=Imóveis!$Q$5,Dados!$A1116&lt;=Imóveis!$T$5),Imóveis!$S$5-(DATEDIF(Imóveis!$Q$5,Dados!$A1116,"m")),0))=0,0,((Imóveis!$N$5/Imóveis!$S$5)+((Imóveis!$N$5-((Imóveis!$S$5-(IF(AND(Dados!$A1116 &gt;=Imóveis!$Q$5,Dados!$A1116&lt;=Imóveis!$T$5),Imóveis!$S$5-(DATEDIF(Imóveis!$Q$5,Dados!$A1116,"m")),)))*(Imóveis!$N$5/Imóveis!$S$5)))*Imóveis!$P$5))))*IF(AND(Imóveis!$E$5&gt;0,Dados!$A1116&gt;Imóveis!$E$5),0,1)*Imóveis!$I$5</f>
        <v>0</v>
      </c>
      <c r="M1116" s="18">
        <f>IF(Imóveis!$F$6="PRICE",IF(AND(Dados!$A1116&gt;=Imóveis!$Q$6,Dados!$A1116&lt;=Imóveis!$T$6),Imóveis!$U$6,0),IF((IF(AND(Dados!$A1116&gt;=Imóveis!$Q$6,Dados!$A1116&lt;=Imóveis!$T$6),Imóveis!$S$6-(DATEDIF(Imóveis!$Q$6,Dados!$A1116,"m")),0))=0,0,((Imóveis!$N$6/Imóveis!$S$6)+((Imóveis!$N$6-((Imóveis!$S$6-(IF(AND(Dados!$A1116&gt;=Imóveis!$Q$6,Dados!$A1116&lt;=Imóveis!$T$6),Imóveis!$S$6-(DATEDIF(Imóveis!$Q$6,Dados!$A1116,"m")),)))*(Imóveis!$N$6/Imóveis!$S$6)))*Imóveis!$P$6))))*IF(AND(Imóveis!$E$6&gt;0,Dados!$A1116&gt;Imóveis!$E$6),0,1)*Imóveis!$I$6</f>
        <v>0</v>
      </c>
      <c r="N1116" s="18">
        <f t="shared" si="141"/>
        <v>0</v>
      </c>
      <c r="O1116" s="18">
        <f>SUMIFS(Receitas!$F:$F,Receitas!$J:$J,"&lt;="&amp;$A1116,Receitas!$L:$L,"&gt;="&amp;$A1116,Receitas!$C:$C,O$1,Receitas!$M:$M,"Mensal")+SUMIFS(Receitas!$F:$F,Receitas!$J:$J,"&lt;="&amp;$A1116,Receitas!$L:$L,"&gt;="&amp;$A1116,Receitas!$C:$C,O$1,Receitas!$M:$M,$B1116)</f>
        <v>0</v>
      </c>
      <c r="P1116" s="18">
        <f>SUMIFS(Receitas!$F:$F,Receitas!$J:$J,"&lt;="&amp;$A1116,Receitas!$L:$L,"&gt;="&amp;$A1116,Receitas!$C:$C,P$1,Receitas!$M:$M,"Mensal")+SUMIFS(Receitas!$F:$F,Receitas!$J:$J,"&lt;="&amp;$A1116,Receitas!$L:$L,"&gt;="&amp;$A1116,Receitas!$C:$C,P$1,Receitas!$M:$M,$B1116)</f>
        <v>0</v>
      </c>
      <c r="Q1116" s="18">
        <f>SUMIFS(Receitas!$F:$F,Receitas!$J:$J,"&lt;="&amp;$A1116,Receitas!$L:$L,"&gt;="&amp;$A1116,Receitas!$C:$C,Q$1,Receitas!$M:$M,"Mensal")+SUMIFS(Receitas!$F:$F,Receitas!$J:$J,"&lt;="&amp;$A1116,Receitas!$L:$L,"&gt;="&amp;$A1116,Receitas!$C:$C,Q$1,Receitas!$M:$M,$B1116)</f>
        <v>0</v>
      </c>
      <c r="R1116" s="18" cm="1">
        <f t="array" ref="R1116">(IF(AND(Membros!$F$2="Sim",A1116&lt;=MAX(Membros!$E$2:$E$5)),Membros!K$2,IF(AND(A1116&gt;=Membros!J$2,A1116&lt;=MAX(Membros!$E$2:$E$5)),Membros!K$2,0))+IF(AND(Membros!$F$3="Sim",A1116&lt;=MAX(Membros!$E$2:$E$5)),Membros!K$3,IF(AND(A1116&gt;=Membros!J$3,A1116&lt;=MAX(Membros!$E$2:$E$5)),Membros!K$3,0)))*IF(AND(COUNTIFS(Tabela3[Tipo],"Provedor",Tabela3[Simulação Seguro],"Sim")=2,A1116&gt;=MAX(IF(Tabela3[Tipo]="Dependente",Tabela3[Expectativa de Vida (Data)]))),0,1)</f>
        <v>0</v>
      </c>
      <c r="S1116" s="18">
        <f t="shared" si="142"/>
        <v>0</v>
      </c>
      <c r="U1116" s="18">
        <f t="shared" ca="1" si="145"/>
        <v>180278184.29743108</v>
      </c>
      <c r="V1116" s="18">
        <f>SUMIF(Imóveis!E:E,Dados!A:A,Imóveis!Z:Z)-SUMIF(Imóveis!E:E,Dados!A:A,Imóveis!Y:Y)</f>
        <v>0</v>
      </c>
      <c r="W1116" s="18">
        <f>-SUMIF(Projetos!N:N,A1116,Projetos!F:F)</f>
        <v>0</v>
      </c>
      <c r="X1116" s="18">
        <f t="shared" si="139"/>
        <v>0</v>
      </c>
      <c r="Y1116" s="26">
        <f ca="1">(U1116*((Indicadores_Economicos!D$2+1)^(1/12)-1))</f>
        <v>590183.8637970878</v>
      </c>
      <c r="Z1116" s="18">
        <f t="shared" ca="1" si="143"/>
        <v>180868368.16122818</v>
      </c>
      <c r="AA1116" s="18">
        <f ca="1">Auxiliar_Projetos!E1116</f>
        <v>1.4909301128656415E-8</v>
      </c>
      <c r="AB1116" s="18">
        <f ca="1">Auxiliar_Projetos!K1116</f>
        <v>1.1468693175889543E-8</v>
      </c>
      <c r="AC1116" s="18">
        <f ca="1">IF(Z1116-AA1116-AB1116&gt;Investimentos!$C$14,Investimentos!$C$14,IF(Z1116-AA1116-AB1116&lt;Investimentos!$C$14,Z1116-AA1116-AB1116,0))</f>
        <v>300000</v>
      </c>
      <c r="AD1116" s="18">
        <f t="shared" ca="1" si="144"/>
        <v>180568368.16122815</v>
      </c>
      <c r="AE1116" s="18"/>
    </row>
    <row r="1117" spans="1:31" x14ac:dyDescent="0.2">
      <c r="A1117" s="4">
        <v>79594</v>
      </c>
      <c r="B1117" s="5" t="str">
        <f t="shared" si="140"/>
        <v>dezembro</v>
      </c>
      <c r="C1117" s="5" t="str">
        <f t="shared" si="146"/>
        <v>2117</v>
      </c>
      <c r="D1117" s="5">
        <f>SUMIFS(Despesas!$F:$F,Despesas!$J:$J,"&lt;="&amp;$A1117,Despesas!$L:$L,"&gt;="&amp;$A1117,Despesas!$C:$C,D$1,Despesas!$M:$M,"Mensal")+SUMIFS(Despesas!$F:$F,Despesas!$J:$J,"&lt;="&amp;$A1117,Despesas!$L:$L,"&gt;="&amp;$A1117,Despesas!$C:$C,D$1,Despesas!$M:$M,$B1117)</f>
        <v>0</v>
      </c>
      <c r="E1117" s="18">
        <f>SUMIFS(Despesas!$F:$F,Despesas!$J:$J,"&lt;="&amp;$A1117,Despesas!$L:$L,"&gt;="&amp;$A1117,Despesas!$C:$C,E$1,Despesas!$M:$M,"Mensal")+SUMIFS(Despesas!$F:$F,Despesas!$J:$J,"&lt;="&amp;$A1117,Despesas!$L:$L,"&gt;="&amp;$A1117,Despesas!$C:$C,E$1,Despesas!$M:$M,$B1117)</f>
        <v>0</v>
      </c>
      <c r="F1117" s="5">
        <f>SUMIFS(Despesas!$F:$F,Despesas!$J:$J,"&lt;="&amp;$A1117,Despesas!$L:$L,"&gt;="&amp;$A1117,Despesas!$C:$C,F$1,Despesas!$M:$M,"Mensal")+SUMIFS(Despesas!$F:$F,Despesas!$J:$J,"&lt;="&amp;$A1117,Despesas!$L:$L,"&gt;="&amp;$A1117,Despesas!$C:$C,F$1,Despesas!$M:$M,$B1117)</f>
        <v>0</v>
      </c>
      <c r="G1117" s="5">
        <f>SUMIFS(Despesas!$F:$F,Despesas!$J:$J,"&lt;="&amp;$A1117,Despesas!$L:$L,"&gt;="&amp;$A1117,Despesas!$C:$C,G$1,Despesas!$M:$M,"Mensal")+SUMIFS(Despesas!$F:$F,Despesas!$J:$J,"&lt;="&amp;$A1117,Despesas!$L:$L,"&gt;="&amp;$A1117,Despesas!$C:$C,G$1,Despesas!$M:$M,$B1117)</f>
        <v>0</v>
      </c>
      <c r="H1117" s="18">
        <f>SUMIFS(Despesas!$F:$F,Despesas!$J:$J,"&lt;="&amp;$A1117,Despesas!$L:$L,"&gt;="&amp;$A1117,Despesas!$C:$C,H$1,Despesas!$M:$M,"Mensal")+SUMIFS(Despesas!$F:$F,Despesas!$J:$J,"&lt;="&amp;$A1117,Despesas!$L:$L,"&gt;="&amp;$A1117,Despesas!$C:$C,H$1,Despesas!$M:$M,$B1117)</f>
        <v>0</v>
      </c>
      <c r="I1117" s="18">
        <f>IF(Imóveis!$F$2="PRICE",IF(AND(Dados!$A1117&gt;=Imóveis!$Q$2,Dados!$A1117&lt;=Imóveis!$T$2),Imóveis!$U$2,0),IF((IF(AND(Dados!$A1117&gt;=Imóveis!$Q$2,Dados!$A1117&lt;=Imóveis!$T$2),Imóveis!$S$2-(DATEDIF(Imóveis!$Q$2,Dados!$A1117,"m")),0))=0,0,((Imóveis!$N$2/Imóveis!$S$2)+((Imóveis!$N$2-((Imóveis!$S$2-(IF(AND(Dados!$A1117&gt;=Imóveis!$Q$2,Dados!$A1117&lt;=Imóveis!$T$2),Imóveis!$S$2-(DATEDIF(Imóveis!$Q$2,Dados!$A1117,"m")),)))*(Imóveis!$N$2/Imóveis!$S$2)))*Imóveis!$P$2))))*IF(AND(Imóveis!$E$2&gt;0,Dados!$A1117&gt;Imóveis!$E$2),0,1)</f>
        <v>0</v>
      </c>
      <c r="J1117" s="18">
        <f>IF(Imóveis!$F$3="PRICE",IF(AND(Dados!$A1117&gt;=Imóveis!$Q$3,Dados!$A1117&lt;=Imóveis!$T$3),Imóveis!$U$3,0),IF((IF(AND(Dados!$A1117&gt;=Imóveis!$Q$3,Dados!$A1117&lt;=Imóveis!$T$3),Imóveis!$S$3-(DATEDIF(Imóveis!$Q$3,Dados!$A1117,"m")),0))=0,0,((Imóveis!$N$3/Imóveis!$S$3)+((Imóveis!$N$3-((Imóveis!$S$3-(IF(AND(Dados!$A1117&gt;=Imóveis!$Q$3,Dados!$A1117&lt;=Imóveis!$T$3),Imóveis!$S$3-(DATEDIF(Imóveis!$Q$3,Dados!$A1117,"m")),)))*(Imóveis!$N$3/Imóveis!$S$3)))*Imóveis!$P$3))))*IF(AND(Imóveis!$E$3&gt;0,Dados!$A1117&gt;Imóveis!$E$3),0,1)</f>
        <v>0</v>
      </c>
      <c r="K1117" s="18">
        <f>IF(Imóveis!$F$4="PRICE",IF(AND(Dados!$A1117&gt;=Imóveis!$Q$4,Dados!$A1117&lt;=Imóveis!$T$4),Imóveis!$U$4,0),IF((IF(AND(Dados!$A1117&gt;=Imóveis!$Q$4,Dados!$A1117&lt;=Imóveis!$T$4),Imóveis!$S$4-(DATEDIF(Imóveis!$Q$4,Dados!$A1117,"m")),0))=0,0,((Imóveis!$N$4/Imóveis!$S$4)+((Imóveis!$N$4-((Imóveis!$S$4-(IF(AND(Dados!$A1117&gt;=Imóveis!$Q$4,Dados!$A1117&lt;=Imóveis!$T$4),Imóveis!$S$4-(DATEDIF(Imóveis!$Q$4,Dados!$A1117,"m")),)))*(Imóveis!$N$4/Imóveis!$S$4)))*Imóveis!$P$4))))*IF(AND(Imóveis!$E$4&gt;0,Dados!$A1117&gt;Imóveis!$E$4),0,1)</f>
        <v>0</v>
      </c>
      <c r="L1117" s="18">
        <f>IF(Imóveis!$F$5="PRICE",IF(AND(Dados!$A1117&gt;=Imóveis!$Q$5,Dados!$A1117&lt;=Imóveis!$T$5),Imóveis!$U$5,0),IF((IF(AND(Dados!$A1117&gt;=Imóveis!$Q$5,Dados!$A1117&lt;=Imóveis!$T$5),Imóveis!$S$5-(DATEDIF(Imóveis!$Q$5,Dados!$A1117,"m")),0))=0,0,((Imóveis!$N$5/Imóveis!$S$5)+((Imóveis!$N$5-((Imóveis!$S$5-(IF(AND(Dados!$A1117 &gt;=Imóveis!$Q$5,Dados!$A1117&lt;=Imóveis!$T$5),Imóveis!$S$5-(DATEDIF(Imóveis!$Q$5,Dados!$A1117,"m")),)))*(Imóveis!$N$5/Imóveis!$S$5)))*Imóveis!$P$5))))*IF(AND(Imóveis!$E$5&gt;0,Dados!$A1117&gt;Imóveis!$E$5),0,1)*Imóveis!$I$5</f>
        <v>0</v>
      </c>
      <c r="M1117" s="18">
        <f>IF(Imóveis!$F$6="PRICE",IF(AND(Dados!$A1117&gt;=Imóveis!$Q$6,Dados!$A1117&lt;=Imóveis!$T$6),Imóveis!$U$6,0),IF((IF(AND(Dados!$A1117&gt;=Imóveis!$Q$6,Dados!$A1117&lt;=Imóveis!$T$6),Imóveis!$S$6-(DATEDIF(Imóveis!$Q$6,Dados!$A1117,"m")),0))=0,0,((Imóveis!$N$6/Imóveis!$S$6)+((Imóveis!$N$6-((Imóveis!$S$6-(IF(AND(Dados!$A1117&gt;=Imóveis!$Q$6,Dados!$A1117&lt;=Imóveis!$T$6),Imóveis!$S$6-(DATEDIF(Imóveis!$Q$6,Dados!$A1117,"m")),)))*(Imóveis!$N$6/Imóveis!$S$6)))*Imóveis!$P$6))))*IF(AND(Imóveis!$E$6&gt;0,Dados!$A1117&gt;Imóveis!$E$6),0,1)*Imóveis!$I$6</f>
        <v>0</v>
      </c>
      <c r="N1117" s="18">
        <f t="shared" si="141"/>
        <v>0</v>
      </c>
      <c r="O1117" s="18">
        <f>SUMIFS(Receitas!$F:$F,Receitas!$J:$J,"&lt;="&amp;$A1117,Receitas!$L:$L,"&gt;="&amp;$A1117,Receitas!$C:$C,O$1,Receitas!$M:$M,"Mensal")+SUMIFS(Receitas!$F:$F,Receitas!$J:$J,"&lt;="&amp;$A1117,Receitas!$L:$L,"&gt;="&amp;$A1117,Receitas!$C:$C,O$1,Receitas!$M:$M,$B1117)</f>
        <v>0</v>
      </c>
      <c r="P1117" s="18">
        <f>SUMIFS(Receitas!$F:$F,Receitas!$J:$J,"&lt;="&amp;$A1117,Receitas!$L:$L,"&gt;="&amp;$A1117,Receitas!$C:$C,P$1,Receitas!$M:$M,"Mensal")+SUMIFS(Receitas!$F:$F,Receitas!$J:$J,"&lt;="&amp;$A1117,Receitas!$L:$L,"&gt;="&amp;$A1117,Receitas!$C:$C,P$1,Receitas!$M:$M,$B1117)</f>
        <v>0</v>
      </c>
      <c r="Q1117" s="18">
        <f>SUMIFS(Receitas!$F:$F,Receitas!$J:$J,"&lt;="&amp;$A1117,Receitas!$L:$L,"&gt;="&amp;$A1117,Receitas!$C:$C,Q$1,Receitas!$M:$M,"Mensal")+SUMIFS(Receitas!$F:$F,Receitas!$J:$J,"&lt;="&amp;$A1117,Receitas!$L:$L,"&gt;="&amp;$A1117,Receitas!$C:$C,Q$1,Receitas!$M:$M,$B1117)</f>
        <v>0</v>
      </c>
      <c r="R1117" s="18" cm="1">
        <f t="array" ref="R1117">(IF(AND(Membros!$F$2="Sim",A1117&lt;=MAX(Membros!$E$2:$E$5)),Membros!K$2,IF(AND(A1117&gt;=Membros!J$2,A1117&lt;=MAX(Membros!$E$2:$E$5)),Membros!K$2,0))+IF(AND(Membros!$F$3="Sim",A1117&lt;=MAX(Membros!$E$2:$E$5)),Membros!K$3,IF(AND(A1117&gt;=Membros!J$3,A1117&lt;=MAX(Membros!$E$2:$E$5)),Membros!K$3,0)))*IF(AND(COUNTIFS(Tabela3[Tipo],"Provedor",Tabela3[Simulação Seguro],"Sim")=2,A1117&gt;=MAX(IF(Tabela3[Tipo]="Dependente",Tabela3[Expectativa de Vida (Data)]))),0,1)</f>
        <v>0</v>
      </c>
      <c r="S1117" s="18">
        <f t="shared" si="142"/>
        <v>0</v>
      </c>
      <c r="U1117" s="18">
        <f t="shared" ca="1" si="145"/>
        <v>180868368.16122818</v>
      </c>
      <c r="V1117" s="18">
        <f>SUMIF(Imóveis!E:E,Dados!A:A,Imóveis!Z:Z)-SUMIF(Imóveis!E:E,Dados!A:A,Imóveis!Y:Y)</f>
        <v>0</v>
      </c>
      <c r="W1117" s="18">
        <f>-SUMIF(Projetos!N:N,A1117,Projetos!F:F)</f>
        <v>0</v>
      </c>
      <c r="X1117" s="18">
        <f t="shared" si="139"/>
        <v>0</v>
      </c>
      <c r="Y1117" s="26">
        <f ca="1">(U1117*((Indicadores_Economicos!D$2+1)^(1/12)-1))</f>
        <v>592115.97219081223</v>
      </c>
      <c r="Z1117" s="18">
        <f t="shared" ca="1" si="143"/>
        <v>181460484.13341898</v>
      </c>
      <c r="AA1117" s="18">
        <f ca="1">Auxiliar_Projetos!E1117</f>
        <v>1.495811030088608E-8</v>
      </c>
      <c r="AB1117" s="18">
        <f ca="1">Auxiliar_Projetos!K1117</f>
        <v>1.1506238692989286E-8</v>
      </c>
      <c r="AC1117" s="18">
        <f ca="1">IF(Z1117-AA1117-AB1117&gt;Investimentos!$C$14,Investimentos!$C$14,IF(Z1117-AA1117-AB1117&lt;Investimentos!$C$14,Z1117-AA1117-AB1117,0))</f>
        <v>300000</v>
      </c>
      <c r="AD1117" s="18">
        <f t="shared" ca="1" si="144"/>
        <v>181160484.13341895</v>
      </c>
      <c r="AE1117" s="18"/>
    </row>
    <row r="1118" spans="1:31" x14ac:dyDescent="0.2">
      <c r="A1118" s="4">
        <v>79625</v>
      </c>
      <c r="B1118" s="5" t="str">
        <f t="shared" si="140"/>
        <v>janeiro</v>
      </c>
      <c r="C1118" s="5" t="str">
        <f t="shared" si="146"/>
        <v>2118</v>
      </c>
      <c r="D1118" s="5">
        <f>SUMIFS(Despesas!$F:$F,Despesas!$J:$J,"&lt;="&amp;$A1118,Despesas!$L:$L,"&gt;="&amp;$A1118,Despesas!$C:$C,D$1,Despesas!$M:$M,"Mensal")+SUMIFS(Despesas!$F:$F,Despesas!$J:$J,"&lt;="&amp;$A1118,Despesas!$L:$L,"&gt;="&amp;$A1118,Despesas!$C:$C,D$1,Despesas!$M:$M,$B1118)</f>
        <v>0</v>
      </c>
      <c r="E1118" s="18">
        <f>SUMIFS(Despesas!$F:$F,Despesas!$J:$J,"&lt;="&amp;$A1118,Despesas!$L:$L,"&gt;="&amp;$A1118,Despesas!$C:$C,E$1,Despesas!$M:$M,"Mensal")+SUMIFS(Despesas!$F:$F,Despesas!$J:$J,"&lt;="&amp;$A1118,Despesas!$L:$L,"&gt;="&amp;$A1118,Despesas!$C:$C,E$1,Despesas!$M:$M,$B1118)</f>
        <v>0</v>
      </c>
      <c r="F1118" s="5">
        <f>SUMIFS(Despesas!$F:$F,Despesas!$J:$J,"&lt;="&amp;$A1118,Despesas!$L:$L,"&gt;="&amp;$A1118,Despesas!$C:$C,F$1,Despesas!$M:$M,"Mensal")+SUMIFS(Despesas!$F:$F,Despesas!$J:$J,"&lt;="&amp;$A1118,Despesas!$L:$L,"&gt;="&amp;$A1118,Despesas!$C:$C,F$1,Despesas!$M:$M,$B1118)</f>
        <v>0</v>
      </c>
      <c r="G1118" s="5">
        <f>SUMIFS(Despesas!$F:$F,Despesas!$J:$J,"&lt;="&amp;$A1118,Despesas!$L:$L,"&gt;="&amp;$A1118,Despesas!$C:$C,G$1,Despesas!$M:$M,"Mensal")+SUMIFS(Despesas!$F:$F,Despesas!$J:$J,"&lt;="&amp;$A1118,Despesas!$L:$L,"&gt;="&amp;$A1118,Despesas!$C:$C,G$1,Despesas!$M:$M,$B1118)</f>
        <v>0</v>
      </c>
      <c r="H1118" s="18">
        <f>SUMIFS(Despesas!$F:$F,Despesas!$J:$J,"&lt;="&amp;$A1118,Despesas!$L:$L,"&gt;="&amp;$A1118,Despesas!$C:$C,H$1,Despesas!$M:$M,"Mensal")+SUMIFS(Despesas!$F:$F,Despesas!$J:$J,"&lt;="&amp;$A1118,Despesas!$L:$L,"&gt;="&amp;$A1118,Despesas!$C:$C,H$1,Despesas!$M:$M,$B1118)</f>
        <v>0</v>
      </c>
      <c r="I1118" s="18">
        <f>IF(Imóveis!$F$2="PRICE",IF(AND(Dados!$A1118&gt;=Imóveis!$Q$2,Dados!$A1118&lt;=Imóveis!$T$2),Imóveis!$U$2,0),IF((IF(AND(Dados!$A1118&gt;=Imóveis!$Q$2,Dados!$A1118&lt;=Imóveis!$T$2),Imóveis!$S$2-(DATEDIF(Imóveis!$Q$2,Dados!$A1118,"m")),0))=0,0,((Imóveis!$N$2/Imóveis!$S$2)+((Imóveis!$N$2-((Imóveis!$S$2-(IF(AND(Dados!$A1118&gt;=Imóveis!$Q$2,Dados!$A1118&lt;=Imóveis!$T$2),Imóveis!$S$2-(DATEDIF(Imóveis!$Q$2,Dados!$A1118,"m")),)))*(Imóveis!$N$2/Imóveis!$S$2)))*Imóveis!$P$2))))*IF(AND(Imóveis!$E$2&gt;0,Dados!$A1118&gt;Imóveis!$E$2),0,1)</f>
        <v>0</v>
      </c>
      <c r="J1118" s="18">
        <f>IF(Imóveis!$F$3="PRICE",IF(AND(Dados!$A1118&gt;=Imóveis!$Q$3,Dados!$A1118&lt;=Imóveis!$T$3),Imóveis!$U$3,0),IF((IF(AND(Dados!$A1118&gt;=Imóveis!$Q$3,Dados!$A1118&lt;=Imóveis!$T$3),Imóveis!$S$3-(DATEDIF(Imóveis!$Q$3,Dados!$A1118,"m")),0))=0,0,((Imóveis!$N$3/Imóveis!$S$3)+((Imóveis!$N$3-((Imóveis!$S$3-(IF(AND(Dados!$A1118&gt;=Imóveis!$Q$3,Dados!$A1118&lt;=Imóveis!$T$3),Imóveis!$S$3-(DATEDIF(Imóveis!$Q$3,Dados!$A1118,"m")),)))*(Imóveis!$N$3/Imóveis!$S$3)))*Imóveis!$P$3))))*IF(AND(Imóveis!$E$3&gt;0,Dados!$A1118&gt;Imóveis!$E$3),0,1)</f>
        <v>0</v>
      </c>
      <c r="K1118" s="18">
        <f>IF(Imóveis!$F$4="PRICE",IF(AND(Dados!$A1118&gt;=Imóveis!$Q$4,Dados!$A1118&lt;=Imóveis!$T$4),Imóveis!$U$4,0),IF((IF(AND(Dados!$A1118&gt;=Imóveis!$Q$4,Dados!$A1118&lt;=Imóveis!$T$4),Imóveis!$S$4-(DATEDIF(Imóveis!$Q$4,Dados!$A1118,"m")),0))=0,0,((Imóveis!$N$4/Imóveis!$S$4)+((Imóveis!$N$4-((Imóveis!$S$4-(IF(AND(Dados!$A1118&gt;=Imóveis!$Q$4,Dados!$A1118&lt;=Imóveis!$T$4),Imóveis!$S$4-(DATEDIF(Imóveis!$Q$4,Dados!$A1118,"m")),)))*(Imóveis!$N$4/Imóveis!$S$4)))*Imóveis!$P$4))))*IF(AND(Imóveis!$E$4&gt;0,Dados!$A1118&gt;Imóveis!$E$4),0,1)</f>
        <v>0</v>
      </c>
      <c r="L1118" s="18">
        <f>IF(Imóveis!$F$5="PRICE",IF(AND(Dados!$A1118&gt;=Imóveis!$Q$5,Dados!$A1118&lt;=Imóveis!$T$5),Imóveis!$U$5,0),IF((IF(AND(Dados!$A1118&gt;=Imóveis!$Q$5,Dados!$A1118&lt;=Imóveis!$T$5),Imóveis!$S$5-(DATEDIF(Imóveis!$Q$5,Dados!$A1118,"m")),0))=0,0,((Imóveis!$N$5/Imóveis!$S$5)+((Imóveis!$N$5-((Imóveis!$S$5-(IF(AND(Dados!$A1118 &gt;=Imóveis!$Q$5,Dados!$A1118&lt;=Imóveis!$T$5),Imóveis!$S$5-(DATEDIF(Imóveis!$Q$5,Dados!$A1118,"m")),)))*(Imóveis!$N$5/Imóveis!$S$5)))*Imóveis!$P$5))))*IF(AND(Imóveis!$E$5&gt;0,Dados!$A1118&gt;Imóveis!$E$5),0,1)*Imóveis!$I$5</f>
        <v>0</v>
      </c>
      <c r="M1118" s="18">
        <f>IF(Imóveis!$F$6="PRICE",IF(AND(Dados!$A1118&gt;=Imóveis!$Q$6,Dados!$A1118&lt;=Imóveis!$T$6),Imóveis!$U$6,0),IF((IF(AND(Dados!$A1118&gt;=Imóveis!$Q$6,Dados!$A1118&lt;=Imóveis!$T$6),Imóveis!$S$6-(DATEDIF(Imóveis!$Q$6,Dados!$A1118,"m")),0))=0,0,((Imóveis!$N$6/Imóveis!$S$6)+((Imóveis!$N$6-((Imóveis!$S$6-(IF(AND(Dados!$A1118&gt;=Imóveis!$Q$6,Dados!$A1118&lt;=Imóveis!$T$6),Imóveis!$S$6-(DATEDIF(Imóveis!$Q$6,Dados!$A1118,"m")),)))*(Imóveis!$N$6/Imóveis!$S$6)))*Imóveis!$P$6))))*IF(AND(Imóveis!$E$6&gt;0,Dados!$A1118&gt;Imóveis!$E$6),0,1)*Imóveis!$I$6</f>
        <v>0</v>
      </c>
      <c r="N1118" s="18">
        <f t="shared" si="141"/>
        <v>0</v>
      </c>
      <c r="O1118" s="18">
        <f>SUMIFS(Receitas!$F:$F,Receitas!$J:$J,"&lt;="&amp;$A1118,Receitas!$L:$L,"&gt;="&amp;$A1118,Receitas!$C:$C,O$1,Receitas!$M:$M,"Mensal")+SUMIFS(Receitas!$F:$F,Receitas!$J:$J,"&lt;="&amp;$A1118,Receitas!$L:$L,"&gt;="&amp;$A1118,Receitas!$C:$C,O$1,Receitas!$M:$M,$B1118)</f>
        <v>0</v>
      </c>
      <c r="P1118" s="18">
        <f>SUMIFS(Receitas!$F:$F,Receitas!$J:$J,"&lt;="&amp;$A1118,Receitas!$L:$L,"&gt;="&amp;$A1118,Receitas!$C:$C,P$1,Receitas!$M:$M,"Mensal")+SUMIFS(Receitas!$F:$F,Receitas!$J:$J,"&lt;="&amp;$A1118,Receitas!$L:$L,"&gt;="&amp;$A1118,Receitas!$C:$C,P$1,Receitas!$M:$M,$B1118)</f>
        <v>0</v>
      </c>
      <c r="Q1118" s="18">
        <f>SUMIFS(Receitas!$F:$F,Receitas!$J:$J,"&lt;="&amp;$A1118,Receitas!$L:$L,"&gt;="&amp;$A1118,Receitas!$C:$C,Q$1,Receitas!$M:$M,"Mensal")+SUMIFS(Receitas!$F:$F,Receitas!$J:$J,"&lt;="&amp;$A1118,Receitas!$L:$L,"&gt;="&amp;$A1118,Receitas!$C:$C,Q$1,Receitas!$M:$M,$B1118)</f>
        <v>0</v>
      </c>
      <c r="R1118" s="18" cm="1">
        <f t="array" ref="R1118">(IF(AND(Membros!$F$2="Sim",A1118&lt;=MAX(Membros!$E$2:$E$5)),Membros!K$2,IF(AND(A1118&gt;=Membros!J$2,A1118&lt;=MAX(Membros!$E$2:$E$5)),Membros!K$2,0))+IF(AND(Membros!$F$3="Sim",A1118&lt;=MAX(Membros!$E$2:$E$5)),Membros!K$3,IF(AND(A1118&gt;=Membros!J$3,A1118&lt;=MAX(Membros!$E$2:$E$5)),Membros!K$3,0)))*IF(AND(COUNTIFS(Tabela3[Tipo],"Provedor",Tabela3[Simulação Seguro],"Sim")=2,A1118&gt;=MAX(IF(Tabela3[Tipo]="Dependente",Tabela3[Expectativa de Vida (Data)]))),0,1)</f>
        <v>0</v>
      </c>
      <c r="S1118" s="18">
        <f t="shared" si="142"/>
        <v>0</v>
      </c>
      <c r="U1118" s="18">
        <f t="shared" ca="1" si="145"/>
        <v>181460484.13341898</v>
      </c>
      <c r="V1118" s="18">
        <f>SUMIF(Imóveis!E:E,Dados!A:A,Imóveis!Z:Z)-SUMIF(Imóveis!E:E,Dados!A:A,Imóveis!Y:Y)</f>
        <v>0</v>
      </c>
      <c r="W1118" s="18">
        <f>-SUMIF(Projetos!N:N,A1118,Projetos!F:F)</f>
        <v>0</v>
      </c>
      <c r="X1118" s="18">
        <f t="shared" si="139"/>
        <v>0</v>
      </c>
      <c r="Y1118" s="26">
        <f ca="1">(U1118*((Indicadores_Economicos!D$2+1)^(1/12)-1))</f>
        <v>594054.40580464865</v>
      </c>
      <c r="Z1118" s="18">
        <f t="shared" ca="1" si="143"/>
        <v>182054538.53922361</v>
      </c>
      <c r="AA1118" s="18">
        <f ca="1">Auxiliar_Projetos!E1118</f>
        <v>1.5007079261644612E-8</v>
      </c>
      <c r="AB1118" s="18">
        <f ca="1">Auxiliar_Projetos!K1118</f>
        <v>1.1543907124342001E-8</v>
      </c>
      <c r="AC1118" s="18">
        <f ca="1">IF(Z1118-AA1118-AB1118&gt;Investimentos!$C$14,Investimentos!$C$14,IF(Z1118-AA1118-AB1118&lt;Investimentos!$C$14,Z1118-AA1118-AB1118,0))</f>
        <v>300000</v>
      </c>
      <c r="AD1118" s="18">
        <f t="shared" ca="1" si="144"/>
        <v>181754538.53922358</v>
      </c>
      <c r="AE1118" s="18"/>
    </row>
    <row r="1119" spans="1:31" x14ac:dyDescent="0.2">
      <c r="A1119" s="4">
        <v>79656</v>
      </c>
      <c r="B1119" s="5" t="str">
        <f t="shared" si="140"/>
        <v>fevereiro</v>
      </c>
      <c r="C1119" s="5" t="str">
        <f t="shared" si="146"/>
        <v>2118</v>
      </c>
      <c r="D1119" s="5">
        <f>SUMIFS(Despesas!$F:$F,Despesas!$J:$J,"&lt;="&amp;$A1119,Despesas!$L:$L,"&gt;="&amp;$A1119,Despesas!$C:$C,D$1,Despesas!$M:$M,"Mensal")+SUMIFS(Despesas!$F:$F,Despesas!$J:$J,"&lt;="&amp;$A1119,Despesas!$L:$L,"&gt;="&amp;$A1119,Despesas!$C:$C,D$1,Despesas!$M:$M,$B1119)</f>
        <v>0</v>
      </c>
      <c r="E1119" s="18">
        <f>SUMIFS(Despesas!$F:$F,Despesas!$J:$J,"&lt;="&amp;$A1119,Despesas!$L:$L,"&gt;="&amp;$A1119,Despesas!$C:$C,E$1,Despesas!$M:$M,"Mensal")+SUMIFS(Despesas!$F:$F,Despesas!$J:$J,"&lt;="&amp;$A1119,Despesas!$L:$L,"&gt;="&amp;$A1119,Despesas!$C:$C,E$1,Despesas!$M:$M,$B1119)</f>
        <v>0</v>
      </c>
      <c r="F1119" s="5">
        <f>SUMIFS(Despesas!$F:$F,Despesas!$J:$J,"&lt;="&amp;$A1119,Despesas!$L:$L,"&gt;="&amp;$A1119,Despesas!$C:$C,F$1,Despesas!$M:$M,"Mensal")+SUMIFS(Despesas!$F:$F,Despesas!$J:$J,"&lt;="&amp;$A1119,Despesas!$L:$L,"&gt;="&amp;$A1119,Despesas!$C:$C,F$1,Despesas!$M:$M,$B1119)</f>
        <v>0</v>
      </c>
      <c r="G1119" s="5">
        <f>SUMIFS(Despesas!$F:$F,Despesas!$J:$J,"&lt;="&amp;$A1119,Despesas!$L:$L,"&gt;="&amp;$A1119,Despesas!$C:$C,G$1,Despesas!$M:$M,"Mensal")+SUMIFS(Despesas!$F:$F,Despesas!$J:$J,"&lt;="&amp;$A1119,Despesas!$L:$L,"&gt;="&amp;$A1119,Despesas!$C:$C,G$1,Despesas!$M:$M,$B1119)</f>
        <v>0</v>
      </c>
      <c r="H1119" s="18">
        <f>SUMIFS(Despesas!$F:$F,Despesas!$J:$J,"&lt;="&amp;$A1119,Despesas!$L:$L,"&gt;="&amp;$A1119,Despesas!$C:$C,H$1,Despesas!$M:$M,"Mensal")+SUMIFS(Despesas!$F:$F,Despesas!$J:$J,"&lt;="&amp;$A1119,Despesas!$L:$L,"&gt;="&amp;$A1119,Despesas!$C:$C,H$1,Despesas!$M:$M,$B1119)</f>
        <v>0</v>
      </c>
      <c r="I1119" s="18">
        <f>IF(Imóveis!$F$2="PRICE",IF(AND(Dados!$A1119&gt;=Imóveis!$Q$2,Dados!$A1119&lt;=Imóveis!$T$2),Imóveis!$U$2,0),IF((IF(AND(Dados!$A1119&gt;=Imóveis!$Q$2,Dados!$A1119&lt;=Imóveis!$T$2),Imóveis!$S$2-(DATEDIF(Imóveis!$Q$2,Dados!$A1119,"m")),0))=0,0,((Imóveis!$N$2/Imóveis!$S$2)+((Imóveis!$N$2-((Imóveis!$S$2-(IF(AND(Dados!$A1119&gt;=Imóveis!$Q$2,Dados!$A1119&lt;=Imóveis!$T$2),Imóveis!$S$2-(DATEDIF(Imóveis!$Q$2,Dados!$A1119,"m")),)))*(Imóveis!$N$2/Imóveis!$S$2)))*Imóveis!$P$2))))*IF(AND(Imóveis!$E$2&gt;0,Dados!$A1119&gt;Imóveis!$E$2),0,1)</f>
        <v>0</v>
      </c>
      <c r="J1119" s="18">
        <f>IF(Imóveis!$F$3="PRICE",IF(AND(Dados!$A1119&gt;=Imóveis!$Q$3,Dados!$A1119&lt;=Imóveis!$T$3),Imóveis!$U$3,0),IF((IF(AND(Dados!$A1119&gt;=Imóveis!$Q$3,Dados!$A1119&lt;=Imóveis!$T$3),Imóveis!$S$3-(DATEDIF(Imóveis!$Q$3,Dados!$A1119,"m")),0))=0,0,((Imóveis!$N$3/Imóveis!$S$3)+((Imóveis!$N$3-((Imóveis!$S$3-(IF(AND(Dados!$A1119&gt;=Imóveis!$Q$3,Dados!$A1119&lt;=Imóveis!$T$3),Imóveis!$S$3-(DATEDIF(Imóveis!$Q$3,Dados!$A1119,"m")),)))*(Imóveis!$N$3/Imóveis!$S$3)))*Imóveis!$P$3))))*IF(AND(Imóveis!$E$3&gt;0,Dados!$A1119&gt;Imóveis!$E$3),0,1)</f>
        <v>0</v>
      </c>
      <c r="K1119" s="18">
        <f>IF(Imóveis!$F$4="PRICE",IF(AND(Dados!$A1119&gt;=Imóveis!$Q$4,Dados!$A1119&lt;=Imóveis!$T$4),Imóveis!$U$4,0),IF((IF(AND(Dados!$A1119&gt;=Imóveis!$Q$4,Dados!$A1119&lt;=Imóveis!$T$4),Imóveis!$S$4-(DATEDIF(Imóveis!$Q$4,Dados!$A1119,"m")),0))=0,0,((Imóveis!$N$4/Imóveis!$S$4)+((Imóveis!$N$4-((Imóveis!$S$4-(IF(AND(Dados!$A1119&gt;=Imóveis!$Q$4,Dados!$A1119&lt;=Imóveis!$T$4),Imóveis!$S$4-(DATEDIF(Imóveis!$Q$4,Dados!$A1119,"m")),)))*(Imóveis!$N$4/Imóveis!$S$4)))*Imóveis!$P$4))))*IF(AND(Imóveis!$E$4&gt;0,Dados!$A1119&gt;Imóveis!$E$4),0,1)</f>
        <v>0</v>
      </c>
      <c r="L1119" s="18">
        <f>IF(Imóveis!$F$5="PRICE",IF(AND(Dados!$A1119&gt;=Imóveis!$Q$5,Dados!$A1119&lt;=Imóveis!$T$5),Imóveis!$U$5,0),IF((IF(AND(Dados!$A1119&gt;=Imóveis!$Q$5,Dados!$A1119&lt;=Imóveis!$T$5),Imóveis!$S$5-(DATEDIF(Imóveis!$Q$5,Dados!$A1119,"m")),0))=0,0,((Imóveis!$N$5/Imóveis!$S$5)+((Imóveis!$N$5-((Imóveis!$S$5-(IF(AND(Dados!$A1119 &gt;=Imóveis!$Q$5,Dados!$A1119&lt;=Imóveis!$T$5),Imóveis!$S$5-(DATEDIF(Imóveis!$Q$5,Dados!$A1119,"m")),)))*(Imóveis!$N$5/Imóveis!$S$5)))*Imóveis!$P$5))))*IF(AND(Imóveis!$E$5&gt;0,Dados!$A1119&gt;Imóveis!$E$5),0,1)*Imóveis!$I$5</f>
        <v>0</v>
      </c>
      <c r="M1119" s="18">
        <f>IF(Imóveis!$F$6="PRICE",IF(AND(Dados!$A1119&gt;=Imóveis!$Q$6,Dados!$A1119&lt;=Imóveis!$T$6),Imóveis!$U$6,0),IF((IF(AND(Dados!$A1119&gt;=Imóveis!$Q$6,Dados!$A1119&lt;=Imóveis!$T$6),Imóveis!$S$6-(DATEDIF(Imóveis!$Q$6,Dados!$A1119,"m")),0))=0,0,((Imóveis!$N$6/Imóveis!$S$6)+((Imóveis!$N$6-((Imóveis!$S$6-(IF(AND(Dados!$A1119&gt;=Imóveis!$Q$6,Dados!$A1119&lt;=Imóveis!$T$6),Imóveis!$S$6-(DATEDIF(Imóveis!$Q$6,Dados!$A1119,"m")),)))*(Imóveis!$N$6/Imóveis!$S$6)))*Imóveis!$P$6))))*IF(AND(Imóveis!$E$6&gt;0,Dados!$A1119&gt;Imóveis!$E$6),0,1)*Imóveis!$I$6</f>
        <v>0</v>
      </c>
      <c r="N1119" s="18">
        <f t="shared" si="141"/>
        <v>0</v>
      </c>
      <c r="O1119" s="18">
        <f>SUMIFS(Receitas!$F:$F,Receitas!$J:$J,"&lt;="&amp;$A1119,Receitas!$L:$L,"&gt;="&amp;$A1119,Receitas!$C:$C,O$1,Receitas!$M:$M,"Mensal")+SUMIFS(Receitas!$F:$F,Receitas!$J:$J,"&lt;="&amp;$A1119,Receitas!$L:$L,"&gt;="&amp;$A1119,Receitas!$C:$C,O$1,Receitas!$M:$M,$B1119)</f>
        <v>0</v>
      </c>
      <c r="P1119" s="18">
        <f>SUMIFS(Receitas!$F:$F,Receitas!$J:$J,"&lt;="&amp;$A1119,Receitas!$L:$L,"&gt;="&amp;$A1119,Receitas!$C:$C,P$1,Receitas!$M:$M,"Mensal")+SUMIFS(Receitas!$F:$F,Receitas!$J:$J,"&lt;="&amp;$A1119,Receitas!$L:$L,"&gt;="&amp;$A1119,Receitas!$C:$C,P$1,Receitas!$M:$M,$B1119)</f>
        <v>0</v>
      </c>
      <c r="Q1119" s="18">
        <f>SUMIFS(Receitas!$F:$F,Receitas!$J:$J,"&lt;="&amp;$A1119,Receitas!$L:$L,"&gt;="&amp;$A1119,Receitas!$C:$C,Q$1,Receitas!$M:$M,"Mensal")+SUMIFS(Receitas!$F:$F,Receitas!$J:$J,"&lt;="&amp;$A1119,Receitas!$L:$L,"&gt;="&amp;$A1119,Receitas!$C:$C,Q$1,Receitas!$M:$M,$B1119)</f>
        <v>0</v>
      </c>
      <c r="R1119" s="18" cm="1">
        <f t="array" ref="R1119">(IF(AND(Membros!$F$2="Sim",A1119&lt;=MAX(Membros!$E$2:$E$5)),Membros!K$2,IF(AND(A1119&gt;=Membros!J$2,A1119&lt;=MAX(Membros!$E$2:$E$5)),Membros!K$2,0))+IF(AND(Membros!$F$3="Sim",A1119&lt;=MAX(Membros!$E$2:$E$5)),Membros!K$3,IF(AND(A1119&gt;=Membros!J$3,A1119&lt;=MAX(Membros!$E$2:$E$5)),Membros!K$3,0)))*IF(AND(COUNTIFS(Tabela3[Tipo],"Provedor",Tabela3[Simulação Seguro],"Sim")=2,A1119&gt;=MAX(IF(Tabela3[Tipo]="Dependente",Tabela3[Expectativa de Vida (Data)]))),0,1)</f>
        <v>0</v>
      </c>
      <c r="S1119" s="18">
        <f t="shared" si="142"/>
        <v>0</v>
      </c>
      <c r="U1119" s="18">
        <f t="shared" ca="1" si="145"/>
        <v>182054538.53922361</v>
      </c>
      <c r="V1119" s="18">
        <f>SUMIF(Imóveis!E:E,Dados!A:A,Imóveis!Z:Z)-SUMIF(Imóveis!E:E,Dados!A:A,Imóveis!Y:Y)</f>
        <v>0</v>
      </c>
      <c r="W1119" s="18">
        <f>-SUMIF(Projetos!N:N,A1119,Projetos!F:F)</f>
        <v>0</v>
      </c>
      <c r="X1119" s="18">
        <f t="shared" si="139"/>
        <v>0</v>
      </c>
      <c r="Y1119" s="26">
        <f ca="1">(U1119*((Indicadores_Economicos!D$2+1)^(1/12)-1))</f>
        <v>595999.18534572178</v>
      </c>
      <c r="Z1119" s="18">
        <f t="shared" ca="1" si="143"/>
        <v>182650537.72456932</v>
      </c>
      <c r="AA1119" s="18">
        <f ca="1">Auxiliar_Projetos!E1119</f>
        <v>1.505620853403807E-8</v>
      </c>
      <c r="AB1119" s="18">
        <f ca="1">Auxiliar_Projetos!K1119</f>
        <v>1.1581698872336968E-8</v>
      </c>
      <c r="AC1119" s="18">
        <f ca="1">IF(Z1119-AA1119-AB1119&gt;Investimentos!$C$14,Investimentos!$C$14,IF(Z1119-AA1119-AB1119&lt;Investimentos!$C$14,Z1119-AA1119-AB1119,0))</f>
        <v>300000</v>
      </c>
      <c r="AD1119" s="18">
        <f t="shared" ca="1" si="144"/>
        <v>182350537.72456929</v>
      </c>
      <c r="AE1119" s="18"/>
    </row>
    <row r="1120" spans="1:31" x14ac:dyDescent="0.2">
      <c r="A1120" s="4">
        <v>79684</v>
      </c>
      <c r="B1120" s="5" t="str">
        <f t="shared" si="140"/>
        <v>março</v>
      </c>
      <c r="C1120" s="5" t="str">
        <f t="shared" si="146"/>
        <v>2118</v>
      </c>
      <c r="D1120" s="5">
        <f>SUMIFS(Despesas!$F:$F,Despesas!$J:$J,"&lt;="&amp;$A1120,Despesas!$L:$L,"&gt;="&amp;$A1120,Despesas!$C:$C,D$1,Despesas!$M:$M,"Mensal")+SUMIFS(Despesas!$F:$F,Despesas!$J:$J,"&lt;="&amp;$A1120,Despesas!$L:$L,"&gt;="&amp;$A1120,Despesas!$C:$C,D$1,Despesas!$M:$M,$B1120)</f>
        <v>0</v>
      </c>
      <c r="E1120" s="18">
        <f>SUMIFS(Despesas!$F:$F,Despesas!$J:$J,"&lt;="&amp;$A1120,Despesas!$L:$L,"&gt;="&amp;$A1120,Despesas!$C:$C,E$1,Despesas!$M:$M,"Mensal")+SUMIFS(Despesas!$F:$F,Despesas!$J:$J,"&lt;="&amp;$A1120,Despesas!$L:$L,"&gt;="&amp;$A1120,Despesas!$C:$C,E$1,Despesas!$M:$M,$B1120)</f>
        <v>0</v>
      </c>
      <c r="F1120" s="5">
        <f>SUMIFS(Despesas!$F:$F,Despesas!$J:$J,"&lt;="&amp;$A1120,Despesas!$L:$L,"&gt;="&amp;$A1120,Despesas!$C:$C,F$1,Despesas!$M:$M,"Mensal")+SUMIFS(Despesas!$F:$F,Despesas!$J:$J,"&lt;="&amp;$A1120,Despesas!$L:$L,"&gt;="&amp;$A1120,Despesas!$C:$C,F$1,Despesas!$M:$M,$B1120)</f>
        <v>0</v>
      </c>
      <c r="G1120" s="5">
        <f>SUMIFS(Despesas!$F:$F,Despesas!$J:$J,"&lt;="&amp;$A1120,Despesas!$L:$L,"&gt;="&amp;$A1120,Despesas!$C:$C,G$1,Despesas!$M:$M,"Mensal")+SUMIFS(Despesas!$F:$F,Despesas!$J:$J,"&lt;="&amp;$A1120,Despesas!$L:$L,"&gt;="&amp;$A1120,Despesas!$C:$C,G$1,Despesas!$M:$M,$B1120)</f>
        <v>0</v>
      </c>
      <c r="H1120" s="18">
        <f>SUMIFS(Despesas!$F:$F,Despesas!$J:$J,"&lt;="&amp;$A1120,Despesas!$L:$L,"&gt;="&amp;$A1120,Despesas!$C:$C,H$1,Despesas!$M:$M,"Mensal")+SUMIFS(Despesas!$F:$F,Despesas!$J:$J,"&lt;="&amp;$A1120,Despesas!$L:$L,"&gt;="&amp;$A1120,Despesas!$C:$C,H$1,Despesas!$M:$M,$B1120)</f>
        <v>0</v>
      </c>
      <c r="I1120" s="18">
        <f>IF(Imóveis!$F$2="PRICE",IF(AND(Dados!$A1120&gt;=Imóveis!$Q$2,Dados!$A1120&lt;=Imóveis!$T$2),Imóveis!$U$2,0),IF((IF(AND(Dados!$A1120&gt;=Imóveis!$Q$2,Dados!$A1120&lt;=Imóveis!$T$2),Imóveis!$S$2-(DATEDIF(Imóveis!$Q$2,Dados!$A1120,"m")),0))=0,0,((Imóveis!$N$2/Imóveis!$S$2)+((Imóveis!$N$2-((Imóveis!$S$2-(IF(AND(Dados!$A1120&gt;=Imóveis!$Q$2,Dados!$A1120&lt;=Imóveis!$T$2),Imóveis!$S$2-(DATEDIF(Imóveis!$Q$2,Dados!$A1120,"m")),)))*(Imóveis!$N$2/Imóveis!$S$2)))*Imóveis!$P$2))))*IF(AND(Imóveis!$E$2&gt;0,Dados!$A1120&gt;Imóveis!$E$2),0,1)</f>
        <v>0</v>
      </c>
      <c r="J1120" s="18">
        <f>IF(Imóveis!$F$3="PRICE",IF(AND(Dados!$A1120&gt;=Imóveis!$Q$3,Dados!$A1120&lt;=Imóveis!$T$3),Imóveis!$U$3,0),IF((IF(AND(Dados!$A1120&gt;=Imóveis!$Q$3,Dados!$A1120&lt;=Imóveis!$T$3),Imóveis!$S$3-(DATEDIF(Imóveis!$Q$3,Dados!$A1120,"m")),0))=0,0,((Imóveis!$N$3/Imóveis!$S$3)+((Imóveis!$N$3-((Imóveis!$S$3-(IF(AND(Dados!$A1120&gt;=Imóveis!$Q$3,Dados!$A1120&lt;=Imóveis!$T$3),Imóveis!$S$3-(DATEDIF(Imóveis!$Q$3,Dados!$A1120,"m")),)))*(Imóveis!$N$3/Imóveis!$S$3)))*Imóveis!$P$3))))*IF(AND(Imóveis!$E$3&gt;0,Dados!$A1120&gt;Imóveis!$E$3),0,1)</f>
        <v>0</v>
      </c>
      <c r="K1120" s="18">
        <f>IF(Imóveis!$F$4="PRICE",IF(AND(Dados!$A1120&gt;=Imóveis!$Q$4,Dados!$A1120&lt;=Imóveis!$T$4),Imóveis!$U$4,0),IF((IF(AND(Dados!$A1120&gt;=Imóveis!$Q$4,Dados!$A1120&lt;=Imóveis!$T$4),Imóveis!$S$4-(DATEDIF(Imóveis!$Q$4,Dados!$A1120,"m")),0))=0,0,((Imóveis!$N$4/Imóveis!$S$4)+((Imóveis!$N$4-((Imóveis!$S$4-(IF(AND(Dados!$A1120&gt;=Imóveis!$Q$4,Dados!$A1120&lt;=Imóveis!$T$4),Imóveis!$S$4-(DATEDIF(Imóveis!$Q$4,Dados!$A1120,"m")),)))*(Imóveis!$N$4/Imóveis!$S$4)))*Imóveis!$P$4))))*IF(AND(Imóveis!$E$4&gt;0,Dados!$A1120&gt;Imóveis!$E$4),0,1)</f>
        <v>0</v>
      </c>
      <c r="L1120" s="18">
        <f>IF(Imóveis!$F$5="PRICE",IF(AND(Dados!$A1120&gt;=Imóveis!$Q$5,Dados!$A1120&lt;=Imóveis!$T$5),Imóveis!$U$5,0),IF((IF(AND(Dados!$A1120&gt;=Imóveis!$Q$5,Dados!$A1120&lt;=Imóveis!$T$5),Imóveis!$S$5-(DATEDIF(Imóveis!$Q$5,Dados!$A1120,"m")),0))=0,0,((Imóveis!$N$5/Imóveis!$S$5)+((Imóveis!$N$5-((Imóveis!$S$5-(IF(AND(Dados!$A1120 &gt;=Imóveis!$Q$5,Dados!$A1120&lt;=Imóveis!$T$5),Imóveis!$S$5-(DATEDIF(Imóveis!$Q$5,Dados!$A1120,"m")),)))*(Imóveis!$N$5/Imóveis!$S$5)))*Imóveis!$P$5))))*IF(AND(Imóveis!$E$5&gt;0,Dados!$A1120&gt;Imóveis!$E$5),0,1)*Imóveis!$I$5</f>
        <v>0</v>
      </c>
      <c r="M1120" s="18">
        <f>IF(Imóveis!$F$6="PRICE",IF(AND(Dados!$A1120&gt;=Imóveis!$Q$6,Dados!$A1120&lt;=Imóveis!$T$6),Imóveis!$U$6,0),IF((IF(AND(Dados!$A1120&gt;=Imóveis!$Q$6,Dados!$A1120&lt;=Imóveis!$T$6),Imóveis!$S$6-(DATEDIF(Imóveis!$Q$6,Dados!$A1120,"m")),0))=0,0,((Imóveis!$N$6/Imóveis!$S$6)+((Imóveis!$N$6-((Imóveis!$S$6-(IF(AND(Dados!$A1120&gt;=Imóveis!$Q$6,Dados!$A1120&lt;=Imóveis!$T$6),Imóveis!$S$6-(DATEDIF(Imóveis!$Q$6,Dados!$A1120,"m")),)))*(Imóveis!$N$6/Imóveis!$S$6)))*Imóveis!$P$6))))*IF(AND(Imóveis!$E$6&gt;0,Dados!$A1120&gt;Imóveis!$E$6),0,1)*Imóveis!$I$6</f>
        <v>0</v>
      </c>
      <c r="N1120" s="18">
        <f t="shared" si="141"/>
        <v>0</v>
      </c>
      <c r="O1120" s="18">
        <f>SUMIFS(Receitas!$F:$F,Receitas!$J:$J,"&lt;="&amp;$A1120,Receitas!$L:$L,"&gt;="&amp;$A1120,Receitas!$C:$C,O$1,Receitas!$M:$M,"Mensal")+SUMIFS(Receitas!$F:$F,Receitas!$J:$J,"&lt;="&amp;$A1120,Receitas!$L:$L,"&gt;="&amp;$A1120,Receitas!$C:$C,O$1,Receitas!$M:$M,$B1120)</f>
        <v>0</v>
      </c>
      <c r="P1120" s="18">
        <f>SUMIFS(Receitas!$F:$F,Receitas!$J:$J,"&lt;="&amp;$A1120,Receitas!$L:$L,"&gt;="&amp;$A1120,Receitas!$C:$C,P$1,Receitas!$M:$M,"Mensal")+SUMIFS(Receitas!$F:$F,Receitas!$J:$J,"&lt;="&amp;$A1120,Receitas!$L:$L,"&gt;="&amp;$A1120,Receitas!$C:$C,P$1,Receitas!$M:$M,$B1120)</f>
        <v>0</v>
      </c>
      <c r="Q1120" s="18">
        <f>SUMIFS(Receitas!$F:$F,Receitas!$J:$J,"&lt;="&amp;$A1120,Receitas!$L:$L,"&gt;="&amp;$A1120,Receitas!$C:$C,Q$1,Receitas!$M:$M,"Mensal")+SUMIFS(Receitas!$F:$F,Receitas!$J:$J,"&lt;="&amp;$A1120,Receitas!$L:$L,"&gt;="&amp;$A1120,Receitas!$C:$C,Q$1,Receitas!$M:$M,$B1120)</f>
        <v>0</v>
      </c>
      <c r="R1120" s="18" cm="1">
        <f t="array" ref="R1120">(IF(AND(Membros!$F$2="Sim",A1120&lt;=MAX(Membros!$E$2:$E$5)),Membros!K$2,IF(AND(A1120&gt;=Membros!J$2,A1120&lt;=MAX(Membros!$E$2:$E$5)),Membros!K$2,0))+IF(AND(Membros!$F$3="Sim",A1120&lt;=MAX(Membros!$E$2:$E$5)),Membros!K$3,IF(AND(A1120&gt;=Membros!J$3,A1120&lt;=MAX(Membros!$E$2:$E$5)),Membros!K$3,0)))*IF(AND(COUNTIFS(Tabela3[Tipo],"Provedor",Tabela3[Simulação Seguro],"Sim")=2,A1120&gt;=MAX(IF(Tabela3[Tipo]="Dependente",Tabela3[Expectativa de Vida (Data)]))),0,1)</f>
        <v>0</v>
      </c>
      <c r="S1120" s="18">
        <f t="shared" si="142"/>
        <v>0</v>
      </c>
      <c r="U1120" s="18">
        <f t="shared" ca="1" si="145"/>
        <v>182650537.72456932</v>
      </c>
      <c r="V1120" s="18">
        <f>SUMIF(Imóveis!E:E,Dados!A:A,Imóveis!Z:Z)-SUMIF(Imóveis!E:E,Dados!A:A,Imóveis!Y:Y)</f>
        <v>0</v>
      </c>
      <c r="W1120" s="18">
        <f>-SUMIF(Projetos!N:N,A1120,Projetos!F:F)</f>
        <v>0</v>
      </c>
      <c r="X1120" s="18">
        <f t="shared" si="139"/>
        <v>0</v>
      </c>
      <c r="Y1120" s="26">
        <f ca="1">(U1120*((Indicadores_Economicos!D$2+1)^(1/12)-1))</f>
        <v>597950.33158894617</v>
      </c>
      <c r="Z1120" s="18">
        <f t="shared" ca="1" si="143"/>
        <v>183248488.05615827</v>
      </c>
      <c r="AA1120" s="18">
        <f ca="1">Auxiliar_Projetos!E1120</f>
        <v>1.5105498642885032E-8</v>
      </c>
      <c r="AB1120" s="18">
        <f ca="1">Auxiliar_Projetos!K1120</f>
        <v>1.1619614340680786E-8</v>
      </c>
      <c r="AC1120" s="18">
        <f ca="1">IF(Z1120-AA1120-AB1120&gt;Investimentos!$C$14,Investimentos!$C$14,IF(Z1120-AA1120-AB1120&lt;Investimentos!$C$14,Z1120-AA1120-AB1120,0))</f>
        <v>300000</v>
      </c>
      <c r="AD1120" s="18">
        <f t="shared" ca="1" si="144"/>
        <v>182948488.05615824</v>
      </c>
      <c r="AE1120" s="18"/>
    </row>
    <row r="1121" spans="1:31" x14ac:dyDescent="0.2">
      <c r="A1121" s="4">
        <v>79715</v>
      </c>
      <c r="B1121" s="5" t="str">
        <f t="shared" si="140"/>
        <v>abril</v>
      </c>
      <c r="C1121" s="5" t="str">
        <f t="shared" si="146"/>
        <v>2118</v>
      </c>
      <c r="D1121" s="5">
        <f>SUMIFS(Despesas!$F:$F,Despesas!$J:$J,"&lt;="&amp;$A1121,Despesas!$L:$L,"&gt;="&amp;$A1121,Despesas!$C:$C,D$1,Despesas!$M:$M,"Mensal")+SUMIFS(Despesas!$F:$F,Despesas!$J:$J,"&lt;="&amp;$A1121,Despesas!$L:$L,"&gt;="&amp;$A1121,Despesas!$C:$C,D$1,Despesas!$M:$M,$B1121)</f>
        <v>0</v>
      </c>
      <c r="E1121" s="18">
        <f>SUMIFS(Despesas!$F:$F,Despesas!$J:$J,"&lt;="&amp;$A1121,Despesas!$L:$L,"&gt;="&amp;$A1121,Despesas!$C:$C,E$1,Despesas!$M:$M,"Mensal")+SUMIFS(Despesas!$F:$F,Despesas!$J:$J,"&lt;="&amp;$A1121,Despesas!$L:$L,"&gt;="&amp;$A1121,Despesas!$C:$C,E$1,Despesas!$M:$M,$B1121)</f>
        <v>0</v>
      </c>
      <c r="F1121" s="5">
        <f>SUMIFS(Despesas!$F:$F,Despesas!$J:$J,"&lt;="&amp;$A1121,Despesas!$L:$L,"&gt;="&amp;$A1121,Despesas!$C:$C,F$1,Despesas!$M:$M,"Mensal")+SUMIFS(Despesas!$F:$F,Despesas!$J:$J,"&lt;="&amp;$A1121,Despesas!$L:$L,"&gt;="&amp;$A1121,Despesas!$C:$C,F$1,Despesas!$M:$M,$B1121)</f>
        <v>0</v>
      </c>
      <c r="G1121" s="5">
        <f>SUMIFS(Despesas!$F:$F,Despesas!$J:$J,"&lt;="&amp;$A1121,Despesas!$L:$L,"&gt;="&amp;$A1121,Despesas!$C:$C,G$1,Despesas!$M:$M,"Mensal")+SUMIFS(Despesas!$F:$F,Despesas!$J:$J,"&lt;="&amp;$A1121,Despesas!$L:$L,"&gt;="&amp;$A1121,Despesas!$C:$C,G$1,Despesas!$M:$M,$B1121)</f>
        <v>0</v>
      </c>
      <c r="H1121" s="18">
        <f>SUMIFS(Despesas!$F:$F,Despesas!$J:$J,"&lt;="&amp;$A1121,Despesas!$L:$L,"&gt;="&amp;$A1121,Despesas!$C:$C,H$1,Despesas!$M:$M,"Mensal")+SUMIFS(Despesas!$F:$F,Despesas!$J:$J,"&lt;="&amp;$A1121,Despesas!$L:$L,"&gt;="&amp;$A1121,Despesas!$C:$C,H$1,Despesas!$M:$M,$B1121)</f>
        <v>0</v>
      </c>
      <c r="I1121" s="18">
        <f>IF(Imóveis!$F$2="PRICE",IF(AND(Dados!$A1121&gt;=Imóveis!$Q$2,Dados!$A1121&lt;=Imóveis!$T$2),Imóveis!$U$2,0),IF((IF(AND(Dados!$A1121&gt;=Imóveis!$Q$2,Dados!$A1121&lt;=Imóveis!$T$2),Imóveis!$S$2-(DATEDIF(Imóveis!$Q$2,Dados!$A1121,"m")),0))=0,0,((Imóveis!$N$2/Imóveis!$S$2)+((Imóveis!$N$2-((Imóveis!$S$2-(IF(AND(Dados!$A1121&gt;=Imóveis!$Q$2,Dados!$A1121&lt;=Imóveis!$T$2),Imóveis!$S$2-(DATEDIF(Imóveis!$Q$2,Dados!$A1121,"m")),)))*(Imóveis!$N$2/Imóveis!$S$2)))*Imóveis!$P$2))))*IF(AND(Imóveis!$E$2&gt;0,Dados!$A1121&gt;Imóveis!$E$2),0,1)</f>
        <v>0</v>
      </c>
      <c r="J1121" s="18">
        <f>IF(Imóveis!$F$3="PRICE",IF(AND(Dados!$A1121&gt;=Imóveis!$Q$3,Dados!$A1121&lt;=Imóveis!$T$3),Imóveis!$U$3,0),IF((IF(AND(Dados!$A1121&gt;=Imóveis!$Q$3,Dados!$A1121&lt;=Imóveis!$T$3),Imóveis!$S$3-(DATEDIF(Imóveis!$Q$3,Dados!$A1121,"m")),0))=0,0,((Imóveis!$N$3/Imóveis!$S$3)+((Imóveis!$N$3-((Imóveis!$S$3-(IF(AND(Dados!$A1121&gt;=Imóveis!$Q$3,Dados!$A1121&lt;=Imóveis!$T$3),Imóveis!$S$3-(DATEDIF(Imóveis!$Q$3,Dados!$A1121,"m")),)))*(Imóveis!$N$3/Imóveis!$S$3)))*Imóveis!$P$3))))*IF(AND(Imóveis!$E$3&gt;0,Dados!$A1121&gt;Imóveis!$E$3),0,1)</f>
        <v>0</v>
      </c>
      <c r="K1121" s="18">
        <f>IF(Imóveis!$F$4="PRICE",IF(AND(Dados!$A1121&gt;=Imóveis!$Q$4,Dados!$A1121&lt;=Imóveis!$T$4),Imóveis!$U$4,0),IF((IF(AND(Dados!$A1121&gt;=Imóveis!$Q$4,Dados!$A1121&lt;=Imóveis!$T$4),Imóveis!$S$4-(DATEDIF(Imóveis!$Q$4,Dados!$A1121,"m")),0))=0,0,((Imóveis!$N$4/Imóveis!$S$4)+((Imóveis!$N$4-((Imóveis!$S$4-(IF(AND(Dados!$A1121&gt;=Imóveis!$Q$4,Dados!$A1121&lt;=Imóveis!$T$4),Imóveis!$S$4-(DATEDIF(Imóveis!$Q$4,Dados!$A1121,"m")),)))*(Imóveis!$N$4/Imóveis!$S$4)))*Imóveis!$P$4))))*IF(AND(Imóveis!$E$4&gt;0,Dados!$A1121&gt;Imóveis!$E$4),0,1)</f>
        <v>0</v>
      </c>
      <c r="L1121" s="18">
        <f>IF(Imóveis!$F$5="PRICE",IF(AND(Dados!$A1121&gt;=Imóveis!$Q$5,Dados!$A1121&lt;=Imóveis!$T$5),Imóveis!$U$5,0),IF((IF(AND(Dados!$A1121&gt;=Imóveis!$Q$5,Dados!$A1121&lt;=Imóveis!$T$5),Imóveis!$S$5-(DATEDIF(Imóveis!$Q$5,Dados!$A1121,"m")),0))=0,0,((Imóveis!$N$5/Imóveis!$S$5)+((Imóveis!$N$5-((Imóveis!$S$5-(IF(AND(Dados!$A1121 &gt;=Imóveis!$Q$5,Dados!$A1121&lt;=Imóveis!$T$5),Imóveis!$S$5-(DATEDIF(Imóveis!$Q$5,Dados!$A1121,"m")),)))*(Imóveis!$N$5/Imóveis!$S$5)))*Imóveis!$P$5))))*IF(AND(Imóveis!$E$5&gt;0,Dados!$A1121&gt;Imóveis!$E$5),0,1)*Imóveis!$I$5</f>
        <v>0</v>
      </c>
      <c r="M1121" s="18">
        <f>IF(Imóveis!$F$6="PRICE",IF(AND(Dados!$A1121&gt;=Imóveis!$Q$6,Dados!$A1121&lt;=Imóveis!$T$6),Imóveis!$U$6,0),IF((IF(AND(Dados!$A1121&gt;=Imóveis!$Q$6,Dados!$A1121&lt;=Imóveis!$T$6),Imóveis!$S$6-(DATEDIF(Imóveis!$Q$6,Dados!$A1121,"m")),0))=0,0,((Imóveis!$N$6/Imóveis!$S$6)+((Imóveis!$N$6-((Imóveis!$S$6-(IF(AND(Dados!$A1121&gt;=Imóveis!$Q$6,Dados!$A1121&lt;=Imóveis!$T$6),Imóveis!$S$6-(DATEDIF(Imóveis!$Q$6,Dados!$A1121,"m")),)))*(Imóveis!$N$6/Imóveis!$S$6)))*Imóveis!$P$6))))*IF(AND(Imóveis!$E$6&gt;0,Dados!$A1121&gt;Imóveis!$E$6),0,1)*Imóveis!$I$6</f>
        <v>0</v>
      </c>
      <c r="N1121" s="18">
        <f t="shared" si="141"/>
        <v>0</v>
      </c>
      <c r="O1121" s="18">
        <f>SUMIFS(Receitas!$F:$F,Receitas!$J:$J,"&lt;="&amp;$A1121,Receitas!$L:$L,"&gt;="&amp;$A1121,Receitas!$C:$C,O$1,Receitas!$M:$M,"Mensal")+SUMIFS(Receitas!$F:$F,Receitas!$J:$J,"&lt;="&amp;$A1121,Receitas!$L:$L,"&gt;="&amp;$A1121,Receitas!$C:$C,O$1,Receitas!$M:$M,$B1121)</f>
        <v>0</v>
      </c>
      <c r="P1121" s="18">
        <f>SUMIFS(Receitas!$F:$F,Receitas!$J:$J,"&lt;="&amp;$A1121,Receitas!$L:$L,"&gt;="&amp;$A1121,Receitas!$C:$C,P$1,Receitas!$M:$M,"Mensal")+SUMIFS(Receitas!$F:$F,Receitas!$J:$J,"&lt;="&amp;$A1121,Receitas!$L:$L,"&gt;="&amp;$A1121,Receitas!$C:$C,P$1,Receitas!$M:$M,$B1121)</f>
        <v>0</v>
      </c>
      <c r="Q1121" s="18">
        <f>SUMIFS(Receitas!$F:$F,Receitas!$J:$J,"&lt;="&amp;$A1121,Receitas!$L:$L,"&gt;="&amp;$A1121,Receitas!$C:$C,Q$1,Receitas!$M:$M,"Mensal")+SUMIFS(Receitas!$F:$F,Receitas!$J:$J,"&lt;="&amp;$A1121,Receitas!$L:$L,"&gt;="&amp;$A1121,Receitas!$C:$C,Q$1,Receitas!$M:$M,$B1121)</f>
        <v>0</v>
      </c>
      <c r="R1121" s="18" cm="1">
        <f t="array" ref="R1121">(IF(AND(Membros!$F$2="Sim",A1121&lt;=MAX(Membros!$E$2:$E$5)),Membros!K$2,IF(AND(A1121&gt;=Membros!J$2,A1121&lt;=MAX(Membros!$E$2:$E$5)),Membros!K$2,0))+IF(AND(Membros!$F$3="Sim",A1121&lt;=MAX(Membros!$E$2:$E$5)),Membros!K$3,IF(AND(A1121&gt;=Membros!J$3,A1121&lt;=MAX(Membros!$E$2:$E$5)),Membros!K$3,0)))*IF(AND(COUNTIFS(Tabela3[Tipo],"Provedor",Tabela3[Simulação Seguro],"Sim")=2,A1121&gt;=MAX(IF(Tabela3[Tipo]="Dependente",Tabela3[Expectativa de Vida (Data)]))),0,1)</f>
        <v>0</v>
      </c>
      <c r="S1121" s="18">
        <f t="shared" si="142"/>
        <v>0</v>
      </c>
      <c r="U1121" s="18">
        <f t="shared" ca="1" si="145"/>
        <v>183248488.05615827</v>
      </c>
      <c r="V1121" s="18">
        <f>SUMIF(Imóveis!E:E,Dados!A:A,Imóveis!Z:Z)-SUMIF(Imóveis!E:E,Dados!A:A,Imóveis!Y:Y)</f>
        <v>0</v>
      </c>
      <c r="W1121" s="18">
        <f>-SUMIF(Projetos!N:N,A1121,Projetos!F:F)</f>
        <v>0</v>
      </c>
      <c r="X1121" s="18">
        <f t="shared" si="139"/>
        <v>0</v>
      </c>
      <c r="Y1121" s="26">
        <f ca="1">(U1121*((Indicadores_Economicos!D$2+1)^(1/12)-1))</f>
        <v>599907.86537724792</v>
      </c>
      <c r="Z1121" s="18">
        <f t="shared" ca="1" si="143"/>
        <v>183848395.92153552</v>
      </c>
      <c r="AA1121" s="18">
        <f ca="1">Auxiliar_Projetos!E1121</f>
        <v>1.5154950114722195E-8</v>
      </c>
      <c r="AB1121" s="18">
        <f ca="1">Auxiliar_Projetos!K1121</f>
        <v>1.1657653934401682E-8</v>
      </c>
      <c r="AC1121" s="18">
        <f ca="1">IF(Z1121-AA1121-AB1121&gt;Investimentos!$C$14,Investimentos!$C$14,IF(Z1121-AA1121-AB1121&lt;Investimentos!$C$14,Z1121-AA1121-AB1121,0))</f>
        <v>300000</v>
      </c>
      <c r="AD1121" s="18">
        <f t="shared" ca="1" si="144"/>
        <v>183548395.92153549</v>
      </c>
      <c r="AE1121" s="18"/>
    </row>
    <row r="1122" spans="1:31" x14ac:dyDescent="0.2">
      <c r="A1122" s="4">
        <v>79745</v>
      </c>
      <c r="B1122" s="5" t="str">
        <f t="shared" si="140"/>
        <v>maio</v>
      </c>
      <c r="C1122" s="5" t="str">
        <f t="shared" si="146"/>
        <v>2118</v>
      </c>
      <c r="D1122" s="5">
        <f>SUMIFS(Despesas!$F:$F,Despesas!$J:$J,"&lt;="&amp;$A1122,Despesas!$L:$L,"&gt;="&amp;$A1122,Despesas!$C:$C,D$1,Despesas!$M:$M,"Mensal")+SUMIFS(Despesas!$F:$F,Despesas!$J:$J,"&lt;="&amp;$A1122,Despesas!$L:$L,"&gt;="&amp;$A1122,Despesas!$C:$C,D$1,Despesas!$M:$M,$B1122)</f>
        <v>0</v>
      </c>
      <c r="E1122" s="18">
        <f>SUMIFS(Despesas!$F:$F,Despesas!$J:$J,"&lt;="&amp;$A1122,Despesas!$L:$L,"&gt;="&amp;$A1122,Despesas!$C:$C,E$1,Despesas!$M:$M,"Mensal")+SUMIFS(Despesas!$F:$F,Despesas!$J:$J,"&lt;="&amp;$A1122,Despesas!$L:$L,"&gt;="&amp;$A1122,Despesas!$C:$C,E$1,Despesas!$M:$M,$B1122)</f>
        <v>0</v>
      </c>
      <c r="F1122" s="5">
        <f>SUMIFS(Despesas!$F:$F,Despesas!$J:$J,"&lt;="&amp;$A1122,Despesas!$L:$L,"&gt;="&amp;$A1122,Despesas!$C:$C,F$1,Despesas!$M:$M,"Mensal")+SUMIFS(Despesas!$F:$F,Despesas!$J:$J,"&lt;="&amp;$A1122,Despesas!$L:$L,"&gt;="&amp;$A1122,Despesas!$C:$C,F$1,Despesas!$M:$M,$B1122)</f>
        <v>0</v>
      </c>
      <c r="G1122" s="5">
        <f>SUMIFS(Despesas!$F:$F,Despesas!$J:$J,"&lt;="&amp;$A1122,Despesas!$L:$L,"&gt;="&amp;$A1122,Despesas!$C:$C,G$1,Despesas!$M:$M,"Mensal")+SUMIFS(Despesas!$F:$F,Despesas!$J:$J,"&lt;="&amp;$A1122,Despesas!$L:$L,"&gt;="&amp;$A1122,Despesas!$C:$C,G$1,Despesas!$M:$M,$B1122)</f>
        <v>0</v>
      </c>
      <c r="H1122" s="18">
        <f>SUMIFS(Despesas!$F:$F,Despesas!$J:$J,"&lt;="&amp;$A1122,Despesas!$L:$L,"&gt;="&amp;$A1122,Despesas!$C:$C,H$1,Despesas!$M:$M,"Mensal")+SUMIFS(Despesas!$F:$F,Despesas!$J:$J,"&lt;="&amp;$A1122,Despesas!$L:$L,"&gt;="&amp;$A1122,Despesas!$C:$C,H$1,Despesas!$M:$M,$B1122)</f>
        <v>0</v>
      </c>
      <c r="I1122" s="18">
        <f>IF(Imóveis!$F$2="PRICE",IF(AND(Dados!$A1122&gt;=Imóveis!$Q$2,Dados!$A1122&lt;=Imóveis!$T$2),Imóveis!$U$2,0),IF((IF(AND(Dados!$A1122&gt;=Imóveis!$Q$2,Dados!$A1122&lt;=Imóveis!$T$2),Imóveis!$S$2-(DATEDIF(Imóveis!$Q$2,Dados!$A1122,"m")),0))=0,0,((Imóveis!$N$2/Imóveis!$S$2)+((Imóveis!$N$2-((Imóveis!$S$2-(IF(AND(Dados!$A1122&gt;=Imóveis!$Q$2,Dados!$A1122&lt;=Imóveis!$T$2),Imóveis!$S$2-(DATEDIF(Imóveis!$Q$2,Dados!$A1122,"m")),)))*(Imóveis!$N$2/Imóveis!$S$2)))*Imóveis!$P$2))))*IF(AND(Imóveis!$E$2&gt;0,Dados!$A1122&gt;Imóveis!$E$2),0,1)</f>
        <v>0</v>
      </c>
      <c r="J1122" s="18">
        <f>IF(Imóveis!$F$3="PRICE",IF(AND(Dados!$A1122&gt;=Imóveis!$Q$3,Dados!$A1122&lt;=Imóveis!$T$3),Imóveis!$U$3,0),IF((IF(AND(Dados!$A1122&gt;=Imóveis!$Q$3,Dados!$A1122&lt;=Imóveis!$T$3),Imóveis!$S$3-(DATEDIF(Imóveis!$Q$3,Dados!$A1122,"m")),0))=0,0,((Imóveis!$N$3/Imóveis!$S$3)+((Imóveis!$N$3-((Imóveis!$S$3-(IF(AND(Dados!$A1122&gt;=Imóveis!$Q$3,Dados!$A1122&lt;=Imóveis!$T$3),Imóveis!$S$3-(DATEDIF(Imóveis!$Q$3,Dados!$A1122,"m")),)))*(Imóveis!$N$3/Imóveis!$S$3)))*Imóveis!$P$3))))*IF(AND(Imóveis!$E$3&gt;0,Dados!$A1122&gt;Imóveis!$E$3),0,1)</f>
        <v>0</v>
      </c>
      <c r="K1122" s="18">
        <f>IF(Imóveis!$F$4="PRICE",IF(AND(Dados!$A1122&gt;=Imóveis!$Q$4,Dados!$A1122&lt;=Imóveis!$T$4),Imóveis!$U$4,0),IF((IF(AND(Dados!$A1122&gt;=Imóveis!$Q$4,Dados!$A1122&lt;=Imóveis!$T$4),Imóveis!$S$4-(DATEDIF(Imóveis!$Q$4,Dados!$A1122,"m")),0))=0,0,((Imóveis!$N$4/Imóveis!$S$4)+((Imóveis!$N$4-((Imóveis!$S$4-(IF(AND(Dados!$A1122&gt;=Imóveis!$Q$4,Dados!$A1122&lt;=Imóveis!$T$4),Imóveis!$S$4-(DATEDIF(Imóveis!$Q$4,Dados!$A1122,"m")),)))*(Imóveis!$N$4/Imóveis!$S$4)))*Imóveis!$P$4))))*IF(AND(Imóveis!$E$4&gt;0,Dados!$A1122&gt;Imóveis!$E$4),0,1)</f>
        <v>0</v>
      </c>
      <c r="L1122" s="18">
        <f>IF(Imóveis!$F$5="PRICE",IF(AND(Dados!$A1122&gt;=Imóveis!$Q$5,Dados!$A1122&lt;=Imóveis!$T$5),Imóveis!$U$5,0),IF((IF(AND(Dados!$A1122&gt;=Imóveis!$Q$5,Dados!$A1122&lt;=Imóveis!$T$5),Imóveis!$S$5-(DATEDIF(Imóveis!$Q$5,Dados!$A1122,"m")),0))=0,0,((Imóveis!$N$5/Imóveis!$S$5)+((Imóveis!$N$5-((Imóveis!$S$5-(IF(AND(Dados!$A1122 &gt;=Imóveis!$Q$5,Dados!$A1122&lt;=Imóveis!$T$5),Imóveis!$S$5-(DATEDIF(Imóveis!$Q$5,Dados!$A1122,"m")),)))*(Imóveis!$N$5/Imóveis!$S$5)))*Imóveis!$P$5))))*IF(AND(Imóveis!$E$5&gt;0,Dados!$A1122&gt;Imóveis!$E$5),0,1)*Imóveis!$I$5</f>
        <v>0</v>
      </c>
      <c r="M1122" s="18">
        <f>IF(Imóveis!$F$6="PRICE",IF(AND(Dados!$A1122&gt;=Imóveis!$Q$6,Dados!$A1122&lt;=Imóveis!$T$6),Imóveis!$U$6,0),IF((IF(AND(Dados!$A1122&gt;=Imóveis!$Q$6,Dados!$A1122&lt;=Imóveis!$T$6),Imóveis!$S$6-(DATEDIF(Imóveis!$Q$6,Dados!$A1122,"m")),0))=0,0,((Imóveis!$N$6/Imóveis!$S$6)+((Imóveis!$N$6-((Imóveis!$S$6-(IF(AND(Dados!$A1122&gt;=Imóveis!$Q$6,Dados!$A1122&lt;=Imóveis!$T$6),Imóveis!$S$6-(DATEDIF(Imóveis!$Q$6,Dados!$A1122,"m")),)))*(Imóveis!$N$6/Imóveis!$S$6)))*Imóveis!$P$6))))*IF(AND(Imóveis!$E$6&gt;0,Dados!$A1122&gt;Imóveis!$E$6),0,1)*Imóveis!$I$6</f>
        <v>0</v>
      </c>
      <c r="N1122" s="18">
        <f t="shared" si="141"/>
        <v>0</v>
      </c>
      <c r="O1122" s="18">
        <f>SUMIFS(Receitas!$F:$F,Receitas!$J:$J,"&lt;="&amp;$A1122,Receitas!$L:$L,"&gt;="&amp;$A1122,Receitas!$C:$C,O$1,Receitas!$M:$M,"Mensal")+SUMIFS(Receitas!$F:$F,Receitas!$J:$J,"&lt;="&amp;$A1122,Receitas!$L:$L,"&gt;="&amp;$A1122,Receitas!$C:$C,O$1,Receitas!$M:$M,$B1122)</f>
        <v>0</v>
      </c>
      <c r="P1122" s="18">
        <f>SUMIFS(Receitas!$F:$F,Receitas!$J:$J,"&lt;="&amp;$A1122,Receitas!$L:$L,"&gt;="&amp;$A1122,Receitas!$C:$C,P$1,Receitas!$M:$M,"Mensal")+SUMIFS(Receitas!$F:$F,Receitas!$J:$J,"&lt;="&amp;$A1122,Receitas!$L:$L,"&gt;="&amp;$A1122,Receitas!$C:$C,P$1,Receitas!$M:$M,$B1122)</f>
        <v>0</v>
      </c>
      <c r="Q1122" s="18">
        <f>SUMIFS(Receitas!$F:$F,Receitas!$J:$J,"&lt;="&amp;$A1122,Receitas!$L:$L,"&gt;="&amp;$A1122,Receitas!$C:$C,Q$1,Receitas!$M:$M,"Mensal")+SUMIFS(Receitas!$F:$F,Receitas!$J:$J,"&lt;="&amp;$A1122,Receitas!$L:$L,"&gt;="&amp;$A1122,Receitas!$C:$C,Q$1,Receitas!$M:$M,$B1122)</f>
        <v>0</v>
      </c>
      <c r="R1122" s="18" cm="1">
        <f t="array" ref="R1122">(IF(AND(Membros!$F$2="Sim",A1122&lt;=MAX(Membros!$E$2:$E$5)),Membros!K$2,IF(AND(A1122&gt;=Membros!J$2,A1122&lt;=MAX(Membros!$E$2:$E$5)),Membros!K$2,0))+IF(AND(Membros!$F$3="Sim",A1122&lt;=MAX(Membros!$E$2:$E$5)),Membros!K$3,IF(AND(A1122&gt;=Membros!J$3,A1122&lt;=MAX(Membros!$E$2:$E$5)),Membros!K$3,0)))*IF(AND(COUNTIFS(Tabela3[Tipo],"Provedor",Tabela3[Simulação Seguro],"Sim")=2,A1122&gt;=MAX(IF(Tabela3[Tipo]="Dependente",Tabela3[Expectativa de Vida (Data)]))),0,1)</f>
        <v>0</v>
      </c>
      <c r="S1122" s="18">
        <f t="shared" si="142"/>
        <v>0</v>
      </c>
      <c r="U1122" s="18">
        <f t="shared" ca="1" si="145"/>
        <v>183848395.92153552</v>
      </c>
      <c r="V1122" s="18">
        <f>SUMIF(Imóveis!E:E,Dados!A:A,Imóveis!Z:Z)-SUMIF(Imóveis!E:E,Dados!A:A,Imóveis!Y:Y)</f>
        <v>0</v>
      </c>
      <c r="W1122" s="18">
        <f>-SUMIF(Projetos!N:N,A1122,Projetos!F:F)</f>
        <v>0</v>
      </c>
      <c r="X1122" s="18">
        <f t="shared" si="139"/>
        <v>0</v>
      </c>
      <c r="Y1122" s="26">
        <f ca="1">(U1122*((Indicadores_Economicos!D$2+1)^(1/12)-1))</f>
        <v>601871.80762178754</v>
      </c>
      <c r="Z1122" s="18">
        <f t="shared" ca="1" si="143"/>
        <v>184450267.7291573</v>
      </c>
      <c r="AA1122" s="18">
        <f ca="1">Auxiliar_Projetos!E1122</f>
        <v>1.5204563477810001E-8</v>
      </c>
      <c r="AB1122" s="18">
        <f ca="1">Auxiliar_Projetos!K1122</f>
        <v>1.169581805985384E-8</v>
      </c>
      <c r="AC1122" s="18">
        <f ca="1">IF(Z1122-AA1122-AB1122&gt;Investimentos!$C$14,Investimentos!$C$14,IF(Z1122-AA1122-AB1122&lt;Investimentos!$C$14,Z1122-AA1122-AB1122,0))</f>
        <v>300000</v>
      </c>
      <c r="AD1122" s="18">
        <f t="shared" ca="1" si="144"/>
        <v>184150267.72915727</v>
      </c>
      <c r="AE1122" s="18"/>
    </row>
    <row r="1123" spans="1:31" x14ac:dyDescent="0.2">
      <c r="A1123" s="4">
        <v>79776</v>
      </c>
      <c r="B1123" s="5" t="str">
        <f t="shared" si="140"/>
        <v>junho</v>
      </c>
      <c r="C1123" s="5" t="str">
        <f t="shared" si="146"/>
        <v>2118</v>
      </c>
      <c r="D1123" s="5">
        <f>SUMIFS(Despesas!$F:$F,Despesas!$J:$J,"&lt;="&amp;$A1123,Despesas!$L:$L,"&gt;="&amp;$A1123,Despesas!$C:$C,D$1,Despesas!$M:$M,"Mensal")+SUMIFS(Despesas!$F:$F,Despesas!$J:$J,"&lt;="&amp;$A1123,Despesas!$L:$L,"&gt;="&amp;$A1123,Despesas!$C:$C,D$1,Despesas!$M:$M,$B1123)</f>
        <v>0</v>
      </c>
      <c r="E1123" s="18">
        <f>SUMIFS(Despesas!$F:$F,Despesas!$J:$J,"&lt;="&amp;$A1123,Despesas!$L:$L,"&gt;="&amp;$A1123,Despesas!$C:$C,E$1,Despesas!$M:$M,"Mensal")+SUMIFS(Despesas!$F:$F,Despesas!$J:$J,"&lt;="&amp;$A1123,Despesas!$L:$L,"&gt;="&amp;$A1123,Despesas!$C:$C,E$1,Despesas!$M:$M,$B1123)</f>
        <v>0</v>
      </c>
      <c r="F1123" s="5">
        <f>SUMIFS(Despesas!$F:$F,Despesas!$J:$J,"&lt;="&amp;$A1123,Despesas!$L:$L,"&gt;="&amp;$A1123,Despesas!$C:$C,F$1,Despesas!$M:$M,"Mensal")+SUMIFS(Despesas!$F:$F,Despesas!$J:$J,"&lt;="&amp;$A1123,Despesas!$L:$L,"&gt;="&amp;$A1123,Despesas!$C:$C,F$1,Despesas!$M:$M,$B1123)</f>
        <v>0</v>
      </c>
      <c r="G1123" s="5">
        <f>SUMIFS(Despesas!$F:$F,Despesas!$J:$J,"&lt;="&amp;$A1123,Despesas!$L:$L,"&gt;="&amp;$A1123,Despesas!$C:$C,G$1,Despesas!$M:$M,"Mensal")+SUMIFS(Despesas!$F:$F,Despesas!$J:$J,"&lt;="&amp;$A1123,Despesas!$L:$L,"&gt;="&amp;$A1123,Despesas!$C:$C,G$1,Despesas!$M:$M,$B1123)</f>
        <v>0</v>
      </c>
      <c r="H1123" s="18">
        <f>SUMIFS(Despesas!$F:$F,Despesas!$J:$J,"&lt;="&amp;$A1123,Despesas!$L:$L,"&gt;="&amp;$A1123,Despesas!$C:$C,H$1,Despesas!$M:$M,"Mensal")+SUMIFS(Despesas!$F:$F,Despesas!$J:$J,"&lt;="&amp;$A1123,Despesas!$L:$L,"&gt;="&amp;$A1123,Despesas!$C:$C,H$1,Despesas!$M:$M,$B1123)</f>
        <v>0</v>
      </c>
      <c r="I1123" s="18">
        <f>IF(Imóveis!$F$2="PRICE",IF(AND(Dados!$A1123&gt;=Imóveis!$Q$2,Dados!$A1123&lt;=Imóveis!$T$2),Imóveis!$U$2,0),IF((IF(AND(Dados!$A1123&gt;=Imóveis!$Q$2,Dados!$A1123&lt;=Imóveis!$T$2),Imóveis!$S$2-(DATEDIF(Imóveis!$Q$2,Dados!$A1123,"m")),0))=0,0,((Imóveis!$N$2/Imóveis!$S$2)+((Imóveis!$N$2-((Imóveis!$S$2-(IF(AND(Dados!$A1123&gt;=Imóveis!$Q$2,Dados!$A1123&lt;=Imóveis!$T$2),Imóveis!$S$2-(DATEDIF(Imóveis!$Q$2,Dados!$A1123,"m")),)))*(Imóveis!$N$2/Imóveis!$S$2)))*Imóveis!$P$2))))*IF(AND(Imóveis!$E$2&gt;0,Dados!$A1123&gt;Imóveis!$E$2),0,1)</f>
        <v>0</v>
      </c>
      <c r="J1123" s="18">
        <f>IF(Imóveis!$F$3="PRICE",IF(AND(Dados!$A1123&gt;=Imóveis!$Q$3,Dados!$A1123&lt;=Imóveis!$T$3),Imóveis!$U$3,0),IF((IF(AND(Dados!$A1123&gt;=Imóveis!$Q$3,Dados!$A1123&lt;=Imóveis!$T$3),Imóveis!$S$3-(DATEDIF(Imóveis!$Q$3,Dados!$A1123,"m")),0))=0,0,((Imóveis!$N$3/Imóveis!$S$3)+((Imóveis!$N$3-((Imóveis!$S$3-(IF(AND(Dados!$A1123&gt;=Imóveis!$Q$3,Dados!$A1123&lt;=Imóveis!$T$3),Imóveis!$S$3-(DATEDIF(Imóveis!$Q$3,Dados!$A1123,"m")),)))*(Imóveis!$N$3/Imóveis!$S$3)))*Imóveis!$P$3))))*IF(AND(Imóveis!$E$3&gt;0,Dados!$A1123&gt;Imóveis!$E$3),0,1)</f>
        <v>0</v>
      </c>
      <c r="K1123" s="18">
        <f>IF(Imóveis!$F$4="PRICE",IF(AND(Dados!$A1123&gt;=Imóveis!$Q$4,Dados!$A1123&lt;=Imóveis!$T$4),Imóveis!$U$4,0),IF((IF(AND(Dados!$A1123&gt;=Imóveis!$Q$4,Dados!$A1123&lt;=Imóveis!$T$4),Imóveis!$S$4-(DATEDIF(Imóveis!$Q$4,Dados!$A1123,"m")),0))=0,0,((Imóveis!$N$4/Imóveis!$S$4)+((Imóveis!$N$4-((Imóveis!$S$4-(IF(AND(Dados!$A1123&gt;=Imóveis!$Q$4,Dados!$A1123&lt;=Imóveis!$T$4),Imóveis!$S$4-(DATEDIF(Imóveis!$Q$4,Dados!$A1123,"m")),)))*(Imóveis!$N$4/Imóveis!$S$4)))*Imóveis!$P$4))))*IF(AND(Imóveis!$E$4&gt;0,Dados!$A1123&gt;Imóveis!$E$4),0,1)</f>
        <v>0</v>
      </c>
      <c r="L1123" s="18">
        <f>IF(Imóveis!$F$5="PRICE",IF(AND(Dados!$A1123&gt;=Imóveis!$Q$5,Dados!$A1123&lt;=Imóveis!$T$5),Imóveis!$U$5,0),IF((IF(AND(Dados!$A1123&gt;=Imóveis!$Q$5,Dados!$A1123&lt;=Imóveis!$T$5),Imóveis!$S$5-(DATEDIF(Imóveis!$Q$5,Dados!$A1123,"m")),0))=0,0,((Imóveis!$N$5/Imóveis!$S$5)+((Imóveis!$N$5-((Imóveis!$S$5-(IF(AND(Dados!$A1123 &gt;=Imóveis!$Q$5,Dados!$A1123&lt;=Imóveis!$T$5),Imóveis!$S$5-(DATEDIF(Imóveis!$Q$5,Dados!$A1123,"m")),)))*(Imóveis!$N$5/Imóveis!$S$5)))*Imóveis!$P$5))))*IF(AND(Imóveis!$E$5&gt;0,Dados!$A1123&gt;Imóveis!$E$5),0,1)*Imóveis!$I$5</f>
        <v>0</v>
      </c>
      <c r="M1123" s="18">
        <f>IF(Imóveis!$F$6="PRICE",IF(AND(Dados!$A1123&gt;=Imóveis!$Q$6,Dados!$A1123&lt;=Imóveis!$T$6),Imóveis!$U$6,0),IF((IF(AND(Dados!$A1123&gt;=Imóveis!$Q$6,Dados!$A1123&lt;=Imóveis!$T$6),Imóveis!$S$6-(DATEDIF(Imóveis!$Q$6,Dados!$A1123,"m")),0))=0,0,((Imóveis!$N$6/Imóveis!$S$6)+((Imóveis!$N$6-((Imóveis!$S$6-(IF(AND(Dados!$A1123&gt;=Imóveis!$Q$6,Dados!$A1123&lt;=Imóveis!$T$6),Imóveis!$S$6-(DATEDIF(Imóveis!$Q$6,Dados!$A1123,"m")),)))*(Imóveis!$N$6/Imóveis!$S$6)))*Imóveis!$P$6))))*IF(AND(Imóveis!$E$6&gt;0,Dados!$A1123&gt;Imóveis!$E$6),0,1)*Imóveis!$I$6</f>
        <v>0</v>
      </c>
      <c r="N1123" s="18">
        <f t="shared" si="141"/>
        <v>0</v>
      </c>
      <c r="O1123" s="18">
        <f>SUMIFS(Receitas!$F:$F,Receitas!$J:$J,"&lt;="&amp;$A1123,Receitas!$L:$L,"&gt;="&amp;$A1123,Receitas!$C:$C,O$1,Receitas!$M:$M,"Mensal")+SUMIFS(Receitas!$F:$F,Receitas!$J:$J,"&lt;="&amp;$A1123,Receitas!$L:$L,"&gt;="&amp;$A1123,Receitas!$C:$C,O$1,Receitas!$M:$M,$B1123)</f>
        <v>0</v>
      </c>
      <c r="P1123" s="18">
        <f>SUMIFS(Receitas!$F:$F,Receitas!$J:$J,"&lt;="&amp;$A1123,Receitas!$L:$L,"&gt;="&amp;$A1123,Receitas!$C:$C,P$1,Receitas!$M:$M,"Mensal")+SUMIFS(Receitas!$F:$F,Receitas!$J:$J,"&lt;="&amp;$A1123,Receitas!$L:$L,"&gt;="&amp;$A1123,Receitas!$C:$C,P$1,Receitas!$M:$M,$B1123)</f>
        <v>0</v>
      </c>
      <c r="Q1123" s="18">
        <f>SUMIFS(Receitas!$F:$F,Receitas!$J:$J,"&lt;="&amp;$A1123,Receitas!$L:$L,"&gt;="&amp;$A1123,Receitas!$C:$C,Q$1,Receitas!$M:$M,"Mensal")+SUMIFS(Receitas!$F:$F,Receitas!$J:$J,"&lt;="&amp;$A1123,Receitas!$L:$L,"&gt;="&amp;$A1123,Receitas!$C:$C,Q$1,Receitas!$M:$M,$B1123)</f>
        <v>0</v>
      </c>
      <c r="R1123" s="18" cm="1">
        <f t="array" ref="R1123">(IF(AND(Membros!$F$2="Sim",A1123&lt;=MAX(Membros!$E$2:$E$5)),Membros!K$2,IF(AND(A1123&gt;=Membros!J$2,A1123&lt;=MAX(Membros!$E$2:$E$5)),Membros!K$2,0))+IF(AND(Membros!$F$3="Sim",A1123&lt;=MAX(Membros!$E$2:$E$5)),Membros!K$3,IF(AND(A1123&gt;=Membros!J$3,A1123&lt;=MAX(Membros!$E$2:$E$5)),Membros!K$3,0)))*IF(AND(COUNTIFS(Tabela3[Tipo],"Provedor",Tabela3[Simulação Seguro],"Sim")=2,A1123&gt;=MAX(IF(Tabela3[Tipo]="Dependente",Tabela3[Expectativa de Vida (Data)]))),0,1)</f>
        <v>0</v>
      </c>
      <c r="S1123" s="18">
        <f t="shared" si="142"/>
        <v>0</v>
      </c>
      <c r="U1123" s="18">
        <f t="shared" ca="1" si="145"/>
        <v>184450267.7291573</v>
      </c>
      <c r="V1123" s="18">
        <f>SUMIF(Imóveis!E:E,Dados!A:A,Imóveis!Z:Z)-SUMIF(Imóveis!E:E,Dados!A:A,Imóveis!Y:Y)</f>
        <v>0</v>
      </c>
      <c r="W1123" s="18">
        <f>-SUMIF(Projetos!N:N,A1123,Projetos!F:F)</f>
        <v>0</v>
      </c>
      <c r="X1123" s="18">
        <f t="shared" si="139"/>
        <v>0</v>
      </c>
      <c r="Y1123" s="26">
        <f ca="1">(U1123*((Indicadores_Economicos!D$2+1)^(1/12)-1))</f>
        <v>603842.17930218286</v>
      </c>
      <c r="Z1123" s="18">
        <f t="shared" ca="1" si="143"/>
        <v>185054109.90845948</v>
      </c>
      <c r="AA1123" s="18">
        <f ca="1">Auxiliar_Projetos!E1123</f>
        <v>1.5254339262138275E-8</v>
      </c>
      <c r="AB1123" s="18">
        <f ca="1">Auxiliar_Projetos!K1123</f>
        <v>1.1734107124721744E-8</v>
      </c>
      <c r="AC1123" s="18">
        <f ca="1">IF(Z1123-AA1123-AB1123&gt;Investimentos!$C$14,Investimentos!$C$14,IF(Z1123-AA1123-AB1123&lt;Investimentos!$C$14,Z1123-AA1123-AB1123,0))</f>
        <v>300000</v>
      </c>
      <c r="AD1123" s="18">
        <f t="shared" ca="1" si="144"/>
        <v>184754109.90845945</v>
      </c>
      <c r="AE1123" s="18"/>
    </row>
    <row r="1124" spans="1:31" x14ac:dyDescent="0.2">
      <c r="A1124" s="4">
        <v>79806</v>
      </c>
      <c r="B1124" s="5" t="str">
        <f t="shared" si="140"/>
        <v>julho</v>
      </c>
      <c r="C1124" s="5" t="str">
        <f t="shared" si="146"/>
        <v>2118</v>
      </c>
      <c r="D1124" s="5">
        <f>SUMIFS(Despesas!$F:$F,Despesas!$J:$J,"&lt;="&amp;$A1124,Despesas!$L:$L,"&gt;="&amp;$A1124,Despesas!$C:$C,D$1,Despesas!$M:$M,"Mensal")+SUMIFS(Despesas!$F:$F,Despesas!$J:$J,"&lt;="&amp;$A1124,Despesas!$L:$L,"&gt;="&amp;$A1124,Despesas!$C:$C,D$1,Despesas!$M:$M,$B1124)</f>
        <v>0</v>
      </c>
      <c r="E1124" s="18">
        <f>SUMIFS(Despesas!$F:$F,Despesas!$J:$J,"&lt;="&amp;$A1124,Despesas!$L:$L,"&gt;="&amp;$A1124,Despesas!$C:$C,E$1,Despesas!$M:$M,"Mensal")+SUMIFS(Despesas!$F:$F,Despesas!$J:$J,"&lt;="&amp;$A1124,Despesas!$L:$L,"&gt;="&amp;$A1124,Despesas!$C:$C,E$1,Despesas!$M:$M,$B1124)</f>
        <v>0</v>
      </c>
      <c r="F1124" s="5">
        <f>SUMIFS(Despesas!$F:$F,Despesas!$J:$J,"&lt;="&amp;$A1124,Despesas!$L:$L,"&gt;="&amp;$A1124,Despesas!$C:$C,F$1,Despesas!$M:$M,"Mensal")+SUMIFS(Despesas!$F:$F,Despesas!$J:$J,"&lt;="&amp;$A1124,Despesas!$L:$L,"&gt;="&amp;$A1124,Despesas!$C:$C,F$1,Despesas!$M:$M,$B1124)</f>
        <v>0</v>
      </c>
      <c r="G1124" s="5">
        <f>SUMIFS(Despesas!$F:$F,Despesas!$J:$J,"&lt;="&amp;$A1124,Despesas!$L:$L,"&gt;="&amp;$A1124,Despesas!$C:$C,G$1,Despesas!$M:$M,"Mensal")+SUMIFS(Despesas!$F:$F,Despesas!$J:$J,"&lt;="&amp;$A1124,Despesas!$L:$L,"&gt;="&amp;$A1124,Despesas!$C:$C,G$1,Despesas!$M:$M,$B1124)</f>
        <v>0</v>
      </c>
      <c r="H1124" s="18">
        <f>SUMIFS(Despesas!$F:$F,Despesas!$J:$J,"&lt;="&amp;$A1124,Despesas!$L:$L,"&gt;="&amp;$A1124,Despesas!$C:$C,H$1,Despesas!$M:$M,"Mensal")+SUMIFS(Despesas!$F:$F,Despesas!$J:$J,"&lt;="&amp;$A1124,Despesas!$L:$L,"&gt;="&amp;$A1124,Despesas!$C:$C,H$1,Despesas!$M:$M,$B1124)</f>
        <v>0</v>
      </c>
      <c r="I1124" s="18">
        <f>IF(Imóveis!$F$2="PRICE",IF(AND(Dados!$A1124&gt;=Imóveis!$Q$2,Dados!$A1124&lt;=Imóveis!$T$2),Imóveis!$U$2,0),IF((IF(AND(Dados!$A1124&gt;=Imóveis!$Q$2,Dados!$A1124&lt;=Imóveis!$T$2),Imóveis!$S$2-(DATEDIF(Imóveis!$Q$2,Dados!$A1124,"m")),0))=0,0,((Imóveis!$N$2/Imóveis!$S$2)+((Imóveis!$N$2-((Imóveis!$S$2-(IF(AND(Dados!$A1124&gt;=Imóveis!$Q$2,Dados!$A1124&lt;=Imóveis!$T$2),Imóveis!$S$2-(DATEDIF(Imóveis!$Q$2,Dados!$A1124,"m")),)))*(Imóveis!$N$2/Imóveis!$S$2)))*Imóveis!$P$2))))*IF(AND(Imóveis!$E$2&gt;0,Dados!$A1124&gt;Imóveis!$E$2),0,1)</f>
        <v>0</v>
      </c>
      <c r="J1124" s="18">
        <f>IF(Imóveis!$F$3="PRICE",IF(AND(Dados!$A1124&gt;=Imóveis!$Q$3,Dados!$A1124&lt;=Imóveis!$T$3),Imóveis!$U$3,0),IF((IF(AND(Dados!$A1124&gt;=Imóveis!$Q$3,Dados!$A1124&lt;=Imóveis!$T$3),Imóveis!$S$3-(DATEDIF(Imóveis!$Q$3,Dados!$A1124,"m")),0))=0,0,((Imóveis!$N$3/Imóveis!$S$3)+((Imóveis!$N$3-((Imóveis!$S$3-(IF(AND(Dados!$A1124&gt;=Imóveis!$Q$3,Dados!$A1124&lt;=Imóveis!$T$3),Imóveis!$S$3-(DATEDIF(Imóveis!$Q$3,Dados!$A1124,"m")),)))*(Imóveis!$N$3/Imóveis!$S$3)))*Imóveis!$P$3))))*IF(AND(Imóveis!$E$3&gt;0,Dados!$A1124&gt;Imóveis!$E$3),0,1)</f>
        <v>0</v>
      </c>
      <c r="K1124" s="18">
        <f>IF(Imóveis!$F$4="PRICE",IF(AND(Dados!$A1124&gt;=Imóveis!$Q$4,Dados!$A1124&lt;=Imóveis!$T$4),Imóveis!$U$4,0),IF((IF(AND(Dados!$A1124&gt;=Imóveis!$Q$4,Dados!$A1124&lt;=Imóveis!$T$4),Imóveis!$S$4-(DATEDIF(Imóveis!$Q$4,Dados!$A1124,"m")),0))=0,0,((Imóveis!$N$4/Imóveis!$S$4)+((Imóveis!$N$4-((Imóveis!$S$4-(IF(AND(Dados!$A1124&gt;=Imóveis!$Q$4,Dados!$A1124&lt;=Imóveis!$T$4),Imóveis!$S$4-(DATEDIF(Imóveis!$Q$4,Dados!$A1124,"m")),)))*(Imóveis!$N$4/Imóveis!$S$4)))*Imóveis!$P$4))))*IF(AND(Imóveis!$E$4&gt;0,Dados!$A1124&gt;Imóveis!$E$4),0,1)</f>
        <v>0</v>
      </c>
      <c r="L1124" s="18">
        <f>IF(Imóveis!$F$5="PRICE",IF(AND(Dados!$A1124&gt;=Imóveis!$Q$5,Dados!$A1124&lt;=Imóveis!$T$5),Imóveis!$U$5,0),IF((IF(AND(Dados!$A1124&gt;=Imóveis!$Q$5,Dados!$A1124&lt;=Imóveis!$T$5),Imóveis!$S$5-(DATEDIF(Imóveis!$Q$5,Dados!$A1124,"m")),0))=0,0,((Imóveis!$N$5/Imóveis!$S$5)+((Imóveis!$N$5-((Imóveis!$S$5-(IF(AND(Dados!$A1124 &gt;=Imóveis!$Q$5,Dados!$A1124&lt;=Imóveis!$T$5),Imóveis!$S$5-(DATEDIF(Imóveis!$Q$5,Dados!$A1124,"m")),)))*(Imóveis!$N$5/Imóveis!$S$5)))*Imóveis!$P$5))))*IF(AND(Imóveis!$E$5&gt;0,Dados!$A1124&gt;Imóveis!$E$5),0,1)*Imóveis!$I$5</f>
        <v>0</v>
      </c>
      <c r="M1124" s="18">
        <f>IF(Imóveis!$F$6="PRICE",IF(AND(Dados!$A1124&gt;=Imóveis!$Q$6,Dados!$A1124&lt;=Imóveis!$T$6),Imóveis!$U$6,0),IF((IF(AND(Dados!$A1124&gt;=Imóveis!$Q$6,Dados!$A1124&lt;=Imóveis!$T$6),Imóveis!$S$6-(DATEDIF(Imóveis!$Q$6,Dados!$A1124,"m")),0))=0,0,((Imóveis!$N$6/Imóveis!$S$6)+((Imóveis!$N$6-((Imóveis!$S$6-(IF(AND(Dados!$A1124&gt;=Imóveis!$Q$6,Dados!$A1124&lt;=Imóveis!$T$6),Imóveis!$S$6-(DATEDIF(Imóveis!$Q$6,Dados!$A1124,"m")),)))*(Imóveis!$N$6/Imóveis!$S$6)))*Imóveis!$P$6))))*IF(AND(Imóveis!$E$6&gt;0,Dados!$A1124&gt;Imóveis!$E$6),0,1)*Imóveis!$I$6</f>
        <v>0</v>
      </c>
      <c r="N1124" s="18">
        <f t="shared" si="141"/>
        <v>0</v>
      </c>
      <c r="O1124" s="18">
        <f>SUMIFS(Receitas!$F:$F,Receitas!$J:$J,"&lt;="&amp;$A1124,Receitas!$L:$L,"&gt;="&amp;$A1124,Receitas!$C:$C,O$1,Receitas!$M:$M,"Mensal")+SUMIFS(Receitas!$F:$F,Receitas!$J:$J,"&lt;="&amp;$A1124,Receitas!$L:$L,"&gt;="&amp;$A1124,Receitas!$C:$C,O$1,Receitas!$M:$M,$B1124)</f>
        <v>0</v>
      </c>
      <c r="P1124" s="18">
        <f>SUMIFS(Receitas!$F:$F,Receitas!$J:$J,"&lt;="&amp;$A1124,Receitas!$L:$L,"&gt;="&amp;$A1124,Receitas!$C:$C,P$1,Receitas!$M:$M,"Mensal")+SUMIFS(Receitas!$F:$F,Receitas!$J:$J,"&lt;="&amp;$A1124,Receitas!$L:$L,"&gt;="&amp;$A1124,Receitas!$C:$C,P$1,Receitas!$M:$M,$B1124)</f>
        <v>0</v>
      </c>
      <c r="Q1124" s="18">
        <f>SUMIFS(Receitas!$F:$F,Receitas!$J:$J,"&lt;="&amp;$A1124,Receitas!$L:$L,"&gt;="&amp;$A1124,Receitas!$C:$C,Q$1,Receitas!$M:$M,"Mensal")+SUMIFS(Receitas!$F:$F,Receitas!$J:$J,"&lt;="&amp;$A1124,Receitas!$L:$L,"&gt;="&amp;$A1124,Receitas!$C:$C,Q$1,Receitas!$M:$M,$B1124)</f>
        <v>0</v>
      </c>
      <c r="R1124" s="18" cm="1">
        <f t="array" ref="R1124">(IF(AND(Membros!$F$2="Sim",A1124&lt;=MAX(Membros!$E$2:$E$5)),Membros!K$2,IF(AND(A1124&gt;=Membros!J$2,A1124&lt;=MAX(Membros!$E$2:$E$5)),Membros!K$2,0))+IF(AND(Membros!$F$3="Sim",A1124&lt;=MAX(Membros!$E$2:$E$5)),Membros!K$3,IF(AND(A1124&gt;=Membros!J$3,A1124&lt;=MAX(Membros!$E$2:$E$5)),Membros!K$3,0)))*IF(AND(COUNTIFS(Tabela3[Tipo],"Provedor",Tabela3[Simulação Seguro],"Sim")=2,A1124&gt;=MAX(IF(Tabela3[Tipo]="Dependente",Tabela3[Expectativa de Vida (Data)]))),0,1)</f>
        <v>0</v>
      </c>
      <c r="S1124" s="18">
        <f t="shared" si="142"/>
        <v>0</v>
      </c>
      <c r="U1124" s="18">
        <f t="shared" ca="1" si="145"/>
        <v>185054109.90845948</v>
      </c>
      <c r="V1124" s="18">
        <f>SUMIF(Imóveis!E:E,Dados!A:A,Imóveis!Z:Z)-SUMIF(Imóveis!E:E,Dados!A:A,Imóveis!Y:Y)</f>
        <v>0</v>
      </c>
      <c r="W1124" s="18">
        <f>-SUMIF(Projetos!N:N,A1124,Projetos!F:F)</f>
        <v>0</v>
      </c>
      <c r="X1124" s="18">
        <f t="shared" si="139"/>
        <v>0</v>
      </c>
      <c r="Y1124" s="26">
        <f ca="1">(U1124*((Indicadores_Economicos!D$2+1)^(1/12)-1))</f>
        <v>605819.0014667341</v>
      </c>
      <c r="Z1124" s="18">
        <f t="shared" ca="1" si="143"/>
        <v>185659928.90992621</v>
      </c>
      <c r="AA1124" s="18">
        <f ca="1">Auxiliar_Projetos!E1124</f>
        <v>1.5304277999431898E-8</v>
      </c>
      <c r="AB1124" s="18">
        <f ca="1">Auxiliar_Projetos!K1124</f>
        <v>1.1772521538024529E-8</v>
      </c>
      <c r="AC1124" s="18">
        <f ca="1">IF(Z1124-AA1124-AB1124&gt;Investimentos!$C$14,Investimentos!$C$14,IF(Z1124-AA1124-AB1124&lt;Investimentos!$C$14,Z1124-AA1124-AB1124,0))</f>
        <v>300000</v>
      </c>
      <c r="AD1124" s="18">
        <f t="shared" ca="1" si="144"/>
        <v>185359928.90992618</v>
      </c>
      <c r="AE1124" s="18"/>
    </row>
    <row r="1125" spans="1:31" x14ac:dyDescent="0.2">
      <c r="A1125" s="4">
        <v>79837</v>
      </c>
      <c r="B1125" s="5" t="str">
        <f t="shared" si="140"/>
        <v>agosto</v>
      </c>
      <c r="C1125" s="5" t="str">
        <f t="shared" si="146"/>
        <v>2118</v>
      </c>
      <c r="D1125" s="5">
        <f>SUMIFS(Despesas!$F:$F,Despesas!$J:$J,"&lt;="&amp;$A1125,Despesas!$L:$L,"&gt;="&amp;$A1125,Despesas!$C:$C,D$1,Despesas!$M:$M,"Mensal")+SUMIFS(Despesas!$F:$F,Despesas!$J:$J,"&lt;="&amp;$A1125,Despesas!$L:$L,"&gt;="&amp;$A1125,Despesas!$C:$C,D$1,Despesas!$M:$M,$B1125)</f>
        <v>0</v>
      </c>
      <c r="E1125" s="18">
        <f>SUMIFS(Despesas!$F:$F,Despesas!$J:$J,"&lt;="&amp;$A1125,Despesas!$L:$L,"&gt;="&amp;$A1125,Despesas!$C:$C,E$1,Despesas!$M:$M,"Mensal")+SUMIFS(Despesas!$F:$F,Despesas!$J:$J,"&lt;="&amp;$A1125,Despesas!$L:$L,"&gt;="&amp;$A1125,Despesas!$C:$C,E$1,Despesas!$M:$M,$B1125)</f>
        <v>0</v>
      </c>
      <c r="F1125" s="5">
        <f>SUMIFS(Despesas!$F:$F,Despesas!$J:$J,"&lt;="&amp;$A1125,Despesas!$L:$L,"&gt;="&amp;$A1125,Despesas!$C:$C,F$1,Despesas!$M:$M,"Mensal")+SUMIFS(Despesas!$F:$F,Despesas!$J:$J,"&lt;="&amp;$A1125,Despesas!$L:$L,"&gt;="&amp;$A1125,Despesas!$C:$C,F$1,Despesas!$M:$M,$B1125)</f>
        <v>0</v>
      </c>
      <c r="G1125" s="5">
        <f>SUMIFS(Despesas!$F:$F,Despesas!$J:$J,"&lt;="&amp;$A1125,Despesas!$L:$L,"&gt;="&amp;$A1125,Despesas!$C:$C,G$1,Despesas!$M:$M,"Mensal")+SUMIFS(Despesas!$F:$F,Despesas!$J:$J,"&lt;="&amp;$A1125,Despesas!$L:$L,"&gt;="&amp;$A1125,Despesas!$C:$C,G$1,Despesas!$M:$M,$B1125)</f>
        <v>0</v>
      </c>
      <c r="H1125" s="18">
        <f>SUMIFS(Despesas!$F:$F,Despesas!$J:$J,"&lt;="&amp;$A1125,Despesas!$L:$L,"&gt;="&amp;$A1125,Despesas!$C:$C,H$1,Despesas!$M:$M,"Mensal")+SUMIFS(Despesas!$F:$F,Despesas!$J:$J,"&lt;="&amp;$A1125,Despesas!$L:$L,"&gt;="&amp;$A1125,Despesas!$C:$C,H$1,Despesas!$M:$M,$B1125)</f>
        <v>0</v>
      </c>
      <c r="I1125" s="18">
        <f>IF(Imóveis!$F$2="PRICE",IF(AND(Dados!$A1125&gt;=Imóveis!$Q$2,Dados!$A1125&lt;=Imóveis!$T$2),Imóveis!$U$2,0),IF((IF(AND(Dados!$A1125&gt;=Imóveis!$Q$2,Dados!$A1125&lt;=Imóveis!$T$2),Imóveis!$S$2-(DATEDIF(Imóveis!$Q$2,Dados!$A1125,"m")),0))=0,0,((Imóveis!$N$2/Imóveis!$S$2)+((Imóveis!$N$2-((Imóveis!$S$2-(IF(AND(Dados!$A1125&gt;=Imóveis!$Q$2,Dados!$A1125&lt;=Imóveis!$T$2),Imóveis!$S$2-(DATEDIF(Imóveis!$Q$2,Dados!$A1125,"m")),)))*(Imóveis!$N$2/Imóveis!$S$2)))*Imóveis!$P$2))))*IF(AND(Imóveis!$E$2&gt;0,Dados!$A1125&gt;Imóveis!$E$2),0,1)</f>
        <v>0</v>
      </c>
      <c r="J1125" s="18">
        <f>IF(Imóveis!$F$3="PRICE",IF(AND(Dados!$A1125&gt;=Imóveis!$Q$3,Dados!$A1125&lt;=Imóveis!$T$3),Imóveis!$U$3,0),IF((IF(AND(Dados!$A1125&gt;=Imóveis!$Q$3,Dados!$A1125&lt;=Imóveis!$T$3),Imóveis!$S$3-(DATEDIF(Imóveis!$Q$3,Dados!$A1125,"m")),0))=0,0,((Imóveis!$N$3/Imóveis!$S$3)+((Imóveis!$N$3-((Imóveis!$S$3-(IF(AND(Dados!$A1125&gt;=Imóveis!$Q$3,Dados!$A1125&lt;=Imóveis!$T$3),Imóveis!$S$3-(DATEDIF(Imóveis!$Q$3,Dados!$A1125,"m")),)))*(Imóveis!$N$3/Imóveis!$S$3)))*Imóveis!$P$3))))*IF(AND(Imóveis!$E$3&gt;0,Dados!$A1125&gt;Imóveis!$E$3),0,1)</f>
        <v>0</v>
      </c>
      <c r="K1125" s="18">
        <f>IF(Imóveis!$F$4="PRICE",IF(AND(Dados!$A1125&gt;=Imóveis!$Q$4,Dados!$A1125&lt;=Imóveis!$T$4),Imóveis!$U$4,0),IF((IF(AND(Dados!$A1125&gt;=Imóveis!$Q$4,Dados!$A1125&lt;=Imóveis!$T$4),Imóveis!$S$4-(DATEDIF(Imóveis!$Q$4,Dados!$A1125,"m")),0))=0,0,((Imóveis!$N$4/Imóveis!$S$4)+((Imóveis!$N$4-((Imóveis!$S$4-(IF(AND(Dados!$A1125&gt;=Imóveis!$Q$4,Dados!$A1125&lt;=Imóveis!$T$4),Imóveis!$S$4-(DATEDIF(Imóveis!$Q$4,Dados!$A1125,"m")),)))*(Imóveis!$N$4/Imóveis!$S$4)))*Imóveis!$P$4))))*IF(AND(Imóveis!$E$4&gt;0,Dados!$A1125&gt;Imóveis!$E$4),0,1)</f>
        <v>0</v>
      </c>
      <c r="L1125" s="18">
        <f>IF(Imóveis!$F$5="PRICE",IF(AND(Dados!$A1125&gt;=Imóveis!$Q$5,Dados!$A1125&lt;=Imóveis!$T$5),Imóveis!$U$5,0),IF((IF(AND(Dados!$A1125&gt;=Imóveis!$Q$5,Dados!$A1125&lt;=Imóveis!$T$5),Imóveis!$S$5-(DATEDIF(Imóveis!$Q$5,Dados!$A1125,"m")),0))=0,0,((Imóveis!$N$5/Imóveis!$S$5)+((Imóveis!$N$5-((Imóveis!$S$5-(IF(AND(Dados!$A1125 &gt;=Imóveis!$Q$5,Dados!$A1125&lt;=Imóveis!$T$5),Imóveis!$S$5-(DATEDIF(Imóveis!$Q$5,Dados!$A1125,"m")),)))*(Imóveis!$N$5/Imóveis!$S$5)))*Imóveis!$P$5))))*IF(AND(Imóveis!$E$5&gt;0,Dados!$A1125&gt;Imóveis!$E$5),0,1)*Imóveis!$I$5</f>
        <v>0</v>
      </c>
      <c r="M1125" s="18">
        <f>IF(Imóveis!$F$6="PRICE",IF(AND(Dados!$A1125&gt;=Imóveis!$Q$6,Dados!$A1125&lt;=Imóveis!$T$6),Imóveis!$U$6,0),IF((IF(AND(Dados!$A1125&gt;=Imóveis!$Q$6,Dados!$A1125&lt;=Imóveis!$T$6),Imóveis!$S$6-(DATEDIF(Imóveis!$Q$6,Dados!$A1125,"m")),0))=0,0,((Imóveis!$N$6/Imóveis!$S$6)+((Imóveis!$N$6-((Imóveis!$S$6-(IF(AND(Dados!$A1125&gt;=Imóveis!$Q$6,Dados!$A1125&lt;=Imóveis!$T$6),Imóveis!$S$6-(DATEDIF(Imóveis!$Q$6,Dados!$A1125,"m")),)))*(Imóveis!$N$6/Imóveis!$S$6)))*Imóveis!$P$6))))*IF(AND(Imóveis!$E$6&gt;0,Dados!$A1125&gt;Imóveis!$E$6),0,1)*Imóveis!$I$6</f>
        <v>0</v>
      </c>
      <c r="N1125" s="18">
        <f t="shared" si="141"/>
        <v>0</v>
      </c>
      <c r="O1125" s="18">
        <f>SUMIFS(Receitas!$F:$F,Receitas!$J:$J,"&lt;="&amp;$A1125,Receitas!$L:$L,"&gt;="&amp;$A1125,Receitas!$C:$C,O$1,Receitas!$M:$M,"Mensal")+SUMIFS(Receitas!$F:$F,Receitas!$J:$J,"&lt;="&amp;$A1125,Receitas!$L:$L,"&gt;="&amp;$A1125,Receitas!$C:$C,O$1,Receitas!$M:$M,$B1125)</f>
        <v>0</v>
      </c>
      <c r="P1125" s="18">
        <f>SUMIFS(Receitas!$F:$F,Receitas!$J:$J,"&lt;="&amp;$A1125,Receitas!$L:$L,"&gt;="&amp;$A1125,Receitas!$C:$C,P$1,Receitas!$M:$M,"Mensal")+SUMIFS(Receitas!$F:$F,Receitas!$J:$J,"&lt;="&amp;$A1125,Receitas!$L:$L,"&gt;="&amp;$A1125,Receitas!$C:$C,P$1,Receitas!$M:$M,$B1125)</f>
        <v>0</v>
      </c>
      <c r="Q1125" s="18">
        <f>SUMIFS(Receitas!$F:$F,Receitas!$J:$J,"&lt;="&amp;$A1125,Receitas!$L:$L,"&gt;="&amp;$A1125,Receitas!$C:$C,Q$1,Receitas!$M:$M,"Mensal")+SUMIFS(Receitas!$F:$F,Receitas!$J:$J,"&lt;="&amp;$A1125,Receitas!$L:$L,"&gt;="&amp;$A1125,Receitas!$C:$C,Q$1,Receitas!$M:$M,$B1125)</f>
        <v>0</v>
      </c>
      <c r="R1125" s="18" cm="1">
        <f t="array" ref="R1125">(IF(AND(Membros!$F$2="Sim",A1125&lt;=MAX(Membros!$E$2:$E$5)),Membros!K$2,IF(AND(A1125&gt;=Membros!J$2,A1125&lt;=MAX(Membros!$E$2:$E$5)),Membros!K$2,0))+IF(AND(Membros!$F$3="Sim",A1125&lt;=MAX(Membros!$E$2:$E$5)),Membros!K$3,IF(AND(A1125&gt;=Membros!J$3,A1125&lt;=MAX(Membros!$E$2:$E$5)),Membros!K$3,0)))*IF(AND(COUNTIFS(Tabela3[Tipo],"Provedor",Tabela3[Simulação Seguro],"Sim")=2,A1125&gt;=MAX(IF(Tabela3[Tipo]="Dependente",Tabela3[Expectativa de Vida (Data)]))),0,1)</f>
        <v>0</v>
      </c>
      <c r="S1125" s="18">
        <f t="shared" si="142"/>
        <v>0</v>
      </c>
      <c r="U1125" s="18">
        <f t="shared" ca="1" si="145"/>
        <v>185659928.90992621</v>
      </c>
      <c r="V1125" s="18">
        <f>SUMIF(Imóveis!E:E,Dados!A:A,Imóveis!Z:Z)-SUMIF(Imóveis!E:E,Dados!A:A,Imóveis!Y:Y)</f>
        <v>0</v>
      </c>
      <c r="W1125" s="18">
        <f>-SUMIF(Projetos!N:N,A1125,Projetos!F:F)</f>
        <v>0</v>
      </c>
      <c r="X1125" s="18">
        <f t="shared" si="139"/>
        <v>0</v>
      </c>
      <c r="Y1125" s="26">
        <f ca="1">(U1125*((Indicadores_Economicos!D$2+1)^(1/12)-1))</f>
        <v>607802.2952326478</v>
      </c>
      <c r="Z1125" s="18">
        <f t="shared" ca="1" si="143"/>
        <v>186267731.20515886</v>
      </c>
      <c r="AA1125" s="18">
        <f ca="1">Auxiliar_Projetos!E1125</f>
        <v>1.535438022315647E-8</v>
      </c>
      <c r="AB1125" s="18">
        <f ca="1">Auxiliar_Projetos!K1125</f>
        <v>1.1811061710120353E-8</v>
      </c>
      <c r="AC1125" s="18">
        <f ca="1">IF(Z1125-AA1125-AB1125&gt;Investimentos!$C$14,Investimentos!$C$14,IF(Z1125-AA1125-AB1125&lt;Investimentos!$C$14,Z1125-AA1125-AB1125,0))</f>
        <v>300000</v>
      </c>
      <c r="AD1125" s="18">
        <f t="shared" ca="1" si="144"/>
        <v>185967731.20515883</v>
      </c>
      <c r="AE1125" s="18"/>
    </row>
    <row r="1126" spans="1:31" x14ac:dyDescent="0.2">
      <c r="A1126" s="4">
        <v>79868</v>
      </c>
      <c r="B1126" s="5" t="str">
        <f t="shared" si="140"/>
        <v>setembro</v>
      </c>
      <c r="C1126" s="5" t="str">
        <f t="shared" si="146"/>
        <v>2118</v>
      </c>
      <c r="D1126" s="5">
        <f>SUMIFS(Despesas!$F:$F,Despesas!$J:$J,"&lt;="&amp;$A1126,Despesas!$L:$L,"&gt;="&amp;$A1126,Despesas!$C:$C,D$1,Despesas!$M:$M,"Mensal")+SUMIFS(Despesas!$F:$F,Despesas!$J:$J,"&lt;="&amp;$A1126,Despesas!$L:$L,"&gt;="&amp;$A1126,Despesas!$C:$C,D$1,Despesas!$M:$M,$B1126)</f>
        <v>0</v>
      </c>
      <c r="E1126" s="18">
        <f>SUMIFS(Despesas!$F:$F,Despesas!$J:$J,"&lt;="&amp;$A1126,Despesas!$L:$L,"&gt;="&amp;$A1126,Despesas!$C:$C,E$1,Despesas!$M:$M,"Mensal")+SUMIFS(Despesas!$F:$F,Despesas!$J:$J,"&lt;="&amp;$A1126,Despesas!$L:$L,"&gt;="&amp;$A1126,Despesas!$C:$C,E$1,Despesas!$M:$M,$B1126)</f>
        <v>0</v>
      </c>
      <c r="F1126" s="5">
        <f>SUMIFS(Despesas!$F:$F,Despesas!$J:$J,"&lt;="&amp;$A1126,Despesas!$L:$L,"&gt;="&amp;$A1126,Despesas!$C:$C,F$1,Despesas!$M:$M,"Mensal")+SUMIFS(Despesas!$F:$F,Despesas!$J:$J,"&lt;="&amp;$A1126,Despesas!$L:$L,"&gt;="&amp;$A1126,Despesas!$C:$C,F$1,Despesas!$M:$M,$B1126)</f>
        <v>0</v>
      </c>
      <c r="G1126" s="5">
        <f>SUMIFS(Despesas!$F:$F,Despesas!$J:$J,"&lt;="&amp;$A1126,Despesas!$L:$L,"&gt;="&amp;$A1126,Despesas!$C:$C,G$1,Despesas!$M:$M,"Mensal")+SUMIFS(Despesas!$F:$F,Despesas!$J:$J,"&lt;="&amp;$A1126,Despesas!$L:$L,"&gt;="&amp;$A1126,Despesas!$C:$C,G$1,Despesas!$M:$M,$B1126)</f>
        <v>0</v>
      </c>
      <c r="H1126" s="18">
        <f>SUMIFS(Despesas!$F:$F,Despesas!$J:$J,"&lt;="&amp;$A1126,Despesas!$L:$L,"&gt;="&amp;$A1126,Despesas!$C:$C,H$1,Despesas!$M:$M,"Mensal")+SUMIFS(Despesas!$F:$F,Despesas!$J:$J,"&lt;="&amp;$A1126,Despesas!$L:$L,"&gt;="&amp;$A1126,Despesas!$C:$C,H$1,Despesas!$M:$M,$B1126)</f>
        <v>0</v>
      </c>
      <c r="I1126" s="18">
        <f>IF(Imóveis!$F$2="PRICE",IF(AND(Dados!$A1126&gt;=Imóveis!$Q$2,Dados!$A1126&lt;=Imóveis!$T$2),Imóveis!$U$2,0),IF((IF(AND(Dados!$A1126&gt;=Imóveis!$Q$2,Dados!$A1126&lt;=Imóveis!$T$2),Imóveis!$S$2-(DATEDIF(Imóveis!$Q$2,Dados!$A1126,"m")),0))=0,0,((Imóveis!$N$2/Imóveis!$S$2)+((Imóveis!$N$2-((Imóveis!$S$2-(IF(AND(Dados!$A1126&gt;=Imóveis!$Q$2,Dados!$A1126&lt;=Imóveis!$T$2),Imóveis!$S$2-(DATEDIF(Imóveis!$Q$2,Dados!$A1126,"m")),)))*(Imóveis!$N$2/Imóveis!$S$2)))*Imóveis!$P$2))))*IF(AND(Imóveis!$E$2&gt;0,Dados!$A1126&gt;Imóveis!$E$2),0,1)</f>
        <v>0</v>
      </c>
      <c r="J1126" s="18">
        <f>IF(Imóveis!$F$3="PRICE",IF(AND(Dados!$A1126&gt;=Imóveis!$Q$3,Dados!$A1126&lt;=Imóveis!$T$3),Imóveis!$U$3,0),IF((IF(AND(Dados!$A1126&gt;=Imóveis!$Q$3,Dados!$A1126&lt;=Imóveis!$T$3),Imóveis!$S$3-(DATEDIF(Imóveis!$Q$3,Dados!$A1126,"m")),0))=0,0,((Imóveis!$N$3/Imóveis!$S$3)+((Imóveis!$N$3-((Imóveis!$S$3-(IF(AND(Dados!$A1126&gt;=Imóveis!$Q$3,Dados!$A1126&lt;=Imóveis!$T$3),Imóveis!$S$3-(DATEDIF(Imóveis!$Q$3,Dados!$A1126,"m")),)))*(Imóveis!$N$3/Imóveis!$S$3)))*Imóveis!$P$3))))*IF(AND(Imóveis!$E$3&gt;0,Dados!$A1126&gt;Imóveis!$E$3),0,1)</f>
        <v>0</v>
      </c>
      <c r="K1126" s="18">
        <f>IF(Imóveis!$F$4="PRICE",IF(AND(Dados!$A1126&gt;=Imóveis!$Q$4,Dados!$A1126&lt;=Imóveis!$T$4),Imóveis!$U$4,0),IF((IF(AND(Dados!$A1126&gt;=Imóveis!$Q$4,Dados!$A1126&lt;=Imóveis!$T$4),Imóveis!$S$4-(DATEDIF(Imóveis!$Q$4,Dados!$A1126,"m")),0))=0,0,((Imóveis!$N$4/Imóveis!$S$4)+((Imóveis!$N$4-((Imóveis!$S$4-(IF(AND(Dados!$A1126&gt;=Imóveis!$Q$4,Dados!$A1126&lt;=Imóveis!$T$4),Imóveis!$S$4-(DATEDIF(Imóveis!$Q$4,Dados!$A1126,"m")),)))*(Imóveis!$N$4/Imóveis!$S$4)))*Imóveis!$P$4))))*IF(AND(Imóveis!$E$4&gt;0,Dados!$A1126&gt;Imóveis!$E$4),0,1)</f>
        <v>0</v>
      </c>
      <c r="L1126" s="18">
        <f>IF(Imóveis!$F$5="PRICE",IF(AND(Dados!$A1126&gt;=Imóveis!$Q$5,Dados!$A1126&lt;=Imóveis!$T$5),Imóveis!$U$5,0),IF((IF(AND(Dados!$A1126&gt;=Imóveis!$Q$5,Dados!$A1126&lt;=Imóveis!$T$5),Imóveis!$S$5-(DATEDIF(Imóveis!$Q$5,Dados!$A1126,"m")),0))=0,0,((Imóveis!$N$5/Imóveis!$S$5)+((Imóveis!$N$5-((Imóveis!$S$5-(IF(AND(Dados!$A1126 &gt;=Imóveis!$Q$5,Dados!$A1126&lt;=Imóveis!$T$5),Imóveis!$S$5-(DATEDIF(Imóveis!$Q$5,Dados!$A1126,"m")),)))*(Imóveis!$N$5/Imóveis!$S$5)))*Imóveis!$P$5))))*IF(AND(Imóveis!$E$5&gt;0,Dados!$A1126&gt;Imóveis!$E$5),0,1)*Imóveis!$I$5</f>
        <v>0</v>
      </c>
      <c r="M1126" s="18">
        <f>IF(Imóveis!$F$6="PRICE",IF(AND(Dados!$A1126&gt;=Imóveis!$Q$6,Dados!$A1126&lt;=Imóveis!$T$6),Imóveis!$U$6,0),IF((IF(AND(Dados!$A1126&gt;=Imóveis!$Q$6,Dados!$A1126&lt;=Imóveis!$T$6),Imóveis!$S$6-(DATEDIF(Imóveis!$Q$6,Dados!$A1126,"m")),0))=0,0,((Imóveis!$N$6/Imóveis!$S$6)+((Imóveis!$N$6-((Imóveis!$S$6-(IF(AND(Dados!$A1126&gt;=Imóveis!$Q$6,Dados!$A1126&lt;=Imóveis!$T$6),Imóveis!$S$6-(DATEDIF(Imóveis!$Q$6,Dados!$A1126,"m")),)))*(Imóveis!$N$6/Imóveis!$S$6)))*Imóveis!$P$6))))*IF(AND(Imóveis!$E$6&gt;0,Dados!$A1126&gt;Imóveis!$E$6),0,1)*Imóveis!$I$6</f>
        <v>0</v>
      </c>
      <c r="N1126" s="18">
        <f t="shared" si="141"/>
        <v>0</v>
      </c>
      <c r="O1126" s="18">
        <f>SUMIFS(Receitas!$F:$F,Receitas!$J:$J,"&lt;="&amp;$A1126,Receitas!$L:$L,"&gt;="&amp;$A1126,Receitas!$C:$C,O$1,Receitas!$M:$M,"Mensal")+SUMIFS(Receitas!$F:$F,Receitas!$J:$J,"&lt;="&amp;$A1126,Receitas!$L:$L,"&gt;="&amp;$A1126,Receitas!$C:$C,O$1,Receitas!$M:$M,$B1126)</f>
        <v>0</v>
      </c>
      <c r="P1126" s="18">
        <f>SUMIFS(Receitas!$F:$F,Receitas!$J:$J,"&lt;="&amp;$A1126,Receitas!$L:$L,"&gt;="&amp;$A1126,Receitas!$C:$C,P$1,Receitas!$M:$M,"Mensal")+SUMIFS(Receitas!$F:$F,Receitas!$J:$J,"&lt;="&amp;$A1126,Receitas!$L:$L,"&gt;="&amp;$A1126,Receitas!$C:$C,P$1,Receitas!$M:$M,$B1126)</f>
        <v>0</v>
      </c>
      <c r="Q1126" s="18">
        <f>SUMIFS(Receitas!$F:$F,Receitas!$J:$J,"&lt;="&amp;$A1126,Receitas!$L:$L,"&gt;="&amp;$A1126,Receitas!$C:$C,Q$1,Receitas!$M:$M,"Mensal")+SUMIFS(Receitas!$F:$F,Receitas!$J:$J,"&lt;="&amp;$A1126,Receitas!$L:$L,"&gt;="&amp;$A1126,Receitas!$C:$C,Q$1,Receitas!$M:$M,$B1126)</f>
        <v>0</v>
      </c>
      <c r="R1126" s="18" cm="1">
        <f t="array" ref="R1126">(IF(AND(Membros!$F$2="Sim",A1126&lt;=MAX(Membros!$E$2:$E$5)),Membros!K$2,IF(AND(A1126&gt;=Membros!J$2,A1126&lt;=MAX(Membros!$E$2:$E$5)),Membros!K$2,0))+IF(AND(Membros!$F$3="Sim",A1126&lt;=MAX(Membros!$E$2:$E$5)),Membros!K$3,IF(AND(A1126&gt;=Membros!J$3,A1126&lt;=MAX(Membros!$E$2:$E$5)),Membros!K$3,0)))*IF(AND(COUNTIFS(Tabela3[Tipo],"Provedor",Tabela3[Simulação Seguro],"Sim")=2,A1126&gt;=MAX(IF(Tabela3[Tipo]="Dependente",Tabela3[Expectativa de Vida (Data)]))),0,1)</f>
        <v>0</v>
      </c>
      <c r="S1126" s="18">
        <f t="shared" si="142"/>
        <v>0</v>
      </c>
      <c r="U1126" s="18">
        <f t="shared" ca="1" si="145"/>
        <v>186267731.20515886</v>
      </c>
      <c r="V1126" s="18">
        <f>SUMIF(Imóveis!E:E,Dados!A:A,Imóveis!Z:Z)-SUMIF(Imóveis!E:E,Dados!A:A,Imóveis!Y:Y)</f>
        <v>0</v>
      </c>
      <c r="W1126" s="18">
        <f>-SUMIF(Projetos!N:N,A1126,Projetos!F:F)</f>
        <v>0</v>
      </c>
      <c r="X1126" s="18">
        <f t="shared" si="139"/>
        <v>0</v>
      </c>
      <c r="Y1126" s="26">
        <f ca="1">(U1126*((Indicadores_Economicos!D$2+1)^(1/12)-1))</f>
        <v>609792.08178626269</v>
      </c>
      <c r="Z1126" s="18">
        <f t="shared" ca="1" si="143"/>
        <v>186877523.28694513</v>
      </c>
      <c r="AA1126" s="18">
        <f ca="1">Auxiliar_Projetos!E1126</f>
        <v>1.5404646468524027E-8</v>
      </c>
      <c r="AB1126" s="18">
        <f ca="1">Auxiliar_Projetos!K1126</f>
        <v>1.184972805271078E-8</v>
      </c>
      <c r="AC1126" s="18">
        <f ca="1">IF(Z1126-AA1126-AB1126&gt;Investimentos!$C$14,Investimentos!$C$14,IF(Z1126-AA1126-AB1126&lt;Investimentos!$C$14,Z1126-AA1126-AB1126,0))</f>
        <v>300000</v>
      </c>
      <c r="AD1126" s="18">
        <f t="shared" ca="1" si="144"/>
        <v>186577523.2869451</v>
      </c>
      <c r="AE1126" s="18"/>
    </row>
    <row r="1127" spans="1:31" x14ac:dyDescent="0.2">
      <c r="A1127" s="4">
        <v>79898</v>
      </c>
      <c r="B1127" s="5" t="str">
        <f t="shared" si="140"/>
        <v>outubro</v>
      </c>
      <c r="C1127" s="5" t="str">
        <f t="shared" si="146"/>
        <v>2118</v>
      </c>
      <c r="D1127" s="5">
        <f>SUMIFS(Despesas!$F:$F,Despesas!$J:$J,"&lt;="&amp;$A1127,Despesas!$L:$L,"&gt;="&amp;$A1127,Despesas!$C:$C,D$1,Despesas!$M:$M,"Mensal")+SUMIFS(Despesas!$F:$F,Despesas!$J:$J,"&lt;="&amp;$A1127,Despesas!$L:$L,"&gt;="&amp;$A1127,Despesas!$C:$C,D$1,Despesas!$M:$M,$B1127)</f>
        <v>0</v>
      </c>
      <c r="E1127" s="18">
        <f>SUMIFS(Despesas!$F:$F,Despesas!$J:$J,"&lt;="&amp;$A1127,Despesas!$L:$L,"&gt;="&amp;$A1127,Despesas!$C:$C,E$1,Despesas!$M:$M,"Mensal")+SUMIFS(Despesas!$F:$F,Despesas!$J:$J,"&lt;="&amp;$A1127,Despesas!$L:$L,"&gt;="&amp;$A1127,Despesas!$C:$C,E$1,Despesas!$M:$M,$B1127)</f>
        <v>0</v>
      </c>
      <c r="F1127" s="5">
        <f>SUMIFS(Despesas!$F:$F,Despesas!$J:$J,"&lt;="&amp;$A1127,Despesas!$L:$L,"&gt;="&amp;$A1127,Despesas!$C:$C,F$1,Despesas!$M:$M,"Mensal")+SUMIFS(Despesas!$F:$F,Despesas!$J:$J,"&lt;="&amp;$A1127,Despesas!$L:$L,"&gt;="&amp;$A1127,Despesas!$C:$C,F$1,Despesas!$M:$M,$B1127)</f>
        <v>0</v>
      </c>
      <c r="G1127" s="5">
        <f>SUMIFS(Despesas!$F:$F,Despesas!$J:$J,"&lt;="&amp;$A1127,Despesas!$L:$L,"&gt;="&amp;$A1127,Despesas!$C:$C,G$1,Despesas!$M:$M,"Mensal")+SUMIFS(Despesas!$F:$F,Despesas!$J:$J,"&lt;="&amp;$A1127,Despesas!$L:$L,"&gt;="&amp;$A1127,Despesas!$C:$C,G$1,Despesas!$M:$M,$B1127)</f>
        <v>0</v>
      </c>
      <c r="H1127" s="18">
        <f>SUMIFS(Despesas!$F:$F,Despesas!$J:$J,"&lt;="&amp;$A1127,Despesas!$L:$L,"&gt;="&amp;$A1127,Despesas!$C:$C,H$1,Despesas!$M:$M,"Mensal")+SUMIFS(Despesas!$F:$F,Despesas!$J:$J,"&lt;="&amp;$A1127,Despesas!$L:$L,"&gt;="&amp;$A1127,Despesas!$C:$C,H$1,Despesas!$M:$M,$B1127)</f>
        <v>0</v>
      </c>
      <c r="I1127" s="18">
        <f>IF(Imóveis!$F$2="PRICE",IF(AND(Dados!$A1127&gt;=Imóveis!$Q$2,Dados!$A1127&lt;=Imóveis!$T$2),Imóveis!$U$2,0),IF((IF(AND(Dados!$A1127&gt;=Imóveis!$Q$2,Dados!$A1127&lt;=Imóveis!$T$2),Imóveis!$S$2-(DATEDIF(Imóveis!$Q$2,Dados!$A1127,"m")),0))=0,0,((Imóveis!$N$2/Imóveis!$S$2)+((Imóveis!$N$2-((Imóveis!$S$2-(IF(AND(Dados!$A1127&gt;=Imóveis!$Q$2,Dados!$A1127&lt;=Imóveis!$T$2),Imóveis!$S$2-(DATEDIF(Imóveis!$Q$2,Dados!$A1127,"m")),)))*(Imóveis!$N$2/Imóveis!$S$2)))*Imóveis!$P$2))))*IF(AND(Imóveis!$E$2&gt;0,Dados!$A1127&gt;Imóveis!$E$2),0,1)</f>
        <v>0</v>
      </c>
      <c r="J1127" s="18">
        <f>IF(Imóveis!$F$3="PRICE",IF(AND(Dados!$A1127&gt;=Imóveis!$Q$3,Dados!$A1127&lt;=Imóveis!$T$3),Imóveis!$U$3,0),IF((IF(AND(Dados!$A1127&gt;=Imóveis!$Q$3,Dados!$A1127&lt;=Imóveis!$T$3),Imóveis!$S$3-(DATEDIF(Imóveis!$Q$3,Dados!$A1127,"m")),0))=0,0,((Imóveis!$N$3/Imóveis!$S$3)+((Imóveis!$N$3-((Imóveis!$S$3-(IF(AND(Dados!$A1127&gt;=Imóveis!$Q$3,Dados!$A1127&lt;=Imóveis!$T$3),Imóveis!$S$3-(DATEDIF(Imóveis!$Q$3,Dados!$A1127,"m")),)))*(Imóveis!$N$3/Imóveis!$S$3)))*Imóveis!$P$3))))*IF(AND(Imóveis!$E$3&gt;0,Dados!$A1127&gt;Imóveis!$E$3),0,1)</f>
        <v>0</v>
      </c>
      <c r="K1127" s="18">
        <f>IF(Imóveis!$F$4="PRICE",IF(AND(Dados!$A1127&gt;=Imóveis!$Q$4,Dados!$A1127&lt;=Imóveis!$T$4),Imóveis!$U$4,0),IF((IF(AND(Dados!$A1127&gt;=Imóveis!$Q$4,Dados!$A1127&lt;=Imóveis!$T$4),Imóveis!$S$4-(DATEDIF(Imóveis!$Q$4,Dados!$A1127,"m")),0))=0,0,((Imóveis!$N$4/Imóveis!$S$4)+((Imóveis!$N$4-((Imóveis!$S$4-(IF(AND(Dados!$A1127&gt;=Imóveis!$Q$4,Dados!$A1127&lt;=Imóveis!$T$4),Imóveis!$S$4-(DATEDIF(Imóveis!$Q$4,Dados!$A1127,"m")),)))*(Imóveis!$N$4/Imóveis!$S$4)))*Imóveis!$P$4))))*IF(AND(Imóveis!$E$4&gt;0,Dados!$A1127&gt;Imóveis!$E$4),0,1)</f>
        <v>0</v>
      </c>
      <c r="L1127" s="18">
        <f>IF(Imóveis!$F$5="PRICE",IF(AND(Dados!$A1127&gt;=Imóveis!$Q$5,Dados!$A1127&lt;=Imóveis!$T$5),Imóveis!$U$5,0),IF((IF(AND(Dados!$A1127&gt;=Imóveis!$Q$5,Dados!$A1127&lt;=Imóveis!$T$5),Imóveis!$S$5-(DATEDIF(Imóveis!$Q$5,Dados!$A1127,"m")),0))=0,0,((Imóveis!$N$5/Imóveis!$S$5)+((Imóveis!$N$5-((Imóveis!$S$5-(IF(AND(Dados!$A1127 &gt;=Imóveis!$Q$5,Dados!$A1127&lt;=Imóveis!$T$5),Imóveis!$S$5-(DATEDIF(Imóveis!$Q$5,Dados!$A1127,"m")),)))*(Imóveis!$N$5/Imóveis!$S$5)))*Imóveis!$P$5))))*IF(AND(Imóveis!$E$5&gt;0,Dados!$A1127&gt;Imóveis!$E$5),0,1)*Imóveis!$I$5</f>
        <v>0</v>
      </c>
      <c r="M1127" s="18">
        <f>IF(Imóveis!$F$6="PRICE",IF(AND(Dados!$A1127&gt;=Imóveis!$Q$6,Dados!$A1127&lt;=Imóveis!$T$6),Imóveis!$U$6,0),IF((IF(AND(Dados!$A1127&gt;=Imóveis!$Q$6,Dados!$A1127&lt;=Imóveis!$T$6),Imóveis!$S$6-(DATEDIF(Imóveis!$Q$6,Dados!$A1127,"m")),0))=0,0,((Imóveis!$N$6/Imóveis!$S$6)+((Imóveis!$N$6-((Imóveis!$S$6-(IF(AND(Dados!$A1127&gt;=Imóveis!$Q$6,Dados!$A1127&lt;=Imóveis!$T$6),Imóveis!$S$6-(DATEDIF(Imóveis!$Q$6,Dados!$A1127,"m")),)))*(Imóveis!$N$6/Imóveis!$S$6)))*Imóveis!$P$6))))*IF(AND(Imóveis!$E$6&gt;0,Dados!$A1127&gt;Imóveis!$E$6),0,1)*Imóveis!$I$6</f>
        <v>0</v>
      </c>
      <c r="N1127" s="18">
        <f t="shared" si="141"/>
        <v>0</v>
      </c>
      <c r="O1127" s="18">
        <f>SUMIFS(Receitas!$F:$F,Receitas!$J:$J,"&lt;="&amp;$A1127,Receitas!$L:$L,"&gt;="&amp;$A1127,Receitas!$C:$C,O$1,Receitas!$M:$M,"Mensal")+SUMIFS(Receitas!$F:$F,Receitas!$J:$J,"&lt;="&amp;$A1127,Receitas!$L:$L,"&gt;="&amp;$A1127,Receitas!$C:$C,O$1,Receitas!$M:$M,$B1127)</f>
        <v>0</v>
      </c>
      <c r="P1127" s="18">
        <f>SUMIFS(Receitas!$F:$F,Receitas!$J:$J,"&lt;="&amp;$A1127,Receitas!$L:$L,"&gt;="&amp;$A1127,Receitas!$C:$C,P$1,Receitas!$M:$M,"Mensal")+SUMIFS(Receitas!$F:$F,Receitas!$J:$J,"&lt;="&amp;$A1127,Receitas!$L:$L,"&gt;="&amp;$A1127,Receitas!$C:$C,P$1,Receitas!$M:$M,$B1127)</f>
        <v>0</v>
      </c>
      <c r="Q1127" s="18">
        <f>SUMIFS(Receitas!$F:$F,Receitas!$J:$J,"&lt;="&amp;$A1127,Receitas!$L:$L,"&gt;="&amp;$A1127,Receitas!$C:$C,Q$1,Receitas!$M:$M,"Mensal")+SUMIFS(Receitas!$F:$F,Receitas!$J:$J,"&lt;="&amp;$A1127,Receitas!$L:$L,"&gt;="&amp;$A1127,Receitas!$C:$C,Q$1,Receitas!$M:$M,$B1127)</f>
        <v>0</v>
      </c>
      <c r="R1127" s="18" cm="1">
        <f t="array" ref="R1127">(IF(AND(Membros!$F$2="Sim",A1127&lt;=MAX(Membros!$E$2:$E$5)),Membros!K$2,IF(AND(A1127&gt;=Membros!J$2,A1127&lt;=MAX(Membros!$E$2:$E$5)),Membros!K$2,0))+IF(AND(Membros!$F$3="Sim",A1127&lt;=MAX(Membros!$E$2:$E$5)),Membros!K$3,IF(AND(A1127&gt;=Membros!J$3,A1127&lt;=MAX(Membros!$E$2:$E$5)),Membros!K$3,0)))*IF(AND(COUNTIFS(Tabela3[Tipo],"Provedor",Tabela3[Simulação Seguro],"Sim")=2,A1127&gt;=MAX(IF(Tabela3[Tipo]="Dependente",Tabela3[Expectativa de Vida (Data)]))),0,1)</f>
        <v>0</v>
      </c>
      <c r="S1127" s="18">
        <f t="shared" si="142"/>
        <v>0</v>
      </c>
      <c r="U1127" s="18">
        <f t="shared" ca="1" si="145"/>
        <v>186877523.28694513</v>
      </c>
      <c r="V1127" s="18">
        <f>SUMIF(Imóveis!E:E,Dados!A:A,Imóveis!Z:Z)-SUMIF(Imóveis!E:E,Dados!A:A,Imóveis!Y:Y)</f>
        <v>0</v>
      </c>
      <c r="W1127" s="18">
        <f>-SUMIF(Projetos!N:N,A1127,Projetos!F:F)</f>
        <v>0</v>
      </c>
      <c r="X1127" s="18">
        <f t="shared" si="139"/>
        <v>0</v>
      </c>
      <c r="Y1127" s="26">
        <f ca="1">(U1127*((Indicadores_Economicos!D$2+1)^(1/12)-1))</f>
        <v>611788.38238327636</v>
      </c>
      <c r="Z1127" s="18">
        <f t="shared" ca="1" si="143"/>
        <v>187489311.66932842</v>
      </c>
      <c r="AA1127" s="18">
        <f ca="1">Auxiliar_Projetos!E1127</f>
        <v>1.5455077272498744E-8</v>
      </c>
      <c r="AB1127" s="18">
        <f ca="1">Auxiliar_Projetos!K1127</f>
        <v>1.1888520978845178E-8</v>
      </c>
      <c r="AC1127" s="18">
        <f ca="1">IF(Z1127-AA1127-AB1127&gt;Investimentos!$C$14,Investimentos!$C$14,IF(Z1127-AA1127-AB1127&lt;Investimentos!$C$14,Z1127-AA1127-AB1127,0))</f>
        <v>300000</v>
      </c>
      <c r="AD1127" s="18">
        <f t="shared" ca="1" si="144"/>
        <v>187189311.66932839</v>
      </c>
      <c r="AE1127" s="18"/>
    </row>
    <row r="1128" spans="1:31" x14ac:dyDescent="0.2">
      <c r="A1128" s="4">
        <v>79929</v>
      </c>
      <c r="B1128" s="5" t="str">
        <f t="shared" si="140"/>
        <v>novembro</v>
      </c>
      <c r="C1128" s="5" t="str">
        <f t="shared" si="146"/>
        <v>2118</v>
      </c>
      <c r="D1128" s="5">
        <f>SUMIFS(Despesas!$F:$F,Despesas!$J:$J,"&lt;="&amp;$A1128,Despesas!$L:$L,"&gt;="&amp;$A1128,Despesas!$C:$C,D$1,Despesas!$M:$M,"Mensal")+SUMIFS(Despesas!$F:$F,Despesas!$J:$J,"&lt;="&amp;$A1128,Despesas!$L:$L,"&gt;="&amp;$A1128,Despesas!$C:$C,D$1,Despesas!$M:$M,$B1128)</f>
        <v>0</v>
      </c>
      <c r="E1128" s="18">
        <f>SUMIFS(Despesas!$F:$F,Despesas!$J:$J,"&lt;="&amp;$A1128,Despesas!$L:$L,"&gt;="&amp;$A1128,Despesas!$C:$C,E$1,Despesas!$M:$M,"Mensal")+SUMIFS(Despesas!$F:$F,Despesas!$J:$J,"&lt;="&amp;$A1128,Despesas!$L:$L,"&gt;="&amp;$A1128,Despesas!$C:$C,E$1,Despesas!$M:$M,$B1128)</f>
        <v>0</v>
      </c>
      <c r="F1128" s="5">
        <f>SUMIFS(Despesas!$F:$F,Despesas!$J:$J,"&lt;="&amp;$A1128,Despesas!$L:$L,"&gt;="&amp;$A1128,Despesas!$C:$C,F$1,Despesas!$M:$M,"Mensal")+SUMIFS(Despesas!$F:$F,Despesas!$J:$J,"&lt;="&amp;$A1128,Despesas!$L:$L,"&gt;="&amp;$A1128,Despesas!$C:$C,F$1,Despesas!$M:$M,$B1128)</f>
        <v>0</v>
      </c>
      <c r="G1128" s="5">
        <f>SUMIFS(Despesas!$F:$F,Despesas!$J:$J,"&lt;="&amp;$A1128,Despesas!$L:$L,"&gt;="&amp;$A1128,Despesas!$C:$C,G$1,Despesas!$M:$M,"Mensal")+SUMIFS(Despesas!$F:$F,Despesas!$J:$J,"&lt;="&amp;$A1128,Despesas!$L:$L,"&gt;="&amp;$A1128,Despesas!$C:$C,G$1,Despesas!$M:$M,$B1128)</f>
        <v>0</v>
      </c>
      <c r="H1128" s="18">
        <f>SUMIFS(Despesas!$F:$F,Despesas!$J:$J,"&lt;="&amp;$A1128,Despesas!$L:$L,"&gt;="&amp;$A1128,Despesas!$C:$C,H$1,Despesas!$M:$M,"Mensal")+SUMIFS(Despesas!$F:$F,Despesas!$J:$J,"&lt;="&amp;$A1128,Despesas!$L:$L,"&gt;="&amp;$A1128,Despesas!$C:$C,H$1,Despesas!$M:$M,$B1128)</f>
        <v>0</v>
      </c>
      <c r="I1128" s="18">
        <f>IF(Imóveis!$F$2="PRICE",IF(AND(Dados!$A1128&gt;=Imóveis!$Q$2,Dados!$A1128&lt;=Imóveis!$T$2),Imóveis!$U$2,0),IF((IF(AND(Dados!$A1128&gt;=Imóveis!$Q$2,Dados!$A1128&lt;=Imóveis!$T$2),Imóveis!$S$2-(DATEDIF(Imóveis!$Q$2,Dados!$A1128,"m")),0))=0,0,((Imóveis!$N$2/Imóveis!$S$2)+((Imóveis!$N$2-((Imóveis!$S$2-(IF(AND(Dados!$A1128&gt;=Imóveis!$Q$2,Dados!$A1128&lt;=Imóveis!$T$2),Imóveis!$S$2-(DATEDIF(Imóveis!$Q$2,Dados!$A1128,"m")),)))*(Imóveis!$N$2/Imóveis!$S$2)))*Imóveis!$P$2))))*IF(AND(Imóveis!$E$2&gt;0,Dados!$A1128&gt;Imóveis!$E$2),0,1)</f>
        <v>0</v>
      </c>
      <c r="J1128" s="18">
        <f>IF(Imóveis!$F$3="PRICE",IF(AND(Dados!$A1128&gt;=Imóveis!$Q$3,Dados!$A1128&lt;=Imóveis!$T$3),Imóveis!$U$3,0),IF((IF(AND(Dados!$A1128&gt;=Imóveis!$Q$3,Dados!$A1128&lt;=Imóveis!$T$3),Imóveis!$S$3-(DATEDIF(Imóveis!$Q$3,Dados!$A1128,"m")),0))=0,0,((Imóveis!$N$3/Imóveis!$S$3)+((Imóveis!$N$3-((Imóveis!$S$3-(IF(AND(Dados!$A1128&gt;=Imóveis!$Q$3,Dados!$A1128&lt;=Imóveis!$T$3),Imóveis!$S$3-(DATEDIF(Imóveis!$Q$3,Dados!$A1128,"m")),)))*(Imóveis!$N$3/Imóveis!$S$3)))*Imóveis!$P$3))))*IF(AND(Imóveis!$E$3&gt;0,Dados!$A1128&gt;Imóveis!$E$3),0,1)</f>
        <v>0</v>
      </c>
      <c r="K1128" s="18">
        <f>IF(Imóveis!$F$4="PRICE",IF(AND(Dados!$A1128&gt;=Imóveis!$Q$4,Dados!$A1128&lt;=Imóveis!$T$4),Imóveis!$U$4,0),IF((IF(AND(Dados!$A1128&gt;=Imóveis!$Q$4,Dados!$A1128&lt;=Imóveis!$T$4),Imóveis!$S$4-(DATEDIF(Imóveis!$Q$4,Dados!$A1128,"m")),0))=0,0,((Imóveis!$N$4/Imóveis!$S$4)+((Imóveis!$N$4-((Imóveis!$S$4-(IF(AND(Dados!$A1128&gt;=Imóveis!$Q$4,Dados!$A1128&lt;=Imóveis!$T$4),Imóveis!$S$4-(DATEDIF(Imóveis!$Q$4,Dados!$A1128,"m")),)))*(Imóveis!$N$4/Imóveis!$S$4)))*Imóveis!$P$4))))*IF(AND(Imóveis!$E$4&gt;0,Dados!$A1128&gt;Imóveis!$E$4),0,1)</f>
        <v>0</v>
      </c>
      <c r="L1128" s="18">
        <f>IF(Imóveis!$F$5="PRICE",IF(AND(Dados!$A1128&gt;=Imóveis!$Q$5,Dados!$A1128&lt;=Imóveis!$T$5),Imóveis!$U$5,0),IF((IF(AND(Dados!$A1128&gt;=Imóveis!$Q$5,Dados!$A1128&lt;=Imóveis!$T$5),Imóveis!$S$5-(DATEDIF(Imóveis!$Q$5,Dados!$A1128,"m")),0))=0,0,((Imóveis!$N$5/Imóveis!$S$5)+((Imóveis!$N$5-((Imóveis!$S$5-(IF(AND(Dados!$A1128 &gt;=Imóveis!$Q$5,Dados!$A1128&lt;=Imóveis!$T$5),Imóveis!$S$5-(DATEDIF(Imóveis!$Q$5,Dados!$A1128,"m")),)))*(Imóveis!$N$5/Imóveis!$S$5)))*Imóveis!$P$5))))*IF(AND(Imóveis!$E$5&gt;0,Dados!$A1128&gt;Imóveis!$E$5),0,1)*Imóveis!$I$5</f>
        <v>0</v>
      </c>
      <c r="M1128" s="18">
        <f>IF(Imóveis!$F$6="PRICE",IF(AND(Dados!$A1128&gt;=Imóveis!$Q$6,Dados!$A1128&lt;=Imóveis!$T$6),Imóveis!$U$6,0),IF((IF(AND(Dados!$A1128&gt;=Imóveis!$Q$6,Dados!$A1128&lt;=Imóveis!$T$6),Imóveis!$S$6-(DATEDIF(Imóveis!$Q$6,Dados!$A1128,"m")),0))=0,0,((Imóveis!$N$6/Imóveis!$S$6)+((Imóveis!$N$6-((Imóveis!$S$6-(IF(AND(Dados!$A1128&gt;=Imóveis!$Q$6,Dados!$A1128&lt;=Imóveis!$T$6),Imóveis!$S$6-(DATEDIF(Imóveis!$Q$6,Dados!$A1128,"m")),)))*(Imóveis!$N$6/Imóveis!$S$6)))*Imóveis!$P$6))))*IF(AND(Imóveis!$E$6&gt;0,Dados!$A1128&gt;Imóveis!$E$6),0,1)*Imóveis!$I$6</f>
        <v>0</v>
      </c>
      <c r="N1128" s="18">
        <f t="shared" si="141"/>
        <v>0</v>
      </c>
      <c r="O1128" s="18">
        <f>SUMIFS(Receitas!$F:$F,Receitas!$J:$J,"&lt;="&amp;$A1128,Receitas!$L:$L,"&gt;="&amp;$A1128,Receitas!$C:$C,O$1,Receitas!$M:$M,"Mensal")+SUMIFS(Receitas!$F:$F,Receitas!$J:$J,"&lt;="&amp;$A1128,Receitas!$L:$L,"&gt;="&amp;$A1128,Receitas!$C:$C,O$1,Receitas!$M:$M,$B1128)</f>
        <v>0</v>
      </c>
      <c r="P1128" s="18">
        <f>SUMIFS(Receitas!$F:$F,Receitas!$J:$J,"&lt;="&amp;$A1128,Receitas!$L:$L,"&gt;="&amp;$A1128,Receitas!$C:$C,P$1,Receitas!$M:$M,"Mensal")+SUMIFS(Receitas!$F:$F,Receitas!$J:$J,"&lt;="&amp;$A1128,Receitas!$L:$L,"&gt;="&amp;$A1128,Receitas!$C:$C,P$1,Receitas!$M:$M,$B1128)</f>
        <v>0</v>
      </c>
      <c r="Q1128" s="18">
        <f>SUMIFS(Receitas!$F:$F,Receitas!$J:$J,"&lt;="&amp;$A1128,Receitas!$L:$L,"&gt;="&amp;$A1128,Receitas!$C:$C,Q$1,Receitas!$M:$M,"Mensal")+SUMIFS(Receitas!$F:$F,Receitas!$J:$J,"&lt;="&amp;$A1128,Receitas!$L:$L,"&gt;="&amp;$A1128,Receitas!$C:$C,Q$1,Receitas!$M:$M,$B1128)</f>
        <v>0</v>
      </c>
      <c r="R1128" s="18" cm="1">
        <f t="array" ref="R1128">(IF(AND(Membros!$F$2="Sim",A1128&lt;=MAX(Membros!$E$2:$E$5)),Membros!K$2,IF(AND(A1128&gt;=Membros!J$2,A1128&lt;=MAX(Membros!$E$2:$E$5)),Membros!K$2,0))+IF(AND(Membros!$F$3="Sim",A1128&lt;=MAX(Membros!$E$2:$E$5)),Membros!K$3,IF(AND(A1128&gt;=Membros!J$3,A1128&lt;=MAX(Membros!$E$2:$E$5)),Membros!K$3,0)))*IF(AND(COUNTIFS(Tabela3[Tipo],"Provedor",Tabela3[Simulação Seguro],"Sim")=2,A1128&gt;=MAX(IF(Tabela3[Tipo]="Dependente",Tabela3[Expectativa de Vida (Data)]))),0,1)</f>
        <v>0</v>
      </c>
      <c r="S1128" s="18">
        <f t="shared" si="142"/>
        <v>0</v>
      </c>
      <c r="U1128" s="18">
        <f t="shared" ca="1" si="145"/>
        <v>187489311.66932842</v>
      </c>
      <c r="V1128" s="18">
        <f>SUMIF(Imóveis!E:E,Dados!A:A,Imóveis!Z:Z)-SUMIF(Imóveis!E:E,Dados!A:A,Imóveis!Y:Y)</f>
        <v>0</v>
      </c>
      <c r="W1128" s="18">
        <f>-SUMIF(Projetos!N:N,A1128,Projetos!F:F)</f>
        <v>0</v>
      </c>
      <c r="X1128" s="18">
        <f t="shared" si="139"/>
        <v>0</v>
      </c>
      <c r="Y1128" s="26">
        <f ca="1">(U1128*((Indicadores_Economicos!D$2+1)^(1/12)-1))</f>
        <v>613791.21834897157</v>
      </c>
      <c r="Z1128" s="18">
        <f t="shared" ca="1" si="143"/>
        <v>188103102.8876774</v>
      </c>
      <c r="AA1128" s="18">
        <f ca="1">Auxiliar_Projetos!E1128</f>
        <v>1.5505673173802682E-8</v>
      </c>
      <c r="AB1128" s="18">
        <f ca="1">Auxiliar_Projetos!K1128</f>
        <v>1.1927440902925129E-8</v>
      </c>
      <c r="AC1128" s="18">
        <f ca="1">IF(Z1128-AA1128-AB1128&gt;Investimentos!$C$14,Investimentos!$C$14,IF(Z1128-AA1128-AB1128&lt;Investimentos!$C$14,Z1128-AA1128-AB1128,0))</f>
        <v>300000</v>
      </c>
      <c r="AD1128" s="18">
        <f t="shared" ca="1" si="144"/>
        <v>187803102.88767737</v>
      </c>
      <c r="AE1128" s="18"/>
    </row>
    <row r="1129" spans="1:31" x14ac:dyDescent="0.2">
      <c r="A1129" s="4">
        <v>79959</v>
      </c>
      <c r="B1129" s="5" t="str">
        <f t="shared" si="140"/>
        <v>dezembro</v>
      </c>
      <c r="C1129" s="5" t="str">
        <f t="shared" si="146"/>
        <v>2118</v>
      </c>
      <c r="D1129" s="5">
        <f>SUMIFS(Despesas!$F:$F,Despesas!$J:$J,"&lt;="&amp;$A1129,Despesas!$L:$L,"&gt;="&amp;$A1129,Despesas!$C:$C,D$1,Despesas!$M:$M,"Mensal")+SUMIFS(Despesas!$F:$F,Despesas!$J:$J,"&lt;="&amp;$A1129,Despesas!$L:$L,"&gt;="&amp;$A1129,Despesas!$C:$C,D$1,Despesas!$M:$M,$B1129)</f>
        <v>0</v>
      </c>
      <c r="E1129" s="18">
        <f>SUMIFS(Despesas!$F:$F,Despesas!$J:$J,"&lt;="&amp;$A1129,Despesas!$L:$L,"&gt;="&amp;$A1129,Despesas!$C:$C,E$1,Despesas!$M:$M,"Mensal")+SUMIFS(Despesas!$F:$F,Despesas!$J:$J,"&lt;="&amp;$A1129,Despesas!$L:$L,"&gt;="&amp;$A1129,Despesas!$C:$C,E$1,Despesas!$M:$M,$B1129)</f>
        <v>0</v>
      </c>
      <c r="F1129" s="5">
        <f>SUMIFS(Despesas!$F:$F,Despesas!$J:$J,"&lt;="&amp;$A1129,Despesas!$L:$L,"&gt;="&amp;$A1129,Despesas!$C:$C,F$1,Despesas!$M:$M,"Mensal")+SUMIFS(Despesas!$F:$F,Despesas!$J:$J,"&lt;="&amp;$A1129,Despesas!$L:$L,"&gt;="&amp;$A1129,Despesas!$C:$C,F$1,Despesas!$M:$M,$B1129)</f>
        <v>0</v>
      </c>
      <c r="G1129" s="5">
        <f>SUMIFS(Despesas!$F:$F,Despesas!$J:$J,"&lt;="&amp;$A1129,Despesas!$L:$L,"&gt;="&amp;$A1129,Despesas!$C:$C,G$1,Despesas!$M:$M,"Mensal")+SUMIFS(Despesas!$F:$F,Despesas!$J:$J,"&lt;="&amp;$A1129,Despesas!$L:$L,"&gt;="&amp;$A1129,Despesas!$C:$C,G$1,Despesas!$M:$M,$B1129)</f>
        <v>0</v>
      </c>
      <c r="H1129" s="18">
        <f>SUMIFS(Despesas!$F:$F,Despesas!$J:$J,"&lt;="&amp;$A1129,Despesas!$L:$L,"&gt;="&amp;$A1129,Despesas!$C:$C,H$1,Despesas!$M:$M,"Mensal")+SUMIFS(Despesas!$F:$F,Despesas!$J:$J,"&lt;="&amp;$A1129,Despesas!$L:$L,"&gt;="&amp;$A1129,Despesas!$C:$C,H$1,Despesas!$M:$M,$B1129)</f>
        <v>0</v>
      </c>
      <c r="I1129" s="18">
        <f>IF(Imóveis!$F$2="PRICE",IF(AND(Dados!$A1129&gt;=Imóveis!$Q$2,Dados!$A1129&lt;=Imóveis!$T$2),Imóveis!$U$2,0),IF((IF(AND(Dados!$A1129&gt;=Imóveis!$Q$2,Dados!$A1129&lt;=Imóveis!$T$2),Imóveis!$S$2-(DATEDIF(Imóveis!$Q$2,Dados!$A1129,"m")),0))=0,0,((Imóveis!$N$2/Imóveis!$S$2)+((Imóveis!$N$2-((Imóveis!$S$2-(IF(AND(Dados!$A1129&gt;=Imóveis!$Q$2,Dados!$A1129&lt;=Imóveis!$T$2),Imóveis!$S$2-(DATEDIF(Imóveis!$Q$2,Dados!$A1129,"m")),)))*(Imóveis!$N$2/Imóveis!$S$2)))*Imóveis!$P$2))))*IF(AND(Imóveis!$E$2&gt;0,Dados!$A1129&gt;Imóveis!$E$2),0,1)</f>
        <v>0</v>
      </c>
      <c r="J1129" s="18">
        <f>IF(Imóveis!$F$3="PRICE",IF(AND(Dados!$A1129&gt;=Imóveis!$Q$3,Dados!$A1129&lt;=Imóveis!$T$3),Imóveis!$U$3,0),IF((IF(AND(Dados!$A1129&gt;=Imóveis!$Q$3,Dados!$A1129&lt;=Imóveis!$T$3),Imóveis!$S$3-(DATEDIF(Imóveis!$Q$3,Dados!$A1129,"m")),0))=0,0,((Imóveis!$N$3/Imóveis!$S$3)+((Imóveis!$N$3-((Imóveis!$S$3-(IF(AND(Dados!$A1129&gt;=Imóveis!$Q$3,Dados!$A1129&lt;=Imóveis!$T$3),Imóveis!$S$3-(DATEDIF(Imóveis!$Q$3,Dados!$A1129,"m")),)))*(Imóveis!$N$3/Imóveis!$S$3)))*Imóveis!$P$3))))*IF(AND(Imóveis!$E$3&gt;0,Dados!$A1129&gt;Imóveis!$E$3),0,1)</f>
        <v>0</v>
      </c>
      <c r="K1129" s="18">
        <f>IF(Imóveis!$F$4="PRICE",IF(AND(Dados!$A1129&gt;=Imóveis!$Q$4,Dados!$A1129&lt;=Imóveis!$T$4),Imóveis!$U$4,0),IF((IF(AND(Dados!$A1129&gt;=Imóveis!$Q$4,Dados!$A1129&lt;=Imóveis!$T$4),Imóveis!$S$4-(DATEDIF(Imóveis!$Q$4,Dados!$A1129,"m")),0))=0,0,((Imóveis!$N$4/Imóveis!$S$4)+((Imóveis!$N$4-((Imóveis!$S$4-(IF(AND(Dados!$A1129&gt;=Imóveis!$Q$4,Dados!$A1129&lt;=Imóveis!$T$4),Imóveis!$S$4-(DATEDIF(Imóveis!$Q$4,Dados!$A1129,"m")),)))*(Imóveis!$N$4/Imóveis!$S$4)))*Imóveis!$P$4))))*IF(AND(Imóveis!$E$4&gt;0,Dados!$A1129&gt;Imóveis!$E$4),0,1)</f>
        <v>0</v>
      </c>
      <c r="L1129" s="18">
        <f>IF(Imóveis!$F$5="PRICE",IF(AND(Dados!$A1129&gt;=Imóveis!$Q$5,Dados!$A1129&lt;=Imóveis!$T$5),Imóveis!$U$5,0),IF((IF(AND(Dados!$A1129&gt;=Imóveis!$Q$5,Dados!$A1129&lt;=Imóveis!$T$5),Imóveis!$S$5-(DATEDIF(Imóveis!$Q$5,Dados!$A1129,"m")),0))=0,0,((Imóveis!$N$5/Imóveis!$S$5)+((Imóveis!$N$5-((Imóveis!$S$5-(IF(AND(Dados!$A1129 &gt;=Imóveis!$Q$5,Dados!$A1129&lt;=Imóveis!$T$5),Imóveis!$S$5-(DATEDIF(Imóveis!$Q$5,Dados!$A1129,"m")),)))*(Imóveis!$N$5/Imóveis!$S$5)))*Imóveis!$P$5))))*IF(AND(Imóveis!$E$5&gt;0,Dados!$A1129&gt;Imóveis!$E$5),0,1)*Imóveis!$I$5</f>
        <v>0</v>
      </c>
      <c r="M1129" s="18">
        <f>IF(Imóveis!$F$6="PRICE",IF(AND(Dados!$A1129&gt;=Imóveis!$Q$6,Dados!$A1129&lt;=Imóveis!$T$6),Imóveis!$U$6,0),IF((IF(AND(Dados!$A1129&gt;=Imóveis!$Q$6,Dados!$A1129&lt;=Imóveis!$T$6),Imóveis!$S$6-(DATEDIF(Imóveis!$Q$6,Dados!$A1129,"m")),0))=0,0,((Imóveis!$N$6/Imóveis!$S$6)+((Imóveis!$N$6-((Imóveis!$S$6-(IF(AND(Dados!$A1129&gt;=Imóveis!$Q$6,Dados!$A1129&lt;=Imóveis!$T$6),Imóveis!$S$6-(DATEDIF(Imóveis!$Q$6,Dados!$A1129,"m")),)))*(Imóveis!$N$6/Imóveis!$S$6)))*Imóveis!$P$6))))*IF(AND(Imóveis!$E$6&gt;0,Dados!$A1129&gt;Imóveis!$E$6),0,1)*Imóveis!$I$6</f>
        <v>0</v>
      </c>
      <c r="N1129" s="18">
        <f t="shared" si="141"/>
        <v>0</v>
      </c>
      <c r="O1129" s="18">
        <f>SUMIFS(Receitas!$F:$F,Receitas!$J:$J,"&lt;="&amp;$A1129,Receitas!$L:$L,"&gt;="&amp;$A1129,Receitas!$C:$C,O$1,Receitas!$M:$M,"Mensal")+SUMIFS(Receitas!$F:$F,Receitas!$J:$J,"&lt;="&amp;$A1129,Receitas!$L:$L,"&gt;="&amp;$A1129,Receitas!$C:$C,O$1,Receitas!$M:$M,$B1129)</f>
        <v>0</v>
      </c>
      <c r="P1129" s="18">
        <f>SUMIFS(Receitas!$F:$F,Receitas!$J:$J,"&lt;="&amp;$A1129,Receitas!$L:$L,"&gt;="&amp;$A1129,Receitas!$C:$C,P$1,Receitas!$M:$M,"Mensal")+SUMIFS(Receitas!$F:$F,Receitas!$J:$J,"&lt;="&amp;$A1129,Receitas!$L:$L,"&gt;="&amp;$A1129,Receitas!$C:$C,P$1,Receitas!$M:$M,$B1129)</f>
        <v>0</v>
      </c>
      <c r="Q1129" s="18">
        <f>SUMIFS(Receitas!$F:$F,Receitas!$J:$J,"&lt;="&amp;$A1129,Receitas!$L:$L,"&gt;="&amp;$A1129,Receitas!$C:$C,Q$1,Receitas!$M:$M,"Mensal")+SUMIFS(Receitas!$F:$F,Receitas!$J:$J,"&lt;="&amp;$A1129,Receitas!$L:$L,"&gt;="&amp;$A1129,Receitas!$C:$C,Q$1,Receitas!$M:$M,$B1129)</f>
        <v>0</v>
      </c>
      <c r="R1129" s="18" cm="1">
        <f t="array" ref="R1129">(IF(AND(Membros!$F$2="Sim",A1129&lt;=MAX(Membros!$E$2:$E$5)),Membros!K$2,IF(AND(A1129&gt;=Membros!J$2,A1129&lt;=MAX(Membros!$E$2:$E$5)),Membros!K$2,0))+IF(AND(Membros!$F$3="Sim",A1129&lt;=MAX(Membros!$E$2:$E$5)),Membros!K$3,IF(AND(A1129&gt;=Membros!J$3,A1129&lt;=MAX(Membros!$E$2:$E$5)),Membros!K$3,0)))*IF(AND(COUNTIFS(Tabela3[Tipo],"Provedor",Tabela3[Simulação Seguro],"Sim")=2,A1129&gt;=MAX(IF(Tabela3[Tipo]="Dependente",Tabela3[Expectativa de Vida (Data)]))),0,1)</f>
        <v>0</v>
      </c>
      <c r="S1129" s="18">
        <f t="shared" si="142"/>
        <v>0</v>
      </c>
      <c r="U1129" s="18">
        <f t="shared" ca="1" si="145"/>
        <v>188103102.8876774</v>
      </c>
      <c r="V1129" s="18">
        <f>SUMIF(Imóveis!E:E,Dados!A:A,Imóveis!Z:Z)-SUMIF(Imóveis!E:E,Dados!A:A,Imóveis!Y:Y)</f>
        <v>0</v>
      </c>
      <c r="W1129" s="18">
        <f>-SUMIF(Projetos!N:N,A1129,Projetos!F:F)</f>
        <v>0</v>
      </c>
      <c r="X1129" s="18">
        <f t="shared" si="139"/>
        <v>0</v>
      </c>
      <c r="Y1129" s="26">
        <f ca="1">(U1129*((Indicadores_Economicos!D$2+1)^(1/12)-1))</f>
        <v>615800.61107844498</v>
      </c>
      <c r="Z1129" s="18">
        <f t="shared" ca="1" si="143"/>
        <v>188718903.49875584</v>
      </c>
      <c r="AA1129" s="18">
        <f ca="1">Auxiliar_Projetos!E1129</f>
        <v>1.5556434712921536E-8</v>
      </c>
      <c r="AB1129" s="18">
        <f ca="1">Auxiliar_Projetos!K1129</f>
        <v>1.1966488240708861E-8</v>
      </c>
      <c r="AC1129" s="18">
        <f ca="1">IF(Z1129-AA1129-AB1129&gt;Investimentos!$C$14,Investimentos!$C$14,IF(Z1129-AA1129-AB1129&lt;Investimentos!$C$14,Z1129-AA1129-AB1129,0))</f>
        <v>300000</v>
      </c>
      <c r="AD1129" s="18">
        <f t="shared" ca="1" si="144"/>
        <v>188418903.49875581</v>
      </c>
      <c r="AE1129" s="18"/>
    </row>
    <row r="1130" spans="1:31" x14ac:dyDescent="0.2">
      <c r="A1130" s="4">
        <v>79990</v>
      </c>
      <c r="B1130" s="5" t="str">
        <f t="shared" si="140"/>
        <v>janeiro</v>
      </c>
      <c r="C1130" s="5" t="str">
        <f t="shared" si="146"/>
        <v>2119</v>
      </c>
      <c r="D1130" s="5">
        <f>SUMIFS(Despesas!$F:$F,Despesas!$J:$J,"&lt;="&amp;$A1130,Despesas!$L:$L,"&gt;="&amp;$A1130,Despesas!$C:$C,D$1,Despesas!$M:$M,"Mensal")+SUMIFS(Despesas!$F:$F,Despesas!$J:$J,"&lt;="&amp;$A1130,Despesas!$L:$L,"&gt;="&amp;$A1130,Despesas!$C:$C,D$1,Despesas!$M:$M,$B1130)</f>
        <v>0</v>
      </c>
      <c r="E1130" s="18">
        <f>SUMIFS(Despesas!$F:$F,Despesas!$J:$J,"&lt;="&amp;$A1130,Despesas!$L:$L,"&gt;="&amp;$A1130,Despesas!$C:$C,E$1,Despesas!$M:$M,"Mensal")+SUMIFS(Despesas!$F:$F,Despesas!$J:$J,"&lt;="&amp;$A1130,Despesas!$L:$L,"&gt;="&amp;$A1130,Despesas!$C:$C,E$1,Despesas!$M:$M,$B1130)</f>
        <v>0</v>
      </c>
      <c r="F1130" s="5">
        <f>SUMIFS(Despesas!$F:$F,Despesas!$J:$J,"&lt;="&amp;$A1130,Despesas!$L:$L,"&gt;="&amp;$A1130,Despesas!$C:$C,F$1,Despesas!$M:$M,"Mensal")+SUMIFS(Despesas!$F:$F,Despesas!$J:$J,"&lt;="&amp;$A1130,Despesas!$L:$L,"&gt;="&amp;$A1130,Despesas!$C:$C,F$1,Despesas!$M:$M,$B1130)</f>
        <v>0</v>
      </c>
      <c r="G1130" s="5">
        <f>SUMIFS(Despesas!$F:$F,Despesas!$J:$J,"&lt;="&amp;$A1130,Despesas!$L:$L,"&gt;="&amp;$A1130,Despesas!$C:$C,G$1,Despesas!$M:$M,"Mensal")+SUMIFS(Despesas!$F:$F,Despesas!$J:$J,"&lt;="&amp;$A1130,Despesas!$L:$L,"&gt;="&amp;$A1130,Despesas!$C:$C,G$1,Despesas!$M:$M,$B1130)</f>
        <v>0</v>
      </c>
      <c r="H1130" s="18">
        <f>SUMIFS(Despesas!$F:$F,Despesas!$J:$J,"&lt;="&amp;$A1130,Despesas!$L:$L,"&gt;="&amp;$A1130,Despesas!$C:$C,H$1,Despesas!$M:$M,"Mensal")+SUMIFS(Despesas!$F:$F,Despesas!$J:$J,"&lt;="&amp;$A1130,Despesas!$L:$L,"&gt;="&amp;$A1130,Despesas!$C:$C,H$1,Despesas!$M:$M,$B1130)</f>
        <v>0</v>
      </c>
      <c r="I1130" s="18">
        <f>IF(Imóveis!$F$2="PRICE",IF(AND(Dados!$A1130&gt;=Imóveis!$Q$2,Dados!$A1130&lt;=Imóveis!$T$2),Imóveis!$U$2,0),IF((IF(AND(Dados!$A1130&gt;=Imóveis!$Q$2,Dados!$A1130&lt;=Imóveis!$T$2),Imóveis!$S$2-(DATEDIF(Imóveis!$Q$2,Dados!$A1130,"m")),0))=0,0,((Imóveis!$N$2/Imóveis!$S$2)+((Imóveis!$N$2-((Imóveis!$S$2-(IF(AND(Dados!$A1130&gt;=Imóveis!$Q$2,Dados!$A1130&lt;=Imóveis!$T$2),Imóveis!$S$2-(DATEDIF(Imóveis!$Q$2,Dados!$A1130,"m")),)))*(Imóveis!$N$2/Imóveis!$S$2)))*Imóveis!$P$2))))*IF(AND(Imóveis!$E$2&gt;0,Dados!$A1130&gt;Imóveis!$E$2),0,1)</f>
        <v>0</v>
      </c>
      <c r="J1130" s="18">
        <f>IF(Imóveis!$F$3="PRICE",IF(AND(Dados!$A1130&gt;=Imóveis!$Q$3,Dados!$A1130&lt;=Imóveis!$T$3),Imóveis!$U$3,0),IF((IF(AND(Dados!$A1130&gt;=Imóveis!$Q$3,Dados!$A1130&lt;=Imóveis!$T$3),Imóveis!$S$3-(DATEDIF(Imóveis!$Q$3,Dados!$A1130,"m")),0))=0,0,((Imóveis!$N$3/Imóveis!$S$3)+((Imóveis!$N$3-((Imóveis!$S$3-(IF(AND(Dados!$A1130&gt;=Imóveis!$Q$3,Dados!$A1130&lt;=Imóveis!$T$3),Imóveis!$S$3-(DATEDIF(Imóveis!$Q$3,Dados!$A1130,"m")),)))*(Imóveis!$N$3/Imóveis!$S$3)))*Imóveis!$P$3))))*IF(AND(Imóveis!$E$3&gt;0,Dados!$A1130&gt;Imóveis!$E$3),0,1)</f>
        <v>0</v>
      </c>
      <c r="K1130" s="18">
        <f>IF(Imóveis!$F$4="PRICE",IF(AND(Dados!$A1130&gt;=Imóveis!$Q$4,Dados!$A1130&lt;=Imóveis!$T$4),Imóveis!$U$4,0),IF((IF(AND(Dados!$A1130&gt;=Imóveis!$Q$4,Dados!$A1130&lt;=Imóveis!$T$4),Imóveis!$S$4-(DATEDIF(Imóveis!$Q$4,Dados!$A1130,"m")),0))=0,0,((Imóveis!$N$4/Imóveis!$S$4)+((Imóveis!$N$4-((Imóveis!$S$4-(IF(AND(Dados!$A1130&gt;=Imóveis!$Q$4,Dados!$A1130&lt;=Imóveis!$T$4),Imóveis!$S$4-(DATEDIF(Imóveis!$Q$4,Dados!$A1130,"m")),)))*(Imóveis!$N$4/Imóveis!$S$4)))*Imóveis!$P$4))))*IF(AND(Imóveis!$E$4&gt;0,Dados!$A1130&gt;Imóveis!$E$4),0,1)</f>
        <v>0</v>
      </c>
      <c r="L1130" s="18">
        <f>IF(Imóveis!$F$5="PRICE",IF(AND(Dados!$A1130&gt;=Imóveis!$Q$5,Dados!$A1130&lt;=Imóveis!$T$5),Imóveis!$U$5,0),IF((IF(AND(Dados!$A1130&gt;=Imóveis!$Q$5,Dados!$A1130&lt;=Imóveis!$T$5),Imóveis!$S$5-(DATEDIF(Imóveis!$Q$5,Dados!$A1130,"m")),0))=0,0,((Imóveis!$N$5/Imóveis!$S$5)+((Imóveis!$N$5-((Imóveis!$S$5-(IF(AND(Dados!$A1130 &gt;=Imóveis!$Q$5,Dados!$A1130&lt;=Imóveis!$T$5),Imóveis!$S$5-(DATEDIF(Imóveis!$Q$5,Dados!$A1130,"m")),)))*(Imóveis!$N$5/Imóveis!$S$5)))*Imóveis!$P$5))))*IF(AND(Imóveis!$E$5&gt;0,Dados!$A1130&gt;Imóveis!$E$5),0,1)*Imóveis!$I$5</f>
        <v>0</v>
      </c>
      <c r="M1130" s="18">
        <f>IF(Imóveis!$F$6="PRICE",IF(AND(Dados!$A1130&gt;=Imóveis!$Q$6,Dados!$A1130&lt;=Imóveis!$T$6),Imóveis!$U$6,0),IF((IF(AND(Dados!$A1130&gt;=Imóveis!$Q$6,Dados!$A1130&lt;=Imóveis!$T$6),Imóveis!$S$6-(DATEDIF(Imóveis!$Q$6,Dados!$A1130,"m")),0))=0,0,((Imóveis!$N$6/Imóveis!$S$6)+((Imóveis!$N$6-((Imóveis!$S$6-(IF(AND(Dados!$A1130&gt;=Imóveis!$Q$6,Dados!$A1130&lt;=Imóveis!$T$6),Imóveis!$S$6-(DATEDIF(Imóveis!$Q$6,Dados!$A1130,"m")),)))*(Imóveis!$N$6/Imóveis!$S$6)))*Imóveis!$P$6))))*IF(AND(Imóveis!$E$6&gt;0,Dados!$A1130&gt;Imóveis!$E$6),0,1)*Imóveis!$I$6</f>
        <v>0</v>
      </c>
      <c r="N1130" s="18">
        <f t="shared" si="141"/>
        <v>0</v>
      </c>
      <c r="O1130" s="18">
        <f>SUMIFS(Receitas!$F:$F,Receitas!$J:$J,"&lt;="&amp;$A1130,Receitas!$L:$L,"&gt;="&amp;$A1130,Receitas!$C:$C,O$1,Receitas!$M:$M,"Mensal")+SUMIFS(Receitas!$F:$F,Receitas!$J:$J,"&lt;="&amp;$A1130,Receitas!$L:$L,"&gt;="&amp;$A1130,Receitas!$C:$C,O$1,Receitas!$M:$M,$B1130)</f>
        <v>0</v>
      </c>
      <c r="P1130" s="18">
        <f>SUMIFS(Receitas!$F:$F,Receitas!$J:$J,"&lt;="&amp;$A1130,Receitas!$L:$L,"&gt;="&amp;$A1130,Receitas!$C:$C,P$1,Receitas!$M:$M,"Mensal")+SUMIFS(Receitas!$F:$F,Receitas!$J:$J,"&lt;="&amp;$A1130,Receitas!$L:$L,"&gt;="&amp;$A1130,Receitas!$C:$C,P$1,Receitas!$M:$M,$B1130)</f>
        <v>0</v>
      </c>
      <c r="Q1130" s="18">
        <f>SUMIFS(Receitas!$F:$F,Receitas!$J:$J,"&lt;="&amp;$A1130,Receitas!$L:$L,"&gt;="&amp;$A1130,Receitas!$C:$C,Q$1,Receitas!$M:$M,"Mensal")+SUMIFS(Receitas!$F:$F,Receitas!$J:$J,"&lt;="&amp;$A1130,Receitas!$L:$L,"&gt;="&amp;$A1130,Receitas!$C:$C,Q$1,Receitas!$M:$M,$B1130)</f>
        <v>0</v>
      </c>
      <c r="R1130" s="18" cm="1">
        <f t="array" ref="R1130">(IF(AND(Membros!$F$2="Sim",A1130&lt;=MAX(Membros!$E$2:$E$5)),Membros!K$2,IF(AND(A1130&gt;=Membros!J$2,A1130&lt;=MAX(Membros!$E$2:$E$5)),Membros!K$2,0))+IF(AND(Membros!$F$3="Sim",A1130&lt;=MAX(Membros!$E$2:$E$5)),Membros!K$3,IF(AND(A1130&gt;=Membros!J$3,A1130&lt;=MAX(Membros!$E$2:$E$5)),Membros!K$3,0)))*IF(AND(COUNTIFS(Tabela3[Tipo],"Provedor",Tabela3[Simulação Seguro],"Sim")=2,A1130&gt;=MAX(IF(Tabela3[Tipo]="Dependente",Tabela3[Expectativa de Vida (Data)]))),0,1)</f>
        <v>0</v>
      </c>
      <c r="S1130" s="18">
        <f t="shared" si="142"/>
        <v>0</v>
      </c>
      <c r="U1130" s="18">
        <f t="shared" ca="1" si="145"/>
        <v>188718903.49875584</v>
      </c>
      <c r="V1130" s="18">
        <f>SUMIF(Imóveis!E:E,Dados!A:A,Imóveis!Z:Z)-SUMIF(Imóveis!E:E,Dados!A:A,Imóveis!Y:Y)</f>
        <v>0</v>
      </c>
      <c r="W1130" s="18">
        <f>-SUMIF(Projetos!N:N,A1130,Projetos!F:F)</f>
        <v>0</v>
      </c>
      <c r="X1130" s="18">
        <f t="shared" si="139"/>
        <v>0</v>
      </c>
      <c r="Y1130" s="26">
        <f ca="1">(U1130*((Indicadores_Economicos!D$2+1)^(1/12)-1))</f>
        <v>617816.58203683491</v>
      </c>
      <c r="Z1130" s="18">
        <f t="shared" ca="1" si="143"/>
        <v>189336720.08079267</v>
      </c>
      <c r="AA1130" s="18">
        <f ca="1">Auxiliar_Projetos!E1130</f>
        <v>1.5607362432110409E-8</v>
      </c>
      <c r="AB1130" s="18">
        <f ca="1">Auxiliar_Projetos!K1130</f>
        <v>1.2005663409315685E-8</v>
      </c>
      <c r="AC1130" s="18">
        <f ca="1">IF(Z1130-AA1130-AB1130&gt;Investimentos!$C$14,Investimentos!$C$14,IF(Z1130-AA1130-AB1130&lt;Investimentos!$C$14,Z1130-AA1130-AB1130,0))</f>
        <v>300000</v>
      </c>
      <c r="AD1130" s="18">
        <f t="shared" ca="1" si="144"/>
        <v>189036720.08079264</v>
      </c>
      <c r="AE1130" s="18"/>
    </row>
    <row r="1131" spans="1:31" x14ac:dyDescent="0.2">
      <c r="A1131" s="4">
        <v>80021</v>
      </c>
      <c r="B1131" s="5" t="str">
        <f t="shared" si="140"/>
        <v>fevereiro</v>
      </c>
      <c r="C1131" s="5" t="str">
        <f t="shared" si="146"/>
        <v>2119</v>
      </c>
      <c r="D1131" s="5">
        <f>SUMIFS(Despesas!$F:$F,Despesas!$J:$J,"&lt;="&amp;$A1131,Despesas!$L:$L,"&gt;="&amp;$A1131,Despesas!$C:$C,D$1,Despesas!$M:$M,"Mensal")+SUMIFS(Despesas!$F:$F,Despesas!$J:$J,"&lt;="&amp;$A1131,Despesas!$L:$L,"&gt;="&amp;$A1131,Despesas!$C:$C,D$1,Despesas!$M:$M,$B1131)</f>
        <v>0</v>
      </c>
      <c r="E1131" s="18">
        <f>SUMIFS(Despesas!$F:$F,Despesas!$J:$J,"&lt;="&amp;$A1131,Despesas!$L:$L,"&gt;="&amp;$A1131,Despesas!$C:$C,E$1,Despesas!$M:$M,"Mensal")+SUMIFS(Despesas!$F:$F,Despesas!$J:$J,"&lt;="&amp;$A1131,Despesas!$L:$L,"&gt;="&amp;$A1131,Despesas!$C:$C,E$1,Despesas!$M:$M,$B1131)</f>
        <v>0</v>
      </c>
      <c r="F1131" s="5">
        <f>SUMIFS(Despesas!$F:$F,Despesas!$J:$J,"&lt;="&amp;$A1131,Despesas!$L:$L,"&gt;="&amp;$A1131,Despesas!$C:$C,F$1,Despesas!$M:$M,"Mensal")+SUMIFS(Despesas!$F:$F,Despesas!$J:$J,"&lt;="&amp;$A1131,Despesas!$L:$L,"&gt;="&amp;$A1131,Despesas!$C:$C,F$1,Despesas!$M:$M,$B1131)</f>
        <v>0</v>
      </c>
      <c r="G1131" s="5">
        <f>SUMIFS(Despesas!$F:$F,Despesas!$J:$J,"&lt;="&amp;$A1131,Despesas!$L:$L,"&gt;="&amp;$A1131,Despesas!$C:$C,G$1,Despesas!$M:$M,"Mensal")+SUMIFS(Despesas!$F:$F,Despesas!$J:$J,"&lt;="&amp;$A1131,Despesas!$L:$L,"&gt;="&amp;$A1131,Despesas!$C:$C,G$1,Despesas!$M:$M,$B1131)</f>
        <v>0</v>
      </c>
      <c r="H1131" s="18">
        <f>SUMIFS(Despesas!$F:$F,Despesas!$J:$J,"&lt;="&amp;$A1131,Despesas!$L:$L,"&gt;="&amp;$A1131,Despesas!$C:$C,H$1,Despesas!$M:$M,"Mensal")+SUMIFS(Despesas!$F:$F,Despesas!$J:$J,"&lt;="&amp;$A1131,Despesas!$L:$L,"&gt;="&amp;$A1131,Despesas!$C:$C,H$1,Despesas!$M:$M,$B1131)</f>
        <v>0</v>
      </c>
      <c r="I1131" s="18">
        <f>IF(Imóveis!$F$2="PRICE",IF(AND(Dados!$A1131&gt;=Imóveis!$Q$2,Dados!$A1131&lt;=Imóveis!$T$2),Imóveis!$U$2,0),IF((IF(AND(Dados!$A1131&gt;=Imóveis!$Q$2,Dados!$A1131&lt;=Imóveis!$T$2),Imóveis!$S$2-(DATEDIF(Imóveis!$Q$2,Dados!$A1131,"m")),0))=0,0,((Imóveis!$N$2/Imóveis!$S$2)+((Imóveis!$N$2-((Imóveis!$S$2-(IF(AND(Dados!$A1131&gt;=Imóveis!$Q$2,Dados!$A1131&lt;=Imóveis!$T$2),Imóveis!$S$2-(DATEDIF(Imóveis!$Q$2,Dados!$A1131,"m")),)))*(Imóveis!$N$2/Imóveis!$S$2)))*Imóveis!$P$2))))*IF(AND(Imóveis!$E$2&gt;0,Dados!$A1131&gt;Imóveis!$E$2),0,1)</f>
        <v>0</v>
      </c>
      <c r="J1131" s="18">
        <f>IF(Imóveis!$F$3="PRICE",IF(AND(Dados!$A1131&gt;=Imóveis!$Q$3,Dados!$A1131&lt;=Imóveis!$T$3),Imóveis!$U$3,0),IF((IF(AND(Dados!$A1131&gt;=Imóveis!$Q$3,Dados!$A1131&lt;=Imóveis!$T$3),Imóveis!$S$3-(DATEDIF(Imóveis!$Q$3,Dados!$A1131,"m")),0))=0,0,((Imóveis!$N$3/Imóveis!$S$3)+((Imóveis!$N$3-((Imóveis!$S$3-(IF(AND(Dados!$A1131&gt;=Imóveis!$Q$3,Dados!$A1131&lt;=Imóveis!$T$3),Imóveis!$S$3-(DATEDIF(Imóveis!$Q$3,Dados!$A1131,"m")),)))*(Imóveis!$N$3/Imóveis!$S$3)))*Imóveis!$P$3))))*IF(AND(Imóveis!$E$3&gt;0,Dados!$A1131&gt;Imóveis!$E$3),0,1)</f>
        <v>0</v>
      </c>
      <c r="K1131" s="18">
        <f>IF(Imóveis!$F$4="PRICE",IF(AND(Dados!$A1131&gt;=Imóveis!$Q$4,Dados!$A1131&lt;=Imóveis!$T$4),Imóveis!$U$4,0),IF((IF(AND(Dados!$A1131&gt;=Imóveis!$Q$4,Dados!$A1131&lt;=Imóveis!$T$4),Imóveis!$S$4-(DATEDIF(Imóveis!$Q$4,Dados!$A1131,"m")),0))=0,0,((Imóveis!$N$4/Imóveis!$S$4)+((Imóveis!$N$4-((Imóveis!$S$4-(IF(AND(Dados!$A1131&gt;=Imóveis!$Q$4,Dados!$A1131&lt;=Imóveis!$T$4),Imóveis!$S$4-(DATEDIF(Imóveis!$Q$4,Dados!$A1131,"m")),)))*(Imóveis!$N$4/Imóveis!$S$4)))*Imóveis!$P$4))))*IF(AND(Imóveis!$E$4&gt;0,Dados!$A1131&gt;Imóveis!$E$4),0,1)</f>
        <v>0</v>
      </c>
      <c r="L1131" s="18">
        <f>IF(Imóveis!$F$5="PRICE",IF(AND(Dados!$A1131&gt;=Imóveis!$Q$5,Dados!$A1131&lt;=Imóveis!$T$5),Imóveis!$U$5,0),IF((IF(AND(Dados!$A1131&gt;=Imóveis!$Q$5,Dados!$A1131&lt;=Imóveis!$T$5),Imóveis!$S$5-(DATEDIF(Imóveis!$Q$5,Dados!$A1131,"m")),0))=0,0,((Imóveis!$N$5/Imóveis!$S$5)+((Imóveis!$N$5-((Imóveis!$S$5-(IF(AND(Dados!$A1131 &gt;=Imóveis!$Q$5,Dados!$A1131&lt;=Imóveis!$T$5),Imóveis!$S$5-(DATEDIF(Imóveis!$Q$5,Dados!$A1131,"m")),)))*(Imóveis!$N$5/Imóveis!$S$5)))*Imóveis!$P$5))))*IF(AND(Imóveis!$E$5&gt;0,Dados!$A1131&gt;Imóveis!$E$5),0,1)*Imóveis!$I$5</f>
        <v>0</v>
      </c>
      <c r="M1131" s="18">
        <f>IF(Imóveis!$F$6="PRICE",IF(AND(Dados!$A1131&gt;=Imóveis!$Q$6,Dados!$A1131&lt;=Imóveis!$T$6),Imóveis!$U$6,0),IF((IF(AND(Dados!$A1131&gt;=Imóveis!$Q$6,Dados!$A1131&lt;=Imóveis!$T$6),Imóveis!$S$6-(DATEDIF(Imóveis!$Q$6,Dados!$A1131,"m")),0))=0,0,((Imóveis!$N$6/Imóveis!$S$6)+((Imóveis!$N$6-((Imóveis!$S$6-(IF(AND(Dados!$A1131&gt;=Imóveis!$Q$6,Dados!$A1131&lt;=Imóveis!$T$6),Imóveis!$S$6-(DATEDIF(Imóveis!$Q$6,Dados!$A1131,"m")),)))*(Imóveis!$N$6/Imóveis!$S$6)))*Imóveis!$P$6))))*IF(AND(Imóveis!$E$6&gt;0,Dados!$A1131&gt;Imóveis!$E$6),0,1)*Imóveis!$I$6</f>
        <v>0</v>
      </c>
      <c r="N1131" s="18">
        <f t="shared" si="141"/>
        <v>0</v>
      </c>
      <c r="O1131" s="18">
        <f>SUMIFS(Receitas!$F:$F,Receitas!$J:$J,"&lt;="&amp;$A1131,Receitas!$L:$L,"&gt;="&amp;$A1131,Receitas!$C:$C,O$1,Receitas!$M:$M,"Mensal")+SUMIFS(Receitas!$F:$F,Receitas!$J:$J,"&lt;="&amp;$A1131,Receitas!$L:$L,"&gt;="&amp;$A1131,Receitas!$C:$C,O$1,Receitas!$M:$M,$B1131)</f>
        <v>0</v>
      </c>
      <c r="P1131" s="18">
        <f>SUMIFS(Receitas!$F:$F,Receitas!$J:$J,"&lt;="&amp;$A1131,Receitas!$L:$L,"&gt;="&amp;$A1131,Receitas!$C:$C,P$1,Receitas!$M:$M,"Mensal")+SUMIFS(Receitas!$F:$F,Receitas!$J:$J,"&lt;="&amp;$A1131,Receitas!$L:$L,"&gt;="&amp;$A1131,Receitas!$C:$C,P$1,Receitas!$M:$M,$B1131)</f>
        <v>0</v>
      </c>
      <c r="Q1131" s="18">
        <f>SUMIFS(Receitas!$F:$F,Receitas!$J:$J,"&lt;="&amp;$A1131,Receitas!$L:$L,"&gt;="&amp;$A1131,Receitas!$C:$C,Q$1,Receitas!$M:$M,"Mensal")+SUMIFS(Receitas!$F:$F,Receitas!$J:$J,"&lt;="&amp;$A1131,Receitas!$L:$L,"&gt;="&amp;$A1131,Receitas!$C:$C,Q$1,Receitas!$M:$M,$B1131)</f>
        <v>0</v>
      </c>
      <c r="R1131" s="18" cm="1">
        <f t="array" ref="R1131">(IF(AND(Membros!$F$2="Sim",A1131&lt;=MAX(Membros!$E$2:$E$5)),Membros!K$2,IF(AND(A1131&gt;=Membros!J$2,A1131&lt;=MAX(Membros!$E$2:$E$5)),Membros!K$2,0))+IF(AND(Membros!$F$3="Sim",A1131&lt;=MAX(Membros!$E$2:$E$5)),Membros!K$3,IF(AND(A1131&gt;=Membros!J$3,A1131&lt;=MAX(Membros!$E$2:$E$5)),Membros!K$3,0)))*IF(AND(COUNTIFS(Tabela3[Tipo],"Provedor",Tabela3[Simulação Seguro],"Sim")=2,A1131&gt;=MAX(IF(Tabela3[Tipo]="Dependente",Tabela3[Expectativa de Vida (Data)]))),0,1)</f>
        <v>0</v>
      </c>
      <c r="S1131" s="18">
        <f t="shared" si="142"/>
        <v>0</v>
      </c>
      <c r="U1131" s="18">
        <f t="shared" ca="1" si="145"/>
        <v>189336720.08079267</v>
      </c>
      <c r="V1131" s="18">
        <f>SUMIF(Imóveis!E:E,Dados!A:A,Imóveis!Z:Z)-SUMIF(Imóveis!E:E,Dados!A:A,Imóveis!Y:Y)</f>
        <v>0</v>
      </c>
      <c r="W1131" s="18">
        <f>-SUMIF(Projetos!N:N,A1131,Projetos!F:F)</f>
        <v>0</v>
      </c>
      <c r="X1131" s="18">
        <f t="shared" si="139"/>
        <v>0</v>
      </c>
      <c r="Y1131" s="26">
        <f ca="1">(U1131*((Indicadores_Economicos!D$2+1)^(1/12)-1))</f>
        <v>619839.15275955107</v>
      </c>
      <c r="Z1131" s="18">
        <f t="shared" ca="1" si="143"/>
        <v>189956559.23355222</v>
      </c>
      <c r="AA1131" s="18">
        <f ca="1">Auxiliar_Projetos!E1131</f>
        <v>1.5658456875399604E-8</v>
      </c>
      <c r="AB1131" s="18">
        <f ca="1">Auxiliar_Projetos!K1131</f>
        <v>1.2044966827230452E-8</v>
      </c>
      <c r="AC1131" s="18">
        <f ca="1">IF(Z1131-AA1131-AB1131&gt;Investimentos!$C$14,Investimentos!$C$14,IF(Z1131-AA1131-AB1131&lt;Investimentos!$C$14,Z1131-AA1131-AB1131,0))</f>
        <v>300000</v>
      </c>
      <c r="AD1131" s="18">
        <f t="shared" ca="1" si="144"/>
        <v>189656559.23355219</v>
      </c>
      <c r="AE1131" s="18"/>
    </row>
    <row r="1132" spans="1:31" x14ac:dyDescent="0.2">
      <c r="A1132" s="4">
        <v>80049</v>
      </c>
      <c r="B1132" s="5" t="str">
        <f t="shared" si="140"/>
        <v>março</v>
      </c>
      <c r="C1132" s="5" t="str">
        <f t="shared" si="146"/>
        <v>2119</v>
      </c>
      <c r="D1132" s="5">
        <f>SUMIFS(Despesas!$F:$F,Despesas!$J:$J,"&lt;="&amp;$A1132,Despesas!$L:$L,"&gt;="&amp;$A1132,Despesas!$C:$C,D$1,Despesas!$M:$M,"Mensal")+SUMIFS(Despesas!$F:$F,Despesas!$J:$J,"&lt;="&amp;$A1132,Despesas!$L:$L,"&gt;="&amp;$A1132,Despesas!$C:$C,D$1,Despesas!$M:$M,$B1132)</f>
        <v>0</v>
      </c>
      <c r="E1132" s="18">
        <f>SUMIFS(Despesas!$F:$F,Despesas!$J:$J,"&lt;="&amp;$A1132,Despesas!$L:$L,"&gt;="&amp;$A1132,Despesas!$C:$C,E$1,Despesas!$M:$M,"Mensal")+SUMIFS(Despesas!$F:$F,Despesas!$J:$J,"&lt;="&amp;$A1132,Despesas!$L:$L,"&gt;="&amp;$A1132,Despesas!$C:$C,E$1,Despesas!$M:$M,$B1132)</f>
        <v>0</v>
      </c>
      <c r="F1132" s="5">
        <f>SUMIFS(Despesas!$F:$F,Despesas!$J:$J,"&lt;="&amp;$A1132,Despesas!$L:$L,"&gt;="&amp;$A1132,Despesas!$C:$C,F$1,Despesas!$M:$M,"Mensal")+SUMIFS(Despesas!$F:$F,Despesas!$J:$J,"&lt;="&amp;$A1132,Despesas!$L:$L,"&gt;="&amp;$A1132,Despesas!$C:$C,F$1,Despesas!$M:$M,$B1132)</f>
        <v>0</v>
      </c>
      <c r="G1132" s="5">
        <f>SUMIFS(Despesas!$F:$F,Despesas!$J:$J,"&lt;="&amp;$A1132,Despesas!$L:$L,"&gt;="&amp;$A1132,Despesas!$C:$C,G$1,Despesas!$M:$M,"Mensal")+SUMIFS(Despesas!$F:$F,Despesas!$J:$J,"&lt;="&amp;$A1132,Despesas!$L:$L,"&gt;="&amp;$A1132,Despesas!$C:$C,G$1,Despesas!$M:$M,$B1132)</f>
        <v>0</v>
      </c>
      <c r="H1132" s="18">
        <f>SUMIFS(Despesas!$F:$F,Despesas!$J:$J,"&lt;="&amp;$A1132,Despesas!$L:$L,"&gt;="&amp;$A1132,Despesas!$C:$C,H$1,Despesas!$M:$M,"Mensal")+SUMIFS(Despesas!$F:$F,Despesas!$J:$J,"&lt;="&amp;$A1132,Despesas!$L:$L,"&gt;="&amp;$A1132,Despesas!$C:$C,H$1,Despesas!$M:$M,$B1132)</f>
        <v>0</v>
      </c>
      <c r="I1132" s="18">
        <f>IF(Imóveis!$F$2="PRICE",IF(AND(Dados!$A1132&gt;=Imóveis!$Q$2,Dados!$A1132&lt;=Imóveis!$T$2),Imóveis!$U$2,0),IF((IF(AND(Dados!$A1132&gt;=Imóveis!$Q$2,Dados!$A1132&lt;=Imóveis!$T$2),Imóveis!$S$2-(DATEDIF(Imóveis!$Q$2,Dados!$A1132,"m")),0))=0,0,((Imóveis!$N$2/Imóveis!$S$2)+((Imóveis!$N$2-((Imóveis!$S$2-(IF(AND(Dados!$A1132&gt;=Imóveis!$Q$2,Dados!$A1132&lt;=Imóveis!$T$2),Imóveis!$S$2-(DATEDIF(Imóveis!$Q$2,Dados!$A1132,"m")),)))*(Imóveis!$N$2/Imóveis!$S$2)))*Imóveis!$P$2))))*IF(AND(Imóveis!$E$2&gt;0,Dados!$A1132&gt;Imóveis!$E$2),0,1)</f>
        <v>0</v>
      </c>
      <c r="J1132" s="18">
        <f>IF(Imóveis!$F$3="PRICE",IF(AND(Dados!$A1132&gt;=Imóveis!$Q$3,Dados!$A1132&lt;=Imóveis!$T$3),Imóveis!$U$3,0),IF((IF(AND(Dados!$A1132&gt;=Imóveis!$Q$3,Dados!$A1132&lt;=Imóveis!$T$3),Imóveis!$S$3-(DATEDIF(Imóveis!$Q$3,Dados!$A1132,"m")),0))=0,0,((Imóveis!$N$3/Imóveis!$S$3)+((Imóveis!$N$3-((Imóveis!$S$3-(IF(AND(Dados!$A1132&gt;=Imóveis!$Q$3,Dados!$A1132&lt;=Imóveis!$T$3),Imóveis!$S$3-(DATEDIF(Imóveis!$Q$3,Dados!$A1132,"m")),)))*(Imóveis!$N$3/Imóveis!$S$3)))*Imóveis!$P$3))))*IF(AND(Imóveis!$E$3&gt;0,Dados!$A1132&gt;Imóveis!$E$3),0,1)</f>
        <v>0</v>
      </c>
      <c r="K1132" s="18">
        <f>IF(Imóveis!$F$4="PRICE",IF(AND(Dados!$A1132&gt;=Imóveis!$Q$4,Dados!$A1132&lt;=Imóveis!$T$4),Imóveis!$U$4,0),IF((IF(AND(Dados!$A1132&gt;=Imóveis!$Q$4,Dados!$A1132&lt;=Imóveis!$T$4),Imóveis!$S$4-(DATEDIF(Imóveis!$Q$4,Dados!$A1132,"m")),0))=0,0,((Imóveis!$N$4/Imóveis!$S$4)+((Imóveis!$N$4-((Imóveis!$S$4-(IF(AND(Dados!$A1132&gt;=Imóveis!$Q$4,Dados!$A1132&lt;=Imóveis!$T$4),Imóveis!$S$4-(DATEDIF(Imóveis!$Q$4,Dados!$A1132,"m")),)))*(Imóveis!$N$4/Imóveis!$S$4)))*Imóveis!$P$4))))*IF(AND(Imóveis!$E$4&gt;0,Dados!$A1132&gt;Imóveis!$E$4),0,1)</f>
        <v>0</v>
      </c>
      <c r="L1132" s="18">
        <f>IF(Imóveis!$F$5="PRICE",IF(AND(Dados!$A1132&gt;=Imóveis!$Q$5,Dados!$A1132&lt;=Imóveis!$T$5),Imóveis!$U$5,0),IF((IF(AND(Dados!$A1132&gt;=Imóveis!$Q$5,Dados!$A1132&lt;=Imóveis!$T$5),Imóveis!$S$5-(DATEDIF(Imóveis!$Q$5,Dados!$A1132,"m")),0))=0,0,((Imóveis!$N$5/Imóveis!$S$5)+((Imóveis!$N$5-((Imóveis!$S$5-(IF(AND(Dados!$A1132 &gt;=Imóveis!$Q$5,Dados!$A1132&lt;=Imóveis!$T$5),Imóveis!$S$5-(DATEDIF(Imóveis!$Q$5,Dados!$A1132,"m")),)))*(Imóveis!$N$5/Imóveis!$S$5)))*Imóveis!$P$5))))*IF(AND(Imóveis!$E$5&gt;0,Dados!$A1132&gt;Imóveis!$E$5),0,1)*Imóveis!$I$5</f>
        <v>0</v>
      </c>
      <c r="M1132" s="18">
        <f>IF(Imóveis!$F$6="PRICE",IF(AND(Dados!$A1132&gt;=Imóveis!$Q$6,Dados!$A1132&lt;=Imóveis!$T$6),Imóveis!$U$6,0),IF((IF(AND(Dados!$A1132&gt;=Imóveis!$Q$6,Dados!$A1132&lt;=Imóveis!$T$6),Imóveis!$S$6-(DATEDIF(Imóveis!$Q$6,Dados!$A1132,"m")),0))=0,0,((Imóveis!$N$6/Imóveis!$S$6)+((Imóveis!$N$6-((Imóveis!$S$6-(IF(AND(Dados!$A1132&gt;=Imóveis!$Q$6,Dados!$A1132&lt;=Imóveis!$T$6),Imóveis!$S$6-(DATEDIF(Imóveis!$Q$6,Dados!$A1132,"m")),)))*(Imóveis!$N$6/Imóveis!$S$6)))*Imóveis!$P$6))))*IF(AND(Imóveis!$E$6&gt;0,Dados!$A1132&gt;Imóveis!$E$6),0,1)*Imóveis!$I$6</f>
        <v>0</v>
      </c>
      <c r="N1132" s="18">
        <f t="shared" si="141"/>
        <v>0</v>
      </c>
      <c r="O1132" s="18">
        <f>SUMIFS(Receitas!$F:$F,Receitas!$J:$J,"&lt;="&amp;$A1132,Receitas!$L:$L,"&gt;="&amp;$A1132,Receitas!$C:$C,O$1,Receitas!$M:$M,"Mensal")+SUMIFS(Receitas!$F:$F,Receitas!$J:$J,"&lt;="&amp;$A1132,Receitas!$L:$L,"&gt;="&amp;$A1132,Receitas!$C:$C,O$1,Receitas!$M:$M,$B1132)</f>
        <v>0</v>
      </c>
      <c r="P1132" s="18">
        <f>SUMIFS(Receitas!$F:$F,Receitas!$J:$J,"&lt;="&amp;$A1132,Receitas!$L:$L,"&gt;="&amp;$A1132,Receitas!$C:$C,P$1,Receitas!$M:$M,"Mensal")+SUMIFS(Receitas!$F:$F,Receitas!$J:$J,"&lt;="&amp;$A1132,Receitas!$L:$L,"&gt;="&amp;$A1132,Receitas!$C:$C,P$1,Receitas!$M:$M,$B1132)</f>
        <v>0</v>
      </c>
      <c r="Q1132" s="18">
        <f>SUMIFS(Receitas!$F:$F,Receitas!$J:$J,"&lt;="&amp;$A1132,Receitas!$L:$L,"&gt;="&amp;$A1132,Receitas!$C:$C,Q$1,Receitas!$M:$M,"Mensal")+SUMIFS(Receitas!$F:$F,Receitas!$J:$J,"&lt;="&amp;$A1132,Receitas!$L:$L,"&gt;="&amp;$A1132,Receitas!$C:$C,Q$1,Receitas!$M:$M,$B1132)</f>
        <v>0</v>
      </c>
      <c r="R1132" s="18" cm="1">
        <f t="array" ref="R1132">(IF(AND(Membros!$F$2="Sim",A1132&lt;=MAX(Membros!$E$2:$E$5)),Membros!K$2,IF(AND(A1132&gt;=Membros!J$2,A1132&lt;=MAX(Membros!$E$2:$E$5)),Membros!K$2,0))+IF(AND(Membros!$F$3="Sim",A1132&lt;=MAX(Membros!$E$2:$E$5)),Membros!K$3,IF(AND(A1132&gt;=Membros!J$3,A1132&lt;=MAX(Membros!$E$2:$E$5)),Membros!K$3,0)))*IF(AND(COUNTIFS(Tabela3[Tipo],"Provedor",Tabela3[Simulação Seguro],"Sim")=2,A1132&gt;=MAX(IF(Tabela3[Tipo]="Dependente",Tabela3[Expectativa de Vida (Data)]))),0,1)</f>
        <v>0</v>
      </c>
      <c r="S1132" s="18">
        <f t="shared" si="142"/>
        <v>0</v>
      </c>
      <c r="U1132" s="18">
        <f t="shared" ca="1" si="145"/>
        <v>189956559.23355222</v>
      </c>
      <c r="V1132" s="18">
        <f>SUMIF(Imóveis!E:E,Dados!A:A,Imóveis!Z:Z)-SUMIF(Imóveis!E:E,Dados!A:A,Imóveis!Y:Y)</f>
        <v>0</v>
      </c>
      <c r="W1132" s="18">
        <f>-SUMIF(Projetos!N:N,A1132,Projetos!F:F)</f>
        <v>0</v>
      </c>
      <c r="X1132" s="18">
        <f t="shared" si="139"/>
        <v>0</v>
      </c>
      <c r="Y1132" s="26">
        <f ca="1">(U1132*((Indicadores_Economicos!D$2+1)^(1/12)-1))</f>
        <v>621868.34485250444</v>
      </c>
      <c r="Z1132" s="18">
        <f t="shared" ca="1" si="143"/>
        <v>190578427.57840472</v>
      </c>
      <c r="AA1132" s="18">
        <f ca="1">Auxiliar_Projetos!E1132</f>
        <v>1.5709718588600445E-8</v>
      </c>
      <c r="AB1132" s="18">
        <f ca="1">Auxiliar_Projetos!K1132</f>
        <v>1.2084398914308023E-8</v>
      </c>
      <c r="AC1132" s="18">
        <f ca="1">IF(Z1132-AA1132-AB1132&gt;Investimentos!$C$14,Investimentos!$C$14,IF(Z1132-AA1132-AB1132&lt;Investimentos!$C$14,Z1132-AA1132-AB1132,0))</f>
        <v>300000</v>
      </c>
      <c r="AD1132" s="18">
        <f t="shared" ca="1" si="144"/>
        <v>190278427.57840469</v>
      </c>
      <c r="AE1132" s="18"/>
    </row>
    <row r="1133" spans="1:31" x14ac:dyDescent="0.2">
      <c r="A1133" s="4">
        <v>80080</v>
      </c>
      <c r="B1133" s="5" t="str">
        <f t="shared" si="140"/>
        <v>abril</v>
      </c>
      <c r="C1133" s="5" t="str">
        <f t="shared" si="146"/>
        <v>2119</v>
      </c>
      <c r="D1133" s="5">
        <f>SUMIFS(Despesas!$F:$F,Despesas!$J:$J,"&lt;="&amp;$A1133,Despesas!$L:$L,"&gt;="&amp;$A1133,Despesas!$C:$C,D$1,Despesas!$M:$M,"Mensal")+SUMIFS(Despesas!$F:$F,Despesas!$J:$J,"&lt;="&amp;$A1133,Despesas!$L:$L,"&gt;="&amp;$A1133,Despesas!$C:$C,D$1,Despesas!$M:$M,$B1133)</f>
        <v>0</v>
      </c>
      <c r="E1133" s="18">
        <f>SUMIFS(Despesas!$F:$F,Despesas!$J:$J,"&lt;="&amp;$A1133,Despesas!$L:$L,"&gt;="&amp;$A1133,Despesas!$C:$C,E$1,Despesas!$M:$M,"Mensal")+SUMIFS(Despesas!$F:$F,Despesas!$J:$J,"&lt;="&amp;$A1133,Despesas!$L:$L,"&gt;="&amp;$A1133,Despesas!$C:$C,E$1,Despesas!$M:$M,$B1133)</f>
        <v>0</v>
      </c>
      <c r="F1133" s="5">
        <f>SUMIFS(Despesas!$F:$F,Despesas!$J:$J,"&lt;="&amp;$A1133,Despesas!$L:$L,"&gt;="&amp;$A1133,Despesas!$C:$C,F$1,Despesas!$M:$M,"Mensal")+SUMIFS(Despesas!$F:$F,Despesas!$J:$J,"&lt;="&amp;$A1133,Despesas!$L:$L,"&gt;="&amp;$A1133,Despesas!$C:$C,F$1,Despesas!$M:$M,$B1133)</f>
        <v>0</v>
      </c>
      <c r="G1133" s="5">
        <f>SUMIFS(Despesas!$F:$F,Despesas!$J:$J,"&lt;="&amp;$A1133,Despesas!$L:$L,"&gt;="&amp;$A1133,Despesas!$C:$C,G$1,Despesas!$M:$M,"Mensal")+SUMIFS(Despesas!$F:$F,Despesas!$J:$J,"&lt;="&amp;$A1133,Despesas!$L:$L,"&gt;="&amp;$A1133,Despesas!$C:$C,G$1,Despesas!$M:$M,$B1133)</f>
        <v>0</v>
      </c>
      <c r="H1133" s="18">
        <f>SUMIFS(Despesas!$F:$F,Despesas!$J:$J,"&lt;="&amp;$A1133,Despesas!$L:$L,"&gt;="&amp;$A1133,Despesas!$C:$C,H$1,Despesas!$M:$M,"Mensal")+SUMIFS(Despesas!$F:$F,Despesas!$J:$J,"&lt;="&amp;$A1133,Despesas!$L:$L,"&gt;="&amp;$A1133,Despesas!$C:$C,H$1,Despesas!$M:$M,$B1133)</f>
        <v>0</v>
      </c>
      <c r="I1133" s="18">
        <f>IF(Imóveis!$F$2="PRICE",IF(AND(Dados!$A1133&gt;=Imóveis!$Q$2,Dados!$A1133&lt;=Imóveis!$T$2),Imóveis!$U$2,0),IF((IF(AND(Dados!$A1133&gt;=Imóveis!$Q$2,Dados!$A1133&lt;=Imóveis!$T$2),Imóveis!$S$2-(DATEDIF(Imóveis!$Q$2,Dados!$A1133,"m")),0))=0,0,((Imóveis!$N$2/Imóveis!$S$2)+((Imóveis!$N$2-((Imóveis!$S$2-(IF(AND(Dados!$A1133&gt;=Imóveis!$Q$2,Dados!$A1133&lt;=Imóveis!$T$2),Imóveis!$S$2-(DATEDIF(Imóveis!$Q$2,Dados!$A1133,"m")),)))*(Imóveis!$N$2/Imóveis!$S$2)))*Imóveis!$P$2))))*IF(AND(Imóveis!$E$2&gt;0,Dados!$A1133&gt;Imóveis!$E$2),0,1)</f>
        <v>0</v>
      </c>
      <c r="J1133" s="18">
        <f>IF(Imóveis!$F$3="PRICE",IF(AND(Dados!$A1133&gt;=Imóveis!$Q$3,Dados!$A1133&lt;=Imóveis!$T$3),Imóveis!$U$3,0),IF((IF(AND(Dados!$A1133&gt;=Imóveis!$Q$3,Dados!$A1133&lt;=Imóveis!$T$3),Imóveis!$S$3-(DATEDIF(Imóveis!$Q$3,Dados!$A1133,"m")),0))=0,0,((Imóveis!$N$3/Imóveis!$S$3)+((Imóveis!$N$3-((Imóveis!$S$3-(IF(AND(Dados!$A1133&gt;=Imóveis!$Q$3,Dados!$A1133&lt;=Imóveis!$T$3),Imóveis!$S$3-(DATEDIF(Imóveis!$Q$3,Dados!$A1133,"m")),)))*(Imóveis!$N$3/Imóveis!$S$3)))*Imóveis!$P$3))))*IF(AND(Imóveis!$E$3&gt;0,Dados!$A1133&gt;Imóveis!$E$3),0,1)</f>
        <v>0</v>
      </c>
      <c r="K1133" s="18">
        <f>IF(Imóveis!$F$4="PRICE",IF(AND(Dados!$A1133&gt;=Imóveis!$Q$4,Dados!$A1133&lt;=Imóveis!$T$4),Imóveis!$U$4,0),IF((IF(AND(Dados!$A1133&gt;=Imóveis!$Q$4,Dados!$A1133&lt;=Imóveis!$T$4),Imóveis!$S$4-(DATEDIF(Imóveis!$Q$4,Dados!$A1133,"m")),0))=0,0,((Imóveis!$N$4/Imóveis!$S$4)+((Imóveis!$N$4-((Imóveis!$S$4-(IF(AND(Dados!$A1133&gt;=Imóveis!$Q$4,Dados!$A1133&lt;=Imóveis!$T$4),Imóveis!$S$4-(DATEDIF(Imóveis!$Q$4,Dados!$A1133,"m")),)))*(Imóveis!$N$4/Imóveis!$S$4)))*Imóveis!$P$4))))*IF(AND(Imóveis!$E$4&gt;0,Dados!$A1133&gt;Imóveis!$E$4),0,1)</f>
        <v>0</v>
      </c>
      <c r="L1133" s="18">
        <f>IF(Imóveis!$F$5="PRICE",IF(AND(Dados!$A1133&gt;=Imóveis!$Q$5,Dados!$A1133&lt;=Imóveis!$T$5),Imóveis!$U$5,0),IF((IF(AND(Dados!$A1133&gt;=Imóveis!$Q$5,Dados!$A1133&lt;=Imóveis!$T$5),Imóveis!$S$5-(DATEDIF(Imóveis!$Q$5,Dados!$A1133,"m")),0))=0,0,((Imóveis!$N$5/Imóveis!$S$5)+((Imóveis!$N$5-((Imóveis!$S$5-(IF(AND(Dados!$A1133 &gt;=Imóveis!$Q$5,Dados!$A1133&lt;=Imóveis!$T$5),Imóveis!$S$5-(DATEDIF(Imóveis!$Q$5,Dados!$A1133,"m")),)))*(Imóveis!$N$5/Imóveis!$S$5)))*Imóveis!$P$5))))*IF(AND(Imóveis!$E$5&gt;0,Dados!$A1133&gt;Imóveis!$E$5),0,1)*Imóveis!$I$5</f>
        <v>0</v>
      </c>
      <c r="M1133" s="18">
        <f>IF(Imóveis!$F$6="PRICE",IF(AND(Dados!$A1133&gt;=Imóveis!$Q$6,Dados!$A1133&lt;=Imóveis!$T$6),Imóveis!$U$6,0),IF((IF(AND(Dados!$A1133&gt;=Imóveis!$Q$6,Dados!$A1133&lt;=Imóveis!$T$6),Imóveis!$S$6-(DATEDIF(Imóveis!$Q$6,Dados!$A1133,"m")),0))=0,0,((Imóveis!$N$6/Imóveis!$S$6)+((Imóveis!$N$6-((Imóveis!$S$6-(IF(AND(Dados!$A1133&gt;=Imóveis!$Q$6,Dados!$A1133&lt;=Imóveis!$T$6),Imóveis!$S$6-(DATEDIF(Imóveis!$Q$6,Dados!$A1133,"m")),)))*(Imóveis!$N$6/Imóveis!$S$6)))*Imóveis!$P$6))))*IF(AND(Imóveis!$E$6&gt;0,Dados!$A1133&gt;Imóveis!$E$6),0,1)*Imóveis!$I$6</f>
        <v>0</v>
      </c>
      <c r="N1133" s="18">
        <f t="shared" si="141"/>
        <v>0</v>
      </c>
      <c r="O1133" s="18">
        <f>SUMIFS(Receitas!$F:$F,Receitas!$J:$J,"&lt;="&amp;$A1133,Receitas!$L:$L,"&gt;="&amp;$A1133,Receitas!$C:$C,O$1,Receitas!$M:$M,"Mensal")+SUMIFS(Receitas!$F:$F,Receitas!$J:$J,"&lt;="&amp;$A1133,Receitas!$L:$L,"&gt;="&amp;$A1133,Receitas!$C:$C,O$1,Receitas!$M:$M,$B1133)</f>
        <v>0</v>
      </c>
      <c r="P1133" s="18">
        <f>SUMIFS(Receitas!$F:$F,Receitas!$J:$J,"&lt;="&amp;$A1133,Receitas!$L:$L,"&gt;="&amp;$A1133,Receitas!$C:$C,P$1,Receitas!$M:$M,"Mensal")+SUMIFS(Receitas!$F:$F,Receitas!$J:$J,"&lt;="&amp;$A1133,Receitas!$L:$L,"&gt;="&amp;$A1133,Receitas!$C:$C,P$1,Receitas!$M:$M,$B1133)</f>
        <v>0</v>
      </c>
      <c r="Q1133" s="18">
        <f>SUMIFS(Receitas!$F:$F,Receitas!$J:$J,"&lt;="&amp;$A1133,Receitas!$L:$L,"&gt;="&amp;$A1133,Receitas!$C:$C,Q$1,Receitas!$M:$M,"Mensal")+SUMIFS(Receitas!$F:$F,Receitas!$J:$J,"&lt;="&amp;$A1133,Receitas!$L:$L,"&gt;="&amp;$A1133,Receitas!$C:$C,Q$1,Receitas!$M:$M,$B1133)</f>
        <v>0</v>
      </c>
      <c r="R1133" s="18" cm="1">
        <f t="array" ref="R1133">(IF(AND(Membros!$F$2="Sim",A1133&lt;=MAX(Membros!$E$2:$E$5)),Membros!K$2,IF(AND(A1133&gt;=Membros!J$2,A1133&lt;=MAX(Membros!$E$2:$E$5)),Membros!K$2,0))+IF(AND(Membros!$F$3="Sim",A1133&lt;=MAX(Membros!$E$2:$E$5)),Membros!K$3,IF(AND(A1133&gt;=Membros!J$3,A1133&lt;=MAX(Membros!$E$2:$E$5)),Membros!K$3,0)))*IF(AND(COUNTIFS(Tabela3[Tipo],"Provedor",Tabela3[Simulação Seguro],"Sim")=2,A1133&gt;=MAX(IF(Tabela3[Tipo]="Dependente",Tabela3[Expectativa de Vida (Data)]))),0,1)</f>
        <v>0</v>
      </c>
      <c r="S1133" s="18">
        <f t="shared" si="142"/>
        <v>0</v>
      </c>
      <c r="U1133" s="18">
        <f t="shared" ca="1" si="145"/>
        <v>190578427.57840472</v>
      </c>
      <c r="V1133" s="18">
        <f>SUMIF(Imóveis!E:E,Dados!A:A,Imóveis!Z:Z)-SUMIF(Imóveis!E:E,Dados!A:A,Imóveis!Y:Y)</f>
        <v>0</v>
      </c>
      <c r="W1133" s="18">
        <f>-SUMIF(Projetos!N:N,A1133,Projetos!F:F)</f>
        <v>0</v>
      </c>
      <c r="X1133" s="18">
        <f t="shared" si="139"/>
        <v>0</v>
      </c>
      <c r="Y1133" s="26">
        <f ca="1">(U1133*((Indicadores_Economicos!D$2+1)^(1/12)-1))</f>
        <v>623904.17999233829</v>
      </c>
      <c r="Z1133" s="18">
        <f t="shared" ca="1" si="143"/>
        <v>191202331.75839707</v>
      </c>
      <c r="AA1133" s="18">
        <f ca="1">Auxiliar_Projetos!E1133</f>
        <v>1.5761148119311094E-8</v>
      </c>
      <c r="AB1133" s="18">
        <f ca="1">Auxiliar_Projetos!K1133</f>
        <v>1.2123960091777756E-8</v>
      </c>
      <c r="AC1133" s="18">
        <f ca="1">IF(Z1133-AA1133-AB1133&gt;Investimentos!$C$14,Investimentos!$C$14,IF(Z1133-AA1133-AB1133&lt;Investimentos!$C$14,Z1133-AA1133-AB1133,0))</f>
        <v>300000</v>
      </c>
      <c r="AD1133" s="18">
        <f t="shared" ca="1" si="144"/>
        <v>190902331.75839704</v>
      </c>
      <c r="AE1133" s="18"/>
    </row>
    <row r="1134" spans="1:31" x14ac:dyDescent="0.2">
      <c r="A1134" s="4">
        <v>80110</v>
      </c>
      <c r="B1134" s="5" t="str">
        <f t="shared" si="140"/>
        <v>maio</v>
      </c>
      <c r="C1134" s="5" t="str">
        <f t="shared" si="146"/>
        <v>2119</v>
      </c>
      <c r="D1134" s="5">
        <f>SUMIFS(Despesas!$F:$F,Despesas!$J:$J,"&lt;="&amp;$A1134,Despesas!$L:$L,"&gt;="&amp;$A1134,Despesas!$C:$C,D$1,Despesas!$M:$M,"Mensal")+SUMIFS(Despesas!$F:$F,Despesas!$J:$J,"&lt;="&amp;$A1134,Despesas!$L:$L,"&gt;="&amp;$A1134,Despesas!$C:$C,D$1,Despesas!$M:$M,$B1134)</f>
        <v>0</v>
      </c>
      <c r="E1134" s="18">
        <f>SUMIFS(Despesas!$F:$F,Despesas!$J:$J,"&lt;="&amp;$A1134,Despesas!$L:$L,"&gt;="&amp;$A1134,Despesas!$C:$C,E$1,Despesas!$M:$M,"Mensal")+SUMIFS(Despesas!$F:$F,Despesas!$J:$J,"&lt;="&amp;$A1134,Despesas!$L:$L,"&gt;="&amp;$A1134,Despesas!$C:$C,E$1,Despesas!$M:$M,$B1134)</f>
        <v>0</v>
      </c>
      <c r="F1134" s="5">
        <f>SUMIFS(Despesas!$F:$F,Despesas!$J:$J,"&lt;="&amp;$A1134,Despesas!$L:$L,"&gt;="&amp;$A1134,Despesas!$C:$C,F$1,Despesas!$M:$M,"Mensal")+SUMIFS(Despesas!$F:$F,Despesas!$J:$J,"&lt;="&amp;$A1134,Despesas!$L:$L,"&gt;="&amp;$A1134,Despesas!$C:$C,F$1,Despesas!$M:$M,$B1134)</f>
        <v>0</v>
      </c>
      <c r="G1134" s="5">
        <f>SUMIFS(Despesas!$F:$F,Despesas!$J:$J,"&lt;="&amp;$A1134,Despesas!$L:$L,"&gt;="&amp;$A1134,Despesas!$C:$C,G$1,Despesas!$M:$M,"Mensal")+SUMIFS(Despesas!$F:$F,Despesas!$J:$J,"&lt;="&amp;$A1134,Despesas!$L:$L,"&gt;="&amp;$A1134,Despesas!$C:$C,G$1,Despesas!$M:$M,$B1134)</f>
        <v>0</v>
      </c>
      <c r="H1134" s="18">
        <f>SUMIFS(Despesas!$F:$F,Despesas!$J:$J,"&lt;="&amp;$A1134,Despesas!$L:$L,"&gt;="&amp;$A1134,Despesas!$C:$C,H$1,Despesas!$M:$M,"Mensal")+SUMIFS(Despesas!$F:$F,Despesas!$J:$J,"&lt;="&amp;$A1134,Despesas!$L:$L,"&gt;="&amp;$A1134,Despesas!$C:$C,H$1,Despesas!$M:$M,$B1134)</f>
        <v>0</v>
      </c>
      <c r="I1134" s="18">
        <f>IF(Imóveis!$F$2="PRICE",IF(AND(Dados!$A1134&gt;=Imóveis!$Q$2,Dados!$A1134&lt;=Imóveis!$T$2),Imóveis!$U$2,0),IF((IF(AND(Dados!$A1134&gt;=Imóveis!$Q$2,Dados!$A1134&lt;=Imóveis!$T$2),Imóveis!$S$2-(DATEDIF(Imóveis!$Q$2,Dados!$A1134,"m")),0))=0,0,((Imóveis!$N$2/Imóveis!$S$2)+((Imóveis!$N$2-((Imóveis!$S$2-(IF(AND(Dados!$A1134&gt;=Imóveis!$Q$2,Dados!$A1134&lt;=Imóveis!$T$2),Imóveis!$S$2-(DATEDIF(Imóveis!$Q$2,Dados!$A1134,"m")),)))*(Imóveis!$N$2/Imóveis!$S$2)))*Imóveis!$P$2))))*IF(AND(Imóveis!$E$2&gt;0,Dados!$A1134&gt;Imóveis!$E$2),0,1)</f>
        <v>0</v>
      </c>
      <c r="J1134" s="18">
        <f>IF(Imóveis!$F$3="PRICE",IF(AND(Dados!$A1134&gt;=Imóveis!$Q$3,Dados!$A1134&lt;=Imóveis!$T$3),Imóveis!$U$3,0),IF((IF(AND(Dados!$A1134&gt;=Imóveis!$Q$3,Dados!$A1134&lt;=Imóveis!$T$3),Imóveis!$S$3-(DATEDIF(Imóveis!$Q$3,Dados!$A1134,"m")),0))=0,0,((Imóveis!$N$3/Imóveis!$S$3)+((Imóveis!$N$3-((Imóveis!$S$3-(IF(AND(Dados!$A1134&gt;=Imóveis!$Q$3,Dados!$A1134&lt;=Imóveis!$T$3),Imóveis!$S$3-(DATEDIF(Imóveis!$Q$3,Dados!$A1134,"m")),)))*(Imóveis!$N$3/Imóveis!$S$3)))*Imóveis!$P$3))))*IF(AND(Imóveis!$E$3&gt;0,Dados!$A1134&gt;Imóveis!$E$3),0,1)</f>
        <v>0</v>
      </c>
      <c r="K1134" s="18">
        <f>IF(Imóveis!$F$4="PRICE",IF(AND(Dados!$A1134&gt;=Imóveis!$Q$4,Dados!$A1134&lt;=Imóveis!$T$4),Imóveis!$U$4,0),IF((IF(AND(Dados!$A1134&gt;=Imóveis!$Q$4,Dados!$A1134&lt;=Imóveis!$T$4),Imóveis!$S$4-(DATEDIF(Imóveis!$Q$4,Dados!$A1134,"m")),0))=0,0,((Imóveis!$N$4/Imóveis!$S$4)+((Imóveis!$N$4-((Imóveis!$S$4-(IF(AND(Dados!$A1134&gt;=Imóveis!$Q$4,Dados!$A1134&lt;=Imóveis!$T$4),Imóveis!$S$4-(DATEDIF(Imóveis!$Q$4,Dados!$A1134,"m")),)))*(Imóveis!$N$4/Imóveis!$S$4)))*Imóveis!$P$4))))*IF(AND(Imóveis!$E$4&gt;0,Dados!$A1134&gt;Imóveis!$E$4),0,1)</f>
        <v>0</v>
      </c>
      <c r="L1134" s="18">
        <f>IF(Imóveis!$F$5="PRICE",IF(AND(Dados!$A1134&gt;=Imóveis!$Q$5,Dados!$A1134&lt;=Imóveis!$T$5),Imóveis!$U$5,0),IF((IF(AND(Dados!$A1134&gt;=Imóveis!$Q$5,Dados!$A1134&lt;=Imóveis!$T$5),Imóveis!$S$5-(DATEDIF(Imóveis!$Q$5,Dados!$A1134,"m")),0))=0,0,((Imóveis!$N$5/Imóveis!$S$5)+((Imóveis!$N$5-((Imóveis!$S$5-(IF(AND(Dados!$A1134 &gt;=Imóveis!$Q$5,Dados!$A1134&lt;=Imóveis!$T$5),Imóveis!$S$5-(DATEDIF(Imóveis!$Q$5,Dados!$A1134,"m")),)))*(Imóveis!$N$5/Imóveis!$S$5)))*Imóveis!$P$5))))*IF(AND(Imóveis!$E$5&gt;0,Dados!$A1134&gt;Imóveis!$E$5),0,1)*Imóveis!$I$5</f>
        <v>0</v>
      </c>
      <c r="M1134" s="18">
        <f>IF(Imóveis!$F$6="PRICE",IF(AND(Dados!$A1134&gt;=Imóveis!$Q$6,Dados!$A1134&lt;=Imóveis!$T$6),Imóveis!$U$6,0),IF((IF(AND(Dados!$A1134&gt;=Imóveis!$Q$6,Dados!$A1134&lt;=Imóveis!$T$6),Imóveis!$S$6-(DATEDIF(Imóveis!$Q$6,Dados!$A1134,"m")),0))=0,0,((Imóveis!$N$6/Imóveis!$S$6)+((Imóveis!$N$6-((Imóveis!$S$6-(IF(AND(Dados!$A1134&gt;=Imóveis!$Q$6,Dados!$A1134&lt;=Imóveis!$T$6),Imóveis!$S$6-(DATEDIF(Imóveis!$Q$6,Dados!$A1134,"m")),)))*(Imóveis!$N$6/Imóveis!$S$6)))*Imóveis!$P$6))))*IF(AND(Imóveis!$E$6&gt;0,Dados!$A1134&gt;Imóveis!$E$6),0,1)*Imóveis!$I$6</f>
        <v>0</v>
      </c>
      <c r="N1134" s="18">
        <f t="shared" si="141"/>
        <v>0</v>
      </c>
      <c r="O1134" s="18">
        <f>SUMIFS(Receitas!$F:$F,Receitas!$J:$J,"&lt;="&amp;$A1134,Receitas!$L:$L,"&gt;="&amp;$A1134,Receitas!$C:$C,O$1,Receitas!$M:$M,"Mensal")+SUMIFS(Receitas!$F:$F,Receitas!$J:$J,"&lt;="&amp;$A1134,Receitas!$L:$L,"&gt;="&amp;$A1134,Receitas!$C:$C,O$1,Receitas!$M:$M,$B1134)</f>
        <v>0</v>
      </c>
      <c r="P1134" s="18">
        <f>SUMIFS(Receitas!$F:$F,Receitas!$J:$J,"&lt;="&amp;$A1134,Receitas!$L:$L,"&gt;="&amp;$A1134,Receitas!$C:$C,P$1,Receitas!$M:$M,"Mensal")+SUMIFS(Receitas!$F:$F,Receitas!$J:$J,"&lt;="&amp;$A1134,Receitas!$L:$L,"&gt;="&amp;$A1134,Receitas!$C:$C,P$1,Receitas!$M:$M,$B1134)</f>
        <v>0</v>
      </c>
      <c r="Q1134" s="18">
        <f>SUMIFS(Receitas!$F:$F,Receitas!$J:$J,"&lt;="&amp;$A1134,Receitas!$L:$L,"&gt;="&amp;$A1134,Receitas!$C:$C,Q$1,Receitas!$M:$M,"Mensal")+SUMIFS(Receitas!$F:$F,Receitas!$J:$J,"&lt;="&amp;$A1134,Receitas!$L:$L,"&gt;="&amp;$A1134,Receitas!$C:$C,Q$1,Receitas!$M:$M,$B1134)</f>
        <v>0</v>
      </c>
      <c r="R1134" s="18" cm="1">
        <f t="array" ref="R1134">(IF(AND(Membros!$F$2="Sim",A1134&lt;=MAX(Membros!$E$2:$E$5)),Membros!K$2,IF(AND(A1134&gt;=Membros!J$2,A1134&lt;=MAX(Membros!$E$2:$E$5)),Membros!K$2,0))+IF(AND(Membros!$F$3="Sim",A1134&lt;=MAX(Membros!$E$2:$E$5)),Membros!K$3,IF(AND(A1134&gt;=Membros!J$3,A1134&lt;=MAX(Membros!$E$2:$E$5)),Membros!K$3,0)))*IF(AND(COUNTIFS(Tabela3[Tipo],"Provedor",Tabela3[Simulação Seguro],"Sim")=2,A1134&gt;=MAX(IF(Tabela3[Tipo]="Dependente",Tabela3[Expectativa de Vida (Data)]))),0,1)</f>
        <v>0</v>
      </c>
      <c r="S1134" s="18">
        <f t="shared" si="142"/>
        <v>0</v>
      </c>
      <c r="U1134" s="18">
        <f t="shared" ca="1" si="145"/>
        <v>191202331.75839707</v>
      </c>
      <c r="V1134" s="18">
        <f>SUMIF(Imóveis!E:E,Dados!A:A,Imóveis!Z:Z)-SUMIF(Imóveis!E:E,Dados!A:A,Imóveis!Y:Y)</f>
        <v>0</v>
      </c>
      <c r="W1134" s="18">
        <f>-SUMIF(Projetos!N:N,A1134,Projetos!F:F)</f>
        <v>0</v>
      </c>
      <c r="X1134" s="18">
        <f t="shared" si="139"/>
        <v>0</v>
      </c>
      <c r="Y1134" s="26">
        <f ca="1">(U1134*((Indicadores_Economicos!D$2+1)^(1/12)-1))</f>
        <v>625946.67992665945</v>
      </c>
      <c r="Z1134" s="18">
        <f t="shared" ca="1" si="143"/>
        <v>191828278.43832374</v>
      </c>
      <c r="AA1134" s="18">
        <f ca="1">Auxiliar_Projetos!E1134</f>
        <v>1.5812746016922414E-8</v>
      </c>
      <c r="AB1134" s="18">
        <f ca="1">Auxiliar_Projetos!K1134</f>
        <v>1.2163650782248001E-8</v>
      </c>
      <c r="AC1134" s="18">
        <f ca="1">IF(Z1134-AA1134-AB1134&gt;Investimentos!$C$14,Investimentos!$C$14,IF(Z1134-AA1134-AB1134&lt;Investimentos!$C$14,Z1134-AA1134-AB1134,0))</f>
        <v>300000</v>
      </c>
      <c r="AD1134" s="18">
        <f t="shared" ca="1" si="144"/>
        <v>191528278.43832371</v>
      </c>
      <c r="AE1134" s="18"/>
    </row>
    <row r="1135" spans="1:31" x14ac:dyDescent="0.2">
      <c r="A1135" s="4">
        <v>80141</v>
      </c>
      <c r="B1135" s="5" t="str">
        <f t="shared" si="140"/>
        <v>junho</v>
      </c>
      <c r="C1135" s="5" t="str">
        <f t="shared" si="146"/>
        <v>2119</v>
      </c>
      <c r="D1135" s="5">
        <f>SUMIFS(Despesas!$F:$F,Despesas!$J:$J,"&lt;="&amp;$A1135,Despesas!$L:$L,"&gt;="&amp;$A1135,Despesas!$C:$C,D$1,Despesas!$M:$M,"Mensal")+SUMIFS(Despesas!$F:$F,Despesas!$J:$J,"&lt;="&amp;$A1135,Despesas!$L:$L,"&gt;="&amp;$A1135,Despesas!$C:$C,D$1,Despesas!$M:$M,$B1135)</f>
        <v>0</v>
      </c>
      <c r="E1135" s="18">
        <f>SUMIFS(Despesas!$F:$F,Despesas!$J:$J,"&lt;="&amp;$A1135,Despesas!$L:$L,"&gt;="&amp;$A1135,Despesas!$C:$C,E$1,Despesas!$M:$M,"Mensal")+SUMIFS(Despesas!$F:$F,Despesas!$J:$J,"&lt;="&amp;$A1135,Despesas!$L:$L,"&gt;="&amp;$A1135,Despesas!$C:$C,E$1,Despesas!$M:$M,$B1135)</f>
        <v>0</v>
      </c>
      <c r="F1135" s="5">
        <f>SUMIFS(Despesas!$F:$F,Despesas!$J:$J,"&lt;="&amp;$A1135,Despesas!$L:$L,"&gt;="&amp;$A1135,Despesas!$C:$C,F$1,Despesas!$M:$M,"Mensal")+SUMIFS(Despesas!$F:$F,Despesas!$J:$J,"&lt;="&amp;$A1135,Despesas!$L:$L,"&gt;="&amp;$A1135,Despesas!$C:$C,F$1,Despesas!$M:$M,$B1135)</f>
        <v>0</v>
      </c>
      <c r="G1135" s="5">
        <f>SUMIFS(Despesas!$F:$F,Despesas!$J:$J,"&lt;="&amp;$A1135,Despesas!$L:$L,"&gt;="&amp;$A1135,Despesas!$C:$C,G$1,Despesas!$M:$M,"Mensal")+SUMIFS(Despesas!$F:$F,Despesas!$J:$J,"&lt;="&amp;$A1135,Despesas!$L:$L,"&gt;="&amp;$A1135,Despesas!$C:$C,G$1,Despesas!$M:$M,$B1135)</f>
        <v>0</v>
      </c>
      <c r="H1135" s="18">
        <f>SUMIFS(Despesas!$F:$F,Despesas!$J:$J,"&lt;="&amp;$A1135,Despesas!$L:$L,"&gt;="&amp;$A1135,Despesas!$C:$C,H$1,Despesas!$M:$M,"Mensal")+SUMIFS(Despesas!$F:$F,Despesas!$J:$J,"&lt;="&amp;$A1135,Despesas!$L:$L,"&gt;="&amp;$A1135,Despesas!$C:$C,H$1,Despesas!$M:$M,$B1135)</f>
        <v>0</v>
      </c>
      <c r="I1135" s="18">
        <f>IF(Imóveis!$F$2="PRICE",IF(AND(Dados!$A1135&gt;=Imóveis!$Q$2,Dados!$A1135&lt;=Imóveis!$T$2),Imóveis!$U$2,0),IF((IF(AND(Dados!$A1135&gt;=Imóveis!$Q$2,Dados!$A1135&lt;=Imóveis!$T$2),Imóveis!$S$2-(DATEDIF(Imóveis!$Q$2,Dados!$A1135,"m")),0))=0,0,((Imóveis!$N$2/Imóveis!$S$2)+((Imóveis!$N$2-((Imóveis!$S$2-(IF(AND(Dados!$A1135&gt;=Imóveis!$Q$2,Dados!$A1135&lt;=Imóveis!$T$2),Imóveis!$S$2-(DATEDIF(Imóveis!$Q$2,Dados!$A1135,"m")),)))*(Imóveis!$N$2/Imóveis!$S$2)))*Imóveis!$P$2))))*IF(AND(Imóveis!$E$2&gt;0,Dados!$A1135&gt;Imóveis!$E$2),0,1)</f>
        <v>0</v>
      </c>
      <c r="J1135" s="18">
        <f>IF(Imóveis!$F$3="PRICE",IF(AND(Dados!$A1135&gt;=Imóveis!$Q$3,Dados!$A1135&lt;=Imóveis!$T$3),Imóveis!$U$3,0),IF((IF(AND(Dados!$A1135&gt;=Imóveis!$Q$3,Dados!$A1135&lt;=Imóveis!$T$3),Imóveis!$S$3-(DATEDIF(Imóveis!$Q$3,Dados!$A1135,"m")),0))=0,0,((Imóveis!$N$3/Imóveis!$S$3)+((Imóveis!$N$3-((Imóveis!$S$3-(IF(AND(Dados!$A1135&gt;=Imóveis!$Q$3,Dados!$A1135&lt;=Imóveis!$T$3),Imóveis!$S$3-(DATEDIF(Imóveis!$Q$3,Dados!$A1135,"m")),)))*(Imóveis!$N$3/Imóveis!$S$3)))*Imóveis!$P$3))))*IF(AND(Imóveis!$E$3&gt;0,Dados!$A1135&gt;Imóveis!$E$3),0,1)</f>
        <v>0</v>
      </c>
      <c r="K1135" s="18">
        <f>IF(Imóveis!$F$4="PRICE",IF(AND(Dados!$A1135&gt;=Imóveis!$Q$4,Dados!$A1135&lt;=Imóveis!$T$4),Imóveis!$U$4,0),IF((IF(AND(Dados!$A1135&gt;=Imóveis!$Q$4,Dados!$A1135&lt;=Imóveis!$T$4),Imóveis!$S$4-(DATEDIF(Imóveis!$Q$4,Dados!$A1135,"m")),0))=0,0,((Imóveis!$N$4/Imóveis!$S$4)+((Imóveis!$N$4-((Imóveis!$S$4-(IF(AND(Dados!$A1135&gt;=Imóveis!$Q$4,Dados!$A1135&lt;=Imóveis!$T$4),Imóveis!$S$4-(DATEDIF(Imóveis!$Q$4,Dados!$A1135,"m")),)))*(Imóveis!$N$4/Imóveis!$S$4)))*Imóveis!$P$4))))*IF(AND(Imóveis!$E$4&gt;0,Dados!$A1135&gt;Imóveis!$E$4),0,1)</f>
        <v>0</v>
      </c>
      <c r="L1135" s="18">
        <f>IF(Imóveis!$F$5="PRICE",IF(AND(Dados!$A1135&gt;=Imóveis!$Q$5,Dados!$A1135&lt;=Imóveis!$T$5),Imóveis!$U$5,0),IF((IF(AND(Dados!$A1135&gt;=Imóveis!$Q$5,Dados!$A1135&lt;=Imóveis!$T$5),Imóveis!$S$5-(DATEDIF(Imóveis!$Q$5,Dados!$A1135,"m")),0))=0,0,((Imóveis!$N$5/Imóveis!$S$5)+((Imóveis!$N$5-((Imóveis!$S$5-(IF(AND(Dados!$A1135 &gt;=Imóveis!$Q$5,Dados!$A1135&lt;=Imóveis!$T$5),Imóveis!$S$5-(DATEDIF(Imóveis!$Q$5,Dados!$A1135,"m")),)))*(Imóveis!$N$5/Imóveis!$S$5)))*Imóveis!$P$5))))*IF(AND(Imóveis!$E$5&gt;0,Dados!$A1135&gt;Imóveis!$E$5),0,1)*Imóveis!$I$5</f>
        <v>0</v>
      </c>
      <c r="M1135" s="18">
        <f>IF(Imóveis!$F$6="PRICE",IF(AND(Dados!$A1135&gt;=Imóveis!$Q$6,Dados!$A1135&lt;=Imóveis!$T$6),Imóveis!$U$6,0),IF((IF(AND(Dados!$A1135&gt;=Imóveis!$Q$6,Dados!$A1135&lt;=Imóveis!$T$6),Imóveis!$S$6-(DATEDIF(Imóveis!$Q$6,Dados!$A1135,"m")),0))=0,0,((Imóveis!$N$6/Imóveis!$S$6)+((Imóveis!$N$6-((Imóveis!$S$6-(IF(AND(Dados!$A1135&gt;=Imóveis!$Q$6,Dados!$A1135&lt;=Imóveis!$T$6),Imóveis!$S$6-(DATEDIF(Imóveis!$Q$6,Dados!$A1135,"m")),)))*(Imóveis!$N$6/Imóveis!$S$6)))*Imóveis!$P$6))))*IF(AND(Imóveis!$E$6&gt;0,Dados!$A1135&gt;Imóveis!$E$6),0,1)*Imóveis!$I$6</f>
        <v>0</v>
      </c>
      <c r="N1135" s="18">
        <f t="shared" si="141"/>
        <v>0</v>
      </c>
      <c r="O1135" s="18">
        <f>SUMIFS(Receitas!$F:$F,Receitas!$J:$J,"&lt;="&amp;$A1135,Receitas!$L:$L,"&gt;="&amp;$A1135,Receitas!$C:$C,O$1,Receitas!$M:$M,"Mensal")+SUMIFS(Receitas!$F:$F,Receitas!$J:$J,"&lt;="&amp;$A1135,Receitas!$L:$L,"&gt;="&amp;$A1135,Receitas!$C:$C,O$1,Receitas!$M:$M,$B1135)</f>
        <v>0</v>
      </c>
      <c r="P1135" s="18">
        <f>SUMIFS(Receitas!$F:$F,Receitas!$J:$J,"&lt;="&amp;$A1135,Receitas!$L:$L,"&gt;="&amp;$A1135,Receitas!$C:$C,P$1,Receitas!$M:$M,"Mensal")+SUMIFS(Receitas!$F:$F,Receitas!$J:$J,"&lt;="&amp;$A1135,Receitas!$L:$L,"&gt;="&amp;$A1135,Receitas!$C:$C,P$1,Receitas!$M:$M,$B1135)</f>
        <v>0</v>
      </c>
      <c r="Q1135" s="18">
        <f>SUMIFS(Receitas!$F:$F,Receitas!$J:$J,"&lt;="&amp;$A1135,Receitas!$L:$L,"&gt;="&amp;$A1135,Receitas!$C:$C,Q$1,Receitas!$M:$M,"Mensal")+SUMIFS(Receitas!$F:$F,Receitas!$J:$J,"&lt;="&amp;$A1135,Receitas!$L:$L,"&gt;="&amp;$A1135,Receitas!$C:$C,Q$1,Receitas!$M:$M,$B1135)</f>
        <v>0</v>
      </c>
      <c r="R1135" s="18" cm="1">
        <f t="array" ref="R1135">(IF(AND(Membros!$F$2="Sim",A1135&lt;=MAX(Membros!$E$2:$E$5)),Membros!K$2,IF(AND(A1135&gt;=Membros!J$2,A1135&lt;=MAX(Membros!$E$2:$E$5)),Membros!K$2,0))+IF(AND(Membros!$F$3="Sim",A1135&lt;=MAX(Membros!$E$2:$E$5)),Membros!K$3,IF(AND(A1135&gt;=Membros!J$3,A1135&lt;=MAX(Membros!$E$2:$E$5)),Membros!K$3,0)))*IF(AND(COUNTIFS(Tabela3[Tipo],"Provedor",Tabela3[Simulação Seguro],"Sim")=2,A1135&gt;=MAX(IF(Tabela3[Tipo]="Dependente",Tabela3[Expectativa de Vida (Data)]))),0,1)</f>
        <v>0</v>
      </c>
      <c r="S1135" s="18">
        <f t="shared" si="142"/>
        <v>0</v>
      </c>
      <c r="U1135" s="18">
        <f t="shared" ca="1" si="145"/>
        <v>191828278.43832374</v>
      </c>
      <c r="V1135" s="18">
        <f>SUMIF(Imóveis!E:E,Dados!A:A,Imóveis!Z:Z)-SUMIF(Imóveis!E:E,Dados!A:A,Imóveis!Y:Y)</f>
        <v>0</v>
      </c>
      <c r="W1135" s="18">
        <f>-SUMIF(Projetos!N:N,A1135,Projetos!F:F)</f>
        <v>0</v>
      </c>
      <c r="X1135" s="18">
        <f t="shared" si="139"/>
        <v>0</v>
      </c>
      <c r="Y1135" s="26">
        <f ca="1">(U1135*((Indicadores_Economicos!D$2+1)^(1/12)-1))</f>
        <v>627995.8664742707</v>
      </c>
      <c r="Z1135" s="18">
        <f t="shared" ca="1" si="143"/>
        <v>192456274.30479801</v>
      </c>
      <c r="AA1135" s="18">
        <f ca="1">Auxiliar_Projetos!E1135</f>
        <v>1.5864512832623822E-8</v>
      </c>
      <c r="AB1135" s="18">
        <f ca="1">Auxiliar_Projetos!K1135</f>
        <v>1.220347140971062E-8</v>
      </c>
      <c r="AC1135" s="18">
        <f ca="1">IF(Z1135-AA1135-AB1135&gt;Investimentos!$C$14,Investimentos!$C$14,IF(Z1135-AA1135-AB1135&lt;Investimentos!$C$14,Z1135-AA1135-AB1135,0))</f>
        <v>300000</v>
      </c>
      <c r="AD1135" s="18">
        <f t="shared" ca="1" si="144"/>
        <v>192156274.30479798</v>
      </c>
      <c r="AE1135" s="18"/>
    </row>
    <row r="1136" spans="1:31" x14ac:dyDescent="0.2">
      <c r="A1136" s="4">
        <v>80171</v>
      </c>
      <c r="B1136" s="5" t="str">
        <f t="shared" si="140"/>
        <v>julho</v>
      </c>
      <c r="C1136" s="5" t="str">
        <f t="shared" si="146"/>
        <v>2119</v>
      </c>
      <c r="D1136" s="5">
        <f>SUMIFS(Despesas!$F:$F,Despesas!$J:$J,"&lt;="&amp;$A1136,Despesas!$L:$L,"&gt;="&amp;$A1136,Despesas!$C:$C,D$1,Despesas!$M:$M,"Mensal")+SUMIFS(Despesas!$F:$F,Despesas!$J:$J,"&lt;="&amp;$A1136,Despesas!$L:$L,"&gt;="&amp;$A1136,Despesas!$C:$C,D$1,Despesas!$M:$M,$B1136)</f>
        <v>0</v>
      </c>
      <c r="E1136" s="18">
        <f>SUMIFS(Despesas!$F:$F,Despesas!$J:$J,"&lt;="&amp;$A1136,Despesas!$L:$L,"&gt;="&amp;$A1136,Despesas!$C:$C,E$1,Despesas!$M:$M,"Mensal")+SUMIFS(Despesas!$F:$F,Despesas!$J:$J,"&lt;="&amp;$A1136,Despesas!$L:$L,"&gt;="&amp;$A1136,Despesas!$C:$C,E$1,Despesas!$M:$M,$B1136)</f>
        <v>0</v>
      </c>
      <c r="F1136" s="5">
        <f>SUMIFS(Despesas!$F:$F,Despesas!$J:$J,"&lt;="&amp;$A1136,Despesas!$L:$L,"&gt;="&amp;$A1136,Despesas!$C:$C,F$1,Despesas!$M:$M,"Mensal")+SUMIFS(Despesas!$F:$F,Despesas!$J:$J,"&lt;="&amp;$A1136,Despesas!$L:$L,"&gt;="&amp;$A1136,Despesas!$C:$C,F$1,Despesas!$M:$M,$B1136)</f>
        <v>0</v>
      </c>
      <c r="G1136" s="5">
        <f>SUMIFS(Despesas!$F:$F,Despesas!$J:$J,"&lt;="&amp;$A1136,Despesas!$L:$L,"&gt;="&amp;$A1136,Despesas!$C:$C,G$1,Despesas!$M:$M,"Mensal")+SUMIFS(Despesas!$F:$F,Despesas!$J:$J,"&lt;="&amp;$A1136,Despesas!$L:$L,"&gt;="&amp;$A1136,Despesas!$C:$C,G$1,Despesas!$M:$M,$B1136)</f>
        <v>0</v>
      </c>
      <c r="H1136" s="18">
        <f>SUMIFS(Despesas!$F:$F,Despesas!$J:$J,"&lt;="&amp;$A1136,Despesas!$L:$L,"&gt;="&amp;$A1136,Despesas!$C:$C,H$1,Despesas!$M:$M,"Mensal")+SUMIFS(Despesas!$F:$F,Despesas!$J:$J,"&lt;="&amp;$A1136,Despesas!$L:$L,"&gt;="&amp;$A1136,Despesas!$C:$C,H$1,Despesas!$M:$M,$B1136)</f>
        <v>0</v>
      </c>
      <c r="I1136" s="18">
        <f>IF(Imóveis!$F$2="PRICE",IF(AND(Dados!$A1136&gt;=Imóveis!$Q$2,Dados!$A1136&lt;=Imóveis!$T$2),Imóveis!$U$2,0),IF((IF(AND(Dados!$A1136&gt;=Imóveis!$Q$2,Dados!$A1136&lt;=Imóveis!$T$2),Imóveis!$S$2-(DATEDIF(Imóveis!$Q$2,Dados!$A1136,"m")),0))=0,0,((Imóveis!$N$2/Imóveis!$S$2)+((Imóveis!$N$2-((Imóveis!$S$2-(IF(AND(Dados!$A1136&gt;=Imóveis!$Q$2,Dados!$A1136&lt;=Imóveis!$T$2),Imóveis!$S$2-(DATEDIF(Imóveis!$Q$2,Dados!$A1136,"m")),)))*(Imóveis!$N$2/Imóveis!$S$2)))*Imóveis!$P$2))))*IF(AND(Imóveis!$E$2&gt;0,Dados!$A1136&gt;Imóveis!$E$2),0,1)</f>
        <v>0</v>
      </c>
      <c r="J1136" s="18">
        <f>IF(Imóveis!$F$3="PRICE",IF(AND(Dados!$A1136&gt;=Imóveis!$Q$3,Dados!$A1136&lt;=Imóveis!$T$3),Imóveis!$U$3,0),IF((IF(AND(Dados!$A1136&gt;=Imóveis!$Q$3,Dados!$A1136&lt;=Imóveis!$T$3),Imóveis!$S$3-(DATEDIF(Imóveis!$Q$3,Dados!$A1136,"m")),0))=0,0,((Imóveis!$N$3/Imóveis!$S$3)+((Imóveis!$N$3-((Imóveis!$S$3-(IF(AND(Dados!$A1136&gt;=Imóveis!$Q$3,Dados!$A1136&lt;=Imóveis!$T$3),Imóveis!$S$3-(DATEDIF(Imóveis!$Q$3,Dados!$A1136,"m")),)))*(Imóveis!$N$3/Imóveis!$S$3)))*Imóveis!$P$3))))*IF(AND(Imóveis!$E$3&gt;0,Dados!$A1136&gt;Imóveis!$E$3),0,1)</f>
        <v>0</v>
      </c>
      <c r="K1136" s="18">
        <f>IF(Imóveis!$F$4="PRICE",IF(AND(Dados!$A1136&gt;=Imóveis!$Q$4,Dados!$A1136&lt;=Imóveis!$T$4),Imóveis!$U$4,0),IF((IF(AND(Dados!$A1136&gt;=Imóveis!$Q$4,Dados!$A1136&lt;=Imóveis!$T$4),Imóveis!$S$4-(DATEDIF(Imóveis!$Q$4,Dados!$A1136,"m")),0))=0,0,((Imóveis!$N$4/Imóveis!$S$4)+((Imóveis!$N$4-((Imóveis!$S$4-(IF(AND(Dados!$A1136&gt;=Imóveis!$Q$4,Dados!$A1136&lt;=Imóveis!$T$4),Imóveis!$S$4-(DATEDIF(Imóveis!$Q$4,Dados!$A1136,"m")),)))*(Imóveis!$N$4/Imóveis!$S$4)))*Imóveis!$P$4))))*IF(AND(Imóveis!$E$4&gt;0,Dados!$A1136&gt;Imóveis!$E$4),0,1)</f>
        <v>0</v>
      </c>
      <c r="L1136" s="18">
        <f>IF(Imóveis!$F$5="PRICE",IF(AND(Dados!$A1136&gt;=Imóveis!$Q$5,Dados!$A1136&lt;=Imóveis!$T$5),Imóveis!$U$5,0),IF((IF(AND(Dados!$A1136&gt;=Imóveis!$Q$5,Dados!$A1136&lt;=Imóveis!$T$5),Imóveis!$S$5-(DATEDIF(Imóveis!$Q$5,Dados!$A1136,"m")),0))=0,0,((Imóveis!$N$5/Imóveis!$S$5)+((Imóveis!$N$5-((Imóveis!$S$5-(IF(AND(Dados!$A1136 &gt;=Imóveis!$Q$5,Dados!$A1136&lt;=Imóveis!$T$5),Imóveis!$S$5-(DATEDIF(Imóveis!$Q$5,Dados!$A1136,"m")),)))*(Imóveis!$N$5/Imóveis!$S$5)))*Imóveis!$P$5))))*IF(AND(Imóveis!$E$5&gt;0,Dados!$A1136&gt;Imóveis!$E$5),0,1)*Imóveis!$I$5</f>
        <v>0</v>
      </c>
      <c r="M1136" s="18">
        <f>IF(Imóveis!$F$6="PRICE",IF(AND(Dados!$A1136&gt;=Imóveis!$Q$6,Dados!$A1136&lt;=Imóveis!$T$6),Imóveis!$U$6,0),IF((IF(AND(Dados!$A1136&gt;=Imóveis!$Q$6,Dados!$A1136&lt;=Imóveis!$T$6),Imóveis!$S$6-(DATEDIF(Imóveis!$Q$6,Dados!$A1136,"m")),0))=0,0,((Imóveis!$N$6/Imóveis!$S$6)+((Imóveis!$N$6-((Imóveis!$S$6-(IF(AND(Dados!$A1136&gt;=Imóveis!$Q$6,Dados!$A1136&lt;=Imóveis!$T$6),Imóveis!$S$6-(DATEDIF(Imóveis!$Q$6,Dados!$A1136,"m")),)))*(Imóveis!$N$6/Imóveis!$S$6)))*Imóveis!$P$6))))*IF(AND(Imóveis!$E$6&gt;0,Dados!$A1136&gt;Imóveis!$E$6),0,1)*Imóveis!$I$6</f>
        <v>0</v>
      </c>
      <c r="N1136" s="18">
        <f t="shared" si="141"/>
        <v>0</v>
      </c>
      <c r="O1136" s="18">
        <f>SUMIFS(Receitas!$F:$F,Receitas!$J:$J,"&lt;="&amp;$A1136,Receitas!$L:$L,"&gt;="&amp;$A1136,Receitas!$C:$C,O$1,Receitas!$M:$M,"Mensal")+SUMIFS(Receitas!$F:$F,Receitas!$J:$J,"&lt;="&amp;$A1136,Receitas!$L:$L,"&gt;="&amp;$A1136,Receitas!$C:$C,O$1,Receitas!$M:$M,$B1136)</f>
        <v>0</v>
      </c>
      <c r="P1136" s="18">
        <f>SUMIFS(Receitas!$F:$F,Receitas!$J:$J,"&lt;="&amp;$A1136,Receitas!$L:$L,"&gt;="&amp;$A1136,Receitas!$C:$C,P$1,Receitas!$M:$M,"Mensal")+SUMIFS(Receitas!$F:$F,Receitas!$J:$J,"&lt;="&amp;$A1136,Receitas!$L:$L,"&gt;="&amp;$A1136,Receitas!$C:$C,P$1,Receitas!$M:$M,$B1136)</f>
        <v>0</v>
      </c>
      <c r="Q1136" s="18">
        <f>SUMIFS(Receitas!$F:$F,Receitas!$J:$J,"&lt;="&amp;$A1136,Receitas!$L:$L,"&gt;="&amp;$A1136,Receitas!$C:$C,Q$1,Receitas!$M:$M,"Mensal")+SUMIFS(Receitas!$F:$F,Receitas!$J:$J,"&lt;="&amp;$A1136,Receitas!$L:$L,"&gt;="&amp;$A1136,Receitas!$C:$C,Q$1,Receitas!$M:$M,$B1136)</f>
        <v>0</v>
      </c>
      <c r="R1136" s="18" cm="1">
        <f t="array" ref="R1136">(IF(AND(Membros!$F$2="Sim",A1136&lt;=MAX(Membros!$E$2:$E$5)),Membros!K$2,IF(AND(A1136&gt;=Membros!J$2,A1136&lt;=MAX(Membros!$E$2:$E$5)),Membros!K$2,0))+IF(AND(Membros!$F$3="Sim",A1136&lt;=MAX(Membros!$E$2:$E$5)),Membros!K$3,IF(AND(A1136&gt;=Membros!J$3,A1136&lt;=MAX(Membros!$E$2:$E$5)),Membros!K$3,0)))*IF(AND(COUNTIFS(Tabela3[Tipo],"Provedor",Tabela3[Simulação Seguro],"Sim")=2,A1136&gt;=MAX(IF(Tabela3[Tipo]="Dependente",Tabela3[Expectativa de Vida (Data)]))),0,1)</f>
        <v>0</v>
      </c>
      <c r="S1136" s="18">
        <f t="shared" si="142"/>
        <v>0</v>
      </c>
      <c r="U1136" s="18">
        <f t="shared" ca="1" si="145"/>
        <v>192456274.30479801</v>
      </c>
      <c r="V1136" s="18">
        <f>SUMIF(Imóveis!E:E,Dados!A:A,Imóveis!Z:Z)-SUMIF(Imóveis!E:E,Dados!A:A,Imóveis!Y:Y)</f>
        <v>0</v>
      </c>
      <c r="W1136" s="18">
        <f>-SUMIF(Projetos!N:N,A1136,Projetos!F:F)</f>
        <v>0</v>
      </c>
      <c r="X1136" s="18">
        <f t="shared" si="139"/>
        <v>0</v>
      </c>
      <c r="Y1136" s="26">
        <f ca="1">(U1136*((Indicadores_Economicos!D$2+1)^(1/12)-1))</f>
        <v>630051.76152540394</v>
      </c>
      <c r="Z1136" s="18">
        <f t="shared" ca="1" si="143"/>
        <v>193086326.0663234</v>
      </c>
      <c r="AA1136" s="18">
        <f ca="1">Auxiliar_Projetos!E1136</f>
        <v>1.5916449119409189E-8</v>
      </c>
      <c r="AB1136" s="18">
        <f ca="1">Auxiliar_Projetos!K1136</f>
        <v>1.2243422399545517E-8</v>
      </c>
      <c r="AC1136" s="18">
        <f ca="1">IF(Z1136-AA1136-AB1136&gt;Investimentos!$C$14,Investimentos!$C$14,IF(Z1136-AA1136-AB1136&lt;Investimentos!$C$14,Z1136-AA1136-AB1136,0))</f>
        <v>300000</v>
      </c>
      <c r="AD1136" s="18">
        <f t="shared" ca="1" si="144"/>
        <v>192786326.06632337</v>
      </c>
      <c r="AE1136" s="18"/>
    </row>
    <row r="1137" spans="1:31" x14ac:dyDescent="0.2">
      <c r="A1137" s="4">
        <v>80202</v>
      </c>
      <c r="B1137" s="5" t="str">
        <f t="shared" si="140"/>
        <v>agosto</v>
      </c>
      <c r="C1137" s="5" t="str">
        <f t="shared" si="146"/>
        <v>2119</v>
      </c>
      <c r="D1137" s="5">
        <f>SUMIFS(Despesas!$F:$F,Despesas!$J:$J,"&lt;="&amp;$A1137,Despesas!$L:$L,"&gt;="&amp;$A1137,Despesas!$C:$C,D$1,Despesas!$M:$M,"Mensal")+SUMIFS(Despesas!$F:$F,Despesas!$J:$J,"&lt;="&amp;$A1137,Despesas!$L:$L,"&gt;="&amp;$A1137,Despesas!$C:$C,D$1,Despesas!$M:$M,$B1137)</f>
        <v>0</v>
      </c>
      <c r="E1137" s="18">
        <f>SUMIFS(Despesas!$F:$F,Despesas!$J:$J,"&lt;="&amp;$A1137,Despesas!$L:$L,"&gt;="&amp;$A1137,Despesas!$C:$C,E$1,Despesas!$M:$M,"Mensal")+SUMIFS(Despesas!$F:$F,Despesas!$J:$J,"&lt;="&amp;$A1137,Despesas!$L:$L,"&gt;="&amp;$A1137,Despesas!$C:$C,E$1,Despesas!$M:$M,$B1137)</f>
        <v>0</v>
      </c>
      <c r="F1137" s="5">
        <f>SUMIFS(Despesas!$F:$F,Despesas!$J:$J,"&lt;="&amp;$A1137,Despesas!$L:$L,"&gt;="&amp;$A1137,Despesas!$C:$C,F$1,Despesas!$M:$M,"Mensal")+SUMIFS(Despesas!$F:$F,Despesas!$J:$J,"&lt;="&amp;$A1137,Despesas!$L:$L,"&gt;="&amp;$A1137,Despesas!$C:$C,F$1,Despesas!$M:$M,$B1137)</f>
        <v>0</v>
      </c>
      <c r="G1137" s="5">
        <f>SUMIFS(Despesas!$F:$F,Despesas!$J:$J,"&lt;="&amp;$A1137,Despesas!$L:$L,"&gt;="&amp;$A1137,Despesas!$C:$C,G$1,Despesas!$M:$M,"Mensal")+SUMIFS(Despesas!$F:$F,Despesas!$J:$J,"&lt;="&amp;$A1137,Despesas!$L:$L,"&gt;="&amp;$A1137,Despesas!$C:$C,G$1,Despesas!$M:$M,$B1137)</f>
        <v>0</v>
      </c>
      <c r="H1137" s="18">
        <f>SUMIFS(Despesas!$F:$F,Despesas!$J:$J,"&lt;="&amp;$A1137,Despesas!$L:$L,"&gt;="&amp;$A1137,Despesas!$C:$C,H$1,Despesas!$M:$M,"Mensal")+SUMIFS(Despesas!$F:$F,Despesas!$J:$J,"&lt;="&amp;$A1137,Despesas!$L:$L,"&gt;="&amp;$A1137,Despesas!$C:$C,H$1,Despesas!$M:$M,$B1137)</f>
        <v>0</v>
      </c>
      <c r="I1137" s="18">
        <f>IF(Imóveis!$F$2="PRICE",IF(AND(Dados!$A1137&gt;=Imóveis!$Q$2,Dados!$A1137&lt;=Imóveis!$T$2),Imóveis!$U$2,0),IF((IF(AND(Dados!$A1137&gt;=Imóveis!$Q$2,Dados!$A1137&lt;=Imóveis!$T$2),Imóveis!$S$2-(DATEDIF(Imóveis!$Q$2,Dados!$A1137,"m")),0))=0,0,((Imóveis!$N$2/Imóveis!$S$2)+((Imóveis!$N$2-((Imóveis!$S$2-(IF(AND(Dados!$A1137&gt;=Imóveis!$Q$2,Dados!$A1137&lt;=Imóveis!$T$2),Imóveis!$S$2-(DATEDIF(Imóveis!$Q$2,Dados!$A1137,"m")),)))*(Imóveis!$N$2/Imóveis!$S$2)))*Imóveis!$P$2))))*IF(AND(Imóveis!$E$2&gt;0,Dados!$A1137&gt;Imóveis!$E$2),0,1)</f>
        <v>0</v>
      </c>
      <c r="J1137" s="18">
        <f>IF(Imóveis!$F$3="PRICE",IF(AND(Dados!$A1137&gt;=Imóveis!$Q$3,Dados!$A1137&lt;=Imóveis!$T$3),Imóveis!$U$3,0),IF((IF(AND(Dados!$A1137&gt;=Imóveis!$Q$3,Dados!$A1137&lt;=Imóveis!$T$3),Imóveis!$S$3-(DATEDIF(Imóveis!$Q$3,Dados!$A1137,"m")),0))=0,0,((Imóveis!$N$3/Imóveis!$S$3)+((Imóveis!$N$3-((Imóveis!$S$3-(IF(AND(Dados!$A1137&gt;=Imóveis!$Q$3,Dados!$A1137&lt;=Imóveis!$T$3),Imóveis!$S$3-(DATEDIF(Imóveis!$Q$3,Dados!$A1137,"m")),)))*(Imóveis!$N$3/Imóveis!$S$3)))*Imóveis!$P$3))))*IF(AND(Imóveis!$E$3&gt;0,Dados!$A1137&gt;Imóveis!$E$3),0,1)</f>
        <v>0</v>
      </c>
      <c r="K1137" s="18">
        <f>IF(Imóveis!$F$4="PRICE",IF(AND(Dados!$A1137&gt;=Imóveis!$Q$4,Dados!$A1137&lt;=Imóveis!$T$4),Imóveis!$U$4,0),IF((IF(AND(Dados!$A1137&gt;=Imóveis!$Q$4,Dados!$A1137&lt;=Imóveis!$T$4),Imóveis!$S$4-(DATEDIF(Imóveis!$Q$4,Dados!$A1137,"m")),0))=0,0,((Imóveis!$N$4/Imóveis!$S$4)+((Imóveis!$N$4-((Imóveis!$S$4-(IF(AND(Dados!$A1137&gt;=Imóveis!$Q$4,Dados!$A1137&lt;=Imóveis!$T$4),Imóveis!$S$4-(DATEDIF(Imóveis!$Q$4,Dados!$A1137,"m")),)))*(Imóveis!$N$4/Imóveis!$S$4)))*Imóveis!$P$4))))*IF(AND(Imóveis!$E$4&gt;0,Dados!$A1137&gt;Imóveis!$E$4),0,1)</f>
        <v>0</v>
      </c>
      <c r="L1137" s="18">
        <f>IF(Imóveis!$F$5="PRICE",IF(AND(Dados!$A1137&gt;=Imóveis!$Q$5,Dados!$A1137&lt;=Imóveis!$T$5),Imóveis!$U$5,0),IF((IF(AND(Dados!$A1137&gt;=Imóveis!$Q$5,Dados!$A1137&lt;=Imóveis!$T$5),Imóveis!$S$5-(DATEDIF(Imóveis!$Q$5,Dados!$A1137,"m")),0))=0,0,((Imóveis!$N$5/Imóveis!$S$5)+((Imóveis!$N$5-((Imóveis!$S$5-(IF(AND(Dados!$A1137 &gt;=Imóveis!$Q$5,Dados!$A1137&lt;=Imóveis!$T$5),Imóveis!$S$5-(DATEDIF(Imóveis!$Q$5,Dados!$A1137,"m")),)))*(Imóveis!$N$5/Imóveis!$S$5)))*Imóveis!$P$5))))*IF(AND(Imóveis!$E$5&gt;0,Dados!$A1137&gt;Imóveis!$E$5),0,1)*Imóveis!$I$5</f>
        <v>0</v>
      </c>
      <c r="M1137" s="18">
        <f>IF(Imóveis!$F$6="PRICE",IF(AND(Dados!$A1137&gt;=Imóveis!$Q$6,Dados!$A1137&lt;=Imóveis!$T$6),Imóveis!$U$6,0),IF((IF(AND(Dados!$A1137&gt;=Imóveis!$Q$6,Dados!$A1137&lt;=Imóveis!$T$6),Imóveis!$S$6-(DATEDIF(Imóveis!$Q$6,Dados!$A1137,"m")),0))=0,0,((Imóveis!$N$6/Imóveis!$S$6)+((Imóveis!$N$6-((Imóveis!$S$6-(IF(AND(Dados!$A1137&gt;=Imóveis!$Q$6,Dados!$A1137&lt;=Imóveis!$T$6),Imóveis!$S$6-(DATEDIF(Imóveis!$Q$6,Dados!$A1137,"m")),)))*(Imóveis!$N$6/Imóveis!$S$6)))*Imóveis!$P$6))))*IF(AND(Imóveis!$E$6&gt;0,Dados!$A1137&gt;Imóveis!$E$6),0,1)*Imóveis!$I$6</f>
        <v>0</v>
      </c>
      <c r="N1137" s="18">
        <f t="shared" si="141"/>
        <v>0</v>
      </c>
      <c r="O1137" s="18">
        <f>SUMIFS(Receitas!$F:$F,Receitas!$J:$J,"&lt;="&amp;$A1137,Receitas!$L:$L,"&gt;="&amp;$A1137,Receitas!$C:$C,O$1,Receitas!$M:$M,"Mensal")+SUMIFS(Receitas!$F:$F,Receitas!$J:$J,"&lt;="&amp;$A1137,Receitas!$L:$L,"&gt;="&amp;$A1137,Receitas!$C:$C,O$1,Receitas!$M:$M,$B1137)</f>
        <v>0</v>
      </c>
      <c r="P1137" s="18">
        <f>SUMIFS(Receitas!$F:$F,Receitas!$J:$J,"&lt;="&amp;$A1137,Receitas!$L:$L,"&gt;="&amp;$A1137,Receitas!$C:$C,P$1,Receitas!$M:$M,"Mensal")+SUMIFS(Receitas!$F:$F,Receitas!$J:$J,"&lt;="&amp;$A1137,Receitas!$L:$L,"&gt;="&amp;$A1137,Receitas!$C:$C,P$1,Receitas!$M:$M,$B1137)</f>
        <v>0</v>
      </c>
      <c r="Q1137" s="18">
        <f>SUMIFS(Receitas!$F:$F,Receitas!$J:$J,"&lt;="&amp;$A1137,Receitas!$L:$L,"&gt;="&amp;$A1137,Receitas!$C:$C,Q$1,Receitas!$M:$M,"Mensal")+SUMIFS(Receitas!$F:$F,Receitas!$J:$J,"&lt;="&amp;$A1137,Receitas!$L:$L,"&gt;="&amp;$A1137,Receitas!$C:$C,Q$1,Receitas!$M:$M,$B1137)</f>
        <v>0</v>
      </c>
      <c r="R1137" s="18" cm="1">
        <f t="array" ref="R1137">(IF(AND(Membros!$F$2="Sim",A1137&lt;=MAX(Membros!$E$2:$E$5)),Membros!K$2,IF(AND(A1137&gt;=Membros!J$2,A1137&lt;=MAX(Membros!$E$2:$E$5)),Membros!K$2,0))+IF(AND(Membros!$F$3="Sim",A1137&lt;=MAX(Membros!$E$2:$E$5)),Membros!K$3,IF(AND(A1137&gt;=Membros!J$3,A1137&lt;=MAX(Membros!$E$2:$E$5)),Membros!K$3,0)))*IF(AND(COUNTIFS(Tabela3[Tipo],"Provedor",Tabela3[Simulação Seguro],"Sim")=2,A1137&gt;=MAX(IF(Tabela3[Tipo]="Dependente",Tabela3[Expectativa de Vida (Data)]))),0,1)</f>
        <v>0</v>
      </c>
      <c r="S1137" s="18">
        <f t="shared" si="142"/>
        <v>0</v>
      </c>
      <c r="U1137" s="18">
        <f t="shared" ca="1" si="145"/>
        <v>193086326.0663234</v>
      </c>
      <c r="V1137" s="18">
        <f>SUMIF(Imóveis!E:E,Dados!A:A,Imóveis!Z:Z)-SUMIF(Imóveis!E:E,Dados!A:A,Imóveis!Y:Y)</f>
        <v>0</v>
      </c>
      <c r="W1137" s="18">
        <f>-SUMIF(Projetos!N:N,A1137,Projetos!F:F)</f>
        <v>0</v>
      </c>
      <c r="X1137" s="18">
        <f t="shared" si="139"/>
        <v>0</v>
      </c>
      <c r="Y1137" s="26">
        <f ca="1">(U1137*((Indicadores_Economicos!D$2+1)^(1/12)-1))</f>
        <v>632114.38704195421</v>
      </c>
      <c r="Z1137" s="18">
        <f t="shared" ca="1" si="143"/>
        <v>193718440.45336536</v>
      </c>
      <c r="AA1137" s="18">
        <f ca="1">Auxiliar_Projetos!E1137</f>
        <v>1.5968555432082742E-8</v>
      </c>
      <c r="AB1137" s="18">
        <f ca="1">Auxiliar_Projetos!K1137</f>
        <v>1.2283504178525174E-8</v>
      </c>
      <c r="AC1137" s="18">
        <f ca="1">IF(Z1137-AA1137-AB1137&gt;Investimentos!$C$14,Investimentos!$C$14,IF(Z1137-AA1137-AB1137&lt;Investimentos!$C$14,Z1137-AA1137-AB1137,0))</f>
        <v>300000</v>
      </c>
      <c r="AD1137" s="18">
        <f t="shared" ca="1" si="144"/>
        <v>193418440.45336533</v>
      </c>
      <c r="AE1137" s="18"/>
    </row>
    <row r="1138" spans="1:31" x14ac:dyDescent="0.2">
      <c r="A1138" s="4">
        <v>80233</v>
      </c>
      <c r="B1138" s="5" t="str">
        <f t="shared" si="140"/>
        <v>setembro</v>
      </c>
      <c r="C1138" s="5" t="str">
        <f t="shared" si="146"/>
        <v>2119</v>
      </c>
      <c r="D1138" s="5">
        <f>SUMIFS(Despesas!$F:$F,Despesas!$J:$J,"&lt;="&amp;$A1138,Despesas!$L:$L,"&gt;="&amp;$A1138,Despesas!$C:$C,D$1,Despesas!$M:$M,"Mensal")+SUMIFS(Despesas!$F:$F,Despesas!$J:$J,"&lt;="&amp;$A1138,Despesas!$L:$L,"&gt;="&amp;$A1138,Despesas!$C:$C,D$1,Despesas!$M:$M,$B1138)</f>
        <v>0</v>
      </c>
      <c r="E1138" s="18">
        <f>SUMIFS(Despesas!$F:$F,Despesas!$J:$J,"&lt;="&amp;$A1138,Despesas!$L:$L,"&gt;="&amp;$A1138,Despesas!$C:$C,E$1,Despesas!$M:$M,"Mensal")+SUMIFS(Despesas!$F:$F,Despesas!$J:$J,"&lt;="&amp;$A1138,Despesas!$L:$L,"&gt;="&amp;$A1138,Despesas!$C:$C,E$1,Despesas!$M:$M,$B1138)</f>
        <v>0</v>
      </c>
      <c r="F1138" s="5">
        <f>SUMIFS(Despesas!$F:$F,Despesas!$J:$J,"&lt;="&amp;$A1138,Despesas!$L:$L,"&gt;="&amp;$A1138,Despesas!$C:$C,F$1,Despesas!$M:$M,"Mensal")+SUMIFS(Despesas!$F:$F,Despesas!$J:$J,"&lt;="&amp;$A1138,Despesas!$L:$L,"&gt;="&amp;$A1138,Despesas!$C:$C,F$1,Despesas!$M:$M,$B1138)</f>
        <v>0</v>
      </c>
      <c r="G1138" s="5">
        <f>SUMIFS(Despesas!$F:$F,Despesas!$J:$J,"&lt;="&amp;$A1138,Despesas!$L:$L,"&gt;="&amp;$A1138,Despesas!$C:$C,G$1,Despesas!$M:$M,"Mensal")+SUMIFS(Despesas!$F:$F,Despesas!$J:$J,"&lt;="&amp;$A1138,Despesas!$L:$L,"&gt;="&amp;$A1138,Despesas!$C:$C,G$1,Despesas!$M:$M,$B1138)</f>
        <v>0</v>
      </c>
      <c r="H1138" s="18">
        <f>SUMIFS(Despesas!$F:$F,Despesas!$J:$J,"&lt;="&amp;$A1138,Despesas!$L:$L,"&gt;="&amp;$A1138,Despesas!$C:$C,H$1,Despesas!$M:$M,"Mensal")+SUMIFS(Despesas!$F:$F,Despesas!$J:$J,"&lt;="&amp;$A1138,Despesas!$L:$L,"&gt;="&amp;$A1138,Despesas!$C:$C,H$1,Despesas!$M:$M,$B1138)</f>
        <v>0</v>
      </c>
      <c r="I1138" s="18">
        <f>IF(Imóveis!$F$2="PRICE",IF(AND(Dados!$A1138&gt;=Imóveis!$Q$2,Dados!$A1138&lt;=Imóveis!$T$2),Imóveis!$U$2,0),IF((IF(AND(Dados!$A1138&gt;=Imóveis!$Q$2,Dados!$A1138&lt;=Imóveis!$T$2),Imóveis!$S$2-(DATEDIF(Imóveis!$Q$2,Dados!$A1138,"m")),0))=0,0,((Imóveis!$N$2/Imóveis!$S$2)+((Imóveis!$N$2-((Imóveis!$S$2-(IF(AND(Dados!$A1138&gt;=Imóveis!$Q$2,Dados!$A1138&lt;=Imóveis!$T$2),Imóveis!$S$2-(DATEDIF(Imóveis!$Q$2,Dados!$A1138,"m")),)))*(Imóveis!$N$2/Imóveis!$S$2)))*Imóveis!$P$2))))*IF(AND(Imóveis!$E$2&gt;0,Dados!$A1138&gt;Imóveis!$E$2),0,1)</f>
        <v>0</v>
      </c>
      <c r="J1138" s="18">
        <f>IF(Imóveis!$F$3="PRICE",IF(AND(Dados!$A1138&gt;=Imóveis!$Q$3,Dados!$A1138&lt;=Imóveis!$T$3),Imóveis!$U$3,0),IF((IF(AND(Dados!$A1138&gt;=Imóveis!$Q$3,Dados!$A1138&lt;=Imóveis!$T$3),Imóveis!$S$3-(DATEDIF(Imóveis!$Q$3,Dados!$A1138,"m")),0))=0,0,((Imóveis!$N$3/Imóveis!$S$3)+((Imóveis!$N$3-((Imóveis!$S$3-(IF(AND(Dados!$A1138&gt;=Imóveis!$Q$3,Dados!$A1138&lt;=Imóveis!$T$3),Imóveis!$S$3-(DATEDIF(Imóveis!$Q$3,Dados!$A1138,"m")),)))*(Imóveis!$N$3/Imóveis!$S$3)))*Imóveis!$P$3))))*IF(AND(Imóveis!$E$3&gt;0,Dados!$A1138&gt;Imóveis!$E$3),0,1)</f>
        <v>0</v>
      </c>
      <c r="K1138" s="18">
        <f>IF(Imóveis!$F$4="PRICE",IF(AND(Dados!$A1138&gt;=Imóveis!$Q$4,Dados!$A1138&lt;=Imóveis!$T$4),Imóveis!$U$4,0),IF((IF(AND(Dados!$A1138&gt;=Imóveis!$Q$4,Dados!$A1138&lt;=Imóveis!$T$4),Imóveis!$S$4-(DATEDIF(Imóveis!$Q$4,Dados!$A1138,"m")),0))=0,0,((Imóveis!$N$4/Imóveis!$S$4)+((Imóveis!$N$4-((Imóveis!$S$4-(IF(AND(Dados!$A1138&gt;=Imóveis!$Q$4,Dados!$A1138&lt;=Imóveis!$T$4),Imóveis!$S$4-(DATEDIF(Imóveis!$Q$4,Dados!$A1138,"m")),)))*(Imóveis!$N$4/Imóveis!$S$4)))*Imóveis!$P$4))))*IF(AND(Imóveis!$E$4&gt;0,Dados!$A1138&gt;Imóveis!$E$4),0,1)</f>
        <v>0</v>
      </c>
      <c r="L1138" s="18">
        <f>IF(Imóveis!$F$5="PRICE",IF(AND(Dados!$A1138&gt;=Imóveis!$Q$5,Dados!$A1138&lt;=Imóveis!$T$5),Imóveis!$U$5,0),IF((IF(AND(Dados!$A1138&gt;=Imóveis!$Q$5,Dados!$A1138&lt;=Imóveis!$T$5),Imóveis!$S$5-(DATEDIF(Imóveis!$Q$5,Dados!$A1138,"m")),0))=0,0,((Imóveis!$N$5/Imóveis!$S$5)+((Imóveis!$N$5-((Imóveis!$S$5-(IF(AND(Dados!$A1138 &gt;=Imóveis!$Q$5,Dados!$A1138&lt;=Imóveis!$T$5),Imóveis!$S$5-(DATEDIF(Imóveis!$Q$5,Dados!$A1138,"m")),)))*(Imóveis!$N$5/Imóveis!$S$5)))*Imóveis!$P$5))))*IF(AND(Imóveis!$E$5&gt;0,Dados!$A1138&gt;Imóveis!$E$5),0,1)*Imóveis!$I$5</f>
        <v>0</v>
      </c>
      <c r="M1138" s="18">
        <f>IF(Imóveis!$F$6="PRICE",IF(AND(Dados!$A1138&gt;=Imóveis!$Q$6,Dados!$A1138&lt;=Imóveis!$T$6),Imóveis!$U$6,0),IF((IF(AND(Dados!$A1138&gt;=Imóveis!$Q$6,Dados!$A1138&lt;=Imóveis!$T$6),Imóveis!$S$6-(DATEDIF(Imóveis!$Q$6,Dados!$A1138,"m")),0))=0,0,((Imóveis!$N$6/Imóveis!$S$6)+((Imóveis!$N$6-((Imóveis!$S$6-(IF(AND(Dados!$A1138&gt;=Imóveis!$Q$6,Dados!$A1138&lt;=Imóveis!$T$6),Imóveis!$S$6-(DATEDIF(Imóveis!$Q$6,Dados!$A1138,"m")),)))*(Imóveis!$N$6/Imóveis!$S$6)))*Imóveis!$P$6))))*IF(AND(Imóveis!$E$6&gt;0,Dados!$A1138&gt;Imóveis!$E$6),0,1)*Imóveis!$I$6</f>
        <v>0</v>
      </c>
      <c r="N1138" s="18">
        <f t="shared" si="141"/>
        <v>0</v>
      </c>
      <c r="O1138" s="18">
        <f>SUMIFS(Receitas!$F:$F,Receitas!$J:$J,"&lt;="&amp;$A1138,Receitas!$L:$L,"&gt;="&amp;$A1138,Receitas!$C:$C,O$1,Receitas!$M:$M,"Mensal")+SUMIFS(Receitas!$F:$F,Receitas!$J:$J,"&lt;="&amp;$A1138,Receitas!$L:$L,"&gt;="&amp;$A1138,Receitas!$C:$C,O$1,Receitas!$M:$M,$B1138)</f>
        <v>0</v>
      </c>
      <c r="P1138" s="18">
        <f>SUMIFS(Receitas!$F:$F,Receitas!$J:$J,"&lt;="&amp;$A1138,Receitas!$L:$L,"&gt;="&amp;$A1138,Receitas!$C:$C,P$1,Receitas!$M:$M,"Mensal")+SUMIFS(Receitas!$F:$F,Receitas!$J:$J,"&lt;="&amp;$A1138,Receitas!$L:$L,"&gt;="&amp;$A1138,Receitas!$C:$C,P$1,Receitas!$M:$M,$B1138)</f>
        <v>0</v>
      </c>
      <c r="Q1138" s="18">
        <f>SUMIFS(Receitas!$F:$F,Receitas!$J:$J,"&lt;="&amp;$A1138,Receitas!$L:$L,"&gt;="&amp;$A1138,Receitas!$C:$C,Q$1,Receitas!$M:$M,"Mensal")+SUMIFS(Receitas!$F:$F,Receitas!$J:$J,"&lt;="&amp;$A1138,Receitas!$L:$L,"&gt;="&amp;$A1138,Receitas!$C:$C,Q$1,Receitas!$M:$M,$B1138)</f>
        <v>0</v>
      </c>
      <c r="R1138" s="18" cm="1">
        <f t="array" ref="R1138">(IF(AND(Membros!$F$2="Sim",A1138&lt;=MAX(Membros!$E$2:$E$5)),Membros!K$2,IF(AND(A1138&gt;=Membros!J$2,A1138&lt;=MAX(Membros!$E$2:$E$5)),Membros!K$2,0))+IF(AND(Membros!$F$3="Sim",A1138&lt;=MAX(Membros!$E$2:$E$5)),Membros!K$3,IF(AND(A1138&gt;=Membros!J$3,A1138&lt;=MAX(Membros!$E$2:$E$5)),Membros!K$3,0)))*IF(AND(COUNTIFS(Tabela3[Tipo],"Provedor",Tabela3[Simulação Seguro],"Sim")=2,A1138&gt;=MAX(IF(Tabela3[Tipo]="Dependente",Tabela3[Expectativa de Vida (Data)]))),0,1)</f>
        <v>0</v>
      </c>
      <c r="S1138" s="18">
        <f t="shared" si="142"/>
        <v>0</v>
      </c>
      <c r="U1138" s="18">
        <f t="shared" ca="1" si="145"/>
        <v>193718440.45336536</v>
      </c>
      <c r="V1138" s="18">
        <f>SUMIF(Imóveis!E:E,Dados!A:A,Imóveis!Z:Z)-SUMIF(Imóveis!E:E,Dados!A:A,Imóveis!Y:Y)</f>
        <v>0</v>
      </c>
      <c r="W1138" s="18">
        <f>-SUMIF(Projetos!N:N,A1138,Projetos!F:F)</f>
        <v>0</v>
      </c>
      <c r="X1138" s="18">
        <f t="shared" si="139"/>
        <v>0</v>
      </c>
      <c r="Y1138" s="26">
        <f ca="1">(U1138*((Indicadores_Economicos!D$2+1)^(1/12)-1))</f>
        <v>634183.76505771372</v>
      </c>
      <c r="Z1138" s="18">
        <f t="shared" ca="1" si="143"/>
        <v>194352624.21842307</v>
      </c>
      <c r="AA1138" s="18">
        <f ca="1">Auxiliar_Projetos!E1138</f>
        <v>1.6020832327265001E-8</v>
      </c>
      <c r="AB1138" s="18">
        <f ca="1">Auxiliar_Projetos!K1138</f>
        <v>1.2323717174819218E-8</v>
      </c>
      <c r="AC1138" s="18">
        <f ca="1">IF(Z1138-AA1138-AB1138&gt;Investimentos!$C$14,Investimentos!$C$14,IF(Z1138-AA1138-AB1138&lt;Investimentos!$C$14,Z1138-AA1138-AB1138,0))</f>
        <v>300000</v>
      </c>
      <c r="AD1138" s="18">
        <f t="shared" ca="1" si="144"/>
        <v>194052624.21842304</v>
      </c>
      <c r="AE1138" s="18"/>
    </row>
    <row r="1139" spans="1:31" x14ac:dyDescent="0.2">
      <c r="A1139" s="4">
        <v>80263</v>
      </c>
      <c r="B1139" s="5" t="str">
        <f t="shared" si="140"/>
        <v>outubro</v>
      </c>
      <c r="C1139" s="5" t="str">
        <f t="shared" si="146"/>
        <v>2119</v>
      </c>
      <c r="D1139" s="5">
        <f>SUMIFS(Despesas!$F:$F,Despesas!$J:$J,"&lt;="&amp;$A1139,Despesas!$L:$L,"&gt;="&amp;$A1139,Despesas!$C:$C,D$1,Despesas!$M:$M,"Mensal")+SUMIFS(Despesas!$F:$F,Despesas!$J:$J,"&lt;="&amp;$A1139,Despesas!$L:$L,"&gt;="&amp;$A1139,Despesas!$C:$C,D$1,Despesas!$M:$M,$B1139)</f>
        <v>0</v>
      </c>
      <c r="E1139" s="18">
        <f>SUMIFS(Despesas!$F:$F,Despesas!$J:$J,"&lt;="&amp;$A1139,Despesas!$L:$L,"&gt;="&amp;$A1139,Despesas!$C:$C,E$1,Despesas!$M:$M,"Mensal")+SUMIFS(Despesas!$F:$F,Despesas!$J:$J,"&lt;="&amp;$A1139,Despesas!$L:$L,"&gt;="&amp;$A1139,Despesas!$C:$C,E$1,Despesas!$M:$M,$B1139)</f>
        <v>0</v>
      </c>
      <c r="F1139" s="5">
        <f>SUMIFS(Despesas!$F:$F,Despesas!$J:$J,"&lt;="&amp;$A1139,Despesas!$L:$L,"&gt;="&amp;$A1139,Despesas!$C:$C,F$1,Despesas!$M:$M,"Mensal")+SUMIFS(Despesas!$F:$F,Despesas!$J:$J,"&lt;="&amp;$A1139,Despesas!$L:$L,"&gt;="&amp;$A1139,Despesas!$C:$C,F$1,Despesas!$M:$M,$B1139)</f>
        <v>0</v>
      </c>
      <c r="G1139" s="5">
        <f>SUMIFS(Despesas!$F:$F,Despesas!$J:$J,"&lt;="&amp;$A1139,Despesas!$L:$L,"&gt;="&amp;$A1139,Despesas!$C:$C,G$1,Despesas!$M:$M,"Mensal")+SUMIFS(Despesas!$F:$F,Despesas!$J:$J,"&lt;="&amp;$A1139,Despesas!$L:$L,"&gt;="&amp;$A1139,Despesas!$C:$C,G$1,Despesas!$M:$M,$B1139)</f>
        <v>0</v>
      </c>
      <c r="H1139" s="18">
        <f>SUMIFS(Despesas!$F:$F,Despesas!$J:$J,"&lt;="&amp;$A1139,Despesas!$L:$L,"&gt;="&amp;$A1139,Despesas!$C:$C,H$1,Despesas!$M:$M,"Mensal")+SUMIFS(Despesas!$F:$F,Despesas!$J:$J,"&lt;="&amp;$A1139,Despesas!$L:$L,"&gt;="&amp;$A1139,Despesas!$C:$C,H$1,Despesas!$M:$M,$B1139)</f>
        <v>0</v>
      </c>
      <c r="I1139" s="18">
        <f>IF(Imóveis!$F$2="PRICE",IF(AND(Dados!$A1139&gt;=Imóveis!$Q$2,Dados!$A1139&lt;=Imóveis!$T$2),Imóveis!$U$2,0),IF((IF(AND(Dados!$A1139&gt;=Imóveis!$Q$2,Dados!$A1139&lt;=Imóveis!$T$2),Imóveis!$S$2-(DATEDIF(Imóveis!$Q$2,Dados!$A1139,"m")),0))=0,0,((Imóveis!$N$2/Imóveis!$S$2)+((Imóveis!$N$2-((Imóveis!$S$2-(IF(AND(Dados!$A1139&gt;=Imóveis!$Q$2,Dados!$A1139&lt;=Imóveis!$T$2),Imóveis!$S$2-(DATEDIF(Imóveis!$Q$2,Dados!$A1139,"m")),)))*(Imóveis!$N$2/Imóveis!$S$2)))*Imóveis!$P$2))))*IF(AND(Imóveis!$E$2&gt;0,Dados!$A1139&gt;Imóveis!$E$2),0,1)</f>
        <v>0</v>
      </c>
      <c r="J1139" s="18">
        <f>IF(Imóveis!$F$3="PRICE",IF(AND(Dados!$A1139&gt;=Imóveis!$Q$3,Dados!$A1139&lt;=Imóveis!$T$3),Imóveis!$U$3,0),IF((IF(AND(Dados!$A1139&gt;=Imóveis!$Q$3,Dados!$A1139&lt;=Imóveis!$T$3),Imóveis!$S$3-(DATEDIF(Imóveis!$Q$3,Dados!$A1139,"m")),0))=0,0,((Imóveis!$N$3/Imóveis!$S$3)+((Imóveis!$N$3-((Imóveis!$S$3-(IF(AND(Dados!$A1139&gt;=Imóveis!$Q$3,Dados!$A1139&lt;=Imóveis!$T$3),Imóveis!$S$3-(DATEDIF(Imóveis!$Q$3,Dados!$A1139,"m")),)))*(Imóveis!$N$3/Imóveis!$S$3)))*Imóveis!$P$3))))*IF(AND(Imóveis!$E$3&gt;0,Dados!$A1139&gt;Imóveis!$E$3),0,1)</f>
        <v>0</v>
      </c>
      <c r="K1139" s="18">
        <f>IF(Imóveis!$F$4="PRICE",IF(AND(Dados!$A1139&gt;=Imóveis!$Q$4,Dados!$A1139&lt;=Imóveis!$T$4),Imóveis!$U$4,0),IF((IF(AND(Dados!$A1139&gt;=Imóveis!$Q$4,Dados!$A1139&lt;=Imóveis!$T$4),Imóveis!$S$4-(DATEDIF(Imóveis!$Q$4,Dados!$A1139,"m")),0))=0,0,((Imóveis!$N$4/Imóveis!$S$4)+((Imóveis!$N$4-((Imóveis!$S$4-(IF(AND(Dados!$A1139&gt;=Imóveis!$Q$4,Dados!$A1139&lt;=Imóveis!$T$4),Imóveis!$S$4-(DATEDIF(Imóveis!$Q$4,Dados!$A1139,"m")),)))*(Imóveis!$N$4/Imóveis!$S$4)))*Imóveis!$P$4))))*IF(AND(Imóveis!$E$4&gt;0,Dados!$A1139&gt;Imóveis!$E$4),0,1)</f>
        <v>0</v>
      </c>
      <c r="L1139" s="18">
        <f>IF(Imóveis!$F$5="PRICE",IF(AND(Dados!$A1139&gt;=Imóveis!$Q$5,Dados!$A1139&lt;=Imóveis!$T$5),Imóveis!$U$5,0),IF((IF(AND(Dados!$A1139&gt;=Imóveis!$Q$5,Dados!$A1139&lt;=Imóveis!$T$5),Imóveis!$S$5-(DATEDIF(Imóveis!$Q$5,Dados!$A1139,"m")),0))=0,0,((Imóveis!$N$5/Imóveis!$S$5)+((Imóveis!$N$5-((Imóveis!$S$5-(IF(AND(Dados!$A1139 &gt;=Imóveis!$Q$5,Dados!$A1139&lt;=Imóveis!$T$5),Imóveis!$S$5-(DATEDIF(Imóveis!$Q$5,Dados!$A1139,"m")),)))*(Imóveis!$N$5/Imóveis!$S$5)))*Imóveis!$P$5))))*IF(AND(Imóveis!$E$5&gt;0,Dados!$A1139&gt;Imóveis!$E$5),0,1)*Imóveis!$I$5</f>
        <v>0</v>
      </c>
      <c r="M1139" s="18">
        <f>IF(Imóveis!$F$6="PRICE",IF(AND(Dados!$A1139&gt;=Imóveis!$Q$6,Dados!$A1139&lt;=Imóveis!$T$6),Imóveis!$U$6,0),IF((IF(AND(Dados!$A1139&gt;=Imóveis!$Q$6,Dados!$A1139&lt;=Imóveis!$T$6),Imóveis!$S$6-(DATEDIF(Imóveis!$Q$6,Dados!$A1139,"m")),0))=0,0,((Imóveis!$N$6/Imóveis!$S$6)+((Imóveis!$N$6-((Imóveis!$S$6-(IF(AND(Dados!$A1139&gt;=Imóveis!$Q$6,Dados!$A1139&lt;=Imóveis!$T$6),Imóveis!$S$6-(DATEDIF(Imóveis!$Q$6,Dados!$A1139,"m")),)))*(Imóveis!$N$6/Imóveis!$S$6)))*Imóveis!$P$6))))*IF(AND(Imóveis!$E$6&gt;0,Dados!$A1139&gt;Imóveis!$E$6),0,1)*Imóveis!$I$6</f>
        <v>0</v>
      </c>
      <c r="N1139" s="18">
        <f t="shared" si="141"/>
        <v>0</v>
      </c>
      <c r="O1139" s="18">
        <f>SUMIFS(Receitas!$F:$F,Receitas!$J:$J,"&lt;="&amp;$A1139,Receitas!$L:$L,"&gt;="&amp;$A1139,Receitas!$C:$C,O$1,Receitas!$M:$M,"Mensal")+SUMIFS(Receitas!$F:$F,Receitas!$J:$J,"&lt;="&amp;$A1139,Receitas!$L:$L,"&gt;="&amp;$A1139,Receitas!$C:$C,O$1,Receitas!$M:$M,$B1139)</f>
        <v>0</v>
      </c>
      <c r="P1139" s="18">
        <f>SUMIFS(Receitas!$F:$F,Receitas!$J:$J,"&lt;="&amp;$A1139,Receitas!$L:$L,"&gt;="&amp;$A1139,Receitas!$C:$C,P$1,Receitas!$M:$M,"Mensal")+SUMIFS(Receitas!$F:$F,Receitas!$J:$J,"&lt;="&amp;$A1139,Receitas!$L:$L,"&gt;="&amp;$A1139,Receitas!$C:$C,P$1,Receitas!$M:$M,$B1139)</f>
        <v>0</v>
      </c>
      <c r="Q1139" s="18">
        <f>SUMIFS(Receitas!$F:$F,Receitas!$J:$J,"&lt;="&amp;$A1139,Receitas!$L:$L,"&gt;="&amp;$A1139,Receitas!$C:$C,Q$1,Receitas!$M:$M,"Mensal")+SUMIFS(Receitas!$F:$F,Receitas!$J:$J,"&lt;="&amp;$A1139,Receitas!$L:$L,"&gt;="&amp;$A1139,Receitas!$C:$C,Q$1,Receitas!$M:$M,$B1139)</f>
        <v>0</v>
      </c>
      <c r="R1139" s="18" cm="1">
        <f t="array" ref="R1139">(IF(AND(Membros!$F$2="Sim",A1139&lt;=MAX(Membros!$E$2:$E$5)),Membros!K$2,IF(AND(A1139&gt;=Membros!J$2,A1139&lt;=MAX(Membros!$E$2:$E$5)),Membros!K$2,0))+IF(AND(Membros!$F$3="Sim",A1139&lt;=MAX(Membros!$E$2:$E$5)),Membros!K$3,IF(AND(A1139&gt;=Membros!J$3,A1139&lt;=MAX(Membros!$E$2:$E$5)),Membros!K$3,0)))*IF(AND(COUNTIFS(Tabela3[Tipo],"Provedor",Tabela3[Simulação Seguro],"Sim")=2,A1139&gt;=MAX(IF(Tabela3[Tipo]="Dependente",Tabela3[Expectativa de Vida (Data)]))),0,1)</f>
        <v>0</v>
      </c>
      <c r="S1139" s="18">
        <f t="shared" si="142"/>
        <v>0</v>
      </c>
      <c r="U1139" s="18">
        <f t="shared" ca="1" si="145"/>
        <v>194352624.21842307</v>
      </c>
      <c r="V1139" s="18">
        <f>SUMIF(Imóveis!E:E,Dados!A:A,Imóveis!Z:Z)-SUMIF(Imóveis!E:E,Dados!A:A,Imóveis!Y:Y)</f>
        <v>0</v>
      </c>
      <c r="W1139" s="18">
        <f>-SUMIF(Projetos!N:N,A1139,Projetos!F:F)</f>
        <v>0</v>
      </c>
      <c r="X1139" s="18">
        <f t="shared" si="139"/>
        <v>0</v>
      </c>
      <c r="Y1139" s="26">
        <f ca="1">(U1139*((Indicadores_Economicos!D$2+1)^(1/12)-1))</f>
        <v>636259.91767860786</v>
      </c>
      <c r="Z1139" s="18">
        <f t="shared" ca="1" si="143"/>
        <v>194988884.13610166</v>
      </c>
      <c r="AA1139" s="18">
        <f ca="1">Auxiliar_Projetos!E1139</f>
        <v>1.6073280363398708E-8</v>
      </c>
      <c r="AB1139" s="18">
        <f ca="1">Auxiliar_Projetos!K1139</f>
        <v>1.2364061817998992E-8</v>
      </c>
      <c r="AC1139" s="18">
        <f ca="1">IF(Z1139-AA1139-AB1139&gt;Investimentos!$C$14,Investimentos!$C$14,IF(Z1139-AA1139-AB1139&lt;Investimentos!$C$14,Z1139-AA1139-AB1139,0))</f>
        <v>300000</v>
      </c>
      <c r="AD1139" s="18">
        <f t="shared" ca="1" si="144"/>
        <v>194688884.13610163</v>
      </c>
      <c r="AE1139" s="18"/>
    </row>
    <row r="1140" spans="1:31" x14ac:dyDescent="0.2">
      <c r="A1140" s="4">
        <v>80294</v>
      </c>
      <c r="B1140" s="5" t="str">
        <f t="shared" si="140"/>
        <v>novembro</v>
      </c>
      <c r="C1140" s="5" t="str">
        <f t="shared" si="146"/>
        <v>2119</v>
      </c>
      <c r="D1140" s="5">
        <f>SUMIFS(Despesas!$F:$F,Despesas!$J:$J,"&lt;="&amp;$A1140,Despesas!$L:$L,"&gt;="&amp;$A1140,Despesas!$C:$C,D$1,Despesas!$M:$M,"Mensal")+SUMIFS(Despesas!$F:$F,Despesas!$J:$J,"&lt;="&amp;$A1140,Despesas!$L:$L,"&gt;="&amp;$A1140,Despesas!$C:$C,D$1,Despesas!$M:$M,$B1140)</f>
        <v>0</v>
      </c>
      <c r="E1140" s="18">
        <f>SUMIFS(Despesas!$F:$F,Despesas!$J:$J,"&lt;="&amp;$A1140,Despesas!$L:$L,"&gt;="&amp;$A1140,Despesas!$C:$C,E$1,Despesas!$M:$M,"Mensal")+SUMIFS(Despesas!$F:$F,Despesas!$J:$J,"&lt;="&amp;$A1140,Despesas!$L:$L,"&gt;="&amp;$A1140,Despesas!$C:$C,E$1,Despesas!$M:$M,$B1140)</f>
        <v>0</v>
      </c>
      <c r="F1140" s="5">
        <f>SUMIFS(Despesas!$F:$F,Despesas!$J:$J,"&lt;="&amp;$A1140,Despesas!$L:$L,"&gt;="&amp;$A1140,Despesas!$C:$C,F$1,Despesas!$M:$M,"Mensal")+SUMIFS(Despesas!$F:$F,Despesas!$J:$J,"&lt;="&amp;$A1140,Despesas!$L:$L,"&gt;="&amp;$A1140,Despesas!$C:$C,F$1,Despesas!$M:$M,$B1140)</f>
        <v>0</v>
      </c>
      <c r="G1140" s="5">
        <f>SUMIFS(Despesas!$F:$F,Despesas!$J:$J,"&lt;="&amp;$A1140,Despesas!$L:$L,"&gt;="&amp;$A1140,Despesas!$C:$C,G$1,Despesas!$M:$M,"Mensal")+SUMIFS(Despesas!$F:$F,Despesas!$J:$J,"&lt;="&amp;$A1140,Despesas!$L:$L,"&gt;="&amp;$A1140,Despesas!$C:$C,G$1,Despesas!$M:$M,$B1140)</f>
        <v>0</v>
      </c>
      <c r="H1140" s="18">
        <f>SUMIFS(Despesas!$F:$F,Despesas!$J:$J,"&lt;="&amp;$A1140,Despesas!$L:$L,"&gt;="&amp;$A1140,Despesas!$C:$C,H$1,Despesas!$M:$M,"Mensal")+SUMIFS(Despesas!$F:$F,Despesas!$J:$J,"&lt;="&amp;$A1140,Despesas!$L:$L,"&gt;="&amp;$A1140,Despesas!$C:$C,H$1,Despesas!$M:$M,$B1140)</f>
        <v>0</v>
      </c>
      <c r="I1140" s="18">
        <f>IF(Imóveis!$F$2="PRICE",IF(AND(Dados!$A1140&gt;=Imóveis!$Q$2,Dados!$A1140&lt;=Imóveis!$T$2),Imóveis!$U$2,0),IF((IF(AND(Dados!$A1140&gt;=Imóveis!$Q$2,Dados!$A1140&lt;=Imóveis!$T$2),Imóveis!$S$2-(DATEDIF(Imóveis!$Q$2,Dados!$A1140,"m")),0))=0,0,((Imóveis!$N$2/Imóveis!$S$2)+((Imóveis!$N$2-((Imóveis!$S$2-(IF(AND(Dados!$A1140&gt;=Imóveis!$Q$2,Dados!$A1140&lt;=Imóveis!$T$2),Imóveis!$S$2-(DATEDIF(Imóveis!$Q$2,Dados!$A1140,"m")),)))*(Imóveis!$N$2/Imóveis!$S$2)))*Imóveis!$P$2))))*IF(AND(Imóveis!$E$2&gt;0,Dados!$A1140&gt;Imóveis!$E$2),0,1)</f>
        <v>0</v>
      </c>
      <c r="J1140" s="18">
        <f>IF(Imóveis!$F$3="PRICE",IF(AND(Dados!$A1140&gt;=Imóveis!$Q$3,Dados!$A1140&lt;=Imóveis!$T$3),Imóveis!$U$3,0),IF((IF(AND(Dados!$A1140&gt;=Imóveis!$Q$3,Dados!$A1140&lt;=Imóveis!$T$3),Imóveis!$S$3-(DATEDIF(Imóveis!$Q$3,Dados!$A1140,"m")),0))=0,0,((Imóveis!$N$3/Imóveis!$S$3)+((Imóveis!$N$3-((Imóveis!$S$3-(IF(AND(Dados!$A1140&gt;=Imóveis!$Q$3,Dados!$A1140&lt;=Imóveis!$T$3),Imóveis!$S$3-(DATEDIF(Imóveis!$Q$3,Dados!$A1140,"m")),)))*(Imóveis!$N$3/Imóveis!$S$3)))*Imóveis!$P$3))))*IF(AND(Imóveis!$E$3&gt;0,Dados!$A1140&gt;Imóveis!$E$3),0,1)</f>
        <v>0</v>
      </c>
      <c r="K1140" s="18">
        <f>IF(Imóveis!$F$4="PRICE",IF(AND(Dados!$A1140&gt;=Imóveis!$Q$4,Dados!$A1140&lt;=Imóveis!$T$4),Imóveis!$U$4,0),IF((IF(AND(Dados!$A1140&gt;=Imóveis!$Q$4,Dados!$A1140&lt;=Imóveis!$T$4),Imóveis!$S$4-(DATEDIF(Imóveis!$Q$4,Dados!$A1140,"m")),0))=0,0,((Imóveis!$N$4/Imóveis!$S$4)+((Imóveis!$N$4-((Imóveis!$S$4-(IF(AND(Dados!$A1140&gt;=Imóveis!$Q$4,Dados!$A1140&lt;=Imóveis!$T$4),Imóveis!$S$4-(DATEDIF(Imóveis!$Q$4,Dados!$A1140,"m")),)))*(Imóveis!$N$4/Imóveis!$S$4)))*Imóveis!$P$4))))*IF(AND(Imóveis!$E$4&gt;0,Dados!$A1140&gt;Imóveis!$E$4),0,1)</f>
        <v>0</v>
      </c>
      <c r="L1140" s="18">
        <f>IF(Imóveis!$F$5="PRICE",IF(AND(Dados!$A1140&gt;=Imóveis!$Q$5,Dados!$A1140&lt;=Imóveis!$T$5),Imóveis!$U$5,0),IF((IF(AND(Dados!$A1140&gt;=Imóveis!$Q$5,Dados!$A1140&lt;=Imóveis!$T$5),Imóveis!$S$5-(DATEDIF(Imóveis!$Q$5,Dados!$A1140,"m")),0))=0,0,((Imóveis!$N$5/Imóveis!$S$5)+((Imóveis!$N$5-((Imóveis!$S$5-(IF(AND(Dados!$A1140 &gt;=Imóveis!$Q$5,Dados!$A1140&lt;=Imóveis!$T$5),Imóveis!$S$5-(DATEDIF(Imóveis!$Q$5,Dados!$A1140,"m")),)))*(Imóveis!$N$5/Imóveis!$S$5)))*Imóveis!$P$5))))*IF(AND(Imóveis!$E$5&gt;0,Dados!$A1140&gt;Imóveis!$E$5),0,1)*Imóveis!$I$5</f>
        <v>0</v>
      </c>
      <c r="M1140" s="18">
        <f>IF(Imóveis!$F$6="PRICE",IF(AND(Dados!$A1140&gt;=Imóveis!$Q$6,Dados!$A1140&lt;=Imóveis!$T$6),Imóveis!$U$6,0),IF((IF(AND(Dados!$A1140&gt;=Imóveis!$Q$6,Dados!$A1140&lt;=Imóveis!$T$6),Imóveis!$S$6-(DATEDIF(Imóveis!$Q$6,Dados!$A1140,"m")),0))=0,0,((Imóveis!$N$6/Imóveis!$S$6)+((Imóveis!$N$6-((Imóveis!$S$6-(IF(AND(Dados!$A1140&gt;=Imóveis!$Q$6,Dados!$A1140&lt;=Imóveis!$T$6),Imóveis!$S$6-(DATEDIF(Imóveis!$Q$6,Dados!$A1140,"m")),)))*(Imóveis!$N$6/Imóveis!$S$6)))*Imóveis!$P$6))))*IF(AND(Imóveis!$E$6&gt;0,Dados!$A1140&gt;Imóveis!$E$6),0,1)*Imóveis!$I$6</f>
        <v>0</v>
      </c>
      <c r="N1140" s="18">
        <f t="shared" si="141"/>
        <v>0</v>
      </c>
      <c r="O1140" s="18">
        <f>SUMIFS(Receitas!$F:$F,Receitas!$J:$J,"&lt;="&amp;$A1140,Receitas!$L:$L,"&gt;="&amp;$A1140,Receitas!$C:$C,O$1,Receitas!$M:$M,"Mensal")+SUMIFS(Receitas!$F:$F,Receitas!$J:$J,"&lt;="&amp;$A1140,Receitas!$L:$L,"&gt;="&amp;$A1140,Receitas!$C:$C,O$1,Receitas!$M:$M,$B1140)</f>
        <v>0</v>
      </c>
      <c r="P1140" s="18">
        <f>SUMIFS(Receitas!$F:$F,Receitas!$J:$J,"&lt;="&amp;$A1140,Receitas!$L:$L,"&gt;="&amp;$A1140,Receitas!$C:$C,P$1,Receitas!$M:$M,"Mensal")+SUMIFS(Receitas!$F:$F,Receitas!$J:$J,"&lt;="&amp;$A1140,Receitas!$L:$L,"&gt;="&amp;$A1140,Receitas!$C:$C,P$1,Receitas!$M:$M,$B1140)</f>
        <v>0</v>
      </c>
      <c r="Q1140" s="18">
        <f>SUMIFS(Receitas!$F:$F,Receitas!$J:$J,"&lt;="&amp;$A1140,Receitas!$L:$L,"&gt;="&amp;$A1140,Receitas!$C:$C,Q$1,Receitas!$M:$M,"Mensal")+SUMIFS(Receitas!$F:$F,Receitas!$J:$J,"&lt;="&amp;$A1140,Receitas!$L:$L,"&gt;="&amp;$A1140,Receitas!$C:$C,Q$1,Receitas!$M:$M,$B1140)</f>
        <v>0</v>
      </c>
      <c r="R1140" s="18" cm="1">
        <f t="array" ref="R1140">(IF(AND(Membros!$F$2="Sim",A1140&lt;=MAX(Membros!$E$2:$E$5)),Membros!K$2,IF(AND(A1140&gt;=Membros!J$2,A1140&lt;=MAX(Membros!$E$2:$E$5)),Membros!K$2,0))+IF(AND(Membros!$F$3="Sim",A1140&lt;=MAX(Membros!$E$2:$E$5)),Membros!K$3,IF(AND(A1140&gt;=Membros!J$3,A1140&lt;=MAX(Membros!$E$2:$E$5)),Membros!K$3,0)))*IF(AND(COUNTIFS(Tabela3[Tipo],"Provedor",Tabela3[Simulação Seguro],"Sim")=2,A1140&gt;=MAX(IF(Tabela3[Tipo]="Dependente",Tabela3[Expectativa de Vida (Data)]))),0,1)</f>
        <v>0</v>
      </c>
      <c r="S1140" s="18">
        <f t="shared" si="142"/>
        <v>0</v>
      </c>
      <c r="U1140" s="18">
        <f t="shared" ca="1" si="145"/>
        <v>194988884.13610166</v>
      </c>
      <c r="V1140" s="18">
        <f>SUMIF(Imóveis!E:E,Dados!A:A,Imóveis!Z:Z)-SUMIF(Imóveis!E:E,Dados!A:A,Imóveis!Y:Y)</f>
        <v>0</v>
      </c>
      <c r="W1140" s="18">
        <f>-SUMIF(Projetos!N:N,A1140,Projetos!F:F)</f>
        <v>0</v>
      </c>
      <c r="X1140" s="18">
        <f t="shared" si="139"/>
        <v>0</v>
      </c>
      <c r="Y1140" s="26">
        <f ca="1">(U1140*((Indicadores_Economicos!D$2+1)^(1/12)-1))</f>
        <v>638342.86708293087</v>
      </c>
      <c r="Z1140" s="18">
        <f t="shared" ca="1" si="143"/>
        <v>195627227.00318459</v>
      </c>
      <c r="AA1140" s="18">
        <f ca="1">Auxiliar_Projetos!E1140</f>
        <v>1.6125900100754803E-8</v>
      </c>
      <c r="AB1140" s="18">
        <f ca="1">Auxiliar_Projetos!K1140</f>
        <v>1.2404538539042142E-8</v>
      </c>
      <c r="AC1140" s="18">
        <f ca="1">IF(Z1140-AA1140-AB1140&gt;Investimentos!$C$14,Investimentos!$C$14,IF(Z1140-AA1140-AB1140&lt;Investimentos!$C$14,Z1140-AA1140-AB1140,0))</f>
        <v>300000</v>
      </c>
      <c r="AD1140" s="18">
        <f t="shared" ca="1" si="144"/>
        <v>195327227.00318456</v>
      </c>
      <c r="AE1140" s="18"/>
    </row>
    <row r="1141" spans="1:31" x14ac:dyDescent="0.2">
      <c r="A1141" s="4">
        <v>80324</v>
      </c>
      <c r="B1141" s="5" t="str">
        <f t="shared" si="140"/>
        <v>dezembro</v>
      </c>
      <c r="C1141" s="5" t="str">
        <f t="shared" si="146"/>
        <v>2119</v>
      </c>
      <c r="D1141" s="5">
        <f>SUMIFS(Despesas!$F:$F,Despesas!$J:$J,"&lt;="&amp;$A1141,Despesas!$L:$L,"&gt;="&amp;$A1141,Despesas!$C:$C,D$1,Despesas!$M:$M,"Mensal")+SUMIFS(Despesas!$F:$F,Despesas!$J:$J,"&lt;="&amp;$A1141,Despesas!$L:$L,"&gt;="&amp;$A1141,Despesas!$C:$C,D$1,Despesas!$M:$M,$B1141)</f>
        <v>0</v>
      </c>
      <c r="E1141" s="18">
        <f>SUMIFS(Despesas!$F:$F,Despesas!$J:$J,"&lt;="&amp;$A1141,Despesas!$L:$L,"&gt;="&amp;$A1141,Despesas!$C:$C,E$1,Despesas!$M:$M,"Mensal")+SUMIFS(Despesas!$F:$F,Despesas!$J:$J,"&lt;="&amp;$A1141,Despesas!$L:$L,"&gt;="&amp;$A1141,Despesas!$C:$C,E$1,Despesas!$M:$M,$B1141)</f>
        <v>0</v>
      </c>
      <c r="F1141" s="5">
        <f>SUMIFS(Despesas!$F:$F,Despesas!$J:$J,"&lt;="&amp;$A1141,Despesas!$L:$L,"&gt;="&amp;$A1141,Despesas!$C:$C,F$1,Despesas!$M:$M,"Mensal")+SUMIFS(Despesas!$F:$F,Despesas!$J:$J,"&lt;="&amp;$A1141,Despesas!$L:$L,"&gt;="&amp;$A1141,Despesas!$C:$C,F$1,Despesas!$M:$M,$B1141)</f>
        <v>0</v>
      </c>
      <c r="G1141" s="5">
        <f>SUMIFS(Despesas!$F:$F,Despesas!$J:$J,"&lt;="&amp;$A1141,Despesas!$L:$L,"&gt;="&amp;$A1141,Despesas!$C:$C,G$1,Despesas!$M:$M,"Mensal")+SUMIFS(Despesas!$F:$F,Despesas!$J:$J,"&lt;="&amp;$A1141,Despesas!$L:$L,"&gt;="&amp;$A1141,Despesas!$C:$C,G$1,Despesas!$M:$M,$B1141)</f>
        <v>0</v>
      </c>
      <c r="H1141" s="18">
        <f>SUMIFS(Despesas!$F:$F,Despesas!$J:$J,"&lt;="&amp;$A1141,Despesas!$L:$L,"&gt;="&amp;$A1141,Despesas!$C:$C,H$1,Despesas!$M:$M,"Mensal")+SUMIFS(Despesas!$F:$F,Despesas!$J:$J,"&lt;="&amp;$A1141,Despesas!$L:$L,"&gt;="&amp;$A1141,Despesas!$C:$C,H$1,Despesas!$M:$M,$B1141)</f>
        <v>0</v>
      </c>
      <c r="I1141" s="18">
        <f>IF(Imóveis!$F$2="PRICE",IF(AND(Dados!$A1141&gt;=Imóveis!$Q$2,Dados!$A1141&lt;=Imóveis!$T$2),Imóveis!$U$2,0),IF((IF(AND(Dados!$A1141&gt;=Imóveis!$Q$2,Dados!$A1141&lt;=Imóveis!$T$2),Imóveis!$S$2-(DATEDIF(Imóveis!$Q$2,Dados!$A1141,"m")),0))=0,0,((Imóveis!$N$2/Imóveis!$S$2)+((Imóveis!$N$2-((Imóveis!$S$2-(IF(AND(Dados!$A1141&gt;=Imóveis!$Q$2,Dados!$A1141&lt;=Imóveis!$T$2),Imóveis!$S$2-(DATEDIF(Imóveis!$Q$2,Dados!$A1141,"m")),)))*(Imóveis!$N$2/Imóveis!$S$2)))*Imóveis!$P$2))))*IF(AND(Imóveis!$E$2&gt;0,Dados!$A1141&gt;Imóveis!$E$2),0,1)</f>
        <v>0</v>
      </c>
      <c r="J1141" s="18">
        <f>IF(Imóveis!$F$3="PRICE",IF(AND(Dados!$A1141&gt;=Imóveis!$Q$3,Dados!$A1141&lt;=Imóveis!$T$3),Imóveis!$U$3,0),IF((IF(AND(Dados!$A1141&gt;=Imóveis!$Q$3,Dados!$A1141&lt;=Imóveis!$T$3),Imóveis!$S$3-(DATEDIF(Imóveis!$Q$3,Dados!$A1141,"m")),0))=0,0,((Imóveis!$N$3/Imóveis!$S$3)+((Imóveis!$N$3-((Imóveis!$S$3-(IF(AND(Dados!$A1141&gt;=Imóveis!$Q$3,Dados!$A1141&lt;=Imóveis!$T$3),Imóveis!$S$3-(DATEDIF(Imóveis!$Q$3,Dados!$A1141,"m")),)))*(Imóveis!$N$3/Imóveis!$S$3)))*Imóveis!$P$3))))*IF(AND(Imóveis!$E$3&gt;0,Dados!$A1141&gt;Imóveis!$E$3),0,1)</f>
        <v>0</v>
      </c>
      <c r="K1141" s="18">
        <f>IF(Imóveis!$F$4="PRICE",IF(AND(Dados!$A1141&gt;=Imóveis!$Q$4,Dados!$A1141&lt;=Imóveis!$T$4),Imóveis!$U$4,0),IF((IF(AND(Dados!$A1141&gt;=Imóveis!$Q$4,Dados!$A1141&lt;=Imóveis!$T$4),Imóveis!$S$4-(DATEDIF(Imóveis!$Q$4,Dados!$A1141,"m")),0))=0,0,((Imóveis!$N$4/Imóveis!$S$4)+((Imóveis!$N$4-((Imóveis!$S$4-(IF(AND(Dados!$A1141&gt;=Imóveis!$Q$4,Dados!$A1141&lt;=Imóveis!$T$4),Imóveis!$S$4-(DATEDIF(Imóveis!$Q$4,Dados!$A1141,"m")),)))*(Imóveis!$N$4/Imóveis!$S$4)))*Imóveis!$P$4))))*IF(AND(Imóveis!$E$4&gt;0,Dados!$A1141&gt;Imóveis!$E$4),0,1)</f>
        <v>0</v>
      </c>
      <c r="L1141" s="18">
        <f>IF(Imóveis!$F$5="PRICE",IF(AND(Dados!$A1141&gt;=Imóveis!$Q$5,Dados!$A1141&lt;=Imóveis!$T$5),Imóveis!$U$5,0),IF((IF(AND(Dados!$A1141&gt;=Imóveis!$Q$5,Dados!$A1141&lt;=Imóveis!$T$5),Imóveis!$S$5-(DATEDIF(Imóveis!$Q$5,Dados!$A1141,"m")),0))=0,0,((Imóveis!$N$5/Imóveis!$S$5)+((Imóveis!$N$5-((Imóveis!$S$5-(IF(AND(Dados!$A1141 &gt;=Imóveis!$Q$5,Dados!$A1141&lt;=Imóveis!$T$5),Imóveis!$S$5-(DATEDIF(Imóveis!$Q$5,Dados!$A1141,"m")),)))*(Imóveis!$N$5/Imóveis!$S$5)))*Imóveis!$P$5))))*IF(AND(Imóveis!$E$5&gt;0,Dados!$A1141&gt;Imóveis!$E$5),0,1)*Imóveis!$I$5</f>
        <v>0</v>
      </c>
      <c r="M1141" s="18">
        <f>IF(Imóveis!$F$6="PRICE",IF(AND(Dados!$A1141&gt;=Imóveis!$Q$6,Dados!$A1141&lt;=Imóveis!$T$6),Imóveis!$U$6,0),IF((IF(AND(Dados!$A1141&gt;=Imóveis!$Q$6,Dados!$A1141&lt;=Imóveis!$T$6),Imóveis!$S$6-(DATEDIF(Imóveis!$Q$6,Dados!$A1141,"m")),0))=0,0,((Imóveis!$N$6/Imóveis!$S$6)+((Imóveis!$N$6-((Imóveis!$S$6-(IF(AND(Dados!$A1141&gt;=Imóveis!$Q$6,Dados!$A1141&lt;=Imóveis!$T$6),Imóveis!$S$6-(DATEDIF(Imóveis!$Q$6,Dados!$A1141,"m")),)))*(Imóveis!$N$6/Imóveis!$S$6)))*Imóveis!$P$6))))*IF(AND(Imóveis!$E$6&gt;0,Dados!$A1141&gt;Imóveis!$E$6),0,1)*Imóveis!$I$6</f>
        <v>0</v>
      </c>
      <c r="N1141" s="18">
        <f t="shared" si="141"/>
        <v>0</v>
      </c>
      <c r="O1141" s="18">
        <f>SUMIFS(Receitas!$F:$F,Receitas!$J:$J,"&lt;="&amp;$A1141,Receitas!$L:$L,"&gt;="&amp;$A1141,Receitas!$C:$C,O$1,Receitas!$M:$M,"Mensal")+SUMIFS(Receitas!$F:$F,Receitas!$J:$J,"&lt;="&amp;$A1141,Receitas!$L:$L,"&gt;="&amp;$A1141,Receitas!$C:$C,O$1,Receitas!$M:$M,$B1141)</f>
        <v>0</v>
      </c>
      <c r="P1141" s="18">
        <f>SUMIFS(Receitas!$F:$F,Receitas!$J:$J,"&lt;="&amp;$A1141,Receitas!$L:$L,"&gt;="&amp;$A1141,Receitas!$C:$C,P$1,Receitas!$M:$M,"Mensal")+SUMIFS(Receitas!$F:$F,Receitas!$J:$J,"&lt;="&amp;$A1141,Receitas!$L:$L,"&gt;="&amp;$A1141,Receitas!$C:$C,P$1,Receitas!$M:$M,$B1141)</f>
        <v>0</v>
      </c>
      <c r="Q1141" s="18">
        <f>SUMIFS(Receitas!$F:$F,Receitas!$J:$J,"&lt;="&amp;$A1141,Receitas!$L:$L,"&gt;="&amp;$A1141,Receitas!$C:$C,Q$1,Receitas!$M:$M,"Mensal")+SUMIFS(Receitas!$F:$F,Receitas!$J:$J,"&lt;="&amp;$A1141,Receitas!$L:$L,"&gt;="&amp;$A1141,Receitas!$C:$C,Q$1,Receitas!$M:$M,$B1141)</f>
        <v>0</v>
      </c>
      <c r="R1141" s="18" cm="1">
        <f t="array" ref="R1141">(IF(AND(Membros!$F$2="Sim",A1141&lt;=MAX(Membros!$E$2:$E$5)),Membros!K$2,IF(AND(A1141&gt;=Membros!J$2,A1141&lt;=MAX(Membros!$E$2:$E$5)),Membros!K$2,0))+IF(AND(Membros!$F$3="Sim",A1141&lt;=MAX(Membros!$E$2:$E$5)),Membros!K$3,IF(AND(A1141&gt;=Membros!J$3,A1141&lt;=MAX(Membros!$E$2:$E$5)),Membros!K$3,0)))*IF(AND(COUNTIFS(Tabela3[Tipo],"Provedor",Tabela3[Simulação Seguro],"Sim")=2,A1141&gt;=MAX(IF(Tabela3[Tipo]="Dependente",Tabela3[Expectativa de Vida (Data)]))),0,1)</f>
        <v>0</v>
      </c>
      <c r="S1141" s="18">
        <f t="shared" si="142"/>
        <v>0</v>
      </c>
      <c r="U1141" s="18">
        <f t="shared" ca="1" si="145"/>
        <v>195627227.00318459</v>
      </c>
      <c r="V1141" s="18">
        <f>SUMIF(Imóveis!E:E,Dados!A:A,Imóveis!Z:Z)-SUMIF(Imóveis!E:E,Dados!A:A,Imóveis!Y:Y)</f>
        <v>0</v>
      </c>
      <c r="W1141" s="18">
        <f>-SUMIF(Projetos!N:N,A1141,Projetos!F:F)</f>
        <v>0</v>
      </c>
      <c r="X1141" s="18">
        <f t="shared" si="139"/>
        <v>0</v>
      </c>
      <c r="Y1141" s="26">
        <f ca="1">(U1141*((Indicadores_Economicos!D$2+1)^(1/12)-1))</f>
        <v>640432.63552158314</v>
      </c>
      <c r="Z1141" s="18">
        <f t="shared" ca="1" si="143"/>
        <v>196267659.63870618</v>
      </c>
      <c r="AA1141" s="18">
        <f ca="1">Auxiliar_Projetos!E1141</f>
        <v>1.6178692101438409E-8</v>
      </c>
      <c r="AB1141" s="18">
        <f ca="1">Auxiliar_Projetos!K1141</f>
        <v>1.2445147770337223E-8</v>
      </c>
      <c r="AC1141" s="18">
        <f ca="1">IF(Z1141-AA1141-AB1141&gt;Investimentos!$C$14,Investimentos!$C$14,IF(Z1141-AA1141-AB1141&lt;Investimentos!$C$14,Z1141-AA1141-AB1141,0))</f>
        <v>300000</v>
      </c>
      <c r="AD1141" s="18">
        <f t="shared" ca="1" si="144"/>
        <v>195967659.63870615</v>
      </c>
      <c r="AE1141" s="18"/>
    </row>
    <row r="1142" spans="1:31" x14ac:dyDescent="0.2">
      <c r="A1142" s="4">
        <v>80355</v>
      </c>
      <c r="B1142" s="5" t="str">
        <f t="shared" si="140"/>
        <v>janeiro</v>
      </c>
      <c r="C1142" s="5" t="str">
        <f t="shared" si="146"/>
        <v>2120</v>
      </c>
      <c r="D1142" s="5">
        <f>SUMIFS(Despesas!$F:$F,Despesas!$J:$J,"&lt;="&amp;$A1142,Despesas!$L:$L,"&gt;="&amp;$A1142,Despesas!$C:$C,D$1,Despesas!$M:$M,"Mensal")+SUMIFS(Despesas!$F:$F,Despesas!$J:$J,"&lt;="&amp;$A1142,Despesas!$L:$L,"&gt;="&amp;$A1142,Despesas!$C:$C,D$1,Despesas!$M:$M,$B1142)</f>
        <v>0</v>
      </c>
      <c r="E1142" s="18">
        <f>SUMIFS(Despesas!$F:$F,Despesas!$J:$J,"&lt;="&amp;$A1142,Despesas!$L:$L,"&gt;="&amp;$A1142,Despesas!$C:$C,E$1,Despesas!$M:$M,"Mensal")+SUMIFS(Despesas!$F:$F,Despesas!$J:$J,"&lt;="&amp;$A1142,Despesas!$L:$L,"&gt;="&amp;$A1142,Despesas!$C:$C,E$1,Despesas!$M:$M,$B1142)</f>
        <v>0</v>
      </c>
      <c r="F1142" s="5">
        <f>SUMIFS(Despesas!$F:$F,Despesas!$J:$J,"&lt;="&amp;$A1142,Despesas!$L:$L,"&gt;="&amp;$A1142,Despesas!$C:$C,F$1,Despesas!$M:$M,"Mensal")+SUMIFS(Despesas!$F:$F,Despesas!$J:$J,"&lt;="&amp;$A1142,Despesas!$L:$L,"&gt;="&amp;$A1142,Despesas!$C:$C,F$1,Despesas!$M:$M,$B1142)</f>
        <v>0</v>
      </c>
      <c r="G1142" s="5">
        <f>SUMIFS(Despesas!$F:$F,Despesas!$J:$J,"&lt;="&amp;$A1142,Despesas!$L:$L,"&gt;="&amp;$A1142,Despesas!$C:$C,G$1,Despesas!$M:$M,"Mensal")+SUMIFS(Despesas!$F:$F,Despesas!$J:$J,"&lt;="&amp;$A1142,Despesas!$L:$L,"&gt;="&amp;$A1142,Despesas!$C:$C,G$1,Despesas!$M:$M,$B1142)</f>
        <v>0</v>
      </c>
      <c r="H1142" s="18">
        <f>SUMIFS(Despesas!$F:$F,Despesas!$J:$J,"&lt;="&amp;$A1142,Despesas!$L:$L,"&gt;="&amp;$A1142,Despesas!$C:$C,H$1,Despesas!$M:$M,"Mensal")+SUMIFS(Despesas!$F:$F,Despesas!$J:$J,"&lt;="&amp;$A1142,Despesas!$L:$L,"&gt;="&amp;$A1142,Despesas!$C:$C,H$1,Despesas!$M:$M,$B1142)</f>
        <v>0</v>
      </c>
      <c r="I1142" s="18">
        <f>IF(Imóveis!$F$2="PRICE",IF(AND(Dados!$A1142&gt;=Imóveis!$Q$2,Dados!$A1142&lt;=Imóveis!$T$2),Imóveis!$U$2,0),IF((IF(AND(Dados!$A1142&gt;=Imóveis!$Q$2,Dados!$A1142&lt;=Imóveis!$T$2),Imóveis!$S$2-(DATEDIF(Imóveis!$Q$2,Dados!$A1142,"m")),0))=0,0,((Imóveis!$N$2/Imóveis!$S$2)+((Imóveis!$N$2-((Imóveis!$S$2-(IF(AND(Dados!$A1142&gt;=Imóveis!$Q$2,Dados!$A1142&lt;=Imóveis!$T$2),Imóveis!$S$2-(DATEDIF(Imóveis!$Q$2,Dados!$A1142,"m")),)))*(Imóveis!$N$2/Imóveis!$S$2)))*Imóveis!$P$2))))*IF(AND(Imóveis!$E$2&gt;0,Dados!$A1142&gt;Imóveis!$E$2),0,1)</f>
        <v>0</v>
      </c>
      <c r="J1142" s="18">
        <f>IF(Imóveis!$F$3="PRICE",IF(AND(Dados!$A1142&gt;=Imóveis!$Q$3,Dados!$A1142&lt;=Imóveis!$T$3),Imóveis!$U$3,0),IF((IF(AND(Dados!$A1142&gt;=Imóveis!$Q$3,Dados!$A1142&lt;=Imóveis!$T$3),Imóveis!$S$3-(DATEDIF(Imóveis!$Q$3,Dados!$A1142,"m")),0))=0,0,((Imóveis!$N$3/Imóveis!$S$3)+((Imóveis!$N$3-((Imóveis!$S$3-(IF(AND(Dados!$A1142&gt;=Imóveis!$Q$3,Dados!$A1142&lt;=Imóveis!$T$3),Imóveis!$S$3-(DATEDIF(Imóveis!$Q$3,Dados!$A1142,"m")),)))*(Imóveis!$N$3/Imóveis!$S$3)))*Imóveis!$P$3))))*IF(AND(Imóveis!$E$3&gt;0,Dados!$A1142&gt;Imóveis!$E$3),0,1)</f>
        <v>0</v>
      </c>
      <c r="K1142" s="18">
        <f>IF(Imóveis!$F$4="PRICE",IF(AND(Dados!$A1142&gt;=Imóveis!$Q$4,Dados!$A1142&lt;=Imóveis!$T$4),Imóveis!$U$4,0),IF((IF(AND(Dados!$A1142&gt;=Imóveis!$Q$4,Dados!$A1142&lt;=Imóveis!$T$4),Imóveis!$S$4-(DATEDIF(Imóveis!$Q$4,Dados!$A1142,"m")),0))=0,0,((Imóveis!$N$4/Imóveis!$S$4)+((Imóveis!$N$4-((Imóveis!$S$4-(IF(AND(Dados!$A1142&gt;=Imóveis!$Q$4,Dados!$A1142&lt;=Imóveis!$T$4),Imóveis!$S$4-(DATEDIF(Imóveis!$Q$4,Dados!$A1142,"m")),)))*(Imóveis!$N$4/Imóveis!$S$4)))*Imóveis!$P$4))))*IF(AND(Imóveis!$E$4&gt;0,Dados!$A1142&gt;Imóveis!$E$4),0,1)</f>
        <v>0</v>
      </c>
      <c r="L1142" s="18">
        <f>IF(Imóveis!$F$5="PRICE",IF(AND(Dados!$A1142&gt;=Imóveis!$Q$5,Dados!$A1142&lt;=Imóveis!$T$5),Imóveis!$U$5,0),IF((IF(AND(Dados!$A1142&gt;=Imóveis!$Q$5,Dados!$A1142&lt;=Imóveis!$T$5),Imóveis!$S$5-(DATEDIF(Imóveis!$Q$5,Dados!$A1142,"m")),0))=0,0,((Imóveis!$N$5/Imóveis!$S$5)+((Imóveis!$N$5-((Imóveis!$S$5-(IF(AND(Dados!$A1142 &gt;=Imóveis!$Q$5,Dados!$A1142&lt;=Imóveis!$T$5),Imóveis!$S$5-(DATEDIF(Imóveis!$Q$5,Dados!$A1142,"m")),)))*(Imóveis!$N$5/Imóveis!$S$5)))*Imóveis!$P$5))))*IF(AND(Imóveis!$E$5&gt;0,Dados!$A1142&gt;Imóveis!$E$5),0,1)*Imóveis!$I$5</f>
        <v>0</v>
      </c>
      <c r="M1142" s="18">
        <f>IF(Imóveis!$F$6="PRICE",IF(AND(Dados!$A1142&gt;=Imóveis!$Q$6,Dados!$A1142&lt;=Imóveis!$T$6),Imóveis!$U$6,0),IF((IF(AND(Dados!$A1142&gt;=Imóveis!$Q$6,Dados!$A1142&lt;=Imóveis!$T$6),Imóveis!$S$6-(DATEDIF(Imóveis!$Q$6,Dados!$A1142,"m")),0))=0,0,((Imóveis!$N$6/Imóveis!$S$6)+((Imóveis!$N$6-((Imóveis!$S$6-(IF(AND(Dados!$A1142&gt;=Imóveis!$Q$6,Dados!$A1142&lt;=Imóveis!$T$6),Imóveis!$S$6-(DATEDIF(Imóveis!$Q$6,Dados!$A1142,"m")),)))*(Imóveis!$N$6/Imóveis!$S$6)))*Imóveis!$P$6))))*IF(AND(Imóveis!$E$6&gt;0,Dados!$A1142&gt;Imóveis!$E$6),0,1)*Imóveis!$I$6</f>
        <v>0</v>
      </c>
      <c r="N1142" s="18">
        <f t="shared" si="141"/>
        <v>0</v>
      </c>
      <c r="O1142" s="18">
        <f>SUMIFS(Receitas!$F:$F,Receitas!$J:$J,"&lt;="&amp;$A1142,Receitas!$L:$L,"&gt;="&amp;$A1142,Receitas!$C:$C,O$1,Receitas!$M:$M,"Mensal")+SUMIFS(Receitas!$F:$F,Receitas!$J:$J,"&lt;="&amp;$A1142,Receitas!$L:$L,"&gt;="&amp;$A1142,Receitas!$C:$C,O$1,Receitas!$M:$M,$B1142)</f>
        <v>0</v>
      </c>
      <c r="P1142" s="18">
        <f>SUMIFS(Receitas!$F:$F,Receitas!$J:$J,"&lt;="&amp;$A1142,Receitas!$L:$L,"&gt;="&amp;$A1142,Receitas!$C:$C,P$1,Receitas!$M:$M,"Mensal")+SUMIFS(Receitas!$F:$F,Receitas!$J:$J,"&lt;="&amp;$A1142,Receitas!$L:$L,"&gt;="&amp;$A1142,Receitas!$C:$C,P$1,Receitas!$M:$M,$B1142)</f>
        <v>0</v>
      </c>
      <c r="Q1142" s="18">
        <f>SUMIFS(Receitas!$F:$F,Receitas!$J:$J,"&lt;="&amp;$A1142,Receitas!$L:$L,"&gt;="&amp;$A1142,Receitas!$C:$C,Q$1,Receitas!$M:$M,"Mensal")+SUMIFS(Receitas!$F:$F,Receitas!$J:$J,"&lt;="&amp;$A1142,Receitas!$L:$L,"&gt;="&amp;$A1142,Receitas!$C:$C,Q$1,Receitas!$M:$M,$B1142)</f>
        <v>0</v>
      </c>
      <c r="R1142" s="18" cm="1">
        <f t="array" ref="R1142">(IF(AND(Membros!$F$2="Sim",A1142&lt;=MAX(Membros!$E$2:$E$5)),Membros!K$2,IF(AND(A1142&gt;=Membros!J$2,A1142&lt;=MAX(Membros!$E$2:$E$5)),Membros!K$2,0))+IF(AND(Membros!$F$3="Sim",A1142&lt;=MAX(Membros!$E$2:$E$5)),Membros!K$3,IF(AND(A1142&gt;=Membros!J$3,A1142&lt;=MAX(Membros!$E$2:$E$5)),Membros!K$3,0)))*IF(AND(COUNTIFS(Tabela3[Tipo],"Provedor",Tabela3[Simulação Seguro],"Sim")=2,A1142&gt;=MAX(IF(Tabela3[Tipo]="Dependente",Tabela3[Expectativa de Vida (Data)]))),0,1)</f>
        <v>0</v>
      </c>
      <c r="S1142" s="18">
        <f t="shared" si="142"/>
        <v>0</v>
      </c>
      <c r="U1142" s="18">
        <f t="shared" ca="1" si="145"/>
        <v>196267659.63870618</v>
      </c>
      <c r="V1142" s="18">
        <f>SUMIF(Imóveis!E:E,Dados!A:A,Imóveis!Z:Z)-SUMIF(Imóveis!E:E,Dados!A:A,Imóveis!Y:Y)</f>
        <v>0</v>
      </c>
      <c r="W1142" s="18">
        <f>-SUMIF(Projetos!N:N,A1142,Projetos!F:F)</f>
        <v>0</v>
      </c>
      <c r="X1142" s="18">
        <f t="shared" si="139"/>
        <v>0</v>
      </c>
      <c r="Y1142" s="26">
        <f ca="1">(U1142*((Indicadores_Economicos!D$2+1)^(1/12)-1))</f>
        <v>642529.24531830859</v>
      </c>
      <c r="Z1142" s="18">
        <f t="shared" ca="1" si="143"/>
        <v>196910188.8840245</v>
      </c>
      <c r="AA1142" s="18">
        <f ca="1">Auxiliar_Projetos!E1142</f>
        <v>1.6231656929394837E-8</v>
      </c>
      <c r="AB1142" s="18">
        <f ca="1">Auxiliar_Projetos!K1142</f>
        <v>1.248588994568832E-8</v>
      </c>
      <c r="AC1142" s="18">
        <f ca="1">IF(Z1142-AA1142-AB1142&gt;Investimentos!$C$14,Investimentos!$C$14,IF(Z1142-AA1142-AB1142&lt;Investimentos!$C$14,Z1142-AA1142-AB1142,0))</f>
        <v>300000</v>
      </c>
      <c r="AD1142" s="18">
        <f t="shared" ca="1" si="144"/>
        <v>196610188.88402447</v>
      </c>
      <c r="AE1142" s="18"/>
    </row>
    <row r="1143" spans="1:31" x14ac:dyDescent="0.2">
      <c r="A1143" s="4">
        <v>80386</v>
      </c>
      <c r="B1143" s="5" t="str">
        <f t="shared" si="140"/>
        <v>fevereiro</v>
      </c>
      <c r="C1143" s="5" t="str">
        <f t="shared" si="146"/>
        <v>2120</v>
      </c>
      <c r="D1143" s="5">
        <f>SUMIFS(Despesas!$F:$F,Despesas!$J:$J,"&lt;="&amp;$A1143,Despesas!$L:$L,"&gt;="&amp;$A1143,Despesas!$C:$C,D$1,Despesas!$M:$M,"Mensal")+SUMIFS(Despesas!$F:$F,Despesas!$J:$J,"&lt;="&amp;$A1143,Despesas!$L:$L,"&gt;="&amp;$A1143,Despesas!$C:$C,D$1,Despesas!$M:$M,$B1143)</f>
        <v>0</v>
      </c>
      <c r="E1143" s="18">
        <f>SUMIFS(Despesas!$F:$F,Despesas!$J:$J,"&lt;="&amp;$A1143,Despesas!$L:$L,"&gt;="&amp;$A1143,Despesas!$C:$C,E$1,Despesas!$M:$M,"Mensal")+SUMIFS(Despesas!$F:$F,Despesas!$J:$J,"&lt;="&amp;$A1143,Despesas!$L:$L,"&gt;="&amp;$A1143,Despesas!$C:$C,E$1,Despesas!$M:$M,$B1143)</f>
        <v>0</v>
      </c>
      <c r="F1143" s="5">
        <f>SUMIFS(Despesas!$F:$F,Despesas!$J:$J,"&lt;="&amp;$A1143,Despesas!$L:$L,"&gt;="&amp;$A1143,Despesas!$C:$C,F$1,Despesas!$M:$M,"Mensal")+SUMIFS(Despesas!$F:$F,Despesas!$J:$J,"&lt;="&amp;$A1143,Despesas!$L:$L,"&gt;="&amp;$A1143,Despesas!$C:$C,F$1,Despesas!$M:$M,$B1143)</f>
        <v>0</v>
      </c>
      <c r="G1143" s="5">
        <f>SUMIFS(Despesas!$F:$F,Despesas!$J:$J,"&lt;="&amp;$A1143,Despesas!$L:$L,"&gt;="&amp;$A1143,Despesas!$C:$C,G$1,Despesas!$M:$M,"Mensal")+SUMIFS(Despesas!$F:$F,Despesas!$J:$J,"&lt;="&amp;$A1143,Despesas!$L:$L,"&gt;="&amp;$A1143,Despesas!$C:$C,G$1,Despesas!$M:$M,$B1143)</f>
        <v>0</v>
      </c>
      <c r="H1143" s="18">
        <f>SUMIFS(Despesas!$F:$F,Despesas!$J:$J,"&lt;="&amp;$A1143,Despesas!$L:$L,"&gt;="&amp;$A1143,Despesas!$C:$C,H$1,Despesas!$M:$M,"Mensal")+SUMIFS(Despesas!$F:$F,Despesas!$J:$J,"&lt;="&amp;$A1143,Despesas!$L:$L,"&gt;="&amp;$A1143,Despesas!$C:$C,H$1,Despesas!$M:$M,$B1143)</f>
        <v>0</v>
      </c>
      <c r="I1143" s="18">
        <f>IF(Imóveis!$F$2="PRICE",IF(AND(Dados!$A1143&gt;=Imóveis!$Q$2,Dados!$A1143&lt;=Imóveis!$T$2),Imóveis!$U$2,0),IF((IF(AND(Dados!$A1143&gt;=Imóveis!$Q$2,Dados!$A1143&lt;=Imóveis!$T$2),Imóveis!$S$2-(DATEDIF(Imóveis!$Q$2,Dados!$A1143,"m")),0))=0,0,((Imóveis!$N$2/Imóveis!$S$2)+((Imóveis!$N$2-((Imóveis!$S$2-(IF(AND(Dados!$A1143&gt;=Imóveis!$Q$2,Dados!$A1143&lt;=Imóveis!$T$2),Imóveis!$S$2-(DATEDIF(Imóveis!$Q$2,Dados!$A1143,"m")),)))*(Imóveis!$N$2/Imóveis!$S$2)))*Imóveis!$P$2))))*IF(AND(Imóveis!$E$2&gt;0,Dados!$A1143&gt;Imóveis!$E$2),0,1)</f>
        <v>0</v>
      </c>
      <c r="J1143" s="18">
        <f>IF(Imóveis!$F$3="PRICE",IF(AND(Dados!$A1143&gt;=Imóveis!$Q$3,Dados!$A1143&lt;=Imóveis!$T$3),Imóveis!$U$3,0),IF((IF(AND(Dados!$A1143&gt;=Imóveis!$Q$3,Dados!$A1143&lt;=Imóveis!$T$3),Imóveis!$S$3-(DATEDIF(Imóveis!$Q$3,Dados!$A1143,"m")),0))=0,0,((Imóveis!$N$3/Imóveis!$S$3)+((Imóveis!$N$3-((Imóveis!$S$3-(IF(AND(Dados!$A1143&gt;=Imóveis!$Q$3,Dados!$A1143&lt;=Imóveis!$T$3),Imóveis!$S$3-(DATEDIF(Imóveis!$Q$3,Dados!$A1143,"m")),)))*(Imóveis!$N$3/Imóveis!$S$3)))*Imóveis!$P$3))))*IF(AND(Imóveis!$E$3&gt;0,Dados!$A1143&gt;Imóveis!$E$3),0,1)</f>
        <v>0</v>
      </c>
      <c r="K1143" s="18">
        <f>IF(Imóveis!$F$4="PRICE",IF(AND(Dados!$A1143&gt;=Imóveis!$Q$4,Dados!$A1143&lt;=Imóveis!$T$4),Imóveis!$U$4,0),IF((IF(AND(Dados!$A1143&gt;=Imóveis!$Q$4,Dados!$A1143&lt;=Imóveis!$T$4),Imóveis!$S$4-(DATEDIF(Imóveis!$Q$4,Dados!$A1143,"m")),0))=0,0,((Imóveis!$N$4/Imóveis!$S$4)+((Imóveis!$N$4-((Imóveis!$S$4-(IF(AND(Dados!$A1143&gt;=Imóveis!$Q$4,Dados!$A1143&lt;=Imóveis!$T$4),Imóveis!$S$4-(DATEDIF(Imóveis!$Q$4,Dados!$A1143,"m")),)))*(Imóveis!$N$4/Imóveis!$S$4)))*Imóveis!$P$4))))*IF(AND(Imóveis!$E$4&gt;0,Dados!$A1143&gt;Imóveis!$E$4),0,1)</f>
        <v>0</v>
      </c>
      <c r="L1143" s="18">
        <f>IF(Imóveis!$F$5="PRICE",IF(AND(Dados!$A1143&gt;=Imóveis!$Q$5,Dados!$A1143&lt;=Imóveis!$T$5),Imóveis!$U$5,0),IF((IF(AND(Dados!$A1143&gt;=Imóveis!$Q$5,Dados!$A1143&lt;=Imóveis!$T$5),Imóveis!$S$5-(DATEDIF(Imóveis!$Q$5,Dados!$A1143,"m")),0))=0,0,((Imóveis!$N$5/Imóveis!$S$5)+((Imóveis!$N$5-((Imóveis!$S$5-(IF(AND(Dados!$A1143 &gt;=Imóveis!$Q$5,Dados!$A1143&lt;=Imóveis!$T$5),Imóveis!$S$5-(DATEDIF(Imóveis!$Q$5,Dados!$A1143,"m")),)))*(Imóveis!$N$5/Imóveis!$S$5)))*Imóveis!$P$5))))*IF(AND(Imóveis!$E$5&gt;0,Dados!$A1143&gt;Imóveis!$E$5),0,1)*Imóveis!$I$5</f>
        <v>0</v>
      </c>
      <c r="M1143" s="18">
        <f>IF(Imóveis!$F$6="PRICE",IF(AND(Dados!$A1143&gt;=Imóveis!$Q$6,Dados!$A1143&lt;=Imóveis!$T$6),Imóveis!$U$6,0),IF((IF(AND(Dados!$A1143&gt;=Imóveis!$Q$6,Dados!$A1143&lt;=Imóveis!$T$6),Imóveis!$S$6-(DATEDIF(Imóveis!$Q$6,Dados!$A1143,"m")),0))=0,0,((Imóveis!$N$6/Imóveis!$S$6)+((Imóveis!$N$6-((Imóveis!$S$6-(IF(AND(Dados!$A1143&gt;=Imóveis!$Q$6,Dados!$A1143&lt;=Imóveis!$T$6),Imóveis!$S$6-(DATEDIF(Imóveis!$Q$6,Dados!$A1143,"m")),)))*(Imóveis!$N$6/Imóveis!$S$6)))*Imóveis!$P$6))))*IF(AND(Imóveis!$E$6&gt;0,Dados!$A1143&gt;Imóveis!$E$6),0,1)*Imóveis!$I$6</f>
        <v>0</v>
      </c>
      <c r="N1143" s="18">
        <f t="shared" si="141"/>
        <v>0</v>
      </c>
      <c r="O1143" s="18">
        <f>SUMIFS(Receitas!$F:$F,Receitas!$J:$J,"&lt;="&amp;$A1143,Receitas!$L:$L,"&gt;="&amp;$A1143,Receitas!$C:$C,O$1,Receitas!$M:$M,"Mensal")+SUMIFS(Receitas!$F:$F,Receitas!$J:$J,"&lt;="&amp;$A1143,Receitas!$L:$L,"&gt;="&amp;$A1143,Receitas!$C:$C,O$1,Receitas!$M:$M,$B1143)</f>
        <v>0</v>
      </c>
      <c r="P1143" s="18">
        <f>SUMIFS(Receitas!$F:$F,Receitas!$J:$J,"&lt;="&amp;$A1143,Receitas!$L:$L,"&gt;="&amp;$A1143,Receitas!$C:$C,P$1,Receitas!$M:$M,"Mensal")+SUMIFS(Receitas!$F:$F,Receitas!$J:$J,"&lt;="&amp;$A1143,Receitas!$L:$L,"&gt;="&amp;$A1143,Receitas!$C:$C,P$1,Receitas!$M:$M,$B1143)</f>
        <v>0</v>
      </c>
      <c r="Q1143" s="18">
        <f>SUMIFS(Receitas!$F:$F,Receitas!$J:$J,"&lt;="&amp;$A1143,Receitas!$L:$L,"&gt;="&amp;$A1143,Receitas!$C:$C,Q$1,Receitas!$M:$M,"Mensal")+SUMIFS(Receitas!$F:$F,Receitas!$J:$J,"&lt;="&amp;$A1143,Receitas!$L:$L,"&gt;="&amp;$A1143,Receitas!$C:$C,Q$1,Receitas!$M:$M,$B1143)</f>
        <v>0</v>
      </c>
      <c r="R1143" s="18" cm="1">
        <f t="array" ref="R1143">(IF(AND(Membros!$F$2="Sim",A1143&lt;=MAX(Membros!$E$2:$E$5)),Membros!K$2,IF(AND(A1143&gt;=Membros!J$2,A1143&lt;=MAX(Membros!$E$2:$E$5)),Membros!K$2,0))+IF(AND(Membros!$F$3="Sim",A1143&lt;=MAX(Membros!$E$2:$E$5)),Membros!K$3,IF(AND(A1143&gt;=Membros!J$3,A1143&lt;=MAX(Membros!$E$2:$E$5)),Membros!K$3,0)))*IF(AND(COUNTIFS(Tabela3[Tipo],"Provedor",Tabela3[Simulação Seguro],"Sim")=2,A1143&gt;=MAX(IF(Tabela3[Tipo]="Dependente",Tabela3[Expectativa de Vida (Data)]))),0,1)</f>
        <v>0</v>
      </c>
      <c r="S1143" s="18">
        <f t="shared" si="142"/>
        <v>0</v>
      </c>
      <c r="U1143" s="18">
        <f t="shared" ca="1" si="145"/>
        <v>196910188.8840245</v>
      </c>
      <c r="V1143" s="18">
        <f>SUMIF(Imóveis!E:E,Dados!A:A,Imóveis!Z:Z)-SUMIF(Imóveis!E:E,Dados!A:A,Imóveis!Y:Y)</f>
        <v>0</v>
      </c>
      <c r="W1143" s="18">
        <f>-SUMIF(Projetos!N:N,A1143,Projetos!F:F)</f>
        <v>0</v>
      </c>
      <c r="X1143" s="18">
        <f t="shared" si="139"/>
        <v>0</v>
      </c>
      <c r="Y1143" s="26">
        <f ca="1">(U1143*((Indicadores_Economicos!D$2+1)^(1/12)-1))</f>
        <v>644632.71886993351</v>
      </c>
      <c r="Z1143" s="18">
        <f t="shared" ca="1" si="143"/>
        <v>197554821.60289443</v>
      </c>
      <c r="AA1143" s="18">
        <f ca="1">Auxiliar_Projetos!E1143</f>
        <v>1.6284795150415602E-8</v>
      </c>
      <c r="AB1143" s="18">
        <f ca="1">Auxiliar_Projetos!K1143</f>
        <v>1.2526765500319677E-8</v>
      </c>
      <c r="AC1143" s="18">
        <f ca="1">IF(Z1143-AA1143-AB1143&gt;Investimentos!$C$14,Investimentos!$C$14,IF(Z1143-AA1143-AB1143&lt;Investimentos!$C$14,Z1143-AA1143-AB1143,0))</f>
        <v>300000</v>
      </c>
      <c r="AD1143" s="18">
        <f t="shared" ca="1" si="144"/>
        <v>197254821.6028944</v>
      </c>
      <c r="AE1143" s="18"/>
    </row>
    <row r="1144" spans="1:31" x14ac:dyDescent="0.2">
      <c r="A1144" s="4">
        <v>80415</v>
      </c>
      <c r="B1144" s="5" t="str">
        <f t="shared" si="140"/>
        <v>março</v>
      </c>
      <c r="C1144" s="5" t="str">
        <f t="shared" si="146"/>
        <v>2120</v>
      </c>
      <c r="D1144" s="5">
        <f>SUMIFS(Despesas!$F:$F,Despesas!$J:$J,"&lt;="&amp;$A1144,Despesas!$L:$L,"&gt;="&amp;$A1144,Despesas!$C:$C,D$1,Despesas!$M:$M,"Mensal")+SUMIFS(Despesas!$F:$F,Despesas!$J:$J,"&lt;="&amp;$A1144,Despesas!$L:$L,"&gt;="&amp;$A1144,Despesas!$C:$C,D$1,Despesas!$M:$M,$B1144)</f>
        <v>0</v>
      </c>
      <c r="E1144" s="18">
        <f>SUMIFS(Despesas!$F:$F,Despesas!$J:$J,"&lt;="&amp;$A1144,Despesas!$L:$L,"&gt;="&amp;$A1144,Despesas!$C:$C,E$1,Despesas!$M:$M,"Mensal")+SUMIFS(Despesas!$F:$F,Despesas!$J:$J,"&lt;="&amp;$A1144,Despesas!$L:$L,"&gt;="&amp;$A1144,Despesas!$C:$C,E$1,Despesas!$M:$M,$B1144)</f>
        <v>0</v>
      </c>
      <c r="F1144" s="5">
        <f>SUMIFS(Despesas!$F:$F,Despesas!$J:$J,"&lt;="&amp;$A1144,Despesas!$L:$L,"&gt;="&amp;$A1144,Despesas!$C:$C,F$1,Despesas!$M:$M,"Mensal")+SUMIFS(Despesas!$F:$F,Despesas!$J:$J,"&lt;="&amp;$A1144,Despesas!$L:$L,"&gt;="&amp;$A1144,Despesas!$C:$C,F$1,Despesas!$M:$M,$B1144)</f>
        <v>0</v>
      </c>
      <c r="G1144" s="5">
        <f>SUMIFS(Despesas!$F:$F,Despesas!$J:$J,"&lt;="&amp;$A1144,Despesas!$L:$L,"&gt;="&amp;$A1144,Despesas!$C:$C,G$1,Despesas!$M:$M,"Mensal")+SUMIFS(Despesas!$F:$F,Despesas!$J:$J,"&lt;="&amp;$A1144,Despesas!$L:$L,"&gt;="&amp;$A1144,Despesas!$C:$C,G$1,Despesas!$M:$M,$B1144)</f>
        <v>0</v>
      </c>
      <c r="H1144" s="18">
        <f>SUMIFS(Despesas!$F:$F,Despesas!$J:$J,"&lt;="&amp;$A1144,Despesas!$L:$L,"&gt;="&amp;$A1144,Despesas!$C:$C,H$1,Despesas!$M:$M,"Mensal")+SUMIFS(Despesas!$F:$F,Despesas!$J:$J,"&lt;="&amp;$A1144,Despesas!$L:$L,"&gt;="&amp;$A1144,Despesas!$C:$C,H$1,Despesas!$M:$M,$B1144)</f>
        <v>0</v>
      </c>
      <c r="I1144" s="18">
        <f>IF(Imóveis!$F$2="PRICE",IF(AND(Dados!$A1144&gt;=Imóveis!$Q$2,Dados!$A1144&lt;=Imóveis!$T$2),Imóveis!$U$2,0),IF((IF(AND(Dados!$A1144&gt;=Imóveis!$Q$2,Dados!$A1144&lt;=Imóveis!$T$2),Imóveis!$S$2-(DATEDIF(Imóveis!$Q$2,Dados!$A1144,"m")),0))=0,0,((Imóveis!$N$2/Imóveis!$S$2)+((Imóveis!$N$2-((Imóveis!$S$2-(IF(AND(Dados!$A1144&gt;=Imóveis!$Q$2,Dados!$A1144&lt;=Imóveis!$T$2),Imóveis!$S$2-(DATEDIF(Imóveis!$Q$2,Dados!$A1144,"m")),)))*(Imóveis!$N$2/Imóveis!$S$2)))*Imóveis!$P$2))))*IF(AND(Imóveis!$E$2&gt;0,Dados!$A1144&gt;Imóveis!$E$2),0,1)</f>
        <v>0</v>
      </c>
      <c r="J1144" s="18">
        <f>IF(Imóveis!$F$3="PRICE",IF(AND(Dados!$A1144&gt;=Imóveis!$Q$3,Dados!$A1144&lt;=Imóveis!$T$3),Imóveis!$U$3,0),IF((IF(AND(Dados!$A1144&gt;=Imóveis!$Q$3,Dados!$A1144&lt;=Imóveis!$T$3),Imóveis!$S$3-(DATEDIF(Imóveis!$Q$3,Dados!$A1144,"m")),0))=0,0,((Imóveis!$N$3/Imóveis!$S$3)+((Imóveis!$N$3-((Imóveis!$S$3-(IF(AND(Dados!$A1144&gt;=Imóveis!$Q$3,Dados!$A1144&lt;=Imóveis!$T$3),Imóveis!$S$3-(DATEDIF(Imóveis!$Q$3,Dados!$A1144,"m")),)))*(Imóveis!$N$3/Imóveis!$S$3)))*Imóveis!$P$3))))*IF(AND(Imóveis!$E$3&gt;0,Dados!$A1144&gt;Imóveis!$E$3),0,1)</f>
        <v>0</v>
      </c>
      <c r="K1144" s="18">
        <f>IF(Imóveis!$F$4="PRICE",IF(AND(Dados!$A1144&gt;=Imóveis!$Q$4,Dados!$A1144&lt;=Imóveis!$T$4),Imóveis!$U$4,0),IF((IF(AND(Dados!$A1144&gt;=Imóveis!$Q$4,Dados!$A1144&lt;=Imóveis!$T$4),Imóveis!$S$4-(DATEDIF(Imóveis!$Q$4,Dados!$A1144,"m")),0))=0,0,((Imóveis!$N$4/Imóveis!$S$4)+((Imóveis!$N$4-((Imóveis!$S$4-(IF(AND(Dados!$A1144&gt;=Imóveis!$Q$4,Dados!$A1144&lt;=Imóveis!$T$4),Imóveis!$S$4-(DATEDIF(Imóveis!$Q$4,Dados!$A1144,"m")),)))*(Imóveis!$N$4/Imóveis!$S$4)))*Imóveis!$P$4))))*IF(AND(Imóveis!$E$4&gt;0,Dados!$A1144&gt;Imóveis!$E$4),0,1)</f>
        <v>0</v>
      </c>
      <c r="L1144" s="18">
        <f>IF(Imóveis!$F$5="PRICE",IF(AND(Dados!$A1144&gt;=Imóveis!$Q$5,Dados!$A1144&lt;=Imóveis!$T$5),Imóveis!$U$5,0),IF((IF(AND(Dados!$A1144&gt;=Imóveis!$Q$5,Dados!$A1144&lt;=Imóveis!$T$5),Imóveis!$S$5-(DATEDIF(Imóveis!$Q$5,Dados!$A1144,"m")),0))=0,0,((Imóveis!$N$5/Imóveis!$S$5)+((Imóveis!$N$5-((Imóveis!$S$5-(IF(AND(Dados!$A1144 &gt;=Imóveis!$Q$5,Dados!$A1144&lt;=Imóveis!$T$5),Imóveis!$S$5-(DATEDIF(Imóveis!$Q$5,Dados!$A1144,"m")),)))*(Imóveis!$N$5/Imóveis!$S$5)))*Imóveis!$P$5))))*IF(AND(Imóveis!$E$5&gt;0,Dados!$A1144&gt;Imóveis!$E$5),0,1)*Imóveis!$I$5</f>
        <v>0</v>
      </c>
      <c r="M1144" s="18">
        <f>IF(Imóveis!$F$6="PRICE",IF(AND(Dados!$A1144&gt;=Imóveis!$Q$6,Dados!$A1144&lt;=Imóveis!$T$6),Imóveis!$U$6,0),IF((IF(AND(Dados!$A1144&gt;=Imóveis!$Q$6,Dados!$A1144&lt;=Imóveis!$T$6),Imóveis!$S$6-(DATEDIF(Imóveis!$Q$6,Dados!$A1144,"m")),0))=0,0,((Imóveis!$N$6/Imóveis!$S$6)+((Imóveis!$N$6-((Imóveis!$S$6-(IF(AND(Dados!$A1144&gt;=Imóveis!$Q$6,Dados!$A1144&lt;=Imóveis!$T$6),Imóveis!$S$6-(DATEDIF(Imóveis!$Q$6,Dados!$A1144,"m")),)))*(Imóveis!$N$6/Imóveis!$S$6)))*Imóveis!$P$6))))*IF(AND(Imóveis!$E$6&gt;0,Dados!$A1144&gt;Imóveis!$E$6),0,1)*Imóveis!$I$6</f>
        <v>0</v>
      </c>
      <c r="N1144" s="18">
        <f t="shared" si="141"/>
        <v>0</v>
      </c>
      <c r="O1144" s="18">
        <f>SUMIFS(Receitas!$F:$F,Receitas!$J:$J,"&lt;="&amp;$A1144,Receitas!$L:$L,"&gt;="&amp;$A1144,Receitas!$C:$C,O$1,Receitas!$M:$M,"Mensal")+SUMIFS(Receitas!$F:$F,Receitas!$J:$J,"&lt;="&amp;$A1144,Receitas!$L:$L,"&gt;="&amp;$A1144,Receitas!$C:$C,O$1,Receitas!$M:$M,$B1144)</f>
        <v>0</v>
      </c>
      <c r="P1144" s="18">
        <f>SUMIFS(Receitas!$F:$F,Receitas!$J:$J,"&lt;="&amp;$A1144,Receitas!$L:$L,"&gt;="&amp;$A1144,Receitas!$C:$C,P$1,Receitas!$M:$M,"Mensal")+SUMIFS(Receitas!$F:$F,Receitas!$J:$J,"&lt;="&amp;$A1144,Receitas!$L:$L,"&gt;="&amp;$A1144,Receitas!$C:$C,P$1,Receitas!$M:$M,$B1144)</f>
        <v>0</v>
      </c>
      <c r="Q1144" s="18">
        <f>SUMIFS(Receitas!$F:$F,Receitas!$J:$J,"&lt;="&amp;$A1144,Receitas!$L:$L,"&gt;="&amp;$A1144,Receitas!$C:$C,Q$1,Receitas!$M:$M,"Mensal")+SUMIFS(Receitas!$F:$F,Receitas!$J:$J,"&lt;="&amp;$A1144,Receitas!$L:$L,"&gt;="&amp;$A1144,Receitas!$C:$C,Q$1,Receitas!$M:$M,$B1144)</f>
        <v>0</v>
      </c>
      <c r="R1144" s="18" cm="1">
        <f t="array" ref="R1144">(IF(AND(Membros!$F$2="Sim",A1144&lt;=MAX(Membros!$E$2:$E$5)),Membros!K$2,IF(AND(A1144&gt;=Membros!J$2,A1144&lt;=MAX(Membros!$E$2:$E$5)),Membros!K$2,0))+IF(AND(Membros!$F$3="Sim",A1144&lt;=MAX(Membros!$E$2:$E$5)),Membros!K$3,IF(AND(A1144&gt;=Membros!J$3,A1144&lt;=MAX(Membros!$E$2:$E$5)),Membros!K$3,0)))*IF(AND(COUNTIFS(Tabela3[Tipo],"Provedor",Tabela3[Simulação Seguro],"Sim")=2,A1144&gt;=MAX(IF(Tabela3[Tipo]="Dependente",Tabela3[Expectativa de Vida (Data)]))),0,1)</f>
        <v>0</v>
      </c>
      <c r="S1144" s="18">
        <f t="shared" si="142"/>
        <v>0</v>
      </c>
      <c r="U1144" s="18">
        <f t="shared" ca="1" si="145"/>
        <v>197554821.60289443</v>
      </c>
      <c r="V1144" s="18">
        <f>SUMIF(Imóveis!E:E,Dados!A:A,Imóveis!Z:Z)-SUMIF(Imóveis!E:E,Dados!A:A,Imóveis!Y:Y)</f>
        <v>0</v>
      </c>
      <c r="W1144" s="18">
        <f>-SUMIF(Projetos!N:N,A1144,Projetos!F:F)</f>
        <v>0</v>
      </c>
      <c r="X1144" s="18">
        <f t="shared" si="139"/>
        <v>0</v>
      </c>
      <c r="Y1144" s="26">
        <f ca="1">(U1144*((Indicadores_Economicos!D$2+1)^(1/12)-1))</f>
        <v>646743.07864660502</v>
      </c>
      <c r="Z1144" s="18">
        <f t="shared" ca="1" si="143"/>
        <v>198201564.68154103</v>
      </c>
      <c r="AA1144" s="18">
        <f ca="1">Auxiliar_Projetos!E1144</f>
        <v>1.6338107332144477E-8</v>
      </c>
      <c r="AB1144" s="18">
        <f ca="1">Auxiliar_Projetos!K1144</f>
        <v>1.256777487088035E-8</v>
      </c>
      <c r="AC1144" s="18">
        <f ca="1">IF(Z1144-AA1144-AB1144&gt;Investimentos!$C$14,Investimentos!$C$14,IF(Z1144-AA1144-AB1144&lt;Investimentos!$C$14,Z1144-AA1144-AB1144,0))</f>
        <v>300000</v>
      </c>
      <c r="AD1144" s="18">
        <f t="shared" ca="1" si="144"/>
        <v>197901564.681541</v>
      </c>
      <c r="AE1144" s="18"/>
    </row>
    <row r="1145" spans="1:31" x14ac:dyDescent="0.2">
      <c r="A1145" s="4">
        <v>80446</v>
      </c>
      <c r="B1145" s="5" t="str">
        <f t="shared" si="140"/>
        <v>abril</v>
      </c>
      <c r="C1145" s="5" t="str">
        <f t="shared" si="146"/>
        <v>2120</v>
      </c>
      <c r="D1145" s="5">
        <f>SUMIFS(Despesas!$F:$F,Despesas!$J:$J,"&lt;="&amp;$A1145,Despesas!$L:$L,"&gt;="&amp;$A1145,Despesas!$C:$C,D$1,Despesas!$M:$M,"Mensal")+SUMIFS(Despesas!$F:$F,Despesas!$J:$J,"&lt;="&amp;$A1145,Despesas!$L:$L,"&gt;="&amp;$A1145,Despesas!$C:$C,D$1,Despesas!$M:$M,$B1145)</f>
        <v>0</v>
      </c>
      <c r="E1145" s="18">
        <f>SUMIFS(Despesas!$F:$F,Despesas!$J:$J,"&lt;="&amp;$A1145,Despesas!$L:$L,"&gt;="&amp;$A1145,Despesas!$C:$C,E$1,Despesas!$M:$M,"Mensal")+SUMIFS(Despesas!$F:$F,Despesas!$J:$J,"&lt;="&amp;$A1145,Despesas!$L:$L,"&gt;="&amp;$A1145,Despesas!$C:$C,E$1,Despesas!$M:$M,$B1145)</f>
        <v>0</v>
      </c>
      <c r="F1145" s="5">
        <f>SUMIFS(Despesas!$F:$F,Despesas!$J:$J,"&lt;="&amp;$A1145,Despesas!$L:$L,"&gt;="&amp;$A1145,Despesas!$C:$C,F$1,Despesas!$M:$M,"Mensal")+SUMIFS(Despesas!$F:$F,Despesas!$J:$J,"&lt;="&amp;$A1145,Despesas!$L:$L,"&gt;="&amp;$A1145,Despesas!$C:$C,F$1,Despesas!$M:$M,$B1145)</f>
        <v>0</v>
      </c>
      <c r="G1145" s="5">
        <f>SUMIFS(Despesas!$F:$F,Despesas!$J:$J,"&lt;="&amp;$A1145,Despesas!$L:$L,"&gt;="&amp;$A1145,Despesas!$C:$C,G$1,Despesas!$M:$M,"Mensal")+SUMIFS(Despesas!$F:$F,Despesas!$J:$J,"&lt;="&amp;$A1145,Despesas!$L:$L,"&gt;="&amp;$A1145,Despesas!$C:$C,G$1,Despesas!$M:$M,$B1145)</f>
        <v>0</v>
      </c>
      <c r="H1145" s="18">
        <f>SUMIFS(Despesas!$F:$F,Despesas!$J:$J,"&lt;="&amp;$A1145,Despesas!$L:$L,"&gt;="&amp;$A1145,Despesas!$C:$C,H$1,Despesas!$M:$M,"Mensal")+SUMIFS(Despesas!$F:$F,Despesas!$J:$J,"&lt;="&amp;$A1145,Despesas!$L:$L,"&gt;="&amp;$A1145,Despesas!$C:$C,H$1,Despesas!$M:$M,$B1145)</f>
        <v>0</v>
      </c>
      <c r="I1145" s="18">
        <f>IF(Imóveis!$F$2="PRICE",IF(AND(Dados!$A1145&gt;=Imóveis!$Q$2,Dados!$A1145&lt;=Imóveis!$T$2),Imóveis!$U$2,0),IF((IF(AND(Dados!$A1145&gt;=Imóveis!$Q$2,Dados!$A1145&lt;=Imóveis!$T$2),Imóveis!$S$2-(DATEDIF(Imóveis!$Q$2,Dados!$A1145,"m")),0))=0,0,((Imóveis!$N$2/Imóveis!$S$2)+((Imóveis!$N$2-((Imóveis!$S$2-(IF(AND(Dados!$A1145&gt;=Imóveis!$Q$2,Dados!$A1145&lt;=Imóveis!$T$2),Imóveis!$S$2-(DATEDIF(Imóveis!$Q$2,Dados!$A1145,"m")),)))*(Imóveis!$N$2/Imóveis!$S$2)))*Imóveis!$P$2))))*IF(AND(Imóveis!$E$2&gt;0,Dados!$A1145&gt;Imóveis!$E$2),0,1)</f>
        <v>0</v>
      </c>
      <c r="J1145" s="18">
        <f>IF(Imóveis!$F$3="PRICE",IF(AND(Dados!$A1145&gt;=Imóveis!$Q$3,Dados!$A1145&lt;=Imóveis!$T$3),Imóveis!$U$3,0),IF((IF(AND(Dados!$A1145&gt;=Imóveis!$Q$3,Dados!$A1145&lt;=Imóveis!$T$3),Imóveis!$S$3-(DATEDIF(Imóveis!$Q$3,Dados!$A1145,"m")),0))=0,0,((Imóveis!$N$3/Imóveis!$S$3)+((Imóveis!$N$3-((Imóveis!$S$3-(IF(AND(Dados!$A1145&gt;=Imóveis!$Q$3,Dados!$A1145&lt;=Imóveis!$T$3),Imóveis!$S$3-(DATEDIF(Imóveis!$Q$3,Dados!$A1145,"m")),)))*(Imóveis!$N$3/Imóveis!$S$3)))*Imóveis!$P$3))))*IF(AND(Imóveis!$E$3&gt;0,Dados!$A1145&gt;Imóveis!$E$3),0,1)</f>
        <v>0</v>
      </c>
      <c r="K1145" s="18">
        <f>IF(Imóveis!$F$4="PRICE",IF(AND(Dados!$A1145&gt;=Imóveis!$Q$4,Dados!$A1145&lt;=Imóveis!$T$4),Imóveis!$U$4,0),IF((IF(AND(Dados!$A1145&gt;=Imóveis!$Q$4,Dados!$A1145&lt;=Imóveis!$T$4),Imóveis!$S$4-(DATEDIF(Imóveis!$Q$4,Dados!$A1145,"m")),0))=0,0,((Imóveis!$N$4/Imóveis!$S$4)+((Imóveis!$N$4-((Imóveis!$S$4-(IF(AND(Dados!$A1145&gt;=Imóveis!$Q$4,Dados!$A1145&lt;=Imóveis!$T$4),Imóveis!$S$4-(DATEDIF(Imóveis!$Q$4,Dados!$A1145,"m")),)))*(Imóveis!$N$4/Imóveis!$S$4)))*Imóveis!$P$4))))*IF(AND(Imóveis!$E$4&gt;0,Dados!$A1145&gt;Imóveis!$E$4),0,1)</f>
        <v>0</v>
      </c>
      <c r="L1145" s="18">
        <f>IF(Imóveis!$F$5="PRICE",IF(AND(Dados!$A1145&gt;=Imóveis!$Q$5,Dados!$A1145&lt;=Imóveis!$T$5),Imóveis!$U$5,0),IF((IF(AND(Dados!$A1145&gt;=Imóveis!$Q$5,Dados!$A1145&lt;=Imóveis!$T$5),Imóveis!$S$5-(DATEDIF(Imóveis!$Q$5,Dados!$A1145,"m")),0))=0,0,((Imóveis!$N$5/Imóveis!$S$5)+((Imóveis!$N$5-((Imóveis!$S$5-(IF(AND(Dados!$A1145 &gt;=Imóveis!$Q$5,Dados!$A1145&lt;=Imóveis!$T$5),Imóveis!$S$5-(DATEDIF(Imóveis!$Q$5,Dados!$A1145,"m")),)))*(Imóveis!$N$5/Imóveis!$S$5)))*Imóveis!$P$5))))*IF(AND(Imóveis!$E$5&gt;0,Dados!$A1145&gt;Imóveis!$E$5),0,1)*Imóveis!$I$5</f>
        <v>0</v>
      </c>
      <c r="M1145" s="18">
        <f>IF(Imóveis!$F$6="PRICE",IF(AND(Dados!$A1145&gt;=Imóveis!$Q$6,Dados!$A1145&lt;=Imóveis!$T$6),Imóveis!$U$6,0),IF((IF(AND(Dados!$A1145&gt;=Imóveis!$Q$6,Dados!$A1145&lt;=Imóveis!$T$6),Imóveis!$S$6-(DATEDIF(Imóveis!$Q$6,Dados!$A1145,"m")),0))=0,0,((Imóveis!$N$6/Imóveis!$S$6)+((Imóveis!$N$6-((Imóveis!$S$6-(IF(AND(Dados!$A1145&gt;=Imóveis!$Q$6,Dados!$A1145&lt;=Imóveis!$T$6),Imóveis!$S$6-(DATEDIF(Imóveis!$Q$6,Dados!$A1145,"m")),)))*(Imóveis!$N$6/Imóveis!$S$6)))*Imóveis!$P$6))))*IF(AND(Imóveis!$E$6&gt;0,Dados!$A1145&gt;Imóveis!$E$6),0,1)*Imóveis!$I$6</f>
        <v>0</v>
      </c>
      <c r="N1145" s="18">
        <f t="shared" si="141"/>
        <v>0</v>
      </c>
      <c r="O1145" s="18">
        <f>SUMIFS(Receitas!$F:$F,Receitas!$J:$J,"&lt;="&amp;$A1145,Receitas!$L:$L,"&gt;="&amp;$A1145,Receitas!$C:$C,O$1,Receitas!$M:$M,"Mensal")+SUMIFS(Receitas!$F:$F,Receitas!$J:$J,"&lt;="&amp;$A1145,Receitas!$L:$L,"&gt;="&amp;$A1145,Receitas!$C:$C,O$1,Receitas!$M:$M,$B1145)</f>
        <v>0</v>
      </c>
      <c r="P1145" s="18">
        <f>SUMIFS(Receitas!$F:$F,Receitas!$J:$J,"&lt;="&amp;$A1145,Receitas!$L:$L,"&gt;="&amp;$A1145,Receitas!$C:$C,P$1,Receitas!$M:$M,"Mensal")+SUMIFS(Receitas!$F:$F,Receitas!$J:$J,"&lt;="&amp;$A1145,Receitas!$L:$L,"&gt;="&amp;$A1145,Receitas!$C:$C,P$1,Receitas!$M:$M,$B1145)</f>
        <v>0</v>
      </c>
      <c r="Q1145" s="18">
        <f>SUMIFS(Receitas!$F:$F,Receitas!$J:$J,"&lt;="&amp;$A1145,Receitas!$L:$L,"&gt;="&amp;$A1145,Receitas!$C:$C,Q$1,Receitas!$M:$M,"Mensal")+SUMIFS(Receitas!$F:$F,Receitas!$J:$J,"&lt;="&amp;$A1145,Receitas!$L:$L,"&gt;="&amp;$A1145,Receitas!$C:$C,Q$1,Receitas!$M:$M,$B1145)</f>
        <v>0</v>
      </c>
      <c r="R1145" s="18" cm="1">
        <f t="array" ref="R1145">(IF(AND(Membros!$F$2="Sim",A1145&lt;=MAX(Membros!$E$2:$E$5)),Membros!K$2,IF(AND(A1145&gt;=Membros!J$2,A1145&lt;=MAX(Membros!$E$2:$E$5)),Membros!K$2,0))+IF(AND(Membros!$F$3="Sim",A1145&lt;=MAX(Membros!$E$2:$E$5)),Membros!K$3,IF(AND(A1145&gt;=Membros!J$3,A1145&lt;=MAX(Membros!$E$2:$E$5)),Membros!K$3,0)))*IF(AND(COUNTIFS(Tabela3[Tipo],"Provedor",Tabela3[Simulação Seguro],"Sim")=2,A1145&gt;=MAX(IF(Tabela3[Tipo]="Dependente",Tabela3[Expectativa de Vida (Data)]))),0,1)</f>
        <v>0</v>
      </c>
      <c r="S1145" s="18">
        <f t="shared" si="142"/>
        <v>0</v>
      </c>
      <c r="U1145" s="18">
        <f t="shared" ca="1" si="145"/>
        <v>198201564.68154103</v>
      </c>
      <c r="V1145" s="18">
        <f>SUMIF(Imóveis!E:E,Dados!A:A,Imóveis!Z:Z)-SUMIF(Imóveis!E:E,Dados!A:A,Imóveis!Y:Y)</f>
        <v>0</v>
      </c>
      <c r="W1145" s="18">
        <f>-SUMIF(Projetos!N:N,A1145,Projetos!F:F)</f>
        <v>0</v>
      </c>
      <c r="X1145" s="18">
        <f t="shared" si="139"/>
        <v>0</v>
      </c>
      <c r="Y1145" s="26">
        <f ca="1">(U1145*((Indicadores_Economicos!D$2+1)^(1/12)-1))</f>
        <v>648860.34719203215</v>
      </c>
      <c r="Z1145" s="18">
        <f t="shared" ca="1" si="143"/>
        <v>198850425.02873304</v>
      </c>
      <c r="AA1145" s="18">
        <f ca="1">Auxiliar_Projetos!E1145</f>
        <v>1.6391594044083554E-8</v>
      </c>
      <c r="AB1145" s="18">
        <f ca="1">Auxiliar_Projetos!K1145</f>
        <v>1.2608918495448872E-8</v>
      </c>
      <c r="AC1145" s="18">
        <f ca="1">IF(Z1145-AA1145-AB1145&gt;Investimentos!$C$14,Investimentos!$C$14,IF(Z1145-AA1145-AB1145&lt;Investimentos!$C$14,Z1145-AA1145-AB1145,0))</f>
        <v>300000</v>
      </c>
      <c r="AD1145" s="18">
        <f t="shared" ca="1" si="144"/>
        <v>198550425.02873302</v>
      </c>
      <c r="AE1145" s="18"/>
    </row>
    <row r="1146" spans="1:31" x14ac:dyDescent="0.2">
      <c r="A1146" s="4">
        <v>80476</v>
      </c>
      <c r="B1146" s="5" t="str">
        <f t="shared" si="140"/>
        <v>maio</v>
      </c>
      <c r="C1146" s="5" t="str">
        <f t="shared" si="146"/>
        <v>2120</v>
      </c>
      <c r="D1146" s="5">
        <f>SUMIFS(Despesas!$F:$F,Despesas!$J:$J,"&lt;="&amp;$A1146,Despesas!$L:$L,"&gt;="&amp;$A1146,Despesas!$C:$C,D$1,Despesas!$M:$M,"Mensal")+SUMIFS(Despesas!$F:$F,Despesas!$J:$J,"&lt;="&amp;$A1146,Despesas!$L:$L,"&gt;="&amp;$A1146,Despesas!$C:$C,D$1,Despesas!$M:$M,$B1146)</f>
        <v>0</v>
      </c>
      <c r="E1146" s="18">
        <f>SUMIFS(Despesas!$F:$F,Despesas!$J:$J,"&lt;="&amp;$A1146,Despesas!$L:$L,"&gt;="&amp;$A1146,Despesas!$C:$C,E$1,Despesas!$M:$M,"Mensal")+SUMIFS(Despesas!$F:$F,Despesas!$J:$J,"&lt;="&amp;$A1146,Despesas!$L:$L,"&gt;="&amp;$A1146,Despesas!$C:$C,E$1,Despesas!$M:$M,$B1146)</f>
        <v>0</v>
      </c>
      <c r="F1146" s="5">
        <f>SUMIFS(Despesas!$F:$F,Despesas!$J:$J,"&lt;="&amp;$A1146,Despesas!$L:$L,"&gt;="&amp;$A1146,Despesas!$C:$C,F$1,Despesas!$M:$M,"Mensal")+SUMIFS(Despesas!$F:$F,Despesas!$J:$J,"&lt;="&amp;$A1146,Despesas!$L:$L,"&gt;="&amp;$A1146,Despesas!$C:$C,F$1,Despesas!$M:$M,$B1146)</f>
        <v>0</v>
      </c>
      <c r="G1146" s="5">
        <f>SUMIFS(Despesas!$F:$F,Despesas!$J:$J,"&lt;="&amp;$A1146,Despesas!$L:$L,"&gt;="&amp;$A1146,Despesas!$C:$C,G$1,Despesas!$M:$M,"Mensal")+SUMIFS(Despesas!$F:$F,Despesas!$J:$J,"&lt;="&amp;$A1146,Despesas!$L:$L,"&gt;="&amp;$A1146,Despesas!$C:$C,G$1,Despesas!$M:$M,$B1146)</f>
        <v>0</v>
      </c>
      <c r="H1146" s="18">
        <f>SUMIFS(Despesas!$F:$F,Despesas!$J:$J,"&lt;="&amp;$A1146,Despesas!$L:$L,"&gt;="&amp;$A1146,Despesas!$C:$C,H$1,Despesas!$M:$M,"Mensal")+SUMIFS(Despesas!$F:$F,Despesas!$J:$J,"&lt;="&amp;$A1146,Despesas!$L:$L,"&gt;="&amp;$A1146,Despesas!$C:$C,H$1,Despesas!$M:$M,$B1146)</f>
        <v>0</v>
      </c>
      <c r="I1146" s="18">
        <f>IF(Imóveis!$F$2="PRICE",IF(AND(Dados!$A1146&gt;=Imóveis!$Q$2,Dados!$A1146&lt;=Imóveis!$T$2),Imóveis!$U$2,0),IF((IF(AND(Dados!$A1146&gt;=Imóveis!$Q$2,Dados!$A1146&lt;=Imóveis!$T$2),Imóveis!$S$2-(DATEDIF(Imóveis!$Q$2,Dados!$A1146,"m")),0))=0,0,((Imóveis!$N$2/Imóveis!$S$2)+((Imóveis!$N$2-((Imóveis!$S$2-(IF(AND(Dados!$A1146&gt;=Imóveis!$Q$2,Dados!$A1146&lt;=Imóveis!$T$2),Imóveis!$S$2-(DATEDIF(Imóveis!$Q$2,Dados!$A1146,"m")),)))*(Imóveis!$N$2/Imóveis!$S$2)))*Imóveis!$P$2))))*IF(AND(Imóveis!$E$2&gt;0,Dados!$A1146&gt;Imóveis!$E$2),0,1)</f>
        <v>0</v>
      </c>
      <c r="J1146" s="18">
        <f>IF(Imóveis!$F$3="PRICE",IF(AND(Dados!$A1146&gt;=Imóveis!$Q$3,Dados!$A1146&lt;=Imóveis!$T$3),Imóveis!$U$3,0),IF((IF(AND(Dados!$A1146&gt;=Imóveis!$Q$3,Dados!$A1146&lt;=Imóveis!$T$3),Imóveis!$S$3-(DATEDIF(Imóveis!$Q$3,Dados!$A1146,"m")),0))=0,0,((Imóveis!$N$3/Imóveis!$S$3)+((Imóveis!$N$3-((Imóveis!$S$3-(IF(AND(Dados!$A1146&gt;=Imóveis!$Q$3,Dados!$A1146&lt;=Imóveis!$T$3),Imóveis!$S$3-(DATEDIF(Imóveis!$Q$3,Dados!$A1146,"m")),)))*(Imóveis!$N$3/Imóveis!$S$3)))*Imóveis!$P$3))))*IF(AND(Imóveis!$E$3&gt;0,Dados!$A1146&gt;Imóveis!$E$3),0,1)</f>
        <v>0</v>
      </c>
      <c r="K1146" s="18">
        <f>IF(Imóveis!$F$4="PRICE",IF(AND(Dados!$A1146&gt;=Imóveis!$Q$4,Dados!$A1146&lt;=Imóveis!$T$4),Imóveis!$U$4,0),IF((IF(AND(Dados!$A1146&gt;=Imóveis!$Q$4,Dados!$A1146&lt;=Imóveis!$T$4),Imóveis!$S$4-(DATEDIF(Imóveis!$Q$4,Dados!$A1146,"m")),0))=0,0,((Imóveis!$N$4/Imóveis!$S$4)+((Imóveis!$N$4-((Imóveis!$S$4-(IF(AND(Dados!$A1146&gt;=Imóveis!$Q$4,Dados!$A1146&lt;=Imóveis!$T$4),Imóveis!$S$4-(DATEDIF(Imóveis!$Q$4,Dados!$A1146,"m")),)))*(Imóveis!$N$4/Imóveis!$S$4)))*Imóveis!$P$4))))*IF(AND(Imóveis!$E$4&gt;0,Dados!$A1146&gt;Imóveis!$E$4),0,1)</f>
        <v>0</v>
      </c>
      <c r="L1146" s="18">
        <f>IF(Imóveis!$F$5="PRICE",IF(AND(Dados!$A1146&gt;=Imóveis!$Q$5,Dados!$A1146&lt;=Imóveis!$T$5),Imóveis!$U$5,0),IF((IF(AND(Dados!$A1146&gt;=Imóveis!$Q$5,Dados!$A1146&lt;=Imóveis!$T$5),Imóveis!$S$5-(DATEDIF(Imóveis!$Q$5,Dados!$A1146,"m")),0))=0,0,((Imóveis!$N$5/Imóveis!$S$5)+((Imóveis!$N$5-((Imóveis!$S$5-(IF(AND(Dados!$A1146 &gt;=Imóveis!$Q$5,Dados!$A1146&lt;=Imóveis!$T$5),Imóveis!$S$5-(DATEDIF(Imóveis!$Q$5,Dados!$A1146,"m")),)))*(Imóveis!$N$5/Imóveis!$S$5)))*Imóveis!$P$5))))*IF(AND(Imóveis!$E$5&gt;0,Dados!$A1146&gt;Imóveis!$E$5),0,1)*Imóveis!$I$5</f>
        <v>0</v>
      </c>
      <c r="M1146" s="18">
        <f>IF(Imóveis!$F$6="PRICE",IF(AND(Dados!$A1146&gt;=Imóveis!$Q$6,Dados!$A1146&lt;=Imóveis!$T$6),Imóveis!$U$6,0),IF((IF(AND(Dados!$A1146&gt;=Imóveis!$Q$6,Dados!$A1146&lt;=Imóveis!$T$6),Imóveis!$S$6-(DATEDIF(Imóveis!$Q$6,Dados!$A1146,"m")),0))=0,0,((Imóveis!$N$6/Imóveis!$S$6)+((Imóveis!$N$6-((Imóveis!$S$6-(IF(AND(Dados!$A1146&gt;=Imóveis!$Q$6,Dados!$A1146&lt;=Imóveis!$T$6),Imóveis!$S$6-(DATEDIF(Imóveis!$Q$6,Dados!$A1146,"m")),)))*(Imóveis!$N$6/Imóveis!$S$6)))*Imóveis!$P$6))))*IF(AND(Imóveis!$E$6&gt;0,Dados!$A1146&gt;Imóveis!$E$6),0,1)*Imóveis!$I$6</f>
        <v>0</v>
      </c>
      <c r="N1146" s="18">
        <f t="shared" si="141"/>
        <v>0</v>
      </c>
      <c r="O1146" s="18">
        <f>SUMIFS(Receitas!$F:$F,Receitas!$J:$J,"&lt;="&amp;$A1146,Receitas!$L:$L,"&gt;="&amp;$A1146,Receitas!$C:$C,O$1,Receitas!$M:$M,"Mensal")+SUMIFS(Receitas!$F:$F,Receitas!$J:$J,"&lt;="&amp;$A1146,Receitas!$L:$L,"&gt;="&amp;$A1146,Receitas!$C:$C,O$1,Receitas!$M:$M,$B1146)</f>
        <v>0</v>
      </c>
      <c r="P1146" s="18">
        <f>SUMIFS(Receitas!$F:$F,Receitas!$J:$J,"&lt;="&amp;$A1146,Receitas!$L:$L,"&gt;="&amp;$A1146,Receitas!$C:$C,P$1,Receitas!$M:$M,"Mensal")+SUMIFS(Receitas!$F:$F,Receitas!$J:$J,"&lt;="&amp;$A1146,Receitas!$L:$L,"&gt;="&amp;$A1146,Receitas!$C:$C,P$1,Receitas!$M:$M,$B1146)</f>
        <v>0</v>
      </c>
      <c r="Q1146" s="18">
        <f>SUMIFS(Receitas!$F:$F,Receitas!$J:$J,"&lt;="&amp;$A1146,Receitas!$L:$L,"&gt;="&amp;$A1146,Receitas!$C:$C,Q$1,Receitas!$M:$M,"Mensal")+SUMIFS(Receitas!$F:$F,Receitas!$J:$J,"&lt;="&amp;$A1146,Receitas!$L:$L,"&gt;="&amp;$A1146,Receitas!$C:$C,Q$1,Receitas!$M:$M,$B1146)</f>
        <v>0</v>
      </c>
      <c r="R1146" s="18" cm="1">
        <f t="array" ref="R1146">(IF(AND(Membros!$F$2="Sim",A1146&lt;=MAX(Membros!$E$2:$E$5)),Membros!K$2,IF(AND(A1146&gt;=Membros!J$2,A1146&lt;=MAX(Membros!$E$2:$E$5)),Membros!K$2,0))+IF(AND(Membros!$F$3="Sim",A1146&lt;=MAX(Membros!$E$2:$E$5)),Membros!K$3,IF(AND(A1146&gt;=Membros!J$3,A1146&lt;=MAX(Membros!$E$2:$E$5)),Membros!K$3,0)))*IF(AND(COUNTIFS(Tabela3[Tipo],"Provedor",Tabela3[Simulação Seguro],"Sim")=2,A1146&gt;=MAX(IF(Tabela3[Tipo]="Dependente",Tabela3[Expectativa de Vida (Data)]))),0,1)</f>
        <v>0</v>
      </c>
      <c r="S1146" s="18">
        <f t="shared" si="142"/>
        <v>0</v>
      </c>
      <c r="U1146" s="18">
        <f t="shared" ca="1" si="145"/>
        <v>198850425.02873304</v>
      </c>
      <c r="V1146" s="18">
        <f>SUMIF(Imóveis!E:E,Dados!A:A,Imóveis!Z:Z)-SUMIF(Imóveis!E:E,Dados!A:A,Imóveis!Y:Y)</f>
        <v>0</v>
      </c>
      <c r="W1146" s="18">
        <f>-SUMIF(Projetos!N:N,A1146,Projetos!F:F)</f>
        <v>0</v>
      </c>
      <c r="X1146" s="18">
        <f t="shared" si="139"/>
        <v>0</v>
      </c>
      <c r="Y1146" s="26">
        <f ca="1">(U1146*((Indicadores_Economicos!D$2+1)^(1/12)-1))</f>
        <v>650984.54712372611</v>
      </c>
      <c r="Z1146" s="18">
        <f t="shared" ca="1" si="143"/>
        <v>199501409.57585678</v>
      </c>
      <c r="AA1146" s="18">
        <f ca="1">Auxiliar_Projetos!E1146</f>
        <v>1.6445255857599324E-8</v>
      </c>
      <c r="AB1146" s="18">
        <f ca="1">Auxiliar_Projetos!K1146</f>
        <v>1.2650196813537926E-8</v>
      </c>
      <c r="AC1146" s="18">
        <f ca="1">IF(Z1146-AA1146-AB1146&gt;Investimentos!$C$14,Investimentos!$C$14,IF(Z1146-AA1146-AB1146&lt;Investimentos!$C$14,Z1146-AA1146-AB1146,0))</f>
        <v>300000</v>
      </c>
      <c r="AD1146" s="18">
        <f t="shared" ca="1" si="144"/>
        <v>199201409.57585675</v>
      </c>
      <c r="AE1146" s="18"/>
    </row>
    <row r="1147" spans="1:31" x14ac:dyDescent="0.2">
      <c r="A1147" s="4">
        <v>80507</v>
      </c>
      <c r="B1147" s="5" t="str">
        <f t="shared" si="140"/>
        <v>junho</v>
      </c>
      <c r="C1147" s="5" t="str">
        <f t="shared" si="146"/>
        <v>2120</v>
      </c>
      <c r="D1147" s="5">
        <f>SUMIFS(Despesas!$F:$F,Despesas!$J:$J,"&lt;="&amp;$A1147,Despesas!$L:$L,"&gt;="&amp;$A1147,Despesas!$C:$C,D$1,Despesas!$M:$M,"Mensal")+SUMIFS(Despesas!$F:$F,Despesas!$J:$J,"&lt;="&amp;$A1147,Despesas!$L:$L,"&gt;="&amp;$A1147,Despesas!$C:$C,D$1,Despesas!$M:$M,$B1147)</f>
        <v>0</v>
      </c>
      <c r="E1147" s="18">
        <f>SUMIFS(Despesas!$F:$F,Despesas!$J:$J,"&lt;="&amp;$A1147,Despesas!$L:$L,"&gt;="&amp;$A1147,Despesas!$C:$C,E$1,Despesas!$M:$M,"Mensal")+SUMIFS(Despesas!$F:$F,Despesas!$J:$J,"&lt;="&amp;$A1147,Despesas!$L:$L,"&gt;="&amp;$A1147,Despesas!$C:$C,E$1,Despesas!$M:$M,$B1147)</f>
        <v>0</v>
      </c>
      <c r="F1147" s="5">
        <f>SUMIFS(Despesas!$F:$F,Despesas!$J:$J,"&lt;="&amp;$A1147,Despesas!$L:$L,"&gt;="&amp;$A1147,Despesas!$C:$C,F$1,Despesas!$M:$M,"Mensal")+SUMIFS(Despesas!$F:$F,Despesas!$J:$J,"&lt;="&amp;$A1147,Despesas!$L:$L,"&gt;="&amp;$A1147,Despesas!$C:$C,F$1,Despesas!$M:$M,$B1147)</f>
        <v>0</v>
      </c>
      <c r="G1147" s="5">
        <f>SUMIFS(Despesas!$F:$F,Despesas!$J:$J,"&lt;="&amp;$A1147,Despesas!$L:$L,"&gt;="&amp;$A1147,Despesas!$C:$C,G$1,Despesas!$M:$M,"Mensal")+SUMIFS(Despesas!$F:$F,Despesas!$J:$J,"&lt;="&amp;$A1147,Despesas!$L:$L,"&gt;="&amp;$A1147,Despesas!$C:$C,G$1,Despesas!$M:$M,$B1147)</f>
        <v>0</v>
      </c>
      <c r="H1147" s="18">
        <f>SUMIFS(Despesas!$F:$F,Despesas!$J:$J,"&lt;="&amp;$A1147,Despesas!$L:$L,"&gt;="&amp;$A1147,Despesas!$C:$C,H$1,Despesas!$M:$M,"Mensal")+SUMIFS(Despesas!$F:$F,Despesas!$J:$J,"&lt;="&amp;$A1147,Despesas!$L:$L,"&gt;="&amp;$A1147,Despesas!$C:$C,H$1,Despesas!$M:$M,$B1147)</f>
        <v>0</v>
      </c>
      <c r="I1147" s="18">
        <f>IF(Imóveis!$F$2="PRICE",IF(AND(Dados!$A1147&gt;=Imóveis!$Q$2,Dados!$A1147&lt;=Imóveis!$T$2),Imóveis!$U$2,0),IF((IF(AND(Dados!$A1147&gt;=Imóveis!$Q$2,Dados!$A1147&lt;=Imóveis!$T$2),Imóveis!$S$2-(DATEDIF(Imóveis!$Q$2,Dados!$A1147,"m")),0))=0,0,((Imóveis!$N$2/Imóveis!$S$2)+((Imóveis!$N$2-((Imóveis!$S$2-(IF(AND(Dados!$A1147&gt;=Imóveis!$Q$2,Dados!$A1147&lt;=Imóveis!$T$2),Imóveis!$S$2-(DATEDIF(Imóveis!$Q$2,Dados!$A1147,"m")),)))*(Imóveis!$N$2/Imóveis!$S$2)))*Imóveis!$P$2))))*IF(AND(Imóveis!$E$2&gt;0,Dados!$A1147&gt;Imóveis!$E$2),0,1)</f>
        <v>0</v>
      </c>
      <c r="J1147" s="18">
        <f>IF(Imóveis!$F$3="PRICE",IF(AND(Dados!$A1147&gt;=Imóveis!$Q$3,Dados!$A1147&lt;=Imóveis!$T$3),Imóveis!$U$3,0),IF((IF(AND(Dados!$A1147&gt;=Imóveis!$Q$3,Dados!$A1147&lt;=Imóveis!$T$3),Imóveis!$S$3-(DATEDIF(Imóveis!$Q$3,Dados!$A1147,"m")),0))=0,0,((Imóveis!$N$3/Imóveis!$S$3)+((Imóveis!$N$3-((Imóveis!$S$3-(IF(AND(Dados!$A1147&gt;=Imóveis!$Q$3,Dados!$A1147&lt;=Imóveis!$T$3),Imóveis!$S$3-(DATEDIF(Imóveis!$Q$3,Dados!$A1147,"m")),)))*(Imóveis!$N$3/Imóveis!$S$3)))*Imóveis!$P$3))))*IF(AND(Imóveis!$E$3&gt;0,Dados!$A1147&gt;Imóveis!$E$3),0,1)</f>
        <v>0</v>
      </c>
      <c r="K1147" s="18">
        <f>IF(Imóveis!$F$4="PRICE",IF(AND(Dados!$A1147&gt;=Imóveis!$Q$4,Dados!$A1147&lt;=Imóveis!$T$4),Imóveis!$U$4,0),IF((IF(AND(Dados!$A1147&gt;=Imóveis!$Q$4,Dados!$A1147&lt;=Imóveis!$T$4),Imóveis!$S$4-(DATEDIF(Imóveis!$Q$4,Dados!$A1147,"m")),0))=0,0,((Imóveis!$N$4/Imóveis!$S$4)+((Imóveis!$N$4-((Imóveis!$S$4-(IF(AND(Dados!$A1147&gt;=Imóveis!$Q$4,Dados!$A1147&lt;=Imóveis!$T$4),Imóveis!$S$4-(DATEDIF(Imóveis!$Q$4,Dados!$A1147,"m")),)))*(Imóveis!$N$4/Imóveis!$S$4)))*Imóveis!$P$4))))*IF(AND(Imóveis!$E$4&gt;0,Dados!$A1147&gt;Imóveis!$E$4),0,1)</f>
        <v>0</v>
      </c>
      <c r="L1147" s="18">
        <f>IF(Imóveis!$F$5="PRICE",IF(AND(Dados!$A1147&gt;=Imóveis!$Q$5,Dados!$A1147&lt;=Imóveis!$T$5),Imóveis!$U$5,0),IF((IF(AND(Dados!$A1147&gt;=Imóveis!$Q$5,Dados!$A1147&lt;=Imóveis!$T$5),Imóveis!$S$5-(DATEDIF(Imóveis!$Q$5,Dados!$A1147,"m")),0))=0,0,((Imóveis!$N$5/Imóveis!$S$5)+((Imóveis!$N$5-((Imóveis!$S$5-(IF(AND(Dados!$A1147 &gt;=Imóveis!$Q$5,Dados!$A1147&lt;=Imóveis!$T$5),Imóveis!$S$5-(DATEDIF(Imóveis!$Q$5,Dados!$A1147,"m")),)))*(Imóveis!$N$5/Imóveis!$S$5)))*Imóveis!$P$5))))*IF(AND(Imóveis!$E$5&gt;0,Dados!$A1147&gt;Imóveis!$E$5),0,1)*Imóveis!$I$5</f>
        <v>0</v>
      </c>
      <c r="M1147" s="18">
        <f>IF(Imóveis!$F$6="PRICE",IF(AND(Dados!$A1147&gt;=Imóveis!$Q$6,Dados!$A1147&lt;=Imóveis!$T$6),Imóveis!$U$6,0),IF((IF(AND(Dados!$A1147&gt;=Imóveis!$Q$6,Dados!$A1147&lt;=Imóveis!$T$6),Imóveis!$S$6-(DATEDIF(Imóveis!$Q$6,Dados!$A1147,"m")),0))=0,0,((Imóveis!$N$6/Imóveis!$S$6)+((Imóveis!$N$6-((Imóveis!$S$6-(IF(AND(Dados!$A1147&gt;=Imóveis!$Q$6,Dados!$A1147&lt;=Imóveis!$T$6),Imóveis!$S$6-(DATEDIF(Imóveis!$Q$6,Dados!$A1147,"m")),)))*(Imóveis!$N$6/Imóveis!$S$6)))*Imóveis!$P$6))))*IF(AND(Imóveis!$E$6&gt;0,Dados!$A1147&gt;Imóveis!$E$6),0,1)*Imóveis!$I$6</f>
        <v>0</v>
      </c>
      <c r="N1147" s="18">
        <f t="shared" si="141"/>
        <v>0</v>
      </c>
      <c r="O1147" s="18">
        <f>SUMIFS(Receitas!$F:$F,Receitas!$J:$J,"&lt;="&amp;$A1147,Receitas!$L:$L,"&gt;="&amp;$A1147,Receitas!$C:$C,O$1,Receitas!$M:$M,"Mensal")+SUMIFS(Receitas!$F:$F,Receitas!$J:$J,"&lt;="&amp;$A1147,Receitas!$L:$L,"&gt;="&amp;$A1147,Receitas!$C:$C,O$1,Receitas!$M:$M,$B1147)</f>
        <v>0</v>
      </c>
      <c r="P1147" s="18">
        <f>SUMIFS(Receitas!$F:$F,Receitas!$J:$J,"&lt;="&amp;$A1147,Receitas!$L:$L,"&gt;="&amp;$A1147,Receitas!$C:$C,P$1,Receitas!$M:$M,"Mensal")+SUMIFS(Receitas!$F:$F,Receitas!$J:$J,"&lt;="&amp;$A1147,Receitas!$L:$L,"&gt;="&amp;$A1147,Receitas!$C:$C,P$1,Receitas!$M:$M,$B1147)</f>
        <v>0</v>
      </c>
      <c r="Q1147" s="18">
        <f>SUMIFS(Receitas!$F:$F,Receitas!$J:$J,"&lt;="&amp;$A1147,Receitas!$L:$L,"&gt;="&amp;$A1147,Receitas!$C:$C,Q$1,Receitas!$M:$M,"Mensal")+SUMIFS(Receitas!$F:$F,Receitas!$J:$J,"&lt;="&amp;$A1147,Receitas!$L:$L,"&gt;="&amp;$A1147,Receitas!$C:$C,Q$1,Receitas!$M:$M,$B1147)</f>
        <v>0</v>
      </c>
      <c r="R1147" s="18" cm="1">
        <f t="array" ref="R1147">(IF(AND(Membros!$F$2="Sim",A1147&lt;=MAX(Membros!$E$2:$E$5)),Membros!K$2,IF(AND(A1147&gt;=Membros!J$2,A1147&lt;=MAX(Membros!$E$2:$E$5)),Membros!K$2,0))+IF(AND(Membros!$F$3="Sim",A1147&lt;=MAX(Membros!$E$2:$E$5)),Membros!K$3,IF(AND(A1147&gt;=Membros!J$3,A1147&lt;=MAX(Membros!$E$2:$E$5)),Membros!K$3,0)))*IF(AND(COUNTIFS(Tabela3[Tipo],"Provedor",Tabela3[Simulação Seguro],"Sim")=2,A1147&gt;=MAX(IF(Tabela3[Tipo]="Dependente",Tabela3[Expectativa de Vida (Data)]))),0,1)</f>
        <v>0</v>
      </c>
      <c r="S1147" s="18">
        <f t="shared" si="142"/>
        <v>0</v>
      </c>
      <c r="U1147" s="18">
        <f t="shared" ca="1" si="145"/>
        <v>199501409.57585678</v>
      </c>
      <c r="V1147" s="18">
        <f>SUMIF(Imóveis!E:E,Dados!A:A,Imóveis!Z:Z)-SUMIF(Imóveis!E:E,Dados!A:A,Imóveis!Y:Y)</f>
        <v>0</v>
      </c>
      <c r="W1147" s="18">
        <f>-SUMIF(Projetos!N:N,A1147,Projetos!F:F)</f>
        <v>0</v>
      </c>
      <c r="X1147" s="18">
        <f t="shared" si="139"/>
        <v>0</v>
      </c>
      <c r="Y1147" s="26">
        <f ca="1">(U1147*((Indicadores_Economicos!D$2+1)^(1/12)-1))</f>
        <v>653115.70113324176</v>
      </c>
      <c r="Z1147" s="18">
        <f t="shared" ca="1" si="143"/>
        <v>200154525.27699003</v>
      </c>
      <c r="AA1147" s="18">
        <f ca="1">Auxiliar_Projetos!E1147</f>
        <v>1.6499093345928786E-8</v>
      </c>
      <c r="AB1147" s="18">
        <f ca="1">Auxiliar_Projetos!K1147</f>
        <v>1.2691610266099052E-8</v>
      </c>
      <c r="AC1147" s="18">
        <f ca="1">IF(Z1147-AA1147-AB1147&gt;Investimentos!$C$14,Investimentos!$C$14,IF(Z1147-AA1147-AB1147&lt;Investimentos!$C$14,Z1147-AA1147-AB1147,0))</f>
        <v>300000</v>
      </c>
      <c r="AD1147" s="18">
        <f t="shared" ca="1" si="144"/>
        <v>199854525.27699</v>
      </c>
      <c r="AE1147" s="18"/>
    </row>
    <row r="1148" spans="1:31" x14ac:dyDescent="0.2">
      <c r="A1148" s="4">
        <v>80537</v>
      </c>
      <c r="B1148" s="5" t="str">
        <f t="shared" si="140"/>
        <v>julho</v>
      </c>
      <c r="C1148" s="5" t="str">
        <f t="shared" si="146"/>
        <v>2120</v>
      </c>
      <c r="D1148" s="5">
        <f>SUMIFS(Despesas!$F:$F,Despesas!$J:$J,"&lt;="&amp;$A1148,Despesas!$L:$L,"&gt;="&amp;$A1148,Despesas!$C:$C,D$1,Despesas!$M:$M,"Mensal")+SUMIFS(Despesas!$F:$F,Despesas!$J:$J,"&lt;="&amp;$A1148,Despesas!$L:$L,"&gt;="&amp;$A1148,Despesas!$C:$C,D$1,Despesas!$M:$M,$B1148)</f>
        <v>0</v>
      </c>
      <c r="E1148" s="18">
        <f>SUMIFS(Despesas!$F:$F,Despesas!$J:$J,"&lt;="&amp;$A1148,Despesas!$L:$L,"&gt;="&amp;$A1148,Despesas!$C:$C,E$1,Despesas!$M:$M,"Mensal")+SUMIFS(Despesas!$F:$F,Despesas!$J:$J,"&lt;="&amp;$A1148,Despesas!$L:$L,"&gt;="&amp;$A1148,Despesas!$C:$C,E$1,Despesas!$M:$M,$B1148)</f>
        <v>0</v>
      </c>
      <c r="F1148" s="5">
        <f>SUMIFS(Despesas!$F:$F,Despesas!$J:$J,"&lt;="&amp;$A1148,Despesas!$L:$L,"&gt;="&amp;$A1148,Despesas!$C:$C,F$1,Despesas!$M:$M,"Mensal")+SUMIFS(Despesas!$F:$F,Despesas!$J:$J,"&lt;="&amp;$A1148,Despesas!$L:$L,"&gt;="&amp;$A1148,Despesas!$C:$C,F$1,Despesas!$M:$M,$B1148)</f>
        <v>0</v>
      </c>
      <c r="G1148" s="5">
        <f>SUMIFS(Despesas!$F:$F,Despesas!$J:$J,"&lt;="&amp;$A1148,Despesas!$L:$L,"&gt;="&amp;$A1148,Despesas!$C:$C,G$1,Despesas!$M:$M,"Mensal")+SUMIFS(Despesas!$F:$F,Despesas!$J:$J,"&lt;="&amp;$A1148,Despesas!$L:$L,"&gt;="&amp;$A1148,Despesas!$C:$C,G$1,Despesas!$M:$M,$B1148)</f>
        <v>0</v>
      </c>
      <c r="H1148" s="18">
        <f>SUMIFS(Despesas!$F:$F,Despesas!$J:$J,"&lt;="&amp;$A1148,Despesas!$L:$L,"&gt;="&amp;$A1148,Despesas!$C:$C,H$1,Despesas!$M:$M,"Mensal")+SUMIFS(Despesas!$F:$F,Despesas!$J:$J,"&lt;="&amp;$A1148,Despesas!$L:$L,"&gt;="&amp;$A1148,Despesas!$C:$C,H$1,Despesas!$M:$M,$B1148)</f>
        <v>0</v>
      </c>
      <c r="I1148" s="18">
        <f>IF(Imóveis!$F$2="PRICE",IF(AND(Dados!$A1148&gt;=Imóveis!$Q$2,Dados!$A1148&lt;=Imóveis!$T$2),Imóveis!$U$2,0),IF((IF(AND(Dados!$A1148&gt;=Imóveis!$Q$2,Dados!$A1148&lt;=Imóveis!$T$2),Imóveis!$S$2-(DATEDIF(Imóveis!$Q$2,Dados!$A1148,"m")),0))=0,0,((Imóveis!$N$2/Imóveis!$S$2)+((Imóveis!$N$2-((Imóveis!$S$2-(IF(AND(Dados!$A1148&gt;=Imóveis!$Q$2,Dados!$A1148&lt;=Imóveis!$T$2),Imóveis!$S$2-(DATEDIF(Imóveis!$Q$2,Dados!$A1148,"m")),)))*(Imóveis!$N$2/Imóveis!$S$2)))*Imóveis!$P$2))))*IF(AND(Imóveis!$E$2&gt;0,Dados!$A1148&gt;Imóveis!$E$2),0,1)</f>
        <v>0</v>
      </c>
      <c r="J1148" s="18">
        <f>IF(Imóveis!$F$3="PRICE",IF(AND(Dados!$A1148&gt;=Imóveis!$Q$3,Dados!$A1148&lt;=Imóveis!$T$3),Imóveis!$U$3,0),IF((IF(AND(Dados!$A1148&gt;=Imóveis!$Q$3,Dados!$A1148&lt;=Imóveis!$T$3),Imóveis!$S$3-(DATEDIF(Imóveis!$Q$3,Dados!$A1148,"m")),0))=0,0,((Imóveis!$N$3/Imóveis!$S$3)+((Imóveis!$N$3-((Imóveis!$S$3-(IF(AND(Dados!$A1148&gt;=Imóveis!$Q$3,Dados!$A1148&lt;=Imóveis!$T$3),Imóveis!$S$3-(DATEDIF(Imóveis!$Q$3,Dados!$A1148,"m")),)))*(Imóveis!$N$3/Imóveis!$S$3)))*Imóveis!$P$3))))*IF(AND(Imóveis!$E$3&gt;0,Dados!$A1148&gt;Imóveis!$E$3),0,1)</f>
        <v>0</v>
      </c>
      <c r="K1148" s="18">
        <f>IF(Imóveis!$F$4="PRICE",IF(AND(Dados!$A1148&gt;=Imóveis!$Q$4,Dados!$A1148&lt;=Imóveis!$T$4),Imóveis!$U$4,0),IF((IF(AND(Dados!$A1148&gt;=Imóveis!$Q$4,Dados!$A1148&lt;=Imóveis!$T$4),Imóveis!$S$4-(DATEDIF(Imóveis!$Q$4,Dados!$A1148,"m")),0))=0,0,((Imóveis!$N$4/Imóveis!$S$4)+((Imóveis!$N$4-((Imóveis!$S$4-(IF(AND(Dados!$A1148&gt;=Imóveis!$Q$4,Dados!$A1148&lt;=Imóveis!$T$4),Imóveis!$S$4-(DATEDIF(Imóveis!$Q$4,Dados!$A1148,"m")),)))*(Imóveis!$N$4/Imóveis!$S$4)))*Imóveis!$P$4))))*IF(AND(Imóveis!$E$4&gt;0,Dados!$A1148&gt;Imóveis!$E$4),0,1)</f>
        <v>0</v>
      </c>
      <c r="L1148" s="18">
        <f>IF(Imóveis!$F$5="PRICE",IF(AND(Dados!$A1148&gt;=Imóveis!$Q$5,Dados!$A1148&lt;=Imóveis!$T$5),Imóveis!$U$5,0),IF((IF(AND(Dados!$A1148&gt;=Imóveis!$Q$5,Dados!$A1148&lt;=Imóveis!$T$5),Imóveis!$S$5-(DATEDIF(Imóveis!$Q$5,Dados!$A1148,"m")),0))=0,0,((Imóveis!$N$5/Imóveis!$S$5)+((Imóveis!$N$5-((Imóveis!$S$5-(IF(AND(Dados!$A1148 &gt;=Imóveis!$Q$5,Dados!$A1148&lt;=Imóveis!$T$5),Imóveis!$S$5-(DATEDIF(Imóveis!$Q$5,Dados!$A1148,"m")),)))*(Imóveis!$N$5/Imóveis!$S$5)))*Imóveis!$P$5))))*IF(AND(Imóveis!$E$5&gt;0,Dados!$A1148&gt;Imóveis!$E$5),0,1)*Imóveis!$I$5</f>
        <v>0</v>
      </c>
      <c r="M1148" s="18">
        <f>IF(Imóveis!$F$6="PRICE",IF(AND(Dados!$A1148&gt;=Imóveis!$Q$6,Dados!$A1148&lt;=Imóveis!$T$6),Imóveis!$U$6,0),IF((IF(AND(Dados!$A1148&gt;=Imóveis!$Q$6,Dados!$A1148&lt;=Imóveis!$T$6),Imóveis!$S$6-(DATEDIF(Imóveis!$Q$6,Dados!$A1148,"m")),0))=0,0,((Imóveis!$N$6/Imóveis!$S$6)+((Imóveis!$N$6-((Imóveis!$S$6-(IF(AND(Dados!$A1148&gt;=Imóveis!$Q$6,Dados!$A1148&lt;=Imóveis!$T$6),Imóveis!$S$6-(DATEDIF(Imóveis!$Q$6,Dados!$A1148,"m")),)))*(Imóveis!$N$6/Imóveis!$S$6)))*Imóveis!$P$6))))*IF(AND(Imóveis!$E$6&gt;0,Dados!$A1148&gt;Imóveis!$E$6),0,1)*Imóveis!$I$6</f>
        <v>0</v>
      </c>
      <c r="N1148" s="18">
        <f t="shared" si="141"/>
        <v>0</v>
      </c>
      <c r="O1148" s="18">
        <f>SUMIFS(Receitas!$F:$F,Receitas!$J:$J,"&lt;="&amp;$A1148,Receitas!$L:$L,"&gt;="&amp;$A1148,Receitas!$C:$C,O$1,Receitas!$M:$M,"Mensal")+SUMIFS(Receitas!$F:$F,Receitas!$J:$J,"&lt;="&amp;$A1148,Receitas!$L:$L,"&gt;="&amp;$A1148,Receitas!$C:$C,O$1,Receitas!$M:$M,$B1148)</f>
        <v>0</v>
      </c>
      <c r="P1148" s="18">
        <f>SUMIFS(Receitas!$F:$F,Receitas!$J:$J,"&lt;="&amp;$A1148,Receitas!$L:$L,"&gt;="&amp;$A1148,Receitas!$C:$C,P$1,Receitas!$M:$M,"Mensal")+SUMIFS(Receitas!$F:$F,Receitas!$J:$J,"&lt;="&amp;$A1148,Receitas!$L:$L,"&gt;="&amp;$A1148,Receitas!$C:$C,P$1,Receitas!$M:$M,$B1148)</f>
        <v>0</v>
      </c>
      <c r="Q1148" s="18">
        <f>SUMIFS(Receitas!$F:$F,Receitas!$J:$J,"&lt;="&amp;$A1148,Receitas!$L:$L,"&gt;="&amp;$A1148,Receitas!$C:$C,Q$1,Receitas!$M:$M,"Mensal")+SUMIFS(Receitas!$F:$F,Receitas!$J:$J,"&lt;="&amp;$A1148,Receitas!$L:$L,"&gt;="&amp;$A1148,Receitas!$C:$C,Q$1,Receitas!$M:$M,$B1148)</f>
        <v>0</v>
      </c>
      <c r="R1148" s="18" cm="1">
        <f t="array" ref="R1148">(IF(AND(Membros!$F$2="Sim",A1148&lt;=MAX(Membros!$E$2:$E$5)),Membros!K$2,IF(AND(A1148&gt;=Membros!J$2,A1148&lt;=MAX(Membros!$E$2:$E$5)),Membros!K$2,0))+IF(AND(Membros!$F$3="Sim",A1148&lt;=MAX(Membros!$E$2:$E$5)),Membros!K$3,IF(AND(A1148&gt;=Membros!J$3,A1148&lt;=MAX(Membros!$E$2:$E$5)),Membros!K$3,0)))*IF(AND(COUNTIFS(Tabela3[Tipo],"Provedor",Tabela3[Simulação Seguro],"Sim")=2,A1148&gt;=MAX(IF(Tabela3[Tipo]="Dependente",Tabela3[Expectativa de Vida (Data)]))),0,1)</f>
        <v>0</v>
      </c>
      <c r="S1148" s="18">
        <f t="shared" si="142"/>
        <v>0</v>
      </c>
      <c r="U1148" s="18">
        <f t="shared" ca="1" si="145"/>
        <v>200154525.27699003</v>
      </c>
      <c r="V1148" s="18">
        <f>SUMIF(Imóveis!E:E,Dados!A:A,Imóveis!Z:Z)-SUMIF(Imóveis!E:E,Dados!A:A,Imóveis!Y:Y)</f>
        <v>0</v>
      </c>
      <c r="W1148" s="18">
        <f>-SUMIF(Projetos!N:N,A1148,Projetos!F:F)</f>
        <v>0</v>
      </c>
      <c r="X1148" s="18">
        <f t="shared" si="139"/>
        <v>0</v>
      </c>
      <c r="Y1148" s="26">
        <f ca="1">(U1148*((Indicadores_Economicos!D$2+1)^(1/12)-1))</f>
        <v>655253.83198642044</v>
      </c>
      <c r="Z1148" s="18">
        <f t="shared" ca="1" si="143"/>
        <v>200809779.10897645</v>
      </c>
      <c r="AA1148" s="18">
        <f ca="1">Auxiliar_Projetos!E1148</f>
        <v>1.6553107084185566E-8</v>
      </c>
      <c r="AB1148" s="18">
        <f ca="1">Auxiliar_Projetos!K1148</f>
        <v>1.2733159295527344E-8</v>
      </c>
      <c r="AC1148" s="18">
        <f ca="1">IF(Z1148-AA1148-AB1148&gt;Investimentos!$C$14,Investimentos!$C$14,IF(Z1148-AA1148-AB1148&lt;Investimentos!$C$14,Z1148-AA1148-AB1148,0))</f>
        <v>300000</v>
      </c>
      <c r="AD1148" s="18">
        <f t="shared" ca="1" si="144"/>
        <v>200509779.10897642</v>
      </c>
      <c r="AE1148" s="18"/>
    </row>
    <row r="1149" spans="1:31" x14ac:dyDescent="0.2">
      <c r="A1149" s="4">
        <v>80568</v>
      </c>
      <c r="B1149" s="5" t="str">
        <f t="shared" si="140"/>
        <v>agosto</v>
      </c>
      <c r="C1149" s="5" t="str">
        <f t="shared" si="146"/>
        <v>2120</v>
      </c>
      <c r="D1149" s="5">
        <f>SUMIFS(Despesas!$F:$F,Despesas!$J:$J,"&lt;="&amp;$A1149,Despesas!$L:$L,"&gt;="&amp;$A1149,Despesas!$C:$C,D$1,Despesas!$M:$M,"Mensal")+SUMIFS(Despesas!$F:$F,Despesas!$J:$J,"&lt;="&amp;$A1149,Despesas!$L:$L,"&gt;="&amp;$A1149,Despesas!$C:$C,D$1,Despesas!$M:$M,$B1149)</f>
        <v>0</v>
      </c>
      <c r="E1149" s="18">
        <f>SUMIFS(Despesas!$F:$F,Despesas!$J:$J,"&lt;="&amp;$A1149,Despesas!$L:$L,"&gt;="&amp;$A1149,Despesas!$C:$C,E$1,Despesas!$M:$M,"Mensal")+SUMIFS(Despesas!$F:$F,Despesas!$J:$J,"&lt;="&amp;$A1149,Despesas!$L:$L,"&gt;="&amp;$A1149,Despesas!$C:$C,E$1,Despesas!$M:$M,$B1149)</f>
        <v>0</v>
      </c>
      <c r="F1149" s="5">
        <f>SUMIFS(Despesas!$F:$F,Despesas!$J:$J,"&lt;="&amp;$A1149,Despesas!$L:$L,"&gt;="&amp;$A1149,Despesas!$C:$C,F$1,Despesas!$M:$M,"Mensal")+SUMIFS(Despesas!$F:$F,Despesas!$J:$J,"&lt;="&amp;$A1149,Despesas!$L:$L,"&gt;="&amp;$A1149,Despesas!$C:$C,F$1,Despesas!$M:$M,$B1149)</f>
        <v>0</v>
      </c>
      <c r="G1149" s="5">
        <f>SUMIFS(Despesas!$F:$F,Despesas!$J:$J,"&lt;="&amp;$A1149,Despesas!$L:$L,"&gt;="&amp;$A1149,Despesas!$C:$C,G$1,Despesas!$M:$M,"Mensal")+SUMIFS(Despesas!$F:$F,Despesas!$J:$J,"&lt;="&amp;$A1149,Despesas!$L:$L,"&gt;="&amp;$A1149,Despesas!$C:$C,G$1,Despesas!$M:$M,$B1149)</f>
        <v>0</v>
      </c>
      <c r="H1149" s="18">
        <f>SUMIFS(Despesas!$F:$F,Despesas!$J:$J,"&lt;="&amp;$A1149,Despesas!$L:$L,"&gt;="&amp;$A1149,Despesas!$C:$C,H$1,Despesas!$M:$M,"Mensal")+SUMIFS(Despesas!$F:$F,Despesas!$J:$J,"&lt;="&amp;$A1149,Despesas!$L:$L,"&gt;="&amp;$A1149,Despesas!$C:$C,H$1,Despesas!$M:$M,$B1149)</f>
        <v>0</v>
      </c>
      <c r="I1149" s="18">
        <f>IF(Imóveis!$F$2="PRICE",IF(AND(Dados!$A1149&gt;=Imóveis!$Q$2,Dados!$A1149&lt;=Imóveis!$T$2),Imóveis!$U$2,0),IF((IF(AND(Dados!$A1149&gt;=Imóveis!$Q$2,Dados!$A1149&lt;=Imóveis!$T$2),Imóveis!$S$2-(DATEDIF(Imóveis!$Q$2,Dados!$A1149,"m")),0))=0,0,((Imóveis!$N$2/Imóveis!$S$2)+((Imóveis!$N$2-((Imóveis!$S$2-(IF(AND(Dados!$A1149&gt;=Imóveis!$Q$2,Dados!$A1149&lt;=Imóveis!$T$2),Imóveis!$S$2-(DATEDIF(Imóveis!$Q$2,Dados!$A1149,"m")),)))*(Imóveis!$N$2/Imóveis!$S$2)))*Imóveis!$P$2))))*IF(AND(Imóveis!$E$2&gt;0,Dados!$A1149&gt;Imóveis!$E$2),0,1)</f>
        <v>0</v>
      </c>
      <c r="J1149" s="18">
        <f>IF(Imóveis!$F$3="PRICE",IF(AND(Dados!$A1149&gt;=Imóveis!$Q$3,Dados!$A1149&lt;=Imóveis!$T$3),Imóveis!$U$3,0),IF((IF(AND(Dados!$A1149&gt;=Imóveis!$Q$3,Dados!$A1149&lt;=Imóveis!$T$3),Imóveis!$S$3-(DATEDIF(Imóveis!$Q$3,Dados!$A1149,"m")),0))=0,0,((Imóveis!$N$3/Imóveis!$S$3)+((Imóveis!$N$3-((Imóveis!$S$3-(IF(AND(Dados!$A1149&gt;=Imóveis!$Q$3,Dados!$A1149&lt;=Imóveis!$T$3),Imóveis!$S$3-(DATEDIF(Imóveis!$Q$3,Dados!$A1149,"m")),)))*(Imóveis!$N$3/Imóveis!$S$3)))*Imóveis!$P$3))))*IF(AND(Imóveis!$E$3&gt;0,Dados!$A1149&gt;Imóveis!$E$3),0,1)</f>
        <v>0</v>
      </c>
      <c r="K1149" s="18">
        <f>IF(Imóveis!$F$4="PRICE",IF(AND(Dados!$A1149&gt;=Imóveis!$Q$4,Dados!$A1149&lt;=Imóveis!$T$4),Imóveis!$U$4,0),IF((IF(AND(Dados!$A1149&gt;=Imóveis!$Q$4,Dados!$A1149&lt;=Imóveis!$T$4),Imóveis!$S$4-(DATEDIF(Imóveis!$Q$4,Dados!$A1149,"m")),0))=0,0,((Imóveis!$N$4/Imóveis!$S$4)+((Imóveis!$N$4-((Imóveis!$S$4-(IF(AND(Dados!$A1149&gt;=Imóveis!$Q$4,Dados!$A1149&lt;=Imóveis!$T$4),Imóveis!$S$4-(DATEDIF(Imóveis!$Q$4,Dados!$A1149,"m")),)))*(Imóveis!$N$4/Imóveis!$S$4)))*Imóveis!$P$4))))*IF(AND(Imóveis!$E$4&gt;0,Dados!$A1149&gt;Imóveis!$E$4),0,1)</f>
        <v>0</v>
      </c>
      <c r="L1149" s="18">
        <f>IF(Imóveis!$F$5="PRICE",IF(AND(Dados!$A1149&gt;=Imóveis!$Q$5,Dados!$A1149&lt;=Imóveis!$T$5),Imóveis!$U$5,0),IF((IF(AND(Dados!$A1149&gt;=Imóveis!$Q$5,Dados!$A1149&lt;=Imóveis!$T$5),Imóveis!$S$5-(DATEDIF(Imóveis!$Q$5,Dados!$A1149,"m")),0))=0,0,((Imóveis!$N$5/Imóveis!$S$5)+((Imóveis!$N$5-((Imóveis!$S$5-(IF(AND(Dados!$A1149 &gt;=Imóveis!$Q$5,Dados!$A1149&lt;=Imóveis!$T$5),Imóveis!$S$5-(DATEDIF(Imóveis!$Q$5,Dados!$A1149,"m")),)))*(Imóveis!$N$5/Imóveis!$S$5)))*Imóveis!$P$5))))*IF(AND(Imóveis!$E$5&gt;0,Dados!$A1149&gt;Imóveis!$E$5),0,1)*Imóveis!$I$5</f>
        <v>0</v>
      </c>
      <c r="M1149" s="18">
        <f>IF(Imóveis!$F$6="PRICE",IF(AND(Dados!$A1149&gt;=Imóveis!$Q$6,Dados!$A1149&lt;=Imóveis!$T$6),Imóveis!$U$6,0),IF((IF(AND(Dados!$A1149&gt;=Imóveis!$Q$6,Dados!$A1149&lt;=Imóveis!$T$6),Imóveis!$S$6-(DATEDIF(Imóveis!$Q$6,Dados!$A1149,"m")),0))=0,0,((Imóveis!$N$6/Imóveis!$S$6)+((Imóveis!$N$6-((Imóveis!$S$6-(IF(AND(Dados!$A1149&gt;=Imóveis!$Q$6,Dados!$A1149&lt;=Imóveis!$T$6),Imóveis!$S$6-(DATEDIF(Imóveis!$Q$6,Dados!$A1149,"m")),)))*(Imóveis!$N$6/Imóveis!$S$6)))*Imóveis!$P$6))))*IF(AND(Imóveis!$E$6&gt;0,Dados!$A1149&gt;Imóveis!$E$6),0,1)*Imóveis!$I$6</f>
        <v>0</v>
      </c>
      <c r="N1149" s="18">
        <f t="shared" si="141"/>
        <v>0</v>
      </c>
      <c r="O1149" s="18">
        <f>SUMIFS(Receitas!$F:$F,Receitas!$J:$J,"&lt;="&amp;$A1149,Receitas!$L:$L,"&gt;="&amp;$A1149,Receitas!$C:$C,O$1,Receitas!$M:$M,"Mensal")+SUMIFS(Receitas!$F:$F,Receitas!$J:$J,"&lt;="&amp;$A1149,Receitas!$L:$L,"&gt;="&amp;$A1149,Receitas!$C:$C,O$1,Receitas!$M:$M,$B1149)</f>
        <v>0</v>
      </c>
      <c r="P1149" s="18">
        <f>SUMIFS(Receitas!$F:$F,Receitas!$J:$J,"&lt;="&amp;$A1149,Receitas!$L:$L,"&gt;="&amp;$A1149,Receitas!$C:$C,P$1,Receitas!$M:$M,"Mensal")+SUMIFS(Receitas!$F:$F,Receitas!$J:$J,"&lt;="&amp;$A1149,Receitas!$L:$L,"&gt;="&amp;$A1149,Receitas!$C:$C,P$1,Receitas!$M:$M,$B1149)</f>
        <v>0</v>
      </c>
      <c r="Q1149" s="18">
        <f>SUMIFS(Receitas!$F:$F,Receitas!$J:$J,"&lt;="&amp;$A1149,Receitas!$L:$L,"&gt;="&amp;$A1149,Receitas!$C:$C,Q$1,Receitas!$M:$M,"Mensal")+SUMIFS(Receitas!$F:$F,Receitas!$J:$J,"&lt;="&amp;$A1149,Receitas!$L:$L,"&gt;="&amp;$A1149,Receitas!$C:$C,Q$1,Receitas!$M:$M,$B1149)</f>
        <v>0</v>
      </c>
      <c r="R1149" s="18" cm="1">
        <f t="array" ref="R1149">(IF(AND(Membros!$F$2="Sim",A1149&lt;=MAX(Membros!$E$2:$E$5)),Membros!K$2,IF(AND(A1149&gt;=Membros!J$2,A1149&lt;=MAX(Membros!$E$2:$E$5)),Membros!K$2,0))+IF(AND(Membros!$F$3="Sim",A1149&lt;=MAX(Membros!$E$2:$E$5)),Membros!K$3,IF(AND(A1149&gt;=Membros!J$3,A1149&lt;=MAX(Membros!$E$2:$E$5)),Membros!K$3,0)))*IF(AND(COUNTIFS(Tabela3[Tipo],"Provedor",Tabela3[Simulação Seguro],"Sim")=2,A1149&gt;=MAX(IF(Tabela3[Tipo]="Dependente",Tabela3[Expectativa de Vida (Data)]))),0,1)</f>
        <v>0</v>
      </c>
      <c r="S1149" s="18">
        <f t="shared" si="142"/>
        <v>0</v>
      </c>
      <c r="U1149" s="18">
        <f t="shared" ca="1" si="145"/>
        <v>200809779.10897645</v>
      </c>
      <c r="V1149" s="18">
        <f>SUMIF(Imóveis!E:E,Dados!A:A,Imóveis!Z:Z)-SUMIF(Imóveis!E:E,Dados!A:A,Imóveis!Y:Y)</f>
        <v>0</v>
      </c>
      <c r="W1149" s="18">
        <f>-SUMIF(Projetos!N:N,A1149,Projetos!F:F)</f>
        <v>0</v>
      </c>
      <c r="X1149" s="18">
        <f t="shared" si="139"/>
        <v>0</v>
      </c>
      <c r="Y1149" s="26">
        <f ca="1">(U1149*((Indicadores_Economicos!D$2+1)^(1/12)-1))</f>
        <v>657398.96252363268</v>
      </c>
      <c r="Z1149" s="18">
        <f t="shared" ca="1" si="143"/>
        <v>201467178.07150009</v>
      </c>
      <c r="AA1149" s="18">
        <f ca="1">Auxiliar_Projetos!E1149</f>
        <v>1.6607297649366063E-8</v>
      </c>
      <c r="AB1149" s="18">
        <f ca="1">Auxiliar_Projetos!K1149</f>
        <v>1.2774844345666187E-8</v>
      </c>
      <c r="AC1149" s="18">
        <f ca="1">IF(Z1149-AA1149-AB1149&gt;Investimentos!$C$14,Investimentos!$C$14,IF(Z1149-AA1149-AB1149&lt;Investimentos!$C$14,Z1149-AA1149-AB1149,0))</f>
        <v>300000</v>
      </c>
      <c r="AD1149" s="18">
        <f t="shared" ca="1" si="144"/>
        <v>201167178.07150006</v>
      </c>
      <c r="AE1149" s="18"/>
    </row>
    <row r="1150" spans="1:31" x14ac:dyDescent="0.2">
      <c r="A1150" s="4">
        <v>80599</v>
      </c>
      <c r="B1150" s="5" t="str">
        <f t="shared" si="140"/>
        <v>setembro</v>
      </c>
      <c r="C1150" s="5" t="str">
        <f t="shared" si="146"/>
        <v>2120</v>
      </c>
      <c r="D1150" s="5">
        <f>SUMIFS(Despesas!$F:$F,Despesas!$J:$J,"&lt;="&amp;$A1150,Despesas!$L:$L,"&gt;="&amp;$A1150,Despesas!$C:$C,D$1,Despesas!$M:$M,"Mensal")+SUMIFS(Despesas!$F:$F,Despesas!$J:$J,"&lt;="&amp;$A1150,Despesas!$L:$L,"&gt;="&amp;$A1150,Despesas!$C:$C,D$1,Despesas!$M:$M,$B1150)</f>
        <v>0</v>
      </c>
      <c r="E1150" s="18">
        <f>SUMIFS(Despesas!$F:$F,Despesas!$J:$J,"&lt;="&amp;$A1150,Despesas!$L:$L,"&gt;="&amp;$A1150,Despesas!$C:$C,E$1,Despesas!$M:$M,"Mensal")+SUMIFS(Despesas!$F:$F,Despesas!$J:$J,"&lt;="&amp;$A1150,Despesas!$L:$L,"&gt;="&amp;$A1150,Despesas!$C:$C,E$1,Despesas!$M:$M,$B1150)</f>
        <v>0</v>
      </c>
      <c r="F1150" s="5">
        <f>SUMIFS(Despesas!$F:$F,Despesas!$J:$J,"&lt;="&amp;$A1150,Despesas!$L:$L,"&gt;="&amp;$A1150,Despesas!$C:$C,F$1,Despesas!$M:$M,"Mensal")+SUMIFS(Despesas!$F:$F,Despesas!$J:$J,"&lt;="&amp;$A1150,Despesas!$L:$L,"&gt;="&amp;$A1150,Despesas!$C:$C,F$1,Despesas!$M:$M,$B1150)</f>
        <v>0</v>
      </c>
      <c r="G1150" s="5">
        <f>SUMIFS(Despesas!$F:$F,Despesas!$J:$J,"&lt;="&amp;$A1150,Despesas!$L:$L,"&gt;="&amp;$A1150,Despesas!$C:$C,G$1,Despesas!$M:$M,"Mensal")+SUMIFS(Despesas!$F:$F,Despesas!$J:$J,"&lt;="&amp;$A1150,Despesas!$L:$L,"&gt;="&amp;$A1150,Despesas!$C:$C,G$1,Despesas!$M:$M,$B1150)</f>
        <v>0</v>
      </c>
      <c r="H1150" s="18">
        <f>SUMIFS(Despesas!$F:$F,Despesas!$J:$J,"&lt;="&amp;$A1150,Despesas!$L:$L,"&gt;="&amp;$A1150,Despesas!$C:$C,H$1,Despesas!$M:$M,"Mensal")+SUMIFS(Despesas!$F:$F,Despesas!$J:$J,"&lt;="&amp;$A1150,Despesas!$L:$L,"&gt;="&amp;$A1150,Despesas!$C:$C,H$1,Despesas!$M:$M,$B1150)</f>
        <v>0</v>
      </c>
      <c r="I1150" s="18">
        <f>IF(Imóveis!$F$2="PRICE",IF(AND(Dados!$A1150&gt;=Imóveis!$Q$2,Dados!$A1150&lt;=Imóveis!$T$2),Imóveis!$U$2,0),IF((IF(AND(Dados!$A1150&gt;=Imóveis!$Q$2,Dados!$A1150&lt;=Imóveis!$T$2),Imóveis!$S$2-(DATEDIF(Imóveis!$Q$2,Dados!$A1150,"m")),0))=0,0,((Imóveis!$N$2/Imóveis!$S$2)+((Imóveis!$N$2-((Imóveis!$S$2-(IF(AND(Dados!$A1150&gt;=Imóveis!$Q$2,Dados!$A1150&lt;=Imóveis!$T$2),Imóveis!$S$2-(DATEDIF(Imóveis!$Q$2,Dados!$A1150,"m")),)))*(Imóveis!$N$2/Imóveis!$S$2)))*Imóveis!$P$2))))*IF(AND(Imóveis!$E$2&gt;0,Dados!$A1150&gt;Imóveis!$E$2),0,1)</f>
        <v>0</v>
      </c>
      <c r="J1150" s="18">
        <f>IF(Imóveis!$F$3="PRICE",IF(AND(Dados!$A1150&gt;=Imóveis!$Q$3,Dados!$A1150&lt;=Imóveis!$T$3),Imóveis!$U$3,0),IF((IF(AND(Dados!$A1150&gt;=Imóveis!$Q$3,Dados!$A1150&lt;=Imóveis!$T$3),Imóveis!$S$3-(DATEDIF(Imóveis!$Q$3,Dados!$A1150,"m")),0))=0,0,((Imóveis!$N$3/Imóveis!$S$3)+((Imóveis!$N$3-((Imóveis!$S$3-(IF(AND(Dados!$A1150&gt;=Imóveis!$Q$3,Dados!$A1150&lt;=Imóveis!$T$3),Imóveis!$S$3-(DATEDIF(Imóveis!$Q$3,Dados!$A1150,"m")),)))*(Imóveis!$N$3/Imóveis!$S$3)))*Imóveis!$P$3))))*IF(AND(Imóveis!$E$3&gt;0,Dados!$A1150&gt;Imóveis!$E$3),0,1)</f>
        <v>0</v>
      </c>
      <c r="K1150" s="18">
        <f>IF(Imóveis!$F$4="PRICE",IF(AND(Dados!$A1150&gt;=Imóveis!$Q$4,Dados!$A1150&lt;=Imóveis!$T$4),Imóveis!$U$4,0),IF((IF(AND(Dados!$A1150&gt;=Imóveis!$Q$4,Dados!$A1150&lt;=Imóveis!$T$4),Imóveis!$S$4-(DATEDIF(Imóveis!$Q$4,Dados!$A1150,"m")),0))=0,0,((Imóveis!$N$4/Imóveis!$S$4)+((Imóveis!$N$4-((Imóveis!$S$4-(IF(AND(Dados!$A1150&gt;=Imóveis!$Q$4,Dados!$A1150&lt;=Imóveis!$T$4),Imóveis!$S$4-(DATEDIF(Imóveis!$Q$4,Dados!$A1150,"m")),)))*(Imóveis!$N$4/Imóveis!$S$4)))*Imóveis!$P$4))))*IF(AND(Imóveis!$E$4&gt;0,Dados!$A1150&gt;Imóveis!$E$4),0,1)</f>
        <v>0</v>
      </c>
      <c r="L1150" s="18">
        <f>IF(Imóveis!$F$5="PRICE",IF(AND(Dados!$A1150&gt;=Imóveis!$Q$5,Dados!$A1150&lt;=Imóveis!$T$5),Imóveis!$U$5,0),IF((IF(AND(Dados!$A1150&gt;=Imóveis!$Q$5,Dados!$A1150&lt;=Imóveis!$T$5),Imóveis!$S$5-(DATEDIF(Imóveis!$Q$5,Dados!$A1150,"m")),0))=0,0,((Imóveis!$N$5/Imóveis!$S$5)+((Imóveis!$N$5-((Imóveis!$S$5-(IF(AND(Dados!$A1150 &gt;=Imóveis!$Q$5,Dados!$A1150&lt;=Imóveis!$T$5),Imóveis!$S$5-(DATEDIF(Imóveis!$Q$5,Dados!$A1150,"m")),)))*(Imóveis!$N$5/Imóveis!$S$5)))*Imóveis!$P$5))))*IF(AND(Imóveis!$E$5&gt;0,Dados!$A1150&gt;Imóveis!$E$5),0,1)*Imóveis!$I$5</f>
        <v>0</v>
      </c>
      <c r="M1150" s="18">
        <f>IF(Imóveis!$F$6="PRICE",IF(AND(Dados!$A1150&gt;=Imóveis!$Q$6,Dados!$A1150&lt;=Imóveis!$T$6),Imóveis!$U$6,0),IF((IF(AND(Dados!$A1150&gt;=Imóveis!$Q$6,Dados!$A1150&lt;=Imóveis!$T$6),Imóveis!$S$6-(DATEDIF(Imóveis!$Q$6,Dados!$A1150,"m")),0))=0,0,((Imóveis!$N$6/Imóveis!$S$6)+((Imóveis!$N$6-((Imóveis!$S$6-(IF(AND(Dados!$A1150&gt;=Imóveis!$Q$6,Dados!$A1150&lt;=Imóveis!$T$6),Imóveis!$S$6-(DATEDIF(Imóveis!$Q$6,Dados!$A1150,"m")),)))*(Imóveis!$N$6/Imóveis!$S$6)))*Imóveis!$P$6))))*IF(AND(Imóveis!$E$6&gt;0,Dados!$A1150&gt;Imóveis!$E$6),0,1)*Imóveis!$I$6</f>
        <v>0</v>
      </c>
      <c r="N1150" s="18">
        <f t="shared" si="141"/>
        <v>0</v>
      </c>
      <c r="O1150" s="18">
        <f>SUMIFS(Receitas!$F:$F,Receitas!$J:$J,"&lt;="&amp;$A1150,Receitas!$L:$L,"&gt;="&amp;$A1150,Receitas!$C:$C,O$1,Receitas!$M:$M,"Mensal")+SUMIFS(Receitas!$F:$F,Receitas!$J:$J,"&lt;="&amp;$A1150,Receitas!$L:$L,"&gt;="&amp;$A1150,Receitas!$C:$C,O$1,Receitas!$M:$M,$B1150)</f>
        <v>0</v>
      </c>
      <c r="P1150" s="18">
        <f>SUMIFS(Receitas!$F:$F,Receitas!$J:$J,"&lt;="&amp;$A1150,Receitas!$L:$L,"&gt;="&amp;$A1150,Receitas!$C:$C,P$1,Receitas!$M:$M,"Mensal")+SUMIFS(Receitas!$F:$F,Receitas!$J:$J,"&lt;="&amp;$A1150,Receitas!$L:$L,"&gt;="&amp;$A1150,Receitas!$C:$C,P$1,Receitas!$M:$M,$B1150)</f>
        <v>0</v>
      </c>
      <c r="Q1150" s="18">
        <f>SUMIFS(Receitas!$F:$F,Receitas!$J:$J,"&lt;="&amp;$A1150,Receitas!$L:$L,"&gt;="&amp;$A1150,Receitas!$C:$C,Q$1,Receitas!$M:$M,"Mensal")+SUMIFS(Receitas!$F:$F,Receitas!$J:$J,"&lt;="&amp;$A1150,Receitas!$L:$L,"&gt;="&amp;$A1150,Receitas!$C:$C,Q$1,Receitas!$M:$M,$B1150)</f>
        <v>0</v>
      </c>
      <c r="R1150" s="18" cm="1">
        <f t="array" ref="R1150">(IF(AND(Membros!$F$2="Sim",A1150&lt;=MAX(Membros!$E$2:$E$5)),Membros!K$2,IF(AND(A1150&gt;=Membros!J$2,A1150&lt;=MAX(Membros!$E$2:$E$5)),Membros!K$2,0))+IF(AND(Membros!$F$3="Sim",A1150&lt;=MAX(Membros!$E$2:$E$5)),Membros!K$3,IF(AND(A1150&gt;=Membros!J$3,A1150&lt;=MAX(Membros!$E$2:$E$5)),Membros!K$3,0)))*IF(AND(COUNTIFS(Tabela3[Tipo],"Provedor",Tabela3[Simulação Seguro],"Sim")=2,A1150&gt;=MAX(IF(Tabela3[Tipo]="Dependente",Tabela3[Expectativa de Vida (Data)]))),0,1)</f>
        <v>0</v>
      </c>
      <c r="S1150" s="18">
        <f t="shared" si="142"/>
        <v>0</v>
      </c>
      <c r="U1150" s="18">
        <f t="shared" ca="1" si="145"/>
        <v>201467178.07150009</v>
      </c>
      <c r="V1150" s="18">
        <f>SUMIF(Imóveis!E:E,Dados!A:A,Imóveis!Z:Z)-SUMIF(Imóveis!E:E,Dados!A:A,Imóveis!Y:Y)</f>
        <v>0</v>
      </c>
      <c r="W1150" s="18">
        <f>-SUMIF(Projetos!N:N,A1150,Projetos!F:F)</f>
        <v>0</v>
      </c>
      <c r="X1150" s="18">
        <f t="shared" si="139"/>
        <v>0</v>
      </c>
      <c r="Y1150" s="26">
        <f ca="1">(U1150*((Indicadores_Economicos!D$2+1)^(1/12)-1))</f>
        <v>659551.11566002259</v>
      </c>
      <c r="Z1150" s="18">
        <f t="shared" ca="1" si="143"/>
        <v>202126729.1871601</v>
      </c>
      <c r="AA1150" s="18">
        <f ca="1">Auxiliar_Projetos!E1150</f>
        <v>1.6661665620355611E-8</v>
      </c>
      <c r="AB1150" s="18">
        <f ca="1">Auxiliar_Projetos!K1150</f>
        <v>1.2816665861811994E-8</v>
      </c>
      <c r="AC1150" s="18">
        <f ca="1">IF(Z1150-AA1150-AB1150&gt;Investimentos!$C$14,Investimentos!$C$14,IF(Z1150-AA1150-AB1150&lt;Investimentos!$C$14,Z1150-AA1150-AB1150,0))</f>
        <v>300000</v>
      </c>
      <c r="AD1150" s="18">
        <f t="shared" ca="1" si="144"/>
        <v>201826729.18716007</v>
      </c>
      <c r="AE1150" s="18"/>
    </row>
    <row r="1151" spans="1:31" x14ac:dyDescent="0.2">
      <c r="A1151" s="4">
        <v>80629</v>
      </c>
      <c r="B1151" s="5" t="str">
        <f t="shared" si="140"/>
        <v>outubro</v>
      </c>
      <c r="C1151" s="5" t="str">
        <f t="shared" si="146"/>
        <v>2120</v>
      </c>
      <c r="D1151" s="5">
        <f>SUMIFS(Despesas!$F:$F,Despesas!$J:$J,"&lt;="&amp;$A1151,Despesas!$L:$L,"&gt;="&amp;$A1151,Despesas!$C:$C,D$1,Despesas!$M:$M,"Mensal")+SUMIFS(Despesas!$F:$F,Despesas!$J:$J,"&lt;="&amp;$A1151,Despesas!$L:$L,"&gt;="&amp;$A1151,Despesas!$C:$C,D$1,Despesas!$M:$M,$B1151)</f>
        <v>0</v>
      </c>
      <c r="E1151" s="18">
        <f>SUMIFS(Despesas!$F:$F,Despesas!$J:$J,"&lt;="&amp;$A1151,Despesas!$L:$L,"&gt;="&amp;$A1151,Despesas!$C:$C,E$1,Despesas!$M:$M,"Mensal")+SUMIFS(Despesas!$F:$F,Despesas!$J:$J,"&lt;="&amp;$A1151,Despesas!$L:$L,"&gt;="&amp;$A1151,Despesas!$C:$C,E$1,Despesas!$M:$M,$B1151)</f>
        <v>0</v>
      </c>
      <c r="F1151" s="5">
        <f>SUMIFS(Despesas!$F:$F,Despesas!$J:$J,"&lt;="&amp;$A1151,Despesas!$L:$L,"&gt;="&amp;$A1151,Despesas!$C:$C,F$1,Despesas!$M:$M,"Mensal")+SUMIFS(Despesas!$F:$F,Despesas!$J:$J,"&lt;="&amp;$A1151,Despesas!$L:$L,"&gt;="&amp;$A1151,Despesas!$C:$C,F$1,Despesas!$M:$M,$B1151)</f>
        <v>0</v>
      </c>
      <c r="G1151" s="5">
        <f>SUMIFS(Despesas!$F:$F,Despesas!$J:$J,"&lt;="&amp;$A1151,Despesas!$L:$L,"&gt;="&amp;$A1151,Despesas!$C:$C,G$1,Despesas!$M:$M,"Mensal")+SUMIFS(Despesas!$F:$F,Despesas!$J:$J,"&lt;="&amp;$A1151,Despesas!$L:$L,"&gt;="&amp;$A1151,Despesas!$C:$C,G$1,Despesas!$M:$M,$B1151)</f>
        <v>0</v>
      </c>
      <c r="H1151" s="18">
        <f>SUMIFS(Despesas!$F:$F,Despesas!$J:$J,"&lt;="&amp;$A1151,Despesas!$L:$L,"&gt;="&amp;$A1151,Despesas!$C:$C,H$1,Despesas!$M:$M,"Mensal")+SUMIFS(Despesas!$F:$F,Despesas!$J:$J,"&lt;="&amp;$A1151,Despesas!$L:$L,"&gt;="&amp;$A1151,Despesas!$C:$C,H$1,Despesas!$M:$M,$B1151)</f>
        <v>0</v>
      </c>
      <c r="I1151" s="18">
        <f>IF(Imóveis!$F$2="PRICE",IF(AND(Dados!$A1151&gt;=Imóveis!$Q$2,Dados!$A1151&lt;=Imóveis!$T$2),Imóveis!$U$2,0),IF((IF(AND(Dados!$A1151&gt;=Imóveis!$Q$2,Dados!$A1151&lt;=Imóveis!$T$2),Imóveis!$S$2-(DATEDIF(Imóveis!$Q$2,Dados!$A1151,"m")),0))=0,0,((Imóveis!$N$2/Imóveis!$S$2)+((Imóveis!$N$2-((Imóveis!$S$2-(IF(AND(Dados!$A1151&gt;=Imóveis!$Q$2,Dados!$A1151&lt;=Imóveis!$T$2),Imóveis!$S$2-(DATEDIF(Imóveis!$Q$2,Dados!$A1151,"m")),)))*(Imóveis!$N$2/Imóveis!$S$2)))*Imóveis!$P$2))))*IF(AND(Imóveis!$E$2&gt;0,Dados!$A1151&gt;Imóveis!$E$2),0,1)</f>
        <v>0</v>
      </c>
      <c r="J1151" s="18">
        <f>IF(Imóveis!$F$3="PRICE",IF(AND(Dados!$A1151&gt;=Imóveis!$Q$3,Dados!$A1151&lt;=Imóveis!$T$3),Imóveis!$U$3,0),IF((IF(AND(Dados!$A1151&gt;=Imóveis!$Q$3,Dados!$A1151&lt;=Imóveis!$T$3),Imóveis!$S$3-(DATEDIF(Imóveis!$Q$3,Dados!$A1151,"m")),0))=0,0,((Imóveis!$N$3/Imóveis!$S$3)+((Imóveis!$N$3-((Imóveis!$S$3-(IF(AND(Dados!$A1151&gt;=Imóveis!$Q$3,Dados!$A1151&lt;=Imóveis!$T$3),Imóveis!$S$3-(DATEDIF(Imóveis!$Q$3,Dados!$A1151,"m")),)))*(Imóveis!$N$3/Imóveis!$S$3)))*Imóveis!$P$3))))*IF(AND(Imóveis!$E$3&gt;0,Dados!$A1151&gt;Imóveis!$E$3),0,1)</f>
        <v>0</v>
      </c>
      <c r="K1151" s="18">
        <f>IF(Imóveis!$F$4="PRICE",IF(AND(Dados!$A1151&gt;=Imóveis!$Q$4,Dados!$A1151&lt;=Imóveis!$T$4),Imóveis!$U$4,0),IF((IF(AND(Dados!$A1151&gt;=Imóveis!$Q$4,Dados!$A1151&lt;=Imóveis!$T$4),Imóveis!$S$4-(DATEDIF(Imóveis!$Q$4,Dados!$A1151,"m")),0))=0,0,((Imóveis!$N$4/Imóveis!$S$4)+((Imóveis!$N$4-((Imóveis!$S$4-(IF(AND(Dados!$A1151&gt;=Imóveis!$Q$4,Dados!$A1151&lt;=Imóveis!$T$4),Imóveis!$S$4-(DATEDIF(Imóveis!$Q$4,Dados!$A1151,"m")),)))*(Imóveis!$N$4/Imóveis!$S$4)))*Imóveis!$P$4))))*IF(AND(Imóveis!$E$4&gt;0,Dados!$A1151&gt;Imóveis!$E$4),0,1)</f>
        <v>0</v>
      </c>
      <c r="L1151" s="18">
        <f>IF(Imóveis!$F$5="PRICE",IF(AND(Dados!$A1151&gt;=Imóveis!$Q$5,Dados!$A1151&lt;=Imóveis!$T$5),Imóveis!$U$5,0),IF((IF(AND(Dados!$A1151&gt;=Imóveis!$Q$5,Dados!$A1151&lt;=Imóveis!$T$5),Imóveis!$S$5-(DATEDIF(Imóveis!$Q$5,Dados!$A1151,"m")),0))=0,0,((Imóveis!$N$5/Imóveis!$S$5)+((Imóveis!$N$5-((Imóveis!$S$5-(IF(AND(Dados!$A1151 &gt;=Imóveis!$Q$5,Dados!$A1151&lt;=Imóveis!$T$5),Imóveis!$S$5-(DATEDIF(Imóveis!$Q$5,Dados!$A1151,"m")),)))*(Imóveis!$N$5/Imóveis!$S$5)))*Imóveis!$P$5))))*IF(AND(Imóveis!$E$5&gt;0,Dados!$A1151&gt;Imóveis!$E$5),0,1)*Imóveis!$I$5</f>
        <v>0</v>
      </c>
      <c r="M1151" s="18">
        <f>IF(Imóveis!$F$6="PRICE",IF(AND(Dados!$A1151&gt;=Imóveis!$Q$6,Dados!$A1151&lt;=Imóveis!$T$6),Imóveis!$U$6,0),IF((IF(AND(Dados!$A1151&gt;=Imóveis!$Q$6,Dados!$A1151&lt;=Imóveis!$T$6),Imóveis!$S$6-(DATEDIF(Imóveis!$Q$6,Dados!$A1151,"m")),0))=0,0,((Imóveis!$N$6/Imóveis!$S$6)+((Imóveis!$N$6-((Imóveis!$S$6-(IF(AND(Dados!$A1151&gt;=Imóveis!$Q$6,Dados!$A1151&lt;=Imóveis!$T$6),Imóveis!$S$6-(DATEDIF(Imóveis!$Q$6,Dados!$A1151,"m")),)))*(Imóveis!$N$6/Imóveis!$S$6)))*Imóveis!$P$6))))*IF(AND(Imóveis!$E$6&gt;0,Dados!$A1151&gt;Imóveis!$E$6),0,1)*Imóveis!$I$6</f>
        <v>0</v>
      </c>
      <c r="N1151" s="18">
        <f t="shared" si="141"/>
        <v>0</v>
      </c>
      <c r="O1151" s="18">
        <f>SUMIFS(Receitas!$F:$F,Receitas!$J:$J,"&lt;="&amp;$A1151,Receitas!$L:$L,"&gt;="&amp;$A1151,Receitas!$C:$C,O$1,Receitas!$M:$M,"Mensal")+SUMIFS(Receitas!$F:$F,Receitas!$J:$J,"&lt;="&amp;$A1151,Receitas!$L:$L,"&gt;="&amp;$A1151,Receitas!$C:$C,O$1,Receitas!$M:$M,$B1151)</f>
        <v>0</v>
      </c>
      <c r="P1151" s="18">
        <f>SUMIFS(Receitas!$F:$F,Receitas!$J:$J,"&lt;="&amp;$A1151,Receitas!$L:$L,"&gt;="&amp;$A1151,Receitas!$C:$C,P$1,Receitas!$M:$M,"Mensal")+SUMIFS(Receitas!$F:$F,Receitas!$J:$J,"&lt;="&amp;$A1151,Receitas!$L:$L,"&gt;="&amp;$A1151,Receitas!$C:$C,P$1,Receitas!$M:$M,$B1151)</f>
        <v>0</v>
      </c>
      <c r="Q1151" s="18">
        <f>SUMIFS(Receitas!$F:$F,Receitas!$J:$J,"&lt;="&amp;$A1151,Receitas!$L:$L,"&gt;="&amp;$A1151,Receitas!$C:$C,Q$1,Receitas!$M:$M,"Mensal")+SUMIFS(Receitas!$F:$F,Receitas!$J:$J,"&lt;="&amp;$A1151,Receitas!$L:$L,"&gt;="&amp;$A1151,Receitas!$C:$C,Q$1,Receitas!$M:$M,$B1151)</f>
        <v>0</v>
      </c>
      <c r="R1151" s="18" cm="1">
        <f t="array" ref="R1151">(IF(AND(Membros!$F$2="Sim",A1151&lt;=MAX(Membros!$E$2:$E$5)),Membros!K$2,IF(AND(A1151&gt;=Membros!J$2,A1151&lt;=MAX(Membros!$E$2:$E$5)),Membros!K$2,0))+IF(AND(Membros!$F$3="Sim",A1151&lt;=MAX(Membros!$E$2:$E$5)),Membros!K$3,IF(AND(A1151&gt;=Membros!J$3,A1151&lt;=MAX(Membros!$E$2:$E$5)),Membros!K$3,0)))*IF(AND(COUNTIFS(Tabela3[Tipo],"Provedor",Tabela3[Simulação Seguro],"Sim")=2,A1151&gt;=MAX(IF(Tabela3[Tipo]="Dependente",Tabela3[Expectativa de Vida (Data)]))),0,1)</f>
        <v>0</v>
      </c>
      <c r="S1151" s="18">
        <f t="shared" si="142"/>
        <v>0</v>
      </c>
      <c r="U1151" s="18">
        <f t="shared" ca="1" si="145"/>
        <v>202126729.1871601</v>
      </c>
      <c r="V1151" s="18">
        <f>SUMIF(Imóveis!E:E,Dados!A:A,Imóveis!Z:Z)-SUMIF(Imóveis!E:E,Dados!A:A,Imóveis!Y:Y)</f>
        <v>0</v>
      </c>
      <c r="W1151" s="18">
        <f>-SUMIF(Projetos!N:N,A1151,Projetos!F:F)</f>
        <v>0</v>
      </c>
      <c r="X1151" s="18">
        <f t="shared" si="139"/>
        <v>0</v>
      </c>
      <c r="Y1151" s="26">
        <f ca="1">(U1151*((Indicadores_Economicos!D$2+1)^(1/12)-1))</f>
        <v>661710.31438575254</v>
      </c>
      <c r="Z1151" s="18">
        <f t="shared" ca="1" si="143"/>
        <v>202788439.50154585</v>
      </c>
      <c r="AA1151" s="18">
        <f ca="1">Auxiliar_Projetos!E1151</f>
        <v>1.6716211577934666E-8</v>
      </c>
      <c r="AB1151" s="18">
        <f ca="1">Auxiliar_Projetos!K1151</f>
        <v>1.2858624290718958E-8</v>
      </c>
      <c r="AC1151" s="18">
        <f ca="1">IF(Z1151-AA1151-AB1151&gt;Investimentos!$C$14,Investimentos!$C$14,IF(Z1151-AA1151-AB1151&lt;Investimentos!$C$14,Z1151-AA1151-AB1151,0))</f>
        <v>300000</v>
      </c>
      <c r="AD1151" s="18">
        <f t="shared" ca="1" si="144"/>
        <v>202488439.50154582</v>
      </c>
      <c r="AE1151" s="18"/>
    </row>
    <row r="1152" spans="1:31" x14ac:dyDescent="0.2">
      <c r="A1152" s="4">
        <v>80660</v>
      </c>
      <c r="B1152" s="5" t="str">
        <f t="shared" si="140"/>
        <v>novembro</v>
      </c>
      <c r="C1152" s="5" t="str">
        <f t="shared" si="146"/>
        <v>2120</v>
      </c>
      <c r="D1152" s="5">
        <f>SUMIFS(Despesas!$F:$F,Despesas!$J:$J,"&lt;="&amp;$A1152,Despesas!$L:$L,"&gt;="&amp;$A1152,Despesas!$C:$C,D$1,Despesas!$M:$M,"Mensal")+SUMIFS(Despesas!$F:$F,Despesas!$J:$J,"&lt;="&amp;$A1152,Despesas!$L:$L,"&gt;="&amp;$A1152,Despesas!$C:$C,D$1,Despesas!$M:$M,$B1152)</f>
        <v>0</v>
      </c>
      <c r="E1152" s="18">
        <f>SUMIFS(Despesas!$F:$F,Despesas!$J:$J,"&lt;="&amp;$A1152,Despesas!$L:$L,"&gt;="&amp;$A1152,Despesas!$C:$C,E$1,Despesas!$M:$M,"Mensal")+SUMIFS(Despesas!$F:$F,Despesas!$J:$J,"&lt;="&amp;$A1152,Despesas!$L:$L,"&gt;="&amp;$A1152,Despesas!$C:$C,E$1,Despesas!$M:$M,$B1152)</f>
        <v>0</v>
      </c>
      <c r="F1152" s="5">
        <f>SUMIFS(Despesas!$F:$F,Despesas!$J:$J,"&lt;="&amp;$A1152,Despesas!$L:$L,"&gt;="&amp;$A1152,Despesas!$C:$C,F$1,Despesas!$M:$M,"Mensal")+SUMIFS(Despesas!$F:$F,Despesas!$J:$J,"&lt;="&amp;$A1152,Despesas!$L:$L,"&gt;="&amp;$A1152,Despesas!$C:$C,F$1,Despesas!$M:$M,$B1152)</f>
        <v>0</v>
      </c>
      <c r="G1152" s="5">
        <f>SUMIFS(Despesas!$F:$F,Despesas!$J:$J,"&lt;="&amp;$A1152,Despesas!$L:$L,"&gt;="&amp;$A1152,Despesas!$C:$C,G$1,Despesas!$M:$M,"Mensal")+SUMIFS(Despesas!$F:$F,Despesas!$J:$J,"&lt;="&amp;$A1152,Despesas!$L:$L,"&gt;="&amp;$A1152,Despesas!$C:$C,G$1,Despesas!$M:$M,$B1152)</f>
        <v>0</v>
      </c>
      <c r="H1152" s="18">
        <f>SUMIFS(Despesas!$F:$F,Despesas!$J:$J,"&lt;="&amp;$A1152,Despesas!$L:$L,"&gt;="&amp;$A1152,Despesas!$C:$C,H$1,Despesas!$M:$M,"Mensal")+SUMIFS(Despesas!$F:$F,Despesas!$J:$J,"&lt;="&amp;$A1152,Despesas!$L:$L,"&gt;="&amp;$A1152,Despesas!$C:$C,H$1,Despesas!$M:$M,$B1152)</f>
        <v>0</v>
      </c>
      <c r="I1152" s="18">
        <f>IF(Imóveis!$F$2="PRICE",IF(AND(Dados!$A1152&gt;=Imóveis!$Q$2,Dados!$A1152&lt;=Imóveis!$T$2),Imóveis!$U$2,0),IF((IF(AND(Dados!$A1152&gt;=Imóveis!$Q$2,Dados!$A1152&lt;=Imóveis!$T$2),Imóveis!$S$2-(DATEDIF(Imóveis!$Q$2,Dados!$A1152,"m")),0))=0,0,((Imóveis!$N$2/Imóveis!$S$2)+((Imóveis!$N$2-((Imóveis!$S$2-(IF(AND(Dados!$A1152&gt;=Imóveis!$Q$2,Dados!$A1152&lt;=Imóveis!$T$2),Imóveis!$S$2-(DATEDIF(Imóveis!$Q$2,Dados!$A1152,"m")),)))*(Imóveis!$N$2/Imóveis!$S$2)))*Imóveis!$P$2))))*IF(AND(Imóveis!$E$2&gt;0,Dados!$A1152&gt;Imóveis!$E$2),0,1)</f>
        <v>0</v>
      </c>
      <c r="J1152" s="18">
        <f>IF(Imóveis!$F$3="PRICE",IF(AND(Dados!$A1152&gt;=Imóveis!$Q$3,Dados!$A1152&lt;=Imóveis!$T$3),Imóveis!$U$3,0),IF((IF(AND(Dados!$A1152&gt;=Imóveis!$Q$3,Dados!$A1152&lt;=Imóveis!$T$3),Imóveis!$S$3-(DATEDIF(Imóveis!$Q$3,Dados!$A1152,"m")),0))=0,0,((Imóveis!$N$3/Imóveis!$S$3)+((Imóveis!$N$3-((Imóveis!$S$3-(IF(AND(Dados!$A1152&gt;=Imóveis!$Q$3,Dados!$A1152&lt;=Imóveis!$T$3),Imóveis!$S$3-(DATEDIF(Imóveis!$Q$3,Dados!$A1152,"m")),)))*(Imóveis!$N$3/Imóveis!$S$3)))*Imóveis!$P$3))))*IF(AND(Imóveis!$E$3&gt;0,Dados!$A1152&gt;Imóveis!$E$3),0,1)</f>
        <v>0</v>
      </c>
      <c r="K1152" s="18">
        <f>IF(Imóveis!$F$4="PRICE",IF(AND(Dados!$A1152&gt;=Imóveis!$Q$4,Dados!$A1152&lt;=Imóveis!$T$4),Imóveis!$U$4,0),IF((IF(AND(Dados!$A1152&gt;=Imóveis!$Q$4,Dados!$A1152&lt;=Imóveis!$T$4),Imóveis!$S$4-(DATEDIF(Imóveis!$Q$4,Dados!$A1152,"m")),0))=0,0,((Imóveis!$N$4/Imóveis!$S$4)+((Imóveis!$N$4-((Imóveis!$S$4-(IF(AND(Dados!$A1152&gt;=Imóveis!$Q$4,Dados!$A1152&lt;=Imóveis!$T$4),Imóveis!$S$4-(DATEDIF(Imóveis!$Q$4,Dados!$A1152,"m")),)))*(Imóveis!$N$4/Imóveis!$S$4)))*Imóveis!$P$4))))*IF(AND(Imóveis!$E$4&gt;0,Dados!$A1152&gt;Imóveis!$E$4),0,1)</f>
        <v>0</v>
      </c>
      <c r="L1152" s="18">
        <f>IF(Imóveis!$F$5="PRICE",IF(AND(Dados!$A1152&gt;=Imóveis!$Q$5,Dados!$A1152&lt;=Imóveis!$T$5),Imóveis!$U$5,0),IF((IF(AND(Dados!$A1152&gt;=Imóveis!$Q$5,Dados!$A1152&lt;=Imóveis!$T$5),Imóveis!$S$5-(DATEDIF(Imóveis!$Q$5,Dados!$A1152,"m")),0))=0,0,((Imóveis!$N$5/Imóveis!$S$5)+((Imóveis!$N$5-((Imóveis!$S$5-(IF(AND(Dados!$A1152 &gt;=Imóveis!$Q$5,Dados!$A1152&lt;=Imóveis!$T$5),Imóveis!$S$5-(DATEDIF(Imóveis!$Q$5,Dados!$A1152,"m")),)))*(Imóveis!$N$5/Imóveis!$S$5)))*Imóveis!$P$5))))*IF(AND(Imóveis!$E$5&gt;0,Dados!$A1152&gt;Imóveis!$E$5),0,1)*Imóveis!$I$5</f>
        <v>0</v>
      </c>
      <c r="M1152" s="18">
        <f>IF(Imóveis!$F$6="PRICE",IF(AND(Dados!$A1152&gt;=Imóveis!$Q$6,Dados!$A1152&lt;=Imóveis!$T$6),Imóveis!$U$6,0),IF((IF(AND(Dados!$A1152&gt;=Imóveis!$Q$6,Dados!$A1152&lt;=Imóveis!$T$6),Imóveis!$S$6-(DATEDIF(Imóveis!$Q$6,Dados!$A1152,"m")),0))=0,0,((Imóveis!$N$6/Imóveis!$S$6)+((Imóveis!$N$6-((Imóveis!$S$6-(IF(AND(Dados!$A1152&gt;=Imóveis!$Q$6,Dados!$A1152&lt;=Imóveis!$T$6),Imóveis!$S$6-(DATEDIF(Imóveis!$Q$6,Dados!$A1152,"m")),)))*(Imóveis!$N$6/Imóveis!$S$6)))*Imóveis!$P$6))))*IF(AND(Imóveis!$E$6&gt;0,Dados!$A1152&gt;Imóveis!$E$6),0,1)*Imóveis!$I$6</f>
        <v>0</v>
      </c>
      <c r="N1152" s="18">
        <f t="shared" si="141"/>
        <v>0</v>
      </c>
      <c r="O1152" s="18">
        <f>SUMIFS(Receitas!$F:$F,Receitas!$J:$J,"&lt;="&amp;$A1152,Receitas!$L:$L,"&gt;="&amp;$A1152,Receitas!$C:$C,O$1,Receitas!$M:$M,"Mensal")+SUMIFS(Receitas!$F:$F,Receitas!$J:$J,"&lt;="&amp;$A1152,Receitas!$L:$L,"&gt;="&amp;$A1152,Receitas!$C:$C,O$1,Receitas!$M:$M,$B1152)</f>
        <v>0</v>
      </c>
      <c r="P1152" s="18">
        <f>SUMIFS(Receitas!$F:$F,Receitas!$J:$J,"&lt;="&amp;$A1152,Receitas!$L:$L,"&gt;="&amp;$A1152,Receitas!$C:$C,P$1,Receitas!$M:$M,"Mensal")+SUMIFS(Receitas!$F:$F,Receitas!$J:$J,"&lt;="&amp;$A1152,Receitas!$L:$L,"&gt;="&amp;$A1152,Receitas!$C:$C,P$1,Receitas!$M:$M,$B1152)</f>
        <v>0</v>
      </c>
      <c r="Q1152" s="18">
        <f>SUMIFS(Receitas!$F:$F,Receitas!$J:$J,"&lt;="&amp;$A1152,Receitas!$L:$L,"&gt;="&amp;$A1152,Receitas!$C:$C,Q$1,Receitas!$M:$M,"Mensal")+SUMIFS(Receitas!$F:$F,Receitas!$J:$J,"&lt;="&amp;$A1152,Receitas!$L:$L,"&gt;="&amp;$A1152,Receitas!$C:$C,Q$1,Receitas!$M:$M,$B1152)</f>
        <v>0</v>
      </c>
      <c r="R1152" s="18" cm="1">
        <f t="array" ref="R1152">(IF(AND(Membros!$F$2="Sim",A1152&lt;=MAX(Membros!$E$2:$E$5)),Membros!K$2,IF(AND(A1152&gt;=Membros!J$2,A1152&lt;=MAX(Membros!$E$2:$E$5)),Membros!K$2,0))+IF(AND(Membros!$F$3="Sim",A1152&lt;=MAX(Membros!$E$2:$E$5)),Membros!K$3,IF(AND(A1152&gt;=Membros!J$3,A1152&lt;=MAX(Membros!$E$2:$E$5)),Membros!K$3,0)))*IF(AND(COUNTIFS(Tabela3[Tipo],"Provedor",Tabela3[Simulação Seguro],"Sim")=2,A1152&gt;=MAX(IF(Tabela3[Tipo]="Dependente",Tabela3[Expectativa de Vida (Data)]))),0,1)</f>
        <v>0</v>
      </c>
      <c r="S1152" s="18">
        <f t="shared" si="142"/>
        <v>0</v>
      </c>
      <c r="U1152" s="18">
        <f t="shared" ca="1" si="145"/>
        <v>202788439.50154585</v>
      </c>
      <c r="V1152" s="18">
        <f>SUMIF(Imóveis!E:E,Dados!A:A,Imóveis!Z:Z)-SUMIF(Imóveis!E:E,Dados!A:A,Imóveis!Y:Y)</f>
        <v>0</v>
      </c>
      <c r="W1152" s="18">
        <f>-SUMIF(Projetos!N:N,A1152,Projetos!F:F)</f>
        <v>0</v>
      </c>
      <c r="X1152" s="18">
        <f t="shared" si="139"/>
        <v>0</v>
      </c>
      <c r="Y1152" s="26">
        <f ca="1">(U1152*((Indicadores_Economicos!D$2+1)^(1/12)-1))</f>
        <v>663876.58176624845</v>
      </c>
      <c r="Z1152" s="18">
        <f t="shared" ca="1" si="143"/>
        <v>203452316.08331209</v>
      </c>
      <c r="AA1152" s="18">
        <f ca="1">Auxiliar_Projetos!E1152</f>
        <v>1.6770936104785004E-8</v>
      </c>
      <c r="AB1152" s="18">
        <f ca="1">Auxiliar_Projetos!K1152</f>
        <v>1.2900720080603833E-8</v>
      </c>
      <c r="AC1152" s="18">
        <f ca="1">IF(Z1152-AA1152-AB1152&gt;Investimentos!$C$14,Investimentos!$C$14,IF(Z1152-AA1152-AB1152&lt;Investimentos!$C$14,Z1152-AA1152-AB1152,0))</f>
        <v>300000</v>
      </c>
      <c r="AD1152" s="18">
        <f t="shared" ca="1" si="144"/>
        <v>203152316.08331206</v>
      </c>
      <c r="AE1152" s="18"/>
    </row>
    <row r="1153" spans="1:31" x14ac:dyDescent="0.2">
      <c r="A1153" s="4">
        <v>80690</v>
      </c>
      <c r="B1153" s="5" t="str">
        <f t="shared" si="140"/>
        <v>dezembro</v>
      </c>
      <c r="C1153" s="5" t="str">
        <f t="shared" si="146"/>
        <v>2120</v>
      </c>
      <c r="D1153" s="5">
        <f>SUMIFS(Despesas!$F:$F,Despesas!$J:$J,"&lt;="&amp;$A1153,Despesas!$L:$L,"&gt;="&amp;$A1153,Despesas!$C:$C,D$1,Despesas!$M:$M,"Mensal")+SUMIFS(Despesas!$F:$F,Despesas!$J:$J,"&lt;="&amp;$A1153,Despesas!$L:$L,"&gt;="&amp;$A1153,Despesas!$C:$C,D$1,Despesas!$M:$M,$B1153)</f>
        <v>0</v>
      </c>
      <c r="E1153" s="18">
        <f>SUMIFS(Despesas!$F:$F,Despesas!$J:$J,"&lt;="&amp;$A1153,Despesas!$L:$L,"&gt;="&amp;$A1153,Despesas!$C:$C,E$1,Despesas!$M:$M,"Mensal")+SUMIFS(Despesas!$F:$F,Despesas!$J:$J,"&lt;="&amp;$A1153,Despesas!$L:$L,"&gt;="&amp;$A1153,Despesas!$C:$C,E$1,Despesas!$M:$M,$B1153)</f>
        <v>0</v>
      </c>
      <c r="F1153" s="5">
        <f>SUMIFS(Despesas!$F:$F,Despesas!$J:$J,"&lt;="&amp;$A1153,Despesas!$L:$L,"&gt;="&amp;$A1153,Despesas!$C:$C,F$1,Despesas!$M:$M,"Mensal")+SUMIFS(Despesas!$F:$F,Despesas!$J:$J,"&lt;="&amp;$A1153,Despesas!$L:$L,"&gt;="&amp;$A1153,Despesas!$C:$C,F$1,Despesas!$M:$M,$B1153)</f>
        <v>0</v>
      </c>
      <c r="G1153" s="5">
        <f>SUMIFS(Despesas!$F:$F,Despesas!$J:$J,"&lt;="&amp;$A1153,Despesas!$L:$L,"&gt;="&amp;$A1153,Despesas!$C:$C,G$1,Despesas!$M:$M,"Mensal")+SUMIFS(Despesas!$F:$F,Despesas!$J:$J,"&lt;="&amp;$A1153,Despesas!$L:$L,"&gt;="&amp;$A1153,Despesas!$C:$C,G$1,Despesas!$M:$M,$B1153)</f>
        <v>0</v>
      </c>
      <c r="H1153" s="18">
        <f>SUMIFS(Despesas!$F:$F,Despesas!$J:$J,"&lt;="&amp;$A1153,Despesas!$L:$L,"&gt;="&amp;$A1153,Despesas!$C:$C,H$1,Despesas!$M:$M,"Mensal")+SUMIFS(Despesas!$F:$F,Despesas!$J:$J,"&lt;="&amp;$A1153,Despesas!$L:$L,"&gt;="&amp;$A1153,Despesas!$C:$C,H$1,Despesas!$M:$M,$B1153)</f>
        <v>0</v>
      </c>
      <c r="I1153" s="18">
        <f>IF(Imóveis!$F$2="PRICE",IF(AND(Dados!$A1153&gt;=Imóveis!$Q$2,Dados!$A1153&lt;=Imóveis!$T$2),Imóveis!$U$2,0),IF((IF(AND(Dados!$A1153&gt;=Imóveis!$Q$2,Dados!$A1153&lt;=Imóveis!$T$2),Imóveis!$S$2-(DATEDIF(Imóveis!$Q$2,Dados!$A1153,"m")),0))=0,0,((Imóveis!$N$2/Imóveis!$S$2)+((Imóveis!$N$2-((Imóveis!$S$2-(IF(AND(Dados!$A1153&gt;=Imóveis!$Q$2,Dados!$A1153&lt;=Imóveis!$T$2),Imóveis!$S$2-(DATEDIF(Imóveis!$Q$2,Dados!$A1153,"m")),)))*(Imóveis!$N$2/Imóveis!$S$2)))*Imóveis!$P$2))))*IF(AND(Imóveis!$E$2&gt;0,Dados!$A1153&gt;Imóveis!$E$2),0,1)</f>
        <v>0</v>
      </c>
      <c r="J1153" s="18">
        <f>IF(Imóveis!$F$3="PRICE",IF(AND(Dados!$A1153&gt;=Imóveis!$Q$3,Dados!$A1153&lt;=Imóveis!$T$3),Imóveis!$U$3,0),IF((IF(AND(Dados!$A1153&gt;=Imóveis!$Q$3,Dados!$A1153&lt;=Imóveis!$T$3),Imóveis!$S$3-(DATEDIF(Imóveis!$Q$3,Dados!$A1153,"m")),0))=0,0,((Imóveis!$N$3/Imóveis!$S$3)+((Imóveis!$N$3-((Imóveis!$S$3-(IF(AND(Dados!$A1153&gt;=Imóveis!$Q$3,Dados!$A1153&lt;=Imóveis!$T$3),Imóveis!$S$3-(DATEDIF(Imóveis!$Q$3,Dados!$A1153,"m")),)))*(Imóveis!$N$3/Imóveis!$S$3)))*Imóveis!$P$3))))*IF(AND(Imóveis!$E$3&gt;0,Dados!$A1153&gt;Imóveis!$E$3),0,1)</f>
        <v>0</v>
      </c>
      <c r="K1153" s="18">
        <f>IF(Imóveis!$F$4="PRICE",IF(AND(Dados!$A1153&gt;=Imóveis!$Q$4,Dados!$A1153&lt;=Imóveis!$T$4),Imóveis!$U$4,0),IF((IF(AND(Dados!$A1153&gt;=Imóveis!$Q$4,Dados!$A1153&lt;=Imóveis!$T$4),Imóveis!$S$4-(DATEDIF(Imóveis!$Q$4,Dados!$A1153,"m")),0))=0,0,((Imóveis!$N$4/Imóveis!$S$4)+((Imóveis!$N$4-((Imóveis!$S$4-(IF(AND(Dados!$A1153&gt;=Imóveis!$Q$4,Dados!$A1153&lt;=Imóveis!$T$4),Imóveis!$S$4-(DATEDIF(Imóveis!$Q$4,Dados!$A1153,"m")),)))*(Imóveis!$N$4/Imóveis!$S$4)))*Imóveis!$P$4))))*IF(AND(Imóveis!$E$4&gt;0,Dados!$A1153&gt;Imóveis!$E$4),0,1)</f>
        <v>0</v>
      </c>
      <c r="L1153" s="18">
        <f>IF(Imóveis!$F$5="PRICE",IF(AND(Dados!$A1153&gt;=Imóveis!$Q$5,Dados!$A1153&lt;=Imóveis!$T$5),Imóveis!$U$5,0),IF((IF(AND(Dados!$A1153&gt;=Imóveis!$Q$5,Dados!$A1153&lt;=Imóveis!$T$5),Imóveis!$S$5-(DATEDIF(Imóveis!$Q$5,Dados!$A1153,"m")),0))=0,0,((Imóveis!$N$5/Imóveis!$S$5)+((Imóveis!$N$5-((Imóveis!$S$5-(IF(AND(Dados!$A1153 &gt;=Imóveis!$Q$5,Dados!$A1153&lt;=Imóveis!$T$5),Imóveis!$S$5-(DATEDIF(Imóveis!$Q$5,Dados!$A1153,"m")),)))*(Imóveis!$N$5/Imóveis!$S$5)))*Imóveis!$P$5))))*IF(AND(Imóveis!$E$5&gt;0,Dados!$A1153&gt;Imóveis!$E$5),0,1)*Imóveis!$I$5</f>
        <v>0</v>
      </c>
      <c r="M1153" s="18">
        <f>IF(Imóveis!$F$6="PRICE",IF(AND(Dados!$A1153&gt;=Imóveis!$Q$6,Dados!$A1153&lt;=Imóveis!$T$6),Imóveis!$U$6,0),IF((IF(AND(Dados!$A1153&gt;=Imóveis!$Q$6,Dados!$A1153&lt;=Imóveis!$T$6),Imóveis!$S$6-(DATEDIF(Imóveis!$Q$6,Dados!$A1153,"m")),0))=0,0,((Imóveis!$N$6/Imóveis!$S$6)+((Imóveis!$N$6-((Imóveis!$S$6-(IF(AND(Dados!$A1153&gt;=Imóveis!$Q$6,Dados!$A1153&lt;=Imóveis!$T$6),Imóveis!$S$6-(DATEDIF(Imóveis!$Q$6,Dados!$A1153,"m")),)))*(Imóveis!$N$6/Imóveis!$S$6)))*Imóveis!$P$6))))*IF(AND(Imóveis!$E$6&gt;0,Dados!$A1153&gt;Imóveis!$E$6),0,1)*Imóveis!$I$6</f>
        <v>0</v>
      </c>
      <c r="N1153" s="18">
        <f t="shared" si="141"/>
        <v>0</v>
      </c>
      <c r="O1153" s="18">
        <f>SUMIFS(Receitas!$F:$F,Receitas!$J:$J,"&lt;="&amp;$A1153,Receitas!$L:$L,"&gt;="&amp;$A1153,Receitas!$C:$C,O$1,Receitas!$M:$M,"Mensal")+SUMIFS(Receitas!$F:$F,Receitas!$J:$J,"&lt;="&amp;$A1153,Receitas!$L:$L,"&gt;="&amp;$A1153,Receitas!$C:$C,O$1,Receitas!$M:$M,$B1153)</f>
        <v>0</v>
      </c>
      <c r="P1153" s="18">
        <f>SUMIFS(Receitas!$F:$F,Receitas!$J:$J,"&lt;="&amp;$A1153,Receitas!$L:$L,"&gt;="&amp;$A1153,Receitas!$C:$C,P$1,Receitas!$M:$M,"Mensal")+SUMIFS(Receitas!$F:$F,Receitas!$J:$J,"&lt;="&amp;$A1153,Receitas!$L:$L,"&gt;="&amp;$A1153,Receitas!$C:$C,P$1,Receitas!$M:$M,$B1153)</f>
        <v>0</v>
      </c>
      <c r="Q1153" s="18">
        <f>SUMIFS(Receitas!$F:$F,Receitas!$J:$J,"&lt;="&amp;$A1153,Receitas!$L:$L,"&gt;="&amp;$A1153,Receitas!$C:$C,Q$1,Receitas!$M:$M,"Mensal")+SUMIFS(Receitas!$F:$F,Receitas!$J:$J,"&lt;="&amp;$A1153,Receitas!$L:$L,"&gt;="&amp;$A1153,Receitas!$C:$C,Q$1,Receitas!$M:$M,$B1153)</f>
        <v>0</v>
      </c>
      <c r="R1153" s="18" cm="1">
        <f t="array" ref="R1153">(IF(AND(Membros!$F$2="Sim",A1153&lt;=MAX(Membros!$E$2:$E$5)),Membros!K$2,IF(AND(A1153&gt;=Membros!J$2,A1153&lt;=MAX(Membros!$E$2:$E$5)),Membros!K$2,0))+IF(AND(Membros!$F$3="Sim",A1153&lt;=MAX(Membros!$E$2:$E$5)),Membros!K$3,IF(AND(A1153&gt;=Membros!J$3,A1153&lt;=MAX(Membros!$E$2:$E$5)),Membros!K$3,0)))*IF(AND(COUNTIFS(Tabela3[Tipo],"Provedor",Tabela3[Simulação Seguro],"Sim")=2,A1153&gt;=MAX(IF(Tabela3[Tipo]="Dependente",Tabela3[Expectativa de Vida (Data)]))),0,1)</f>
        <v>0</v>
      </c>
      <c r="S1153" s="18">
        <f t="shared" si="142"/>
        <v>0</v>
      </c>
      <c r="U1153" s="18">
        <f t="shared" ca="1" si="145"/>
        <v>203452316.08331209</v>
      </c>
      <c r="V1153" s="18">
        <f>SUMIF(Imóveis!E:E,Dados!A:A,Imóveis!Z:Z)-SUMIF(Imóveis!E:E,Dados!A:A,Imóveis!Y:Y)</f>
        <v>0</v>
      </c>
      <c r="W1153" s="18">
        <f>-SUMIF(Projetos!N:N,A1153,Projetos!F:F)</f>
        <v>0</v>
      </c>
      <c r="X1153" s="18">
        <f t="shared" si="139"/>
        <v>0</v>
      </c>
      <c r="Y1153" s="26">
        <f ca="1">(U1153*((Indicadores_Economicos!D$2+1)^(1/12)-1))</f>
        <v>666049.94094244682</v>
      </c>
      <c r="Z1153" s="18">
        <f t="shared" ca="1" si="143"/>
        <v>204118366.02425453</v>
      </c>
      <c r="AA1153" s="18">
        <f ca="1">Auxiliar_Projetos!E1153</f>
        <v>1.6825839785495957E-8</v>
      </c>
      <c r="AB1153" s="18">
        <f ca="1">Auxiliar_Projetos!K1153</f>
        <v>1.2942953681150718E-8</v>
      </c>
      <c r="AC1153" s="18">
        <f ca="1">IF(Z1153-AA1153-AB1153&gt;Investimentos!$C$14,Investimentos!$C$14,IF(Z1153-AA1153-AB1153&lt;Investimentos!$C$14,Z1153-AA1153-AB1153,0))</f>
        <v>300000</v>
      </c>
      <c r="AD1153" s="18">
        <f t="shared" ca="1" si="144"/>
        <v>203818366.0242545</v>
      </c>
      <c r="AE1153" s="18"/>
    </row>
    <row r="1154" spans="1:31" x14ac:dyDescent="0.2">
      <c r="A1154" s="4">
        <v>80721</v>
      </c>
      <c r="B1154" s="5" t="str">
        <f t="shared" si="140"/>
        <v>janeiro</v>
      </c>
      <c r="C1154" s="5" t="str">
        <f t="shared" si="146"/>
        <v>2121</v>
      </c>
      <c r="D1154" s="5">
        <f>SUMIFS(Despesas!$F:$F,Despesas!$J:$J,"&lt;="&amp;$A1154,Despesas!$L:$L,"&gt;="&amp;$A1154,Despesas!$C:$C,D$1,Despesas!$M:$M,"Mensal")+SUMIFS(Despesas!$F:$F,Despesas!$J:$J,"&lt;="&amp;$A1154,Despesas!$L:$L,"&gt;="&amp;$A1154,Despesas!$C:$C,D$1,Despesas!$M:$M,$B1154)</f>
        <v>0</v>
      </c>
      <c r="E1154" s="18">
        <f>SUMIFS(Despesas!$F:$F,Despesas!$J:$J,"&lt;="&amp;$A1154,Despesas!$L:$L,"&gt;="&amp;$A1154,Despesas!$C:$C,E$1,Despesas!$M:$M,"Mensal")+SUMIFS(Despesas!$F:$F,Despesas!$J:$J,"&lt;="&amp;$A1154,Despesas!$L:$L,"&gt;="&amp;$A1154,Despesas!$C:$C,E$1,Despesas!$M:$M,$B1154)</f>
        <v>0</v>
      </c>
      <c r="F1154" s="5">
        <f>SUMIFS(Despesas!$F:$F,Despesas!$J:$J,"&lt;="&amp;$A1154,Despesas!$L:$L,"&gt;="&amp;$A1154,Despesas!$C:$C,F$1,Despesas!$M:$M,"Mensal")+SUMIFS(Despesas!$F:$F,Despesas!$J:$J,"&lt;="&amp;$A1154,Despesas!$L:$L,"&gt;="&amp;$A1154,Despesas!$C:$C,F$1,Despesas!$M:$M,$B1154)</f>
        <v>0</v>
      </c>
      <c r="G1154" s="5">
        <f>SUMIFS(Despesas!$F:$F,Despesas!$J:$J,"&lt;="&amp;$A1154,Despesas!$L:$L,"&gt;="&amp;$A1154,Despesas!$C:$C,G$1,Despesas!$M:$M,"Mensal")+SUMIFS(Despesas!$F:$F,Despesas!$J:$J,"&lt;="&amp;$A1154,Despesas!$L:$L,"&gt;="&amp;$A1154,Despesas!$C:$C,G$1,Despesas!$M:$M,$B1154)</f>
        <v>0</v>
      </c>
      <c r="H1154" s="18">
        <f>SUMIFS(Despesas!$F:$F,Despesas!$J:$J,"&lt;="&amp;$A1154,Despesas!$L:$L,"&gt;="&amp;$A1154,Despesas!$C:$C,H$1,Despesas!$M:$M,"Mensal")+SUMIFS(Despesas!$F:$F,Despesas!$J:$J,"&lt;="&amp;$A1154,Despesas!$L:$L,"&gt;="&amp;$A1154,Despesas!$C:$C,H$1,Despesas!$M:$M,$B1154)</f>
        <v>0</v>
      </c>
      <c r="I1154" s="18">
        <f>IF(Imóveis!$F$2="PRICE",IF(AND(Dados!$A1154&gt;=Imóveis!$Q$2,Dados!$A1154&lt;=Imóveis!$T$2),Imóveis!$U$2,0),IF((IF(AND(Dados!$A1154&gt;=Imóveis!$Q$2,Dados!$A1154&lt;=Imóveis!$T$2),Imóveis!$S$2-(DATEDIF(Imóveis!$Q$2,Dados!$A1154,"m")),0))=0,0,((Imóveis!$N$2/Imóveis!$S$2)+((Imóveis!$N$2-((Imóveis!$S$2-(IF(AND(Dados!$A1154&gt;=Imóveis!$Q$2,Dados!$A1154&lt;=Imóveis!$T$2),Imóveis!$S$2-(DATEDIF(Imóveis!$Q$2,Dados!$A1154,"m")),)))*(Imóveis!$N$2/Imóveis!$S$2)))*Imóveis!$P$2))))*IF(AND(Imóveis!$E$2&gt;0,Dados!$A1154&gt;Imóveis!$E$2),0,1)</f>
        <v>0</v>
      </c>
      <c r="J1154" s="18">
        <f>IF(Imóveis!$F$3="PRICE",IF(AND(Dados!$A1154&gt;=Imóveis!$Q$3,Dados!$A1154&lt;=Imóveis!$T$3),Imóveis!$U$3,0),IF((IF(AND(Dados!$A1154&gt;=Imóveis!$Q$3,Dados!$A1154&lt;=Imóveis!$T$3),Imóveis!$S$3-(DATEDIF(Imóveis!$Q$3,Dados!$A1154,"m")),0))=0,0,((Imóveis!$N$3/Imóveis!$S$3)+((Imóveis!$N$3-((Imóveis!$S$3-(IF(AND(Dados!$A1154&gt;=Imóveis!$Q$3,Dados!$A1154&lt;=Imóveis!$T$3),Imóveis!$S$3-(DATEDIF(Imóveis!$Q$3,Dados!$A1154,"m")),)))*(Imóveis!$N$3/Imóveis!$S$3)))*Imóveis!$P$3))))*IF(AND(Imóveis!$E$3&gt;0,Dados!$A1154&gt;Imóveis!$E$3),0,1)</f>
        <v>0</v>
      </c>
      <c r="K1154" s="18">
        <f>IF(Imóveis!$F$4="PRICE",IF(AND(Dados!$A1154&gt;=Imóveis!$Q$4,Dados!$A1154&lt;=Imóveis!$T$4),Imóveis!$U$4,0),IF((IF(AND(Dados!$A1154&gt;=Imóveis!$Q$4,Dados!$A1154&lt;=Imóveis!$T$4),Imóveis!$S$4-(DATEDIF(Imóveis!$Q$4,Dados!$A1154,"m")),0))=0,0,((Imóveis!$N$4/Imóveis!$S$4)+((Imóveis!$N$4-((Imóveis!$S$4-(IF(AND(Dados!$A1154&gt;=Imóveis!$Q$4,Dados!$A1154&lt;=Imóveis!$T$4),Imóveis!$S$4-(DATEDIF(Imóveis!$Q$4,Dados!$A1154,"m")),)))*(Imóveis!$N$4/Imóveis!$S$4)))*Imóveis!$P$4))))*IF(AND(Imóveis!$E$4&gt;0,Dados!$A1154&gt;Imóveis!$E$4),0,1)</f>
        <v>0</v>
      </c>
      <c r="L1154" s="18">
        <f>IF(Imóveis!$F$5="PRICE",IF(AND(Dados!$A1154&gt;=Imóveis!$Q$5,Dados!$A1154&lt;=Imóveis!$T$5),Imóveis!$U$5,0),IF((IF(AND(Dados!$A1154&gt;=Imóveis!$Q$5,Dados!$A1154&lt;=Imóveis!$T$5),Imóveis!$S$5-(DATEDIF(Imóveis!$Q$5,Dados!$A1154,"m")),0))=0,0,((Imóveis!$N$5/Imóveis!$S$5)+((Imóveis!$N$5-((Imóveis!$S$5-(IF(AND(Dados!$A1154 &gt;=Imóveis!$Q$5,Dados!$A1154&lt;=Imóveis!$T$5),Imóveis!$S$5-(DATEDIF(Imóveis!$Q$5,Dados!$A1154,"m")),)))*(Imóveis!$N$5/Imóveis!$S$5)))*Imóveis!$P$5))))*IF(AND(Imóveis!$E$5&gt;0,Dados!$A1154&gt;Imóveis!$E$5),0,1)*Imóveis!$I$5</f>
        <v>0</v>
      </c>
      <c r="M1154" s="18">
        <f>IF(Imóveis!$F$6="PRICE",IF(AND(Dados!$A1154&gt;=Imóveis!$Q$6,Dados!$A1154&lt;=Imóveis!$T$6),Imóveis!$U$6,0),IF((IF(AND(Dados!$A1154&gt;=Imóveis!$Q$6,Dados!$A1154&lt;=Imóveis!$T$6),Imóveis!$S$6-(DATEDIF(Imóveis!$Q$6,Dados!$A1154,"m")),0))=0,0,((Imóveis!$N$6/Imóveis!$S$6)+((Imóveis!$N$6-((Imóveis!$S$6-(IF(AND(Dados!$A1154&gt;=Imóveis!$Q$6,Dados!$A1154&lt;=Imóveis!$T$6),Imóveis!$S$6-(DATEDIF(Imóveis!$Q$6,Dados!$A1154,"m")),)))*(Imóveis!$N$6/Imóveis!$S$6)))*Imóveis!$P$6))))*IF(AND(Imóveis!$E$6&gt;0,Dados!$A1154&gt;Imóveis!$E$6),0,1)*Imóveis!$I$6</f>
        <v>0</v>
      </c>
      <c r="N1154" s="18">
        <f t="shared" si="141"/>
        <v>0</v>
      </c>
      <c r="O1154" s="18">
        <f>SUMIFS(Receitas!$F:$F,Receitas!$J:$J,"&lt;="&amp;$A1154,Receitas!$L:$L,"&gt;="&amp;$A1154,Receitas!$C:$C,O$1,Receitas!$M:$M,"Mensal")+SUMIFS(Receitas!$F:$F,Receitas!$J:$J,"&lt;="&amp;$A1154,Receitas!$L:$L,"&gt;="&amp;$A1154,Receitas!$C:$C,O$1,Receitas!$M:$M,$B1154)</f>
        <v>0</v>
      </c>
      <c r="P1154" s="18">
        <f>SUMIFS(Receitas!$F:$F,Receitas!$J:$J,"&lt;="&amp;$A1154,Receitas!$L:$L,"&gt;="&amp;$A1154,Receitas!$C:$C,P$1,Receitas!$M:$M,"Mensal")+SUMIFS(Receitas!$F:$F,Receitas!$J:$J,"&lt;="&amp;$A1154,Receitas!$L:$L,"&gt;="&amp;$A1154,Receitas!$C:$C,P$1,Receitas!$M:$M,$B1154)</f>
        <v>0</v>
      </c>
      <c r="Q1154" s="18">
        <f>SUMIFS(Receitas!$F:$F,Receitas!$J:$J,"&lt;="&amp;$A1154,Receitas!$L:$L,"&gt;="&amp;$A1154,Receitas!$C:$C,Q$1,Receitas!$M:$M,"Mensal")+SUMIFS(Receitas!$F:$F,Receitas!$J:$J,"&lt;="&amp;$A1154,Receitas!$L:$L,"&gt;="&amp;$A1154,Receitas!$C:$C,Q$1,Receitas!$M:$M,$B1154)</f>
        <v>0</v>
      </c>
      <c r="R1154" s="18" cm="1">
        <f t="array" ref="R1154">(IF(AND(Membros!$F$2="Sim",A1154&lt;=MAX(Membros!$E$2:$E$5)),Membros!K$2,IF(AND(A1154&gt;=Membros!J$2,A1154&lt;=MAX(Membros!$E$2:$E$5)),Membros!K$2,0))+IF(AND(Membros!$F$3="Sim",A1154&lt;=MAX(Membros!$E$2:$E$5)),Membros!K$3,IF(AND(A1154&gt;=Membros!J$3,A1154&lt;=MAX(Membros!$E$2:$E$5)),Membros!K$3,0)))*IF(AND(COUNTIFS(Tabela3[Tipo],"Provedor",Tabela3[Simulação Seguro],"Sim")=2,A1154&gt;=MAX(IF(Tabela3[Tipo]="Dependente",Tabela3[Expectativa de Vida (Data)]))),0,1)</f>
        <v>0</v>
      </c>
      <c r="S1154" s="18">
        <f t="shared" si="142"/>
        <v>0</v>
      </c>
      <c r="U1154" s="18">
        <f t="shared" ca="1" si="145"/>
        <v>204118366.02425453</v>
      </c>
      <c r="V1154" s="18">
        <f>SUMIF(Imóveis!E:E,Dados!A:A,Imóveis!Z:Z)-SUMIF(Imóveis!E:E,Dados!A:A,Imóveis!Y:Y)</f>
        <v>0</v>
      </c>
      <c r="W1154" s="18">
        <f>-SUMIF(Projetos!N:N,A1154,Projetos!F:F)</f>
        <v>0</v>
      </c>
      <c r="X1154" s="18">
        <f t="shared" ref="X1154:X1201" si="147">(S1154-N1154)</f>
        <v>0</v>
      </c>
      <c r="Y1154" s="26">
        <f ca="1">(U1154*((Indicadores_Economicos!D$2+1)^(1/12)-1))</f>
        <v>668230.41513104131</v>
      </c>
      <c r="Z1154" s="18">
        <f t="shared" ca="1" si="143"/>
        <v>204786596.43938556</v>
      </c>
      <c r="AA1154" s="18">
        <f ca="1">Auxiliar_Projetos!E1154</f>
        <v>1.6880923206570639E-8</v>
      </c>
      <c r="AB1154" s="18">
        <f ca="1">Auxiliar_Projetos!K1154</f>
        <v>1.2985325543515859E-8</v>
      </c>
      <c r="AC1154" s="18">
        <f ca="1">IF(Z1154-AA1154-AB1154&gt;Investimentos!$C$14,Investimentos!$C$14,IF(Z1154-AA1154-AB1154&lt;Investimentos!$C$14,Z1154-AA1154-AB1154,0))</f>
        <v>300000</v>
      </c>
      <c r="AD1154" s="18">
        <f t="shared" ca="1" si="144"/>
        <v>204486596.43938553</v>
      </c>
      <c r="AE1154" s="18"/>
    </row>
    <row r="1155" spans="1:31" x14ac:dyDescent="0.2">
      <c r="A1155" s="4">
        <v>80752</v>
      </c>
      <c r="B1155" s="5" t="str">
        <f t="shared" ref="B1155:B1200" si="148">TEXT(A1155,"MMMM")</f>
        <v>fevereiro</v>
      </c>
      <c r="C1155" s="5" t="str">
        <f t="shared" si="146"/>
        <v>2121</v>
      </c>
      <c r="D1155" s="5">
        <f>SUMIFS(Despesas!$F:$F,Despesas!$J:$J,"&lt;="&amp;$A1155,Despesas!$L:$L,"&gt;="&amp;$A1155,Despesas!$C:$C,D$1,Despesas!$M:$M,"Mensal")+SUMIFS(Despesas!$F:$F,Despesas!$J:$J,"&lt;="&amp;$A1155,Despesas!$L:$L,"&gt;="&amp;$A1155,Despesas!$C:$C,D$1,Despesas!$M:$M,$B1155)</f>
        <v>0</v>
      </c>
      <c r="E1155" s="18">
        <f>SUMIFS(Despesas!$F:$F,Despesas!$J:$J,"&lt;="&amp;$A1155,Despesas!$L:$L,"&gt;="&amp;$A1155,Despesas!$C:$C,E$1,Despesas!$M:$M,"Mensal")+SUMIFS(Despesas!$F:$F,Despesas!$J:$J,"&lt;="&amp;$A1155,Despesas!$L:$L,"&gt;="&amp;$A1155,Despesas!$C:$C,E$1,Despesas!$M:$M,$B1155)</f>
        <v>0</v>
      </c>
      <c r="F1155" s="5">
        <f>SUMIFS(Despesas!$F:$F,Despesas!$J:$J,"&lt;="&amp;$A1155,Despesas!$L:$L,"&gt;="&amp;$A1155,Despesas!$C:$C,F$1,Despesas!$M:$M,"Mensal")+SUMIFS(Despesas!$F:$F,Despesas!$J:$J,"&lt;="&amp;$A1155,Despesas!$L:$L,"&gt;="&amp;$A1155,Despesas!$C:$C,F$1,Despesas!$M:$M,$B1155)</f>
        <v>0</v>
      </c>
      <c r="G1155" s="5">
        <f>SUMIFS(Despesas!$F:$F,Despesas!$J:$J,"&lt;="&amp;$A1155,Despesas!$L:$L,"&gt;="&amp;$A1155,Despesas!$C:$C,G$1,Despesas!$M:$M,"Mensal")+SUMIFS(Despesas!$F:$F,Despesas!$J:$J,"&lt;="&amp;$A1155,Despesas!$L:$L,"&gt;="&amp;$A1155,Despesas!$C:$C,G$1,Despesas!$M:$M,$B1155)</f>
        <v>0</v>
      </c>
      <c r="H1155" s="18">
        <f>SUMIFS(Despesas!$F:$F,Despesas!$J:$J,"&lt;="&amp;$A1155,Despesas!$L:$L,"&gt;="&amp;$A1155,Despesas!$C:$C,H$1,Despesas!$M:$M,"Mensal")+SUMIFS(Despesas!$F:$F,Despesas!$J:$J,"&lt;="&amp;$A1155,Despesas!$L:$L,"&gt;="&amp;$A1155,Despesas!$C:$C,H$1,Despesas!$M:$M,$B1155)</f>
        <v>0</v>
      </c>
      <c r="I1155" s="18">
        <f>IF(Imóveis!$F$2="PRICE",IF(AND(Dados!$A1155&gt;=Imóveis!$Q$2,Dados!$A1155&lt;=Imóveis!$T$2),Imóveis!$U$2,0),IF((IF(AND(Dados!$A1155&gt;=Imóveis!$Q$2,Dados!$A1155&lt;=Imóveis!$T$2),Imóveis!$S$2-(DATEDIF(Imóveis!$Q$2,Dados!$A1155,"m")),0))=0,0,((Imóveis!$N$2/Imóveis!$S$2)+((Imóveis!$N$2-((Imóveis!$S$2-(IF(AND(Dados!$A1155&gt;=Imóveis!$Q$2,Dados!$A1155&lt;=Imóveis!$T$2),Imóveis!$S$2-(DATEDIF(Imóveis!$Q$2,Dados!$A1155,"m")),)))*(Imóveis!$N$2/Imóveis!$S$2)))*Imóveis!$P$2))))*IF(AND(Imóveis!$E$2&gt;0,Dados!$A1155&gt;Imóveis!$E$2),0,1)</f>
        <v>0</v>
      </c>
      <c r="J1155" s="18">
        <f>IF(Imóveis!$F$3="PRICE",IF(AND(Dados!$A1155&gt;=Imóveis!$Q$3,Dados!$A1155&lt;=Imóveis!$T$3),Imóveis!$U$3,0),IF((IF(AND(Dados!$A1155&gt;=Imóveis!$Q$3,Dados!$A1155&lt;=Imóveis!$T$3),Imóveis!$S$3-(DATEDIF(Imóveis!$Q$3,Dados!$A1155,"m")),0))=0,0,((Imóveis!$N$3/Imóveis!$S$3)+((Imóveis!$N$3-((Imóveis!$S$3-(IF(AND(Dados!$A1155&gt;=Imóveis!$Q$3,Dados!$A1155&lt;=Imóveis!$T$3),Imóveis!$S$3-(DATEDIF(Imóveis!$Q$3,Dados!$A1155,"m")),)))*(Imóveis!$N$3/Imóveis!$S$3)))*Imóveis!$P$3))))*IF(AND(Imóveis!$E$3&gt;0,Dados!$A1155&gt;Imóveis!$E$3),0,1)</f>
        <v>0</v>
      </c>
      <c r="K1155" s="18">
        <f>IF(Imóveis!$F$4="PRICE",IF(AND(Dados!$A1155&gt;=Imóveis!$Q$4,Dados!$A1155&lt;=Imóveis!$T$4),Imóveis!$U$4,0),IF((IF(AND(Dados!$A1155&gt;=Imóveis!$Q$4,Dados!$A1155&lt;=Imóveis!$T$4),Imóveis!$S$4-(DATEDIF(Imóveis!$Q$4,Dados!$A1155,"m")),0))=0,0,((Imóveis!$N$4/Imóveis!$S$4)+((Imóveis!$N$4-((Imóveis!$S$4-(IF(AND(Dados!$A1155&gt;=Imóveis!$Q$4,Dados!$A1155&lt;=Imóveis!$T$4),Imóveis!$S$4-(DATEDIF(Imóveis!$Q$4,Dados!$A1155,"m")),)))*(Imóveis!$N$4/Imóveis!$S$4)))*Imóveis!$P$4))))*IF(AND(Imóveis!$E$4&gt;0,Dados!$A1155&gt;Imóveis!$E$4),0,1)</f>
        <v>0</v>
      </c>
      <c r="L1155" s="18">
        <f>IF(Imóveis!$F$5="PRICE",IF(AND(Dados!$A1155&gt;=Imóveis!$Q$5,Dados!$A1155&lt;=Imóveis!$T$5),Imóveis!$U$5,0),IF((IF(AND(Dados!$A1155&gt;=Imóveis!$Q$5,Dados!$A1155&lt;=Imóveis!$T$5),Imóveis!$S$5-(DATEDIF(Imóveis!$Q$5,Dados!$A1155,"m")),0))=0,0,((Imóveis!$N$5/Imóveis!$S$5)+((Imóveis!$N$5-((Imóveis!$S$5-(IF(AND(Dados!$A1155 &gt;=Imóveis!$Q$5,Dados!$A1155&lt;=Imóveis!$T$5),Imóveis!$S$5-(DATEDIF(Imóveis!$Q$5,Dados!$A1155,"m")),)))*(Imóveis!$N$5/Imóveis!$S$5)))*Imóveis!$P$5))))*IF(AND(Imóveis!$E$5&gt;0,Dados!$A1155&gt;Imóveis!$E$5),0,1)*Imóveis!$I$5</f>
        <v>0</v>
      </c>
      <c r="M1155" s="18">
        <f>IF(Imóveis!$F$6="PRICE",IF(AND(Dados!$A1155&gt;=Imóveis!$Q$6,Dados!$A1155&lt;=Imóveis!$T$6),Imóveis!$U$6,0),IF((IF(AND(Dados!$A1155&gt;=Imóveis!$Q$6,Dados!$A1155&lt;=Imóveis!$T$6),Imóveis!$S$6-(DATEDIF(Imóveis!$Q$6,Dados!$A1155,"m")),0))=0,0,((Imóveis!$N$6/Imóveis!$S$6)+((Imóveis!$N$6-((Imóveis!$S$6-(IF(AND(Dados!$A1155&gt;=Imóveis!$Q$6,Dados!$A1155&lt;=Imóveis!$T$6),Imóveis!$S$6-(DATEDIF(Imóveis!$Q$6,Dados!$A1155,"m")),)))*(Imóveis!$N$6/Imóveis!$S$6)))*Imóveis!$P$6))))*IF(AND(Imóveis!$E$6&gt;0,Dados!$A1155&gt;Imóveis!$E$6),0,1)*Imóveis!$I$6</f>
        <v>0</v>
      </c>
      <c r="N1155" s="18">
        <f t="shared" ref="N1155:N1201" si="149">SUM(D1155:M1155)</f>
        <v>0</v>
      </c>
      <c r="O1155" s="18">
        <f>SUMIFS(Receitas!$F:$F,Receitas!$J:$J,"&lt;="&amp;$A1155,Receitas!$L:$L,"&gt;="&amp;$A1155,Receitas!$C:$C,O$1,Receitas!$M:$M,"Mensal")+SUMIFS(Receitas!$F:$F,Receitas!$J:$J,"&lt;="&amp;$A1155,Receitas!$L:$L,"&gt;="&amp;$A1155,Receitas!$C:$C,O$1,Receitas!$M:$M,$B1155)</f>
        <v>0</v>
      </c>
      <c r="P1155" s="18">
        <f>SUMIFS(Receitas!$F:$F,Receitas!$J:$J,"&lt;="&amp;$A1155,Receitas!$L:$L,"&gt;="&amp;$A1155,Receitas!$C:$C,P$1,Receitas!$M:$M,"Mensal")+SUMIFS(Receitas!$F:$F,Receitas!$J:$J,"&lt;="&amp;$A1155,Receitas!$L:$L,"&gt;="&amp;$A1155,Receitas!$C:$C,P$1,Receitas!$M:$M,$B1155)</f>
        <v>0</v>
      </c>
      <c r="Q1155" s="18">
        <f>SUMIFS(Receitas!$F:$F,Receitas!$J:$J,"&lt;="&amp;$A1155,Receitas!$L:$L,"&gt;="&amp;$A1155,Receitas!$C:$C,Q$1,Receitas!$M:$M,"Mensal")+SUMIFS(Receitas!$F:$F,Receitas!$J:$J,"&lt;="&amp;$A1155,Receitas!$L:$L,"&gt;="&amp;$A1155,Receitas!$C:$C,Q$1,Receitas!$M:$M,$B1155)</f>
        <v>0</v>
      </c>
      <c r="R1155" s="18" cm="1">
        <f t="array" ref="R1155">(IF(AND(Membros!$F$2="Sim",A1155&lt;=MAX(Membros!$E$2:$E$5)),Membros!K$2,IF(AND(A1155&gt;=Membros!J$2,A1155&lt;=MAX(Membros!$E$2:$E$5)),Membros!K$2,0))+IF(AND(Membros!$F$3="Sim",A1155&lt;=MAX(Membros!$E$2:$E$5)),Membros!K$3,IF(AND(A1155&gt;=Membros!J$3,A1155&lt;=MAX(Membros!$E$2:$E$5)),Membros!K$3,0)))*IF(AND(COUNTIFS(Tabela3[Tipo],"Provedor",Tabela3[Simulação Seguro],"Sim")=2,A1155&gt;=MAX(IF(Tabela3[Tipo]="Dependente",Tabela3[Expectativa de Vida (Data)]))),0,1)</f>
        <v>0</v>
      </c>
      <c r="S1155" s="18">
        <f t="shared" ref="S1155:S1201" si="150">O1155+P1155+Q1155+R1155</f>
        <v>0</v>
      </c>
      <c r="U1155" s="18">
        <f t="shared" ca="1" si="145"/>
        <v>204786596.43938556</v>
      </c>
      <c r="V1155" s="18">
        <f>SUMIF(Imóveis!E:E,Dados!A:A,Imóveis!Z:Z)-SUMIF(Imóveis!E:E,Dados!A:A,Imóveis!Y:Y)</f>
        <v>0</v>
      </c>
      <c r="W1155" s="18">
        <f>-SUMIF(Projetos!N:N,A1155,Projetos!F:F)</f>
        <v>0</v>
      </c>
      <c r="X1155" s="18">
        <f t="shared" si="147"/>
        <v>0</v>
      </c>
      <c r="Y1155" s="26">
        <f ca="1">(U1155*((Indicadores_Economicos!D$2+1)^(1/12)-1))</f>
        <v>670418.02762473107</v>
      </c>
      <c r="Z1155" s="18">
        <f t="shared" ref="Z1155:Z1201" ca="1" si="151">U1155+V1155+W1155+X1155+Y1155</f>
        <v>205457014.46701029</v>
      </c>
      <c r="AA1155" s="18">
        <f ca="1">Auxiliar_Projetos!E1155</f>
        <v>1.6936186956432235E-8</v>
      </c>
      <c r="AB1155" s="18">
        <f ca="1">Auxiliar_Projetos!K1155</f>
        <v>1.302783612033247E-8</v>
      </c>
      <c r="AC1155" s="18">
        <f ca="1">IF(Z1155-AA1155-AB1155&gt;Investimentos!$C$14,Investimentos!$C$14,IF(Z1155-AA1155-AB1155&lt;Investimentos!$C$14,Z1155-AA1155-AB1155,0))</f>
        <v>300000</v>
      </c>
      <c r="AD1155" s="18">
        <f t="shared" ref="AD1155:AD1201" ca="1" si="152">Z1155-AA1155-AB1155-AC1155</f>
        <v>205157014.46701026</v>
      </c>
      <c r="AE1155" s="18"/>
    </row>
    <row r="1156" spans="1:31" x14ac:dyDescent="0.2">
      <c r="A1156" s="4">
        <v>80780</v>
      </c>
      <c r="B1156" s="5" t="str">
        <f t="shared" si="148"/>
        <v>março</v>
      </c>
      <c r="C1156" s="5" t="str">
        <f t="shared" si="146"/>
        <v>2121</v>
      </c>
      <c r="D1156" s="5">
        <f>SUMIFS(Despesas!$F:$F,Despesas!$J:$J,"&lt;="&amp;$A1156,Despesas!$L:$L,"&gt;="&amp;$A1156,Despesas!$C:$C,D$1,Despesas!$M:$M,"Mensal")+SUMIFS(Despesas!$F:$F,Despesas!$J:$J,"&lt;="&amp;$A1156,Despesas!$L:$L,"&gt;="&amp;$A1156,Despesas!$C:$C,D$1,Despesas!$M:$M,$B1156)</f>
        <v>0</v>
      </c>
      <c r="E1156" s="18">
        <f>SUMIFS(Despesas!$F:$F,Despesas!$J:$J,"&lt;="&amp;$A1156,Despesas!$L:$L,"&gt;="&amp;$A1156,Despesas!$C:$C,E$1,Despesas!$M:$M,"Mensal")+SUMIFS(Despesas!$F:$F,Despesas!$J:$J,"&lt;="&amp;$A1156,Despesas!$L:$L,"&gt;="&amp;$A1156,Despesas!$C:$C,E$1,Despesas!$M:$M,$B1156)</f>
        <v>0</v>
      </c>
      <c r="F1156" s="5">
        <f>SUMIFS(Despesas!$F:$F,Despesas!$J:$J,"&lt;="&amp;$A1156,Despesas!$L:$L,"&gt;="&amp;$A1156,Despesas!$C:$C,F$1,Despesas!$M:$M,"Mensal")+SUMIFS(Despesas!$F:$F,Despesas!$J:$J,"&lt;="&amp;$A1156,Despesas!$L:$L,"&gt;="&amp;$A1156,Despesas!$C:$C,F$1,Despesas!$M:$M,$B1156)</f>
        <v>0</v>
      </c>
      <c r="G1156" s="5">
        <f>SUMIFS(Despesas!$F:$F,Despesas!$J:$J,"&lt;="&amp;$A1156,Despesas!$L:$L,"&gt;="&amp;$A1156,Despesas!$C:$C,G$1,Despesas!$M:$M,"Mensal")+SUMIFS(Despesas!$F:$F,Despesas!$J:$J,"&lt;="&amp;$A1156,Despesas!$L:$L,"&gt;="&amp;$A1156,Despesas!$C:$C,G$1,Despesas!$M:$M,$B1156)</f>
        <v>0</v>
      </c>
      <c r="H1156" s="18">
        <f>SUMIFS(Despesas!$F:$F,Despesas!$J:$J,"&lt;="&amp;$A1156,Despesas!$L:$L,"&gt;="&amp;$A1156,Despesas!$C:$C,H$1,Despesas!$M:$M,"Mensal")+SUMIFS(Despesas!$F:$F,Despesas!$J:$J,"&lt;="&amp;$A1156,Despesas!$L:$L,"&gt;="&amp;$A1156,Despesas!$C:$C,H$1,Despesas!$M:$M,$B1156)</f>
        <v>0</v>
      </c>
      <c r="I1156" s="18">
        <f>IF(Imóveis!$F$2="PRICE",IF(AND(Dados!$A1156&gt;=Imóveis!$Q$2,Dados!$A1156&lt;=Imóveis!$T$2),Imóveis!$U$2,0),IF((IF(AND(Dados!$A1156&gt;=Imóveis!$Q$2,Dados!$A1156&lt;=Imóveis!$T$2),Imóveis!$S$2-(DATEDIF(Imóveis!$Q$2,Dados!$A1156,"m")),0))=0,0,((Imóveis!$N$2/Imóveis!$S$2)+((Imóveis!$N$2-((Imóveis!$S$2-(IF(AND(Dados!$A1156&gt;=Imóveis!$Q$2,Dados!$A1156&lt;=Imóveis!$T$2),Imóveis!$S$2-(DATEDIF(Imóveis!$Q$2,Dados!$A1156,"m")),)))*(Imóveis!$N$2/Imóveis!$S$2)))*Imóveis!$P$2))))*IF(AND(Imóveis!$E$2&gt;0,Dados!$A1156&gt;Imóveis!$E$2),0,1)</f>
        <v>0</v>
      </c>
      <c r="J1156" s="18">
        <f>IF(Imóveis!$F$3="PRICE",IF(AND(Dados!$A1156&gt;=Imóveis!$Q$3,Dados!$A1156&lt;=Imóveis!$T$3),Imóveis!$U$3,0),IF((IF(AND(Dados!$A1156&gt;=Imóveis!$Q$3,Dados!$A1156&lt;=Imóveis!$T$3),Imóveis!$S$3-(DATEDIF(Imóveis!$Q$3,Dados!$A1156,"m")),0))=0,0,((Imóveis!$N$3/Imóveis!$S$3)+((Imóveis!$N$3-((Imóveis!$S$3-(IF(AND(Dados!$A1156&gt;=Imóveis!$Q$3,Dados!$A1156&lt;=Imóveis!$T$3),Imóveis!$S$3-(DATEDIF(Imóveis!$Q$3,Dados!$A1156,"m")),)))*(Imóveis!$N$3/Imóveis!$S$3)))*Imóveis!$P$3))))*IF(AND(Imóveis!$E$3&gt;0,Dados!$A1156&gt;Imóveis!$E$3),0,1)</f>
        <v>0</v>
      </c>
      <c r="K1156" s="18">
        <f>IF(Imóveis!$F$4="PRICE",IF(AND(Dados!$A1156&gt;=Imóveis!$Q$4,Dados!$A1156&lt;=Imóveis!$T$4),Imóveis!$U$4,0),IF((IF(AND(Dados!$A1156&gt;=Imóveis!$Q$4,Dados!$A1156&lt;=Imóveis!$T$4),Imóveis!$S$4-(DATEDIF(Imóveis!$Q$4,Dados!$A1156,"m")),0))=0,0,((Imóveis!$N$4/Imóveis!$S$4)+((Imóveis!$N$4-((Imóveis!$S$4-(IF(AND(Dados!$A1156&gt;=Imóveis!$Q$4,Dados!$A1156&lt;=Imóveis!$T$4),Imóveis!$S$4-(DATEDIF(Imóveis!$Q$4,Dados!$A1156,"m")),)))*(Imóveis!$N$4/Imóveis!$S$4)))*Imóveis!$P$4))))*IF(AND(Imóveis!$E$4&gt;0,Dados!$A1156&gt;Imóveis!$E$4),0,1)</f>
        <v>0</v>
      </c>
      <c r="L1156" s="18">
        <f>IF(Imóveis!$F$5="PRICE",IF(AND(Dados!$A1156&gt;=Imóveis!$Q$5,Dados!$A1156&lt;=Imóveis!$T$5),Imóveis!$U$5,0),IF((IF(AND(Dados!$A1156&gt;=Imóveis!$Q$5,Dados!$A1156&lt;=Imóveis!$T$5),Imóveis!$S$5-(DATEDIF(Imóveis!$Q$5,Dados!$A1156,"m")),0))=0,0,((Imóveis!$N$5/Imóveis!$S$5)+((Imóveis!$N$5-((Imóveis!$S$5-(IF(AND(Dados!$A1156 &gt;=Imóveis!$Q$5,Dados!$A1156&lt;=Imóveis!$T$5),Imóveis!$S$5-(DATEDIF(Imóveis!$Q$5,Dados!$A1156,"m")),)))*(Imóveis!$N$5/Imóveis!$S$5)))*Imóveis!$P$5))))*IF(AND(Imóveis!$E$5&gt;0,Dados!$A1156&gt;Imóveis!$E$5),0,1)*Imóveis!$I$5</f>
        <v>0</v>
      </c>
      <c r="M1156" s="18">
        <f>IF(Imóveis!$F$6="PRICE",IF(AND(Dados!$A1156&gt;=Imóveis!$Q$6,Dados!$A1156&lt;=Imóveis!$T$6),Imóveis!$U$6,0),IF((IF(AND(Dados!$A1156&gt;=Imóveis!$Q$6,Dados!$A1156&lt;=Imóveis!$T$6),Imóveis!$S$6-(DATEDIF(Imóveis!$Q$6,Dados!$A1156,"m")),0))=0,0,((Imóveis!$N$6/Imóveis!$S$6)+((Imóveis!$N$6-((Imóveis!$S$6-(IF(AND(Dados!$A1156&gt;=Imóveis!$Q$6,Dados!$A1156&lt;=Imóveis!$T$6),Imóveis!$S$6-(DATEDIF(Imóveis!$Q$6,Dados!$A1156,"m")),)))*(Imóveis!$N$6/Imóveis!$S$6)))*Imóveis!$P$6))))*IF(AND(Imóveis!$E$6&gt;0,Dados!$A1156&gt;Imóveis!$E$6),0,1)*Imóveis!$I$6</f>
        <v>0</v>
      </c>
      <c r="N1156" s="18">
        <f t="shared" si="149"/>
        <v>0</v>
      </c>
      <c r="O1156" s="18">
        <f>SUMIFS(Receitas!$F:$F,Receitas!$J:$J,"&lt;="&amp;$A1156,Receitas!$L:$L,"&gt;="&amp;$A1156,Receitas!$C:$C,O$1,Receitas!$M:$M,"Mensal")+SUMIFS(Receitas!$F:$F,Receitas!$J:$J,"&lt;="&amp;$A1156,Receitas!$L:$L,"&gt;="&amp;$A1156,Receitas!$C:$C,O$1,Receitas!$M:$M,$B1156)</f>
        <v>0</v>
      </c>
      <c r="P1156" s="18">
        <f>SUMIFS(Receitas!$F:$F,Receitas!$J:$J,"&lt;="&amp;$A1156,Receitas!$L:$L,"&gt;="&amp;$A1156,Receitas!$C:$C,P$1,Receitas!$M:$M,"Mensal")+SUMIFS(Receitas!$F:$F,Receitas!$J:$J,"&lt;="&amp;$A1156,Receitas!$L:$L,"&gt;="&amp;$A1156,Receitas!$C:$C,P$1,Receitas!$M:$M,$B1156)</f>
        <v>0</v>
      </c>
      <c r="Q1156" s="18">
        <f>SUMIFS(Receitas!$F:$F,Receitas!$J:$J,"&lt;="&amp;$A1156,Receitas!$L:$L,"&gt;="&amp;$A1156,Receitas!$C:$C,Q$1,Receitas!$M:$M,"Mensal")+SUMIFS(Receitas!$F:$F,Receitas!$J:$J,"&lt;="&amp;$A1156,Receitas!$L:$L,"&gt;="&amp;$A1156,Receitas!$C:$C,Q$1,Receitas!$M:$M,$B1156)</f>
        <v>0</v>
      </c>
      <c r="R1156" s="18" cm="1">
        <f t="array" ref="R1156">(IF(AND(Membros!$F$2="Sim",A1156&lt;=MAX(Membros!$E$2:$E$5)),Membros!K$2,IF(AND(A1156&gt;=Membros!J$2,A1156&lt;=MAX(Membros!$E$2:$E$5)),Membros!K$2,0))+IF(AND(Membros!$F$3="Sim",A1156&lt;=MAX(Membros!$E$2:$E$5)),Membros!K$3,IF(AND(A1156&gt;=Membros!J$3,A1156&lt;=MAX(Membros!$E$2:$E$5)),Membros!K$3,0)))*IF(AND(COUNTIFS(Tabela3[Tipo],"Provedor",Tabela3[Simulação Seguro],"Sim")=2,A1156&gt;=MAX(IF(Tabela3[Tipo]="Dependente",Tabela3[Expectativa de Vida (Data)]))),0,1)</f>
        <v>0</v>
      </c>
      <c r="S1156" s="18">
        <f t="shared" si="150"/>
        <v>0</v>
      </c>
      <c r="U1156" s="18">
        <f t="shared" ref="U1156:U1201" ca="1" si="153">Z1155</f>
        <v>205457014.46701029</v>
      </c>
      <c r="V1156" s="18">
        <f>SUMIF(Imóveis!E:E,Dados!A:A,Imóveis!Z:Z)-SUMIF(Imóveis!E:E,Dados!A:A,Imóveis!Y:Y)</f>
        <v>0</v>
      </c>
      <c r="W1156" s="18">
        <f>-SUMIF(Projetos!N:N,A1156,Projetos!F:F)</f>
        <v>0</v>
      </c>
      <c r="X1156" s="18">
        <f t="shared" si="147"/>
        <v>0</v>
      </c>
      <c r="Y1156" s="26">
        <f ca="1">(U1156*((Indicadores_Economicos!D$2+1)^(1/12)-1))</f>
        <v>672612.80179246946</v>
      </c>
      <c r="Z1156" s="18">
        <f t="shared" ca="1" si="151"/>
        <v>206129627.26880276</v>
      </c>
      <c r="AA1156" s="18">
        <f ca="1">Auxiliar_Projetos!E1156</f>
        <v>1.6991631625430264E-8</v>
      </c>
      <c r="AB1156" s="18">
        <f ca="1">Auxiliar_Projetos!K1156</f>
        <v>1.307048586571557E-8</v>
      </c>
      <c r="AC1156" s="18">
        <f ca="1">IF(Z1156-AA1156-AB1156&gt;Investimentos!$C$14,Investimentos!$C$14,IF(Z1156-AA1156-AB1156&lt;Investimentos!$C$14,Z1156-AA1156-AB1156,0))</f>
        <v>300000</v>
      </c>
      <c r="AD1156" s="18">
        <f t="shared" ca="1" si="152"/>
        <v>205829627.26880273</v>
      </c>
      <c r="AE1156" s="18"/>
    </row>
    <row r="1157" spans="1:31" x14ac:dyDescent="0.2">
      <c r="A1157" s="4">
        <v>80811</v>
      </c>
      <c r="B1157" s="5" t="str">
        <f t="shared" si="148"/>
        <v>abril</v>
      </c>
      <c r="C1157" s="5" t="str">
        <f t="shared" si="146"/>
        <v>2121</v>
      </c>
      <c r="D1157" s="5">
        <f>SUMIFS(Despesas!$F:$F,Despesas!$J:$J,"&lt;="&amp;$A1157,Despesas!$L:$L,"&gt;="&amp;$A1157,Despesas!$C:$C,D$1,Despesas!$M:$M,"Mensal")+SUMIFS(Despesas!$F:$F,Despesas!$J:$J,"&lt;="&amp;$A1157,Despesas!$L:$L,"&gt;="&amp;$A1157,Despesas!$C:$C,D$1,Despesas!$M:$M,$B1157)</f>
        <v>0</v>
      </c>
      <c r="E1157" s="18">
        <f>SUMIFS(Despesas!$F:$F,Despesas!$J:$J,"&lt;="&amp;$A1157,Despesas!$L:$L,"&gt;="&amp;$A1157,Despesas!$C:$C,E$1,Despesas!$M:$M,"Mensal")+SUMIFS(Despesas!$F:$F,Despesas!$J:$J,"&lt;="&amp;$A1157,Despesas!$L:$L,"&gt;="&amp;$A1157,Despesas!$C:$C,E$1,Despesas!$M:$M,$B1157)</f>
        <v>0</v>
      </c>
      <c r="F1157" s="5">
        <f>SUMIFS(Despesas!$F:$F,Despesas!$J:$J,"&lt;="&amp;$A1157,Despesas!$L:$L,"&gt;="&amp;$A1157,Despesas!$C:$C,F$1,Despesas!$M:$M,"Mensal")+SUMIFS(Despesas!$F:$F,Despesas!$J:$J,"&lt;="&amp;$A1157,Despesas!$L:$L,"&gt;="&amp;$A1157,Despesas!$C:$C,F$1,Despesas!$M:$M,$B1157)</f>
        <v>0</v>
      </c>
      <c r="G1157" s="5">
        <f>SUMIFS(Despesas!$F:$F,Despesas!$J:$J,"&lt;="&amp;$A1157,Despesas!$L:$L,"&gt;="&amp;$A1157,Despesas!$C:$C,G$1,Despesas!$M:$M,"Mensal")+SUMIFS(Despesas!$F:$F,Despesas!$J:$J,"&lt;="&amp;$A1157,Despesas!$L:$L,"&gt;="&amp;$A1157,Despesas!$C:$C,G$1,Despesas!$M:$M,$B1157)</f>
        <v>0</v>
      </c>
      <c r="H1157" s="18">
        <f>SUMIFS(Despesas!$F:$F,Despesas!$J:$J,"&lt;="&amp;$A1157,Despesas!$L:$L,"&gt;="&amp;$A1157,Despesas!$C:$C,H$1,Despesas!$M:$M,"Mensal")+SUMIFS(Despesas!$F:$F,Despesas!$J:$J,"&lt;="&amp;$A1157,Despesas!$L:$L,"&gt;="&amp;$A1157,Despesas!$C:$C,H$1,Despesas!$M:$M,$B1157)</f>
        <v>0</v>
      </c>
      <c r="I1157" s="18">
        <f>IF(Imóveis!$F$2="PRICE",IF(AND(Dados!$A1157&gt;=Imóveis!$Q$2,Dados!$A1157&lt;=Imóveis!$T$2),Imóveis!$U$2,0),IF((IF(AND(Dados!$A1157&gt;=Imóveis!$Q$2,Dados!$A1157&lt;=Imóveis!$T$2),Imóveis!$S$2-(DATEDIF(Imóveis!$Q$2,Dados!$A1157,"m")),0))=0,0,((Imóveis!$N$2/Imóveis!$S$2)+((Imóveis!$N$2-((Imóveis!$S$2-(IF(AND(Dados!$A1157&gt;=Imóveis!$Q$2,Dados!$A1157&lt;=Imóveis!$T$2),Imóveis!$S$2-(DATEDIF(Imóveis!$Q$2,Dados!$A1157,"m")),)))*(Imóveis!$N$2/Imóveis!$S$2)))*Imóveis!$P$2))))*IF(AND(Imóveis!$E$2&gt;0,Dados!$A1157&gt;Imóveis!$E$2),0,1)</f>
        <v>0</v>
      </c>
      <c r="J1157" s="18">
        <f>IF(Imóveis!$F$3="PRICE",IF(AND(Dados!$A1157&gt;=Imóveis!$Q$3,Dados!$A1157&lt;=Imóveis!$T$3),Imóveis!$U$3,0),IF((IF(AND(Dados!$A1157&gt;=Imóveis!$Q$3,Dados!$A1157&lt;=Imóveis!$T$3),Imóveis!$S$3-(DATEDIF(Imóveis!$Q$3,Dados!$A1157,"m")),0))=0,0,((Imóveis!$N$3/Imóveis!$S$3)+((Imóveis!$N$3-((Imóveis!$S$3-(IF(AND(Dados!$A1157&gt;=Imóveis!$Q$3,Dados!$A1157&lt;=Imóveis!$T$3),Imóveis!$S$3-(DATEDIF(Imóveis!$Q$3,Dados!$A1157,"m")),)))*(Imóveis!$N$3/Imóveis!$S$3)))*Imóveis!$P$3))))*IF(AND(Imóveis!$E$3&gt;0,Dados!$A1157&gt;Imóveis!$E$3),0,1)</f>
        <v>0</v>
      </c>
      <c r="K1157" s="18">
        <f>IF(Imóveis!$F$4="PRICE",IF(AND(Dados!$A1157&gt;=Imóveis!$Q$4,Dados!$A1157&lt;=Imóveis!$T$4),Imóveis!$U$4,0),IF((IF(AND(Dados!$A1157&gt;=Imóveis!$Q$4,Dados!$A1157&lt;=Imóveis!$T$4),Imóveis!$S$4-(DATEDIF(Imóveis!$Q$4,Dados!$A1157,"m")),0))=0,0,((Imóveis!$N$4/Imóveis!$S$4)+((Imóveis!$N$4-((Imóveis!$S$4-(IF(AND(Dados!$A1157&gt;=Imóveis!$Q$4,Dados!$A1157&lt;=Imóveis!$T$4),Imóveis!$S$4-(DATEDIF(Imóveis!$Q$4,Dados!$A1157,"m")),)))*(Imóveis!$N$4/Imóveis!$S$4)))*Imóveis!$P$4))))*IF(AND(Imóveis!$E$4&gt;0,Dados!$A1157&gt;Imóveis!$E$4),0,1)</f>
        <v>0</v>
      </c>
      <c r="L1157" s="18">
        <f>IF(Imóveis!$F$5="PRICE",IF(AND(Dados!$A1157&gt;=Imóveis!$Q$5,Dados!$A1157&lt;=Imóveis!$T$5),Imóveis!$U$5,0),IF((IF(AND(Dados!$A1157&gt;=Imóveis!$Q$5,Dados!$A1157&lt;=Imóveis!$T$5),Imóveis!$S$5-(DATEDIF(Imóveis!$Q$5,Dados!$A1157,"m")),0))=0,0,((Imóveis!$N$5/Imóveis!$S$5)+((Imóveis!$N$5-((Imóveis!$S$5-(IF(AND(Dados!$A1157 &gt;=Imóveis!$Q$5,Dados!$A1157&lt;=Imóveis!$T$5),Imóveis!$S$5-(DATEDIF(Imóveis!$Q$5,Dados!$A1157,"m")),)))*(Imóveis!$N$5/Imóveis!$S$5)))*Imóveis!$P$5))))*IF(AND(Imóveis!$E$5&gt;0,Dados!$A1157&gt;Imóveis!$E$5),0,1)*Imóveis!$I$5</f>
        <v>0</v>
      </c>
      <c r="M1157" s="18">
        <f>IF(Imóveis!$F$6="PRICE",IF(AND(Dados!$A1157&gt;=Imóveis!$Q$6,Dados!$A1157&lt;=Imóveis!$T$6),Imóveis!$U$6,0),IF((IF(AND(Dados!$A1157&gt;=Imóveis!$Q$6,Dados!$A1157&lt;=Imóveis!$T$6),Imóveis!$S$6-(DATEDIF(Imóveis!$Q$6,Dados!$A1157,"m")),0))=0,0,((Imóveis!$N$6/Imóveis!$S$6)+((Imóveis!$N$6-((Imóveis!$S$6-(IF(AND(Dados!$A1157&gt;=Imóveis!$Q$6,Dados!$A1157&lt;=Imóveis!$T$6),Imóveis!$S$6-(DATEDIF(Imóveis!$Q$6,Dados!$A1157,"m")),)))*(Imóveis!$N$6/Imóveis!$S$6)))*Imóveis!$P$6))))*IF(AND(Imóveis!$E$6&gt;0,Dados!$A1157&gt;Imóveis!$E$6),0,1)*Imóveis!$I$6</f>
        <v>0</v>
      </c>
      <c r="N1157" s="18">
        <f t="shared" si="149"/>
        <v>0</v>
      </c>
      <c r="O1157" s="18">
        <f>SUMIFS(Receitas!$F:$F,Receitas!$J:$J,"&lt;="&amp;$A1157,Receitas!$L:$L,"&gt;="&amp;$A1157,Receitas!$C:$C,O$1,Receitas!$M:$M,"Mensal")+SUMIFS(Receitas!$F:$F,Receitas!$J:$J,"&lt;="&amp;$A1157,Receitas!$L:$L,"&gt;="&amp;$A1157,Receitas!$C:$C,O$1,Receitas!$M:$M,$B1157)</f>
        <v>0</v>
      </c>
      <c r="P1157" s="18">
        <f>SUMIFS(Receitas!$F:$F,Receitas!$J:$J,"&lt;="&amp;$A1157,Receitas!$L:$L,"&gt;="&amp;$A1157,Receitas!$C:$C,P$1,Receitas!$M:$M,"Mensal")+SUMIFS(Receitas!$F:$F,Receitas!$J:$J,"&lt;="&amp;$A1157,Receitas!$L:$L,"&gt;="&amp;$A1157,Receitas!$C:$C,P$1,Receitas!$M:$M,$B1157)</f>
        <v>0</v>
      </c>
      <c r="Q1157" s="18">
        <f>SUMIFS(Receitas!$F:$F,Receitas!$J:$J,"&lt;="&amp;$A1157,Receitas!$L:$L,"&gt;="&amp;$A1157,Receitas!$C:$C,Q$1,Receitas!$M:$M,"Mensal")+SUMIFS(Receitas!$F:$F,Receitas!$J:$J,"&lt;="&amp;$A1157,Receitas!$L:$L,"&gt;="&amp;$A1157,Receitas!$C:$C,Q$1,Receitas!$M:$M,$B1157)</f>
        <v>0</v>
      </c>
      <c r="R1157" s="18" cm="1">
        <f t="array" ref="R1157">(IF(AND(Membros!$F$2="Sim",A1157&lt;=MAX(Membros!$E$2:$E$5)),Membros!K$2,IF(AND(A1157&gt;=Membros!J$2,A1157&lt;=MAX(Membros!$E$2:$E$5)),Membros!K$2,0))+IF(AND(Membros!$F$3="Sim",A1157&lt;=MAX(Membros!$E$2:$E$5)),Membros!K$3,IF(AND(A1157&gt;=Membros!J$3,A1157&lt;=MAX(Membros!$E$2:$E$5)),Membros!K$3,0)))*IF(AND(COUNTIFS(Tabela3[Tipo],"Provedor",Tabela3[Simulação Seguro],"Sim")=2,A1157&gt;=MAX(IF(Tabela3[Tipo]="Dependente",Tabela3[Expectativa de Vida (Data)]))),0,1)</f>
        <v>0</v>
      </c>
      <c r="S1157" s="18">
        <f t="shared" si="150"/>
        <v>0</v>
      </c>
      <c r="U1157" s="18">
        <f t="shared" ca="1" si="153"/>
        <v>206129627.26880276</v>
      </c>
      <c r="V1157" s="18">
        <f>SUMIF(Imóveis!E:E,Dados!A:A,Imóveis!Z:Z)-SUMIF(Imóveis!E:E,Dados!A:A,Imóveis!Y:Y)</f>
        <v>0</v>
      </c>
      <c r="W1157" s="18">
        <f>-SUMIF(Projetos!N:N,A1157,Projetos!F:F)</f>
        <v>0</v>
      </c>
      <c r="X1157" s="18">
        <f t="shared" si="147"/>
        <v>0</v>
      </c>
      <c r="Y1157" s="26">
        <f ca="1">(U1157*((Indicadores_Economicos!D$2+1)^(1/12)-1))</f>
        <v>674814.76107971382</v>
      </c>
      <c r="Z1157" s="18">
        <f t="shared" ca="1" si="151"/>
        <v>206804442.02988249</v>
      </c>
      <c r="AA1157" s="18">
        <f ca="1">Auxiliar_Projetos!E1157</f>
        <v>1.7047257805846906E-8</v>
      </c>
      <c r="AB1157" s="18">
        <f ca="1">Auxiliar_Projetos!K1157</f>
        <v>1.3113275235266832E-8</v>
      </c>
      <c r="AC1157" s="18">
        <f ca="1">IF(Z1157-AA1157-AB1157&gt;Investimentos!$C$14,Investimentos!$C$14,IF(Z1157-AA1157-AB1157&lt;Investimentos!$C$14,Z1157-AA1157-AB1157,0))</f>
        <v>300000</v>
      </c>
      <c r="AD1157" s="18">
        <f t="shared" ca="1" si="152"/>
        <v>206504442.02988246</v>
      </c>
      <c r="AE1157" s="18"/>
    </row>
    <row r="1158" spans="1:31" x14ac:dyDescent="0.2">
      <c r="A1158" s="4">
        <v>80841</v>
      </c>
      <c r="B1158" s="5" t="str">
        <f t="shared" si="148"/>
        <v>maio</v>
      </c>
      <c r="C1158" s="5" t="str">
        <f t="shared" si="146"/>
        <v>2121</v>
      </c>
      <c r="D1158" s="5">
        <f>SUMIFS(Despesas!$F:$F,Despesas!$J:$J,"&lt;="&amp;$A1158,Despesas!$L:$L,"&gt;="&amp;$A1158,Despesas!$C:$C,D$1,Despesas!$M:$M,"Mensal")+SUMIFS(Despesas!$F:$F,Despesas!$J:$J,"&lt;="&amp;$A1158,Despesas!$L:$L,"&gt;="&amp;$A1158,Despesas!$C:$C,D$1,Despesas!$M:$M,$B1158)</f>
        <v>0</v>
      </c>
      <c r="E1158" s="18">
        <f>SUMIFS(Despesas!$F:$F,Despesas!$J:$J,"&lt;="&amp;$A1158,Despesas!$L:$L,"&gt;="&amp;$A1158,Despesas!$C:$C,E$1,Despesas!$M:$M,"Mensal")+SUMIFS(Despesas!$F:$F,Despesas!$J:$J,"&lt;="&amp;$A1158,Despesas!$L:$L,"&gt;="&amp;$A1158,Despesas!$C:$C,E$1,Despesas!$M:$M,$B1158)</f>
        <v>0</v>
      </c>
      <c r="F1158" s="5">
        <f>SUMIFS(Despesas!$F:$F,Despesas!$J:$J,"&lt;="&amp;$A1158,Despesas!$L:$L,"&gt;="&amp;$A1158,Despesas!$C:$C,F$1,Despesas!$M:$M,"Mensal")+SUMIFS(Despesas!$F:$F,Despesas!$J:$J,"&lt;="&amp;$A1158,Despesas!$L:$L,"&gt;="&amp;$A1158,Despesas!$C:$C,F$1,Despesas!$M:$M,$B1158)</f>
        <v>0</v>
      </c>
      <c r="G1158" s="5">
        <f>SUMIFS(Despesas!$F:$F,Despesas!$J:$J,"&lt;="&amp;$A1158,Despesas!$L:$L,"&gt;="&amp;$A1158,Despesas!$C:$C,G$1,Despesas!$M:$M,"Mensal")+SUMIFS(Despesas!$F:$F,Despesas!$J:$J,"&lt;="&amp;$A1158,Despesas!$L:$L,"&gt;="&amp;$A1158,Despesas!$C:$C,G$1,Despesas!$M:$M,$B1158)</f>
        <v>0</v>
      </c>
      <c r="H1158" s="18">
        <f>SUMIFS(Despesas!$F:$F,Despesas!$J:$J,"&lt;="&amp;$A1158,Despesas!$L:$L,"&gt;="&amp;$A1158,Despesas!$C:$C,H$1,Despesas!$M:$M,"Mensal")+SUMIFS(Despesas!$F:$F,Despesas!$J:$J,"&lt;="&amp;$A1158,Despesas!$L:$L,"&gt;="&amp;$A1158,Despesas!$C:$C,H$1,Despesas!$M:$M,$B1158)</f>
        <v>0</v>
      </c>
      <c r="I1158" s="18">
        <f>IF(Imóveis!$F$2="PRICE",IF(AND(Dados!$A1158&gt;=Imóveis!$Q$2,Dados!$A1158&lt;=Imóveis!$T$2),Imóveis!$U$2,0),IF((IF(AND(Dados!$A1158&gt;=Imóveis!$Q$2,Dados!$A1158&lt;=Imóveis!$T$2),Imóveis!$S$2-(DATEDIF(Imóveis!$Q$2,Dados!$A1158,"m")),0))=0,0,((Imóveis!$N$2/Imóveis!$S$2)+((Imóveis!$N$2-((Imóveis!$S$2-(IF(AND(Dados!$A1158&gt;=Imóveis!$Q$2,Dados!$A1158&lt;=Imóveis!$T$2),Imóveis!$S$2-(DATEDIF(Imóveis!$Q$2,Dados!$A1158,"m")),)))*(Imóveis!$N$2/Imóveis!$S$2)))*Imóveis!$P$2))))*IF(AND(Imóveis!$E$2&gt;0,Dados!$A1158&gt;Imóveis!$E$2),0,1)</f>
        <v>0</v>
      </c>
      <c r="J1158" s="18">
        <f>IF(Imóveis!$F$3="PRICE",IF(AND(Dados!$A1158&gt;=Imóveis!$Q$3,Dados!$A1158&lt;=Imóveis!$T$3),Imóveis!$U$3,0),IF((IF(AND(Dados!$A1158&gt;=Imóveis!$Q$3,Dados!$A1158&lt;=Imóveis!$T$3),Imóveis!$S$3-(DATEDIF(Imóveis!$Q$3,Dados!$A1158,"m")),0))=0,0,((Imóveis!$N$3/Imóveis!$S$3)+((Imóveis!$N$3-((Imóveis!$S$3-(IF(AND(Dados!$A1158&gt;=Imóveis!$Q$3,Dados!$A1158&lt;=Imóveis!$T$3),Imóveis!$S$3-(DATEDIF(Imóveis!$Q$3,Dados!$A1158,"m")),)))*(Imóveis!$N$3/Imóveis!$S$3)))*Imóveis!$P$3))))*IF(AND(Imóveis!$E$3&gt;0,Dados!$A1158&gt;Imóveis!$E$3),0,1)</f>
        <v>0</v>
      </c>
      <c r="K1158" s="18">
        <f>IF(Imóveis!$F$4="PRICE",IF(AND(Dados!$A1158&gt;=Imóveis!$Q$4,Dados!$A1158&lt;=Imóveis!$T$4),Imóveis!$U$4,0),IF((IF(AND(Dados!$A1158&gt;=Imóveis!$Q$4,Dados!$A1158&lt;=Imóveis!$T$4),Imóveis!$S$4-(DATEDIF(Imóveis!$Q$4,Dados!$A1158,"m")),0))=0,0,((Imóveis!$N$4/Imóveis!$S$4)+((Imóveis!$N$4-((Imóveis!$S$4-(IF(AND(Dados!$A1158&gt;=Imóveis!$Q$4,Dados!$A1158&lt;=Imóveis!$T$4),Imóveis!$S$4-(DATEDIF(Imóveis!$Q$4,Dados!$A1158,"m")),)))*(Imóveis!$N$4/Imóveis!$S$4)))*Imóveis!$P$4))))*IF(AND(Imóveis!$E$4&gt;0,Dados!$A1158&gt;Imóveis!$E$4),0,1)</f>
        <v>0</v>
      </c>
      <c r="L1158" s="18">
        <f>IF(Imóveis!$F$5="PRICE",IF(AND(Dados!$A1158&gt;=Imóveis!$Q$5,Dados!$A1158&lt;=Imóveis!$T$5),Imóveis!$U$5,0),IF((IF(AND(Dados!$A1158&gt;=Imóveis!$Q$5,Dados!$A1158&lt;=Imóveis!$T$5),Imóveis!$S$5-(DATEDIF(Imóveis!$Q$5,Dados!$A1158,"m")),0))=0,0,((Imóveis!$N$5/Imóveis!$S$5)+((Imóveis!$N$5-((Imóveis!$S$5-(IF(AND(Dados!$A1158 &gt;=Imóveis!$Q$5,Dados!$A1158&lt;=Imóveis!$T$5),Imóveis!$S$5-(DATEDIF(Imóveis!$Q$5,Dados!$A1158,"m")),)))*(Imóveis!$N$5/Imóveis!$S$5)))*Imóveis!$P$5))))*IF(AND(Imóveis!$E$5&gt;0,Dados!$A1158&gt;Imóveis!$E$5),0,1)*Imóveis!$I$5</f>
        <v>0</v>
      </c>
      <c r="M1158" s="18">
        <f>IF(Imóveis!$F$6="PRICE",IF(AND(Dados!$A1158&gt;=Imóveis!$Q$6,Dados!$A1158&lt;=Imóveis!$T$6),Imóveis!$U$6,0),IF((IF(AND(Dados!$A1158&gt;=Imóveis!$Q$6,Dados!$A1158&lt;=Imóveis!$T$6),Imóveis!$S$6-(DATEDIF(Imóveis!$Q$6,Dados!$A1158,"m")),0))=0,0,((Imóveis!$N$6/Imóveis!$S$6)+((Imóveis!$N$6-((Imóveis!$S$6-(IF(AND(Dados!$A1158&gt;=Imóveis!$Q$6,Dados!$A1158&lt;=Imóveis!$T$6),Imóveis!$S$6-(DATEDIF(Imóveis!$Q$6,Dados!$A1158,"m")),)))*(Imóveis!$N$6/Imóveis!$S$6)))*Imóveis!$P$6))))*IF(AND(Imóveis!$E$6&gt;0,Dados!$A1158&gt;Imóveis!$E$6),0,1)*Imóveis!$I$6</f>
        <v>0</v>
      </c>
      <c r="N1158" s="18">
        <f t="shared" si="149"/>
        <v>0</v>
      </c>
      <c r="O1158" s="18">
        <f>SUMIFS(Receitas!$F:$F,Receitas!$J:$J,"&lt;="&amp;$A1158,Receitas!$L:$L,"&gt;="&amp;$A1158,Receitas!$C:$C,O$1,Receitas!$M:$M,"Mensal")+SUMIFS(Receitas!$F:$F,Receitas!$J:$J,"&lt;="&amp;$A1158,Receitas!$L:$L,"&gt;="&amp;$A1158,Receitas!$C:$C,O$1,Receitas!$M:$M,$B1158)</f>
        <v>0</v>
      </c>
      <c r="P1158" s="18">
        <f>SUMIFS(Receitas!$F:$F,Receitas!$J:$J,"&lt;="&amp;$A1158,Receitas!$L:$L,"&gt;="&amp;$A1158,Receitas!$C:$C,P$1,Receitas!$M:$M,"Mensal")+SUMIFS(Receitas!$F:$F,Receitas!$J:$J,"&lt;="&amp;$A1158,Receitas!$L:$L,"&gt;="&amp;$A1158,Receitas!$C:$C,P$1,Receitas!$M:$M,$B1158)</f>
        <v>0</v>
      </c>
      <c r="Q1158" s="18">
        <f>SUMIFS(Receitas!$F:$F,Receitas!$J:$J,"&lt;="&amp;$A1158,Receitas!$L:$L,"&gt;="&amp;$A1158,Receitas!$C:$C,Q$1,Receitas!$M:$M,"Mensal")+SUMIFS(Receitas!$F:$F,Receitas!$J:$J,"&lt;="&amp;$A1158,Receitas!$L:$L,"&gt;="&amp;$A1158,Receitas!$C:$C,Q$1,Receitas!$M:$M,$B1158)</f>
        <v>0</v>
      </c>
      <c r="R1158" s="18" cm="1">
        <f t="array" ref="R1158">(IF(AND(Membros!$F$2="Sim",A1158&lt;=MAX(Membros!$E$2:$E$5)),Membros!K$2,IF(AND(A1158&gt;=Membros!J$2,A1158&lt;=MAX(Membros!$E$2:$E$5)),Membros!K$2,0))+IF(AND(Membros!$F$3="Sim",A1158&lt;=MAX(Membros!$E$2:$E$5)),Membros!K$3,IF(AND(A1158&gt;=Membros!J$3,A1158&lt;=MAX(Membros!$E$2:$E$5)),Membros!K$3,0)))*IF(AND(COUNTIFS(Tabela3[Tipo],"Provedor",Tabela3[Simulação Seguro],"Sim")=2,A1158&gt;=MAX(IF(Tabela3[Tipo]="Dependente",Tabela3[Expectativa de Vida (Data)]))),0,1)</f>
        <v>0</v>
      </c>
      <c r="S1158" s="18">
        <f t="shared" si="150"/>
        <v>0</v>
      </c>
      <c r="U1158" s="18">
        <f t="shared" ca="1" si="153"/>
        <v>206804442.02988249</v>
      </c>
      <c r="V1158" s="18">
        <f>SUMIF(Imóveis!E:E,Dados!A:A,Imóveis!Z:Z)-SUMIF(Imóveis!E:E,Dados!A:A,Imóveis!Y:Y)</f>
        <v>0</v>
      </c>
      <c r="W1158" s="18">
        <f>-SUMIF(Projetos!N:N,A1158,Projetos!F:F)</f>
        <v>0</v>
      </c>
      <c r="X1158" s="18">
        <f t="shared" si="147"/>
        <v>0</v>
      </c>
      <c r="Y1158" s="26">
        <f ca="1">(U1158*((Indicadores_Economicos!D$2+1)^(1/12)-1))</f>
        <v>677023.92900867551</v>
      </c>
      <c r="Z1158" s="18">
        <f t="shared" ca="1" si="151"/>
        <v>207481465.95889115</v>
      </c>
      <c r="AA1158" s="18">
        <f ca="1">Auxiliar_Projetos!E1158</f>
        <v>1.7103066091903309E-8</v>
      </c>
      <c r="AB1158" s="18">
        <f ca="1">Auxiliar_Projetos!K1158</f>
        <v>1.3156204686079448E-8</v>
      </c>
      <c r="AC1158" s="18">
        <f ca="1">IF(Z1158-AA1158-AB1158&gt;Investimentos!$C$14,Investimentos!$C$14,IF(Z1158-AA1158-AB1158&lt;Investimentos!$C$14,Z1158-AA1158-AB1158,0))</f>
        <v>300000</v>
      </c>
      <c r="AD1158" s="18">
        <f t="shared" ca="1" si="152"/>
        <v>207181465.95889112</v>
      </c>
      <c r="AE1158" s="18"/>
    </row>
    <row r="1159" spans="1:31" x14ac:dyDescent="0.2">
      <c r="A1159" s="4">
        <v>80872</v>
      </c>
      <c r="B1159" s="5" t="str">
        <f t="shared" si="148"/>
        <v>junho</v>
      </c>
      <c r="C1159" s="5" t="str">
        <f t="shared" si="146"/>
        <v>2121</v>
      </c>
      <c r="D1159" s="5">
        <f>SUMIFS(Despesas!$F:$F,Despesas!$J:$J,"&lt;="&amp;$A1159,Despesas!$L:$L,"&gt;="&amp;$A1159,Despesas!$C:$C,D$1,Despesas!$M:$M,"Mensal")+SUMIFS(Despesas!$F:$F,Despesas!$J:$J,"&lt;="&amp;$A1159,Despesas!$L:$L,"&gt;="&amp;$A1159,Despesas!$C:$C,D$1,Despesas!$M:$M,$B1159)</f>
        <v>0</v>
      </c>
      <c r="E1159" s="18">
        <f>SUMIFS(Despesas!$F:$F,Despesas!$J:$J,"&lt;="&amp;$A1159,Despesas!$L:$L,"&gt;="&amp;$A1159,Despesas!$C:$C,E$1,Despesas!$M:$M,"Mensal")+SUMIFS(Despesas!$F:$F,Despesas!$J:$J,"&lt;="&amp;$A1159,Despesas!$L:$L,"&gt;="&amp;$A1159,Despesas!$C:$C,E$1,Despesas!$M:$M,$B1159)</f>
        <v>0</v>
      </c>
      <c r="F1159" s="5">
        <f>SUMIFS(Despesas!$F:$F,Despesas!$J:$J,"&lt;="&amp;$A1159,Despesas!$L:$L,"&gt;="&amp;$A1159,Despesas!$C:$C,F$1,Despesas!$M:$M,"Mensal")+SUMIFS(Despesas!$F:$F,Despesas!$J:$J,"&lt;="&amp;$A1159,Despesas!$L:$L,"&gt;="&amp;$A1159,Despesas!$C:$C,F$1,Despesas!$M:$M,$B1159)</f>
        <v>0</v>
      </c>
      <c r="G1159" s="5">
        <f>SUMIFS(Despesas!$F:$F,Despesas!$J:$J,"&lt;="&amp;$A1159,Despesas!$L:$L,"&gt;="&amp;$A1159,Despesas!$C:$C,G$1,Despesas!$M:$M,"Mensal")+SUMIFS(Despesas!$F:$F,Despesas!$J:$J,"&lt;="&amp;$A1159,Despesas!$L:$L,"&gt;="&amp;$A1159,Despesas!$C:$C,G$1,Despesas!$M:$M,$B1159)</f>
        <v>0</v>
      </c>
      <c r="H1159" s="18">
        <f>SUMIFS(Despesas!$F:$F,Despesas!$J:$J,"&lt;="&amp;$A1159,Despesas!$L:$L,"&gt;="&amp;$A1159,Despesas!$C:$C,H$1,Despesas!$M:$M,"Mensal")+SUMIFS(Despesas!$F:$F,Despesas!$J:$J,"&lt;="&amp;$A1159,Despesas!$L:$L,"&gt;="&amp;$A1159,Despesas!$C:$C,H$1,Despesas!$M:$M,$B1159)</f>
        <v>0</v>
      </c>
      <c r="I1159" s="18">
        <f>IF(Imóveis!$F$2="PRICE",IF(AND(Dados!$A1159&gt;=Imóveis!$Q$2,Dados!$A1159&lt;=Imóveis!$T$2),Imóveis!$U$2,0),IF((IF(AND(Dados!$A1159&gt;=Imóveis!$Q$2,Dados!$A1159&lt;=Imóveis!$T$2),Imóveis!$S$2-(DATEDIF(Imóveis!$Q$2,Dados!$A1159,"m")),0))=0,0,((Imóveis!$N$2/Imóveis!$S$2)+((Imóveis!$N$2-((Imóveis!$S$2-(IF(AND(Dados!$A1159&gt;=Imóveis!$Q$2,Dados!$A1159&lt;=Imóveis!$T$2),Imóveis!$S$2-(DATEDIF(Imóveis!$Q$2,Dados!$A1159,"m")),)))*(Imóveis!$N$2/Imóveis!$S$2)))*Imóveis!$P$2))))*IF(AND(Imóveis!$E$2&gt;0,Dados!$A1159&gt;Imóveis!$E$2),0,1)</f>
        <v>0</v>
      </c>
      <c r="J1159" s="18">
        <f>IF(Imóveis!$F$3="PRICE",IF(AND(Dados!$A1159&gt;=Imóveis!$Q$3,Dados!$A1159&lt;=Imóveis!$T$3),Imóveis!$U$3,0),IF((IF(AND(Dados!$A1159&gt;=Imóveis!$Q$3,Dados!$A1159&lt;=Imóveis!$T$3),Imóveis!$S$3-(DATEDIF(Imóveis!$Q$3,Dados!$A1159,"m")),0))=0,0,((Imóveis!$N$3/Imóveis!$S$3)+((Imóveis!$N$3-((Imóveis!$S$3-(IF(AND(Dados!$A1159&gt;=Imóveis!$Q$3,Dados!$A1159&lt;=Imóveis!$T$3),Imóveis!$S$3-(DATEDIF(Imóveis!$Q$3,Dados!$A1159,"m")),)))*(Imóveis!$N$3/Imóveis!$S$3)))*Imóveis!$P$3))))*IF(AND(Imóveis!$E$3&gt;0,Dados!$A1159&gt;Imóveis!$E$3),0,1)</f>
        <v>0</v>
      </c>
      <c r="K1159" s="18">
        <f>IF(Imóveis!$F$4="PRICE",IF(AND(Dados!$A1159&gt;=Imóveis!$Q$4,Dados!$A1159&lt;=Imóveis!$T$4),Imóveis!$U$4,0),IF((IF(AND(Dados!$A1159&gt;=Imóveis!$Q$4,Dados!$A1159&lt;=Imóveis!$T$4),Imóveis!$S$4-(DATEDIF(Imóveis!$Q$4,Dados!$A1159,"m")),0))=0,0,((Imóveis!$N$4/Imóveis!$S$4)+((Imóveis!$N$4-((Imóveis!$S$4-(IF(AND(Dados!$A1159&gt;=Imóveis!$Q$4,Dados!$A1159&lt;=Imóveis!$T$4),Imóveis!$S$4-(DATEDIF(Imóveis!$Q$4,Dados!$A1159,"m")),)))*(Imóveis!$N$4/Imóveis!$S$4)))*Imóveis!$P$4))))*IF(AND(Imóveis!$E$4&gt;0,Dados!$A1159&gt;Imóveis!$E$4),0,1)</f>
        <v>0</v>
      </c>
      <c r="L1159" s="18">
        <f>IF(Imóveis!$F$5="PRICE",IF(AND(Dados!$A1159&gt;=Imóveis!$Q$5,Dados!$A1159&lt;=Imóveis!$T$5),Imóveis!$U$5,0),IF((IF(AND(Dados!$A1159&gt;=Imóveis!$Q$5,Dados!$A1159&lt;=Imóveis!$T$5),Imóveis!$S$5-(DATEDIF(Imóveis!$Q$5,Dados!$A1159,"m")),0))=0,0,((Imóveis!$N$5/Imóveis!$S$5)+((Imóveis!$N$5-((Imóveis!$S$5-(IF(AND(Dados!$A1159 &gt;=Imóveis!$Q$5,Dados!$A1159&lt;=Imóveis!$T$5),Imóveis!$S$5-(DATEDIF(Imóveis!$Q$5,Dados!$A1159,"m")),)))*(Imóveis!$N$5/Imóveis!$S$5)))*Imóveis!$P$5))))*IF(AND(Imóveis!$E$5&gt;0,Dados!$A1159&gt;Imóveis!$E$5),0,1)*Imóveis!$I$5</f>
        <v>0</v>
      </c>
      <c r="M1159" s="18">
        <f>IF(Imóveis!$F$6="PRICE",IF(AND(Dados!$A1159&gt;=Imóveis!$Q$6,Dados!$A1159&lt;=Imóveis!$T$6),Imóveis!$U$6,0),IF((IF(AND(Dados!$A1159&gt;=Imóveis!$Q$6,Dados!$A1159&lt;=Imóveis!$T$6),Imóveis!$S$6-(DATEDIF(Imóveis!$Q$6,Dados!$A1159,"m")),0))=0,0,((Imóveis!$N$6/Imóveis!$S$6)+((Imóveis!$N$6-((Imóveis!$S$6-(IF(AND(Dados!$A1159&gt;=Imóveis!$Q$6,Dados!$A1159&lt;=Imóveis!$T$6),Imóveis!$S$6-(DATEDIF(Imóveis!$Q$6,Dados!$A1159,"m")),)))*(Imóveis!$N$6/Imóveis!$S$6)))*Imóveis!$P$6))))*IF(AND(Imóveis!$E$6&gt;0,Dados!$A1159&gt;Imóveis!$E$6),0,1)*Imóveis!$I$6</f>
        <v>0</v>
      </c>
      <c r="N1159" s="18">
        <f t="shared" si="149"/>
        <v>0</v>
      </c>
      <c r="O1159" s="18">
        <f>SUMIFS(Receitas!$F:$F,Receitas!$J:$J,"&lt;="&amp;$A1159,Receitas!$L:$L,"&gt;="&amp;$A1159,Receitas!$C:$C,O$1,Receitas!$M:$M,"Mensal")+SUMIFS(Receitas!$F:$F,Receitas!$J:$J,"&lt;="&amp;$A1159,Receitas!$L:$L,"&gt;="&amp;$A1159,Receitas!$C:$C,O$1,Receitas!$M:$M,$B1159)</f>
        <v>0</v>
      </c>
      <c r="P1159" s="18">
        <f>SUMIFS(Receitas!$F:$F,Receitas!$J:$J,"&lt;="&amp;$A1159,Receitas!$L:$L,"&gt;="&amp;$A1159,Receitas!$C:$C,P$1,Receitas!$M:$M,"Mensal")+SUMIFS(Receitas!$F:$F,Receitas!$J:$J,"&lt;="&amp;$A1159,Receitas!$L:$L,"&gt;="&amp;$A1159,Receitas!$C:$C,P$1,Receitas!$M:$M,$B1159)</f>
        <v>0</v>
      </c>
      <c r="Q1159" s="18">
        <f>SUMIFS(Receitas!$F:$F,Receitas!$J:$J,"&lt;="&amp;$A1159,Receitas!$L:$L,"&gt;="&amp;$A1159,Receitas!$C:$C,Q$1,Receitas!$M:$M,"Mensal")+SUMIFS(Receitas!$F:$F,Receitas!$J:$J,"&lt;="&amp;$A1159,Receitas!$L:$L,"&gt;="&amp;$A1159,Receitas!$C:$C,Q$1,Receitas!$M:$M,$B1159)</f>
        <v>0</v>
      </c>
      <c r="R1159" s="18" cm="1">
        <f t="array" ref="R1159">(IF(AND(Membros!$F$2="Sim",A1159&lt;=MAX(Membros!$E$2:$E$5)),Membros!K$2,IF(AND(A1159&gt;=Membros!J$2,A1159&lt;=MAX(Membros!$E$2:$E$5)),Membros!K$2,0))+IF(AND(Membros!$F$3="Sim",A1159&lt;=MAX(Membros!$E$2:$E$5)),Membros!K$3,IF(AND(A1159&gt;=Membros!J$3,A1159&lt;=MAX(Membros!$E$2:$E$5)),Membros!K$3,0)))*IF(AND(COUNTIFS(Tabela3[Tipo],"Provedor",Tabela3[Simulação Seguro],"Sim")=2,A1159&gt;=MAX(IF(Tabela3[Tipo]="Dependente",Tabela3[Expectativa de Vida (Data)]))),0,1)</f>
        <v>0</v>
      </c>
      <c r="S1159" s="18">
        <f t="shared" si="150"/>
        <v>0</v>
      </c>
      <c r="U1159" s="18">
        <f t="shared" ca="1" si="153"/>
        <v>207481465.95889115</v>
      </c>
      <c r="V1159" s="18">
        <f>SUMIF(Imóveis!E:E,Dados!A:A,Imóveis!Z:Z)-SUMIF(Imóveis!E:E,Dados!A:A,Imóveis!Y:Y)</f>
        <v>0</v>
      </c>
      <c r="W1159" s="18">
        <f>-SUMIF(Projetos!N:N,A1159,Projetos!F:F)</f>
        <v>0</v>
      </c>
      <c r="X1159" s="18">
        <f t="shared" si="147"/>
        <v>0</v>
      </c>
      <c r="Y1159" s="26">
        <f ca="1">(U1159*((Indicadores_Economicos!D$2+1)^(1/12)-1))</f>
        <v>679240.32917857182</v>
      </c>
      <c r="Z1159" s="18">
        <f t="shared" ca="1" si="151"/>
        <v>208160706.28806973</v>
      </c>
      <c r="AA1159" s="18">
        <f ca="1">Auxiliar_Projetos!E1159</f>
        <v>1.715905707976595E-8</v>
      </c>
      <c r="AB1159" s="18">
        <f ca="1">Auxiliar_Projetos!K1159</f>
        <v>1.3199274676743018E-8</v>
      </c>
      <c r="AC1159" s="18">
        <f ca="1">IF(Z1159-AA1159-AB1159&gt;Investimentos!$C$14,Investimentos!$C$14,IF(Z1159-AA1159-AB1159&lt;Investimentos!$C$14,Z1159-AA1159-AB1159,0))</f>
        <v>300000</v>
      </c>
      <c r="AD1159" s="18">
        <f t="shared" ca="1" si="152"/>
        <v>207860706.2880697</v>
      </c>
      <c r="AE1159" s="18"/>
    </row>
    <row r="1160" spans="1:31" x14ac:dyDescent="0.2">
      <c r="A1160" s="4">
        <v>80902</v>
      </c>
      <c r="B1160" s="5" t="str">
        <f t="shared" si="148"/>
        <v>julho</v>
      </c>
      <c r="C1160" s="5" t="str">
        <f t="shared" si="146"/>
        <v>2121</v>
      </c>
      <c r="D1160" s="5">
        <f>SUMIFS(Despesas!$F:$F,Despesas!$J:$J,"&lt;="&amp;$A1160,Despesas!$L:$L,"&gt;="&amp;$A1160,Despesas!$C:$C,D$1,Despesas!$M:$M,"Mensal")+SUMIFS(Despesas!$F:$F,Despesas!$J:$J,"&lt;="&amp;$A1160,Despesas!$L:$L,"&gt;="&amp;$A1160,Despesas!$C:$C,D$1,Despesas!$M:$M,$B1160)</f>
        <v>0</v>
      </c>
      <c r="E1160" s="18">
        <f>SUMIFS(Despesas!$F:$F,Despesas!$J:$J,"&lt;="&amp;$A1160,Despesas!$L:$L,"&gt;="&amp;$A1160,Despesas!$C:$C,E$1,Despesas!$M:$M,"Mensal")+SUMIFS(Despesas!$F:$F,Despesas!$J:$J,"&lt;="&amp;$A1160,Despesas!$L:$L,"&gt;="&amp;$A1160,Despesas!$C:$C,E$1,Despesas!$M:$M,$B1160)</f>
        <v>0</v>
      </c>
      <c r="F1160" s="5">
        <f>SUMIFS(Despesas!$F:$F,Despesas!$J:$J,"&lt;="&amp;$A1160,Despesas!$L:$L,"&gt;="&amp;$A1160,Despesas!$C:$C,F$1,Despesas!$M:$M,"Mensal")+SUMIFS(Despesas!$F:$F,Despesas!$J:$J,"&lt;="&amp;$A1160,Despesas!$L:$L,"&gt;="&amp;$A1160,Despesas!$C:$C,F$1,Despesas!$M:$M,$B1160)</f>
        <v>0</v>
      </c>
      <c r="G1160" s="5">
        <f>SUMIFS(Despesas!$F:$F,Despesas!$J:$J,"&lt;="&amp;$A1160,Despesas!$L:$L,"&gt;="&amp;$A1160,Despesas!$C:$C,G$1,Despesas!$M:$M,"Mensal")+SUMIFS(Despesas!$F:$F,Despesas!$J:$J,"&lt;="&amp;$A1160,Despesas!$L:$L,"&gt;="&amp;$A1160,Despesas!$C:$C,G$1,Despesas!$M:$M,$B1160)</f>
        <v>0</v>
      </c>
      <c r="H1160" s="18">
        <f>SUMIFS(Despesas!$F:$F,Despesas!$J:$J,"&lt;="&amp;$A1160,Despesas!$L:$L,"&gt;="&amp;$A1160,Despesas!$C:$C,H$1,Despesas!$M:$M,"Mensal")+SUMIFS(Despesas!$F:$F,Despesas!$J:$J,"&lt;="&amp;$A1160,Despesas!$L:$L,"&gt;="&amp;$A1160,Despesas!$C:$C,H$1,Despesas!$M:$M,$B1160)</f>
        <v>0</v>
      </c>
      <c r="I1160" s="18">
        <f>IF(Imóveis!$F$2="PRICE",IF(AND(Dados!$A1160&gt;=Imóveis!$Q$2,Dados!$A1160&lt;=Imóveis!$T$2),Imóveis!$U$2,0),IF((IF(AND(Dados!$A1160&gt;=Imóveis!$Q$2,Dados!$A1160&lt;=Imóveis!$T$2),Imóveis!$S$2-(DATEDIF(Imóveis!$Q$2,Dados!$A1160,"m")),0))=0,0,((Imóveis!$N$2/Imóveis!$S$2)+((Imóveis!$N$2-((Imóveis!$S$2-(IF(AND(Dados!$A1160&gt;=Imóveis!$Q$2,Dados!$A1160&lt;=Imóveis!$T$2),Imóveis!$S$2-(DATEDIF(Imóveis!$Q$2,Dados!$A1160,"m")),)))*(Imóveis!$N$2/Imóveis!$S$2)))*Imóveis!$P$2))))*IF(AND(Imóveis!$E$2&gt;0,Dados!$A1160&gt;Imóveis!$E$2),0,1)</f>
        <v>0</v>
      </c>
      <c r="J1160" s="18">
        <f>IF(Imóveis!$F$3="PRICE",IF(AND(Dados!$A1160&gt;=Imóveis!$Q$3,Dados!$A1160&lt;=Imóveis!$T$3),Imóveis!$U$3,0),IF((IF(AND(Dados!$A1160&gt;=Imóveis!$Q$3,Dados!$A1160&lt;=Imóveis!$T$3),Imóveis!$S$3-(DATEDIF(Imóveis!$Q$3,Dados!$A1160,"m")),0))=0,0,((Imóveis!$N$3/Imóveis!$S$3)+((Imóveis!$N$3-((Imóveis!$S$3-(IF(AND(Dados!$A1160&gt;=Imóveis!$Q$3,Dados!$A1160&lt;=Imóveis!$T$3),Imóveis!$S$3-(DATEDIF(Imóveis!$Q$3,Dados!$A1160,"m")),)))*(Imóveis!$N$3/Imóveis!$S$3)))*Imóveis!$P$3))))*IF(AND(Imóveis!$E$3&gt;0,Dados!$A1160&gt;Imóveis!$E$3),0,1)</f>
        <v>0</v>
      </c>
      <c r="K1160" s="18">
        <f>IF(Imóveis!$F$4="PRICE",IF(AND(Dados!$A1160&gt;=Imóveis!$Q$4,Dados!$A1160&lt;=Imóveis!$T$4),Imóveis!$U$4,0),IF((IF(AND(Dados!$A1160&gt;=Imóveis!$Q$4,Dados!$A1160&lt;=Imóveis!$T$4),Imóveis!$S$4-(DATEDIF(Imóveis!$Q$4,Dados!$A1160,"m")),0))=0,0,((Imóveis!$N$4/Imóveis!$S$4)+((Imóveis!$N$4-((Imóveis!$S$4-(IF(AND(Dados!$A1160&gt;=Imóveis!$Q$4,Dados!$A1160&lt;=Imóveis!$T$4),Imóveis!$S$4-(DATEDIF(Imóveis!$Q$4,Dados!$A1160,"m")),)))*(Imóveis!$N$4/Imóveis!$S$4)))*Imóveis!$P$4))))*IF(AND(Imóveis!$E$4&gt;0,Dados!$A1160&gt;Imóveis!$E$4),0,1)</f>
        <v>0</v>
      </c>
      <c r="L1160" s="18">
        <f>IF(Imóveis!$F$5="PRICE",IF(AND(Dados!$A1160&gt;=Imóveis!$Q$5,Dados!$A1160&lt;=Imóveis!$T$5),Imóveis!$U$5,0),IF((IF(AND(Dados!$A1160&gt;=Imóveis!$Q$5,Dados!$A1160&lt;=Imóveis!$T$5),Imóveis!$S$5-(DATEDIF(Imóveis!$Q$5,Dados!$A1160,"m")),0))=0,0,((Imóveis!$N$5/Imóveis!$S$5)+((Imóveis!$N$5-((Imóveis!$S$5-(IF(AND(Dados!$A1160 &gt;=Imóveis!$Q$5,Dados!$A1160&lt;=Imóveis!$T$5),Imóveis!$S$5-(DATEDIF(Imóveis!$Q$5,Dados!$A1160,"m")),)))*(Imóveis!$N$5/Imóveis!$S$5)))*Imóveis!$P$5))))*IF(AND(Imóveis!$E$5&gt;0,Dados!$A1160&gt;Imóveis!$E$5),0,1)*Imóveis!$I$5</f>
        <v>0</v>
      </c>
      <c r="M1160" s="18">
        <f>IF(Imóveis!$F$6="PRICE",IF(AND(Dados!$A1160&gt;=Imóveis!$Q$6,Dados!$A1160&lt;=Imóveis!$T$6),Imóveis!$U$6,0),IF((IF(AND(Dados!$A1160&gt;=Imóveis!$Q$6,Dados!$A1160&lt;=Imóveis!$T$6),Imóveis!$S$6-(DATEDIF(Imóveis!$Q$6,Dados!$A1160,"m")),0))=0,0,((Imóveis!$N$6/Imóveis!$S$6)+((Imóveis!$N$6-((Imóveis!$S$6-(IF(AND(Dados!$A1160&gt;=Imóveis!$Q$6,Dados!$A1160&lt;=Imóveis!$T$6),Imóveis!$S$6-(DATEDIF(Imóveis!$Q$6,Dados!$A1160,"m")),)))*(Imóveis!$N$6/Imóveis!$S$6)))*Imóveis!$P$6))))*IF(AND(Imóveis!$E$6&gt;0,Dados!$A1160&gt;Imóveis!$E$6),0,1)*Imóveis!$I$6</f>
        <v>0</v>
      </c>
      <c r="N1160" s="18">
        <f t="shared" si="149"/>
        <v>0</v>
      </c>
      <c r="O1160" s="18">
        <f>SUMIFS(Receitas!$F:$F,Receitas!$J:$J,"&lt;="&amp;$A1160,Receitas!$L:$L,"&gt;="&amp;$A1160,Receitas!$C:$C,O$1,Receitas!$M:$M,"Mensal")+SUMIFS(Receitas!$F:$F,Receitas!$J:$J,"&lt;="&amp;$A1160,Receitas!$L:$L,"&gt;="&amp;$A1160,Receitas!$C:$C,O$1,Receitas!$M:$M,$B1160)</f>
        <v>0</v>
      </c>
      <c r="P1160" s="18">
        <f>SUMIFS(Receitas!$F:$F,Receitas!$J:$J,"&lt;="&amp;$A1160,Receitas!$L:$L,"&gt;="&amp;$A1160,Receitas!$C:$C,P$1,Receitas!$M:$M,"Mensal")+SUMIFS(Receitas!$F:$F,Receitas!$J:$J,"&lt;="&amp;$A1160,Receitas!$L:$L,"&gt;="&amp;$A1160,Receitas!$C:$C,P$1,Receitas!$M:$M,$B1160)</f>
        <v>0</v>
      </c>
      <c r="Q1160" s="18">
        <f>SUMIFS(Receitas!$F:$F,Receitas!$J:$J,"&lt;="&amp;$A1160,Receitas!$L:$L,"&gt;="&amp;$A1160,Receitas!$C:$C,Q$1,Receitas!$M:$M,"Mensal")+SUMIFS(Receitas!$F:$F,Receitas!$J:$J,"&lt;="&amp;$A1160,Receitas!$L:$L,"&gt;="&amp;$A1160,Receitas!$C:$C,Q$1,Receitas!$M:$M,$B1160)</f>
        <v>0</v>
      </c>
      <c r="R1160" s="18" cm="1">
        <f t="array" ref="R1160">(IF(AND(Membros!$F$2="Sim",A1160&lt;=MAX(Membros!$E$2:$E$5)),Membros!K$2,IF(AND(A1160&gt;=Membros!J$2,A1160&lt;=MAX(Membros!$E$2:$E$5)),Membros!K$2,0))+IF(AND(Membros!$F$3="Sim",A1160&lt;=MAX(Membros!$E$2:$E$5)),Membros!K$3,IF(AND(A1160&gt;=Membros!J$3,A1160&lt;=MAX(Membros!$E$2:$E$5)),Membros!K$3,0)))*IF(AND(COUNTIFS(Tabela3[Tipo],"Provedor",Tabela3[Simulação Seguro],"Sim")=2,A1160&gt;=MAX(IF(Tabela3[Tipo]="Dependente",Tabela3[Expectativa de Vida (Data)]))),0,1)</f>
        <v>0</v>
      </c>
      <c r="S1160" s="18">
        <f t="shared" si="150"/>
        <v>0</v>
      </c>
      <c r="U1160" s="18">
        <f t="shared" ca="1" si="153"/>
        <v>208160706.28806973</v>
      </c>
      <c r="V1160" s="18">
        <f>SUMIF(Imóveis!E:E,Dados!A:A,Imóveis!Z:Z)-SUMIF(Imóveis!E:E,Dados!A:A,Imóveis!Y:Y)</f>
        <v>0</v>
      </c>
      <c r="W1160" s="18">
        <f>-SUMIF(Projetos!N:N,A1160,Projetos!F:F)</f>
        <v>0</v>
      </c>
      <c r="X1160" s="18">
        <f t="shared" si="147"/>
        <v>0</v>
      </c>
      <c r="Y1160" s="26">
        <f ca="1">(U1160*((Indicadores_Economicos!D$2+1)^(1/12)-1))</f>
        <v>681463.98526587756</v>
      </c>
      <c r="Z1160" s="18">
        <f t="shared" ca="1" si="151"/>
        <v>208842170.27333561</v>
      </c>
      <c r="AA1160" s="18">
        <f ca="1">Auxiliar_Projetos!E1160</f>
        <v>1.7215231367553E-8</v>
      </c>
      <c r="AB1160" s="18">
        <f ca="1">Auxiliar_Projetos!K1160</f>
        <v>1.3242485667348441E-8</v>
      </c>
      <c r="AC1160" s="18">
        <f ca="1">IF(Z1160-AA1160-AB1160&gt;Investimentos!$C$14,Investimentos!$C$14,IF(Z1160-AA1160-AB1160&lt;Investimentos!$C$14,Z1160-AA1160-AB1160,0))</f>
        <v>300000</v>
      </c>
      <c r="AD1160" s="18">
        <f t="shared" ca="1" si="152"/>
        <v>208542170.27333558</v>
      </c>
      <c r="AE1160" s="18"/>
    </row>
    <row r="1161" spans="1:31" x14ac:dyDescent="0.2">
      <c r="A1161" s="4">
        <v>80933</v>
      </c>
      <c r="B1161" s="5" t="str">
        <f t="shared" si="148"/>
        <v>agosto</v>
      </c>
      <c r="C1161" s="5" t="str">
        <f t="shared" si="146"/>
        <v>2121</v>
      </c>
      <c r="D1161" s="5">
        <f>SUMIFS(Despesas!$F:$F,Despesas!$J:$J,"&lt;="&amp;$A1161,Despesas!$L:$L,"&gt;="&amp;$A1161,Despesas!$C:$C,D$1,Despesas!$M:$M,"Mensal")+SUMIFS(Despesas!$F:$F,Despesas!$J:$J,"&lt;="&amp;$A1161,Despesas!$L:$L,"&gt;="&amp;$A1161,Despesas!$C:$C,D$1,Despesas!$M:$M,$B1161)</f>
        <v>0</v>
      </c>
      <c r="E1161" s="18">
        <f>SUMIFS(Despesas!$F:$F,Despesas!$J:$J,"&lt;="&amp;$A1161,Despesas!$L:$L,"&gt;="&amp;$A1161,Despesas!$C:$C,E$1,Despesas!$M:$M,"Mensal")+SUMIFS(Despesas!$F:$F,Despesas!$J:$J,"&lt;="&amp;$A1161,Despesas!$L:$L,"&gt;="&amp;$A1161,Despesas!$C:$C,E$1,Despesas!$M:$M,$B1161)</f>
        <v>0</v>
      </c>
      <c r="F1161" s="5">
        <f>SUMIFS(Despesas!$F:$F,Despesas!$J:$J,"&lt;="&amp;$A1161,Despesas!$L:$L,"&gt;="&amp;$A1161,Despesas!$C:$C,F$1,Despesas!$M:$M,"Mensal")+SUMIFS(Despesas!$F:$F,Despesas!$J:$J,"&lt;="&amp;$A1161,Despesas!$L:$L,"&gt;="&amp;$A1161,Despesas!$C:$C,F$1,Despesas!$M:$M,$B1161)</f>
        <v>0</v>
      </c>
      <c r="G1161" s="5">
        <f>SUMIFS(Despesas!$F:$F,Despesas!$J:$J,"&lt;="&amp;$A1161,Despesas!$L:$L,"&gt;="&amp;$A1161,Despesas!$C:$C,G$1,Despesas!$M:$M,"Mensal")+SUMIFS(Despesas!$F:$F,Despesas!$J:$J,"&lt;="&amp;$A1161,Despesas!$L:$L,"&gt;="&amp;$A1161,Despesas!$C:$C,G$1,Despesas!$M:$M,$B1161)</f>
        <v>0</v>
      </c>
      <c r="H1161" s="18">
        <f>SUMIFS(Despesas!$F:$F,Despesas!$J:$J,"&lt;="&amp;$A1161,Despesas!$L:$L,"&gt;="&amp;$A1161,Despesas!$C:$C,H$1,Despesas!$M:$M,"Mensal")+SUMIFS(Despesas!$F:$F,Despesas!$J:$J,"&lt;="&amp;$A1161,Despesas!$L:$L,"&gt;="&amp;$A1161,Despesas!$C:$C,H$1,Despesas!$M:$M,$B1161)</f>
        <v>0</v>
      </c>
      <c r="I1161" s="18">
        <f>IF(Imóveis!$F$2="PRICE",IF(AND(Dados!$A1161&gt;=Imóveis!$Q$2,Dados!$A1161&lt;=Imóveis!$T$2),Imóveis!$U$2,0),IF((IF(AND(Dados!$A1161&gt;=Imóveis!$Q$2,Dados!$A1161&lt;=Imóveis!$T$2),Imóveis!$S$2-(DATEDIF(Imóveis!$Q$2,Dados!$A1161,"m")),0))=0,0,((Imóveis!$N$2/Imóveis!$S$2)+((Imóveis!$N$2-((Imóveis!$S$2-(IF(AND(Dados!$A1161&gt;=Imóveis!$Q$2,Dados!$A1161&lt;=Imóveis!$T$2),Imóveis!$S$2-(DATEDIF(Imóveis!$Q$2,Dados!$A1161,"m")),)))*(Imóveis!$N$2/Imóveis!$S$2)))*Imóveis!$P$2))))*IF(AND(Imóveis!$E$2&gt;0,Dados!$A1161&gt;Imóveis!$E$2),0,1)</f>
        <v>0</v>
      </c>
      <c r="J1161" s="18">
        <f>IF(Imóveis!$F$3="PRICE",IF(AND(Dados!$A1161&gt;=Imóveis!$Q$3,Dados!$A1161&lt;=Imóveis!$T$3),Imóveis!$U$3,0),IF((IF(AND(Dados!$A1161&gt;=Imóveis!$Q$3,Dados!$A1161&lt;=Imóveis!$T$3),Imóveis!$S$3-(DATEDIF(Imóveis!$Q$3,Dados!$A1161,"m")),0))=0,0,((Imóveis!$N$3/Imóveis!$S$3)+((Imóveis!$N$3-((Imóveis!$S$3-(IF(AND(Dados!$A1161&gt;=Imóveis!$Q$3,Dados!$A1161&lt;=Imóveis!$T$3),Imóveis!$S$3-(DATEDIF(Imóveis!$Q$3,Dados!$A1161,"m")),)))*(Imóveis!$N$3/Imóveis!$S$3)))*Imóveis!$P$3))))*IF(AND(Imóveis!$E$3&gt;0,Dados!$A1161&gt;Imóveis!$E$3),0,1)</f>
        <v>0</v>
      </c>
      <c r="K1161" s="18">
        <f>IF(Imóveis!$F$4="PRICE",IF(AND(Dados!$A1161&gt;=Imóveis!$Q$4,Dados!$A1161&lt;=Imóveis!$T$4),Imóveis!$U$4,0),IF((IF(AND(Dados!$A1161&gt;=Imóveis!$Q$4,Dados!$A1161&lt;=Imóveis!$T$4),Imóveis!$S$4-(DATEDIF(Imóveis!$Q$4,Dados!$A1161,"m")),0))=0,0,((Imóveis!$N$4/Imóveis!$S$4)+((Imóveis!$N$4-((Imóveis!$S$4-(IF(AND(Dados!$A1161&gt;=Imóveis!$Q$4,Dados!$A1161&lt;=Imóveis!$T$4),Imóveis!$S$4-(DATEDIF(Imóveis!$Q$4,Dados!$A1161,"m")),)))*(Imóveis!$N$4/Imóveis!$S$4)))*Imóveis!$P$4))))*IF(AND(Imóveis!$E$4&gt;0,Dados!$A1161&gt;Imóveis!$E$4),0,1)</f>
        <v>0</v>
      </c>
      <c r="L1161" s="18">
        <f>IF(Imóveis!$F$5="PRICE",IF(AND(Dados!$A1161&gt;=Imóveis!$Q$5,Dados!$A1161&lt;=Imóveis!$T$5),Imóveis!$U$5,0),IF((IF(AND(Dados!$A1161&gt;=Imóveis!$Q$5,Dados!$A1161&lt;=Imóveis!$T$5),Imóveis!$S$5-(DATEDIF(Imóveis!$Q$5,Dados!$A1161,"m")),0))=0,0,((Imóveis!$N$5/Imóveis!$S$5)+((Imóveis!$N$5-((Imóveis!$S$5-(IF(AND(Dados!$A1161 &gt;=Imóveis!$Q$5,Dados!$A1161&lt;=Imóveis!$T$5),Imóveis!$S$5-(DATEDIF(Imóveis!$Q$5,Dados!$A1161,"m")),)))*(Imóveis!$N$5/Imóveis!$S$5)))*Imóveis!$P$5))))*IF(AND(Imóveis!$E$5&gt;0,Dados!$A1161&gt;Imóveis!$E$5),0,1)*Imóveis!$I$5</f>
        <v>0</v>
      </c>
      <c r="M1161" s="18">
        <f>IF(Imóveis!$F$6="PRICE",IF(AND(Dados!$A1161&gt;=Imóveis!$Q$6,Dados!$A1161&lt;=Imóveis!$T$6),Imóveis!$U$6,0),IF((IF(AND(Dados!$A1161&gt;=Imóveis!$Q$6,Dados!$A1161&lt;=Imóveis!$T$6),Imóveis!$S$6-(DATEDIF(Imóveis!$Q$6,Dados!$A1161,"m")),0))=0,0,((Imóveis!$N$6/Imóveis!$S$6)+((Imóveis!$N$6-((Imóveis!$S$6-(IF(AND(Dados!$A1161&gt;=Imóveis!$Q$6,Dados!$A1161&lt;=Imóveis!$T$6),Imóveis!$S$6-(DATEDIF(Imóveis!$Q$6,Dados!$A1161,"m")),)))*(Imóveis!$N$6/Imóveis!$S$6)))*Imóveis!$P$6))))*IF(AND(Imóveis!$E$6&gt;0,Dados!$A1161&gt;Imóveis!$E$6),0,1)*Imóveis!$I$6</f>
        <v>0</v>
      </c>
      <c r="N1161" s="18">
        <f t="shared" si="149"/>
        <v>0</v>
      </c>
      <c r="O1161" s="18">
        <f>SUMIFS(Receitas!$F:$F,Receitas!$J:$J,"&lt;="&amp;$A1161,Receitas!$L:$L,"&gt;="&amp;$A1161,Receitas!$C:$C,O$1,Receitas!$M:$M,"Mensal")+SUMIFS(Receitas!$F:$F,Receitas!$J:$J,"&lt;="&amp;$A1161,Receitas!$L:$L,"&gt;="&amp;$A1161,Receitas!$C:$C,O$1,Receitas!$M:$M,$B1161)</f>
        <v>0</v>
      </c>
      <c r="P1161" s="18">
        <f>SUMIFS(Receitas!$F:$F,Receitas!$J:$J,"&lt;="&amp;$A1161,Receitas!$L:$L,"&gt;="&amp;$A1161,Receitas!$C:$C,P$1,Receitas!$M:$M,"Mensal")+SUMIFS(Receitas!$F:$F,Receitas!$J:$J,"&lt;="&amp;$A1161,Receitas!$L:$L,"&gt;="&amp;$A1161,Receitas!$C:$C,P$1,Receitas!$M:$M,$B1161)</f>
        <v>0</v>
      </c>
      <c r="Q1161" s="18">
        <f>SUMIFS(Receitas!$F:$F,Receitas!$J:$J,"&lt;="&amp;$A1161,Receitas!$L:$L,"&gt;="&amp;$A1161,Receitas!$C:$C,Q$1,Receitas!$M:$M,"Mensal")+SUMIFS(Receitas!$F:$F,Receitas!$J:$J,"&lt;="&amp;$A1161,Receitas!$L:$L,"&gt;="&amp;$A1161,Receitas!$C:$C,Q$1,Receitas!$M:$M,$B1161)</f>
        <v>0</v>
      </c>
      <c r="R1161" s="18" cm="1">
        <f t="array" ref="R1161">(IF(AND(Membros!$F$2="Sim",A1161&lt;=MAX(Membros!$E$2:$E$5)),Membros!K$2,IF(AND(A1161&gt;=Membros!J$2,A1161&lt;=MAX(Membros!$E$2:$E$5)),Membros!K$2,0))+IF(AND(Membros!$F$3="Sim",A1161&lt;=MAX(Membros!$E$2:$E$5)),Membros!K$3,IF(AND(A1161&gt;=Membros!J$3,A1161&lt;=MAX(Membros!$E$2:$E$5)),Membros!K$3,0)))*IF(AND(COUNTIFS(Tabela3[Tipo],"Provedor",Tabela3[Simulação Seguro],"Sim")=2,A1161&gt;=MAX(IF(Tabela3[Tipo]="Dependente",Tabela3[Expectativa de Vida (Data)]))),0,1)</f>
        <v>0</v>
      </c>
      <c r="S1161" s="18">
        <f t="shared" si="150"/>
        <v>0</v>
      </c>
      <c r="U1161" s="18">
        <f t="shared" ca="1" si="153"/>
        <v>208842170.27333561</v>
      </c>
      <c r="V1161" s="18">
        <f>SUMIF(Imóveis!E:E,Dados!A:A,Imóveis!Z:Z)-SUMIF(Imóveis!E:E,Dados!A:A,Imóveis!Y:Y)</f>
        <v>0</v>
      </c>
      <c r="W1161" s="18">
        <f>-SUMIF(Projetos!N:N,A1161,Projetos!F:F)</f>
        <v>0</v>
      </c>
      <c r="X1161" s="18">
        <f t="shared" si="147"/>
        <v>0</v>
      </c>
      <c r="Y1161" s="26">
        <f ca="1">(U1161*((Indicadores_Economicos!D$2+1)^(1/12)-1))</f>
        <v>683694.92102457827</v>
      </c>
      <c r="Z1161" s="18">
        <f t="shared" ca="1" si="151"/>
        <v>209525865.1943602</v>
      </c>
      <c r="AA1161" s="18">
        <f ca="1">Auxiliar_Projetos!E1161</f>
        <v>1.7271589555340716E-8</v>
      </c>
      <c r="AB1161" s="18">
        <f ca="1">Auxiliar_Projetos!K1161</f>
        <v>1.3285838119492839E-8</v>
      </c>
      <c r="AC1161" s="18">
        <f ca="1">IF(Z1161-AA1161-AB1161&gt;Investimentos!$C$14,Investimentos!$C$14,IF(Z1161-AA1161-AB1161&lt;Investimentos!$C$14,Z1161-AA1161-AB1161,0))</f>
        <v>300000</v>
      </c>
      <c r="AD1161" s="18">
        <f t="shared" ca="1" si="152"/>
        <v>209225865.19436017</v>
      </c>
      <c r="AE1161" s="18"/>
    </row>
    <row r="1162" spans="1:31" x14ac:dyDescent="0.2">
      <c r="A1162" s="4">
        <v>80964</v>
      </c>
      <c r="B1162" s="5" t="str">
        <f t="shared" si="148"/>
        <v>setembro</v>
      </c>
      <c r="C1162" s="5" t="str">
        <f t="shared" si="146"/>
        <v>2121</v>
      </c>
      <c r="D1162" s="5">
        <f>SUMIFS(Despesas!$F:$F,Despesas!$J:$J,"&lt;="&amp;$A1162,Despesas!$L:$L,"&gt;="&amp;$A1162,Despesas!$C:$C,D$1,Despesas!$M:$M,"Mensal")+SUMIFS(Despesas!$F:$F,Despesas!$J:$J,"&lt;="&amp;$A1162,Despesas!$L:$L,"&gt;="&amp;$A1162,Despesas!$C:$C,D$1,Despesas!$M:$M,$B1162)</f>
        <v>0</v>
      </c>
      <c r="E1162" s="18">
        <f>SUMIFS(Despesas!$F:$F,Despesas!$J:$J,"&lt;="&amp;$A1162,Despesas!$L:$L,"&gt;="&amp;$A1162,Despesas!$C:$C,E$1,Despesas!$M:$M,"Mensal")+SUMIFS(Despesas!$F:$F,Despesas!$J:$J,"&lt;="&amp;$A1162,Despesas!$L:$L,"&gt;="&amp;$A1162,Despesas!$C:$C,E$1,Despesas!$M:$M,$B1162)</f>
        <v>0</v>
      </c>
      <c r="F1162" s="5">
        <f>SUMIFS(Despesas!$F:$F,Despesas!$J:$J,"&lt;="&amp;$A1162,Despesas!$L:$L,"&gt;="&amp;$A1162,Despesas!$C:$C,F$1,Despesas!$M:$M,"Mensal")+SUMIFS(Despesas!$F:$F,Despesas!$J:$J,"&lt;="&amp;$A1162,Despesas!$L:$L,"&gt;="&amp;$A1162,Despesas!$C:$C,F$1,Despesas!$M:$M,$B1162)</f>
        <v>0</v>
      </c>
      <c r="G1162" s="5">
        <f>SUMIFS(Despesas!$F:$F,Despesas!$J:$J,"&lt;="&amp;$A1162,Despesas!$L:$L,"&gt;="&amp;$A1162,Despesas!$C:$C,G$1,Despesas!$M:$M,"Mensal")+SUMIFS(Despesas!$F:$F,Despesas!$J:$J,"&lt;="&amp;$A1162,Despesas!$L:$L,"&gt;="&amp;$A1162,Despesas!$C:$C,G$1,Despesas!$M:$M,$B1162)</f>
        <v>0</v>
      </c>
      <c r="H1162" s="18">
        <f>SUMIFS(Despesas!$F:$F,Despesas!$J:$J,"&lt;="&amp;$A1162,Despesas!$L:$L,"&gt;="&amp;$A1162,Despesas!$C:$C,H$1,Despesas!$M:$M,"Mensal")+SUMIFS(Despesas!$F:$F,Despesas!$J:$J,"&lt;="&amp;$A1162,Despesas!$L:$L,"&gt;="&amp;$A1162,Despesas!$C:$C,H$1,Despesas!$M:$M,$B1162)</f>
        <v>0</v>
      </c>
      <c r="I1162" s="18">
        <f>IF(Imóveis!$F$2="PRICE",IF(AND(Dados!$A1162&gt;=Imóveis!$Q$2,Dados!$A1162&lt;=Imóveis!$T$2),Imóveis!$U$2,0),IF((IF(AND(Dados!$A1162&gt;=Imóveis!$Q$2,Dados!$A1162&lt;=Imóveis!$T$2),Imóveis!$S$2-(DATEDIF(Imóveis!$Q$2,Dados!$A1162,"m")),0))=0,0,((Imóveis!$N$2/Imóveis!$S$2)+((Imóveis!$N$2-((Imóveis!$S$2-(IF(AND(Dados!$A1162&gt;=Imóveis!$Q$2,Dados!$A1162&lt;=Imóveis!$T$2),Imóveis!$S$2-(DATEDIF(Imóveis!$Q$2,Dados!$A1162,"m")),)))*(Imóveis!$N$2/Imóveis!$S$2)))*Imóveis!$P$2))))*IF(AND(Imóveis!$E$2&gt;0,Dados!$A1162&gt;Imóveis!$E$2),0,1)</f>
        <v>0</v>
      </c>
      <c r="J1162" s="18">
        <f>IF(Imóveis!$F$3="PRICE",IF(AND(Dados!$A1162&gt;=Imóveis!$Q$3,Dados!$A1162&lt;=Imóveis!$T$3),Imóveis!$U$3,0),IF((IF(AND(Dados!$A1162&gt;=Imóveis!$Q$3,Dados!$A1162&lt;=Imóveis!$T$3),Imóveis!$S$3-(DATEDIF(Imóveis!$Q$3,Dados!$A1162,"m")),0))=0,0,((Imóveis!$N$3/Imóveis!$S$3)+((Imóveis!$N$3-((Imóveis!$S$3-(IF(AND(Dados!$A1162&gt;=Imóveis!$Q$3,Dados!$A1162&lt;=Imóveis!$T$3),Imóveis!$S$3-(DATEDIF(Imóveis!$Q$3,Dados!$A1162,"m")),)))*(Imóveis!$N$3/Imóveis!$S$3)))*Imóveis!$P$3))))*IF(AND(Imóveis!$E$3&gt;0,Dados!$A1162&gt;Imóveis!$E$3),0,1)</f>
        <v>0</v>
      </c>
      <c r="K1162" s="18">
        <f>IF(Imóveis!$F$4="PRICE",IF(AND(Dados!$A1162&gt;=Imóveis!$Q$4,Dados!$A1162&lt;=Imóveis!$T$4),Imóveis!$U$4,0),IF((IF(AND(Dados!$A1162&gt;=Imóveis!$Q$4,Dados!$A1162&lt;=Imóveis!$T$4),Imóveis!$S$4-(DATEDIF(Imóveis!$Q$4,Dados!$A1162,"m")),0))=0,0,((Imóveis!$N$4/Imóveis!$S$4)+((Imóveis!$N$4-((Imóveis!$S$4-(IF(AND(Dados!$A1162&gt;=Imóveis!$Q$4,Dados!$A1162&lt;=Imóveis!$T$4),Imóveis!$S$4-(DATEDIF(Imóveis!$Q$4,Dados!$A1162,"m")),)))*(Imóveis!$N$4/Imóveis!$S$4)))*Imóveis!$P$4))))*IF(AND(Imóveis!$E$4&gt;0,Dados!$A1162&gt;Imóveis!$E$4),0,1)</f>
        <v>0</v>
      </c>
      <c r="L1162" s="18">
        <f>IF(Imóveis!$F$5="PRICE",IF(AND(Dados!$A1162&gt;=Imóveis!$Q$5,Dados!$A1162&lt;=Imóveis!$T$5),Imóveis!$U$5,0),IF((IF(AND(Dados!$A1162&gt;=Imóveis!$Q$5,Dados!$A1162&lt;=Imóveis!$T$5),Imóveis!$S$5-(DATEDIF(Imóveis!$Q$5,Dados!$A1162,"m")),0))=0,0,((Imóveis!$N$5/Imóveis!$S$5)+((Imóveis!$N$5-((Imóveis!$S$5-(IF(AND(Dados!$A1162 &gt;=Imóveis!$Q$5,Dados!$A1162&lt;=Imóveis!$T$5),Imóveis!$S$5-(DATEDIF(Imóveis!$Q$5,Dados!$A1162,"m")),)))*(Imóveis!$N$5/Imóveis!$S$5)))*Imóveis!$P$5))))*IF(AND(Imóveis!$E$5&gt;0,Dados!$A1162&gt;Imóveis!$E$5),0,1)*Imóveis!$I$5</f>
        <v>0</v>
      </c>
      <c r="M1162" s="18">
        <f>IF(Imóveis!$F$6="PRICE",IF(AND(Dados!$A1162&gt;=Imóveis!$Q$6,Dados!$A1162&lt;=Imóveis!$T$6),Imóveis!$U$6,0),IF((IF(AND(Dados!$A1162&gt;=Imóveis!$Q$6,Dados!$A1162&lt;=Imóveis!$T$6),Imóveis!$S$6-(DATEDIF(Imóveis!$Q$6,Dados!$A1162,"m")),0))=0,0,((Imóveis!$N$6/Imóveis!$S$6)+((Imóveis!$N$6-((Imóveis!$S$6-(IF(AND(Dados!$A1162&gt;=Imóveis!$Q$6,Dados!$A1162&lt;=Imóveis!$T$6),Imóveis!$S$6-(DATEDIF(Imóveis!$Q$6,Dados!$A1162,"m")),)))*(Imóveis!$N$6/Imóveis!$S$6)))*Imóveis!$P$6))))*IF(AND(Imóveis!$E$6&gt;0,Dados!$A1162&gt;Imóveis!$E$6),0,1)*Imóveis!$I$6</f>
        <v>0</v>
      </c>
      <c r="N1162" s="18">
        <f t="shared" si="149"/>
        <v>0</v>
      </c>
      <c r="O1162" s="18">
        <f>SUMIFS(Receitas!$F:$F,Receitas!$J:$J,"&lt;="&amp;$A1162,Receitas!$L:$L,"&gt;="&amp;$A1162,Receitas!$C:$C,O$1,Receitas!$M:$M,"Mensal")+SUMIFS(Receitas!$F:$F,Receitas!$J:$J,"&lt;="&amp;$A1162,Receitas!$L:$L,"&gt;="&amp;$A1162,Receitas!$C:$C,O$1,Receitas!$M:$M,$B1162)</f>
        <v>0</v>
      </c>
      <c r="P1162" s="18">
        <f>SUMIFS(Receitas!$F:$F,Receitas!$J:$J,"&lt;="&amp;$A1162,Receitas!$L:$L,"&gt;="&amp;$A1162,Receitas!$C:$C,P$1,Receitas!$M:$M,"Mensal")+SUMIFS(Receitas!$F:$F,Receitas!$J:$J,"&lt;="&amp;$A1162,Receitas!$L:$L,"&gt;="&amp;$A1162,Receitas!$C:$C,P$1,Receitas!$M:$M,$B1162)</f>
        <v>0</v>
      </c>
      <c r="Q1162" s="18">
        <f>SUMIFS(Receitas!$F:$F,Receitas!$J:$J,"&lt;="&amp;$A1162,Receitas!$L:$L,"&gt;="&amp;$A1162,Receitas!$C:$C,Q$1,Receitas!$M:$M,"Mensal")+SUMIFS(Receitas!$F:$F,Receitas!$J:$J,"&lt;="&amp;$A1162,Receitas!$L:$L,"&gt;="&amp;$A1162,Receitas!$C:$C,Q$1,Receitas!$M:$M,$B1162)</f>
        <v>0</v>
      </c>
      <c r="R1162" s="18" cm="1">
        <f t="array" ref="R1162">(IF(AND(Membros!$F$2="Sim",A1162&lt;=MAX(Membros!$E$2:$E$5)),Membros!K$2,IF(AND(A1162&gt;=Membros!J$2,A1162&lt;=MAX(Membros!$E$2:$E$5)),Membros!K$2,0))+IF(AND(Membros!$F$3="Sim",A1162&lt;=MAX(Membros!$E$2:$E$5)),Membros!K$3,IF(AND(A1162&gt;=Membros!J$3,A1162&lt;=MAX(Membros!$E$2:$E$5)),Membros!K$3,0)))*IF(AND(COUNTIFS(Tabela3[Tipo],"Provedor",Tabela3[Simulação Seguro],"Sim")=2,A1162&gt;=MAX(IF(Tabela3[Tipo]="Dependente",Tabela3[Expectativa de Vida (Data)]))),0,1)</f>
        <v>0</v>
      </c>
      <c r="S1162" s="18">
        <f t="shared" si="150"/>
        <v>0</v>
      </c>
      <c r="U1162" s="18">
        <f t="shared" ca="1" si="153"/>
        <v>209525865.1943602</v>
      </c>
      <c r="V1162" s="18">
        <f>SUMIF(Imóveis!E:E,Dados!A:A,Imóveis!Z:Z)-SUMIF(Imóveis!E:E,Dados!A:A,Imóveis!Y:Y)</f>
        <v>0</v>
      </c>
      <c r="W1162" s="18">
        <f>-SUMIF(Projetos!N:N,A1162,Projetos!F:F)</f>
        <v>0</v>
      </c>
      <c r="X1162" s="18">
        <f t="shared" si="147"/>
        <v>0</v>
      </c>
      <c r="Y1162" s="26">
        <f ca="1">(U1162*((Indicadores_Economicos!D$2+1)^(1/12)-1))</f>
        <v>685933.16028642387</v>
      </c>
      <c r="Z1162" s="18">
        <f t="shared" ca="1" si="151"/>
        <v>210211798.35464662</v>
      </c>
      <c r="AA1162" s="18">
        <f ca="1">Auxiliar_Projetos!E1162</f>
        <v>1.7328132245169846E-8</v>
      </c>
      <c r="AB1162" s="18">
        <f ca="1">Auxiliar_Projetos!K1162</f>
        <v>1.3329332496284478E-8</v>
      </c>
      <c r="AC1162" s="18">
        <f ca="1">IF(Z1162-AA1162-AB1162&gt;Investimentos!$C$14,Investimentos!$C$14,IF(Z1162-AA1162-AB1162&lt;Investimentos!$C$14,Z1162-AA1162-AB1162,0))</f>
        <v>300000</v>
      </c>
      <c r="AD1162" s="18">
        <f t="shared" ca="1" si="152"/>
        <v>209911798.35464659</v>
      </c>
      <c r="AE1162" s="18"/>
    </row>
    <row r="1163" spans="1:31" x14ac:dyDescent="0.2">
      <c r="A1163" s="4">
        <v>80994</v>
      </c>
      <c r="B1163" s="5" t="str">
        <f t="shared" si="148"/>
        <v>outubro</v>
      </c>
      <c r="C1163" s="5" t="str">
        <f t="shared" si="146"/>
        <v>2121</v>
      </c>
      <c r="D1163" s="5">
        <f>SUMIFS(Despesas!$F:$F,Despesas!$J:$J,"&lt;="&amp;$A1163,Despesas!$L:$L,"&gt;="&amp;$A1163,Despesas!$C:$C,D$1,Despesas!$M:$M,"Mensal")+SUMIFS(Despesas!$F:$F,Despesas!$J:$J,"&lt;="&amp;$A1163,Despesas!$L:$L,"&gt;="&amp;$A1163,Despesas!$C:$C,D$1,Despesas!$M:$M,$B1163)</f>
        <v>0</v>
      </c>
      <c r="E1163" s="18">
        <f>SUMIFS(Despesas!$F:$F,Despesas!$J:$J,"&lt;="&amp;$A1163,Despesas!$L:$L,"&gt;="&amp;$A1163,Despesas!$C:$C,E$1,Despesas!$M:$M,"Mensal")+SUMIFS(Despesas!$F:$F,Despesas!$J:$J,"&lt;="&amp;$A1163,Despesas!$L:$L,"&gt;="&amp;$A1163,Despesas!$C:$C,E$1,Despesas!$M:$M,$B1163)</f>
        <v>0</v>
      </c>
      <c r="F1163" s="5">
        <f>SUMIFS(Despesas!$F:$F,Despesas!$J:$J,"&lt;="&amp;$A1163,Despesas!$L:$L,"&gt;="&amp;$A1163,Despesas!$C:$C,F$1,Despesas!$M:$M,"Mensal")+SUMIFS(Despesas!$F:$F,Despesas!$J:$J,"&lt;="&amp;$A1163,Despesas!$L:$L,"&gt;="&amp;$A1163,Despesas!$C:$C,F$1,Despesas!$M:$M,$B1163)</f>
        <v>0</v>
      </c>
      <c r="G1163" s="5">
        <f>SUMIFS(Despesas!$F:$F,Despesas!$J:$J,"&lt;="&amp;$A1163,Despesas!$L:$L,"&gt;="&amp;$A1163,Despesas!$C:$C,G$1,Despesas!$M:$M,"Mensal")+SUMIFS(Despesas!$F:$F,Despesas!$J:$J,"&lt;="&amp;$A1163,Despesas!$L:$L,"&gt;="&amp;$A1163,Despesas!$C:$C,G$1,Despesas!$M:$M,$B1163)</f>
        <v>0</v>
      </c>
      <c r="H1163" s="18">
        <f>SUMIFS(Despesas!$F:$F,Despesas!$J:$J,"&lt;="&amp;$A1163,Despesas!$L:$L,"&gt;="&amp;$A1163,Despesas!$C:$C,H$1,Despesas!$M:$M,"Mensal")+SUMIFS(Despesas!$F:$F,Despesas!$J:$J,"&lt;="&amp;$A1163,Despesas!$L:$L,"&gt;="&amp;$A1163,Despesas!$C:$C,H$1,Despesas!$M:$M,$B1163)</f>
        <v>0</v>
      </c>
      <c r="I1163" s="18">
        <f>IF(Imóveis!$F$2="PRICE",IF(AND(Dados!$A1163&gt;=Imóveis!$Q$2,Dados!$A1163&lt;=Imóveis!$T$2),Imóveis!$U$2,0),IF((IF(AND(Dados!$A1163&gt;=Imóveis!$Q$2,Dados!$A1163&lt;=Imóveis!$T$2),Imóveis!$S$2-(DATEDIF(Imóveis!$Q$2,Dados!$A1163,"m")),0))=0,0,((Imóveis!$N$2/Imóveis!$S$2)+((Imóveis!$N$2-((Imóveis!$S$2-(IF(AND(Dados!$A1163&gt;=Imóveis!$Q$2,Dados!$A1163&lt;=Imóveis!$T$2),Imóveis!$S$2-(DATEDIF(Imóveis!$Q$2,Dados!$A1163,"m")),)))*(Imóveis!$N$2/Imóveis!$S$2)))*Imóveis!$P$2))))*IF(AND(Imóveis!$E$2&gt;0,Dados!$A1163&gt;Imóveis!$E$2),0,1)</f>
        <v>0</v>
      </c>
      <c r="J1163" s="18">
        <f>IF(Imóveis!$F$3="PRICE",IF(AND(Dados!$A1163&gt;=Imóveis!$Q$3,Dados!$A1163&lt;=Imóveis!$T$3),Imóveis!$U$3,0),IF((IF(AND(Dados!$A1163&gt;=Imóveis!$Q$3,Dados!$A1163&lt;=Imóveis!$T$3),Imóveis!$S$3-(DATEDIF(Imóveis!$Q$3,Dados!$A1163,"m")),0))=0,0,((Imóveis!$N$3/Imóveis!$S$3)+((Imóveis!$N$3-((Imóveis!$S$3-(IF(AND(Dados!$A1163&gt;=Imóveis!$Q$3,Dados!$A1163&lt;=Imóveis!$T$3),Imóveis!$S$3-(DATEDIF(Imóveis!$Q$3,Dados!$A1163,"m")),)))*(Imóveis!$N$3/Imóveis!$S$3)))*Imóveis!$P$3))))*IF(AND(Imóveis!$E$3&gt;0,Dados!$A1163&gt;Imóveis!$E$3),0,1)</f>
        <v>0</v>
      </c>
      <c r="K1163" s="18">
        <f>IF(Imóveis!$F$4="PRICE",IF(AND(Dados!$A1163&gt;=Imóveis!$Q$4,Dados!$A1163&lt;=Imóveis!$T$4),Imóveis!$U$4,0),IF((IF(AND(Dados!$A1163&gt;=Imóveis!$Q$4,Dados!$A1163&lt;=Imóveis!$T$4),Imóveis!$S$4-(DATEDIF(Imóveis!$Q$4,Dados!$A1163,"m")),0))=0,0,((Imóveis!$N$4/Imóveis!$S$4)+((Imóveis!$N$4-((Imóveis!$S$4-(IF(AND(Dados!$A1163&gt;=Imóveis!$Q$4,Dados!$A1163&lt;=Imóveis!$T$4),Imóveis!$S$4-(DATEDIF(Imóveis!$Q$4,Dados!$A1163,"m")),)))*(Imóveis!$N$4/Imóveis!$S$4)))*Imóveis!$P$4))))*IF(AND(Imóveis!$E$4&gt;0,Dados!$A1163&gt;Imóveis!$E$4),0,1)</f>
        <v>0</v>
      </c>
      <c r="L1163" s="18">
        <f>IF(Imóveis!$F$5="PRICE",IF(AND(Dados!$A1163&gt;=Imóveis!$Q$5,Dados!$A1163&lt;=Imóveis!$T$5),Imóveis!$U$5,0),IF((IF(AND(Dados!$A1163&gt;=Imóveis!$Q$5,Dados!$A1163&lt;=Imóveis!$T$5),Imóveis!$S$5-(DATEDIF(Imóveis!$Q$5,Dados!$A1163,"m")),0))=0,0,((Imóveis!$N$5/Imóveis!$S$5)+((Imóveis!$N$5-((Imóveis!$S$5-(IF(AND(Dados!$A1163 &gt;=Imóveis!$Q$5,Dados!$A1163&lt;=Imóveis!$T$5),Imóveis!$S$5-(DATEDIF(Imóveis!$Q$5,Dados!$A1163,"m")),)))*(Imóveis!$N$5/Imóveis!$S$5)))*Imóveis!$P$5))))*IF(AND(Imóveis!$E$5&gt;0,Dados!$A1163&gt;Imóveis!$E$5),0,1)*Imóveis!$I$5</f>
        <v>0</v>
      </c>
      <c r="M1163" s="18">
        <f>IF(Imóveis!$F$6="PRICE",IF(AND(Dados!$A1163&gt;=Imóveis!$Q$6,Dados!$A1163&lt;=Imóveis!$T$6),Imóveis!$U$6,0),IF((IF(AND(Dados!$A1163&gt;=Imóveis!$Q$6,Dados!$A1163&lt;=Imóveis!$T$6),Imóveis!$S$6-(DATEDIF(Imóveis!$Q$6,Dados!$A1163,"m")),0))=0,0,((Imóveis!$N$6/Imóveis!$S$6)+((Imóveis!$N$6-((Imóveis!$S$6-(IF(AND(Dados!$A1163&gt;=Imóveis!$Q$6,Dados!$A1163&lt;=Imóveis!$T$6),Imóveis!$S$6-(DATEDIF(Imóveis!$Q$6,Dados!$A1163,"m")),)))*(Imóveis!$N$6/Imóveis!$S$6)))*Imóveis!$P$6))))*IF(AND(Imóveis!$E$6&gt;0,Dados!$A1163&gt;Imóveis!$E$6),0,1)*Imóveis!$I$6</f>
        <v>0</v>
      </c>
      <c r="N1163" s="18">
        <f t="shared" si="149"/>
        <v>0</v>
      </c>
      <c r="O1163" s="18">
        <f>SUMIFS(Receitas!$F:$F,Receitas!$J:$J,"&lt;="&amp;$A1163,Receitas!$L:$L,"&gt;="&amp;$A1163,Receitas!$C:$C,O$1,Receitas!$M:$M,"Mensal")+SUMIFS(Receitas!$F:$F,Receitas!$J:$J,"&lt;="&amp;$A1163,Receitas!$L:$L,"&gt;="&amp;$A1163,Receitas!$C:$C,O$1,Receitas!$M:$M,$B1163)</f>
        <v>0</v>
      </c>
      <c r="P1163" s="18">
        <f>SUMIFS(Receitas!$F:$F,Receitas!$J:$J,"&lt;="&amp;$A1163,Receitas!$L:$L,"&gt;="&amp;$A1163,Receitas!$C:$C,P$1,Receitas!$M:$M,"Mensal")+SUMIFS(Receitas!$F:$F,Receitas!$J:$J,"&lt;="&amp;$A1163,Receitas!$L:$L,"&gt;="&amp;$A1163,Receitas!$C:$C,P$1,Receitas!$M:$M,$B1163)</f>
        <v>0</v>
      </c>
      <c r="Q1163" s="18">
        <f>SUMIFS(Receitas!$F:$F,Receitas!$J:$J,"&lt;="&amp;$A1163,Receitas!$L:$L,"&gt;="&amp;$A1163,Receitas!$C:$C,Q$1,Receitas!$M:$M,"Mensal")+SUMIFS(Receitas!$F:$F,Receitas!$J:$J,"&lt;="&amp;$A1163,Receitas!$L:$L,"&gt;="&amp;$A1163,Receitas!$C:$C,Q$1,Receitas!$M:$M,$B1163)</f>
        <v>0</v>
      </c>
      <c r="R1163" s="18" cm="1">
        <f t="array" ref="R1163">(IF(AND(Membros!$F$2="Sim",A1163&lt;=MAX(Membros!$E$2:$E$5)),Membros!K$2,IF(AND(A1163&gt;=Membros!J$2,A1163&lt;=MAX(Membros!$E$2:$E$5)),Membros!K$2,0))+IF(AND(Membros!$F$3="Sim",A1163&lt;=MAX(Membros!$E$2:$E$5)),Membros!K$3,IF(AND(A1163&gt;=Membros!J$3,A1163&lt;=MAX(Membros!$E$2:$E$5)),Membros!K$3,0)))*IF(AND(COUNTIFS(Tabela3[Tipo],"Provedor",Tabela3[Simulação Seguro],"Sim")=2,A1163&gt;=MAX(IF(Tabela3[Tipo]="Dependente",Tabela3[Expectativa de Vida (Data)]))),0,1)</f>
        <v>0</v>
      </c>
      <c r="S1163" s="18">
        <f t="shared" si="150"/>
        <v>0</v>
      </c>
      <c r="U1163" s="18">
        <f t="shared" ca="1" si="153"/>
        <v>210211798.35464662</v>
      </c>
      <c r="V1163" s="18">
        <f>SUMIF(Imóveis!E:E,Dados!A:A,Imóveis!Z:Z)-SUMIF(Imóveis!E:E,Dados!A:A,Imóveis!Y:Y)</f>
        <v>0</v>
      </c>
      <c r="W1163" s="18">
        <f>-SUMIF(Projetos!N:N,A1163,Projetos!F:F)</f>
        <v>0</v>
      </c>
      <c r="X1163" s="18">
        <f t="shared" si="147"/>
        <v>0</v>
      </c>
      <c r="Y1163" s="26">
        <f ca="1">(U1163*((Indicadores_Economicos!D$2+1)^(1/12)-1))</f>
        <v>688178.72696118301</v>
      </c>
      <c r="Z1163" s="18">
        <f t="shared" ca="1" si="151"/>
        <v>210899977.08160782</v>
      </c>
      <c r="AA1163" s="18">
        <f ca="1">Auxiliar_Projetos!E1163</f>
        <v>1.7384860041052062E-8</v>
      </c>
      <c r="AB1163" s="18">
        <f ca="1">Auxiliar_Projetos!K1163</f>
        <v>1.3372969262347721E-8</v>
      </c>
      <c r="AC1163" s="18">
        <f ca="1">IF(Z1163-AA1163-AB1163&gt;Investimentos!$C$14,Investimentos!$C$14,IF(Z1163-AA1163-AB1163&lt;Investimentos!$C$14,Z1163-AA1163-AB1163,0))</f>
        <v>300000</v>
      </c>
      <c r="AD1163" s="18">
        <f t="shared" ca="1" si="152"/>
        <v>210599977.08160779</v>
      </c>
      <c r="AE1163" s="18"/>
    </row>
    <row r="1164" spans="1:31" x14ac:dyDescent="0.2">
      <c r="A1164" s="4">
        <v>81025</v>
      </c>
      <c r="B1164" s="5" t="str">
        <f t="shared" si="148"/>
        <v>novembro</v>
      </c>
      <c r="C1164" s="5" t="str">
        <f t="shared" si="146"/>
        <v>2121</v>
      </c>
      <c r="D1164" s="5">
        <f>SUMIFS(Despesas!$F:$F,Despesas!$J:$J,"&lt;="&amp;$A1164,Despesas!$L:$L,"&gt;="&amp;$A1164,Despesas!$C:$C,D$1,Despesas!$M:$M,"Mensal")+SUMIFS(Despesas!$F:$F,Despesas!$J:$J,"&lt;="&amp;$A1164,Despesas!$L:$L,"&gt;="&amp;$A1164,Despesas!$C:$C,D$1,Despesas!$M:$M,$B1164)</f>
        <v>0</v>
      </c>
      <c r="E1164" s="18">
        <f>SUMIFS(Despesas!$F:$F,Despesas!$J:$J,"&lt;="&amp;$A1164,Despesas!$L:$L,"&gt;="&amp;$A1164,Despesas!$C:$C,E$1,Despesas!$M:$M,"Mensal")+SUMIFS(Despesas!$F:$F,Despesas!$J:$J,"&lt;="&amp;$A1164,Despesas!$L:$L,"&gt;="&amp;$A1164,Despesas!$C:$C,E$1,Despesas!$M:$M,$B1164)</f>
        <v>0</v>
      </c>
      <c r="F1164" s="5">
        <f>SUMIFS(Despesas!$F:$F,Despesas!$J:$J,"&lt;="&amp;$A1164,Despesas!$L:$L,"&gt;="&amp;$A1164,Despesas!$C:$C,F$1,Despesas!$M:$M,"Mensal")+SUMIFS(Despesas!$F:$F,Despesas!$J:$J,"&lt;="&amp;$A1164,Despesas!$L:$L,"&gt;="&amp;$A1164,Despesas!$C:$C,F$1,Despesas!$M:$M,$B1164)</f>
        <v>0</v>
      </c>
      <c r="G1164" s="5">
        <f>SUMIFS(Despesas!$F:$F,Despesas!$J:$J,"&lt;="&amp;$A1164,Despesas!$L:$L,"&gt;="&amp;$A1164,Despesas!$C:$C,G$1,Despesas!$M:$M,"Mensal")+SUMIFS(Despesas!$F:$F,Despesas!$J:$J,"&lt;="&amp;$A1164,Despesas!$L:$L,"&gt;="&amp;$A1164,Despesas!$C:$C,G$1,Despesas!$M:$M,$B1164)</f>
        <v>0</v>
      </c>
      <c r="H1164" s="18">
        <f>SUMIFS(Despesas!$F:$F,Despesas!$J:$J,"&lt;="&amp;$A1164,Despesas!$L:$L,"&gt;="&amp;$A1164,Despesas!$C:$C,H$1,Despesas!$M:$M,"Mensal")+SUMIFS(Despesas!$F:$F,Despesas!$J:$J,"&lt;="&amp;$A1164,Despesas!$L:$L,"&gt;="&amp;$A1164,Despesas!$C:$C,H$1,Despesas!$M:$M,$B1164)</f>
        <v>0</v>
      </c>
      <c r="I1164" s="18">
        <f>IF(Imóveis!$F$2="PRICE",IF(AND(Dados!$A1164&gt;=Imóveis!$Q$2,Dados!$A1164&lt;=Imóveis!$T$2),Imóveis!$U$2,0),IF((IF(AND(Dados!$A1164&gt;=Imóveis!$Q$2,Dados!$A1164&lt;=Imóveis!$T$2),Imóveis!$S$2-(DATEDIF(Imóveis!$Q$2,Dados!$A1164,"m")),0))=0,0,((Imóveis!$N$2/Imóveis!$S$2)+((Imóveis!$N$2-((Imóveis!$S$2-(IF(AND(Dados!$A1164&gt;=Imóveis!$Q$2,Dados!$A1164&lt;=Imóveis!$T$2),Imóveis!$S$2-(DATEDIF(Imóveis!$Q$2,Dados!$A1164,"m")),)))*(Imóveis!$N$2/Imóveis!$S$2)))*Imóveis!$P$2))))*IF(AND(Imóveis!$E$2&gt;0,Dados!$A1164&gt;Imóveis!$E$2),0,1)</f>
        <v>0</v>
      </c>
      <c r="J1164" s="18">
        <f>IF(Imóveis!$F$3="PRICE",IF(AND(Dados!$A1164&gt;=Imóveis!$Q$3,Dados!$A1164&lt;=Imóveis!$T$3),Imóveis!$U$3,0),IF((IF(AND(Dados!$A1164&gt;=Imóveis!$Q$3,Dados!$A1164&lt;=Imóveis!$T$3),Imóveis!$S$3-(DATEDIF(Imóveis!$Q$3,Dados!$A1164,"m")),0))=0,0,((Imóveis!$N$3/Imóveis!$S$3)+((Imóveis!$N$3-((Imóveis!$S$3-(IF(AND(Dados!$A1164&gt;=Imóveis!$Q$3,Dados!$A1164&lt;=Imóveis!$T$3),Imóveis!$S$3-(DATEDIF(Imóveis!$Q$3,Dados!$A1164,"m")),)))*(Imóveis!$N$3/Imóveis!$S$3)))*Imóveis!$P$3))))*IF(AND(Imóveis!$E$3&gt;0,Dados!$A1164&gt;Imóveis!$E$3),0,1)</f>
        <v>0</v>
      </c>
      <c r="K1164" s="18">
        <f>IF(Imóveis!$F$4="PRICE",IF(AND(Dados!$A1164&gt;=Imóveis!$Q$4,Dados!$A1164&lt;=Imóveis!$T$4),Imóveis!$U$4,0),IF((IF(AND(Dados!$A1164&gt;=Imóveis!$Q$4,Dados!$A1164&lt;=Imóveis!$T$4),Imóveis!$S$4-(DATEDIF(Imóveis!$Q$4,Dados!$A1164,"m")),0))=0,0,((Imóveis!$N$4/Imóveis!$S$4)+((Imóveis!$N$4-((Imóveis!$S$4-(IF(AND(Dados!$A1164&gt;=Imóveis!$Q$4,Dados!$A1164&lt;=Imóveis!$T$4),Imóveis!$S$4-(DATEDIF(Imóveis!$Q$4,Dados!$A1164,"m")),)))*(Imóveis!$N$4/Imóveis!$S$4)))*Imóveis!$P$4))))*IF(AND(Imóveis!$E$4&gt;0,Dados!$A1164&gt;Imóveis!$E$4),0,1)</f>
        <v>0</v>
      </c>
      <c r="L1164" s="18">
        <f>IF(Imóveis!$F$5="PRICE",IF(AND(Dados!$A1164&gt;=Imóveis!$Q$5,Dados!$A1164&lt;=Imóveis!$T$5),Imóveis!$U$5,0),IF((IF(AND(Dados!$A1164&gt;=Imóveis!$Q$5,Dados!$A1164&lt;=Imóveis!$T$5),Imóveis!$S$5-(DATEDIF(Imóveis!$Q$5,Dados!$A1164,"m")),0))=0,0,((Imóveis!$N$5/Imóveis!$S$5)+((Imóveis!$N$5-((Imóveis!$S$5-(IF(AND(Dados!$A1164 &gt;=Imóveis!$Q$5,Dados!$A1164&lt;=Imóveis!$T$5),Imóveis!$S$5-(DATEDIF(Imóveis!$Q$5,Dados!$A1164,"m")),)))*(Imóveis!$N$5/Imóveis!$S$5)))*Imóveis!$P$5))))*IF(AND(Imóveis!$E$5&gt;0,Dados!$A1164&gt;Imóveis!$E$5),0,1)*Imóveis!$I$5</f>
        <v>0</v>
      </c>
      <c r="M1164" s="18">
        <f>IF(Imóveis!$F$6="PRICE",IF(AND(Dados!$A1164&gt;=Imóveis!$Q$6,Dados!$A1164&lt;=Imóveis!$T$6),Imóveis!$U$6,0),IF((IF(AND(Dados!$A1164&gt;=Imóveis!$Q$6,Dados!$A1164&lt;=Imóveis!$T$6),Imóveis!$S$6-(DATEDIF(Imóveis!$Q$6,Dados!$A1164,"m")),0))=0,0,((Imóveis!$N$6/Imóveis!$S$6)+((Imóveis!$N$6-((Imóveis!$S$6-(IF(AND(Dados!$A1164&gt;=Imóveis!$Q$6,Dados!$A1164&lt;=Imóveis!$T$6),Imóveis!$S$6-(DATEDIF(Imóveis!$Q$6,Dados!$A1164,"m")),)))*(Imóveis!$N$6/Imóveis!$S$6)))*Imóveis!$P$6))))*IF(AND(Imóveis!$E$6&gt;0,Dados!$A1164&gt;Imóveis!$E$6),0,1)*Imóveis!$I$6</f>
        <v>0</v>
      </c>
      <c r="N1164" s="18">
        <f t="shared" si="149"/>
        <v>0</v>
      </c>
      <c r="O1164" s="18">
        <f>SUMIFS(Receitas!$F:$F,Receitas!$J:$J,"&lt;="&amp;$A1164,Receitas!$L:$L,"&gt;="&amp;$A1164,Receitas!$C:$C,O$1,Receitas!$M:$M,"Mensal")+SUMIFS(Receitas!$F:$F,Receitas!$J:$J,"&lt;="&amp;$A1164,Receitas!$L:$L,"&gt;="&amp;$A1164,Receitas!$C:$C,O$1,Receitas!$M:$M,$B1164)</f>
        <v>0</v>
      </c>
      <c r="P1164" s="18">
        <f>SUMIFS(Receitas!$F:$F,Receitas!$J:$J,"&lt;="&amp;$A1164,Receitas!$L:$L,"&gt;="&amp;$A1164,Receitas!$C:$C,P$1,Receitas!$M:$M,"Mensal")+SUMIFS(Receitas!$F:$F,Receitas!$J:$J,"&lt;="&amp;$A1164,Receitas!$L:$L,"&gt;="&amp;$A1164,Receitas!$C:$C,P$1,Receitas!$M:$M,$B1164)</f>
        <v>0</v>
      </c>
      <c r="Q1164" s="18">
        <f>SUMIFS(Receitas!$F:$F,Receitas!$J:$J,"&lt;="&amp;$A1164,Receitas!$L:$L,"&gt;="&amp;$A1164,Receitas!$C:$C,Q$1,Receitas!$M:$M,"Mensal")+SUMIFS(Receitas!$F:$F,Receitas!$J:$J,"&lt;="&amp;$A1164,Receitas!$L:$L,"&gt;="&amp;$A1164,Receitas!$C:$C,Q$1,Receitas!$M:$M,$B1164)</f>
        <v>0</v>
      </c>
      <c r="R1164" s="18" cm="1">
        <f t="array" ref="R1164">(IF(AND(Membros!$F$2="Sim",A1164&lt;=MAX(Membros!$E$2:$E$5)),Membros!K$2,IF(AND(A1164&gt;=Membros!J$2,A1164&lt;=MAX(Membros!$E$2:$E$5)),Membros!K$2,0))+IF(AND(Membros!$F$3="Sim",A1164&lt;=MAX(Membros!$E$2:$E$5)),Membros!K$3,IF(AND(A1164&gt;=Membros!J$3,A1164&lt;=MAX(Membros!$E$2:$E$5)),Membros!K$3,0)))*IF(AND(COUNTIFS(Tabela3[Tipo],"Provedor",Tabela3[Simulação Seguro],"Sim")=2,A1164&gt;=MAX(IF(Tabela3[Tipo]="Dependente",Tabela3[Expectativa de Vida (Data)]))),0,1)</f>
        <v>0</v>
      </c>
      <c r="S1164" s="18">
        <f t="shared" si="150"/>
        <v>0</v>
      </c>
      <c r="U1164" s="18">
        <f t="shared" ca="1" si="153"/>
        <v>210899977.08160782</v>
      </c>
      <c r="V1164" s="18">
        <f>SUMIF(Imóveis!E:E,Dados!A:A,Imóveis!Z:Z)-SUMIF(Imóveis!E:E,Dados!A:A,Imóveis!Y:Y)</f>
        <v>0</v>
      </c>
      <c r="W1164" s="18">
        <f>-SUMIF(Projetos!N:N,A1164,Projetos!F:F)</f>
        <v>0</v>
      </c>
      <c r="X1164" s="18">
        <f t="shared" si="147"/>
        <v>0</v>
      </c>
      <c r="Y1164" s="26">
        <f ca="1">(U1164*((Indicadores_Economicos!D$2+1)^(1/12)-1))</f>
        <v>690431.64503689879</v>
      </c>
      <c r="Z1164" s="18">
        <f t="shared" ca="1" si="151"/>
        <v>211590408.72664472</v>
      </c>
      <c r="AA1164" s="18">
        <f ca="1">Auxiliar_Projetos!E1164</f>
        <v>1.7441773548976415E-8</v>
      </c>
      <c r="AB1164" s="18">
        <f ca="1">Auxiliar_Projetos!K1164</f>
        <v>1.3416748883827992E-8</v>
      </c>
      <c r="AC1164" s="18">
        <f ca="1">IF(Z1164-AA1164-AB1164&gt;Investimentos!$C$14,Investimentos!$C$14,IF(Z1164-AA1164-AB1164&lt;Investimentos!$C$14,Z1164-AA1164-AB1164,0))</f>
        <v>300000</v>
      </c>
      <c r="AD1164" s="18">
        <f t="shared" ca="1" si="152"/>
        <v>211290408.72664469</v>
      </c>
      <c r="AE1164" s="18"/>
    </row>
    <row r="1165" spans="1:31" x14ac:dyDescent="0.2">
      <c r="A1165" s="4">
        <v>81055</v>
      </c>
      <c r="B1165" s="5" t="str">
        <f t="shared" si="148"/>
        <v>dezembro</v>
      </c>
      <c r="C1165" s="5" t="str">
        <f t="shared" si="146"/>
        <v>2121</v>
      </c>
      <c r="D1165" s="5">
        <f>SUMIFS(Despesas!$F:$F,Despesas!$J:$J,"&lt;="&amp;$A1165,Despesas!$L:$L,"&gt;="&amp;$A1165,Despesas!$C:$C,D$1,Despesas!$M:$M,"Mensal")+SUMIFS(Despesas!$F:$F,Despesas!$J:$J,"&lt;="&amp;$A1165,Despesas!$L:$L,"&gt;="&amp;$A1165,Despesas!$C:$C,D$1,Despesas!$M:$M,$B1165)</f>
        <v>0</v>
      </c>
      <c r="E1165" s="18">
        <f>SUMIFS(Despesas!$F:$F,Despesas!$J:$J,"&lt;="&amp;$A1165,Despesas!$L:$L,"&gt;="&amp;$A1165,Despesas!$C:$C,E$1,Despesas!$M:$M,"Mensal")+SUMIFS(Despesas!$F:$F,Despesas!$J:$J,"&lt;="&amp;$A1165,Despesas!$L:$L,"&gt;="&amp;$A1165,Despesas!$C:$C,E$1,Despesas!$M:$M,$B1165)</f>
        <v>0</v>
      </c>
      <c r="F1165" s="5">
        <f>SUMIFS(Despesas!$F:$F,Despesas!$J:$J,"&lt;="&amp;$A1165,Despesas!$L:$L,"&gt;="&amp;$A1165,Despesas!$C:$C,F$1,Despesas!$M:$M,"Mensal")+SUMIFS(Despesas!$F:$F,Despesas!$J:$J,"&lt;="&amp;$A1165,Despesas!$L:$L,"&gt;="&amp;$A1165,Despesas!$C:$C,F$1,Despesas!$M:$M,$B1165)</f>
        <v>0</v>
      </c>
      <c r="G1165" s="5">
        <f>SUMIFS(Despesas!$F:$F,Despesas!$J:$J,"&lt;="&amp;$A1165,Despesas!$L:$L,"&gt;="&amp;$A1165,Despesas!$C:$C,G$1,Despesas!$M:$M,"Mensal")+SUMIFS(Despesas!$F:$F,Despesas!$J:$J,"&lt;="&amp;$A1165,Despesas!$L:$L,"&gt;="&amp;$A1165,Despesas!$C:$C,G$1,Despesas!$M:$M,$B1165)</f>
        <v>0</v>
      </c>
      <c r="H1165" s="18">
        <f>SUMIFS(Despesas!$F:$F,Despesas!$J:$J,"&lt;="&amp;$A1165,Despesas!$L:$L,"&gt;="&amp;$A1165,Despesas!$C:$C,H$1,Despesas!$M:$M,"Mensal")+SUMIFS(Despesas!$F:$F,Despesas!$J:$J,"&lt;="&amp;$A1165,Despesas!$L:$L,"&gt;="&amp;$A1165,Despesas!$C:$C,H$1,Despesas!$M:$M,$B1165)</f>
        <v>0</v>
      </c>
      <c r="I1165" s="18">
        <f>IF(Imóveis!$F$2="PRICE",IF(AND(Dados!$A1165&gt;=Imóveis!$Q$2,Dados!$A1165&lt;=Imóveis!$T$2),Imóveis!$U$2,0),IF((IF(AND(Dados!$A1165&gt;=Imóveis!$Q$2,Dados!$A1165&lt;=Imóveis!$T$2),Imóveis!$S$2-(DATEDIF(Imóveis!$Q$2,Dados!$A1165,"m")),0))=0,0,((Imóveis!$N$2/Imóveis!$S$2)+((Imóveis!$N$2-((Imóveis!$S$2-(IF(AND(Dados!$A1165&gt;=Imóveis!$Q$2,Dados!$A1165&lt;=Imóveis!$T$2),Imóveis!$S$2-(DATEDIF(Imóveis!$Q$2,Dados!$A1165,"m")),)))*(Imóveis!$N$2/Imóveis!$S$2)))*Imóveis!$P$2))))*IF(AND(Imóveis!$E$2&gt;0,Dados!$A1165&gt;Imóveis!$E$2),0,1)</f>
        <v>0</v>
      </c>
      <c r="J1165" s="18">
        <f>IF(Imóveis!$F$3="PRICE",IF(AND(Dados!$A1165&gt;=Imóveis!$Q$3,Dados!$A1165&lt;=Imóveis!$T$3),Imóveis!$U$3,0),IF((IF(AND(Dados!$A1165&gt;=Imóveis!$Q$3,Dados!$A1165&lt;=Imóveis!$T$3),Imóveis!$S$3-(DATEDIF(Imóveis!$Q$3,Dados!$A1165,"m")),0))=0,0,((Imóveis!$N$3/Imóveis!$S$3)+((Imóveis!$N$3-((Imóveis!$S$3-(IF(AND(Dados!$A1165&gt;=Imóveis!$Q$3,Dados!$A1165&lt;=Imóveis!$T$3),Imóveis!$S$3-(DATEDIF(Imóveis!$Q$3,Dados!$A1165,"m")),)))*(Imóveis!$N$3/Imóveis!$S$3)))*Imóveis!$P$3))))*IF(AND(Imóveis!$E$3&gt;0,Dados!$A1165&gt;Imóveis!$E$3),0,1)</f>
        <v>0</v>
      </c>
      <c r="K1165" s="18">
        <f>IF(Imóveis!$F$4="PRICE",IF(AND(Dados!$A1165&gt;=Imóveis!$Q$4,Dados!$A1165&lt;=Imóveis!$T$4),Imóveis!$U$4,0),IF((IF(AND(Dados!$A1165&gt;=Imóveis!$Q$4,Dados!$A1165&lt;=Imóveis!$T$4),Imóveis!$S$4-(DATEDIF(Imóveis!$Q$4,Dados!$A1165,"m")),0))=0,0,((Imóveis!$N$4/Imóveis!$S$4)+((Imóveis!$N$4-((Imóveis!$S$4-(IF(AND(Dados!$A1165&gt;=Imóveis!$Q$4,Dados!$A1165&lt;=Imóveis!$T$4),Imóveis!$S$4-(DATEDIF(Imóveis!$Q$4,Dados!$A1165,"m")),)))*(Imóveis!$N$4/Imóveis!$S$4)))*Imóveis!$P$4))))*IF(AND(Imóveis!$E$4&gt;0,Dados!$A1165&gt;Imóveis!$E$4),0,1)</f>
        <v>0</v>
      </c>
      <c r="L1165" s="18">
        <f>IF(Imóveis!$F$5="PRICE",IF(AND(Dados!$A1165&gt;=Imóveis!$Q$5,Dados!$A1165&lt;=Imóveis!$T$5),Imóveis!$U$5,0),IF((IF(AND(Dados!$A1165&gt;=Imóveis!$Q$5,Dados!$A1165&lt;=Imóveis!$T$5),Imóveis!$S$5-(DATEDIF(Imóveis!$Q$5,Dados!$A1165,"m")),0))=0,0,((Imóveis!$N$5/Imóveis!$S$5)+((Imóveis!$N$5-((Imóveis!$S$5-(IF(AND(Dados!$A1165 &gt;=Imóveis!$Q$5,Dados!$A1165&lt;=Imóveis!$T$5),Imóveis!$S$5-(DATEDIF(Imóveis!$Q$5,Dados!$A1165,"m")),)))*(Imóveis!$N$5/Imóveis!$S$5)))*Imóveis!$P$5))))*IF(AND(Imóveis!$E$5&gt;0,Dados!$A1165&gt;Imóveis!$E$5),0,1)*Imóveis!$I$5</f>
        <v>0</v>
      </c>
      <c r="M1165" s="18">
        <f>IF(Imóveis!$F$6="PRICE",IF(AND(Dados!$A1165&gt;=Imóveis!$Q$6,Dados!$A1165&lt;=Imóveis!$T$6),Imóveis!$U$6,0),IF((IF(AND(Dados!$A1165&gt;=Imóveis!$Q$6,Dados!$A1165&lt;=Imóveis!$T$6),Imóveis!$S$6-(DATEDIF(Imóveis!$Q$6,Dados!$A1165,"m")),0))=0,0,((Imóveis!$N$6/Imóveis!$S$6)+((Imóveis!$N$6-((Imóveis!$S$6-(IF(AND(Dados!$A1165&gt;=Imóveis!$Q$6,Dados!$A1165&lt;=Imóveis!$T$6),Imóveis!$S$6-(DATEDIF(Imóveis!$Q$6,Dados!$A1165,"m")),)))*(Imóveis!$N$6/Imóveis!$S$6)))*Imóveis!$P$6))))*IF(AND(Imóveis!$E$6&gt;0,Dados!$A1165&gt;Imóveis!$E$6),0,1)*Imóveis!$I$6</f>
        <v>0</v>
      </c>
      <c r="N1165" s="18">
        <f t="shared" si="149"/>
        <v>0</v>
      </c>
      <c r="O1165" s="18">
        <f>SUMIFS(Receitas!$F:$F,Receitas!$J:$J,"&lt;="&amp;$A1165,Receitas!$L:$L,"&gt;="&amp;$A1165,Receitas!$C:$C,O$1,Receitas!$M:$M,"Mensal")+SUMIFS(Receitas!$F:$F,Receitas!$J:$J,"&lt;="&amp;$A1165,Receitas!$L:$L,"&gt;="&amp;$A1165,Receitas!$C:$C,O$1,Receitas!$M:$M,$B1165)</f>
        <v>0</v>
      </c>
      <c r="P1165" s="18">
        <f>SUMIFS(Receitas!$F:$F,Receitas!$J:$J,"&lt;="&amp;$A1165,Receitas!$L:$L,"&gt;="&amp;$A1165,Receitas!$C:$C,P$1,Receitas!$M:$M,"Mensal")+SUMIFS(Receitas!$F:$F,Receitas!$J:$J,"&lt;="&amp;$A1165,Receitas!$L:$L,"&gt;="&amp;$A1165,Receitas!$C:$C,P$1,Receitas!$M:$M,$B1165)</f>
        <v>0</v>
      </c>
      <c r="Q1165" s="18">
        <f>SUMIFS(Receitas!$F:$F,Receitas!$J:$J,"&lt;="&amp;$A1165,Receitas!$L:$L,"&gt;="&amp;$A1165,Receitas!$C:$C,Q$1,Receitas!$M:$M,"Mensal")+SUMIFS(Receitas!$F:$F,Receitas!$J:$J,"&lt;="&amp;$A1165,Receitas!$L:$L,"&gt;="&amp;$A1165,Receitas!$C:$C,Q$1,Receitas!$M:$M,$B1165)</f>
        <v>0</v>
      </c>
      <c r="R1165" s="18" cm="1">
        <f t="array" ref="R1165">(IF(AND(Membros!$F$2="Sim",A1165&lt;=MAX(Membros!$E$2:$E$5)),Membros!K$2,IF(AND(A1165&gt;=Membros!J$2,A1165&lt;=MAX(Membros!$E$2:$E$5)),Membros!K$2,0))+IF(AND(Membros!$F$3="Sim",A1165&lt;=MAX(Membros!$E$2:$E$5)),Membros!K$3,IF(AND(A1165&gt;=Membros!J$3,A1165&lt;=MAX(Membros!$E$2:$E$5)),Membros!K$3,0)))*IF(AND(COUNTIFS(Tabela3[Tipo],"Provedor",Tabela3[Simulação Seguro],"Sim")=2,A1165&gt;=MAX(IF(Tabela3[Tipo]="Dependente",Tabela3[Expectativa de Vida (Data)]))),0,1)</f>
        <v>0</v>
      </c>
      <c r="S1165" s="18">
        <f t="shared" si="150"/>
        <v>0</v>
      </c>
      <c r="U1165" s="18">
        <f t="shared" ca="1" si="153"/>
        <v>211590408.72664472</v>
      </c>
      <c r="V1165" s="18">
        <f>SUMIF(Imóveis!E:E,Dados!A:A,Imóveis!Z:Z)-SUMIF(Imóveis!E:E,Dados!A:A,Imóveis!Y:Y)</f>
        <v>0</v>
      </c>
      <c r="W1165" s="18">
        <f>-SUMIF(Projetos!N:N,A1165,Projetos!F:F)</f>
        <v>0</v>
      </c>
      <c r="X1165" s="18">
        <f t="shared" si="147"/>
        <v>0</v>
      </c>
      <c r="Y1165" s="26">
        <f ca="1">(U1165*((Indicadores_Economicos!D$2+1)^(1/12)-1))</f>
        <v>692691.93858014524</v>
      </c>
      <c r="Z1165" s="18">
        <f t="shared" ca="1" si="151"/>
        <v>212283100.66522488</v>
      </c>
      <c r="AA1165" s="18">
        <f ca="1">Auxiliar_Projetos!E1165</f>
        <v>1.7498873376915804E-8</v>
      </c>
      <c r="AB1165" s="18">
        <f ca="1">Auxiliar_Projetos!K1165</f>
        <v>1.3460671828396752E-8</v>
      </c>
      <c r="AC1165" s="18">
        <f ca="1">IF(Z1165-AA1165-AB1165&gt;Investimentos!$C$14,Investimentos!$C$14,IF(Z1165-AA1165-AB1165&lt;Investimentos!$C$14,Z1165-AA1165-AB1165,0))</f>
        <v>300000</v>
      </c>
      <c r="AD1165" s="18">
        <f t="shared" ca="1" si="152"/>
        <v>211983100.66522485</v>
      </c>
      <c r="AE1165" s="18"/>
    </row>
    <row r="1166" spans="1:31" x14ac:dyDescent="0.2">
      <c r="A1166" s="4">
        <v>81086</v>
      </c>
      <c r="B1166" s="5" t="str">
        <f t="shared" si="148"/>
        <v>janeiro</v>
      </c>
      <c r="C1166" s="5" t="str">
        <f t="shared" si="146"/>
        <v>2122</v>
      </c>
      <c r="D1166" s="5">
        <f>SUMIFS(Despesas!$F:$F,Despesas!$J:$J,"&lt;="&amp;$A1166,Despesas!$L:$L,"&gt;="&amp;$A1166,Despesas!$C:$C,D$1,Despesas!$M:$M,"Mensal")+SUMIFS(Despesas!$F:$F,Despesas!$J:$J,"&lt;="&amp;$A1166,Despesas!$L:$L,"&gt;="&amp;$A1166,Despesas!$C:$C,D$1,Despesas!$M:$M,$B1166)</f>
        <v>0</v>
      </c>
      <c r="E1166" s="18">
        <f>SUMIFS(Despesas!$F:$F,Despesas!$J:$J,"&lt;="&amp;$A1166,Despesas!$L:$L,"&gt;="&amp;$A1166,Despesas!$C:$C,E$1,Despesas!$M:$M,"Mensal")+SUMIFS(Despesas!$F:$F,Despesas!$J:$J,"&lt;="&amp;$A1166,Despesas!$L:$L,"&gt;="&amp;$A1166,Despesas!$C:$C,E$1,Despesas!$M:$M,$B1166)</f>
        <v>0</v>
      </c>
      <c r="F1166" s="5">
        <f>SUMIFS(Despesas!$F:$F,Despesas!$J:$J,"&lt;="&amp;$A1166,Despesas!$L:$L,"&gt;="&amp;$A1166,Despesas!$C:$C,F$1,Despesas!$M:$M,"Mensal")+SUMIFS(Despesas!$F:$F,Despesas!$J:$J,"&lt;="&amp;$A1166,Despesas!$L:$L,"&gt;="&amp;$A1166,Despesas!$C:$C,F$1,Despesas!$M:$M,$B1166)</f>
        <v>0</v>
      </c>
      <c r="G1166" s="5">
        <f>SUMIFS(Despesas!$F:$F,Despesas!$J:$J,"&lt;="&amp;$A1166,Despesas!$L:$L,"&gt;="&amp;$A1166,Despesas!$C:$C,G$1,Despesas!$M:$M,"Mensal")+SUMIFS(Despesas!$F:$F,Despesas!$J:$J,"&lt;="&amp;$A1166,Despesas!$L:$L,"&gt;="&amp;$A1166,Despesas!$C:$C,G$1,Despesas!$M:$M,$B1166)</f>
        <v>0</v>
      </c>
      <c r="H1166" s="18">
        <f>SUMIFS(Despesas!$F:$F,Despesas!$J:$J,"&lt;="&amp;$A1166,Despesas!$L:$L,"&gt;="&amp;$A1166,Despesas!$C:$C,H$1,Despesas!$M:$M,"Mensal")+SUMIFS(Despesas!$F:$F,Despesas!$J:$J,"&lt;="&amp;$A1166,Despesas!$L:$L,"&gt;="&amp;$A1166,Despesas!$C:$C,H$1,Despesas!$M:$M,$B1166)</f>
        <v>0</v>
      </c>
      <c r="I1166" s="18">
        <f>IF(Imóveis!$F$2="PRICE",IF(AND(Dados!$A1166&gt;=Imóveis!$Q$2,Dados!$A1166&lt;=Imóveis!$T$2),Imóveis!$U$2,0),IF((IF(AND(Dados!$A1166&gt;=Imóveis!$Q$2,Dados!$A1166&lt;=Imóveis!$T$2),Imóveis!$S$2-(DATEDIF(Imóveis!$Q$2,Dados!$A1166,"m")),0))=0,0,((Imóveis!$N$2/Imóveis!$S$2)+((Imóveis!$N$2-((Imóveis!$S$2-(IF(AND(Dados!$A1166&gt;=Imóveis!$Q$2,Dados!$A1166&lt;=Imóveis!$T$2),Imóveis!$S$2-(DATEDIF(Imóveis!$Q$2,Dados!$A1166,"m")),)))*(Imóveis!$N$2/Imóveis!$S$2)))*Imóveis!$P$2))))*IF(AND(Imóveis!$E$2&gt;0,Dados!$A1166&gt;Imóveis!$E$2),0,1)</f>
        <v>0</v>
      </c>
      <c r="J1166" s="18">
        <f>IF(Imóveis!$F$3="PRICE",IF(AND(Dados!$A1166&gt;=Imóveis!$Q$3,Dados!$A1166&lt;=Imóveis!$T$3),Imóveis!$U$3,0),IF((IF(AND(Dados!$A1166&gt;=Imóveis!$Q$3,Dados!$A1166&lt;=Imóveis!$T$3),Imóveis!$S$3-(DATEDIF(Imóveis!$Q$3,Dados!$A1166,"m")),0))=0,0,((Imóveis!$N$3/Imóveis!$S$3)+((Imóveis!$N$3-((Imóveis!$S$3-(IF(AND(Dados!$A1166&gt;=Imóveis!$Q$3,Dados!$A1166&lt;=Imóveis!$T$3),Imóveis!$S$3-(DATEDIF(Imóveis!$Q$3,Dados!$A1166,"m")),)))*(Imóveis!$N$3/Imóveis!$S$3)))*Imóveis!$P$3))))*IF(AND(Imóveis!$E$3&gt;0,Dados!$A1166&gt;Imóveis!$E$3),0,1)</f>
        <v>0</v>
      </c>
      <c r="K1166" s="18">
        <f>IF(Imóveis!$F$4="PRICE",IF(AND(Dados!$A1166&gt;=Imóveis!$Q$4,Dados!$A1166&lt;=Imóveis!$T$4),Imóveis!$U$4,0),IF((IF(AND(Dados!$A1166&gt;=Imóveis!$Q$4,Dados!$A1166&lt;=Imóveis!$T$4),Imóveis!$S$4-(DATEDIF(Imóveis!$Q$4,Dados!$A1166,"m")),0))=0,0,((Imóveis!$N$4/Imóveis!$S$4)+((Imóveis!$N$4-((Imóveis!$S$4-(IF(AND(Dados!$A1166&gt;=Imóveis!$Q$4,Dados!$A1166&lt;=Imóveis!$T$4),Imóveis!$S$4-(DATEDIF(Imóveis!$Q$4,Dados!$A1166,"m")),)))*(Imóveis!$N$4/Imóveis!$S$4)))*Imóveis!$P$4))))*IF(AND(Imóveis!$E$4&gt;0,Dados!$A1166&gt;Imóveis!$E$4),0,1)</f>
        <v>0</v>
      </c>
      <c r="L1166" s="18">
        <f>IF(Imóveis!$F$5="PRICE",IF(AND(Dados!$A1166&gt;=Imóveis!$Q$5,Dados!$A1166&lt;=Imóveis!$T$5),Imóveis!$U$5,0),IF((IF(AND(Dados!$A1166&gt;=Imóveis!$Q$5,Dados!$A1166&lt;=Imóveis!$T$5),Imóveis!$S$5-(DATEDIF(Imóveis!$Q$5,Dados!$A1166,"m")),0))=0,0,((Imóveis!$N$5/Imóveis!$S$5)+((Imóveis!$N$5-((Imóveis!$S$5-(IF(AND(Dados!$A1166 &gt;=Imóveis!$Q$5,Dados!$A1166&lt;=Imóveis!$T$5),Imóveis!$S$5-(DATEDIF(Imóveis!$Q$5,Dados!$A1166,"m")),)))*(Imóveis!$N$5/Imóveis!$S$5)))*Imóveis!$P$5))))*IF(AND(Imóveis!$E$5&gt;0,Dados!$A1166&gt;Imóveis!$E$5),0,1)*Imóveis!$I$5</f>
        <v>0</v>
      </c>
      <c r="M1166" s="18">
        <f>IF(Imóveis!$F$6="PRICE",IF(AND(Dados!$A1166&gt;=Imóveis!$Q$6,Dados!$A1166&lt;=Imóveis!$T$6),Imóveis!$U$6,0),IF((IF(AND(Dados!$A1166&gt;=Imóveis!$Q$6,Dados!$A1166&lt;=Imóveis!$T$6),Imóveis!$S$6-(DATEDIF(Imóveis!$Q$6,Dados!$A1166,"m")),0))=0,0,((Imóveis!$N$6/Imóveis!$S$6)+((Imóveis!$N$6-((Imóveis!$S$6-(IF(AND(Dados!$A1166&gt;=Imóveis!$Q$6,Dados!$A1166&lt;=Imóveis!$T$6),Imóveis!$S$6-(DATEDIF(Imóveis!$Q$6,Dados!$A1166,"m")),)))*(Imóveis!$N$6/Imóveis!$S$6)))*Imóveis!$P$6))))*IF(AND(Imóveis!$E$6&gt;0,Dados!$A1166&gt;Imóveis!$E$6),0,1)*Imóveis!$I$6</f>
        <v>0</v>
      </c>
      <c r="N1166" s="18">
        <f t="shared" si="149"/>
        <v>0</v>
      </c>
      <c r="O1166" s="18">
        <f>SUMIFS(Receitas!$F:$F,Receitas!$J:$J,"&lt;="&amp;$A1166,Receitas!$L:$L,"&gt;="&amp;$A1166,Receitas!$C:$C,O$1,Receitas!$M:$M,"Mensal")+SUMIFS(Receitas!$F:$F,Receitas!$J:$J,"&lt;="&amp;$A1166,Receitas!$L:$L,"&gt;="&amp;$A1166,Receitas!$C:$C,O$1,Receitas!$M:$M,$B1166)</f>
        <v>0</v>
      </c>
      <c r="P1166" s="18">
        <f>SUMIFS(Receitas!$F:$F,Receitas!$J:$J,"&lt;="&amp;$A1166,Receitas!$L:$L,"&gt;="&amp;$A1166,Receitas!$C:$C,P$1,Receitas!$M:$M,"Mensal")+SUMIFS(Receitas!$F:$F,Receitas!$J:$J,"&lt;="&amp;$A1166,Receitas!$L:$L,"&gt;="&amp;$A1166,Receitas!$C:$C,P$1,Receitas!$M:$M,$B1166)</f>
        <v>0</v>
      </c>
      <c r="Q1166" s="18">
        <f>SUMIFS(Receitas!$F:$F,Receitas!$J:$J,"&lt;="&amp;$A1166,Receitas!$L:$L,"&gt;="&amp;$A1166,Receitas!$C:$C,Q$1,Receitas!$M:$M,"Mensal")+SUMIFS(Receitas!$F:$F,Receitas!$J:$J,"&lt;="&amp;$A1166,Receitas!$L:$L,"&gt;="&amp;$A1166,Receitas!$C:$C,Q$1,Receitas!$M:$M,$B1166)</f>
        <v>0</v>
      </c>
      <c r="R1166" s="18" cm="1">
        <f t="array" ref="R1166">(IF(AND(Membros!$F$2="Sim",A1166&lt;=MAX(Membros!$E$2:$E$5)),Membros!K$2,IF(AND(A1166&gt;=Membros!J$2,A1166&lt;=MAX(Membros!$E$2:$E$5)),Membros!K$2,0))+IF(AND(Membros!$F$3="Sim",A1166&lt;=MAX(Membros!$E$2:$E$5)),Membros!K$3,IF(AND(A1166&gt;=Membros!J$3,A1166&lt;=MAX(Membros!$E$2:$E$5)),Membros!K$3,0)))*IF(AND(COUNTIFS(Tabela3[Tipo],"Provedor",Tabela3[Simulação Seguro],"Sim")=2,A1166&gt;=MAX(IF(Tabela3[Tipo]="Dependente",Tabela3[Expectativa de Vida (Data)]))),0,1)</f>
        <v>0</v>
      </c>
      <c r="S1166" s="18">
        <f t="shared" si="150"/>
        <v>0</v>
      </c>
      <c r="U1166" s="18">
        <f t="shared" ca="1" si="153"/>
        <v>212283100.66522488</v>
      </c>
      <c r="V1166" s="18">
        <f>SUMIF(Imóveis!E:E,Dados!A:A,Imóveis!Z:Z)-SUMIF(Imóveis!E:E,Dados!A:A,Imóveis!Y:Y)</f>
        <v>0</v>
      </c>
      <c r="W1166" s="18">
        <f>-SUMIF(Projetos!N:N,A1166,Projetos!F:F)</f>
        <v>0</v>
      </c>
      <c r="X1166" s="18">
        <f t="shared" si="147"/>
        <v>0</v>
      </c>
      <c r="Y1166" s="26">
        <f ca="1">(U1166*((Indicadores_Economicos!D$2+1)^(1/12)-1))</f>
        <v>694959.63173628354</v>
      </c>
      <c r="Z1166" s="18">
        <f t="shared" ca="1" si="151"/>
        <v>212978060.29696116</v>
      </c>
      <c r="AA1166" s="18">
        <f ca="1">Auxiliar_Projetos!E1166</f>
        <v>1.7556160134833474E-8</v>
      </c>
      <c r="AB1166" s="18">
        <f ca="1">Auxiliar_Projetos!K1166</f>
        <v>1.3504738565256499E-8</v>
      </c>
      <c r="AC1166" s="18">
        <f ca="1">IF(Z1166-AA1166-AB1166&gt;Investimentos!$C$14,Investimentos!$C$14,IF(Z1166-AA1166-AB1166&lt;Investimentos!$C$14,Z1166-AA1166-AB1166,0))</f>
        <v>300000</v>
      </c>
      <c r="AD1166" s="18">
        <f t="shared" ca="1" si="152"/>
        <v>212678060.29696113</v>
      </c>
      <c r="AE1166" s="18"/>
    </row>
    <row r="1167" spans="1:31" x14ac:dyDescent="0.2">
      <c r="A1167" s="4">
        <v>81117</v>
      </c>
      <c r="B1167" s="5" t="str">
        <f t="shared" si="148"/>
        <v>fevereiro</v>
      </c>
      <c r="C1167" s="5" t="str">
        <f t="shared" si="146"/>
        <v>2122</v>
      </c>
      <c r="D1167" s="5">
        <f>SUMIFS(Despesas!$F:$F,Despesas!$J:$J,"&lt;="&amp;$A1167,Despesas!$L:$L,"&gt;="&amp;$A1167,Despesas!$C:$C,D$1,Despesas!$M:$M,"Mensal")+SUMIFS(Despesas!$F:$F,Despesas!$J:$J,"&lt;="&amp;$A1167,Despesas!$L:$L,"&gt;="&amp;$A1167,Despesas!$C:$C,D$1,Despesas!$M:$M,$B1167)</f>
        <v>0</v>
      </c>
      <c r="E1167" s="18">
        <f>SUMIFS(Despesas!$F:$F,Despesas!$J:$J,"&lt;="&amp;$A1167,Despesas!$L:$L,"&gt;="&amp;$A1167,Despesas!$C:$C,E$1,Despesas!$M:$M,"Mensal")+SUMIFS(Despesas!$F:$F,Despesas!$J:$J,"&lt;="&amp;$A1167,Despesas!$L:$L,"&gt;="&amp;$A1167,Despesas!$C:$C,E$1,Despesas!$M:$M,$B1167)</f>
        <v>0</v>
      </c>
      <c r="F1167" s="5">
        <f>SUMIFS(Despesas!$F:$F,Despesas!$J:$J,"&lt;="&amp;$A1167,Despesas!$L:$L,"&gt;="&amp;$A1167,Despesas!$C:$C,F$1,Despesas!$M:$M,"Mensal")+SUMIFS(Despesas!$F:$F,Despesas!$J:$J,"&lt;="&amp;$A1167,Despesas!$L:$L,"&gt;="&amp;$A1167,Despesas!$C:$C,F$1,Despesas!$M:$M,$B1167)</f>
        <v>0</v>
      </c>
      <c r="G1167" s="5">
        <f>SUMIFS(Despesas!$F:$F,Despesas!$J:$J,"&lt;="&amp;$A1167,Despesas!$L:$L,"&gt;="&amp;$A1167,Despesas!$C:$C,G$1,Despesas!$M:$M,"Mensal")+SUMIFS(Despesas!$F:$F,Despesas!$J:$J,"&lt;="&amp;$A1167,Despesas!$L:$L,"&gt;="&amp;$A1167,Despesas!$C:$C,G$1,Despesas!$M:$M,$B1167)</f>
        <v>0</v>
      </c>
      <c r="H1167" s="18">
        <f>SUMIFS(Despesas!$F:$F,Despesas!$J:$J,"&lt;="&amp;$A1167,Despesas!$L:$L,"&gt;="&amp;$A1167,Despesas!$C:$C,H$1,Despesas!$M:$M,"Mensal")+SUMIFS(Despesas!$F:$F,Despesas!$J:$J,"&lt;="&amp;$A1167,Despesas!$L:$L,"&gt;="&amp;$A1167,Despesas!$C:$C,H$1,Despesas!$M:$M,$B1167)</f>
        <v>0</v>
      </c>
      <c r="I1167" s="18">
        <f>IF(Imóveis!$F$2="PRICE",IF(AND(Dados!$A1167&gt;=Imóveis!$Q$2,Dados!$A1167&lt;=Imóveis!$T$2),Imóveis!$U$2,0),IF((IF(AND(Dados!$A1167&gt;=Imóveis!$Q$2,Dados!$A1167&lt;=Imóveis!$T$2),Imóveis!$S$2-(DATEDIF(Imóveis!$Q$2,Dados!$A1167,"m")),0))=0,0,((Imóveis!$N$2/Imóveis!$S$2)+((Imóveis!$N$2-((Imóveis!$S$2-(IF(AND(Dados!$A1167&gt;=Imóveis!$Q$2,Dados!$A1167&lt;=Imóveis!$T$2),Imóveis!$S$2-(DATEDIF(Imóveis!$Q$2,Dados!$A1167,"m")),)))*(Imóveis!$N$2/Imóveis!$S$2)))*Imóveis!$P$2))))*IF(AND(Imóveis!$E$2&gt;0,Dados!$A1167&gt;Imóveis!$E$2),0,1)</f>
        <v>0</v>
      </c>
      <c r="J1167" s="18">
        <f>IF(Imóveis!$F$3="PRICE",IF(AND(Dados!$A1167&gt;=Imóveis!$Q$3,Dados!$A1167&lt;=Imóveis!$T$3),Imóveis!$U$3,0),IF((IF(AND(Dados!$A1167&gt;=Imóveis!$Q$3,Dados!$A1167&lt;=Imóveis!$T$3),Imóveis!$S$3-(DATEDIF(Imóveis!$Q$3,Dados!$A1167,"m")),0))=0,0,((Imóveis!$N$3/Imóveis!$S$3)+((Imóveis!$N$3-((Imóveis!$S$3-(IF(AND(Dados!$A1167&gt;=Imóveis!$Q$3,Dados!$A1167&lt;=Imóveis!$T$3),Imóveis!$S$3-(DATEDIF(Imóveis!$Q$3,Dados!$A1167,"m")),)))*(Imóveis!$N$3/Imóveis!$S$3)))*Imóveis!$P$3))))*IF(AND(Imóveis!$E$3&gt;0,Dados!$A1167&gt;Imóveis!$E$3),0,1)</f>
        <v>0</v>
      </c>
      <c r="K1167" s="18">
        <f>IF(Imóveis!$F$4="PRICE",IF(AND(Dados!$A1167&gt;=Imóveis!$Q$4,Dados!$A1167&lt;=Imóveis!$T$4),Imóveis!$U$4,0),IF((IF(AND(Dados!$A1167&gt;=Imóveis!$Q$4,Dados!$A1167&lt;=Imóveis!$T$4),Imóveis!$S$4-(DATEDIF(Imóveis!$Q$4,Dados!$A1167,"m")),0))=0,0,((Imóveis!$N$4/Imóveis!$S$4)+((Imóveis!$N$4-((Imóveis!$S$4-(IF(AND(Dados!$A1167&gt;=Imóveis!$Q$4,Dados!$A1167&lt;=Imóveis!$T$4),Imóveis!$S$4-(DATEDIF(Imóveis!$Q$4,Dados!$A1167,"m")),)))*(Imóveis!$N$4/Imóveis!$S$4)))*Imóveis!$P$4))))*IF(AND(Imóveis!$E$4&gt;0,Dados!$A1167&gt;Imóveis!$E$4),0,1)</f>
        <v>0</v>
      </c>
      <c r="L1167" s="18">
        <f>IF(Imóveis!$F$5="PRICE",IF(AND(Dados!$A1167&gt;=Imóveis!$Q$5,Dados!$A1167&lt;=Imóveis!$T$5),Imóveis!$U$5,0),IF((IF(AND(Dados!$A1167&gt;=Imóveis!$Q$5,Dados!$A1167&lt;=Imóveis!$T$5),Imóveis!$S$5-(DATEDIF(Imóveis!$Q$5,Dados!$A1167,"m")),0))=0,0,((Imóveis!$N$5/Imóveis!$S$5)+((Imóveis!$N$5-((Imóveis!$S$5-(IF(AND(Dados!$A1167 &gt;=Imóveis!$Q$5,Dados!$A1167&lt;=Imóveis!$T$5),Imóveis!$S$5-(DATEDIF(Imóveis!$Q$5,Dados!$A1167,"m")),)))*(Imóveis!$N$5/Imóveis!$S$5)))*Imóveis!$P$5))))*IF(AND(Imóveis!$E$5&gt;0,Dados!$A1167&gt;Imóveis!$E$5),0,1)*Imóveis!$I$5</f>
        <v>0</v>
      </c>
      <c r="M1167" s="18">
        <f>IF(Imóveis!$F$6="PRICE",IF(AND(Dados!$A1167&gt;=Imóveis!$Q$6,Dados!$A1167&lt;=Imóveis!$T$6),Imóveis!$U$6,0),IF((IF(AND(Dados!$A1167&gt;=Imóveis!$Q$6,Dados!$A1167&lt;=Imóveis!$T$6),Imóveis!$S$6-(DATEDIF(Imóveis!$Q$6,Dados!$A1167,"m")),0))=0,0,((Imóveis!$N$6/Imóveis!$S$6)+((Imóveis!$N$6-((Imóveis!$S$6-(IF(AND(Dados!$A1167&gt;=Imóveis!$Q$6,Dados!$A1167&lt;=Imóveis!$T$6),Imóveis!$S$6-(DATEDIF(Imóveis!$Q$6,Dados!$A1167,"m")),)))*(Imóveis!$N$6/Imóveis!$S$6)))*Imóveis!$P$6))))*IF(AND(Imóveis!$E$6&gt;0,Dados!$A1167&gt;Imóveis!$E$6),0,1)*Imóveis!$I$6</f>
        <v>0</v>
      </c>
      <c r="N1167" s="18">
        <f t="shared" si="149"/>
        <v>0</v>
      </c>
      <c r="O1167" s="18">
        <f>SUMIFS(Receitas!$F:$F,Receitas!$J:$J,"&lt;="&amp;$A1167,Receitas!$L:$L,"&gt;="&amp;$A1167,Receitas!$C:$C,O$1,Receitas!$M:$M,"Mensal")+SUMIFS(Receitas!$F:$F,Receitas!$J:$J,"&lt;="&amp;$A1167,Receitas!$L:$L,"&gt;="&amp;$A1167,Receitas!$C:$C,O$1,Receitas!$M:$M,$B1167)</f>
        <v>0</v>
      </c>
      <c r="P1167" s="18">
        <f>SUMIFS(Receitas!$F:$F,Receitas!$J:$J,"&lt;="&amp;$A1167,Receitas!$L:$L,"&gt;="&amp;$A1167,Receitas!$C:$C,P$1,Receitas!$M:$M,"Mensal")+SUMIFS(Receitas!$F:$F,Receitas!$J:$J,"&lt;="&amp;$A1167,Receitas!$L:$L,"&gt;="&amp;$A1167,Receitas!$C:$C,P$1,Receitas!$M:$M,$B1167)</f>
        <v>0</v>
      </c>
      <c r="Q1167" s="18">
        <f>SUMIFS(Receitas!$F:$F,Receitas!$J:$J,"&lt;="&amp;$A1167,Receitas!$L:$L,"&gt;="&amp;$A1167,Receitas!$C:$C,Q$1,Receitas!$M:$M,"Mensal")+SUMIFS(Receitas!$F:$F,Receitas!$J:$J,"&lt;="&amp;$A1167,Receitas!$L:$L,"&gt;="&amp;$A1167,Receitas!$C:$C,Q$1,Receitas!$M:$M,$B1167)</f>
        <v>0</v>
      </c>
      <c r="R1167" s="18" cm="1">
        <f t="array" ref="R1167">(IF(AND(Membros!$F$2="Sim",A1167&lt;=MAX(Membros!$E$2:$E$5)),Membros!K$2,IF(AND(A1167&gt;=Membros!J$2,A1167&lt;=MAX(Membros!$E$2:$E$5)),Membros!K$2,0))+IF(AND(Membros!$F$3="Sim",A1167&lt;=MAX(Membros!$E$2:$E$5)),Membros!K$3,IF(AND(A1167&gt;=Membros!J$3,A1167&lt;=MAX(Membros!$E$2:$E$5)),Membros!K$3,0)))*IF(AND(COUNTIFS(Tabela3[Tipo],"Provedor",Tabela3[Simulação Seguro],"Sim")=2,A1167&gt;=MAX(IF(Tabela3[Tipo]="Dependente",Tabela3[Expectativa de Vida (Data)]))),0,1)</f>
        <v>0</v>
      </c>
      <c r="S1167" s="18">
        <f t="shared" si="150"/>
        <v>0</v>
      </c>
      <c r="U1167" s="18">
        <f t="shared" ca="1" si="153"/>
        <v>212978060.29696116</v>
      </c>
      <c r="V1167" s="18">
        <f>SUMIF(Imóveis!E:E,Dados!A:A,Imóveis!Z:Z)-SUMIF(Imóveis!E:E,Dados!A:A,Imóveis!Y:Y)</f>
        <v>0</v>
      </c>
      <c r="W1167" s="18">
        <f>-SUMIF(Projetos!N:N,A1167,Projetos!F:F)</f>
        <v>0</v>
      </c>
      <c r="X1167" s="18">
        <f t="shared" si="147"/>
        <v>0</v>
      </c>
      <c r="Y1167" s="26">
        <f ca="1">(U1167*((Indicadores_Economicos!D$2+1)^(1/12)-1))</f>
        <v>697234.74872972094</v>
      </c>
      <c r="Z1167" s="18">
        <f t="shared" ca="1" si="151"/>
        <v>213675295.04569089</v>
      </c>
      <c r="AA1167" s="18">
        <f ca="1">Auxiliar_Projetos!E1167</f>
        <v>1.7613634434689534E-8</v>
      </c>
      <c r="AB1167" s="18">
        <f ca="1">Auxiliar_Projetos!K1167</f>
        <v>1.3548949565145775E-8</v>
      </c>
      <c r="AC1167" s="18">
        <f ca="1">IF(Z1167-AA1167-AB1167&gt;Investimentos!$C$14,Investimentos!$C$14,IF(Z1167-AA1167-AB1167&lt;Investimentos!$C$14,Z1167-AA1167-AB1167,0))</f>
        <v>300000</v>
      </c>
      <c r="AD1167" s="18">
        <f t="shared" ca="1" si="152"/>
        <v>213375295.04569086</v>
      </c>
      <c r="AE1167" s="18"/>
    </row>
    <row r="1168" spans="1:31" x14ac:dyDescent="0.2">
      <c r="A1168" s="4">
        <v>81145</v>
      </c>
      <c r="B1168" s="5" t="str">
        <f t="shared" si="148"/>
        <v>março</v>
      </c>
      <c r="C1168" s="5" t="str">
        <f t="shared" si="146"/>
        <v>2122</v>
      </c>
      <c r="D1168" s="5">
        <f>SUMIFS(Despesas!$F:$F,Despesas!$J:$J,"&lt;="&amp;$A1168,Despesas!$L:$L,"&gt;="&amp;$A1168,Despesas!$C:$C,D$1,Despesas!$M:$M,"Mensal")+SUMIFS(Despesas!$F:$F,Despesas!$J:$J,"&lt;="&amp;$A1168,Despesas!$L:$L,"&gt;="&amp;$A1168,Despesas!$C:$C,D$1,Despesas!$M:$M,$B1168)</f>
        <v>0</v>
      </c>
      <c r="E1168" s="18">
        <f>SUMIFS(Despesas!$F:$F,Despesas!$J:$J,"&lt;="&amp;$A1168,Despesas!$L:$L,"&gt;="&amp;$A1168,Despesas!$C:$C,E$1,Despesas!$M:$M,"Mensal")+SUMIFS(Despesas!$F:$F,Despesas!$J:$J,"&lt;="&amp;$A1168,Despesas!$L:$L,"&gt;="&amp;$A1168,Despesas!$C:$C,E$1,Despesas!$M:$M,$B1168)</f>
        <v>0</v>
      </c>
      <c r="F1168" s="5">
        <f>SUMIFS(Despesas!$F:$F,Despesas!$J:$J,"&lt;="&amp;$A1168,Despesas!$L:$L,"&gt;="&amp;$A1168,Despesas!$C:$C,F$1,Despesas!$M:$M,"Mensal")+SUMIFS(Despesas!$F:$F,Despesas!$J:$J,"&lt;="&amp;$A1168,Despesas!$L:$L,"&gt;="&amp;$A1168,Despesas!$C:$C,F$1,Despesas!$M:$M,$B1168)</f>
        <v>0</v>
      </c>
      <c r="G1168" s="5">
        <f>SUMIFS(Despesas!$F:$F,Despesas!$J:$J,"&lt;="&amp;$A1168,Despesas!$L:$L,"&gt;="&amp;$A1168,Despesas!$C:$C,G$1,Despesas!$M:$M,"Mensal")+SUMIFS(Despesas!$F:$F,Despesas!$J:$J,"&lt;="&amp;$A1168,Despesas!$L:$L,"&gt;="&amp;$A1168,Despesas!$C:$C,G$1,Despesas!$M:$M,$B1168)</f>
        <v>0</v>
      </c>
      <c r="H1168" s="18">
        <f>SUMIFS(Despesas!$F:$F,Despesas!$J:$J,"&lt;="&amp;$A1168,Despesas!$L:$L,"&gt;="&amp;$A1168,Despesas!$C:$C,H$1,Despesas!$M:$M,"Mensal")+SUMIFS(Despesas!$F:$F,Despesas!$J:$J,"&lt;="&amp;$A1168,Despesas!$L:$L,"&gt;="&amp;$A1168,Despesas!$C:$C,H$1,Despesas!$M:$M,$B1168)</f>
        <v>0</v>
      </c>
      <c r="I1168" s="18">
        <f>IF(Imóveis!$F$2="PRICE",IF(AND(Dados!$A1168&gt;=Imóveis!$Q$2,Dados!$A1168&lt;=Imóveis!$T$2),Imóveis!$U$2,0),IF((IF(AND(Dados!$A1168&gt;=Imóveis!$Q$2,Dados!$A1168&lt;=Imóveis!$T$2),Imóveis!$S$2-(DATEDIF(Imóveis!$Q$2,Dados!$A1168,"m")),0))=0,0,((Imóveis!$N$2/Imóveis!$S$2)+((Imóveis!$N$2-((Imóveis!$S$2-(IF(AND(Dados!$A1168&gt;=Imóveis!$Q$2,Dados!$A1168&lt;=Imóveis!$T$2),Imóveis!$S$2-(DATEDIF(Imóveis!$Q$2,Dados!$A1168,"m")),)))*(Imóveis!$N$2/Imóveis!$S$2)))*Imóveis!$P$2))))*IF(AND(Imóveis!$E$2&gt;0,Dados!$A1168&gt;Imóveis!$E$2),0,1)</f>
        <v>0</v>
      </c>
      <c r="J1168" s="18">
        <f>IF(Imóveis!$F$3="PRICE",IF(AND(Dados!$A1168&gt;=Imóveis!$Q$3,Dados!$A1168&lt;=Imóveis!$T$3),Imóveis!$U$3,0),IF((IF(AND(Dados!$A1168&gt;=Imóveis!$Q$3,Dados!$A1168&lt;=Imóveis!$T$3),Imóveis!$S$3-(DATEDIF(Imóveis!$Q$3,Dados!$A1168,"m")),0))=0,0,((Imóveis!$N$3/Imóveis!$S$3)+((Imóveis!$N$3-((Imóveis!$S$3-(IF(AND(Dados!$A1168&gt;=Imóveis!$Q$3,Dados!$A1168&lt;=Imóveis!$T$3),Imóveis!$S$3-(DATEDIF(Imóveis!$Q$3,Dados!$A1168,"m")),)))*(Imóveis!$N$3/Imóveis!$S$3)))*Imóveis!$P$3))))*IF(AND(Imóveis!$E$3&gt;0,Dados!$A1168&gt;Imóveis!$E$3),0,1)</f>
        <v>0</v>
      </c>
      <c r="K1168" s="18">
        <f>IF(Imóveis!$F$4="PRICE",IF(AND(Dados!$A1168&gt;=Imóveis!$Q$4,Dados!$A1168&lt;=Imóveis!$T$4),Imóveis!$U$4,0),IF((IF(AND(Dados!$A1168&gt;=Imóveis!$Q$4,Dados!$A1168&lt;=Imóveis!$T$4),Imóveis!$S$4-(DATEDIF(Imóveis!$Q$4,Dados!$A1168,"m")),0))=0,0,((Imóveis!$N$4/Imóveis!$S$4)+((Imóveis!$N$4-((Imóveis!$S$4-(IF(AND(Dados!$A1168&gt;=Imóveis!$Q$4,Dados!$A1168&lt;=Imóveis!$T$4),Imóveis!$S$4-(DATEDIF(Imóveis!$Q$4,Dados!$A1168,"m")),)))*(Imóveis!$N$4/Imóveis!$S$4)))*Imóveis!$P$4))))*IF(AND(Imóveis!$E$4&gt;0,Dados!$A1168&gt;Imóveis!$E$4),0,1)</f>
        <v>0</v>
      </c>
      <c r="L1168" s="18">
        <f>IF(Imóveis!$F$5="PRICE",IF(AND(Dados!$A1168&gt;=Imóveis!$Q$5,Dados!$A1168&lt;=Imóveis!$T$5),Imóveis!$U$5,0),IF((IF(AND(Dados!$A1168&gt;=Imóveis!$Q$5,Dados!$A1168&lt;=Imóveis!$T$5),Imóveis!$S$5-(DATEDIF(Imóveis!$Q$5,Dados!$A1168,"m")),0))=0,0,((Imóveis!$N$5/Imóveis!$S$5)+((Imóveis!$N$5-((Imóveis!$S$5-(IF(AND(Dados!$A1168 &gt;=Imóveis!$Q$5,Dados!$A1168&lt;=Imóveis!$T$5),Imóveis!$S$5-(DATEDIF(Imóveis!$Q$5,Dados!$A1168,"m")),)))*(Imóveis!$N$5/Imóveis!$S$5)))*Imóveis!$P$5))))*IF(AND(Imóveis!$E$5&gt;0,Dados!$A1168&gt;Imóveis!$E$5),0,1)*Imóveis!$I$5</f>
        <v>0</v>
      </c>
      <c r="M1168" s="18">
        <f>IF(Imóveis!$F$6="PRICE",IF(AND(Dados!$A1168&gt;=Imóveis!$Q$6,Dados!$A1168&lt;=Imóveis!$T$6),Imóveis!$U$6,0),IF((IF(AND(Dados!$A1168&gt;=Imóveis!$Q$6,Dados!$A1168&lt;=Imóveis!$T$6),Imóveis!$S$6-(DATEDIF(Imóveis!$Q$6,Dados!$A1168,"m")),0))=0,0,((Imóveis!$N$6/Imóveis!$S$6)+((Imóveis!$N$6-((Imóveis!$S$6-(IF(AND(Dados!$A1168&gt;=Imóveis!$Q$6,Dados!$A1168&lt;=Imóveis!$T$6),Imóveis!$S$6-(DATEDIF(Imóveis!$Q$6,Dados!$A1168,"m")),)))*(Imóveis!$N$6/Imóveis!$S$6)))*Imóveis!$P$6))))*IF(AND(Imóveis!$E$6&gt;0,Dados!$A1168&gt;Imóveis!$E$6),0,1)*Imóveis!$I$6</f>
        <v>0</v>
      </c>
      <c r="N1168" s="18">
        <f t="shared" si="149"/>
        <v>0</v>
      </c>
      <c r="O1168" s="18">
        <f>SUMIFS(Receitas!$F:$F,Receitas!$J:$J,"&lt;="&amp;$A1168,Receitas!$L:$L,"&gt;="&amp;$A1168,Receitas!$C:$C,O$1,Receitas!$M:$M,"Mensal")+SUMIFS(Receitas!$F:$F,Receitas!$J:$J,"&lt;="&amp;$A1168,Receitas!$L:$L,"&gt;="&amp;$A1168,Receitas!$C:$C,O$1,Receitas!$M:$M,$B1168)</f>
        <v>0</v>
      </c>
      <c r="P1168" s="18">
        <f>SUMIFS(Receitas!$F:$F,Receitas!$J:$J,"&lt;="&amp;$A1168,Receitas!$L:$L,"&gt;="&amp;$A1168,Receitas!$C:$C,P$1,Receitas!$M:$M,"Mensal")+SUMIFS(Receitas!$F:$F,Receitas!$J:$J,"&lt;="&amp;$A1168,Receitas!$L:$L,"&gt;="&amp;$A1168,Receitas!$C:$C,P$1,Receitas!$M:$M,$B1168)</f>
        <v>0</v>
      </c>
      <c r="Q1168" s="18">
        <f>SUMIFS(Receitas!$F:$F,Receitas!$J:$J,"&lt;="&amp;$A1168,Receitas!$L:$L,"&gt;="&amp;$A1168,Receitas!$C:$C,Q$1,Receitas!$M:$M,"Mensal")+SUMIFS(Receitas!$F:$F,Receitas!$J:$J,"&lt;="&amp;$A1168,Receitas!$L:$L,"&gt;="&amp;$A1168,Receitas!$C:$C,Q$1,Receitas!$M:$M,$B1168)</f>
        <v>0</v>
      </c>
      <c r="R1168" s="18" cm="1">
        <f t="array" ref="R1168">(IF(AND(Membros!$F$2="Sim",A1168&lt;=MAX(Membros!$E$2:$E$5)),Membros!K$2,IF(AND(A1168&gt;=Membros!J$2,A1168&lt;=MAX(Membros!$E$2:$E$5)),Membros!K$2,0))+IF(AND(Membros!$F$3="Sim",A1168&lt;=MAX(Membros!$E$2:$E$5)),Membros!K$3,IF(AND(A1168&gt;=Membros!J$3,A1168&lt;=MAX(Membros!$E$2:$E$5)),Membros!K$3,0)))*IF(AND(COUNTIFS(Tabela3[Tipo],"Provedor",Tabela3[Simulação Seguro],"Sim")=2,A1168&gt;=MAX(IF(Tabela3[Tipo]="Dependente",Tabela3[Expectativa de Vida (Data)]))),0,1)</f>
        <v>0</v>
      </c>
      <c r="S1168" s="18">
        <f t="shared" si="150"/>
        <v>0</v>
      </c>
      <c r="U1168" s="18">
        <f t="shared" ca="1" si="153"/>
        <v>213675295.04569089</v>
      </c>
      <c r="V1168" s="18">
        <f>SUMIF(Imóveis!E:E,Dados!A:A,Imóveis!Z:Z)-SUMIF(Imóveis!E:E,Dados!A:A,Imóveis!Y:Y)</f>
        <v>0</v>
      </c>
      <c r="W1168" s="18">
        <f>-SUMIF(Projetos!N:N,A1168,Projetos!F:F)</f>
        <v>0</v>
      </c>
      <c r="X1168" s="18">
        <f t="shared" si="147"/>
        <v>0</v>
      </c>
      <c r="Y1168" s="26">
        <f ca="1">(U1168*((Indicadores_Economicos!D$2+1)^(1/12)-1))</f>
        <v>699517.31386416894</v>
      </c>
      <c r="Z1168" s="18">
        <f t="shared" ca="1" si="151"/>
        <v>214374812.35955507</v>
      </c>
      <c r="AA1168" s="18">
        <f ca="1">Auxiliar_Projetos!E1168</f>
        <v>1.7671296890447487E-8</v>
      </c>
      <c r="AB1168" s="18">
        <f ca="1">Auxiliar_Projetos!K1168</f>
        <v>1.3593305300344199E-8</v>
      </c>
      <c r="AC1168" s="18">
        <f ca="1">IF(Z1168-AA1168-AB1168&gt;Investimentos!$C$14,Investimentos!$C$14,IF(Z1168-AA1168-AB1168&lt;Investimentos!$C$14,Z1168-AA1168-AB1168,0))</f>
        <v>300000</v>
      </c>
      <c r="AD1168" s="18">
        <f t="shared" ca="1" si="152"/>
        <v>214074812.35955504</v>
      </c>
      <c r="AE1168" s="18"/>
    </row>
    <row r="1169" spans="1:31" x14ac:dyDescent="0.2">
      <c r="A1169" s="4">
        <v>81176</v>
      </c>
      <c r="B1169" s="5" t="str">
        <f t="shared" si="148"/>
        <v>abril</v>
      </c>
      <c r="C1169" s="5" t="str">
        <f t="shared" si="146"/>
        <v>2122</v>
      </c>
      <c r="D1169" s="5">
        <f>SUMIFS(Despesas!$F:$F,Despesas!$J:$J,"&lt;="&amp;$A1169,Despesas!$L:$L,"&gt;="&amp;$A1169,Despesas!$C:$C,D$1,Despesas!$M:$M,"Mensal")+SUMIFS(Despesas!$F:$F,Despesas!$J:$J,"&lt;="&amp;$A1169,Despesas!$L:$L,"&gt;="&amp;$A1169,Despesas!$C:$C,D$1,Despesas!$M:$M,$B1169)</f>
        <v>0</v>
      </c>
      <c r="E1169" s="18">
        <f>SUMIFS(Despesas!$F:$F,Despesas!$J:$J,"&lt;="&amp;$A1169,Despesas!$L:$L,"&gt;="&amp;$A1169,Despesas!$C:$C,E$1,Despesas!$M:$M,"Mensal")+SUMIFS(Despesas!$F:$F,Despesas!$J:$J,"&lt;="&amp;$A1169,Despesas!$L:$L,"&gt;="&amp;$A1169,Despesas!$C:$C,E$1,Despesas!$M:$M,$B1169)</f>
        <v>0</v>
      </c>
      <c r="F1169" s="5">
        <f>SUMIFS(Despesas!$F:$F,Despesas!$J:$J,"&lt;="&amp;$A1169,Despesas!$L:$L,"&gt;="&amp;$A1169,Despesas!$C:$C,F$1,Despesas!$M:$M,"Mensal")+SUMIFS(Despesas!$F:$F,Despesas!$J:$J,"&lt;="&amp;$A1169,Despesas!$L:$L,"&gt;="&amp;$A1169,Despesas!$C:$C,F$1,Despesas!$M:$M,$B1169)</f>
        <v>0</v>
      </c>
      <c r="G1169" s="5">
        <f>SUMIFS(Despesas!$F:$F,Despesas!$J:$J,"&lt;="&amp;$A1169,Despesas!$L:$L,"&gt;="&amp;$A1169,Despesas!$C:$C,G$1,Despesas!$M:$M,"Mensal")+SUMIFS(Despesas!$F:$F,Despesas!$J:$J,"&lt;="&amp;$A1169,Despesas!$L:$L,"&gt;="&amp;$A1169,Despesas!$C:$C,G$1,Despesas!$M:$M,$B1169)</f>
        <v>0</v>
      </c>
      <c r="H1169" s="18">
        <f>SUMIFS(Despesas!$F:$F,Despesas!$J:$J,"&lt;="&amp;$A1169,Despesas!$L:$L,"&gt;="&amp;$A1169,Despesas!$C:$C,H$1,Despesas!$M:$M,"Mensal")+SUMIFS(Despesas!$F:$F,Despesas!$J:$J,"&lt;="&amp;$A1169,Despesas!$L:$L,"&gt;="&amp;$A1169,Despesas!$C:$C,H$1,Despesas!$M:$M,$B1169)</f>
        <v>0</v>
      </c>
      <c r="I1169" s="18">
        <f>IF(Imóveis!$F$2="PRICE",IF(AND(Dados!$A1169&gt;=Imóveis!$Q$2,Dados!$A1169&lt;=Imóveis!$T$2),Imóveis!$U$2,0),IF((IF(AND(Dados!$A1169&gt;=Imóveis!$Q$2,Dados!$A1169&lt;=Imóveis!$T$2),Imóveis!$S$2-(DATEDIF(Imóveis!$Q$2,Dados!$A1169,"m")),0))=0,0,((Imóveis!$N$2/Imóveis!$S$2)+((Imóveis!$N$2-((Imóveis!$S$2-(IF(AND(Dados!$A1169&gt;=Imóveis!$Q$2,Dados!$A1169&lt;=Imóveis!$T$2),Imóveis!$S$2-(DATEDIF(Imóveis!$Q$2,Dados!$A1169,"m")),)))*(Imóveis!$N$2/Imóveis!$S$2)))*Imóveis!$P$2))))*IF(AND(Imóveis!$E$2&gt;0,Dados!$A1169&gt;Imóveis!$E$2),0,1)</f>
        <v>0</v>
      </c>
      <c r="J1169" s="18">
        <f>IF(Imóveis!$F$3="PRICE",IF(AND(Dados!$A1169&gt;=Imóveis!$Q$3,Dados!$A1169&lt;=Imóveis!$T$3),Imóveis!$U$3,0),IF((IF(AND(Dados!$A1169&gt;=Imóveis!$Q$3,Dados!$A1169&lt;=Imóveis!$T$3),Imóveis!$S$3-(DATEDIF(Imóveis!$Q$3,Dados!$A1169,"m")),0))=0,0,((Imóveis!$N$3/Imóveis!$S$3)+((Imóveis!$N$3-((Imóveis!$S$3-(IF(AND(Dados!$A1169&gt;=Imóveis!$Q$3,Dados!$A1169&lt;=Imóveis!$T$3),Imóveis!$S$3-(DATEDIF(Imóveis!$Q$3,Dados!$A1169,"m")),)))*(Imóveis!$N$3/Imóveis!$S$3)))*Imóveis!$P$3))))*IF(AND(Imóveis!$E$3&gt;0,Dados!$A1169&gt;Imóveis!$E$3),0,1)</f>
        <v>0</v>
      </c>
      <c r="K1169" s="18">
        <f>IF(Imóveis!$F$4="PRICE",IF(AND(Dados!$A1169&gt;=Imóveis!$Q$4,Dados!$A1169&lt;=Imóveis!$T$4),Imóveis!$U$4,0),IF((IF(AND(Dados!$A1169&gt;=Imóveis!$Q$4,Dados!$A1169&lt;=Imóveis!$T$4),Imóveis!$S$4-(DATEDIF(Imóveis!$Q$4,Dados!$A1169,"m")),0))=0,0,((Imóveis!$N$4/Imóveis!$S$4)+((Imóveis!$N$4-((Imóveis!$S$4-(IF(AND(Dados!$A1169&gt;=Imóveis!$Q$4,Dados!$A1169&lt;=Imóveis!$T$4),Imóveis!$S$4-(DATEDIF(Imóveis!$Q$4,Dados!$A1169,"m")),)))*(Imóveis!$N$4/Imóveis!$S$4)))*Imóveis!$P$4))))*IF(AND(Imóveis!$E$4&gt;0,Dados!$A1169&gt;Imóveis!$E$4),0,1)</f>
        <v>0</v>
      </c>
      <c r="L1169" s="18">
        <f>IF(Imóveis!$F$5="PRICE",IF(AND(Dados!$A1169&gt;=Imóveis!$Q$5,Dados!$A1169&lt;=Imóveis!$T$5),Imóveis!$U$5,0),IF((IF(AND(Dados!$A1169&gt;=Imóveis!$Q$5,Dados!$A1169&lt;=Imóveis!$T$5),Imóveis!$S$5-(DATEDIF(Imóveis!$Q$5,Dados!$A1169,"m")),0))=0,0,((Imóveis!$N$5/Imóveis!$S$5)+((Imóveis!$N$5-((Imóveis!$S$5-(IF(AND(Dados!$A1169 &gt;=Imóveis!$Q$5,Dados!$A1169&lt;=Imóveis!$T$5),Imóveis!$S$5-(DATEDIF(Imóveis!$Q$5,Dados!$A1169,"m")),)))*(Imóveis!$N$5/Imóveis!$S$5)))*Imóveis!$P$5))))*IF(AND(Imóveis!$E$5&gt;0,Dados!$A1169&gt;Imóveis!$E$5),0,1)*Imóveis!$I$5</f>
        <v>0</v>
      </c>
      <c r="M1169" s="18">
        <f>IF(Imóveis!$F$6="PRICE",IF(AND(Dados!$A1169&gt;=Imóveis!$Q$6,Dados!$A1169&lt;=Imóveis!$T$6),Imóveis!$U$6,0),IF((IF(AND(Dados!$A1169&gt;=Imóveis!$Q$6,Dados!$A1169&lt;=Imóveis!$T$6),Imóveis!$S$6-(DATEDIF(Imóveis!$Q$6,Dados!$A1169,"m")),0))=0,0,((Imóveis!$N$6/Imóveis!$S$6)+((Imóveis!$N$6-((Imóveis!$S$6-(IF(AND(Dados!$A1169&gt;=Imóveis!$Q$6,Dados!$A1169&lt;=Imóveis!$T$6),Imóveis!$S$6-(DATEDIF(Imóveis!$Q$6,Dados!$A1169,"m")),)))*(Imóveis!$N$6/Imóveis!$S$6)))*Imóveis!$P$6))))*IF(AND(Imóveis!$E$6&gt;0,Dados!$A1169&gt;Imóveis!$E$6),0,1)*Imóveis!$I$6</f>
        <v>0</v>
      </c>
      <c r="N1169" s="18">
        <f t="shared" si="149"/>
        <v>0</v>
      </c>
      <c r="O1169" s="18">
        <f>SUMIFS(Receitas!$F:$F,Receitas!$J:$J,"&lt;="&amp;$A1169,Receitas!$L:$L,"&gt;="&amp;$A1169,Receitas!$C:$C,O$1,Receitas!$M:$M,"Mensal")+SUMIFS(Receitas!$F:$F,Receitas!$J:$J,"&lt;="&amp;$A1169,Receitas!$L:$L,"&gt;="&amp;$A1169,Receitas!$C:$C,O$1,Receitas!$M:$M,$B1169)</f>
        <v>0</v>
      </c>
      <c r="P1169" s="18">
        <f>SUMIFS(Receitas!$F:$F,Receitas!$J:$J,"&lt;="&amp;$A1169,Receitas!$L:$L,"&gt;="&amp;$A1169,Receitas!$C:$C,P$1,Receitas!$M:$M,"Mensal")+SUMIFS(Receitas!$F:$F,Receitas!$J:$J,"&lt;="&amp;$A1169,Receitas!$L:$L,"&gt;="&amp;$A1169,Receitas!$C:$C,P$1,Receitas!$M:$M,$B1169)</f>
        <v>0</v>
      </c>
      <c r="Q1169" s="18">
        <f>SUMIFS(Receitas!$F:$F,Receitas!$J:$J,"&lt;="&amp;$A1169,Receitas!$L:$L,"&gt;="&amp;$A1169,Receitas!$C:$C,Q$1,Receitas!$M:$M,"Mensal")+SUMIFS(Receitas!$F:$F,Receitas!$J:$J,"&lt;="&amp;$A1169,Receitas!$L:$L,"&gt;="&amp;$A1169,Receitas!$C:$C,Q$1,Receitas!$M:$M,$B1169)</f>
        <v>0</v>
      </c>
      <c r="R1169" s="18" cm="1">
        <f t="array" ref="R1169">(IF(AND(Membros!$F$2="Sim",A1169&lt;=MAX(Membros!$E$2:$E$5)),Membros!K$2,IF(AND(A1169&gt;=Membros!J$2,A1169&lt;=MAX(Membros!$E$2:$E$5)),Membros!K$2,0))+IF(AND(Membros!$F$3="Sim",A1169&lt;=MAX(Membros!$E$2:$E$5)),Membros!K$3,IF(AND(A1169&gt;=Membros!J$3,A1169&lt;=MAX(Membros!$E$2:$E$5)),Membros!K$3,0)))*IF(AND(COUNTIFS(Tabela3[Tipo],"Provedor",Tabela3[Simulação Seguro],"Sim")=2,A1169&gt;=MAX(IF(Tabela3[Tipo]="Dependente",Tabela3[Expectativa de Vida (Data)]))),0,1)</f>
        <v>0</v>
      </c>
      <c r="S1169" s="18">
        <f t="shared" si="150"/>
        <v>0</v>
      </c>
      <c r="U1169" s="18">
        <f t="shared" ca="1" si="153"/>
        <v>214374812.35955507</v>
      </c>
      <c r="V1169" s="18">
        <f>SUMIF(Imóveis!E:E,Dados!A:A,Imóveis!Z:Z)-SUMIF(Imóveis!E:E,Dados!A:A,Imóveis!Y:Y)</f>
        <v>0</v>
      </c>
      <c r="W1169" s="18">
        <f>-SUMIF(Projetos!N:N,A1169,Projetos!F:F)</f>
        <v>0</v>
      </c>
      <c r="X1169" s="18">
        <f t="shared" si="147"/>
        <v>0</v>
      </c>
      <c r="Y1169" s="26">
        <f ca="1">(U1169*((Indicadores_Economicos!D$2+1)^(1/12)-1))</f>
        <v>701807.35152290296</v>
      </c>
      <c r="Z1169" s="18">
        <f t="shared" ca="1" si="151"/>
        <v>215076619.71107796</v>
      </c>
      <c r="AA1169" s="18">
        <f ca="1">Auxiliar_Projetos!E1169</f>
        <v>1.7729148118080794E-8</v>
      </c>
      <c r="AB1169" s="18">
        <f ca="1">Auxiliar_Projetos!K1169</f>
        <v>1.3637806244677511E-8</v>
      </c>
      <c r="AC1169" s="18">
        <f ca="1">IF(Z1169-AA1169-AB1169&gt;Investimentos!$C$14,Investimentos!$C$14,IF(Z1169-AA1169-AB1169&lt;Investimentos!$C$14,Z1169-AA1169-AB1169,0))</f>
        <v>300000</v>
      </c>
      <c r="AD1169" s="18">
        <f t="shared" ca="1" si="152"/>
        <v>214776619.71107793</v>
      </c>
      <c r="AE1169" s="18"/>
    </row>
    <row r="1170" spans="1:31" x14ac:dyDescent="0.2">
      <c r="A1170" s="4">
        <v>81206</v>
      </c>
      <c r="B1170" s="5" t="str">
        <f t="shared" si="148"/>
        <v>maio</v>
      </c>
      <c r="C1170" s="5" t="str">
        <f t="shared" si="146"/>
        <v>2122</v>
      </c>
      <c r="D1170" s="5">
        <f>SUMIFS(Despesas!$F:$F,Despesas!$J:$J,"&lt;="&amp;$A1170,Despesas!$L:$L,"&gt;="&amp;$A1170,Despesas!$C:$C,D$1,Despesas!$M:$M,"Mensal")+SUMIFS(Despesas!$F:$F,Despesas!$J:$J,"&lt;="&amp;$A1170,Despesas!$L:$L,"&gt;="&amp;$A1170,Despesas!$C:$C,D$1,Despesas!$M:$M,$B1170)</f>
        <v>0</v>
      </c>
      <c r="E1170" s="18">
        <f>SUMIFS(Despesas!$F:$F,Despesas!$J:$J,"&lt;="&amp;$A1170,Despesas!$L:$L,"&gt;="&amp;$A1170,Despesas!$C:$C,E$1,Despesas!$M:$M,"Mensal")+SUMIFS(Despesas!$F:$F,Despesas!$J:$J,"&lt;="&amp;$A1170,Despesas!$L:$L,"&gt;="&amp;$A1170,Despesas!$C:$C,E$1,Despesas!$M:$M,$B1170)</f>
        <v>0</v>
      </c>
      <c r="F1170" s="5">
        <f>SUMIFS(Despesas!$F:$F,Despesas!$J:$J,"&lt;="&amp;$A1170,Despesas!$L:$L,"&gt;="&amp;$A1170,Despesas!$C:$C,F$1,Despesas!$M:$M,"Mensal")+SUMIFS(Despesas!$F:$F,Despesas!$J:$J,"&lt;="&amp;$A1170,Despesas!$L:$L,"&gt;="&amp;$A1170,Despesas!$C:$C,F$1,Despesas!$M:$M,$B1170)</f>
        <v>0</v>
      </c>
      <c r="G1170" s="5">
        <f>SUMIFS(Despesas!$F:$F,Despesas!$J:$J,"&lt;="&amp;$A1170,Despesas!$L:$L,"&gt;="&amp;$A1170,Despesas!$C:$C,G$1,Despesas!$M:$M,"Mensal")+SUMIFS(Despesas!$F:$F,Despesas!$J:$J,"&lt;="&amp;$A1170,Despesas!$L:$L,"&gt;="&amp;$A1170,Despesas!$C:$C,G$1,Despesas!$M:$M,$B1170)</f>
        <v>0</v>
      </c>
      <c r="H1170" s="18">
        <f>SUMIFS(Despesas!$F:$F,Despesas!$J:$J,"&lt;="&amp;$A1170,Despesas!$L:$L,"&gt;="&amp;$A1170,Despesas!$C:$C,H$1,Despesas!$M:$M,"Mensal")+SUMIFS(Despesas!$F:$F,Despesas!$J:$J,"&lt;="&amp;$A1170,Despesas!$L:$L,"&gt;="&amp;$A1170,Despesas!$C:$C,H$1,Despesas!$M:$M,$B1170)</f>
        <v>0</v>
      </c>
      <c r="I1170" s="18">
        <f>IF(Imóveis!$F$2="PRICE",IF(AND(Dados!$A1170&gt;=Imóveis!$Q$2,Dados!$A1170&lt;=Imóveis!$T$2),Imóveis!$U$2,0),IF((IF(AND(Dados!$A1170&gt;=Imóveis!$Q$2,Dados!$A1170&lt;=Imóveis!$T$2),Imóveis!$S$2-(DATEDIF(Imóveis!$Q$2,Dados!$A1170,"m")),0))=0,0,((Imóveis!$N$2/Imóveis!$S$2)+((Imóveis!$N$2-((Imóveis!$S$2-(IF(AND(Dados!$A1170&gt;=Imóveis!$Q$2,Dados!$A1170&lt;=Imóveis!$T$2),Imóveis!$S$2-(DATEDIF(Imóveis!$Q$2,Dados!$A1170,"m")),)))*(Imóveis!$N$2/Imóveis!$S$2)))*Imóveis!$P$2))))*IF(AND(Imóveis!$E$2&gt;0,Dados!$A1170&gt;Imóveis!$E$2),0,1)</f>
        <v>0</v>
      </c>
      <c r="J1170" s="18">
        <f>IF(Imóveis!$F$3="PRICE",IF(AND(Dados!$A1170&gt;=Imóveis!$Q$3,Dados!$A1170&lt;=Imóveis!$T$3),Imóveis!$U$3,0),IF((IF(AND(Dados!$A1170&gt;=Imóveis!$Q$3,Dados!$A1170&lt;=Imóveis!$T$3),Imóveis!$S$3-(DATEDIF(Imóveis!$Q$3,Dados!$A1170,"m")),0))=0,0,((Imóveis!$N$3/Imóveis!$S$3)+((Imóveis!$N$3-((Imóveis!$S$3-(IF(AND(Dados!$A1170&gt;=Imóveis!$Q$3,Dados!$A1170&lt;=Imóveis!$T$3),Imóveis!$S$3-(DATEDIF(Imóveis!$Q$3,Dados!$A1170,"m")),)))*(Imóveis!$N$3/Imóveis!$S$3)))*Imóveis!$P$3))))*IF(AND(Imóveis!$E$3&gt;0,Dados!$A1170&gt;Imóveis!$E$3),0,1)</f>
        <v>0</v>
      </c>
      <c r="K1170" s="18">
        <f>IF(Imóveis!$F$4="PRICE",IF(AND(Dados!$A1170&gt;=Imóveis!$Q$4,Dados!$A1170&lt;=Imóveis!$T$4),Imóveis!$U$4,0),IF((IF(AND(Dados!$A1170&gt;=Imóveis!$Q$4,Dados!$A1170&lt;=Imóveis!$T$4),Imóveis!$S$4-(DATEDIF(Imóveis!$Q$4,Dados!$A1170,"m")),0))=0,0,((Imóveis!$N$4/Imóveis!$S$4)+((Imóveis!$N$4-((Imóveis!$S$4-(IF(AND(Dados!$A1170&gt;=Imóveis!$Q$4,Dados!$A1170&lt;=Imóveis!$T$4),Imóveis!$S$4-(DATEDIF(Imóveis!$Q$4,Dados!$A1170,"m")),)))*(Imóveis!$N$4/Imóveis!$S$4)))*Imóveis!$P$4))))*IF(AND(Imóveis!$E$4&gt;0,Dados!$A1170&gt;Imóveis!$E$4),0,1)</f>
        <v>0</v>
      </c>
      <c r="L1170" s="18">
        <f>IF(Imóveis!$F$5="PRICE",IF(AND(Dados!$A1170&gt;=Imóveis!$Q$5,Dados!$A1170&lt;=Imóveis!$T$5),Imóveis!$U$5,0),IF((IF(AND(Dados!$A1170&gt;=Imóveis!$Q$5,Dados!$A1170&lt;=Imóveis!$T$5),Imóveis!$S$5-(DATEDIF(Imóveis!$Q$5,Dados!$A1170,"m")),0))=0,0,((Imóveis!$N$5/Imóveis!$S$5)+((Imóveis!$N$5-((Imóveis!$S$5-(IF(AND(Dados!$A1170 &gt;=Imóveis!$Q$5,Dados!$A1170&lt;=Imóveis!$T$5),Imóveis!$S$5-(DATEDIF(Imóveis!$Q$5,Dados!$A1170,"m")),)))*(Imóveis!$N$5/Imóveis!$S$5)))*Imóveis!$P$5))))*IF(AND(Imóveis!$E$5&gt;0,Dados!$A1170&gt;Imóveis!$E$5),0,1)*Imóveis!$I$5</f>
        <v>0</v>
      </c>
      <c r="M1170" s="18">
        <f>IF(Imóveis!$F$6="PRICE",IF(AND(Dados!$A1170&gt;=Imóveis!$Q$6,Dados!$A1170&lt;=Imóveis!$T$6),Imóveis!$U$6,0),IF((IF(AND(Dados!$A1170&gt;=Imóveis!$Q$6,Dados!$A1170&lt;=Imóveis!$T$6),Imóveis!$S$6-(DATEDIF(Imóveis!$Q$6,Dados!$A1170,"m")),0))=0,0,((Imóveis!$N$6/Imóveis!$S$6)+((Imóveis!$N$6-((Imóveis!$S$6-(IF(AND(Dados!$A1170&gt;=Imóveis!$Q$6,Dados!$A1170&lt;=Imóveis!$T$6),Imóveis!$S$6-(DATEDIF(Imóveis!$Q$6,Dados!$A1170,"m")),)))*(Imóveis!$N$6/Imóveis!$S$6)))*Imóveis!$P$6))))*IF(AND(Imóveis!$E$6&gt;0,Dados!$A1170&gt;Imóveis!$E$6),0,1)*Imóveis!$I$6</f>
        <v>0</v>
      </c>
      <c r="N1170" s="18">
        <f t="shared" si="149"/>
        <v>0</v>
      </c>
      <c r="O1170" s="18">
        <f>SUMIFS(Receitas!$F:$F,Receitas!$J:$J,"&lt;="&amp;$A1170,Receitas!$L:$L,"&gt;="&amp;$A1170,Receitas!$C:$C,O$1,Receitas!$M:$M,"Mensal")+SUMIFS(Receitas!$F:$F,Receitas!$J:$J,"&lt;="&amp;$A1170,Receitas!$L:$L,"&gt;="&amp;$A1170,Receitas!$C:$C,O$1,Receitas!$M:$M,$B1170)</f>
        <v>0</v>
      </c>
      <c r="P1170" s="18">
        <f>SUMIFS(Receitas!$F:$F,Receitas!$J:$J,"&lt;="&amp;$A1170,Receitas!$L:$L,"&gt;="&amp;$A1170,Receitas!$C:$C,P$1,Receitas!$M:$M,"Mensal")+SUMIFS(Receitas!$F:$F,Receitas!$J:$J,"&lt;="&amp;$A1170,Receitas!$L:$L,"&gt;="&amp;$A1170,Receitas!$C:$C,P$1,Receitas!$M:$M,$B1170)</f>
        <v>0</v>
      </c>
      <c r="Q1170" s="18">
        <f>SUMIFS(Receitas!$F:$F,Receitas!$J:$J,"&lt;="&amp;$A1170,Receitas!$L:$L,"&gt;="&amp;$A1170,Receitas!$C:$C,Q$1,Receitas!$M:$M,"Mensal")+SUMIFS(Receitas!$F:$F,Receitas!$J:$J,"&lt;="&amp;$A1170,Receitas!$L:$L,"&gt;="&amp;$A1170,Receitas!$C:$C,Q$1,Receitas!$M:$M,$B1170)</f>
        <v>0</v>
      </c>
      <c r="R1170" s="18" cm="1">
        <f t="array" ref="R1170">(IF(AND(Membros!$F$2="Sim",A1170&lt;=MAX(Membros!$E$2:$E$5)),Membros!K$2,IF(AND(A1170&gt;=Membros!J$2,A1170&lt;=MAX(Membros!$E$2:$E$5)),Membros!K$2,0))+IF(AND(Membros!$F$3="Sim",A1170&lt;=MAX(Membros!$E$2:$E$5)),Membros!K$3,IF(AND(A1170&gt;=Membros!J$3,A1170&lt;=MAX(Membros!$E$2:$E$5)),Membros!K$3,0)))*IF(AND(COUNTIFS(Tabela3[Tipo],"Provedor",Tabela3[Simulação Seguro],"Sim")=2,A1170&gt;=MAX(IF(Tabela3[Tipo]="Dependente",Tabela3[Expectativa de Vida (Data)]))),0,1)</f>
        <v>0</v>
      </c>
      <c r="S1170" s="18">
        <f t="shared" si="150"/>
        <v>0</v>
      </c>
      <c r="U1170" s="18">
        <f t="shared" ca="1" si="153"/>
        <v>215076619.71107796</v>
      </c>
      <c r="V1170" s="18">
        <f>SUMIF(Imóveis!E:E,Dados!A:A,Imóveis!Z:Z)-SUMIF(Imóveis!E:E,Dados!A:A,Imóveis!Y:Y)</f>
        <v>0</v>
      </c>
      <c r="W1170" s="18">
        <f>-SUMIF(Projetos!N:N,A1170,Projetos!F:F)</f>
        <v>0</v>
      </c>
      <c r="X1170" s="18">
        <f t="shared" si="147"/>
        <v>0</v>
      </c>
      <c r="Y1170" s="26">
        <f ca="1">(U1170*((Indicadores_Economicos!D$2+1)^(1/12)-1))</f>
        <v>704104.88616902311</v>
      </c>
      <c r="Z1170" s="18">
        <f t="shared" ca="1" si="151"/>
        <v>215780724.59724697</v>
      </c>
      <c r="AA1170" s="18">
        <f ca="1">Auxiliar_Projetos!E1170</f>
        <v>1.7787188735579452E-8</v>
      </c>
      <c r="AB1170" s="18">
        <f ca="1">Auxiliar_Projetos!K1170</f>
        <v>1.3682452873522632E-8</v>
      </c>
      <c r="AC1170" s="18">
        <f ca="1">IF(Z1170-AA1170-AB1170&gt;Investimentos!$C$14,Investimentos!$C$14,IF(Z1170-AA1170-AB1170&lt;Investimentos!$C$14,Z1170-AA1170-AB1170,0))</f>
        <v>300000</v>
      </c>
      <c r="AD1170" s="18">
        <f t="shared" ca="1" si="152"/>
        <v>215480724.59724694</v>
      </c>
      <c r="AE1170" s="18"/>
    </row>
    <row r="1171" spans="1:31" x14ac:dyDescent="0.2">
      <c r="A1171" s="4">
        <v>81237</v>
      </c>
      <c r="B1171" s="5" t="str">
        <f t="shared" si="148"/>
        <v>junho</v>
      </c>
      <c r="C1171" s="5" t="str">
        <f t="shared" si="146"/>
        <v>2122</v>
      </c>
      <c r="D1171" s="5">
        <f>SUMIFS(Despesas!$F:$F,Despesas!$J:$J,"&lt;="&amp;$A1171,Despesas!$L:$L,"&gt;="&amp;$A1171,Despesas!$C:$C,D$1,Despesas!$M:$M,"Mensal")+SUMIFS(Despesas!$F:$F,Despesas!$J:$J,"&lt;="&amp;$A1171,Despesas!$L:$L,"&gt;="&amp;$A1171,Despesas!$C:$C,D$1,Despesas!$M:$M,$B1171)</f>
        <v>0</v>
      </c>
      <c r="E1171" s="18">
        <f>SUMIFS(Despesas!$F:$F,Despesas!$J:$J,"&lt;="&amp;$A1171,Despesas!$L:$L,"&gt;="&amp;$A1171,Despesas!$C:$C,E$1,Despesas!$M:$M,"Mensal")+SUMIFS(Despesas!$F:$F,Despesas!$J:$J,"&lt;="&amp;$A1171,Despesas!$L:$L,"&gt;="&amp;$A1171,Despesas!$C:$C,E$1,Despesas!$M:$M,$B1171)</f>
        <v>0</v>
      </c>
      <c r="F1171" s="5">
        <f>SUMIFS(Despesas!$F:$F,Despesas!$J:$J,"&lt;="&amp;$A1171,Despesas!$L:$L,"&gt;="&amp;$A1171,Despesas!$C:$C,F$1,Despesas!$M:$M,"Mensal")+SUMIFS(Despesas!$F:$F,Despesas!$J:$J,"&lt;="&amp;$A1171,Despesas!$L:$L,"&gt;="&amp;$A1171,Despesas!$C:$C,F$1,Despesas!$M:$M,$B1171)</f>
        <v>0</v>
      </c>
      <c r="G1171" s="5">
        <f>SUMIFS(Despesas!$F:$F,Despesas!$J:$J,"&lt;="&amp;$A1171,Despesas!$L:$L,"&gt;="&amp;$A1171,Despesas!$C:$C,G$1,Despesas!$M:$M,"Mensal")+SUMIFS(Despesas!$F:$F,Despesas!$J:$J,"&lt;="&amp;$A1171,Despesas!$L:$L,"&gt;="&amp;$A1171,Despesas!$C:$C,G$1,Despesas!$M:$M,$B1171)</f>
        <v>0</v>
      </c>
      <c r="H1171" s="18">
        <f>SUMIFS(Despesas!$F:$F,Despesas!$J:$J,"&lt;="&amp;$A1171,Despesas!$L:$L,"&gt;="&amp;$A1171,Despesas!$C:$C,H$1,Despesas!$M:$M,"Mensal")+SUMIFS(Despesas!$F:$F,Despesas!$J:$J,"&lt;="&amp;$A1171,Despesas!$L:$L,"&gt;="&amp;$A1171,Despesas!$C:$C,H$1,Despesas!$M:$M,$B1171)</f>
        <v>0</v>
      </c>
      <c r="I1171" s="18">
        <f>IF(Imóveis!$F$2="PRICE",IF(AND(Dados!$A1171&gt;=Imóveis!$Q$2,Dados!$A1171&lt;=Imóveis!$T$2),Imóveis!$U$2,0),IF((IF(AND(Dados!$A1171&gt;=Imóveis!$Q$2,Dados!$A1171&lt;=Imóveis!$T$2),Imóveis!$S$2-(DATEDIF(Imóveis!$Q$2,Dados!$A1171,"m")),0))=0,0,((Imóveis!$N$2/Imóveis!$S$2)+((Imóveis!$N$2-((Imóveis!$S$2-(IF(AND(Dados!$A1171&gt;=Imóveis!$Q$2,Dados!$A1171&lt;=Imóveis!$T$2),Imóveis!$S$2-(DATEDIF(Imóveis!$Q$2,Dados!$A1171,"m")),)))*(Imóveis!$N$2/Imóveis!$S$2)))*Imóveis!$P$2))))*IF(AND(Imóveis!$E$2&gt;0,Dados!$A1171&gt;Imóveis!$E$2),0,1)</f>
        <v>0</v>
      </c>
      <c r="J1171" s="18">
        <f>IF(Imóveis!$F$3="PRICE",IF(AND(Dados!$A1171&gt;=Imóveis!$Q$3,Dados!$A1171&lt;=Imóveis!$T$3),Imóveis!$U$3,0),IF((IF(AND(Dados!$A1171&gt;=Imóveis!$Q$3,Dados!$A1171&lt;=Imóveis!$T$3),Imóveis!$S$3-(DATEDIF(Imóveis!$Q$3,Dados!$A1171,"m")),0))=0,0,((Imóveis!$N$3/Imóveis!$S$3)+((Imóveis!$N$3-((Imóveis!$S$3-(IF(AND(Dados!$A1171&gt;=Imóveis!$Q$3,Dados!$A1171&lt;=Imóveis!$T$3),Imóveis!$S$3-(DATEDIF(Imóveis!$Q$3,Dados!$A1171,"m")),)))*(Imóveis!$N$3/Imóveis!$S$3)))*Imóveis!$P$3))))*IF(AND(Imóveis!$E$3&gt;0,Dados!$A1171&gt;Imóveis!$E$3),0,1)</f>
        <v>0</v>
      </c>
      <c r="K1171" s="18">
        <f>IF(Imóveis!$F$4="PRICE",IF(AND(Dados!$A1171&gt;=Imóveis!$Q$4,Dados!$A1171&lt;=Imóveis!$T$4),Imóveis!$U$4,0),IF((IF(AND(Dados!$A1171&gt;=Imóveis!$Q$4,Dados!$A1171&lt;=Imóveis!$T$4),Imóveis!$S$4-(DATEDIF(Imóveis!$Q$4,Dados!$A1171,"m")),0))=0,0,((Imóveis!$N$4/Imóveis!$S$4)+((Imóveis!$N$4-((Imóveis!$S$4-(IF(AND(Dados!$A1171&gt;=Imóveis!$Q$4,Dados!$A1171&lt;=Imóveis!$T$4),Imóveis!$S$4-(DATEDIF(Imóveis!$Q$4,Dados!$A1171,"m")),)))*(Imóveis!$N$4/Imóveis!$S$4)))*Imóveis!$P$4))))*IF(AND(Imóveis!$E$4&gt;0,Dados!$A1171&gt;Imóveis!$E$4),0,1)</f>
        <v>0</v>
      </c>
      <c r="L1171" s="18">
        <f>IF(Imóveis!$F$5="PRICE",IF(AND(Dados!$A1171&gt;=Imóveis!$Q$5,Dados!$A1171&lt;=Imóveis!$T$5),Imóveis!$U$5,0),IF((IF(AND(Dados!$A1171&gt;=Imóveis!$Q$5,Dados!$A1171&lt;=Imóveis!$T$5),Imóveis!$S$5-(DATEDIF(Imóveis!$Q$5,Dados!$A1171,"m")),0))=0,0,((Imóveis!$N$5/Imóveis!$S$5)+((Imóveis!$N$5-((Imóveis!$S$5-(IF(AND(Dados!$A1171 &gt;=Imóveis!$Q$5,Dados!$A1171&lt;=Imóveis!$T$5),Imóveis!$S$5-(DATEDIF(Imóveis!$Q$5,Dados!$A1171,"m")),)))*(Imóveis!$N$5/Imóveis!$S$5)))*Imóveis!$P$5))))*IF(AND(Imóveis!$E$5&gt;0,Dados!$A1171&gt;Imóveis!$E$5),0,1)*Imóveis!$I$5</f>
        <v>0</v>
      </c>
      <c r="M1171" s="18">
        <f>IF(Imóveis!$F$6="PRICE",IF(AND(Dados!$A1171&gt;=Imóveis!$Q$6,Dados!$A1171&lt;=Imóveis!$T$6),Imóveis!$U$6,0),IF((IF(AND(Dados!$A1171&gt;=Imóveis!$Q$6,Dados!$A1171&lt;=Imóveis!$T$6),Imóveis!$S$6-(DATEDIF(Imóveis!$Q$6,Dados!$A1171,"m")),0))=0,0,((Imóveis!$N$6/Imóveis!$S$6)+((Imóveis!$N$6-((Imóveis!$S$6-(IF(AND(Dados!$A1171&gt;=Imóveis!$Q$6,Dados!$A1171&lt;=Imóveis!$T$6),Imóveis!$S$6-(DATEDIF(Imóveis!$Q$6,Dados!$A1171,"m")),)))*(Imóveis!$N$6/Imóveis!$S$6)))*Imóveis!$P$6))))*IF(AND(Imóveis!$E$6&gt;0,Dados!$A1171&gt;Imóveis!$E$6),0,1)*Imóveis!$I$6</f>
        <v>0</v>
      </c>
      <c r="N1171" s="18">
        <f t="shared" si="149"/>
        <v>0</v>
      </c>
      <c r="O1171" s="18">
        <f>SUMIFS(Receitas!$F:$F,Receitas!$J:$J,"&lt;="&amp;$A1171,Receitas!$L:$L,"&gt;="&amp;$A1171,Receitas!$C:$C,O$1,Receitas!$M:$M,"Mensal")+SUMIFS(Receitas!$F:$F,Receitas!$J:$J,"&lt;="&amp;$A1171,Receitas!$L:$L,"&gt;="&amp;$A1171,Receitas!$C:$C,O$1,Receitas!$M:$M,$B1171)</f>
        <v>0</v>
      </c>
      <c r="P1171" s="18">
        <f>SUMIFS(Receitas!$F:$F,Receitas!$J:$J,"&lt;="&amp;$A1171,Receitas!$L:$L,"&gt;="&amp;$A1171,Receitas!$C:$C,P$1,Receitas!$M:$M,"Mensal")+SUMIFS(Receitas!$F:$F,Receitas!$J:$J,"&lt;="&amp;$A1171,Receitas!$L:$L,"&gt;="&amp;$A1171,Receitas!$C:$C,P$1,Receitas!$M:$M,$B1171)</f>
        <v>0</v>
      </c>
      <c r="Q1171" s="18">
        <f>SUMIFS(Receitas!$F:$F,Receitas!$J:$J,"&lt;="&amp;$A1171,Receitas!$L:$L,"&gt;="&amp;$A1171,Receitas!$C:$C,Q$1,Receitas!$M:$M,"Mensal")+SUMIFS(Receitas!$F:$F,Receitas!$J:$J,"&lt;="&amp;$A1171,Receitas!$L:$L,"&gt;="&amp;$A1171,Receitas!$C:$C,Q$1,Receitas!$M:$M,$B1171)</f>
        <v>0</v>
      </c>
      <c r="R1171" s="18" cm="1">
        <f t="array" ref="R1171">(IF(AND(Membros!$F$2="Sim",A1171&lt;=MAX(Membros!$E$2:$E$5)),Membros!K$2,IF(AND(A1171&gt;=Membros!J$2,A1171&lt;=MAX(Membros!$E$2:$E$5)),Membros!K$2,0))+IF(AND(Membros!$F$3="Sim",A1171&lt;=MAX(Membros!$E$2:$E$5)),Membros!K$3,IF(AND(A1171&gt;=Membros!J$3,A1171&lt;=MAX(Membros!$E$2:$E$5)),Membros!K$3,0)))*IF(AND(COUNTIFS(Tabela3[Tipo],"Provedor",Tabela3[Simulação Seguro],"Sim")=2,A1171&gt;=MAX(IF(Tabela3[Tipo]="Dependente",Tabela3[Expectativa de Vida (Data)]))),0,1)</f>
        <v>0</v>
      </c>
      <c r="S1171" s="18">
        <f t="shared" si="150"/>
        <v>0</v>
      </c>
      <c r="U1171" s="18">
        <f t="shared" ca="1" si="153"/>
        <v>215780724.59724697</v>
      </c>
      <c r="V1171" s="18">
        <f>SUMIF(Imóveis!E:E,Dados!A:A,Imóveis!Z:Z)-SUMIF(Imóveis!E:E,Dados!A:A,Imóveis!Y:Y)</f>
        <v>0</v>
      </c>
      <c r="W1171" s="18">
        <f>-SUMIF(Projetos!N:N,A1171,Projetos!F:F)</f>
        <v>0</v>
      </c>
      <c r="X1171" s="18">
        <f t="shared" si="147"/>
        <v>0</v>
      </c>
      <c r="Y1171" s="26">
        <f ca="1">(U1171*((Indicadores_Economicos!D$2+1)^(1/12)-1))</f>
        <v>706409.94234571524</v>
      </c>
      <c r="Z1171" s="18">
        <f t="shared" ca="1" si="151"/>
        <v>216487134.53959268</v>
      </c>
      <c r="AA1171" s="18">
        <f ca="1">Auxiliar_Projetos!E1171</f>
        <v>1.7845419362956599E-8</v>
      </c>
      <c r="AB1171" s="18">
        <f ca="1">Auxiliar_Projetos!K1171</f>
        <v>1.3727245663812744E-8</v>
      </c>
      <c r="AC1171" s="18">
        <f ca="1">IF(Z1171-AA1171-AB1171&gt;Investimentos!$C$14,Investimentos!$C$14,IF(Z1171-AA1171-AB1171&lt;Investimentos!$C$14,Z1171-AA1171-AB1171,0))</f>
        <v>300000</v>
      </c>
      <c r="AD1171" s="18">
        <f t="shared" ca="1" si="152"/>
        <v>216187134.53959265</v>
      </c>
      <c r="AE1171" s="18"/>
    </row>
    <row r="1172" spans="1:31" x14ac:dyDescent="0.2">
      <c r="A1172" s="4">
        <v>81267</v>
      </c>
      <c r="B1172" s="5" t="str">
        <f t="shared" si="148"/>
        <v>julho</v>
      </c>
      <c r="C1172" s="5" t="str">
        <f t="shared" si="146"/>
        <v>2122</v>
      </c>
      <c r="D1172" s="5">
        <f>SUMIFS(Despesas!$F:$F,Despesas!$J:$J,"&lt;="&amp;$A1172,Despesas!$L:$L,"&gt;="&amp;$A1172,Despesas!$C:$C,D$1,Despesas!$M:$M,"Mensal")+SUMIFS(Despesas!$F:$F,Despesas!$J:$J,"&lt;="&amp;$A1172,Despesas!$L:$L,"&gt;="&amp;$A1172,Despesas!$C:$C,D$1,Despesas!$M:$M,$B1172)</f>
        <v>0</v>
      </c>
      <c r="E1172" s="18">
        <f>SUMIFS(Despesas!$F:$F,Despesas!$J:$J,"&lt;="&amp;$A1172,Despesas!$L:$L,"&gt;="&amp;$A1172,Despesas!$C:$C,E$1,Despesas!$M:$M,"Mensal")+SUMIFS(Despesas!$F:$F,Despesas!$J:$J,"&lt;="&amp;$A1172,Despesas!$L:$L,"&gt;="&amp;$A1172,Despesas!$C:$C,E$1,Despesas!$M:$M,$B1172)</f>
        <v>0</v>
      </c>
      <c r="F1172" s="5">
        <f>SUMIFS(Despesas!$F:$F,Despesas!$J:$J,"&lt;="&amp;$A1172,Despesas!$L:$L,"&gt;="&amp;$A1172,Despesas!$C:$C,F$1,Despesas!$M:$M,"Mensal")+SUMIFS(Despesas!$F:$F,Despesas!$J:$J,"&lt;="&amp;$A1172,Despesas!$L:$L,"&gt;="&amp;$A1172,Despesas!$C:$C,F$1,Despesas!$M:$M,$B1172)</f>
        <v>0</v>
      </c>
      <c r="G1172" s="5">
        <f>SUMIFS(Despesas!$F:$F,Despesas!$J:$J,"&lt;="&amp;$A1172,Despesas!$L:$L,"&gt;="&amp;$A1172,Despesas!$C:$C,G$1,Despesas!$M:$M,"Mensal")+SUMIFS(Despesas!$F:$F,Despesas!$J:$J,"&lt;="&amp;$A1172,Despesas!$L:$L,"&gt;="&amp;$A1172,Despesas!$C:$C,G$1,Despesas!$M:$M,$B1172)</f>
        <v>0</v>
      </c>
      <c r="H1172" s="18">
        <f>SUMIFS(Despesas!$F:$F,Despesas!$J:$J,"&lt;="&amp;$A1172,Despesas!$L:$L,"&gt;="&amp;$A1172,Despesas!$C:$C,H$1,Despesas!$M:$M,"Mensal")+SUMIFS(Despesas!$F:$F,Despesas!$J:$J,"&lt;="&amp;$A1172,Despesas!$L:$L,"&gt;="&amp;$A1172,Despesas!$C:$C,H$1,Despesas!$M:$M,$B1172)</f>
        <v>0</v>
      </c>
      <c r="I1172" s="18">
        <f>IF(Imóveis!$F$2="PRICE",IF(AND(Dados!$A1172&gt;=Imóveis!$Q$2,Dados!$A1172&lt;=Imóveis!$T$2),Imóveis!$U$2,0),IF((IF(AND(Dados!$A1172&gt;=Imóveis!$Q$2,Dados!$A1172&lt;=Imóveis!$T$2),Imóveis!$S$2-(DATEDIF(Imóveis!$Q$2,Dados!$A1172,"m")),0))=0,0,((Imóveis!$N$2/Imóveis!$S$2)+((Imóveis!$N$2-((Imóveis!$S$2-(IF(AND(Dados!$A1172&gt;=Imóveis!$Q$2,Dados!$A1172&lt;=Imóveis!$T$2),Imóveis!$S$2-(DATEDIF(Imóveis!$Q$2,Dados!$A1172,"m")),)))*(Imóveis!$N$2/Imóveis!$S$2)))*Imóveis!$P$2))))*IF(AND(Imóveis!$E$2&gt;0,Dados!$A1172&gt;Imóveis!$E$2),0,1)</f>
        <v>0</v>
      </c>
      <c r="J1172" s="18">
        <f>IF(Imóveis!$F$3="PRICE",IF(AND(Dados!$A1172&gt;=Imóveis!$Q$3,Dados!$A1172&lt;=Imóveis!$T$3),Imóveis!$U$3,0),IF((IF(AND(Dados!$A1172&gt;=Imóveis!$Q$3,Dados!$A1172&lt;=Imóveis!$T$3),Imóveis!$S$3-(DATEDIF(Imóveis!$Q$3,Dados!$A1172,"m")),0))=0,0,((Imóveis!$N$3/Imóveis!$S$3)+((Imóveis!$N$3-((Imóveis!$S$3-(IF(AND(Dados!$A1172&gt;=Imóveis!$Q$3,Dados!$A1172&lt;=Imóveis!$T$3),Imóveis!$S$3-(DATEDIF(Imóveis!$Q$3,Dados!$A1172,"m")),)))*(Imóveis!$N$3/Imóveis!$S$3)))*Imóveis!$P$3))))*IF(AND(Imóveis!$E$3&gt;0,Dados!$A1172&gt;Imóveis!$E$3),0,1)</f>
        <v>0</v>
      </c>
      <c r="K1172" s="18">
        <f>IF(Imóveis!$F$4="PRICE",IF(AND(Dados!$A1172&gt;=Imóveis!$Q$4,Dados!$A1172&lt;=Imóveis!$T$4),Imóveis!$U$4,0),IF((IF(AND(Dados!$A1172&gt;=Imóveis!$Q$4,Dados!$A1172&lt;=Imóveis!$T$4),Imóveis!$S$4-(DATEDIF(Imóveis!$Q$4,Dados!$A1172,"m")),0))=0,0,((Imóveis!$N$4/Imóveis!$S$4)+((Imóveis!$N$4-((Imóveis!$S$4-(IF(AND(Dados!$A1172&gt;=Imóveis!$Q$4,Dados!$A1172&lt;=Imóveis!$T$4),Imóveis!$S$4-(DATEDIF(Imóveis!$Q$4,Dados!$A1172,"m")),)))*(Imóveis!$N$4/Imóveis!$S$4)))*Imóveis!$P$4))))*IF(AND(Imóveis!$E$4&gt;0,Dados!$A1172&gt;Imóveis!$E$4),0,1)</f>
        <v>0</v>
      </c>
      <c r="L1172" s="18">
        <f>IF(Imóveis!$F$5="PRICE",IF(AND(Dados!$A1172&gt;=Imóveis!$Q$5,Dados!$A1172&lt;=Imóveis!$T$5),Imóveis!$U$5,0),IF((IF(AND(Dados!$A1172&gt;=Imóveis!$Q$5,Dados!$A1172&lt;=Imóveis!$T$5),Imóveis!$S$5-(DATEDIF(Imóveis!$Q$5,Dados!$A1172,"m")),0))=0,0,((Imóveis!$N$5/Imóveis!$S$5)+((Imóveis!$N$5-((Imóveis!$S$5-(IF(AND(Dados!$A1172 &gt;=Imóveis!$Q$5,Dados!$A1172&lt;=Imóveis!$T$5),Imóveis!$S$5-(DATEDIF(Imóveis!$Q$5,Dados!$A1172,"m")),)))*(Imóveis!$N$5/Imóveis!$S$5)))*Imóveis!$P$5))))*IF(AND(Imóveis!$E$5&gt;0,Dados!$A1172&gt;Imóveis!$E$5),0,1)*Imóveis!$I$5</f>
        <v>0</v>
      </c>
      <c r="M1172" s="18">
        <f>IF(Imóveis!$F$6="PRICE",IF(AND(Dados!$A1172&gt;=Imóveis!$Q$6,Dados!$A1172&lt;=Imóveis!$T$6),Imóveis!$U$6,0),IF((IF(AND(Dados!$A1172&gt;=Imóveis!$Q$6,Dados!$A1172&lt;=Imóveis!$T$6),Imóveis!$S$6-(DATEDIF(Imóveis!$Q$6,Dados!$A1172,"m")),0))=0,0,((Imóveis!$N$6/Imóveis!$S$6)+((Imóveis!$N$6-((Imóveis!$S$6-(IF(AND(Dados!$A1172&gt;=Imóveis!$Q$6,Dados!$A1172&lt;=Imóveis!$T$6),Imóveis!$S$6-(DATEDIF(Imóveis!$Q$6,Dados!$A1172,"m")),)))*(Imóveis!$N$6/Imóveis!$S$6)))*Imóveis!$P$6))))*IF(AND(Imóveis!$E$6&gt;0,Dados!$A1172&gt;Imóveis!$E$6),0,1)*Imóveis!$I$6</f>
        <v>0</v>
      </c>
      <c r="N1172" s="18">
        <f t="shared" si="149"/>
        <v>0</v>
      </c>
      <c r="O1172" s="18">
        <f>SUMIFS(Receitas!$F:$F,Receitas!$J:$J,"&lt;="&amp;$A1172,Receitas!$L:$L,"&gt;="&amp;$A1172,Receitas!$C:$C,O$1,Receitas!$M:$M,"Mensal")+SUMIFS(Receitas!$F:$F,Receitas!$J:$J,"&lt;="&amp;$A1172,Receitas!$L:$L,"&gt;="&amp;$A1172,Receitas!$C:$C,O$1,Receitas!$M:$M,$B1172)</f>
        <v>0</v>
      </c>
      <c r="P1172" s="18">
        <f>SUMIFS(Receitas!$F:$F,Receitas!$J:$J,"&lt;="&amp;$A1172,Receitas!$L:$L,"&gt;="&amp;$A1172,Receitas!$C:$C,P$1,Receitas!$M:$M,"Mensal")+SUMIFS(Receitas!$F:$F,Receitas!$J:$J,"&lt;="&amp;$A1172,Receitas!$L:$L,"&gt;="&amp;$A1172,Receitas!$C:$C,P$1,Receitas!$M:$M,$B1172)</f>
        <v>0</v>
      </c>
      <c r="Q1172" s="18">
        <f>SUMIFS(Receitas!$F:$F,Receitas!$J:$J,"&lt;="&amp;$A1172,Receitas!$L:$L,"&gt;="&amp;$A1172,Receitas!$C:$C,Q$1,Receitas!$M:$M,"Mensal")+SUMIFS(Receitas!$F:$F,Receitas!$J:$J,"&lt;="&amp;$A1172,Receitas!$L:$L,"&gt;="&amp;$A1172,Receitas!$C:$C,Q$1,Receitas!$M:$M,$B1172)</f>
        <v>0</v>
      </c>
      <c r="R1172" s="18" cm="1">
        <f t="array" ref="R1172">(IF(AND(Membros!$F$2="Sim",A1172&lt;=MAX(Membros!$E$2:$E$5)),Membros!K$2,IF(AND(A1172&gt;=Membros!J$2,A1172&lt;=MAX(Membros!$E$2:$E$5)),Membros!K$2,0))+IF(AND(Membros!$F$3="Sim",A1172&lt;=MAX(Membros!$E$2:$E$5)),Membros!K$3,IF(AND(A1172&gt;=Membros!J$3,A1172&lt;=MAX(Membros!$E$2:$E$5)),Membros!K$3,0)))*IF(AND(COUNTIFS(Tabela3[Tipo],"Provedor",Tabela3[Simulação Seguro],"Sim")=2,A1172&gt;=MAX(IF(Tabela3[Tipo]="Dependente",Tabela3[Expectativa de Vida (Data)]))),0,1)</f>
        <v>0</v>
      </c>
      <c r="S1172" s="18">
        <f t="shared" si="150"/>
        <v>0</v>
      </c>
      <c r="U1172" s="18">
        <f t="shared" ca="1" si="153"/>
        <v>216487134.53959268</v>
      </c>
      <c r="V1172" s="18">
        <f>SUMIF(Imóveis!E:E,Dados!A:A,Imóveis!Z:Z)-SUMIF(Imóveis!E:E,Dados!A:A,Imóveis!Y:Y)</f>
        <v>0</v>
      </c>
      <c r="W1172" s="18">
        <f>-SUMIF(Projetos!N:N,A1172,Projetos!F:F)</f>
        <v>0</v>
      </c>
      <c r="X1172" s="18">
        <f t="shared" si="147"/>
        <v>0</v>
      </c>
      <c r="Y1172" s="26">
        <f ca="1">(U1172*((Indicadores_Economicos!D$2+1)^(1/12)-1))</f>
        <v>708722.54467651329</v>
      </c>
      <c r="Z1172" s="18">
        <f t="shared" ca="1" si="151"/>
        <v>217195857.0842692</v>
      </c>
      <c r="AA1172" s="18">
        <f ca="1">Auxiliar_Projetos!E1172</f>
        <v>1.7903840622255134E-8</v>
      </c>
      <c r="AB1172" s="18">
        <f ca="1">Auxiliar_Projetos!K1172</f>
        <v>1.3772185094042386E-8</v>
      </c>
      <c r="AC1172" s="18">
        <f ca="1">IF(Z1172-AA1172-AB1172&gt;Investimentos!$C$14,Investimentos!$C$14,IF(Z1172-AA1172-AB1172&lt;Investimentos!$C$14,Z1172-AA1172-AB1172,0))</f>
        <v>300000</v>
      </c>
      <c r="AD1172" s="18">
        <f t="shared" ca="1" si="152"/>
        <v>216895857.08426917</v>
      </c>
      <c r="AE1172" s="18"/>
    </row>
    <row r="1173" spans="1:31" x14ac:dyDescent="0.2">
      <c r="A1173" s="4">
        <v>81298</v>
      </c>
      <c r="B1173" s="5" t="str">
        <f t="shared" si="148"/>
        <v>agosto</v>
      </c>
      <c r="C1173" s="5" t="str">
        <f t="shared" si="146"/>
        <v>2122</v>
      </c>
      <c r="D1173" s="5">
        <f>SUMIFS(Despesas!$F:$F,Despesas!$J:$J,"&lt;="&amp;$A1173,Despesas!$L:$L,"&gt;="&amp;$A1173,Despesas!$C:$C,D$1,Despesas!$M:$M,"Mensal")+SUMIFS(Despesas!$F:$F,Despesas!$J:$J,"&lt;="&amp;$A1173,Despesas!$L:$L,"&gt;="&amp;$A1173,Despesas!$C:$C,D$1,Despesas!$M:$M,$B1173)</f>
        <v>0</v>
      </c>
      <c r="E1173" s="18">
        <f>SUMIFS(Despesas!$F:$F,Despesas!$J:$J,"&lt;="&amp;$A1173,Despesas!$L:$L,"&gt;="&amp;$A1173,Despesas!$C:$C,E$1,Despesas!$M:$M,"Mensal")+SUMIFS(Despesas!$F:$F,Despesas!$J:$J,"&lt;="&amp;$A1173,Despesas!$L:$L,"&gt;="&amp;$A1173,Despesas!$C:$C,E$1,Despesas!$M:$M,$B1173)</f>
        <v>0</v>
      </c>
      <c r="F1173" s="5">
        <f>SUMIFS(Despesas!$F:$F,Despesas!$J:$J,"&lt;="&amp;$A1173,Despesas!$L:$L,"&gt;="&amp;$A1173,Despesas!$C:$C,F$1,Despesas!$M:$M,"Mensal")+SUMIFS(Despesas!$F:$F,Despesas!$J:$J,"&lt;="&amp;$A1173,Despesas!$L:$L,"&gt;="&amp;$A1173,Despesas!$C:$C,F$1,Despesas!$M:$M,$B1173)</f>
        <v>0</v>
      </c>
      <c r="G1173" s="5">
        <f>SUMIFS(Despesas!$F:$F,Despesas!$J:$J,"&lt;="&amp;$A1173,Despesas!$L:$L,"&gt;="&amp;$A1173,Despesas!$C:$C,G$1,Despesas!$M:$M,"Mensal")+SUMIFS(Despesas!$F:$F,Despesas!$J:$J,"&lt;="&amp;$A1173,Despesas!$L:$L,"&gt;="&amp;$A1173,Despesas!$C:$C,G$1,Despesas!$M:$M,$B1173)</f>
        <v>0</v>
      </c>
      <c r="H1173" s="18">
        <f>SUMIFS(Despesas!$F:$F,Despesas!$J:$J,"&lt;="&amp;$A1173,Despesas!$L:$L,"&gt;="&amp;$A1173,Despesas!$C:$C,H$1,Despesas!$M:$M,"Mensal")+SUMIFS(Despesas!$F:$F,Despesas!$J:$J,"&lt;="&amp;$A1173,Despesas!$L:$L,"&gt;="&amp;$A1173,Despesas!$C:$C,H$1,Despesas!$M:$M,$B1173)</f>
        <v>0</v>
      </c>
      <c r="I1173" s="18">
        <f>IF(Imóveis!$F$2="PRICE",IF(AND(Dados!$A1173&gt;=Imóveis!$Q$2,Dados!$A1173&lt;=Imóveis!$T$2),Imóveis!$U$2,0),IF((IF(AND(Dados!$A1173&gt;=Imóveis!$Q$2,Dados!$A1173&lt;=Imóveis!$T$2),Imóveis!$S$2-(DATEDIF(Imóveis!$Q$2,Dados!$A1173,"m")),0))=0,0,((Imóveis!$N$2/Imóveis!$S$2)+((Imóveis!$N$2-((Imóveis!$S$2-(IF(AND(Dados!$A1173&gt;=Imóveis!$Q$2,Dados!$A1173&lt;=Imóveis!$T$2),Imóveis!$S$2-(DATEDIF(Imóveis!$Q$2,Dados!$A1173,"m")),)))*(Imóveis!$N$2/Imóveis!$S$2)))*Imóveis!$P$2))))*IF(AND(Imóveis!$E$2&gt;0,Dados!$A1173&gt;Imóveis!$E$2),0,1)</f>
        <v>0</v>
      </c>
      <c r="J1173" s="18">
        <f>IF(Imóveis!$F$3="PRICE",IF(AND(Dados!$A1173&gt;=Imóveis!$Q$3,Dados!$A1173&lt;=Imóveis!$T$3),Imóveis!$U$3,0),IF((IF(AND(Dados!$A1173&gt;=Imóveis!$Q$3,Dados!$A1173&lt;=Imóveis!$T$3),Imóveis!$S$3-(DATEDIF(Imóveis!$Q$3,Dados!$A1173,"m")),0))=0,0,((Imóveis!$N$3/Imóveis!$S$3)+((Imóveis!$N$3-((Imóveis!$S$3-(IF(AND(Dados!$A1173&gt;=Imóveis!$Q$3,Dados!$A1173&lt;=Imóveis!$T$3),Imóveis!$S$3-(DATEDIF(Imóveis!$Q$3,Dados!$A1173,"m")),)))*(Imóveis!$N$3/Imóveis!$S$3)))*Imóveis!$P$3))))*IF(AND(Imóveis!$E$3&gt;0,Dados!$A1173&gt;Imóveis!$E$3),0,1)</f>
        <v>0</v>
      </c>
      <c r="K1173" s="18">
        <f>IF(Imóveis!$F$4="PRICE",IF(AND(Dados!$A1173&gt;=Imóveis!$Q$4,Dados!$A1173&lt;=Imóveis!$T$4),Imóveis!$U$4,0),IF((IF(AND(Dados!$A1173&gt;=Imóveis!$Q$4,Dados!$A1173&lt;=Imóveis!$T$4),Imóveis!$S$4-(DATEDIF(Imóveis!$Q$4,Dados!$A1173,"m")),0))=0,0,((Imóveis!$N$4/Imóveis!$S$4)+((Imóveis!$N$4-((Imóveis!$S$4-(IF(AND(Dados!$A1173&gt;=Imóveis!$Q$4,Dados!$A1173&lt;=Imóveis!$T$4),Imóveis!$S$4-(DATEDIF(Imóveis!$Q$4,Dados!$A1173,"m")),)))*(Imóveis!$N$4/Imóveis!$S$4)))*Imóveis!$P$4))))*IF(AND(Imóveis!$E$4&gt;0,Dados!$A1173&gt;Imóveis!$E$4),0,1)</f>
        <v>0</v>
      </c>
      <c r="L1173" s="18">
        <f>IF(Imóveis!$F$5="PRICE",IF(AND(Dados!$A1173&gt;=Imóveis!$Q$5,Dados!$A1173&lt;=Imóveis!$T$5),Imóveis!$U$5,0),IF((IF(AND(Dados!$A1173&gt;=Imóveis!$Q$5,Dados!$A1173&lt;=Imóveis!$T$5),Imóveis!$S$5-(DATEDIF(Imóveis!$Q$5,Dados!$A1173,"m")),0))=0,0,((Imóveis!$N$5/Imóveis!$S$5)+((Imóveis!$N$5-((Imóveis!$S$5-(IF(AND(Dados!$A1173 &gt;=Imóveis!$Q$5,Dados!$A1173&lt;=Imóveis!$T$5),Imóveis!$S$5-(DATEDIF(Imóveis!$Q$5,Dados!$A1173,"m")),)))*(Imóveis!$N$5/Imóveis!$S$5)))*Imóveis!$P$5))))*IF(AND(Imóveis!$E$5&gt;0,Dados!$A1173&gt;Imóveis!$E$5),0,1)*Imóveis!$I$5</f>
        <v>0</v>
      </c>
      <c r="M1173" s="18">
        <f>IF(Imóveis!$F$6="PRICE",IF(AND(Dados!$A1173&gt;=Imóveis!$Q$6,Dados!$A1173&lt;=Imóveis!$T$6),Imóveis!$U$6,0),IF((IF(AND(Dados!$A1173&gt;=Imóveis!$Q$6,Dados!$A1173&lt;=Imóveis!$T$6),Imóveis!$S$6-(DATEDIF(Imóveis!$Q$6,Dados!$A1173,"m")),0))=0,0,((Imóveis!$N$6/Imóveis!$S$6)+((Imóveis!$N$6-((Imóveis!$S$6-(IF(AND(Dados!$A1173&gt;=Imóveis!$Q$6,Dados!$A1173&lt;=Imóveis!$T$6),Imóveis!$S$6-(DATEDIF(Imóveis!$Q$6,Dados!$A1173,"m")),)))*(Imóveis!$N$6/Imóveis!$S$6)))*Imóveis!$P$6))))*IF(AND(Imóveis!$E$6&gt;0,Dados!$A1173&gt;Imóveis!$E$6),0,1)*Imóveis!$I$6</f>
        <v>0</v>
      </c>
      <c r="N1173" s="18">
        <f t="shared" si="149"/>
        <v>0</v>
      </c>
      <c r="O1173" s="18">
        <f>SUMIFS(Receitas!$F:$F,Receitas!$J:$J,"&lt;="&amp;$A1173,Receitas!$L:$L,"&gt;="&amp;$A1173,Receitas!$C:$C,O$1,Receitas!$M:$M,"Mensal")+SUMIFS(Receitas!$F:$F,Receitas!$J:$J,"&lt;="&amp;$A1173,Receitas!$L:$L,"&gt;="&amp;$A1173,Receitas!$C:$C,O$1,Receitas!$M:$M,$B1173)</f>
        <v>0</v>
      </c>
      <c r="P1173" s="18">
        <f>SUMIFS(Receitas!$F:$F,Receitas!$J:$J,"&lt;="&amp;$A1173,Receitas!$L:$L,"&gt;="&amp;$A1173,Receitas!$C:$C,P$1,Receitas!$M:$M,"Mensal")+SUMIFS(Receitas!$F:$F,Receitas!$J:$J,"&lt;="&amp;$A1173,Receitas!$L:$L,"&gt;="&amp;$A1173,Receitas!$C:$C,P$1,Receitas!$M:$M,$B1173)</f>
        <v>0</v>
      </c>
      <c r="Q1173" s="18">
        <f>SUMIFS(Receitas!$F:$F,Receitas!$J:$J,"&lt;="&amp;$A1173,Receitas!$L:$L,"&gt;="&amp;$A1173,Receitas!$C:$C,Q$1,Receitas!$M:$M,"Mensal")+SUMIFS(Receitas!$F:$F,Receitas!$J:$J,"&lt;="&amp;$A1173,Receitas!$L:$L,"&gt;="&amp;$A1173,Receitas!$C:$C,Q$1,Receitas!$M:$M,$B1173)</f>
        <v>0</v>
      </c>
      <c r="R1173" s="18" cm="1">
        <f t="array" ref="R1173">(IF(AND(Membros!$F$2="Sim",A1173&lt;=MAX(Membros!$E$2:$E$5)),Membros!K$2,IF(AND(A1173&gt;=Membros!J$2,A1173&lt;=MAX(Membros!$E$2:$E$5)),Membros!K$2,0))+IF(AND(Membros!$F$3="Sim",A1173&lt;=MAX(Membros!$E$2:$E$5)),Membros!K$3,IF(AND(A1173&gt;=Membros!J$3,A1173&lt;=MAX(Membros!$E$2:$E$5)),Membros!K$3,0)))*IF(AND(COUNTIFS(Tabela3[Tipo],"Provedor",Tabela3[Simulação Seguro],"Sim")=2,A1173&gt;=MAX(IF(Tabela3[Tipo]="Dependente",Tabela3[Expectativa de Vida (Data)]))),0,1)</f>
        <v>0</v>
      </c>
      <c r="S1173" s="18">
        <f t="shared" si="150"/>
        <v>0</v>
      </c>
      <c r="U1173" s="18">
        <f t="shared" ca="1" si="153"/>
        <v>217195857.0842692</v>
      </c>
      <c r="V1173" s="18">
        <f>SUMIF(Imóveis!E:E,Dados!A:A,Imóveis!Z:Z)-SUMIF(Imóveis!E:E,Dados!A:A,Imóveis!Y:Y)</f>
        <v>0</v>
      </c>
      <c r="W1173" s="18">
        <f>-SUMIF(Projetos!N:N,A1173,Projetos!F:F)</f>
        <v>0</v>
      </c>
      <c r="X1173" s="18">
        <f t="shared" si="147"/>
        <v>0</v>
      </c>
      <c r="Y1173" s="26">
        <f ca="1">(U1173*((Indicadores_Economicos!D$2+1)^(1/12)-1))</f>
        <v>711042.71786556195</v>
      </c>
      <c r="Z1173" s="18">
        <f t="shared" ca="1" si="151"/>
        <v>217906899.80213475</v>
      </c>
      <c r="AA1173" s="18">
        <f ca="1">Auxiliar_Projetos!E1173</f>
        <v>1.796245313755436E-8</v>
      </c>
      <c r="AB1173" s="18">
        <f ca="1">Auxiliar_Projetos!K1173</f>
        <v>1.3817271644272559E-8</v>
      </c>
      <c r="AC1173" s="18">
        <f ca="1">IF(Z1173-AA1173-AB1173&gt;Investimentos!$C$14,Investimentos!$C$14,IF(Z1173-AA1173-AB1173&lt;Investimentos!$C$14,Z1173-AA1173-AB1173,0))</f>
        <v>300000</v>
      </c>
      <c r="AD1173" s="18">
        <f t="shared" ca="1" si="152"/>
        <v>217606899.80213472</v>
      </c>
      <c r="AE1173" s="18"/>
    </row>
    <row r="1174" spans="1:31" x14ac:dyDescent="0.2">
      <c r="A1174" s="4">
        <v>81329</v>
      </c>
      <c r="B1174" s="5" t="str">
        <f t="shared" si="148"/>
        <v>setembro</v>
      </c>
      <c r="C1174" s="5" t="str">
        <f t="shared" si="146"/>
        <v>2122</v>
      </c>
      <c r="D1174" s="5">
        <f>SUMIFS(Despesas!$F:$F,Despesas!$J:$J,"&lt;="&amp;$A1174,Despesas!$L:$L,"&gt;="&amp;$A1174,Despesas!$C:$C,D$1,Despesas!$M:$M,"Mensal")+SUMIFS(Despesas!$F:$F,Despesas!$J:$J,"&lt;="&amp;$A1174,Despesas!$L:$L,"&gt;="&amp;$A1174,Despesas!$C:$C,D$1,Despesas!$M:$M,$B1174)</f>
        <v>0</v>
      </c>
      <c r="E1174" s="18">
        <f>SUMIFS(Despesas!$F:$F,Despesas!$J:$J,"&lt;="&amp;$A1174,Despesas!$L:$L,"&gt;="&amp;$A1174,Despesas!$C:$C,E$1,Despesas!$M:$M,"Mensal")+SUMIFS(Despesas!$F:$F,Despesas!$J:$J,"&lt;="&amp;$A1174,Despesas!$L:$L,"&gt;="&amp;$A1174,Despesas!$C:$C,E$1,Despesas!$M:$M,$B1174)</f>
        <v>0</v>
      </c>
      <c r="F1174" s="5">
        <f>SUMIFS(Despesas!$F:$F,Despesas!$J:$J,"&lt;="&amp;$A1174,Despesas!$L:$L,"&gt;="&amp;$A1174,Despesas!$C:$C,F$1,Despesas!$M:$M,"Mensal")+SUMIFS(Despesas!$F:$F,Despesas!$J:$J,"&lt;="&amp;$A1174,Despesas!$L:$L,"&gt;="&amp;$A1174,Despesas!$C:$C,F$1,Despesas!$M:$M,$B1174)</f>
        <v>0</v>
      </c>
      <c r="G1174" s="5">
        <f>SUMIFS(Despesas!$F:$F,Despesas!$J:$J,"&lt;="&amp;$A1174,Despesas!$L:$L,"&gt;="&amp;$A1174,Despesas!$C:$C,G$1,Despesas!$M:$M,"Mensal")+SUMIFS(Despesas!$F:$F,Despesas!$J:$J,"&lt;="&amp;$A1174,Despesas!$L:$L,"&gt;="&amp;$A1174,Despesas!$C:$C,G$1,Despesas!$M:$M,$B1174)</f>
        <v>0</v>
      </c>
      <c r="H1174" s="18">
        <f>SUMIFS(Despesas!$F:$F,Despesas!$J:$J,"&lt;="&amp;$A1174,Despesas!$L:$L,"&gt;="&amp;$A1174,Despesas!$C:$C,H$1,Despesas!$M:$M,"Mensal")+SUMIFS(Despesas!$F:$F,Despesas!$J:$J,"&lt;="&amp;$A1174,Despesas!$L:$L,"&gt;="&amp;$A1174,Despesas!$C:$C,H$1,Despesas!$M:$M,$B1174)</f>
        <v>0</v>
      </c>
      <c r="I1174" s="18">
        <f>IF(Imóveis!$F$2="PRICE",IF(AND(Dados!$A1174&gt;=Imóveis!$Q$2,Dados!$A1174&lt;=Imóveis!$T$2),Imóveis!$U$2,0),IF((IF(AND(Dados!$A1174&gt;=Imóveis!$Q$2,Dados!$A1174&lt;=Imóveis!$T$2),Imóveis!$S$2-(DATEDIF(Imóveis!$Q$2,Dados!$A1174,"m")),0))=0,0,((Imóveis!$N$2/Imóveis!$S$2)+((Imóveis!$N$2-((Imóveis!$S$2-(IF(AND(Dados!$A1174&gt;=Imóveis!$Q$2,Dados!$A1174&lt;=Imóveis!$T$2),Imóveis!$S$2-(DATEDIF(Imóveis!$Q$2,Dados!$A1174,"m")),)))*(Imóveis!$N$2/Imóveis!$S$2)))*Imóveis!$P$2))))*IF(AND(Imóveis!$E$2&gt;0,Dados!$A1174&gt;Imóveis!$E$2),0,1)</f>
        <v>0</v>
      </c>
      <c r="J1174" s="18">
        <f>IF(Imóveis!$F$3="PRICE",IF(AND(Dados!$A1174&gt;=Imóveis!$Q$3,Dados!$A1174&lt;=Imóveis!$T$3),Imóveis!$U$3,0),IF((IF(AND(Dados!$A1174&gt;=Imóveis!$Q$3,Dados!$A1174&lt;=Imóveis!$T$3),Imóveis!$S$3-(DATEDIF(Imóveis!$Q$3,Dados!$A1174,"m")),0))=0,0,((Imóveis!$N$3/Imóveis!$S$3)+((Imóveis!$N$3-((Imóveis!$S$3-(IF(AND(Dados!$A1174&gt;=Imóveis!$Q$3,Dados!$A1174&lt;=Imóveis!$T$3),Imóveis!$S$3-(DATEDIF(Imóveis!$Q$3,Dados!$A1174,"m")),)))*(Imóveis!$N$3/Imóveis!$S$3)))*Imóveis!$P$3))))*IF(AND(Imóveis!$E$3&gt;0,Dados!$A1174&gt;Imóveis!$E$3),0,1)</f>
        <v>0</v>
      </c>
      <c r="K1174" s="18">
        <f>IF(Imóveis!$F$4="PRICE",IF(AND(Dados!$A1174&gt;=Imóveis!$Q$4,Dados!$A1174&lt;=Imóveis!$T$4),Imóveis!$U$4,0),IF((IF(AND(Dados!$A1174&gt;=Imóveis!$Q$4,Dados!$A1174&lt;=Imóveis!$T$4),Imóveis!$S$4-(DATEDIF(Imóveis!$Q$4,Dados!$A1174,"m")),0))=0,0,((Imóveis!$N$4/Imóveis!$S$4)+((Imóveis!$N$4-((Imóveis!$S$4-(IF(AND(Dados!$A1174&gt;=Imóveis!$Q$4,Dados!$A1174&lt;=Imóveis!$T$4),Imóveis!$S$4-(DATEDIF(Imóveis!$Q$4,Dados!$A1174,"m")),)))*(Imóveis!$N$4/Imóveis!$S$4)))*Imóveis!$P$4))))*IF(AND(Imóveis!$E$4&gt;0,Dados!$A1174&gt;Imóveis!$E$4),0,1)</f>
        <v>0</v>
      </c>
      <c r="L1174" s="18">
        <f>IF(Imóveis!$F$5="PRICE",IF(AND(Dados!$A1174&gt;=Imóveis!$Q$5,Dados!$A1174&lt;=Imóveis!$T$5),Imóveis!$U$5,0),IF((IF(AND(Dados!$A1174&gt;=Imóveis!$Q$5,Dados!$A1174&lt;=Imóveis!$T$5),Imóveis!$S$5-(DATEDIF(Imóveis!$Q$5,Dados!$A1174,"m")),0))=0,0,((Imóveis!$N$5/Imóveis!$S$5)+((Imóveis!$N$5-((Imóveis!$S$5-(IF(AND(Dados!$A1174 &gt;=Imóveis!$Q$5,Dados!$A1174&lt;=Imóveis!$T$5),Imóveis!$S$5-(DATEDIF(Imóveis!$Q$5,Dados!$A1174,"m")),)))*(Imóveis!$N$5/Imóveis!$S$5)))*Imóveis!$P$5))))*IF(AND(Imóveis!$E$5&gt;0,Dados!$A1174&gt;Imóveis!$E$5),0,1)*Imóveis!$I$5</f>
        <v>0</v>
      </c>
      <c r="M1174" s="18">
        <f>IF(Imóveis!$F$6="PRICE",IF(AND(Dados!$A1174&gt;=Imóveis!$Q$6,Dados!$A1174&lt;=Imóveis!$T$6),Imóveis!$U$6,0),IF((IF(AND(Dados!$A1174&gt;=Imóveis!$Q$6,Dados!$A1174&lt;=Imóveis!$T$6),Imóveis!$S$6-(DATEDIF(Imóveis!$Q$6,Dados!$A1174,"m")),0))=0,0,((Imóveis!$N$6/Imóveis!$S$6)+((Imóveis!$N$6-((Imóveis!$S$6-(IF(AND(Dados!$A1174&gt;=Imóveis!$Q$6,Dados!$A1174&lt;=Imóveis!$T$6),Imóveis!$S$6-(DATEDIF(Imóveis!$Q$6,Dados!$A1174,"m")),)))*(Imóveis!$N$6/Imóveis!$S$6)))*Imóveis!$P$6))))*IF(AND(Imóveis!$E$6&gt;0,Dados!$A1174&gt;Imóveis!$E$6),0,1)*Imóveis!$I$6</f>
        <v>0</v>
      </c>
      <c r="N1174" s="18">
        <f t="shared" si="149"/>
        <v>0</v>
      </c>
      <c r="O1174" s="18">
        <f>SUMIFS(Receitas!$F:$F,Receitas!$J:$J,"&lt;="&amp;$A1174,Receitas!$L:$L,"&gt;="&amp;$A1174,Receitas!$C:$C,O$1,Receitas!$M:$M,"Mensal")+SUMIFS(Receitas!$F:$F,Receitas!$J:$J,"&lt;="&amp;$A1174,Receitas!$L:$L,"&gt;="&amp;$A1174,Receitas!$C:$C,O$1,Receitas!$M:$M,$B1174)</f>
        <v>0</v>
      </c>
      <c r="P1174" s="18">
        <f>SUMIFS(Receitas!$F:$F,Receitas!$J:$J,"&lt;="&amp;$A1174,Receitas!$L:$L,"&gt;="&amp;$A1174,Receitas!$C:$C,P$1,Receitas!$M:$M,"Mensal")+SUMIFS(Receitas!$F:$F,Receitas!$J:$J,"&lt;="&amp;$A1174,Receitas!$L:$L,"&gt;="&amp;$A1174,Receitas!$C:$C,P$1,Receitas!$M:$M,$B1174)</f>
        <v>0</v>
      </c>
      <c r="Q1174" s="18">
        <f>SUMIFS(Receitas!$F:$F,Receitas!$J:$J,"&lt;="&amp;$A1174,Receitas!$L:$L,"&gt;="&amp;$A1174,Receitas!$C:$C,Q$1,Receitas!$M:$M,"Mensal")+SUMIFS(Receitas!$F:$F,Receitas!$J:$J,"&lt;="&amp;$A1174,Receitas!$L:$L,"&gt;="&amp;$A1174,Receitas!$C:$C,Q$1,Receitas!$M:$M,$B1174)</f>
        <v>0</v>
      </c>
      <c r="R1174" s="18" cm="1">
        <f t="array" ref="R1174">(IF(AND(Membros!$F$2="Sim",A1174&lt;=MAX(Membros!$E$2:$E$5)),Membros!K$2,IF(AND(A1174&gt;=Membros!J$2,A1174&lt;=MAX(Membros!$E$2:$E$5)),Membros!K$2,0))+IF(AND(Membros!$F$3="Sim",A1174&lt;=MAX(Membros!$E$2:$E$5)),Membros!K$3,IF(AND(A1174&gt;=Membros!J$3,A1174&lt;=MAX(Membros!$E$2:$E$5)),Membros!K$3,0)))*IF(AND(COUNTIFS(Tabela3[Tipo],"Provedor",Tabela3[Simulação Seguro],"Sim")=2,A1174&gt;=MAX(IF(Tabela3[Tipo]="Dependente",Tabela3[Expectativa de Vida (Data)]))),0,1)</f>
        <v>0</v>
      </c>
      <c r="S1174" s="18">
        <f t="shared" si="150"/>
        <v>0</v>
      </c>
      <c r="U1174" s="18">
        <f t="shared" ca="1" si="153"/>
        <v>217906899.80213475</v>
      </c>
      <c r="V1174" s="18">
        <f>SUMIF(Imóveis!E:E,Dados!A:A,Imóveis!Z:Z)-SUMIF(Imóveis!E:E,Dados!A:A,Imóveis!Y:Y)</f>
        <v>0</v>
      </c>
      <c r="W1174" s="18">
        <f>-SUMIF(Projetos!N:N,A1174,Projetos!F:F)</f>
        <v>0</v>
      </c>
      <c r="X1174" s="18">
        <f t="shared" si="147"/>
        <v>0</v>
      </c>
      <c r="Y1174" s="26">
        <f ca="1">(U1174*((Indicadores_Economicos!D$2+1)^(1/12)-1))</f>
        <v>713370.48669788125</v>
      </c>
      <c r="Z1174" s="18">
        <f t="shared" ca="1" si="151"/>
        <v>218620270.28883263</v>
      </c>
      <c r="AA1174" s="18">
        <f ca="1">Auxiliar_Projetos!E1174</f>
        <v>1.8021257534976655E-8</v>
      </c>
      <c r="AB1174" s="18">
        <f ca="1">Auxiliar_Projetos!K1174</f>
        <v>1.3862505796135863E-8</v>
      </c>
      <c r="AC1174" s="18">
        <f ca="1">IF(Z1174-AA1174-AB1174&gt;Investimentos!$C$14,Investimentos!$C$14,IF(Z1174-AA1174-AB1174&lt;Investimentos!$C$14,Z1174-AA1174-AB1174,0))</f>
        <v>300000</v>
      </c>
      <c r="AD1174" s="18">
        <f t="shared" ca="1" si="152"/>
        <v>218320270.2888326</v>
      </c>
      <c r="AE1174" s="18"/>
    </row>
    <row r="1175" spans="1:31" x14ac:dyDescent="0.2">
      <c r="A1175" s="4">
        <v>81359</v>
      </c>
      <c r="B1175" s="5" t="str">
        <f t="shared" si="148"/>
        <v>outubro</v>
      </c>
      <c r="C1175" s="5" t="str">
        <f t="shared" si="146"/>
        <v>2122</v>
      </c>
      <c r="D1175" s="5">
        <f>SUMIFS(Despesas!$F:$F,Despesas!$J:$J,"&lt;="&amp;$A1175,Despesas!$L:$L,"&gt;="&amp;$A1175,Despesas!$C:$C,D$1,Despesas!$M:$M,"Mensal")+SUMIFS(Despesas!$F:$F,Despesas!$J:$J,"&lt;="&amp;$A1175,Despesas!$L:$L,"&gt;="&amp;$A1175,Despesas!$C:$C,D$1,Despesas!$M:$M,$B1175)</f>
        <v>0</v>
      </c>
      <c r="E1175" s="18">
        <f>SUMIFS(Despesas!$F:$F,Despesas!$J:$J,"&lt;="&amp;$A1175,Despesas!$L:$L,"&gt;="&amp;$A1175,Despesas!$C:$C,E$1,Despesas!$M:$M,"Mensal")+SUMIFS(Despesas!$F:$F,Despesas!$J:$J,"&lt;="&amp;$A1175,Despesas!$L:$L,"&gt;="&amp;$A1175,Despesas!$C:$C,E$1,Despesas!$M:$M,$B1175)</f>
        <v>0</v>
      </c>
      <c r="F1175" s="5">
        <f>SUMIFS(Despesas!$F:$F,Despesas!$J:$J,"&lt;="&amp;$A1175,Despesas!$L:$L,"&gt;="&amp;$A1175,Despesas!$C:$C,F$1,Despesas!$M:$M,"Mensal")+SUMIFS(Despesas!$F:$F,Despesas!$J:$J,"&lt;="&amp;$A1175,Despesas!$L:$L,"&gt;="&amp;$A1175,Despesas!$C:$C,F$1,Despesas!$M:$M,$B1175)</f>
        <v>0</v>
      </c>
      <c r="G1175" s="5">
        <f>SUMIFS(Despesas!$F:$F,Despesas!$J:$J,"&lt;="&amp;$A1175,Despesas!$L:$L,"&gt;="&amp;$A1175,Despesas!$C:$C,G$1,Despesas!$M:$M,"Mensal")+SUMIFS(Despesas!$F:$F,Despesas!$J:$J,"&lt;="&amp;$A1175,Despesas!$L:$L,"&gt;="&amp;$A1175,Despesas!$C:$C,G$1,Despesas!$M:$M,$B1175)</f>
        <v>0</v>
      </c>
      <c r="H1175" s="18">
        <f>SUMIFS(Despesas!$F:$F,Despesas!$J:$J,"&lt;="&amp;$A1175,Despesas!$L:$L,"&gt;="&amp;$A1175,Despesas!$C:$C,H$1,Despesas!$M:$M,"Mensal")+SUMIFS(Despesas!$F:$F,Despesas!$J:$J,"&lt;="&amp;$A1175,Despesas!$L:$L,"&gt;="&amp;$A1175,Despesas!$C:$C,H$1,Despesas!$M:$M,$B1175)</f>
        <v>0</v>
      </c>
      <c r="I1175" s="18">
        <f>IF(Imóveis!$F$2="PRICE",IF(AND(Dados!$A1175&gt;=Imóveis!$Q$2,Dados!$A1175&lt;=Imóveis!$T$2),Imóveis!$U$2,0),IF((IF(AND(Dados!$A1175&gt;=Imóveis!$Q$2,Dados!$A1175&lt;=Imóveis!$T$2),Imóveis!$S$2-(DATEDIF(Imóveis!$Q$2,Dados!$A1175,"m")),0))=0,0,((Imóveis!$N$2/Imóveis!$S$2)+((Imóveis!$N$2-((Imóveis!$S$2-(IF(AND(Dados!$A1175&gt;=Imóveis!$Q$2,Dados!$A1175&lt;=Imóveis!$T$2),Imóveis!$S$2-(DATEDIF(Imóveis!$Q$2,Dados!$A1175,"m")),)))*(Imóveis!$N$2/Imóveis!$S$2)))*Imóveis!$P$2))))*IF(AND(Imóveis!$E$2&gt;0,Dados!$A1175&gt;Imóveis!$E$2),0,1)</f>
        <v>0</v>
      </c>
      <c r="J1175" s="18">
        <f>IF(Imóveis!$F$3="PRICE",IF(AND(Dados!$A1175&gt;=Imóveis!$Q$3,Dados!$A1175&lt;=Imóveis!$T$3),Imóveis!$U$3,0),IF((IF(AND(Dados!$A1175&gt;=Imóveis!$Q$3,Dados!$A1175&lt;=Imóveis!$T$3),Imóveis!$S$3-(DATEDIF(Imóveis!$Q$3,Dados!$A1175,"m")),0))=0,0,((Imóveis!$N$3/Imóveis!$S$3)+((Imóveis!$N$3-((Imóveis!$S$3-(IF(AND(Dados!$A1175&gt;=Imóveis!$Q$3,Dados!$A1175&lt;=Imóveis!$T$3),Imóveis!$S$3-(DATEDIF(Imóveis!$Q$3,Dados!$A1175,"m")),)))*(Imóveis!$N$3/Imóveis!$S$3)))*Imóveis!$P$3))))*IF(AND(Imóveis!$E$3&gt;0,Dados!$A1175&gt;Imóveis!$E$3),0,1)</f>
        <v>0</v>
      </c>
      <c r="K1175" s="18">
        <f>IF(Imóveis!$F$4="PRICE",IF(AND(Dados!$A1175&gt;=Imóveis!$Q$4,Dados!$A1175&lt;=Imóveis!$T$4),Imóveis!$U$4,0),IF((IF(AND(Dados!$A1175&gt;=Imóveis!$Q$4,Dados!$A1175&lt;=Imóveis!$T$4),Imóveis!$S$4-(DATEDIF(Imóveis!$Q$4,Dados!$A1175,"m")),0))=0,0,((Imóveis!$N$4/Imóveis!$S$4)+((Imóveis!$N$4-((Imóveis!$S$4-(IF(AND(Dados!$A1175&gt;=Imóveis!$Q$4,Dados!$A1175&lt;=Imóveis!$T$4),Imóveis!$S$4-(DATEDIF(Imóveis!$Q$4,Dados!$A1175,"m")),)))*(Imóveis!$N$4/Imóveis!$S$4)))*Imóveis!$P$4))))*IF(AND(Imóveis!$E$4&gt;0,Dados!$A1175&gt;Imóveis!$E$4),0,1)</f>
        <v>0</v>
      </c>
      <c r="L1175" s="18">
        <f>IF(Imóveis!$F$5="PRICE",IF(AND(Dados!$A1175&gt;=Imóveis!$Q$5,Dados!$A1175&lt;=Imóveis!$T$5),Imóveis!$U$5,0),IF((IF(AND(Dados!$A1175&gt;=Imóveis!$Q$5,Dados!$A1175&lt;=Imóveis!$T$5),Imóveis!$S$5-(DATEDIF(Imóveis!$Q$5,Dados!$A1175,"m")),0))=0,0,((Imóveis!$N$5/Imóveis!$S$5)+((Imóveis!$N$5-((Imóveis!$S$5-(IF(AND(Dados!$A1175 &gt;=Imóveis!$Q$5,Dados!$A1175&lt;=Imóveis!$T$5),Imóveis!$S$5-(DATEDIF(Imóveis!$Q$5,Dados!$A1175,"m")),)))*(Imóveis!$N$5/Imóveis!$S$5)))*Imóveis!$P$5))))*IF(AND(Imóveis!$E$5&gt;0,Dados!$A1175&gt;Imóveis!$E$5),0,1)*Imóveis!$I$5</f>
        <v>0</v>
      </c>
      <c r="M1175" s="18">
        <f>IF(Imóveis!$F$6="PRICE",IF(AND(Dados!$A1175&gt;=Imóveis!$Q$6,Dados!$A1175&lt;=Imóveis!$T$6),Imóveis!$U$6,0),IF((IF(AND(Dados!$A1175&gt;=Imóveis!$Q$6,Dados!$A1175&lt;=Imóveis!$T$6),Imóveis!$S$6-(DATEDIF(Imóveis!$Q$6,Dados!$A1175,"m")),0))=0,0,((Imóveis!$N$6/Imóveis!$S$6)+((Imóveis!$N$6-((Imóveis!$S$6-(IF(AND(Dados!$A1175&gt;=Imóveis!$Q$6,Dados!$A1175&lt;=Imóveis!$T$6),Imóveis!$S$6-(DATEDIF(Imóveis!$Q$6,Dados!$A1175,"m")),)))*(Imóveis!$N$6/Imóveis!$S$6)))*Imóveis!$P$6))))*IF(AND(Imóveis!$E$6&gt;0,Dados!$A1175&gt;Imóveis!$E$6),0,1)*Imóveis!$I$6</f>
        <v>0</v>
      </c>
      <c r="N1175" s="18">
        <f t="shared" si="149"/>
        <v>0</v>
      </c>
      <c r="O1175" s="18">
        <f>SUMIFS(Receitas!$F:$F,Receitas!$J:$J,"&lt;="&amp;$A1175,Receitas!$L:$L,"&gt;="&amp;$A1175,Receitas!$C:$C,O$1,Receitas!$M:$M,"Mensal")+SUMIFS(Receitas!$F:$F,Receitas!$J:$J,"&lt;="&amp;$A1175,Receitas!$L:$L,"&gt;="&amp;$A1175,Receitas!$C:$C,O$1,Receitas!$M:$M,$B1175)</f>
        <v>0</v>
      </c>
      <c r="P1175" s="18">
        <f>SUMIFS(Receitas!$F:$F,Receitas!$J:$J,"&lt;="&amp;$A1175,Receitas!$L:$L,"&gt;="&amp;$A1175,Receitas!$C:$C,P$1,Receitas!$M:$M,"Mensal")+SUMIFS(Receitas!$F:$F,Receitas!$J:$J,"&lt;="&amp;$A1175,Receitas!$L:$L,"&gt;="&amp;$A1175,Receitas!$C:$C,P$1,Receitas!$M:$M,$B1175)</f>
        <v>0</v>
      </c>
      <c r="Q1175" s="18">
        <f>SUMIFS(Receitas!$F:$F,Receitas!$J:$J,"&lt;="&amp;$A1175,Receitas!$L:$L,"&gt;="&amp;$A1175,Receitas!$C:$C,Q$1,Receitas!$M:$M,"Mensal")+SUMIFS(Receitas!$F:$F,Receitas!$J:$J,"&lt;="&amp;$A1175,Receitas!$L:$L,"&gt;="&amp;$A1175,Receitas!$C:$C,Q$1,Receitas!$M:$M,$B1175)</f>
        <v>0</v>
      </c>
      <c r="R1175" s="18" cm="1">
        <f t="array" ref="R1175">(IF(AND(Membros!$F$2="Sim",A1175&lt;=MAX(Membros!$E$2:$E$5)),Membros!K$2,IF(AND(A1175&gt;=Membros!J$2,A1175&lt;=MAX(Membros!$E$2:$E$5)),Membros!K$2,0))+IF(AND(Membros!$F$3="Sim",A1175&lt;=MAX(Membros!$E$2:$E$5)),Membros!K$3,IF(AND(A1175&gt;=Membros!J$3,A1175&lt;=MAX(Membros!$E$2:$E$5)),Membros!K$3,0)))*IF(AND(COUNTIFS(Tabela3[Tipo],"Provedor",Tabela3[Simulação Seguro],"Sim")=2,A1175&gt;=MAX(IF(Tabela3[Tipo]="Dependente",Tabela3[Expectativa de Vida (Data)]))),0,1)</f>
        <v>0</v>
      </c>
      <c r="S1175" s="18">
        <f t="shared" si="150"/>
        <v>0</v>
      </c>
      <c r="U1175" s="18">
        <f t="shared" ca="1" si="153"/>
        <v>218620270.28883263</v>
      </c>
      <c r="V1175" s="18">
        <f>SUMIF(Imóveis!E:E,Dados!A:A,Imóveis!Z:Z)-SUMIF(Imóveis!E:E,Dados!A:A,Imóveis!Y:Y)</f>
        <v>0</v>
      </c>
      <c r="W1175" s="18">
        <f>-SUMIF(Projetos!N:N,A1175,Projetos!F:F)</f>
        <v>0</v>
      </c>
      <c r="X1175" s="18">
        <f t="shared" si="147"/>
        <v>0</v>
      </c>
      <c r="Y1175" s="26">
        <f ca="1">(U1175*((Indicadores_Economicos!D$2+1)^(1/12)-1))</f>
        <v>715705.87603963073</v>
      </c>
      <c r="Z1175" s="18">
        <f t="shared" ca="1" si="151"/>
        <v>219335976.16487226</v>
      </c>
      <c r="AA1175" s="18">
        <f ca="1">Auxiliar_Projetos!E1175</f>
        <v>1.8080254442694159E-8</v>
      </c>
      <c r="AB1175" s="18">
        <f ca="1">Auxiliar_Projetos!K1175</f>
        <v>1.3907888032841636E-8</v>
      </c>
      <c r="AC1175" s="18">
        <f ca="1">IF(Z1175-AA1175-AB1175&gt;Investimentos!$C$14,Investimentos!$C$14,IF(Z1175-AA1175-AB1175&lt;Investimentos!$C$14,Z1175-AA1175-AB1175,0))</f>
        <v>300000</v>
      </c>
      <c r="AD1175" s="18">
        <f t="shared" ca="1" si="152"/>
        <v>219035976.16487223</v>
      </c>
      <c r="AE1175" s="18"/>
    </row>
    <row r="1176" spans="1:31" x14ac:dyDescent="0.2">
      <c r="A1176" s="4">
        <v>81390</v>
      </c>
      <c r="B1176" s="5" t="str">
        <f t="shared" si="148"/>
        <v>novembro</v>
      </c>
      <c r="C1176" s="5" t="str">
        <f t="shared" ref="C1176:C1200" si="154">TEXT(A1176,"AAAA")</f>
        <v>2122</v>
      </c>
      <c r="D1176" s="5">
        <f>SUMIFS(Despesas!$F:$F,Despesas!$J:$J,"&lt;="&amp;$A1176,Despesas!$L:$L,"&gt;="&amp;$A1176,Despesas!$C:$C,D$1,Despesas!$M:$M,"Mensal")+SUMIFS(Despesas!$F:$F,Despesas!$J:$J,"&lt;="&amp;$A1176,Despesas!$L:$L,"&gt;="&amp;$A1176,Despesas!$C:$C,D$1,Despesas!$M:$M,$B1176)</f>
        <v>0</v>
      </c>
      <c r="E1176" s="18">
        <f>SUMIFS(Despesas!$F:$F,Despesas!$J:$J,"&lt;="&amp;$A1176,Despesas!$L:$L,"&gt;="&amp;$A1176,Despesas!$C:$C,E$1,Despesas!$M:$M,"Mensal")+SUMIFS(Despesas!$F:$F,Despesas!$J:$J,"&lt;="&amp;$A1176,Despesas!$L:$L,"&gt;="&amp;$A1176,Despesas!$C:$C,E$1,Despesas!$M:$M,$B1176)</f>
        <v>0</v>
      </c>
      <c r="F1176" s="5">
        <f>SUMIFS(Despesas!$F:$F,Despesas!$J:$J,"&lt;="&amp;$A1176,Despesas!$L:$L,"&gt;="&amp;$A1176,Despesas!$C:$C,F$1,Despesas!$M:$M,"Mensal")+SUMIFS(Despesas!$F:$F,Despesas!$J:$J,"&lt;="&amp;$A1176,Despesas!$L:$L,"&gt;="&amp;$A1176,Despesas!$C:$C,F$1,Despesas!$M:$M,$B1176)</f>
        <v>0</v>
      </c>
      <c r="G1176" s="5">
        <f>SUMIFS(Despesas!$F:$F,Despesas!$J:$J,"&lt;="&amp;$A1176,Despesas!$L:$L,"&gt;="&amp;$A1176,Despesas!$C:$C,G$1,Despesas!$M:$M,"Mensal")+SUMIFS(Despesas!$F:$F,Despesas!$J:$J,"&lt;="&amp;$A1176,Despesas!$L:$L,"&gt;="&amp;$A1176,Despesas!$C:$C,G$1,Despesas!$M:$M,$B1176)</f>
        <v>0</v>
      </c>
      <c r="H1176" s="18">
        <f>SUMIFS(Despesas!$F:$F,Despesas!$J:$J,"&lt;="&amp;$A1176,Despesas!$L:$L,"&gt;="&amp;$A1176,Despesas!$C:$C,H$1,Despesas!$M:$M,"Mensal")+SUMIFS(Despesas!$F:$F,Despesas!$J:$J,"&lt;="&amp;$A1176,Despesas!$L:$L,"&gt;="&amp;$A1176,Despesas!$C:$C,H$1,Despesas!$M:$M,$B1176)</f>
        <v>0</v>
      </c>
      <c r="I1176" s="18">
        <f>IF(Imóveis!$F$2="PRICE",IF(AND(Dados!$A1176&gt;=Imóveis!$Q$2,Dados!$A1176&lt;=Imóveis!$T$2),Imóveis!$U$2,0),IF((IF(AND(Dados!$A1176&gt;=Imóveis!$Q$2,Dados!$A1176&lt;=Imóveis!$T$2),Imóveis!$S$2-(DATEDIF(Imóveis!$Q$2,Dados!$A1176,"m")),0))=0,0,((Imóveis!$N$2/Imóveis!$S$2)+((Imóveis!$N$2-((Imóveis!$S$2-(IF(AND(Dados!$A1176&gt;=Imóveis!$Q$2,Dados!$A1176&lt;=Imóveis!$T$2),Imóveis!$S$2-(DATEDIF(Imóveis!$Q$2,Dados!$A1176,"m")),)))*(Imóveis!$N$2/Imóveis!$S$2)))*Imóveis!$P$2))))*IF(AND(Imóveis!$E$2&gt;0,Dados!$A1176&gt;Imóveis!$E$2),0,1)</f>
        <v>0</v>
      </c>
      <c r="J1176" s="18">
        <f>IF(Imóveis!$F$3="PRICE",IF(AND(Dados!$A1176&gt;=Imóveis!$Q$3,Dados!$A1176&lt;=Imóveis!$T$3),Imóveis!$U$3,0),IF((IF(AND(Dados!$A1176&gt;=Imóveis!$Q$3,Dados!$A1176&lt;=Imóveis!$T$3),Imóveis!$S$3-(DATEDIF(Imóveis!$Q$3,Dados!$A1176,"m")),0))=0,0,((Imóveis!$N$3/Imóveis!$S$3)+((Imóveis!$N$3-((Imóveis!$S$3-(IF(AND(Dados!$A1176&gt;=Imóveis!$Q$3,Dados!$A1176&lt;=Imóveis!$T$3),Imóveis!$S$3-(DATEDIF(Imóveis!$Q$3,Dados!$A1176,"m")),)))*(Imóveis!$N$3/Imóveis!$S$3)))*Imóveis!$P$3))))*IF(AND(Imóveis!$E$3&gt;0,Dados!$A1176&gt;Imóveis!$E$3),0,1)</f>
        <v>0</v>
      </c>
      <c r="K1176" s="18">
        <f>IF(Imóveis!$F$4="PRICE",IF(AND(Dados!$A1176&gt;=Imóveis!$Q$4,Dados!$A1176&lt;=Imóveis!$T$4),Imóveis!$U$4,0),IF((IF(AND(Dados!$A1176&gt;=Imóveis!$Q$4,Dados!$A1176&lt;=Imóveis!$T$4),Imóveis!$S$4-(DATEDIF(Imóveis!$Q$4,Dados!$A1176,"m")),0))=0,0,((Imóveis!$N$4/Imóveis!$S$4)+((Imóveis!$N$4-((Imóveis!$S$4-(IF(AND(Dados!$A1176&gt;=Imóveis!$Q$4,Dados!$A1176&lt;=Imóveis!$T$4),Imóveis!$S$4-(DATEDIF(Imóveis!$Q$4,Dados!$A1176,"m")),)))*(Imóveis!$N$4/Imóveis!$S$4)))*Imóveis!$P$4))))*IF(AND(Imóveis!$E$4&gt;0,Dados!$A1176&gt;Imóveis!$E$4),0,1)</f>
        <v>0</v>
      </c>
      <c r="L1176" s="18">
        <f>IF(Imóveis!$F$5="PRICE",IF(AND(Dados!$A1176&gt;=Imóveis!$Q$5,Dados!$A1176&lt;=Imóveis!$T$5),Imóveis!$U$5,0),IF((IF(AND(Dados!$A1176&gt;=Imóveis!$Q$5,Dados!$A1176&lt;=Imóveis!$T$5),Imóveis!$S$5-(DATEDIF(Imóveis!$Q$5,Dados!$A1176,"m")),0))=0,0,((Imóveis!$N$5/Imóveis!$S$5)+((Imóveis!$N$5-((Imóveis!$S$5-(IF(AND(Dados!$A1176 &gt;=Imóveis!$Q$5,Dados!$A1176&lt;=Imóveis!$T$5),Imóveis!$S$5-(DATEDIF(Imóveis!$Q$5,Dados!$A1176,"m")),)))*(Imóveis!$N$5/Imóveis!$S$5)))*Imóveis!$P$5))))*IF(AND(Imóveis!$E$5&gt;0,Dados!$A1176&gt;Imóveis!$E$5),0,1)*Imóveis!$I$5</f>
        <v>0</v>
      </c>
      <c r="M1176" s="18">
        <f>IF(Imóveis!$F$6="PRICE",IF(AND(Dados!$A1176&gt;=Imóveis!$Q$6,Dados!$A1176&lt;=Imóveis!$T$6),Imóveis!$U$6,0),IF((IF(AND(Dados!$A1176&gt;=Imóveis!$Q$6,Dados!$A1176&lt;=Imóveis!$T$6),Imóveis!$S$6-(DATEDIF(Imóveis!$Q$6,Dados!$A1176,"m")),0))=0,0,((Imóveis!$N$6/Imóveis!$S$6)+((Imóveis!$N$6-((Imóveis!$S$6-(IF(AND(Dados!$A1176&gt;=Imóveis!$Q$6,Dados!$A1176&lt;=Imóveis!$T$6),Imóveis!$S$6-(DATEDIF(Imóveis!$Q$6,Dados!$A1176,"m")),)))*(Imóveis!$N$6/Imóveis!$S$6)))*Imóveis!$P$6))))*IF(AND(Imóveis!$E$6&gt;0,Dados!$A1176&gt;Imóveis!$E$6),0,1)*Imóveis!$I$6</f>
        <v>0</v>
      </c>
      <c r="N1176" s="18">
        <f t="shared" si="149"/>
        <v>0</v>
      </c>
      <c r="O1176" s="18">
        <f>SUMIFS(Receitas!$F:$F,Receitas!$J:$J,"&lt;="&amp;$A1176,Receitas!$L:$L,"&gt;="&amp;$A1176,Receitas!$C:$C,O$1,Receitas!$M:$M,"Mensal")+SUMIFS(Receitas!$F:$F,Receitas!$J:$J,"&lt;="&amp;$A1176,Receitas!$L:$L,"&gt;="&amp;$A1176,Receitas!$C:$C,O$1,Receitas!$M:$M,$B1176)</f>
        <v>0</v>
      </c>
      <c r="P1176" s="18">
        <f>SUMIFS(Receitas!$F:$F,Receitas!$J:$J,"&lt;="&amp;$A1176,Receitas!$L:$L,"&gt;="&amp;$A1176,Receitas!$C:$C,P$1,Receitas!$M:$M,"Mensal")+SUMIFS(Receitas!$F:$F,Receitas!$J:$J,"&lt;="&amp;$A1176,Receitas!$L:$L,"&gt;="&amp;$A1176,Receitas!$C:$C,P$1,Receitas!$M:$M,$B1176)</f>
        <v>0</v>
      </c>
      <c r="Q1176" s="18">
        <f>SUMIFS(Receitas!$F:$F,Receitas!$J:$J,"&lt;="&amp;$A1176,Receitas!$L:$L,"&gt;="&amp;$A1176,Receitas!$C:$C,Q$1,Receitas!$M:$M,"Mensal")+SUMIFS(Receitas!$F:$F,Receitas!$J:$J,"&lt;="&amp;$A1176,Receitas!$L:$L,"&gt;="&amp;$A1176,Receitas!$C:$C,Q$1,Receitas!$M:$M,$B1176)</f>
        <v>0</v>
      </c>
      <c r="R1176" s="18" cm="1">
        <f t="array" ref="R1176">(IF(AND(Membros!$F$2="Sim",A1176&lt;=MAX(Membros!$E$2:$E$5)),Membros!K$2,IF(AND(A1176&gt;=Membros!J$2,A1176&lt;=MAX(Membros!$E$2:$E$5)),Membros!K$2,0))+IF(AND(Membros!$F$3="Sim",A1176&lt;=MAX(Membros!$E$2:$E$5)),Membros!K$3,IF(AND(A1176&gt;=Membros!J$3,A1176&lt;=MAX(Membros!$E$2:$E$5)),Membros!K$3,0)))*IF(AND(COUNTIFS(Tabela3[Tipo],"Provedor",Tabela3[Simulação Seguro],"Sim")=2,A1176&gt;=MAX(IF(Tabela3[Tipo]="Dependente",Tabela3[Expectativa de Vida (Data)]))),0,1)</f>
        <v>0</v>
      </c>
      <c r="S1176" s="18">
        <f t="shared" si="150"/>
        <v>0</v>
      </c>
      <c r="U1176" s="18">
        <f t="shared" ca="1" si="153"/>
        <v>219335976.16487226</v>
      </c>
      <c r="V1176" s="18">
        <f>SUMIF(Imóveis!E:E,Dados!A:A,Imóveis!Z:Z)-SUMIF(Imóveis!E:E,Dados!A:A,Imóveis!Y:Y)</f>
        <v>0</v>
      </c>
      <c r="W1176" s="18">
        <f>-SUMIF(Projetos!N:N,A1176,Projetos!F:F)</f>
        <v>0</v>
      </c>
      <c r="X1176" s="18">
        <f t="shared" si="147"/>
        <v>0</v>
      </c>
      <c r="Y1176" s="26">
        <f ca="1">(U1176*((Indicadores_Economicos!D$2+1)^(1/12)-1))</f>
        <v>718048.91083837522</v>
      </c>
      <c r="Z1176" s="18">
        <f t="shared" ca="1" si="151"/>
        <v>220054025.07571062</v>
      </c>
      <c r="AA1176" s="18">
        <f ca="1">Auxiliar_Projetos!E1176</f>
        <v>1.8139444490935486E-8</v>
      </c>
      <c r="AB1176" s="18">
        <f ca="1">Auxiliar_Projetos!K1176</f>
        <v>1.3953418839181119E-8</v>
      </c>
      <c r="AC1176" s="18">
        <f ca="1">IF(Z1176-AA1176-AB1176&gt;Investimentos!$C$14,Investimentos!$C$14,IF(Z1176-AA1176-AB1176&lt;Investimentos!$C$14,Z1176-AA1176-AB1176,0))</f>
        <v>300000</v>
      </c>
      <c r="AD1176" s="18">
        <f t="shared" ca="1" si="152"/>
        <v>219754025.07571059</v>
      </c>
      <c r="AE1176" s="18"/>
    </row>
    <row r="1177" spans="1:31" x14ac:dyDescent="0.2">
      <c r="A1177" s="4">
        <v>81420</v>
      </c>
      <c r="B1177" s="5" t="str">
        <f t="shared" si="148"/>
        <v>dezembro</v>
      </c>
      <c r="C1177" s="5" t="str">
        <f t="shared" si="154"/>
        <v>2122</v>
      </c>
      <c r="D1177" s="5">
        <f>SUMIFS(Despesas!$F:$F,Despesas!$J:$J,"&lt;="&amp;$A1177,Despesas!$L:$L,"&gt;="&amp;$A1177,Despesas!$C:$C,D$1,Despesas!$M:$M,"Mensal")+SUMIFS(Despesas!$F:$F,Despesas!$J:$J,"&lt;="&amp;$A1177,Despesas!$L:$L,"&gt;="&amp;$A1177,Despesas!$C:$C,D$1,Despesas!$M:$M,$B1177)</f>
        <v>0</v>
      </c>
      <c r="E1177" s="18">
        <f>SUMIFS(Despesas!$F:$F,Despesas!$J:$J,"&lt;="&amp;$A1177,Despesas!$L:$L,"&gt;="&amp;$A1177,Despesas!$C:$C,E$1,Despesas!$M:$M,"Mensal")+SUMIFS(Despesas!$F:$F,Despesas!$J:$J,"&lt;="&amp;$A1177,Despesas!$L:$L,"&gt;="&amp;$A1177,Despesas!$C:$C,E$1,Despesas!$M:$M,$B1177)</f>
        <v>0</v>
      </c>
      <c r="F1177" s="5">
        <f>SUMIFS(Despesas!$F:$F,Despesas!$J:$J,"&lt;="&amp;$A1177,Despesas!$L:$L,"&gt;="&amp;$A1177,Despesas!$C:$C,F$1,Despesas!$M:$M,"Mensal")+SUMIFS(Despesas!$F:$F,Despesas!$J:$J,"&lt;="&amp;$A1177,Despesas!$L:$L,"&gt;="&amp;$A1177,Despesas!$C:$C,F$1,Despesas!$M:$M,$B1177)</f>
        <v>0</v>
      </c>
      <c r="G1177" s="5">
        <f>SUMIFS(Despesas!$F:$F,Despesas!$J:$J,"&lt;="&amp;$A1177,Despesas!$L:$L,"&gt;="&amp;$A1177,Despesas!$C:$C,G$1,Despesas!$M:$M,"Mensal")+SUMIFS(Despesas!$F:$F,Despesas!$J:$J,"&lt;="&amp;$A1177,Despesas!$L:$L,"&gt;="&amp;$A1177,Despesas!$C:$C,G$1,Despesas!$M:$M,$B1177)</f>
        <v>0</v>
      </c>
      <c r="H1177" s="18">
        <f>SUMIFS(Despesas!$F:$F,Despesas!$J:$J,"&lt;="&amp;$A1177,Despesas!$L:$L,"&gt;="&amp;$A1177,Despesas!$C:$C,H$1,Despesas!$M:$M,"Mensal")+SUMIFS(Despesas!$F:$F,Despesas!$J:$J,"&lt;="&amp;$A1177,Despesas!$L:$L,"&gt;="&amp;$A1177,Despesas!$C:$C,H$1,Despesas!$M:$M,$B1177)</f>
        <v>0</v>
      </c>
      <c r="I1177" s="18">
        <f>IF(Imóveis!$F$2="PRICE",IF(AND(Dados!$A1177&gt;=Imóveis!$Q$2,Dados!$A1177&lt;=Imóveis!$T$2),Imóveis!$U$2,0),IF((IF(AND(Dados!$A1177&gt;=Imóveis!$Q$2,Dados!$A1177&lt;=Imóveis!$T$2),Imóveis!$S$2-(DATEDIF(Imóveis!$Q$2,Dados!$A1177,"m")),0))=0,0,((Imóveis!$N$2/Imóveis!$S$2)+((Imóveis!$N$2-((Imóveis!$S$2-(IF(AND(Dados!$A1177&gt;=Imóveis!$Q$2,Dados!$A1177&lt;=Imóveis!$T$2),Imóveis!$S$2-(DATEDIF(Imóveis!$Q$2,Dados!$A1177,"m")),)))*(Imóveis!$N$2/Imóveis!$S$2)))*Imóveis!$P$2))))*IF(AND(Imóveis!$E$2&gt;0,Dados!$A1177&gt;Imóveis!$E$2),0,1)</f>
        <v>0</v>
      </c>
      <c r="J1177" s="18">
        <f>IF(Imóveis!$F$3="PRICE",IF(AND(Dados!$A1177&gt;=Imóveis!$Q$3,Dados!$A1177&lt;=Imóveis!$T$3),Imóveis!$U$3,0),IF((IF(AND(Dados!$A1177&gt;=Imóveis!$Q$3,Dados!$A1177&lt;=Imóveis!$T$3),Imóveis!$S$3-(DATEDIF(Imóveis!$Q$3,Dados!$A1177,"m")),0))=0,0,((Imóveis!$N$3/Imóveis!$S$3)+((Imóveis!$N$3-((Imóveis!$S$3-(IF(AND(Dados!$A1177&gt;=Imóveis!$Q$3,Dados!$A1177&lt;=Imóveis!$T$3),Imóveis!$S$3-(DATEDIF(Imóveis!$Q$3,Dados!$A1177,"m")),)))*(Imóveis!$N$3/Imóveis!$S$3)))*Imóveis!$P$3))))*IF(AND(Imóveis!$E$3&gt;0,Dados!$A1177&gt;Imóveis!$E$3),0,1)</f>
        <v>0</v>
      </c>
      <c r="K1177" s="18">
        <f>IF(Imóveis!$F$4="PRICE",IF(AND(Dados!$A1177&gt;=Imóveis!$Q$4,Dados!$A1177&lt;=Imóveis!$T$4),Imóveis!$U$4,0),IF((IF(AND(Dados!$A1177&gt;=Imóveis!$Q$4,Dados!$A1177&lt;=Imóveis!$T$4),Imóveis!$S$4-(DATEDIF(Imóveis!$Q$4,Dados!$A1177,"m")),0))=0,0,((Imóveis!$N$4/Imóveis!$S$4)+((Imóveis!$N$4-((Imóveis!$S$4-(IF(AND(Dados!$A1177&gt;=Imóveis!$Q$4,Dados!$A1177&lt;=Imóveis!$T$4),Imóveis!$S$4-(DATEDIF(Imóveis!$Q$4,Dados!$A1177,"m")),)))*(Imóveis!$N$4/Imóveis!$S$4)))*Imóveis!$P$4))))*IF(AND(Imóveis!$E$4&gt;0,Dados!$A1177&gt;Imóveis!$E$4),0,1)</f>
        <v>0</v>
      </c>
      <c r="L1177" s="18">
        <f>IF(Imóveis!$F$5="PRICE",IF(AND(Dados!$A1177&gt;=Imóveis!$Q$5,Dados!$A1177&lt;=Imóveis!$T$5),Imóveis!$U$5,0),IF((IF(AND(Dados!$A1177&gt;=Imóveis!$Q$5,Dados!$A1177&lt;=Imóveis!$T$5),Imóveis!$S$5-(DATEDIF(Imóveis!$Q$5,Dados!$A1177,"m")),0))=0,0,((Imóveis!$N$5/Imóveis!$S$5)+((Imóveis!$N$5-((Imóveis!$S$5-(IF(AND(Dados!$A1177 &gt;=Imóveis!$Q$5,Dados!$A1177&lt;=Imóveis!$T$5),Imóveis!$S$5-(DATEDIF(Imóveis!$Q$5,Dados!$A1177,"m")),)))*(Imóveis!$N$5/Imóveis!$S$5)))*Imóveis!$P$5))))*IF(AND(Imóveis!$E$5&gt;0,Dados!$A1177&gt;Imóveis!$E$5),0,1)*Imóveis!$I$5</f>
        <v>0</v>
      </c>
      <c r="M1177" s="18">
        <f>IF(Imóveis!$F$6="PRICE",IF(AND(Dados!$A1177&gt;=Imóveis!$Q$6,Dados!$A1177&lt;=Imóveis!$T$6),Imóveis!$U$6,0),IF((IF(AND(Dados!$A1177&gt;=Imóveis!$Q$6,Dados!$A1177&lt;=Imóveis!$T$6),Imóveis!$S$6-(DATEDIF(Imóveis!$Q$6,Dados!$A1177,"m")),0))=0,0,((Imóveis!$N$6/Imóveis!$S$6)+((Imóveis!$N$6-((Imóveis!$S$6-(IF(AND(Dados!$A1177&gt;=Imóveis!$Q$6,Dados!$A1177&lt;=Imóveis!$T$6),Imóveis!$S$6-(DATEDIF(Imóveis!$Q$6,Dados!$A1177,"m")),)))*(Imóveis!$N$6/Imóveis!$S$6)))*Imóveis!$P$6))))*IF(AND(Imóveis!$E$6&gt;0,Dados!$A1177&gt;Imóveis!$E$6),0,1)*Imóveis!$I$6</f>
        <v>0</v>
      </c>
      <c r="N1177" s="18">
        <f t="shared" si="149"/>
        <v>0</v>
      </c>
      <c r="O1177" s="18">
        <f>SUMIFS(Receitas!$F:$F,Receitas!$J:$J,"&lt;="&amp;$A1177,Receitas!$L:$L,"&gt;="&amp;$A1177,Receitas!$C:$C,O$1,Receitas!$M:$M,"Mensal")+SUMIFS(Receitas!$F:$F,Receitas!$J:$J,"&lt;="&amp;$A1177,Receitas!$L:$L,"&gt;="&amp;$A1177,Receitas!$C:$C,O$1,Receitas!$M:$M,$B1177)</f>
        <v>0</v>
      </c>
      <c r="P1177" s="18">
        <f>SUMIFS(Receitas!$F:$F,Receitas!$J:$J,"&lt;="&amp;$A1177,Receitas!$L:$L,"&gt;="&amp;$A1177,Receitas!$C:$C,P$1,Receitas!$M:$M,"Mensal")+SUMIFS(Receitas!$F:$F,Receitas!$J:$J,"&lt;="&amp;$A1177,Receitas!$L:$L,"&gt;="&amp;$A1177,Receitas!$C:$C,P$1,Receitas!$M:$M,$B1177)</f>
        <v>0</v>
      </c>
      <c r="Q1177" s="18">
        <f>SUMIFS(Receitas!$F:$F,Receitas!$J:$J,"&lt;="&amp;$A1177,Receitas!$L:$L,"&gt;="&amp;$A1177,Receitas!$C:$C,Q$1,Receitas!$M:$M,"Mensal")+SUMIFS(Receitas!$F:$F,Receitas!$J:$J,"&lt;="&amp;$A1177,Receitas!$L:$L,"&gt;="&amp;$A1177,Receitas!$C:$C,Q$1,Receitas!$M:$M,$B1177)</f>
        <v>0</v>
      </c>
      <c r="R1177" s="18" cm="1">
        <f t="array" ref="R1177">(IF(AND(Membros!$F$2="Sim",A1177&lt;=MAX(Membros!$E$2:$E$5)),Membros!K$2,IF(AND(A1177&gt;=Membros!J$2,A1177&lt;=MAX(Membros!$E$2:$E$5)),Membros!K$2,0))+IF(AND(Membros!$F$3="Sim",A1177&lt;=MAX(Membros!$E$2:$E$5)),Membros!K$3,IF(AND(A1177&gt;=Membros!J$3,A1177&lt;=MAX(Membros!$E$2:$E$5)),Membros!K$3,0)))*IF(AND(COUNTIFS(Tabela3[Tipo],"Provedor",Tabela3[Simulação Seguro],"Sim")=2,A1177&gt;=MAX(IF(Tabela3[Tipo]="Dependente",Tabela3[Expectativa de Vida (Data)]))),0,1)</f>
        <v>0</v>
      </c>
      <c r="S1177" s="18">
        <f t="shared" si="150"/>
        <v>0</v>
      </c>
      <c r="U1177" s="18">
        <f t="shared" ca="1" si="153"/>
        <v>220054025.07571062</v>
      </c>
      <c r="V1177" s="18">
        <f>SUMIF(Imóveis!E:E,Dados!A:A,Imóveis!Z:Z)-SUMIF(Imóveis!E:E,Dados!A:A,Imóveis!Y:Y)</f>
        <v>0</v>
      </c>
      <c r="W1177" s="18">
        <f>-SUMIF(Projetos!N:N,A1177,Projetos!F:F)</f>
        <v>0</v>
      </c>
      <c r="X1177" s="18">
        <f t="shared" si="147"/>
        <v>0</v>
      </c>
      <c r="Y1177" s="26">
        <f ca="1">(U1177*((Indicadores_Economicos!D$2+1)^(1/12)-1))</f>
        <v>720399.61612335138</v>
      </c>
      <c r="Z1177" s="18">
        <f t="shared" ca="1" si="151"/>
        <v>220774424.69183397</v>
      </c>
      <c r="AA1177" s="18">
        <f ca="1">Auxiliar_Projetos!E1177</f>
        <v>1.8198828311992451E-8</v>
      </c>
      <c r="AB1177" s="18">
        <f ca="1">Auxiliar_Projetos!K1177</f>
        <v>1.399909870153263E-8</v>
      </c>
      <c r="AC1177" s="18">
        <f ca="1">IF(Z1177-AA1177-AB1177&gt;Investimentos!$C$14,Investimentos!$C$14,IF(Z1177-AA1177-AB1177&lt;Investimentos!$C$14,Z1177-AA1177-AB1177,0))</f>
        <v>300000</v>
      </c>
      <c r="AD1177" s="18">
        <f t="shared" ca="1" si="152"/>
        <v>220474424.69183394</v>
      </c>
      <c r="AE1177" s="18"/>
    </row>
    <row r="1178" spans="1:31" x14ac:dyDescent="0.2">
      <c r="A1178" s="4">
        <v>81451</v>
      </c>
      <c r="B1178" s="5" t="str">
        <f t="shared" si="148"/>
        <v>janeiro</v>
      </c>
      <c r="C1178" s="5" t="str">
        <f t="shared" si="154"/>
        <v>2123</v>
      </c>
      <c r="D1178" s="5">
        <f>SUMIFS(Despesas!$F:$F,Despesas!$J:$J,"&lt;="&amp;$A1178,Despesas!$L:$L,"&gt;="&amp;$A1178,Despesas!$C:$C,D$1,Despesas!$M:$M,"Mensal")+SUMIFS(Despesas!$F:$F,Despesas!$J:$J,"&lt;="&amp;$A1178,Despesas!$L:$L,"&gt;="&amp;$A1178,Despesas!$C:$C,D$1,Despesas!$M:$M,$B1178)</f>
        <v>0</v>
      </c>
      <c r="E1178" s="18">
        <f>SUMIFS(Despesas!$F:$F,Despesas!$J:$J,"&lt;="&amp;$A1178,Despesas!$L:$L,"&gt;="&amp;$A1178,Despesas!$C:$C,E$1,Despesas!$M:$M,"Mensal")+SUMIFS(Despesas!$F:$F,Despesas!$J:$J,"&lt;="&amp;$A1178,Despesas!$L:$L,"&gt;="&amp;$A1178,Despesas!$C:$C,E$1,Despesas!$M:$M,$B1178)</f>
        <v>0</v>
      </c>
      <c r="F1178" s="5">
        <f>SUMIFS(Despesas!$F:$F,Despesas!$J:$J,"&lt;="&amp;$A1178,Despesas!$L:$L,"&gt;="&amp;$A1178,Despesas!$C:$C,F$1,Despesas!$M:$M,"Mensal")+SUMIFS(Despesas!$F:$F,Despesas!$J:$J,"&lt;="&amp;$A1178,Despesas!$L:$L,"&gt;="&amp;$A1178,Despesas!$C:$C,F$1,Despesas!$M:$M,$B1178)</f>
        <v>0</v>
      </c>
      <c r="G1178" s="5">
        <f>SUMIFS(Despesas!$F:$F,Despesas!$J:$J,"&lt;="&amp;$A1178,Despesas!$L:$L,"&gt;="&amp;$A1178,Despesas!$C:$C,G$1,Despesas!$M:$M,"Mensal")+SUMIFS(Despesas!$F:$F,Despesas!$J:$J,"&lt;="&amp;$A1178,Despesas!$L:$L,"&gt;="&amp;$A1178,Despesas!$C:$C,G$1,Despesas!$M:$M,$B1178)</f>
        <v>0</v>
      </c>
      <c r="H1178" s="18">
        <f>SUMIFS(Despesas!$F:$F,Despesas!$J:$J,"&lt;="&amp;$A1178,Despesas!$L:$L,"&gt;="&amp;$A1178,Despesas!$C:$C,H$1,Despesas!$M:$M,"Mensal")+SUMIFS(Despesas!$F:$F,Despesas!$J:$J,"&lt;="&amp;$A1178,Despesas!$L:$L,"&gt;="&amp;$A1178,Despesas!$C:$C,H$1,Despesas!$M:$M,$B1178)</f>
        <v>0</v>
      </c>
      <c r="I1178" s="18">
        <f>IF(Imóveis!$F$2="PRICE",IF(AND(Dados!$A1178&gt;=Imóveis!$Q$2,Dados!$A1178&lt;=Imóveis!$T$2),Imóveis!$U$2,0),IF((IF(AND(Dados!$A1178&gt;=Imóveis!$Q$2,Dados!$A1178&lt;=Imóveis!$T$2),Imóveis!$S$2-(DATEDIF(Imóveis!$Q$2,Dados!$A1178,"m")),0))=0,0,((Imóveis!$N$2/Imóveis!$S$2)+((Imóveis!$N$2-((Imóveis!$S$2-(IF(AND(Dados!$A1178&gt;=Imóveis!$Q$2,Dados!$A1178&lt;=Imóveis!$T$2),Imóveis!$S$2-(DATEDIF(Imóveis!$Q$2,Dados!$A1178,"m")),)))*(Imóveis!$N$2/Imóveis!$S$2)))*Imóveis!$P$2))))*IF(AND(Imóveis!$E$2&gt;0,Dados!$A1178&gt;Imóveis!$E$2),0,1)</f>
        <v>0</v>
      </c>
      <c r="J1178" s="18">
        <f>IF(Imóveis!$F$3="PRICE",IF(AND(Dados!$A1178&gt;=Imóveis!$Q$3,Dados!$A1178&lt;=Imóveis!$T$3),Imóveis!$U$3,0),IF((IF(AND(Dados!$A1178&gt;=Imóveis!$Q$3,Dados!$A1178&lt;=Imóveis!$T$3),Imóveis!$S$3-(DATEDIF(Imóveis!$Q$3,Dados!$A1178,"m")),0))=0,0,((Imóveis!$N$3/Imóveis!$S$3)+((Imóveis!$N$3-((Imóveis!$S$3-(IF(AND(Dados!$A1178&gt;=Imóveis!$Q$3,Dados!$A1178&lt;=Imóveis!$T$3),Imóveis!$S$3-(DATEDIF(Imóveis!$Q$3,Dados!$A1178,"m")),)))*(Imóveis!$N$3/Imóveis!$S$3)))*Imóveis!$P$3))))*IF(AND(Imóveis!$E$3&gt;0,Dados!$A1178&gt;Imóveis!$E$3),0,1)</f>
        <v>0</v>
      </c>
      <c r="K1178" s="18">
        <f>IF(Imóveis!$F$4="PRICE",IF(AND(Dados!$A1178&gt;=Imóveis!$Q$4,Dados!$A1178&lt;=Imóveis!$T$4),Imóveis!$U$4,0),IF((IF(AND(Dados!$A1178&gt;=Imóveis!$Q$4,Dados!$A1178&lt;=Imóveis!$T$4),Imóveis!$S$4-(DATEDIF(Imóveis!$Q$4,Dados!$A1178,"m")),0))=0,0,((Imóveis!$N$4/Imóveis!$S$4)+((Imóveis!$N$4-((Imóveis!$S$4-(IF(AND(Dados!$A1178&gt;=Imóveis!$Q$4,Dados!$A1178&lt;=Imóveis!$T$4),Imóveis!$S$4-(DATEDIF(Imóveis!$Q$4,Dados!$A1178,"m")),)))*(Imóveis!$N$4/Imóveis!$S$4)))*Imóveis!$P$4))))*IF(AND(Imóveis!$E$4&gt;0,Dados!$A1178&gt;Imóveis!$E$4),0,1)</f>
        <v>0</v>
      </c>
      <c r="L1178" s="18">
        <f>IF(Imóveis!$F$5="PRICE",IF(AND(Dados!$A1178&gt;=Imóveis!$Q$5,Dados!$A1178&lt;=Imóveis!$T$5),Imóveis!$U$5,0),IF((IF(AND(Dados!$A1178&gt;=Imóveis!$Q$5,Dados!$A1178&lt;=Imóveis!$T$5),Imóveis!$S$5-(DATEDIF(Imóveis!$Q$5,Dados!$A1178,"m")),0))=0,0,((Imóveis!$N$5/Imóveis!$S$5)+((Imóveis!$N$5-((Imóveis!$S$5-(IF(AND(Dados!$A1178 &gt;=Imóveis!$Q$5,Dados!$A1178&lt;=Imóveis!$T$5),Imóveis!$S$5-(DATEDIF(Imóveis!$Q$5,Dados!$A1178,"m")),)))*(Imóveis!$N$5/Imóveis!$S$5)))*Imóveis!$P$5))))*IF(AND(Imóveis!$E$5&gt;0,Dados!$A1178&gt;Imóveis!$E$5),0,1)*Imóveis!$I$5</f>
        <v>0</v>
      </c>
      <c r="M1178" s="18">
        <f>IF(Imóveis!$F$6="PRICE",IF(AND(Dados!$A1178&gt;=Imóveis!$Q$6,Dados!$A1178&lt;=Imóveis!$T$6),Imóveis!$U$6,0),IF((IF(AND(Dados!$A1178&gt;=Imóveis!$Q$6,Dados!$A1178&lt;=Imóveis!$T$6),Imóveis!$S$6-(DATEDIF(Imóveis!$Q$6,Dados!$A1178,"m")),0))=0,0,((Imóveis!$N$6/Imóveis!$S$6)+((Imóveis!$N$6-((Imóveis!$S$6-(IF(AND(Dados!$A1178&gt;=Imóveis!$Q$6,Dados!$A1178&lt;=Imóveis!$T$6),Imóveis!$S$6-(DATEDIF(Imóveis!$Q$6,Dados!$A1178,"m")),)))*(Imóveis!$N$6/Imóveis!$S$6)))*Imóveis!$P$6))))*IF(AND(Imóveis!$E$6&gt;0,Dados!$A1178&gt;Imóveis!$E$6),0,1)*Imóveis!$I$6</f>
        <v>0</v>
      </c>
      <c r="N1178" s="18">
        <f t="shared" si="149"/>
        <v>0</v>
      </c>
      <c r="O1178" s="18">
        <f>SUMIFS(Receitas!$F:$F,Receitas!$J:$J,"&lt;="&amp;$A1178,Receitas!$L:$L,"&gt;="&amp;$A1178,Receitas!$C:$C,O$1,Receitas!$M:$M,"Mensal")+SUMIFS(Receitas!$F:$F,Receitas!$J:$J,"&lt;="&amp;$A1178,Receitas!$L:$L,"&gt;="&amp;$A1178,Receitas!$C:$C,O$1,Receitas!$M:$M,$B1178)</f>
        <v>0</v>
      </c>
      <c r="P1178" s="18">
        <f>SUMIFS(Receitas!$F:$F,Receitas!$J:$J,"&lt;="&amp;$A1178,Receitas!$L:$L,"&gt;="&amp;$A1178,Receitas!$C:$C,P$1,Receitas!$M:$M,"Mensal")+SUMIFS(Receitas!$F:$F,Receitas!$J:$J,"&lt;="&amp;$A1178,Receitas!$L:$L,"&gt;="&amp;$A1178,Receitas!$C:$C,P$1,Receitas!$M:$M,$B1178)</f>
        <v>0</v>
      </c>
      <c r="Q1178" s="18">
        <f>SUMIFS(Receitas!$F:$F,Receitas!$J:$J,"&lt;="&amp;$A1178,Receitas!$L:$L,"&gt;="&amp;$A1178,Receitas!$C:$C,Q$1,Receitas!$M:$M,"Mensal")+SUMIFS(Receitas!$F:$F,Receitas!$J:$J,"&lt;="&amp;$A1178,Receitas!$L:$L,"&gt;="&amp;$A1178,Receitas!$C:$C,Q$1,Receitas!$M:$M,$B1178)</f>
        <v>0</v>
      </c>
      <c r="R1178" s="18" cm="1">
        <f t="array" ref="R1178">(IF(AND(Membros!$F$2="Sim",A1178&lt;=MAX(Membros!$E$2:$E$5)),Membros!K$2,IF(AND(A1178&gt;=Membros!J$2,A1178&lt;=MAX(Membros!$E$2:$E$5)),Membros!K$2,0))+IF(AND(Membros!$F$3="Sim",A1178&lt;=MAX(Membros!$E$2:$E$5)),Membros!K$3,IF(AND(A1178&gt;=Membros!J$3,A1178&lt;=MAX(Membros!$E$2:$E$5)),Membros!K$3,0)))*IF(AND(COUNTIFS(Tabela3[Tipo],"Provedor",Tabela3[Simulação Seguro],"Sim")=2,A1178&gt;=MAX(IF(Tabela3[Tipo]="Dependente",Tabela3[Expectativa de Vida (Data)]))),0,1)</f>
        <v>0</v>
      </c>
      <c r="S1178" s="18">
        <f t="shared" si="150"/>
        <v>0</v>
      </c>
      <c r="U1178" s="18">
        <f t="shared" ca="1" si="153"/>
        <v>220774424.69183397</v>
      </c>
      <c r="V1178" s="18">
        <f>SUMIF(Imóveis!E:E,Dados!A:A,Imóveis!Z:Z)-SUMIF(Imóveis!E:E,Dados!A:A,Imóveis!Y:Y)</f>
        <v>0</v>
      </c>
      <c r="W1178" s="18">
        <f>-SUMIF(Projetos!N:N,A1178,Projetos!F:F)</f>
        <v>0</v>
      </c>
      <c r="X1178" s="18">
        <f t="shared" si="147"/>
        <v>0</v>
      </c>
      <c r="Y1178" s="26">
        <f ca="1">(U1178*((Indicadores_Economicos!D$2+1)^(1/12)-1))</f>
        <v>722758.01700573519</v>
      </c>
      <c r="Z1178" s="18">
        <f t="shared" ca="1" si="151"/>
        <v>221497182.70883971</v>
      </c>
      <c r="AA1178" s="18">
        <f ca="1">Auxiliar_Projetos!E1178</f>
        <v>1.8258406540226828E-8</v>
      </c>
      <c r="AB1178" s="18">
        <f ca="1">Auxiliar_Projetos!K1178</f>
        <v>1.4044928107866767E-8</v>
      </c>
      <c r="AC1178" s="18">
        <f ca="1">IF(Z1178-AA1178-AB1178&gt;Investimentos!$C$14,Investimentos!$C$14,IF(Z1178-AA1178-AB1178&lt;Investimentos!$C$14,Z1178-AA1178-AB1178,0))</f>
        <v>300000</v>
      </c>
      <c r="AD1178" s="18">
        <f t="shared" ca="1" si="152"/>
        <v>221197182.70883968</v>
      </c>
      <c r="AE1178" s="18"/>
    </row>
    <row r="1179" spans="1:31" x14ac:dyDescent="0.2">
      <c r="A1179" s="4">
        <v>81482</v>
      </c>
      <c r="B1179" s="5" t="str">
        <f t="shared" si="148"/>
        <v>fevereiro</v>
      </c>
      <c r="C1179" s="5" t="str">
        <f t="shared" si="154"/>
        <v>2123</v>
      </c>
      <c r="D1179" s="5">
        <f>SUMIFS(Despesas!$F:$F,Despesas!$J:$J,"&lt;="&amp;$A1179,Despesas!$L:$L,"&gt;="&amp;$A1179,Despesas!$C:$C,D$1,Despesas!$M:$M,"Mensal")+SUMIFS(Despesas!$F:$F,Despesas!$J:$J,"&lt;="&amp;$A1179,Despesas!$L:$L,"&gt;="&amp;$A1179,Despesas!$C:$C,D$1,Despesas!$M:$M,$B1179)</f>
        <v>0</v>
      </c>
      <c r="E1179" s="18">
        <f>SUMIFS(Despesas!$F:$F,Despesas!$J:$J,"&lt;="&amp;$A1179,Despesas!$L:$L,"&gt;="&amp;$A1179,Despesas!$C:$C,E$1,Despesas!$M:$M,"Mensal")+SUMIFS(Despesas!$F:$F,Despesas!$J:$J,"&lt;="&amp;$A1179,Despesas!$L:$L,"&gt;="&amp;$A1179,Despesas!$C:$C,E$1,Despesas!$M:$M,$B1179)</f>
        <v>0</v>
      </c>
      <c r="F1179" s="5">
        <f>SUMIFS(Despesas!$F:$F,Despesas!$J:$J,"&lt;="&amp;$A1179,Despesas!$L:$L,"&gt;="&amp;$A1179,Despesas!$C:$C,F$1,Despesas!$M:$M,"Mensal")+SUMIFS(Despesas!$F:$F,Despesas!$J:$J,"&lt;="&amp;$A1179,Despesas!$L:$L,"&gt;="&amp;$A1179,Despesas!$C:$C,F$1,Despesas!$M:$M,$B1179)</f>
        <v>0</v>
      </c>
      <c r="G1179" s="5">
        <f>SUMIFS(Despesas!$F:$F,Despesas!$J:$J,"&lt;="&amp;$A1179,Despesas!$L:$L,"&gt;="&amp;$A1179,Despesas!$C:$C,G$1,Despesas!$M:$M,"Mensal")+SUMIFS(Despesas!$F:$F,Despesas!$J:$J,"&lt;="&amp;$A1179,Despesas!$L:$L,"&gt;="&amp;$A1179,Despesas!$C:$C,G$1,Despesas!$M:$M,$B1179)</f>
        <v>0</v>
      </c>
      <c r="H1179" s="18">
        <f>SUMIFS(Despesas!$F:$F,Despesas!$J:$J,"&lt;="&amp;$A1179,Despesas!$L:$L,"&gt;="&amp;$A1179,Despesas!$C:$C,H$1,Despesas!$M:$M,"Mensal")+SUMIFS(Despesas!$F:$F,Despesas!$J:$J,"&lt;="&amp;$A1179,Despesas!$L:$L,"&gt;="&amp;$A1179,Despesas!$C:$C,H$1,Despesas!$M:$M,$B1179)</f>
        <v>0</v>
      </c>
      <c r="I1179" s="18">
        <f>IF(Imóveis!$F$2="PRICE",IF(AND(Dados!$A1179&gt;=Imóveis!$Q$2,Dados!$A1179&lt;=Imóveis!$T$2),Imóveis!$U$2,0),IF((IF(AND(Dados!$A1179&gt;=Imóveis!$Q$2,Dados!$A1179&lt;=Imóveis!$T$2),Imóveis!$S$2-(DATEDIF(Imóveis!$Q$2,Dados!$A1179,"m")),0))=0,0,((Imóveis!$N$2/Imóveis!$S$2)+((Imóveis!$N$2-((Imóveis!$S$2-(IF(AND(Dados!$A1179&gt;=Imóveis!$Q$2,Dados!$A1179&lt;=Imóveis!$T$2),Imóveis!$S$2-(DATEDIF(Imóveis!$Q$2,Dados!$A1179,"m")),)))*(Imóveis!$N$2/Imóveis!$S$2)))*Imóveis!$P$2))))*IF(AND(Imóveis!$E$2&gt;0,Dados!$A1179&gt;Imóveis!$E$2),0,1)</f>
        <v>0</v>
      </c>
      <c r="J1179" s="18">
        <f>IF(Imóveis!$F$3="PRICE",IF(AND(Dados!$A1179&gt;=Imóveis!$Q$3,Dados!$A1179&lt;=Imóveis!$T$3),Imóveis!$U$3,0),IF((IF(AND(Dados!$A1179&gt;=Imóveis!$Q$3,Dados!$A1179&lt;=Imóveis!$T$3),Imóveis!$S$3-(DATEDIF(Imóveis!$Q$3,Dados!$A1179,"m")),0))=0,0,((Imóveis!$N$3/Imóveis!$S$3)+((Imóveis!$N$3-((Imóveis!$S$3-(IF(AND(Dados!$A1179&gt;=Imóveis!$Q$3,Dados!$A1179&lt;=Imóveis!$T$3),Imóveis!$S$3-(DATEDIF(Imóveis!$Q$3,Dados!$A1179,"m")),)))*(Imóveis!$N$3/Imóveis!$S$3)))*Imóveis!$P$3))))*IF(AND(Imóveis!$E$3&gt;0,Dados!$A1179&gt;Imóveis!$E$3),0,1)</f>
        <v>0</v>
      </c>
      <c r="K1179" s="18">
        <f>IF(Imóveis!$F$4="PRICE",IF(AND(Dados!$A1179&gt;=Imóveis!$Q$4,Dados!$A1179&lt;=Imóveis!$T$4),Imóveis!$U$4,0),IF((IF(AND(Dados!$A1179&gt;=Imóveis!$Q$4,Dados!$A1179&lt;=Imóveis!$T$4),Imóveis!$S$4-(DATEDIF(Imóveis!$Q$4,Dados!$A1179,"m")),0))=0,0,((Imóveis!$N$4/Imóveis!$S$4)+((Imóveis!$N$4-((Imóveis!$S$4-(IF(AND(Dados!$A1179&gt;=Imóveis!$Q$4,Dados!$A1179&lt;=Imóveis!$T$4),Imóveis!$S$4-(DATEDIF(Imóveis!$Q$4,Dados!$A1179,"m")),)))*(Imóveis!$N$4/Imóveis!$S$4)))*Imóveis!$P$4))))*IF(AND(Imóveis!$E$4&gt;0,Dados!$A1179&gt;Imóveis!$E$4),0,1)</f>
        <v>0</v>
      </c>
      <c r="L1179" s="18">
        <f>IF(Imóveis!$F$5="PRICE",IF(AND(Dados!$A1179&gt;=Imóveis!$Q$5,Dados!$A1179&lt;=Imóveis!$T$5),Imóveis!$U$5,0),IF((IF(AND(Dados!$A1179&gt;=Imóveis!$Q$5,Dados!$A1179&lt;=Imóveis!$T$5),Imóveis!$S$5-(DATEDIF(Imóveis!$Q$5,Dados!$A1179,"m")),0))=0,0,((Imóveis!$N$5/Imóveis!$S$5)+((Imóveis!$N$5-((Imóveis!$S$5-(IF(AND(Dados!$A1179 &gt;=Imóveis!$Q$5,Dados!$A1179&lt;=Imóveis!$T$5),Imóveis!$S$5-(DATEDIF(Imóveis!$Q$5,Dados!$A1179,"m")),)))*(Imóveis!$N$5/Imóveis!$S$5)))*Imóveis!$P$5))))*IF(AND(Imóveis!$E$5&gt;0,Dados!$A1179&gt;Imóveis!$E$5),0,1)*Imóveis!$I$5</f>
        <v>0</v>
      </c>
      <c r="M1179" s="18">
        <f>IF(Imóveis!$F$6="PRICE",IF(AND(Dados!$A1179&gt;=Imóveis!$Q$6,Dados!$A1179&lt;=Imóveis!$T$6),Imóveis!$U$6,0),IF((IF(AND(Dados!$A1179&gt;=Imóveis!$Q$6,Dados!$A1179&lt;=Imóveis!$T$6),Imóveis!$S$6-(DATEDIF(Imóveis!$Q$6,Dados!$A1179,"m")),0))=0,0,((Imóveis!$N$6/Imóveis!$S$6)+((Imóveis!$N$6-((Imóveis!$S$6-(IF(AND(Dados!$A1179&gt;=Imóveis!$Q$6,Dados!$A1179&lt;=Imóveis!$T$6),Imóveis!$S$6-(DATEDIF(Imóveis!$Q$6,Dados!$A1179,"m")),)))*(Imóveis!$N$6/Imóveis!$S$6)))*Imóveis!$P$6))))*IF(AND(Imóveis!$E$6&gt;0,Dados!$A1179&gt;Imóveis!$E$6),0,1)*Imóveis!$I$6</f>
        <v>0</v>
      </c>
      <c r="N1179" s="18">
        <f t="shared" si="149"/>
        <v>0</v>
      </c>
      <c r="O1179" s="18">
        <f>SUMIFS(Receitas!$F:$F,Receitas!$J:$J,"&lt;="&amp;$A1179,Receitas!$L:$L,"&gt;="&amp;$A1179,Receitas!$C:$C,O$1,Receitas!$M:$M,"Mensal")+SUMIFS(Receitas!$F:$F,Receitas!$J:$J,"&lt;="&amp;$A1179,Receitas!$L:$L,"&gt;="&amp;$A1179,Receitas!$C:$C,O$1,Receitas!$M:$M,$B1179)</f>
        <v>0</v>
      </c>
      <c r="P1179" s="18">
        <f>SUMIFS(Receitas!$F:$F,Receitas!$J:$J,"&lt;="&amp;$A1179,Receitas!$L:$L,"&gt;="&amp;$A1179,Receitas!$C:$C,P$1,Receitas!$M:$M,"Mensal")+SUMIFS(Receitas!$F:$F,Receitas!$J:$J,"&lt;="&amp;$A1179,Receitas!$L:$L,"&gt;="&amp;$A1179,Receitas!$C:$C,P$1,Receitas!$M:$M,$B1179)</f>
        <v>0</v>
      </c>
      <c r="Q1179" s="18">
        <f>SUMIFS(Receitas!$F:$F,Receitas!$J:$J,"&lt;="&amp;$A1179,Receitas!$L:$L,"&gt;="&amp;$A1179,Receitas!$C:$C,Q$1,Receitas!$M:$M,"Mensal")+SUMIFS(Receitas!$F:$F,Receitas!$J:$J,"&lt;="&amp;$A1179,Receitas!$L:$L,"&gt;="&amp;$A1179,Receitas!$C:$C,Q$1,Receitas!$M:$M,$B1179)</f>
        <v>0</v>
      </c>
      <c r="R1179" s="18" cm="1">
        <f t="array" ref="R1179">(IF(AND(Membros!$F$2="Sim",A1179&lt;=MAX(Membros!$E$2:$E$5)),Membros!K$2,IF(AND(A1179&gt;=Membros!J$2,A1179&lt;=MAX(Membros!$E$2:$E$5)),Membros!K$2,0))+IF(AND(Membros!$F$3="Sim",A1179&lt;=MAX(Membros!$E$2:$E$5)),Membros!K$3,IF(AND(A1179&gt;=Membros!J$3,A1179&lt;=MAX(Membros!$E$2:$E$5)),Membros!K$3,0)))*IF(AND(COUNTIFS(Tabela3[Tipo],"Provedor",Tabela3[Simulação Seguro],"Sim")=2,A1179&gt;=MAX(IF(Tabela3[Tipo]="Dependente",Tabela3[Expectativa de Vida (Data)]))),0,1)</f>
        <v>0</v>
      </c>
      <c r="S1179" s="18">
        <f t="shared" si="150"/>
        <v>0</v>
      </c>
      <c r="U1179" s="18">
        <f t="shared" ca="1" si="153"/>
        <v>221497182.70883971</v>
      </c>
      <c r="V1179" s="18">
        <f>SUMIF(Imóveis!E:E,Dados!A:A,Imóveis!Z:Z)-SUMIF(Imóveis!E:E,Dados!A:A,Imóveis!Y:Y)</f>
        <v>0</v>
      </c>
      <c r="W1179" s="18">
        <f>-SUMIF(Projetos!N:N,A1179,Projetos!F:F)</f>
        <v>0</v>
      </c>
      <c r="X1179" s="18">
        <f t="shared" si="147"/>
        <v>0</v>
      </c>
      <c r="Y1179" s="26">
        <f ca="1">(U1179*((Indicadores_Economicos!D$2+1)^(1/12)-1))</f>
        <v>725124.13867891009</v>
      </c>
      <c r="Z1179" s="18">
        <f t="shared" ca="1" si="151"/>
        <v>222222306.84751862</v>
      </c>
      <c r="AA1179" s="18">
        <f ca="1">Auxiliar_Projetos!E1179</f>
        <v>1.8318179812077128E-8</v>
      </c>
      <c r="AB1179" s="18">
        <f ca="1">Auxiliar_Projetos!K1179</f>
        <v>1.4090907547751614E-8</v>
      </c>
      <c r="AC1179" s="18">
        <f ca="1">IF(Z1179-AA1179-AB1179&gt;Investimentos!$C$14,Investimentos!$C$14,IF(Z1179-AA1179-AB1179&lt;Investimentos!$C$14,Z1179-AA1179-AB1179,0))</f>
        <v>300000</v>
      </c>
      <c r="AD1179" s="18">
        <f t="shared" ca="1" si="152"/>
        <v>221922306.84751859</v>
      </c>
      <c r="AE1179" s="18"/>
    </row>
    <row r="1180" spans="1:31" x14ac:dyDescent="0.2">
      <c r="A1180" s="4">
        <v>81510</v>
      </c>
      <c r="B1180" s="5" t="str">
        <f t="shared" si="148"/>
        <v>março</v>
      </c>
      <c r="C1180" s="5" t="str">
        <f t="shared" si="154"/>
        <v>2123</v>
      </c>
      <c r="D1180" s="5">
        <f>SUMIFS(Despesas!$F:$F,Despesas!$J:$J,"&lt;="&amp;$A1180,Despesas!$L:$L,"&gt;="&amp;$A1180,Despesas!$C:$C,D$1,Despesas!$M:$M,"Mensal")+SUMIFS(Despesas!$F:$F,Despesas!$J:$J,"&lt;="&amp;$A1180,Despesas!$L:$L,"&gt;="&amp;$A1180,Despesas!$C:$C,D$1,Despesas!$M:$M,$B1180)</f>
        <v>0</v>
      </c>
      <c r="E1180" s="18">
        <f>SUMIFS(Despesas!$F:$F,Despesas!$J:$J,"&lt;="&amp;$A1180,Despesas!$L:$L,"&gt;="&amp;$A1180,Despesas!$C:$C,E$1,Despesas!$M:$M,"Mensal")+SUMIFS(Despesas!$F:$F,Despesas!$J:$J,"&lt;="&amp;$A1180,Despesas!$L:$L,"&gt;="&amp;$A1180,Despesas!$C:$C,E$1,Despesas!$M:$M,$B1180)</f>
        <v>0</v>
      </c>
      <c r="F1180" s="5">
        <f>SUMIFS(Despesas!$F:$F,Despesas!$J:$J,"&lt;="&amp;$A1180,Despesas!$L:$L,"&gt;="&amp;$A1180,Despesas!$C:$C,F$1,Despesas!$M:$M,"Mensal")+SUMIFS(Despesas!$F:$F,Despesas!$J:$J,"&lt;="&amp;$A1180,Despesas!$L:$L,"&gt;="&amp;$A1180,Despesas!$C:$C,F$1,Despesas!$M:$M,$B1180)</f>
        <v>0</v>
      </c>
      <c r="G1180" s="5">
        <f>SUMIFS(Despesas!$F:$F,Despesas!$J:$J,"&lt;="&amp;$A1180,Despesas!$L:$L,"&gt;="&amp;$A1180,Despesas!$C:$C,G$1,Despesas!$M:$M,"Mensal")+SUMIFS(Despesas!$F:$F,Despesas!$J:$J,"&lt;="&amp;$A1180,Despesas!$L:$L,"&gt;="&amp;$A1180,Despesas!$C:$C,G$1,Despesas!$M:$M,$B1180)</f>
        <v>0</v>
      </c>
      <c r="H1180" s="18">
        <f>SUMIFS(Despesas!$F:$F,Despesas!$J:$J,"&lt;="&amp;$A1180,Despesas!$L:$L,"&gt;="&amp;$A1180,Despesas!$C:$C,H$1,Despesas!$M:$M,"Mensal")+SUMIFS(Despesas!$F:$F,Despesas!$J:$J,"&lt;="&amp;$A1180,Despesas!$L:$L,"&gt;="&amp;$A1180,Despesas!$C:$C,H$1,Despesas!$M:$M,$B1180)</f>
        <v>0</v>
      </c>
      <c r="I1180" s="18">
        <f>IF(Imóveis!$F$2="PRICE",IF(AND(Dados!$A1180&gt;=Imóveis!$Q$2,Dados!$A1180&lt;=Imóveis!$T$2),Imóveis!$U$2,0),IF((IF(AND(Dados!$A1180&gt;=Imóveis!$Q$2,Dados!$A1180&lt;=Imóveis!$T$2),Imóveis!$S$2-(DATEDIF(Imóveis!$Q$2,Dados!$A1180,"m")),0))=0,0,((Imóveis!$N$2/Imóveis!$S$2)+((Imóveis!$N$2-((Imóveis!$S$2-(IF(AND(Dados!$A1180&gt;=Imóveis!$Q$2,Dados!$A1180&lt;=Imóveis!$T$2),Imóveis!$S$2-(DATEDIF(Imóveis!$Q$2,Dados!$A1180,"m")),)))*(Imóveis!$N$2/Imóveis!$S$2)))*Imóveis!$P$2))))*IF(AND(Imóveis!$E$2&gt;0,Dados!$A1180&gt;Imóveis!$E$2),0,1)</f>
        <v>0</v>
      </c>
      <c r="J1180" s="18">
        <f>IF(Imóveis!$F$3="PRICE",IF(AND(Dados!$A1180&gt;=Imóveis!$Q$3,Dados!$A1180&lt;=Imóveis!$T$3),Imóveis!$U$3,0),IF((IF(AND(Dados!$A1180&gt;=Imóveis!$Q$3,Dados!$A1180&lt;=Imóveis!$T$3),Imóveis!$S$3-(DATEDIF(Imóveis!$Q$3,Dados!$A1180,"m")),0))=0,0,((Imóveis!$N$3/Imóveis!$S$3)+((Imóveis!$N$3-((Imóveis!$S$3-(IF(AND(Dados!$A1180&gt;=Imóveis!$Q$3,Dados!$A1180&lt;=Imóveis!$T$3),Imóveis!$S$3-(DATEDIF(Imóveis!$Q$3,Dados!$A1180,"m")),)))*(Imóveis!$N$3/Imóveis!$S$3)))*Imóveis!$P$3))))*IF(AND(Imóveis!$E$3&gt;0,Dados!$A1180&gt;Imóveis!$E$3),0,1)</f>
        <v>0</v>
      </c>
      <c r="K1180" s="18">
        <f>IF(Imóveis!$F$4="PRICE",IF(AND(Dados!$A1180&gt;=Imóveis!$Q$4,Dados!$A1180&lt;=Imóveis!$T$4),Imóveis!$U$4,0),IF((IF(AND(Dados!$A1180&gt;=Imóveis!$Q$4,Dados!$A1180&lt;=Imóveis!$T$4),Imóveis!$S$4-(DATEDIF(Imóveis!$Q$4,Dados!$A1180,"m")),0))=0,0,((Imóveis!$N$4/Imóveis!$S$4)+((Imóveis!$N$4-((Imóveis!$S$4-(IF(AND(Dados!$A1180&gt;=Imóveis!$Q$4,Dados!$A1180&lt;=Imóveis!$T$4),Imóveis!$S$4-(DATEDIF(Imóveis!$Q$4,Dados!$A1180,"m")),)))*(Imóveis!$N$4/Imóveis!$S$4)))*Imóveis!$P$4))))*IF(AND(Imóveis!$E$4&gt;0,Dados!$A1180&gt;Imóveis!$E$4),0,1)</f>
        <v>0</v>
      </c>
      <c r="L1180" s="18">
        <f>IF(Imóveis!$F$5="PRICE",IF(AND(Dados!$A1180&gt;=Imóveis!$Q$5,Dados!$A1180&lt;=Imóveis!$T$5),Imóveis!$U$5,0),IF((IF(AND(Dados!$A1180&gt;=Imóveis!$Q$5,Dados!$A1180&lt;=Imóveis!$T$5),Imóveis!$S$5-(DATEDIF(Imóveis!$Q$5,Dados!$A1180,"m")),0))=0,0,((Imóveis!$N$5/Imóveis!$S$5)+((Imóveis!$N$5-((Imóveis!$S$5-(IF(AND(Dados!$A1180 &gt;=Imóveis!$Q$5,Dados!$A1180&lt;=Imóveis!$T$5),Imóveis!$S$5-(DATEDIF(Imóveis!$Q$5,Dados!$A1180,"m")),)))*(Imóveis!$N$5/Imóveis!$S$5)))*Imóveis!$P$5))))*IF(AND(Imóveis!$E$5&gt;0,Dados!$A1180&gt;Imóveis!$E$5),0,1)*Imóveis!$I$5</f>
        <v>0</v>
      </c>
      <c r="M1180" s="18">
        <f>IF(Imóveis!$F$6="PRICE",IF(AND(Dados!$A1180&gt;=Imóveis!$Q$6,Dados!$A1180&lt;=Imóveis!$T$6),Imóveis!$U$6,0),IF((IF(AND(Dados!$A1180&gt;=Imóveis!$Q$6,Dados!$A1180&lt;=Imóveis!$T$6),Imóveis!$S$6-(DATEDIF(Imóveis!$Q$6,Dados!$A1180,"m")),0))=0,0,((Imóveis!$N$6/Imóveis!$S$6)+((Imóveis!$N$6-((Imóveis!$S$6-(IF(AND(Dados!$A1180&gt;=Imóveis!$Q$6,Dados!$A1180&lt;=Imóveis!$T$6),Imóveis!$S$6-(DATEDIF(Imóveis!$Q$6,Dados!$A1180,"m")),)))*(Imóveis!$N$6/Imóveis!$S$6)))*Imóveis!$P$6))))*IF(AND(Imóveis!$E$6&gt;0,Dados!$A1180&gt;Imóveis!$E$6),0,1)*Imóveis!$I$6</f>
        <v>0</v>
      </c>
      <c r="N1180" s="18">
        <f t="shared" si="149"/>
        <v>0</v>
      </c>
      <c r="O1180" s="18">
        <f>SUMIFS(Receitas!$F:$F,Receitas!$J:$J,"&lt;="&amp;$A1180,Receitas!$L:$L,"&gt;="&amp;$A1180,Receitas!$C:$C,O$1,Receitas!$M:$M,"Mensal")+SUMIFS(Receitas!$F:$F,Receitas!$J:$J,"&lt;="&amp;$A1180,Receitas!$L:$L,"&gt;="&amp;$A1180,Receitas!$C:$C,O$1,Receitas!$M:$M,$B1180)</f>
        <v>0</v>
      </c>
      <c r="P1180" s="18">
        <f>SUMIFS(Receitas!$F:$F,Receitas!$J:$J,"&lt;="&amp;$A1180,Receitas!$L:$L,"&gt;="&amp;$A1180,Receitas!$C:$C,P$1,Receitas!$M:$M,"Mensal")+SUMIFS(Receitas!$F:$F,Receitas!$J:$J,"&lt;="&amp;$A1180,Receitas!$L:$L,"&gt;="&amp;$A1180,Receitas!$C:$C,P$1,Receitas!$M:$M,$B1180)</f>
        <v>0</v>
      </c>
      <c r="Q1180" s="18">
        <f>SUMIFS(Receitas!$F:$F,Receitas!$J:$J,"&lt;="&amp;$A1180,Receitas!$L:$L,"&gt;="&amp;$A1180,Receitas!$C:$C,Q$1,Receitas!$M:$M,"Mensal")+SUMIFS(Receitas!$F:$F,Receitas!$J:$J,"&lt;="&amp;$A1180,Receitas!$L:$L,"&gt;="&amp;$A1180,Receitas!$C:$C,Q$1,Receitas!$M:$M,$B1180)</f>
        <v>0</v>
      </c>
      <c r="R1180" s="18" cm="1">
        <f t="array" ref="R1180">(IF(AND(Membros!$F$2="Sim",A1180&lt;=MAX(Membros!$E$2:$E$5)),Membros!K$2,IF(AND(A1180&gt;=Membros!J$2,A1180&lt;=MAX(Membros!$E$2:$E$5)),Membros!K$2,0))+IF(AND(Membros!$F$3="Sim",A1180&lt;=MAX(Membros!$E$2:$E$5)),Membros!K$3,IF(AND(A1180&gt;=Membros!J$3,A1180&lt;=MAX(Membros!$E$2:$E$5)),Membros!K$3,0)))*IF(AND(COUNTIFS(Tabela3[Tipo],"Provedor",Tabela3[Simulação Seguro],"Sim")=2,A1180&gt;=MAX(IF(Tabela3[Tipo]="Dependente",Tabela3[Expectativa de Vida (Data)]))),0,1)</f>
        <v>0</v>
      </c>
      <c r="S1180" s="18">
        <f t="shared" si="150"/>
        <v>0</v>
      </c>
      <c r="U1180" s="18">
        <f t="shared" ca="1" si="153"/>
        <v>222222306.84751862</v>
      </c>
      <c r="V1180" s="18">
        <f>SUMIF(Imóveis!E:E,Dados!A:A,Imóveis!Z:Z)-SUMIF(Imóveis!E:E,Dados!A:A,Imóveis!Y:Y)</f>
        <v>0</v>
      </c>
      <c r="W1180" s="18">
        <f>-SUMIF(Projetos!N:N,A1180,Projetos!F:F)</f>
        <v>0</v>
      </c>
      <c r="X1180" s="18">
        <f t="shared" si="147"/>
        <v>0</v>
      </c>
      <c r="Y1180" s="26">
        <f ca="1">(U1180*((Indicadores_Economicos!D$2+1)^(1/12)-1))</f>
        <v>727498.00641873595</v>
      </c>
      <c r="Z1180" s="18">
        <f t="shared" ca="1" si="151"/>
        <v>222949804.85393736</v>
      </c>
      <c r="AA1180" s="18">
        <f ca="1">Auxiliar_Projetos!E1180</f>
        <v>1.8378148766065397E-8</v>
      </c>
      <c r="AB1180" s="18">
        <f ca="1">Auxiliar_Projetos!K1180</f>
        <v>1.4137037512357976E-8</v>
      </c>
      <c r="AC1180" s="18">
        <f ca="1">IF(Z1180-AA1180-AB1180&gt;Investimentos!$C$14,Investimentos!$C$14,IF(Z1180-AA1180-AB1180&lt;Investimentos!$C$14,Z1180-AA1180-AB1180,0))</f>
        <v>300000</v>
      </c>
      <c r="AD1180" s="18">
        <f t="shared" ca="1" si="152"/>
        <v>222649804.85393733</v>
      </c>
      <c r="AE1180" s="18"/>
    </row>
    <row r="1181" spans="1:31" x14ac:dyDescent="0.2">
      <c r="A1181" s="4">
        <v>81541</v>
      </c>
      <c r="B1181" s="5" t="str">
        <f t="shared" si="148"/>
        <v>abril</v>
      </c>
      <c r="C1181" s="5" t="str">
        <f t="shared" si="154"/>
        <v>2123</v>
      </c>
      <c r="D1181" s="5">
        <f>SUMIFS(Despesas!$F:$F,Despesas!$J:$J,"&lt;="&amp;$A1181,Despesas!$L:$L,"&gt;="&amp;$A1181,Despesas!$C:$C,D$1,Despesas!$M:$M,"Mensal")+SUMIFS(Despesas!$F:$F,Despesas!$J:$J,"&lt;="&amp;$A1181,Despesas!$L:$L,"&gt;="&amp;$A1181,Despesas!$C:$C,D$1,Despesas!$M:$M,$B1181)</f>
        <v>0</v>
      </c>
      <c r="E1181" s="18">
        <f>SUMIFS(Despesas!$F:$F,Despesas!$J:$J,"&lt;="&amp;$A1181,Despesas!$L:$L,"&gt;="&amp;$A1181,Despesas!$C:$C,E$1,Despesas!$M:$M,"Mensal")+SUMIFS(Despesas!$F:$F,Despesas!$J:$J,"&lt;="&amp;$A1181,Despesas!$L:$L,"&gt;="&amp;$A1181,Despesas!$C:$C,E$1,Despesas!$M:$M,$B1181)</f>
        <v>0</v>
      </c>
      <c r="F1181" s="5">
        <f>SUMIFS(Despesas!$F:$F,Despesas!$J:$J,"&lt;="&amp;$A1181,Despesas!$L:$L,"&gt;="&amp;$A1181,Despesas!$C:$C,F$1,Despesas!$M:$M,"Mensal")+SUMIFS(Despesas!$F:$F,Despesas!$J:$J,"&lt;="&amp;$A1181,Despesas!$L:$L,"&gt;="&amp;$A1181,Despesas!$C:$C,F$1,Despesas!$M:$M,$B1181)</f>
        <v>0</v>
      </c>
      <c r="G1181" s="5">
        <f>SUMIFS(Despesas!$F:$F,Despesas!$J:$J,"&lt;="&amp;$A1181,Despesas!$L:$L,"&gt;="&amp;$A1181,Despesas!$C:$C,G$1,Despesas!$M:$M,"Mensal")+SUMIFS(Despesas!$F:$F,Despesas!$J:$J,"&lt;="&amp;$A1181,Despesas!$L:$L,"&gt;="&amp;$A1181,Despesas!$C:$C,G$1,Despesas!$M:$M,$B1181)</f>
        <v>0</v>
      </c>
      <c r="H1181" s="18">
        <f>SUMIFS(Despesas!$F:$F,Despesas!$J:$J,"&lt;="&amp;$A1181,Despesas!$L:$L,"&gt;="&amp;$A1181,Despesas!$C:$C,H$1,Despesas!$M:$M,"Mensal")+SUMIFS(Despesas!$F:$F,Despesas!$J:$J,"&lt;="&amp;$A1181,Despesas!$L:$L,"&gt;="&amp;$A1181,Despesas!$C:$C,H$1,Despesas!$M:$M,$B1181)</f>
        <v>0</v>
      </c>
      <c r="I1181" s="18">
        <f>IF(Imóveis!$F$2="PRICE",IF(AND(Dados!$A1181&gt;=Imóveis!$Q$2,Dados!$A1181&lt;=Imóveis!$T$2),Imóveis!$U$2,0),IF((IF(AND(Dados!$A1181&gt;=Imóveis!$Q$2,Dados!$A1181&lt;=Imóveis!$T$2),Imóveis!$S$2-(DATEDIF(Imóveis!$Q$2,Dados!$A1181,"m")),0))=0,0,((Imóveis!$N$2/Imóveis!$S$2)+((Imóveis!$N$2-((Imóveis!$S$2-(IF(AND(Dados!$A1181&gt;=Imóveis!$Q$2,Dados!$A1181&lt;=Imóveis!$T$2),Imóveis!$S$2-(DATEDIF(Imóveis!$Q$2,Dados!$A1181,"m")),)))*(Imóveis!$N$2/Imóveis!$S$2)))*Imóveis!$P$2))))*IF(AND(Imóveis!$E$2&gt;0,Dados!$A1181&gt;Imóveis!$E$2),0,1)</f>
        <v>0</v>
      </c>
      <c r="J1181" s="18">
        <f>IF(Imóveis!$F$3="PRICE",IF(AND(Dados!$A1181&gt;=Imóveis!$Q$3,Dados!$A1181&lt;=Imóveis!$T$3),Imóveis!$U$3,0),IF((IF(AND(Dados!$A1181&gt;=Imóveis!$Q$3,Dados!$A1181&lt;=Imóveis!$T$3),Imóveis!$S$3-(DATEDIF(Imóveis!$Q$3,Dados!$A1181,"m")),0))=0,0,((Imóveis!$N$3/Imóveis!$S$3)+((Imóveis!$N$3-((Imóveis!$S$3-(IF(AND(Dados!$A1181&gt;=Imóveis!$Q$3,Dados!$A1181&lt;=Imóveis!$T$3),Imóveis!$S$3-(DATEDIF(Imóveis!$Q$3,Dados!$A1181,"m")),)))*(Imóveis!$N$3/Imóveis!$S$3)))*Imóveis!$P$3))))*IF(AND(Imóveis!$E$3&gt;0,Dados!$A1181&gt;Imóveis!$E$3),0,1)</f>
        <v>0</v>
      </c>
      <c r="K1181" s="18">
        <f>IF(Imóveis!$F$4="PRICE",IF(AND(Dados!$A1181&gt;=Imóveis!$Q$4,Dados!$A1181&lt;=Imóveis!$T$4),Imóveis!$U$4,0),IF((IF(AND(Dados!$A1181&gt;=Imóveis!$Q$4,Dados!$A1181&lt;=Imóveis!$T$4),Imóveis!$S$4-(DATEDIF(Imóveis!$Q$4,Dados!$A1181,"m")),0))=0,0,((Imóveis!$N$4/Imóveis!$S$4)+((Imóveis!$N$4-((Imóveis!$S$4-(IF(AND(Dados!$A1181&gt;=Imóveis!$Q$4,Dados!$A1181&lt;=Imóveis!$T$4),Imóveis!$S$4-(DATEDIF(Imóveis!$Q$4,Dados!$A1181,"m")),)))*(Imóveis!$N$4/Imóveis!$S$4)))*Imóveis!$P$4))))*IF(AND(Imóveis!$E$4&gt;0,Dados!$A1181&gt;Imóveis!$E$4),0,1)</f>
        <v>0</v>
      </c>
      <c r="L1181" s="18">
        <f>IF(Imóveis!$F$5="PRICE",IF(AND(Dados!$A1181&gt;=Imóveis!$Q$5,Dados!$A1181&lt;=Imóveis!$T$5),Imóveis!$U$5,0),IF((IF(AND(Dados!$A1181&gt;=Imóveis!$Q$5,Dados!$A1181&lt;=Imóveis!$T$5),Imóveis!$S$5-(DATEDIF(Imóveis!$Q$5,Dados!$A1181,"m")),0))=0,0,((Imóveis!$N$5/Imóveis!$S$5)+((Imóveis!$N$5-((Imóveis!$S$5-(IF(AND(Dados!$A1181 &gt;=Imóveis!$Q$5,Dados!$A1181&lt;=Imóveis!$T$5),Imóveis!$S$5-(DATEDIF(Imóveis!$Q$5,Dados!$A1181,"m")),)))*(Imóveis!$N$5/Imóveis!$S$5)))*Imóveis!$P$5))))*IF(AND(Imóveis!$E$5&gt;0,Dados!$A1181&gt;Imóveis!$E$5),0,1)*Imóveis!$I$5</f>
        <v>0</v>
      </c>
      <c r="M1181" s="18">
        <f>IF(Imóveis!$F$6="PRICE",IF(AND(Dados!$A1181&gt;=Imóveis!$Q$6,Dados!$A1181&lt;=Imóveis!$T$6),Imóveis!$U$6,0),IF((IF(AND(Dados!$A1181&gt;=Imóveis!$Q$6,Dados!$A1181&lt;=Imóveis!$T$6),Imóveis!$S$6-(DATEDIF(Imóveis!$Q$6,Dados!$A1181,"m")),0))=0,0,((Imóveis!$N$6/Imóveis!$S$6)+((Imóveis!$N$6-((Imóveis!$S$6-(IF(AND(Dados!$A1181&gt;=Imóveis!$Q$6,Dados!$A1181&lt;=Imóveis!$T$6),Imóveis!$S$6-(DATEDIF(Imóveis!$Q$6,Dados!$A1181,"m")),)))*(Imóveis!$N$6/Imóveis!$S$6)))*Imóveis!$P$6))))*IF(AND(Imóveis!$E$6&gt;0,Dados!$A1181&gt;Imóveis!$E$6),0,1)*Imóveis!$I$6</f>
        <v>0</v>
      </c>
      <c r="N1181" s="18">
        <f t="shared" si="149"/>
        <v>0</v>
      </c>
      <c r="O1181" s="18">
        <f>SUMIFS(Receitas!$F:$F,Receitas!$J:$J,"&lt;="&amp;$A1181,Receitas!$L:$L,"&gt;="&amp;$A1181,Receitas!$C:$C,O$1,Receitas!$M:$M,"Mensal")+SUMIFS(Receitas!$F:$F,Receitas!$J:$J,"&lt;="&amp;$A1181,Receitas!$L:$L,"&gt;="&amp;$A1181,Receitas!$C:$C,O$1,Receitas!$M:$M,$B1181)</f>
        <v>0</v>
      </c>
      <c r="P1181" s="18">
        <f>SUMIFS(Receitas!$F:$F,Receitas!$J:$J,"&lt;="&amp;$A1181,Receitas!$L:$L,"&gt;="&amp;$A1181,Receitas!$C:$C,P$1,Receitas!$M:$M,"Mensal")+SUMIFS(Receitas!$F:$F,Receitas!$J:$J,"&lt;="&amp;$A1181,Receitas!$L:$L,"&gt;="&amp;$A1181,Receitas!$C:$C,P$1,Receitas!$M:$M,$B1181)</f>
        <v>0</v>
      </c>
      <c r="Q1181" s="18">
        <f>SUMIFS(Receitas!$F:$F,Receitas!$J:$J,"&lt;="&amp;$A1181,Receitas!$L:$L,"&gt;="&amp;$A1181,Receitas!$C:$C,Q$1,Receitas!$M:$M,"Mensal")+SUMIFS(Receitas!$F:$F,Receitas!$J:$J,"&lt;="&amp;$A1181,Receitas!$L:$L,"&gt;="&amp;$A1181,Receitas!$C:$C,Q$1,Receitas!$M:$M,$B1181)</f>
        <v>0</v>
      </c>
      <c r="R1181" s="18" cm="1">
        <f t="array" ref="R1181">(IF(AND(Membros!$F$2="Sim",A1181&lt;=MAX(Membros!$E$2:$E$5)),Membros!K$2,IF(AND(A1181&gt;=Membros!J$2,A1181&lt;=MAX(Membros!$E$2:$E$5)),Membros!K$2,0))+IF(AND(Membros!$F$3="Sim",A1181&lt;=MAX(Membros!$E$2:$E$5)),Membros!K$3,IF(AND(A1181&gt;=Membros!J$3,A1181&lt;=MAX(Membros!$E$2:$E$5)),Membros!K$3,0)))*IF(AND(COUNTIFS(Tabela3[Tipo],"Provedor",Tabela3[Simulação Seguro],"Sim")=2,A1181&gt;=MAX(IF(Tabela3[Tipo]="Dependente",Tabela3[Expectativa de Vida (Data)]))),0,1)</f>
        <v>0</v>
      </c>
      <c r="S1181" s="18">
        <f t="shared" si="150"/>
        <v>0</v>
      </c>
      <c r="U1181" s="18">
        <f t="shared" ca="1" si="153"/>
        <v>222949804.85393736</v>
      </c>
      <c r="V1181" s="18">
        <f>SUMIF(Imóveis!E:E,Dados!A:A,Imóveis!Z:Z)-SUMIF(Imóveis!E:E,Dados!A:A,Imóveis!Y:Y)</f>
        <v>0</v>
      </c>
      <c r="W1181" s="18">
        <f>-SUMIF(Projetos!N:N,A1181,Projetos!F:F)</f>
        <v>0</v>
      </c>
      <c r="X1181" s="18">
        <f t="shared" si="147"/>
        <v>0</v>
      </c>
      <c r="Y1181" s="26">
        <f ca="1">(U1181*((Indicadores_Economicos!D$2+1)^(1/12)-1))</f>
        <v>729879.64558381937</v>
      </c>
      <c r="Z1181" s="18">
        <f t="shared" ca="1" si="151"/>
        <v>223679684.49952117</v>
      </c>
      <c r="AA1181" s="18">
        <f ca="1">Auxiliar_Projetos!E1181</f>
        <v>1.8438314042804036E-8</v>
      </c>
      <c r="AB1181" s="18">
        <f ca="1">Auxiliar_Projetos!K1181</f>
        <v>1.4183318494464621E-8</v>
      </c>
      <c r="AC1181" s="18">
        <f ca="1">IF(Z1181-AA1181-AB1181&gt;Investimentos!$C$14,Investimentos!$C$14,IF(Z1181-AA1181-AB1181&lt;Investimentos!$C$14,Z1181-AA1181-AB1181,0))</f>
        <v>300000</v>
      </c>
      <c r="AD1181" s="18">
        <f t="shared" ca="1" si="152"/>
        <v>223379684.49952114</v>
      </c>
      <c r="AE1181" s="18"/>
    </row>
    <row r="1182" spans="1:31" x14ac:dyDescent="0.2">
      <c r="A1182" s="4">
        <v>81571</v>
      </c>
      <c r="B1182" s="5" t="str">
        <f t="shared" si="148"/>
        <v>maio</v>
      </c>
      <c r="C1182" s="5" t="str">
        <f t="shared" si="154"/>
        <v>2123</v>
      </c>
      <c r="D1182" s="5">
        <f>SUMIFS(Despesas!$F:$F,Despesas!$J:$J,"&lt;="&amp;$A1182,Despesas!$L:$L,"&gt;="&amp;$A1182,Despesas!$C:$C,D$1,Despesas!$M:$M,"Mensal")+SUMIFS(Despesas!$F:$F,Despesas!$J:$J,"&lt;="&amp;$A1182,Despesas!$L:$L,"&gt;="&amp;$A1182,Despesas!$C:$C,D$1,Despesas!$M:$M,$B1182)</f>
        <v>0</v>
      </c>
      <c r="E1182" s="18">
        <f>SUMIFS(Despesas!$F:$F,Despesas!$J:$J,"&lt;="&amp;$A1182,Despesas!$L:$L,"&gt;="&amp;$A1182,Despesas!$C:$C,E$1,Despesas!$M:$M,"Mensal")+SUMIFS(Despesas!$F:$F,Despesas!$J:$J,"&lt;="&amp;$A1182,Despesas!$L:$L,"&gt;="&amp;$A1182,Despesas!$C:$C,E$1,Despesas!$M:$M,$B1182)</f>
        <v>0</v>
      </c>
      <c r="F1182" s="5">
        <f>SUMIFS(Despesas!$F:$F,Despesas!$J:$J,"&lt;="&amp;$A1182,Despesas!$L:$L,"&gt;="&amp;$A1182,Despesas!$C:$C,F$1,Despesas!$M:$M,"Mensal")+SUMIFS(Despesas!$F:$F,Despesas!$J:$J,"&lt;="&amp;$A1182,Despesas!$L:$L,"&gt;="&amp;$A1182,Despesas!$C:$C,F$1,Despesas!$M:$M,$B1182)</f>
        <v>0</v>
      </c>
      <c r="G1182" s="5">
        <f>SUMIFS(Despesas!$F:$F,Despesas!$J:$J,"&lt;="&amp;$A1182,Despesas!$L:$L,"&gt;="&amp;$A1182,Despesas!$C:$C,G$1,Despesas!$M:$M,"Mensal")+SUMIFS(Despesas!$F:$F,Despesas!$J:$J,"&lt;="&amp;$A1182,Despesas!$L:$L,"&gt;="&amp;$A1182,Despesas!$C:$C,G$1,Despesas!$M:$M,$B1182)</f>
        <v>0</v>
      </c>
      <c r="H1182" s="18">
        <f>SUMIFS(Despesas!$F:$F,Despesas!$J:$J,"&lt;="&amp;$A1182,Despesas!$L:$L,"&gt;="&amp;$A1182,Despesas!$C:$C,H$1,Despesas!$M:$M,"Mensal")+SUMIFS(Despesas!$F:$F,Despesas!$J:$J,"&lt;="&amp;$A1182,Despesas!$L:$L,"&gt;="&amp;$A1182,Despesas!$C:$C,H$1,Despesas!$M:$M,$B1182)</f>
        <v>0</v>
      </c>
      <c r="I1182" s="18">
        <f>IF(Imóveis!$F$2="PRICE",IF(AND(Dados!$A1182&gt;=Imóveis!$Q$2,Dados!$A1182&lt;=Imóveis!$T$2),Imóveis!$U$2,0),IF((IF(AND(Dados!$A1182&gt;=Imóveis!$Q$2,Dados!$A1182&lt;=Imóveis!$T$2),Imóveis!$S$2-(DATEDIF(Imóveis!$Q$2,Dados!$A1182,"m")),0))=0,0,((Imóveis!$N$2/Imóveis!$S$2)+((Imóveis!$N$2-((Imóveis!$S$2-(IF(AND(Dados!$A1182&gt;=Imóveis!$Q$2,Dados!$A1182&lt;=Imóveis!$T$2),Imóveis!$S$2-(DATEDIF(Imóveis!$Q$2,Dados!$A1182,"m")),)))*(Imóveis!$N$2/Imóveis!$S$2)))*Imóveis!$P$2))))*IF(AND(Imóveis!$E$2&gt;0,Dados!$A1182&gt;Imóveis!$E$2),0,1)</f>
        <v>0</v>
      </c>
      <c r="J1182" s="18">
        <f>IF(Imóveis!$F$3="PRICE",IF(AND(Dados!$A1182&gt;=Imóveis!$Q$3,Dados!$A1182&lt;=Imóveis!$T$3),Imóveis!$U$3,0),IF((IF(AND(Dados!$A1182&gt;=Imóveis!$Q$3,Dados!$A1182&lt;=Imóveis!$T$3),Imóveis!$S$3-(DATEDIF(Imóveis!$Q$3,Dados!$A1182,"m")),0))=0,0,((Imóveis!$N$3/Imóveis!$S$3)+((Imóveis!$N$3-((Imóveis!$S$3-(IF(AND(Dados!$A1182&gt;=Imóveis!$Q$3,Dados!$A1182&lt;=Imóveis!$T$3),Imóveis!$S$3-(DATEDIF(Imóveis!$Q$3,Dados!$A1182,"m")),)))*(Imóveis!$N$3/Imóveis!$S$3)))*Imóveis!$P$3))))*IF(AND(Imóveis!$E$3&gt;0,Dados!$A1182&gt;Imóveis!$E$3),0,1)</f>
        <v>0</v>
      </c>
      <c r="K1182" s="18">
        <f>IF(Imóveis!$F$4="PRICE",IF(AND(Dados!$A1182&gt;=Imóveis!$Q$4,Dados!$A1182&lt;=Imóveis!$T$4),Imóveis!$U$4,0),IF((IF(AND(Dados!$A1182&gt;=Imóveis!$Q$4,Dados!$A1182&lt;=Imóveis!$T$4),Imóveis!$S$4-(DATEDIF(Imóveis!$Q$4,Dados!$A1182,"m")),0))=0,0,((Imóveis!$N$4/Imóveis!$S$4)+((Imóveis!$N$4-((Imóveis!$S$4-(IF(AND(Dados!$A1182&gt;=Imóveis!$Q$4,Dados!$A1182&lt;=Imóveis!$T$4),Imóveis!$S$4-(DATEDIF(Imóveis!$Q$4,Dados!$A1182,"m")),)))*(Imóveis!$N$4/Imóveis!$S$4)))*Imóveis!$P$4))))*IF(AND(Imóveis!$E$4&gt;0,Dados!$A1182&gt;Imóveis!$E$4),0,1)</f>
        <v>0</v>
      </c>
      <c r="L1182" s="18">
        <f>IF(Imóveis!$F$5="PRICE",IF(AND(Dados!$A1182&gt;=Imóveis!$Q$5,Dados!$A1182&lt;=Imóveis!$T$5),Imóveis!$U$5,0),IF((IF(AND(Dados!$A1182&gt;=Imóveis!$Q$5,Dados!$A1182&lt;=Imóveis!$T$5),Imóveis!$S$5-(DATEDIF(Imóveis!$Q$5,Dados!$A1182,"m")),0))=0,0,((Imóveis!$N$5/Imóveis!$S$5)+((Imóveis!$N$5-((Imóveis!$S$5-(IF(AND(Dados!$A1182 &gt;=Imóveis!$Q$5,Dados!$A1182&lt;=Imóveis!$T$5),Imóveis!$S$5-(DATEDIF(Imóveis!$Q$5,Dados!$A1182,"m")),)))*(Imóveis!$N$5/Imóveis!$S$5)))*Imóveis!$P$5))))*IF(AND(Imóveis!$E$5&gt;0,Dados!$A1182&gt;Imóveis!$E$5),0,1)*Imóveis!$I$5</f>
        <v>0</v>
      </c>
      <c r="M1182" s="18">
        <f>IF(Imóveis!$F$6="PRICE",IF(AND(Dados!$A1182&gt;=Imóveis!$Q$6,Dados!$A1182&lt;=Imóveis!$T$6),Imóveis!$U$6,0),IF((IF(AND(Dados!$A1182&gt;=Imóveis!$Q$6,Dados!$A1182&lt;=Imóveis!$T$6),Imóveis!$S$6-(DATEDIF(Imóveis!$Q$6,Dados!$A1182,"m")),0))=0,0,((Imóveis!$N$6/Imóveis!$S$6)+((Imóveis!$N$6-((Imóveis!$S$6-(IF(AND(Dados!$A1182&gt;=Imóveis!$Q$6,Dados!$A1182&lt;=Imóveis!$T$6),Imóveis!$S$6-(DATEDIF(Imóveis!$Q$6,Dados!$A1182,"m")),)))*(Imóveis!$N$6/Imóveis!$S$6)))*Imóveis!$P$6))))*IF(AND(Imóveis!$E$6&gt;0,Dados!$A1182&gt;Imóveis!$E$6),0,1)*Imóveis!$I$6</f>
        <v>0</v>
      </c>
      <c r="N1182" s="18">
        <f t="shared" si="149"/>
        <v>0</v>
      </c>
      <c r="O1182" s="18">
        <f>SUMIFS(Receitas!$F:$F,Receitas!$J:$J,"&lt;="&amp;$A1182,Receitas!$L:$L,"&gt;="&amp;$A1182,Receitas!$C:$C,O$1,Receitas!$M:$M,"Mensal")+SUMIFS(Receitas!$F:$F,Receitas!$J:$J,"&lt;="&amp;$A1182,Receitas!$L:$L,"&gt;="&amp;$A1182,Receitas!$C:$C,O$1,Receitas!$M:$M,$B1182)</f>
        <v>0</v>
      </c>
      <c r="P1182" s="18">
        <f>SUMIFS(Receitas!$F:$F,Receitas!$J:$J,"&lt;="&amp;$A1182,Receitas!$L:$L,"&gt;="&amp;$A1182,Receitas!$C:$C,P$1,Receitas!$M:$M,"Mensal")+SUMIFS(Receitas!$F:$F,Receitas!$J:$J,"&lt;="&amp;$A1182,Receitas!$L:$L,"&gt;="&amp;$A1182,Receitas!$C:$C,P$1,Receitas!$M:$M,$B1182)</f>
        <v>0</v>
      </c>
      <c r="Q1182" s="18">
        <f>SUMIFS(Receitas!$F:$F,Receitas!$J:$J,"&lt;="&amp;$A1182,Receitas!$L:$L,"&gt;="&amp;$A1182,Receitas!$C:$C,Q$1,Receitas!$M:$M,"Mensal")+SUMIFS(Receitas!$F:$F,Receitas!$J:$J,"&lt;="&amp;$A1182,Receitas!$L:$L,"&gt;="&amp;$A1182,Receitas!$C:$C,Q$1,Receitas!$M:$M,$B1182)</f>
        <v>0</v>
      </c>
      <c r="R1182" s="18" cm="1">
        <f t="array" ref="R1182">(IF(AND(Membros!$F$2="Sim",A1182&lt;=MAX(Membros!$E$2:$E$5)),Membros!K$2,IF(AND(A1182&gt;=Membros!J$2,A1182&lt;=MAX(Membros!$E$2:$E$5)),Membros!K$2,0))+IF(AND(Membros!$F$3="Sim",A1182&lt;=MAX(Membros!$E$2:$E$5)),Membros!K$3,IF(AND(A1182&gt;=Membros!J$3,A1182&lt;=MAX(Membros!$E$2:$E$5)),Membros!K$3,0)))*IF(AND(COUNTIFS(Tabela3[Tipo],"Provedor",Tabela3[Simulação Seguro],"Sim")=2,A1182&gt;=MAX(IF(Tabela3[Tipo]="Dependente",Tabela3[Expectativa de Vida (Data)]))),0,1)</f>
        <v>0</v>
      </c>
      <c r="S1182" s="18">
        <f t="shared" si="150"/>
        <v>0</v>
      </c>
      <c r="U1182" s="18">
        <f t="shared" ca="1" si="153"/>
        <v>223679684.49952117</v>
      </c>
      <c r="V1182" s="18">
        <f>SUMIF(Imóveis!E:E,Dados!A:A,Imóveis!Z:Z)-SUMIF(Imóveis!E:E,Dados!A:A,Imóveis!Y:Y)</f>
        <v>0</v>
      </c>
      <c r="W1182" s="18">
        <f>-SUMIF(Projetos!N:N,A1182,Projetos!F:F)</f>
        <v>0</v>
      </c>
      <c r="X1182" s="18">
        <f t="shared" si="147"/>
        <v>0</v>
      </c>
      <c r="Y1182" s="26">
        <f ca="1">(U1182*((Indicadores_Economicos!D$2+1)^(1/12)-1))</f>
        <v>732269.08161578432</v>
      </c>
      <c r="Z1182" s="18">
        <f t="shared" ca="1" si="151"/>
        <v>224411953.58113694</v>
      </c>
      <c r="AA1182" s="18">
        <f ca="1">Auxiliar_Projetos!E1182</f>
        <v>1.849867628500264E-8</v>
      </c>
      <c r="AB1182" s="18">
        <f ca="1">Auxiliar_Projetos!K1182</f>
        <v>1.4229750988463548E-8</v>
      </c>
      <c r="AC1182" s="18">
        <f ca="1">IF(Z1182-AA1182-AB1182&gt;Investimentos!$C$14,Investimentos!$C$14,IF(Z1182-AA1182-AB1182&lt;Investimentos!$C$14,Z1182-AA1182-AB1182,0))</f>
        <v>300000</v>
      </c>
      <c r="AD1182" s="18">
        <f t="shared" ca="1" si="152"/>
        <v>224111953.58113691</v>
      </c>
      <c r="AE1182" s="18"/>
    </row>
    <row r="1183" spans="1:31" x14ac:dyDescent="0.2">
      <c r="A1183" s="4">
        <v>81602</v>
      </c>
      <c r="B1183" s="5" t="str">
        <f t="shared" si="148"/>
        <v>junho</v>
      </c>
      <c r="C1183" s="5" t="str">
        <f t="shared" si="154"/>
        <v>2123</v>
      </c>
      <c r="D1183" s="5">
        <f>SUMIFS(Despesas!$F:$F,Despesas!$J:$J,"&lt;="&amp;$A1183,Despesas!$L:$L,"&gt;="&amp;$A1183,Despesas!$C:$C,D$1,Despesas!$M:$M,"Mensal")+SUMIFS(Despesas!$F:$F,Despesas!$J:$J,"&lt;="&amp;$A1183,Despesas!$L:$L,"&gt;="&amp;$A1183,Despesas!$C:$C,D$1,Despesas!$M:$M,$B1183)</f>
        <v>0</v>
      </c>
      <c r="E1183" s="18">
        <f>SUMIFS(Despesas!$F:$F,Despesas!$J:$J,"&lt;="&amp;$A1183,Despesas!$L:$L,"&gt;="&amp;$A1183,Despesas!$C:$C,E$1,Despesas!$M:$M,"Mensal")+SUMIFS(Despesas!$F:$F,Despesas!$J:$J,"&lt;="&amp;$A1183,Despesas!$L:$L,"&gt;="&amp;$A1183,Despesas!$C:$C,E$1,Despesas!$M:$M,$B1183)</f>
        <v>0</v>
      </c>
      <c r="F1183" s="5">
        <f>SUMIFS(Despesas!$F:$F,Despesas!$J:$J,"&lt;="&amp;$A1183,Despesas!$L:$L,"&gt;="&amp;$A1183,Despesas!$C:$C,F$1,Despesas!$M:$M,"Mensal")+SUMIFS(Despesas!$F:$F,Despesas!$J:$J,"&lt;="&amp;$A1183,Despesas!$L:$L,"&gt;="&amp;$A1183,Despesas!$C:$C,F$1,Despesas!$M:$M,$B1183)</f>
        <v>0</v>
      </c>
      <c r="G1183" s="5">
        <f>SUMIFS(Despesas!$F:$F,Despesas!$J:$J,"&lt;="&amp;$A1183,Despesas!$L:$L,"&gt;="&amp;$A1183,Despesas!$C:$C,G$1,Despesas!$M:$M,"Mensal")+SUMIFS(Despesas!$F:$F,Despesas!$J:$J,"&lt;="&amp;$A1183,Despesas!$L:$L,"&gt;="&amp;$A1183,Despesas!$C:$C,G$1,Despesas!$M:$M,$B1183)</f>
        <v>0</v>
      </c>
      <c r="H1183" s="18">
        <f>SUMIFS(Despesas!$F:$F,Despesas!$J:$J,"&lt;="&amp;$A1183,Despesas!$L:$L,"&gt;="&amp;$A1183,Despesas!$C:$C,H$1,Despesas!$M:$M,"Mensal")+SUMIFS(Despesas!$F:$F,Despesas!$J:$J,"&lt;="&amp;$A1183,Despesas!$L:$L,"&gt;="&amp;$A1183,Despesas!$C:$C,H$1,Despesas!$M:$M,$B1183)</f>
        <v>0</v>
      </c>
      <c r="I1183" s="18">
        <f>IF(Imóveis!$F$2="PRICE",IF(AND(Dados!$A1183&gt;=Imóveis!$Q$2,Dados!$A1183&lt;=Imóveis!$T$2),Imóveis!$U$2,0),IF((IF(AND(Dados!$A1183&gt;=Imóveis!$Q$2,Dados!$A1183&lt;=Imóveis!$T$2),Imóveis!$S$2-(DATEDIF(Imóveis!$Q$2,Dados!$A1183,"m")),0))=0,0,((Imóveis!$N$2/Imóveis!$S$2)+((Imóveis!$N$2-((Imóveis!$S$2-(IF(AND(Dados!$A1183&gt;=Imóveis!$Q$2,Dados!$A1183&lt;=Imóveis!$T$2),Imóveis!$S$2-(DATEDIF(Imóveis!$Q$2,Dados!$A1183,"m")),)))*(Imóveis!$N$2/Imóveis!$S$2)))*Imóveis!$P$2))))*IF(AND(Imóveis!$E$2&gt;0,Dados!$A1183&gt;Imóveis!$E$2),0,1)</f>
        <v>0</v>
      </c>
      <c r="J1183" s="18">
        <f>IF(Imóveis!$F$3="PRICE",IF(AND(Dados!$A1183&gt;=Imóveis!$Q$3,Dados!$A1183&lt;=Imóveis!$T$3),Imóveis!$U$3,0),IF((IF(AND(Dados!$A1183&gt;=Imóveis!$Q$3,Dados!$A1183&lt;=Imóveis!$T$3),Imóveis!$S$3-(DATEDIF(Imóveis!$Q$3,Dados!$A1183,"m")),0))=0,0,((Imóveis!$N$3/Imóveis!$S$3)+((Imóveis!$N$3-((Imóveis!$S$3-(IF(AND(Dados!$A1183&gt;=Imóveis!$Q$3,Dados!$A1183&lt;=Imóveis!$T$3),Imóveis!$S$3-(DATEDIF(Imóveis!$Q$3,Dados!$A1183,"m")),)))*(Imóveis!$N$3/Imóveis!$S$3)))*Imóveis!$P$3))))*IF(AND(Imóveis!$E$3&gt;0,Dados!$A1183&gt;Imóveis!$E$3),0,1)</f>
        <v>0</v>
      </c>
      <c r="K1183" s="18">
        <f>IF(Imóveis!$F$4="PRICE",IF(AND(Dados!$A1183&gt;=Imóveis!$Q$4,Dados!$A1183&lt;=Imóveis!$T$4),Imóveis!$U$4,0),IF((IF(AND(Dados!$A1183&gt;=Imóveis!$Q$4,Dados!$A1183&lt;=Imóveis!$T$4),Imóveis!$S$4-(DATEDIF(Imóveis!$Q$4,Dados!$A1183,"m")),0))=0,0,((Imóveis!$N$4/Imóveis!$S$4)+((Imóveis!$N$4-((Imóveis!$S$4-(IF(AND(Dados!$A1183&gt;=Imóveis!$Q$4,Dados!$A1183&lt;=Imóveis!$T$4),Imóveis!$S$4-(DATEDIF(Imóveis!$Q$4,Dados!$A1183,"m")),)))*(Imóveis!$N$4/Imóveis!$S$4)))*Imóveis!$P$4))))*IF(AND(Imóveis!$E$4&gt;0,Dados!$A1183&gt;Imóveis!$E$4),0,1)</f>
        <v>0</v>
      </c>
      <c r="L1183" s="18">
        <f>IF(Imóveis!$F$5="PRICE",IF(AND(Dados!$A1183&gt;=Imóveis!$Q$5,Dados!$A1183&lt;=Imóveis!$T$5),Imóveis!$U$5,0),IF((IF(AND(Dados!$A1183&gt;=Imóveis!$Q$5,Dados!$A1183&lt;=Imóveis!$T$5),Imóveis!$S$5-(DATEDIF(Imóveis!$Q$5,Dados!$A1183,"m")),0))=0,0,((Imóveis!$N$5/Imóveis!$S$5)+((Imóveis!$N$5-((Imóveis!$S$5-(IF(AND(Dados!$A1183 &gt;=Imóveis!$Q$5,Dados!$A1183&lt;=Imóveis!$T$5),Imóveis!$S$5-(DATEDIF(Imóveis!$Q$5,Dados!$A1183,"m")),)))*(Imóveis!$N$5/Imóveis!$S$5)))*Imóveis!$P$5))))*IF(AND(Imóveis!$E$5&gt;0,Dados!$A1183&gt;Imóveis!$E$5),0,1)*Imóveis!$I$5</f>
        <v>0</v>
      </c>
      <c r="M1183" s="18">
        <f>IF(Imóveis!$F$6="PRICE",IF(AND(Dados!$A1183&gt;=Imóveis!$Q$6,Dados!$A1183&lt;=Imóveis!$T$6),Imóveis!$U$6,0),IF((IF(AND(Dados!$A1183&gt;=Imóveis!$Q$6,Dados!$A1183&lt;=Imóveis!$T$6),Imóveis!$S$6-(DATEDIF(Imóveis!$Q$6,Dados!$A1183,"m")),0))=0,0,((Imóveis!$N$6/Imóveis!$S$6)+((Imóveis!$N$6-((Imóveis!$S$6-(IF(AND(Dados!$A1183&gt;=Imóveis!$Q$6,Dados!$A1183&lt;=Imóveis!$T$6),Imóveis!$S$6-(DATEDIF(Imóveis!$Q$6,Dados!$A1183,"m")),)))*(Imóveis!$N$6/Imóveis!$S$6)))*Imóveis!$P$6))))*IF(AND(Imóveis!$E$6&gt;0,Dados!$A1183&gt;Imóveis!$E$6),0,1)*Imóveis!$I$6</f>
        <v>0</v>
      </c>
      <c r="N1183" s="18">
        <f t="shared" si="149"/>
        <v>0</v>
      </c>
      <c r="O1183" s="18">
        <f>SUMIFS(Receitas!$F:$F,Receitas!$J:$J,"&lt;="&amp;$A1183,Receitas!$L:$L,"&gt;="&amp;$A1183,Receitas!$C:$C,O$1,Receitas!$M:$M,"Mensal")+SUMIFS(Receitas!$F:$F,Receitas!$J:$J,"&lt;="&amp;$A1183,Receitas!$L:$L,"&gt;="&amp;$A1183,Receitas!$C:$C,O$1,Receitas!$M:$M,$B1183)</f>
        <v>0</v>
      </c>
      <c r="P1183" s="18">
        <f>SUMIFS(Receitas!$F:$F,Receitas!$J:$J,"&lt;="&amp;$A1183,Receitas!$L:$L,"&gt;="&amp;$A1183,Receitas!$C:$C,P$1,Receitas!$M:$M,"Mensal")+SUMIFS(Receitas!$F:$F,Receitas!$J:$J,"&lt;="&amp;$A1183,Receitas!$L:$L,"&gt;="&amp;$A1183,Receitas!$C:$C,P$1,Receitas!$M:$M,$B1183)</f>
        <v>0</v>
      </c>
      <c r="Q1183" s="18">
        <f>SUMIFS(Receitas!$F:$F,Receitas!$J:$J,"&lt;="&amp;$A1183,Receitas!$L:$L,"&gt;="&amp;$A1183,Receitas!$C:$C,Q$1,Receitas!$M:$M,"Mensal")+SUMIFS(Receitas!$F:$F,Receitas!$J:$J,"&lt;="&amp;$A1183,Receitas!$L:$L,"&gt;="&amp;$A1183,Receitas!$C:$C,Q$1,Receitas!$M:$M,$B1183)</f>
        <v>0</v>
      </c>
      <c r="R1183" s="18" cm="1">
        <f t="array" ref="R1183">(IF(AND(Membros!$F$2="Sim",A1183&lt;=MAX(Membros!$E$2:$E$5)),Membros!K$2,IF(AND(A1183&gt;=Membros!J$2,A1183&lt;=MAX(Membros!$E$2:$E$5)),Membros!K$2,0))+IF(AND(Membros!$F$3="Sim",A1183&lt;=MAX(Membros!$E$2:$E$5)),Membros!K$3,IF(AND(A1183&gt;=Membros!J$3,A1183&lt;=MAX(Membros!$E$2:$E$5)),Membros!K$3,0)))*IF(AND(COUNTIFS(Tabela3[Tipo],"Provedor",Tabela3[Simulação Seguro],"Sim")=2,A1183&gt;=MAX(IF(Tabela3[Tipo]="Dependente",Tabela3[Expectativa de Vida (Data)]))),0,1)</f>
        <v>0</v>
      </c>
      <c r="S1183" s="18">
        <f t="shared" si="150"/>
        <v>0</v>
      </c>
      <c r="U1183" s="18">
        <f t="shared" ca="1" si="153"/>
        <v>224411953.58113694</v>
      </c>
      <c r="V1183" s="18">
        <f>SUMIF(Imóveis!E:E,Dados!A:A,Imóveis!Z:Z)-SUMIF(Imóveis!E:E,Dados!A:A,Imóveis!Y:Y)</f>
        <v>0</v>
      </c>
      <c r="W1183" s="18">
        <f>-SUMIF(Projetos!N:N,A1183,Projetos!F:F)</f>
        <v>0</v>
      </c>
      <c r="X1183" s="18">
        <f t="shared" si="147"/>
        <v>0</v>
      </c>
      <c r="Y1183" s="26">
        <f ca="1">(U1183*((Indicadores_Economicos!D$2+1)^(1/12)-1))</f>
        <v>734666.34003954416</v>
      </c>
      <c r="Z1183" s="18">
        <f t="shared" ca="1" si="151"/>
        <v>225146619.92117649</v>
      </c>
      <c r="AA1183" s="18">
        <f ca="1">Auxiliar_Projetos!E1183</f>
        <v>1.8559236137474873E-8</v>
      </c>
      <c r="AB1183" s="18">
        <f ca="1">Auxiliar_Projetos!K1183</f>
        <v>1.4276335490365266E-8</v>
      </c>
      <c r="AC1183" s="18">
        <f ca="1">IF(Z1183-AA1183-AB1183&gt;Investimentos!$C$14,Investimentos!$C$14,IF(Z1183-AA1183-AB1183&lt;Investimentos!$C$14,Z1183-AA1183-AB1183,0))</f>
        <v>300000</v>
      </c>
      <c r="AD1183" s="18">
        <f t="shared" ca="1" si="152"/>
        <v>224846619.92117646</v>
      </c>
      <c r="AE1183" s="18"/>
    </row>
    <row r="1184" spans="1:31" x14ac:dyDescent="0.2">
      <c r="A1184" s="4">
        <v>81632</v>
      </c>
      <c r="B1184" s="5" t="str">
        <f t="shared" si="148"/>
        <v>julho</v>
      </c>
      <c r="C1184" s="5" t="str">
        <f t="shared" si="154"/>
        <v>2123</v>
      </c>
      <c r="D1184" s="5">
        <f>SUMIFS(Despesas!$F:$F,Despesas!$J:$J,"&lt;="&amp;$A1184,Despesas!$L:$L,"&gt;="&amp;$A1184,Despesas!$C:$C,D$1,Despesas!$M:$M,"Mensal")+SUMIFS(Despesas!$F:$F,Despesas!$J:$J,"&lt;="&amp;$A1184,Despesas!$L:$L,"&gt;="&amp;$A1184,Despesas!$C:$C,D$1,Despesas!$M:$M,$B1184)</f>
        <v>0</v>
      </c>
      <c r="E1184" s="18">
        <f>SUMIFS(Despesas!$F:$F,Despesas!$J:$J,"&lt;="&amp;$A1184,Despesas!$L:$L,"&gt;="&amp;$A1184,Despesas!$C:$C,E$1,Despesas!$M:$M,"Mensal")+SUMIFS(Despesas!$F:$F,Despesas!$J:$J,"&lt;="&amp;$A1184,Despesas!$L:$L,"&gt;="&amp;$A1184,Despesas!$C:$C,E$1,Despesas!$M:$M,$B1184)</f>
        <v>0</v>
      </c>
      <c r="F1184" s="5">
        <f>SUMIFS(Despesas!$F:$F,Despesas!$J:$J,"&lt;="&amp;$A1184,Despesas!$L:$L,"&gt;="&amp;$A1184,Despesas!$C:$C,F$1,Despesas!$M:$M,"Mensal")+SUMIFS(Despesas!$F:$F,Despesas!$J:$J,"&lt;="&amp;$A1184,Despesas!$L:$L,"&gt;="&amp;$A1184,Despesas!$C:$C,F$1,Despesas!$M:$M,$B1184)</f>
        <v>0</v>
      </c>
      <c r="G1184" s="5">
        <f>SUMIFS(Despesas!$F:$F,Despesas!$J:$J,"&lt;="&amp;$A1184,Despesas!$L:$L,"&gt;="&amp;$A1184,Despesas!$C:$C,G$1,Despesas!$M:$M,"Mensal")+SUMIFS(Despesas!$F:$F,Despesas!$J:$J,"&lt;="&amp;$A1184,Despesas!$L:$L,"&gt;="&amp;$A1184,Despesas!$C:$C,G$1,Despesas!$M:$M,$B1184)</f>
        <v>0</v>
      </c>
      <c r="H1184" s="18">
        <f>SUMIFS(Despesas!$F:$F,Despesas!$J:$J,"&lt;="&amp;$A1184,Despesas!$L:$L,"&gt;="&amp;$A1184,Despesas!$C:$C,H$1,Despesas!$M:$M,"Mensal")+SUMIFS(Despesas!$F:$F,Despesas!$J:$J,"&lt;="&amp;$A1184,Despesas!$L:$L,"&gt;="&amp;$A1184,Despesas!$C:$C,H$1,Despesas!$M:$M,$B1184)</f>
        <v>0</v>
      </c>
      <c r="I1184" s="18">
        <f>IF(Imóveis!$F$2="PRICE",IF(AND(Dados!$A1184&gt;=Imóveis!$Q$2,Dados!$A1184&lt;=Imóveis!$T$2),Imóveis!$U$2,0),IF((IF(AND(Dados!$A1184&gt;=Imóveis!$Q$2,Dados!$A1184&lt;=Imóveis!$T$2),Imóveis!$S$2-(DATEDIF(Imóveis!$Q$2,Dados!$A1184,"m")),0))=0,0,((Imóveis!$N$2/Imóveis!$S$2)+((Imóveis!$N$2-((Imóveis!$S$2-(IF(AND(Dados!$A1184&gt;=Imóveis!$Q$2,Dados!$A1184&lt;=Imóveis!$T$2),Imóveis!$S$2-(DATEDIF(Imóveis!$Q$2,Dados!$A1184,"m")),)))*(Imóveis!$N$2/Imóveis!$S$2)))*Imóveis!$P$2))))*IF(AND(Imóveis!$E$2&gt;0,Dados!$A1184&gt;Imóveis!$E$2),0,1)</f>
        <v>0</v>
      </c>
      <c r="J1184" s="18">
        <f>IF(Imóveis!$F$3="PRICE",IF(AND(Dados!$A1184&gt;=Imóveis!$Q$3,Dados!$A1184&lt;=Imóveis!$T$3),Imóveis!$U$3,0),IF((IF(AND(Dados!$A1184&gt;=Imóveis!$Q$3,Dados!$A1184&lt;=Imóveis!$T$3),Imóveis!$S$3-(DATEDIF(Imóveis!$Q$3,Dados!$A1184,"m")),0))=0,0,((Imóveis!$N$3/Imóveis!$S$3)+((Imóveis!$N$3-((Imóveis!$S$3-(IF(AND(Dados!$A1184&gt;=Imóveis!$Q$3,Dados!$A1184&lt;=Imóveis!$T$3),Imóveis!$S$3-(DATEDIF(Imóveis!$Q$3,Dados!$A1184,"m")),)))*(Imóveis!$N$3/Imóveis!$S$3)))*Imóveis!$P$3))))*IF(AND(Imóveis!$E$3&gt;0,Dados!$A1184&gt;Imóveis!$E$3),0,1)</f>
        <v>0</v>
      </c>
      <c r="K1184" s="18">
        <f>IF(Imóveis!$F$4="PRICE",IF(AND(Dados!$A1184&gt;=Imóveis!$Q$4,Dados!$A1184&lt;=Imóveis!$T$4),Imóveis!$U$4,0),IF((IF(AND(Dados!$A1184&gt;=Imóveis!$Q$4,Dados!$A1184&lt;=Imóveis!$T$4),Imóveis!$S$4-(DATEDIF(Imóveis!$Q$4,Dados!$A1184,"m")),0))=0,0,((Imóveis!$N$4/Imóveis!$S$4)+((Imóveis!$N$4-((Imóveis!$S$4-(IF(AND(Dados!$A1184&gt;=Imóveis!$Q$4,Dados!$A1184&lt;=Imóveis!$T$4),Imóveis!$S$4-(DATEDIF(Imóveis!$Q$4,Dados!$A1184,"m")),)))*(Imóveis!$N$4/Imóveis!$S$4)))*Imóveis!$P$4))))*IF(AND(Imóveis!$E$4&gt;0,Dados!$A1184&gt;Imóveis!$E$4),0,1)</f>
        <v>0</v>
      </c>
      <c r="L1184" s="18">
        <f>IF(Imóveis!$F$5="PRICE",IF(AND(Dados!$A1184&gt;=Imóveis!$Q$5,Dados!$A1184&lt;=Imóveis!$T$5),Imóveis!$U$5,0),IF((IF(AND(Dados!$A1184&gt;=Imóveis!$Q$5,Dados!$A1184&lt;=Imóveis!$T$5),Imóveis!$S$5-(DATEDIF(Imóveis!$Q$5,Dados!$A1184,"m")),0))=0,0,((Imóveis!$N$5/Imóveis!$S$5)+((Imóveis!$N$5-((Imóveis!$S$5-(IF(AND(Dados!$A1184 &gt;=Imóveis!$Q$5,Dados!$A1184&lt;=Imóveis!$T$5),Imóveis!$S$5-(DATEDIF(Imóveis!$Q$5,Dados!$A1184,"m")),)))*(Imóveis!$N$5/Imóveis!$S$5)))*Imóveis!$P$5))))*IF(AND(Imóveis!$E$5&gt;0,Dados!$A1184&gt;Imóveis!$E$5),0,1)*Imóveis!$I$5</f>
        <v>0</v>
      </c>
      <c r="M1184" s="18">
        <f>IF(Imóveis!$F$6="PRICE",IF(AND(Dados!$A1184&gt;=Imóveis!$Q$6,Dados!$A1184&lt;=Imóveis!$T$6),Imóveis!$U$6,0),IF((IF(AND(Dados!$A1184&gt;=Imóveis!$Q$6,Dados!$A1184&lt;=Imóveis!$T$6),Imóveis!$S$6-(DATEDIF(Imóveis!$Q$6,Dados!$A1184,"m")),0))=0,0,((Imóveis!$N$6/Imóveis!$S$6)+((Imóveis!$N$6-((Imóveis!$S$6-(IF(AND(Dados!$A1184&gt;=Imóveis!$Q$6,Dados!$A1184&lt;=Imóveis!$T$6),Imóveis!$S$6-(DATEDIF(Imóveis!$Q$6,Dados!$A1184,"m")),)))*(Imóveis!$N$6/Imóveis!$S$6)))*Imóveis!$P$6))))*IF(AND(Imóveis!$E$6&gt;0,Dados!$A1184&gt;Imóveis!$E$6),0,1)*Imóveis!$I$6</f>
        <v>0</v>
      </c>
      <c r="N1184" s="18">
        <f t="shared" si="149"/>
        <v>0</v>
      </c>
      <c r="O1184" s="18">
        <f>SUMIFS(Receitas!$F:$F,Receitas!$J:$J,"&lt;="&amp;$A1184,Receitas!$L:$L,"&gt;="&amp;$A1184,Receitas!$C:$C,O$1,Receitas!$M:$M,"Mensal")+SUMIFS(Receitas!$F:$F,Receitas!$J:$J,"&lt;="&amp;$A1184,Receitas!$L:$L,"&gt;="&amp;$A1184,Receitas!$C:$C,O$1,Receitas!$M:$M,$B1184)</f>
        <v>0</v>
      </c>
      <c r="P1184" s="18">
        <f>SUMIFS(Receitas!$F:$F,Receitas!$J:$J,"&lt;="&amp;$A1184,Receitas!$L:$L,"&gt;="&amp;$A1184,Receitas!$C:$C,P$1,Receitas!$M:$M,"Mensal")+SUMIFS(Receitas!$F:$F,Receitas!$J:$J,"&lt;="&amp;$A1184,Receitas!$L:$L,"&gt;="&amp;$A1184,Receitas!$C:$C,P$1,Receitas!$M:$M,$B1184)</f>
        <v>0</v>
      </c>
      <c r="Q1184" s="18">
        <f>SUMIFS(Receitas!$F:$F,Receitas!$J:$J,"&lt;="&amp;$A1184,Receitas!$L:$L,"&gt;="&amp;$A1184,Receitas!$C:$C,Q$1,Receitas!$M:$M,"Mensal")+SUMIFS(Receitas!$F:$F,Receitas!$J:$J,"&lt;="&amp;$A1184,Receitas!$L:$L,"&gt;="&amp;$A1184,Receitas!$C:$C,Q$1,Receitas!$M:$M,$B1184)</f>
        <v>0</v>
      </c>
      <c r="R1184" s="18" cm="1">
        <f t="array" ref="R1184">(IF(AND(Membros!$F$2="Sim",A1184&lt;=MAX(Membros!$E$2:$E$5)),Membros!K$2,IF(AND(A1184&gt;=Membros!J$2,A1184&lt;=MAX(Membros!$E$2:$E$5)),Membros!K$2,0))+IF(AND(Membros!$F$3="Sim",A1184&lt;=MAX(Membros!$E$2:$E$5)),Membros!K$3,IF(AND(A1184&gt;=Membros!J$3,A1184&lt;=MAX(Membros!$E$2:$E$5)),Membros!K$3,0)))*IF(AND(COUNTIFS(Tabela3[Tipo],"Provedor",Tabela3[Simulação Seguro],"Sim")=2,A1184&gt;=MAX(IF(Tabela3[Tipo]="Dependente",Tabela3[Expectativa de Vida (Data)]))),0,1)</f>
        <v>0</v>
      </c>
      <c r="S1184" s="18">
        <f t="shared" si="150"/>
        <v>0</v>
      </c>
      <c r="U1184" s="18">
        <f t="shared" ca="1" si="153"/>
        <v>225146619.92117649</v>
      </c>
      <c r="V1184" s="18">
        <f>SUMIF(Imóveis!E:E,Dados!A:A,Imóveis!Z:Z)-SUMIF(Imóveis!E:E,Dados!A:A,Imóveis!Y:Y)</f>
        <v>0</v>
      </c>
      <c r="W1184" s="18">
        <f>-SUMIF(Projetos!N:N,A1184,Projetos!F:F)</f>
        <v>0</v>
      </c>
      <c r="X1184" s="18">
        <f t="shared" si="147"/>
        <v>0</v>
      </c>
      <c r="Y1184" s="26">
        <f ca="1">(U1184*((Indicadores_Economicos!D$2+1)^(1/12)-1))</f>
        <v>737071.44646357407</v>
      </c>
      <c r="Z1184" s="18">
        <f t="shared" ca="1" si="151"/>
        <v>225883691.36764008</v>
      </c>
      <c r="AA1184" s="18">
        <f ca="1">Auxiliar_Projetos!E1184</f>
        <v>1.861999424714535E-8</v>
      </c>
      <c r="AB1184" s="18">
        <f ca="1">Auxiliar_Projetos!K1184</f>
        <v>1.4323072497804092E-8</v>
      </c>
      <c r="AC1184" s="18">
        <f ca="1">IF(Z1184-AA1184-AB1184&gt;Investimentos!$C$14,Investimentos!$C$14,IF(Z1184-AA1184-AB1184&lt;Investimentos!$C$14,Z1184-AA1184-AB1184,0))</f>
        <v>300000</v>
      </c>
      <c r="AD1184" s="18">
        <f t="shared" ca="1" si="152"/>
        <v>225583691.36764005</v>
      </c>
      <c r="AE1184" s="18"/>
    </row>
    <row r="1185" spans="1:31" x14ac:dyDescent="0.2">
      <c r="A1185" s="4">
        <v>81663</v>
      </c>
      <c r="B1185" s="5" t="str">
        <f t="shared" si="148"/>
        <v>agosto</v>
      </c>
      <c r="C1185" s="5" t="str">
        <f t="shared" si="154"/>
        <v>2123</v>
      </c>
      <c r="D1185" s="5">
        <f>SUMIFS(Despesas!$F:$F,Despesas!$J:$J,"&lt;="&amp;$A1185,Despesas!$L:$L,"&gt;="&amp;$A1185,Despesas!$C:$C,D$1,Despesas!$M:$M,"Mensal")+SUMIFS(Despesas!$F:$F,Despesas!$J:$J,"&lt;="&amp;$A1185,Despesas!$L:$L,"&gt;="&amp;$A1185,Despesas!$C:$C,D$1,Despesas!$M:$M,$B1185)</f>
        <v>0</v>
      </c>
      <c r="E1185" s="18">
        <f>SUMIFS(Despesas!$F:$F,Despesas!$J:$J,"&lt;="&amp;$A1185,Despesas!$L:$L,"&gt;="&amp;$A1185,Despesas!$C:$C,E$1,Despesas!$M:$M,"Mensal")+SUMIFS(Despesas!$F:$F,Despesas!$J:$J,"&lt;="&amp;$A1185,Despesas!$L:$L,"&gt;="&amp;$A1185,Despesas!$C:$C,E$1,Despesas!$M:$M,$B1185)</f>
        <v>0</v>
      </c>
      <c r="F1185" s="5">
        <f>SUMIFS(Despesas!$F:$F,Despesas!$J:$J,"&lt;="&amp;$A1185,Despesas!$L:$L,"&gt;="&amp;$A1185,Despesas!$C:$C,F$1,Despesas!$M:$M,"Mensal")+SUMIFS(Despesas!$F:$F,Despesas!$J:$J,"&lt;="&amp;$A1185,Despesas!$L:$L,"&gt;="&amp;$A1185,Despesas!$C:$C,F$1,Despesas!$M:$M,$B1185)</f>
        <v>0</v>
      </c>
      <c r="G1185" s="5">
        <f>SUMIFS(Despesas!$F:$F,Despesas!$J:$J,"&lt;="&amp;$A1185,Despesas!$L:$L,"&gt;="&amp;$A1185,Despesas!$C:$C,G$1,Despesas!$M:$M,"Mensal")+SUMIFS(Despesas!$F:$F,Despesas!$J:$J,"&lt;="&amp;$A1185,Despesas!$L:$L,"&gt;="&amp;$A1185,Despesas!$C:$C,G$1,Despesas!$M:$M,$B1185)</f>
        <v>0</v>
      </c>
      <c r="H1185" s="18">
        <f>SUMIFS(Despesas!$F:$F,Despesas!$J:$J,"&lt;="&amp;$A1185,Despesas!$L:$L,"&gt;="&amp;$A1185,Despesas!$C:$C,H$1,Despesas!$M:$M,"Mensal")+SUMIFS(Despesas!$F:$F,Despesas!$J:$J,"&lt;="&amp;$A1185,Despesas!$L:$L,"&gt;="&amp;$A1185,Despesas!$C:$C,H$1,Despesas!$M:$M,$B1185)</f>
        <v>0</v>
      </c>
      <c r="I1185" s="18">
        <f>IF(Imóveis!$F$2="PRICE",IF(AND(Dados!$A1185&gt;=Imóveis!$Q$2,Dados!$A1185&lt;=Imóveis!$T$2),Imóveis!$U$2,0),IF((IF(AND(Dados!$A1185&gt;=Imóveis!$Q$2,Dados!$A1185&lt;=Imóveis!$T$2),Imóveis!$S$2-(DATEDIF(Imóveis!$Q$2,Dados!$A1185,"m")),0))=0,0,((Imóveis!$N$2/Imóveis!$S$2)+((Imóveis!$N$2-((Imóveis!$S$2-(IF(AND(Dados!$A1185&gt;=Imóveis!$Q$2,Dados!$A1185&lt;=Imóveis!$T$2),Imóveis!$S$2-(DATEDIF(Imóveis!$Q$2,Dados!$A1185,"m")),)))*(Imóveis!$N$2/Imóveis!$S$2)))*Imóveis!$P$2))))*IF(AND(Imóveis!$E$2&gt;0,Dados!$A1185&gt;Imóveis!$E$2),0,1)</f>
        <v>0</v>
      </c>
      <c r="J1185" s="18">
        <f>IF(Imóveis!$F$3="PRICE",IF(AND(Dados!$A1185&gt;=Imóveis!$Q$3,Dados!$A1185&lt;=Imóveis!$T$3),Imóveis!$U$3,0),IF((IF(AND(Dados!$A1185&gt;=Imóveis!$Q$3,Dados!$A1185&lt;=Imóveis!$T$3),Imóveis!$S$3-(DATEDIF(Imóveis!$Q$3,Dados!$A1185,"m")),0))=0,0,((Imóveis!$N$3/Imóveis!$S$3)+((Imóveis!$N$3-((Imóveis!$S$3-(IF(AND(Dados!$A1185&gt;=Imóveis!$Q$3,Dados!$A1185&lt;=Imóveis!$T$3),Imóveis!$S$3-(DATEDIF(Imóveis!$Q$3,Dados!$A1185,"m")),)))*(Imóveis!$N$3/Imóveis!$S$3)))*Imóveis!$P$3))))*IF(AND(Imóveis!$E$3&gt;0,Dados!$A1185&gt;Imóveis!$E$3),0,1)</f>
        <v>0</v>
      </c>
      <c r="K1185" s="18">
        <f>IF(Imóveis!$F$4="PRICE",IF(AND(Dados!$A1185&gt;=Imóveis!$Q$4,Dados!$A1185&lt;=Imóveis!$T$4),Imóveis!$U$4,0),IF((IF(AND(Dados!$A1185&gt;=Imóveis!$Q$4,Dados!$A1185&lt;=Imóveis!$T$4),Imóveis!$S$4-(DATEDIF(Imóveis!$Q$4,Dados!$A1185,"m")),0))=0,0,((Imóveis!$N$4/Imóveis!$S$4)+((Imóveis!$N$4-((Imóveis!$S$4-(IF(AND(Dados!$A1185&gt;=Imóveis!$Q$4,Dados!$A1185&lt;=Imóveis!$T$4),Imóveis!$S$4-(DATEDIF(Imóveis!$Q$4,Dados!$A1185,"m")),)))*(Imóveis!$N$4/Imóveis!$S$4)))*Imóveis!$P$4))))*IF(AND(Imóveis!$E$4&gt;0,Dados!$A1185&gt;Imóveis!$E$4),0,1)</f>
        <v>0</v>
      </c>
      <c r="L1185" s="18">
        <f>IF(Imóveis!$F$5="PRICE",IF(AND(Dados!$A1185&gt;=Imóveis!$Q$5,Dados!$A1185&lt;=Imóveis!$T$5),Imóveis!$U$5,0),IF((IF(AND(Dados!$A1185&gt;=Imóveis!$Q$5,Dados!$A1185&lt;=Imóveis!$T$5),Imóveis!$S$5-(DATEDIF(Imóveis!$Q$5,Dados!$A1185,"m")),0))=0,0,((Imóveis!$N$5/Imóveis!$S$5)+((Imóveis!$N$5-((Imóveis!$S$5-(IF(AND(Dados!$A1185 &gt;=Imóveis!$Q$5,Dados!$A1185&lt;=Imóveis!$T$5),Imóveis!$S$5-(DATEDIF(Imóveis!$Q$5,Dados!$A1185,"m")),)))*(Imóveis!$N$5/Imóveis!$S$5)))*Imóveis!$P$5))))*IF(AND(Imóveis!$E$5&gt;0,Dados!$A1185&gt;Imóveis!$E$5),0,1)*Imóveis!$I$5</f>
        <v>0</v>
      </c>
      <c r="M1185" s="18">
        <f>IF(Imóveis!$F$6="PRICE",IF(AND(Dados!$A1185&gt;=Imóveis!$Q$6,Dados!$A1185&lt;=Imóveis!$T$6),Imóveis!$U$6,0),IF((IF(AND(Dados!$A1185&gt;=Imóveis!$Q$6,Dados!$A1185&lt;=Imóveis!$T$6),Imóveis!$S$6-(DATEDIF(Imóveis!$Q$6,Dados!$A1185,"m")),0))=0,0,((Imóveis!$N$6/Imóveis!$S$6)+((Imóveis!$N$6-((Imóveis!$S$6-(IF(AND(Dados!$A1185&gt;=Imóveis!$Q$6,Dados!$A1185&lt;=Imóveis!$T$6),Imóveis!$S$6-(DATEDIF(Imóveis!$Q$6,Dados!$A1185,"m")),)))*(Imóveis!$N$6/Imóveis!$S$6)))*Imóveis!$P$6))))*IF(AND(Imóveis!$E$6&gt;0,Dados!$A1185&gt;Imóveis!$E$6),0,1)*Imóveis!$I$6</f>
        <v>0</v>
      </c>
      <c r="N1185" s="18">
        <f t="shared" si="149"/>
        <v>0</v>
      </c>
      <c r="O1185" s="18">
        <f>SUMIFS(Receitas!$F:$F,Receitas!$J:$J,"&lt;="&amp;$A1185,Receitas!$L:$L,"&gt;="&amp;$A1185,Receitas!$C:$C,O$1,Receitas!$M:$M,"Mensal")+SUMIFS(Receitas!$F:$F,Receitas!$J:$J,"&lt;="&amp;$A1185,Receitas!$L:$L,"&gt;="&amp;$A1185,Receitas!$C:$C,O$1,Receitas!$M:$M,$B1185)</f>
        <v>0</v>
      </c>
      <c r="P1185" s="18">
        <f>SUMIFS(Receitas!$F:$F,Receitas!$J:$J,"&lt;="&amp;$A1185,Receitas!$L:$L,"&gt;="&amp;$A1185,Receitas!$C:$C,P$1,Receitas!$M:$M,"Mensal")+SUMIFS(Receitas!$F:$F,Receitas!$J:$J,"&lt;="&amp;$A1185,Receitas!$L:$L,"&gt;="&amp;$A1185,Receitas!$C:$C,P$1,Receitas!$M:$M,$B1185)</f>
        <v>0</v>
      </c>
      <c r="Q1185" s="18">
        <f>SUMIFS(Receitas!$F:$F,Receitas!$J:$J,"&lt;="&amp;$A1185,Receitas!$L:$L,"&gt;="&amp;$A1185,Receitas!$C:$C,Q$1,Receitas!$M:$M,"Mensal")+SUMIFS(Receitas!$F:$F,Receitas!$J:$J,"&lt;="&amp;$A1185,Receitas!$L:$L,"&gt;="&amp;$A1185,Receitas!$C:$C,Q$1,Receitas!$M:$M,$B1185)</f>
        <v>0</v>
      </c>
      <c r="R1185" s="18" cm="1">
        <f t="array" ref="R1185">(IF(AND(Membros!$F$2="Sim",A1185&lt;=MAX(Membros!$E$2:$E$5)),Membros!K$2,IF(AND(A1185&gt;=Membros!J$2,A1185&lt;=MAX(Membros!$E$2:$E$5)),Membros!K$2,0))+IF(AND(Membros!$F$3="Sim",A1185&lt;=MAX(Membros!$E$2:$E$5)),Membros!K$3,IF(AND(A1185&gt;=Membros!J$3,A1185&lt;=MAX(Membros!$E$2:$E$5)),Membros!K$3,0)))*IF(AND(COUNTIFS(Tabela3[Tipo],"Provedor",Tabela3[Simulação Seguro],"Sim")=2,A1185&gt;=MAX(IF(Tabela3[Tipo]="Dependente",Tabela3[Expectativa de Vida (Data)]))),0,1)</f>
        <v>0</v>
      </c>
      <c r="S1185" s="18">
        <f t="shared" si="150"/>
        <v>0</v>
      </c>
      <c r="U1185" s="18">
        <f t="shared" ca="1" si="153"/>
        <v>225883691.36764008</v>
      </c>
      <c r="V1185" s="18">
        <f>SUMIF(Imóveis!E:E,Dados!A:A,Imóveis!Z:Z)-SUMIF(Imóveis!E:E,Dados!A:A,Imóveis!Y:Y)</f>
        <v>0</v>
      </c>
      <c r="W1185" s="18">
        <f>-SUMIF(Projetos!N:N,A1185,Projetos!F:F)</f>
        <v>0</v>
      </c>
      <c r="X1185" s="18">
        <f t="shared" si="147"/>
        <v>0</v>
      </c>
      <c r="Y1185" s="26">
        <f ca="1">(U1185*((Indicadores_Economicos!D$2+1)^(1/12)-1))</f>
        <v>739484.42658018484</v>
      </c>
      <c r="Z1185" s="18">
        <f t="shared" ca="1" si="151"/>
        <v>226623175.79422027</v>
      </c>
      <c r="AA1185" s="18">
        <f ca="1">Auxiliar_Projetos!E1185</f>
        <v>1.8680951263056545E-8</v>
      </c>
      <c r="AB1185" s="18">
        <f ca="1">Auxiliar_Projetos!K1185</f>
        <v>1.4369962510043472E-8</v>
      </c>
      <c r="AC1185" s="18">
        <f ca="1">IF(Z1185-AA1185-AB1185&gt;Investimentos!$C$14,Investimentos!$C$14,IF(Z1185-AA1185-AB1185&lt;Investimentos!$C$14,Z1185-AA1185-AB1185,0))</f>
        <v>300000</v>
      </c>
      <c r="AD1185" s="18">
        <f t="shared" ca="1" si="152"/>
        <v>226323175.79422024</v>
      </c>
      <c r="AE1185" s="18"/>
    </row>
    <row r="1186" spans="1:31" x14ac:dyDescent="0.2">
      <c r="A1186" s="4">
        <v>81694</v>
      </c>
      <c r="B1186" s="5" t="str">
        <f t="shared" si="148"/>
        <v>setembro</v>
      </c>
      <c r="C1186" s="5" t="str">
        <f t="shared" si="154"/>
        <v>2123</v>
      </c>
      <c r="D1186" s="5">
        <f>SUMIFS(Despesas!$F:$F,Despesas!$J:$J,"&lt;="&amp;$A1186,Despesas!$L:$L,"&gt;="&amp;$A1186,Despesas!$C:$C,D$1,Despesas!$M:$M,"Mensal")+SUMIFS(Despesas!$F:$F,Despesas!$J:$J,"&lt;="&amp;$A1186,Despesas!$L:$L,"&gt;="&amp;$A1186,Despesas!$C:$C,D$1,Despesas!$M:$M,$B1186)</f>
        <v>0</v>
      </c>
      <c r="E1186" s="18">
        <f>SUMIFS(Despesas!$F:$F,Despesas!$J:$J,"&lt;="&amp;$A1186,Despesas!$L:$L,"&gt;="&amp;$A1186,Despesas!$C:$C,E$1,Despesas!$M:$M,"Mensal")+SUMIFS(Despesas!$F:$F,Despesas!$J:$J,"&lt;="&amp;$A1186,Despesas!$L:$L,"&gt;="&amp;$A1186,Despesas!$C:$C,E$1,Despesas!$M:$M,$B1186)</f>
        <v>0</v>
      </c>
      <c r="F1186" s="5">
        <f>SUMIFS(Despesas!$F:$F,Despesas!$J:$J,"&lt;="&amp;$A1186,Despesas!$L:$L,"&gt;="&amp;$A1186,Despesas!$C:$C,F$1,Despesas!$M:$M,"Mensal")+SUMIFS(Despesas!$F:$F,Despesas!$J:$J,"&lt;="&amp;$A1186,Despesas!$L:$L,"&gt;="&amp;$A1186,Despesas!$C:$C,F$1,Despesas!$M:$M,$B1186)</f>
        <v>0</v>
      </c>
      <c r="G1186" s="5">
        <f>SUMIFS(Despesas!$F:$F,Despesas!$J:$J,"&lt;="&amp;$A1186,Despesas!$L:$L,"&gt;="&amp;$A1186,Despesas!$C:$C,G$1,Despesas!$M:$M,"Mensal")+SUMIFS(Despesas!$F:$F,Despesas!$J:$J,"&lt;="&amp;$A1186,Despesas!$L:$L,"&gt;="&amp;$A1186,Despesas!$C:$C,G$1,Despesas!$M:$M,$B1186)</f>
        <v>0</v>
      </c>
      <c r="H1186" s="18">
        <f>SUMIFS(Despesas!$F:$F,Despesas!$J:$J,"&lt;="&amp;$A1186,Despesas!$L:$L,"&gt;="&amp;$A1186,Despesas!$C:$C,H$1,Despesas!$M:$M,"Mensal")+SUMIFS(Despesas!$F:$F,Despesas!$J:$J,"&lt;="&amp;$A1186,Despesas!$L:$L,"&gt;="&amp;$A1186,Despesas!$C:$C,H$1,Despesas!$M:$M,$B1186)</f>
        <v>0</v>
      </c>
      <c r="I1186" s="18">
        <f>IF(Imóveis!$F$2="PRICE",IF(AND(Dados!$A1186&gt;=Imóveis!$Q$2,Dados!$A1186&lt;=Imóveis!$T$2),Imóveis!$U$2,0),IF((IF(AND(Dados!$A1186&gt;=Imóveis!$Q$2,Dados!$A1186&lt;=Imóveis!$T$2),Imóveis!$S$2-(DATEDIF(Imóveis!$Q$2,Dados!$A1186,"m")),0))=0,0,((Imóveis!$N$2/Imóveis!$S$2)+((Imóveis!$N$2-((Imóveis!$S$2-(IF(AND(Dados!$A1186&gt;=Imóveis!$Q$2,Dados!$A1186&lt;=Imóveis!$T$2),Imóveis!$S$2-(DATEDIF(Imóveis!$Q$2,Dados!$A1186,"m")),)))*(Imóveis!$N$2/Imóveis!$S$2)))*Imóveis!$P$2))))*IF(AND(Imóveis!$E$2&gt;0,Dados!$A1186&gt;Imóveis!$E$2),0,1)</f>
        <v>0</v>
      </c>
      <c r="J1186" s="18">
        <f>IF(Imóveis!$F$3="PRICE",IF(AND(Dados!$A1186&gt;=Imóveis!$Q$3,Dados!$A1186&lt;=Imóveis!$T$3),Imóveis!$U$3,0),IF((IF(AND(Dados!$A1186&gt;=Imóveis!$Q$3,Dados!$A1186&lt;=Imóveis!$T$3),Imóveis!$S$3-(DATEDIF(Imóveis!$Q$3,Dados!$A1186,"m")),0))=0,0,((Imóveis!$N$3/Imóveis!$S$3)+((Imóveis!$N$3-((Imóveis!$S$3-(IF(AND(Dados!$A1186&gt;=Imóveis!$Q$3,Dados!$A1186&lt;=Imóveis!$T$3),Imóveis!$S$3-(DATEDIF(Imóveis!$Q$3,Dados!$A1186,"m")),)))*(Imóveis!$N$3/Imóveis!$S$3)))*Imóveis!$P$3))))*IF(AND(Imóveis!$E$3&gt;0,Dados!$A1186&gt;Imóveis!$E$3),0,1)</f>
        <v>0</v>
      </c>
      <c r="K1186" s="18">
        <f>IF(Imóveis!$F$4="PRICE",IF(AND(Dados!$A1186&gt;=Imóveis!$Q$4,Dados!$A1186&lt;=Imóveis!$T$4),Imóveis!$U$4,0),IF((IF(AND(Dados!$A1186&gt;=Imóveis!$Q$4,Dados!$A1186&lt;=Imóveis!$T$4),Imóveis!$S$4-(DATEDIF(Imóveis!$Q$4,Dados!$A1186,"m")),0))=0,0,((Imóveis!$N$4/Imóveis!$S$4)+((Imóveis!$N$4-((Imóveis!$S$4-(IF(AND(Dados!$A1186&gt;=Imóveis!$Q$4,Dados!$A1186&lt;=Imóveis!$T$4),Imóveis!$S$4-(DATEDIF(Imóveis!$Q$4,Dados!$A1186,"m")),)))*(Imóveis!$N$4/Imóveis!$S$4)))*Imóveis!$P$4))))*IF(AND(Imóveis!$E$4&gt;0,Dados!$A1186&gt;Imóveis!$E$4),0,1)</f>
        <v>0</v>
      </c>
      <c r="L1186" s="18">
        <f>IF(Imóveis!$F$5="PRICE",IF(AND(Dados!$A1186&gt;=Imóveis!$Q$5,Dados!$A1186&lt;=Imóveis!$T$5),Imóveis!$U$5,0),IF((IF(AND(Dados!$A1186&gt;=Imóveis!$Q$5,Dados!$A1186&lt;=Imóveis!$T$5),Imóveis!$S$5-(DATEDIF(Imóveis!$Q$5,Dados!$A1186,"m")),0))=0,0,((Imóveis!$N$5/Imóveis!$S$5)+((Imóveis!$N$5-((Imóveis!$S$5-(IF(AND(Dados!$A1186 &gt;=Imóveis!$Q$5,Dados!$A1186&lt;=Imóveis!$T$5),Imóveis!$S$5-(DATEDIF(Imóveis!$Q$5,Dados!$A1186,"m")),)))*(Imóveis!$N$5/Imóveis!$S$5)))*Imóveis!$P$5))))*IF(AND(Imóveis!$E$5&gt;0,Dados!$A1186&gt;Imóveis!$E$5),0,1)*Imóveis!$I$5</f>
        <v>0</v>
      </c>
      <c r="M1186" s="18">
        <f>IF(Imóveis!$F$6="PRICE",IF(AND(Dados!$A1186&gt;=Imóveis!$Q$6,Dados!$A1186&lt;=Imóveis!$T$6),Imóveis!$U$6,0),IF((IF(AND(Dados!$A1186&gt;=Imóveis!$Q$6,Dados!$A1186&lt;=Imóveis!$T$6),Imóveis!$S$6-(DATEDIF(Imóveis!$Q$6,Dados!$A1186,"m")),0))=0,0,((Imóveis!$N$6/Imóveis!$S$6)+((Imóveis!$N$6-((Imóveis!$S$6-(IF(AND(Dados!$A1186&gt;=Imóveis!$Q$6,Dados!$A1186&lt;=Imóveis!$T$6),Imóveis!$S$6-(DATEDIF(Imóveis!$Q$6,Dados!$A1186,"m")),)))*(Imóveis!$N$6/Imóveis!$S$6)))*Imóveis!$P$6))))*IF(AND(Imóveis!$E$6&gt;0,Dados!$A1186&gt;Imóveis!$E$6),0,1)*Imóveis!$I$6</f>
        <v>0</v>
      </c>
      <c r="N1186" s="18">
        <f t="shared" si="149"/>
        <v>0</v>
      </c>
      <c r="O1186" s="18">
        <f>SUMIFS(Receitas!$F:$F,Receitas!$J:$J,"&lt;="&amp;$A1186,Receitas!$L:$L,"&gt;="&amp;$A1186,Receitas!$C:$C,O$1,Receitas!$M:$M,"Mensal")+SUMIFS(Receitas!$F:$F,Receitas!$J:$J,"&lt;="&amp;$A1186,Receitas!$L:$L,"&gt;="&amp;$A1186,Receitas!$C:$C,O$1,Receitas!$M:$M,$B1186)</f>
        <v>0</v>
      </c>
      <c r="P1186" s="18">
        <f>SUMIFS(Receitas!$F:$F,Receitas!$J:$J,"&lt;="&amp;$A1186,Receitas!$L:$L,"&gt;="&amp;$A1186,Receitas!$C:$C,P$1,Receitas!$M:$M,"Mensal")+SUMIFS(Receitas!$F:$F,Receitas!$J:$J,"&lt;="&amp;$A1186,Receitas!$L:$L,"&gt;="&amp;$A1186,Receitas!$C:$C,P$1,Receitas!$M:$M,$B1186)</f>
        <v>0</v>
      </c>
      <c r="Q1186" s="18">
        <f>SUMIFS(Receitas!$F:$F,Receitas!$J:$J,"&lt;="&amp;$A1186,Receitas!$L:$L,"&gt;="&amp;$A1186,Receitas!$C:$C,Q$1,Receitas!$M:$M,"Mensal")+SUMIFS(Receitas!$F:$F,Receitas!$J:$J,"&lt;="&amp;$A1186,Receitas!$L:$L,"&gt;="&amp;$A1186,Receitas!$C:$C,Q$1,Receitas!$M:$M,$B1186)</f>
        <v>0</v>
      </c>
      <c r="R1186" s="18" cm="1">
        <f t="array" ref="R1186">(IF(AND(Membros!$F$2="Sim",A1186&lt;=MAX(Membros!$E$2:$E$5)),Membros!K$2,IF(AND(A1186&gt;=Membros!J$2,A1186&lt;=MAX(Membros!$E$2:$E$5)),Membros!K$2,0))+IF(AND(Membros!$F$3="Sim",A1186&lt;=MAX(Membros!$E$2:$E$5)),Membros!K$3,IF(AND(A1186&gt;=Membros!J$3,A1186&lt;=MAX(Membros!$E$2:$E$5)),Membros!K$3,0)))*IF(AND(COUNTIFS(Tabela3[Tipo],"Provedor",Tabela3[Simulação Seguro],"Sim")=2,A1186&gt;=MAX(IF(Tabela3[Tipo]="Dependente",Tabela3[Expectativa de Vida (Data)]))),0,1)</f>
        <v>0</v>
      </c>
      <c r="S1186" s="18">
        <f t="shared" si="150"/>
        <v>0</v>
      </c>
      <c r="U1186" s="18">
        <f t="shared" ca="1" si="153"/>
        <v>226623175.79422027</v>
      </c>
      <c r="V1186" s="18">
        <f>SUMIF(Imóveis!E:E,Dados!A:A,Imóveis!Z:Z)-SUMIF(Imóveis!E:E,Dados!A:A,Imóveis!Y:Y)</f>
        <v>0</v>
      </c>
      <c r="W1186" s="18">
        <f>-SUMIF(Projetos!N:N,A1186,Projetos!F:F)</f>
        <v>0</v>
      </c>
      <c r="X1186" s="18">
        <f t="shared" si="147"/>
        <v>0</v>
      </c>
      <c r="Y1186" s="26">
        <f ca="1">(U1186*((Indicadores_Economicos!D$2+1)^(1/12)-1))</f>
        <v>741905.30616579694</v>
      </c>
      <c r="Z1186" s="18">
        <f t="shared" ca="1" si="151"/>
        <v>227365081.10038605</v>
      </c>
      <c r="AA1186" s="18">
        <f ca="1">Auxiliar_Projetos!E1186</f>
        <v>1.8742107836375732E-8</v>
      </c>
      <c r="AB1186" s="18">
        <f ca="1">Auxiliar_Projetos!K1186</f>
        <v>1.4417006027981308E-8</v>
      </c>
      <c r="AC1186" s="18">
        <f ca="1">IF(Z1186-AA1186-AB1186&gt;Investimentos!$C$14,Investimentos!$C$14,IF(Z1186-AA1186-AB1186&lt;Investimentos!$C$14,Z1186-AA1186-AB1186,0))</f>
        <v>300000</v>
      </c>
      <c r="AD1186" s="18">
        <f t="shared" ca="1" si="152"/>
        <v>227065081.10038602</v>
      </c>
      <c r="AE1186" s="18"/>
    </row>
    <row r="1187" spans="1:31" x14ac:dyDescent="0.2">
      <c r="A1187" s="4">
        <v>81724</v>
      </c>
      <c r="B1187" s="5" t="str">
        <f t="shared" si="148"/>
        <v>outubro</v>
      </c>
      <c r="C1187" s="5" t="str">
        <f t="shared" si="154"/>
        <v>2123</v>
      </c>
      <c r="D1187" s="5">
        <f>SUMIFS(Despesas!$F:$F,Despesas!$J:$J,"&lt;="&amp;$A1187,Despesas!$L:$L,"&gt;="&amp;$A1187,Despesas!$C:$C,D$1,Despesas!$M:$M,"Mensal")+SUMIFS(Despesas!$F:$F,Despesas!$J:$J,"&lt;="&amp;$A1187,Despesas!$L:$L,"&gt;="&amp;$A1187,Despesas!$C:$C,D$1,Despesas!$M:$M,$B1187)</f>
        <v>0</v>
      </c>
      <c r="E1187" s="18">
        <f>SUMIFS(Despesas!$F:$F,Despesas!$J:$J,"&lt;="&amp;$A1187,Despesas!$L:$L,"&gt;="&amp;$A1187,Despesas!$C:$C,E$1,Despesas!$M:$M,"Mensal")+SUMIFS(Despesas!$F:$F,Despesas!$J:$J,"&lt;="&amp;$A1187,Despesas!$L:$L,"&gt;="&amp;$A1187,Despesas!$C:$C,E$1,Despesas!$M:$M,$B1187)</f>
        <v>0</v>
      </c>
      <c r="F1187" s="5">
        <f>SUMIFS(Despesas!$F:$F,Despesas!$J:$J,"&lt;="&amp;$A1187,Despesas!$L:$L,"&gt;="&amp;$A1187,Despesas!$C:$C,F$1,Despesas!$M:$M,"Mensal")+SUMIFS(Despesas!$F:$F,Despesas!$J:$J,"&lt;="&amp;$A1187,Despesas!$L:$L,"&gt;="&amp;$A1187,Despesas!$C:$C,F$1,Despesas!$M:$M,$B1187)</f>
        <v>0</v>
      </c>
      <c r="G1187" s="5">
        <f>SUMIFS(Despesas!$F:$F,Despesas!$J:$J,"&lt;="&amp;$A1187,Despesas!$L:$L,"&gt;="&amp;$A1187,Despesas!$C:$C,G$1,Despesas!$M:$M,"Mensal")+SUMIFS(Despesas!$F:$F,Despesas!$J:$J,"&lt;="&amp;$A1187,Despesas!$L:$L,"&gt;="&amp;$A1187,Despesas!$C:$C,G$1,Despesas!$M:$M,$B1187)</f>
        <v>0</v>
      </c>
      <c r="H1187" s="18">
        <f>SUMIFS(Despesas!$F:$F,Despesas!$J:$J,"&lt;="&amp;$A1187,Despesas!$L:$L,"&gt;="&amp;$A1187,Despesas!$C:$C,H$1,Despesas!$M:$M,"Mensal")+SUMIFS(Despesas!$F:$F,Despesas!$J:$J,"&lt;="&amp;$A1187,Despesas!$L:$L,"&gt;="&amp;$A1187,Despesas!$C:$C,H$1,Despesas!$M:$M,$B1187)</f>
        <v>0</v>
      </c>
      <c r="I1187" s="18">
        <f>IF(Imóveis!$F$2="PRICE",IF(AND(Dados!$A1187&gt;=Imóveis!$Q$2,Dados!$A1187&lt;=Imóveis!$T$2),Imóveis!$U$2,0),IF((IF(AND(Dados!$A1187&gt;=Imóveis!$Q$2,Dados!$A1187&lt;=Imóveis!$T$2),Imóveis!$S$2-(DATEDIF(Imóveis!$Q$2,Dados!$A1187,"m")),0))=0,0,((Imóveis!$N$2/Imóveis!$S$2)+((Imóveis!$N$2-((Imóveis!$S$2-(IF(AND(Dados!$A1187&gt;=Imóveis!$Q$2,Dados!$A1187&lt;=Imóveis!$T$2),Imóveis!$S$2-(DATEDIF(Imóveis!$Q$2,Dados!$A1187,"m")),)))*(Imóveis!$N$2/Imóveis!$S$2)))*Imóveis!$P$2))))*IF(AND(Imóveis!$E$2&gt;0,Dados!$A1187&gt;Imóveis!$E$2),0,1)</f>
        <v>0</v>
      </c>
      <c r="J1187" s="18">
        <f>IF(Imóveis!$F$3="PRICE",IF(AND(Dados!$A1187&gt;=Imóveis!$Q$3,Dados!$A1187&lt;=Imóveis!$T$3),Imóveis!$U$3,0),IF((IF(AND(Dados!$A1187&gt;=Imóveis!$Q$3,Dados!$A1187&lt;=Imóveis!$T$3),Imóveis!$S$3-(DATEDIF(Imóveis!$Q$3,Dados!$A1187,"m")),0))=0,0,((Imóveis!$N$3/Imóveis!$S$3)+((Imóveis!$N$3-((Imóveis!$S$3-(IF(AND(Dados!$A1187&gt;=Imóveis!$Q$3,Dados!$A1187&lt;=Imóveis!$T$3),Imóveis!$S$3-(DATEDIF(Imóveis!$Q$3,Dados!$A1187,"m")),)))*(Imóveis!$N$3/Imóveis!$S$3)))*Imóveis!$P$3))))*IF(AND(Imóveis!$E$3&gt;0,Dados!$A1187&gt;Imóveis!$E$3),0,1)</f>
        <v>0</v>
      </c>
      <c r="K1187" s="18">
        <f>IF(Imóveis!$F$4="PRICE",IF(AND(Dados!$A1187&gt;=Imóveis!$Q$4,Dados!$A1187&lt;=Imóveis!$T$4),Imóveis!$U$4,0),IF((IF(AND(Dados!$A1187&gt;=Imóveis!$Q$4,Dados!$A1187&lt;=Imóveis!$T$4),Imóveis!$S$4-(DATEDIF(Imóveis!$Q$4,Dados!$A1187,"m")),0))=0,0,((Imóveis!$N$4/Imóveis!$S$4)+((Imóveis!$N$4-((Imóveis!$S$4-(IF(AND(Dados!$A1187&gt;=Imóveis!$Q$4,Dados!$A1187&lt;=Imóveis!$T$4),Imóveis!$S$4-(DATEDIF(Imóveis!$Q$4,Dados!$A1187,"m")),)))*(Imóveis!$N$4/Imóveis!$S$4)))*Imóveis!$P$4))))*IF(AND(Imóveis!$E$4&gt;0,Dados!$A1187&gt;Imóveis!$E$4),0,1)</f>
        <v>0</v>
      </c>
      <c r="L1187" s="18">
        <f>IF(Imóveis!$F$5="PRICE",IF(AND(Dados!$A1187&gt;=Imóveis!$Q$5,Dados!$A1187&lt;=Imóveis!$T$5),Imóveis!$U$5,0),IF((IF(AND(Dados!$A1187&gt;=Imóveis!$Q$5,Dados!$A1187&lt;=Imóveis!$T$5),Imóveis!$S$5-(DATEDIF(Imóveis!$Q$5,Dados!$A1187,"m")),0))=0,0,((Imóveis!$N$5/Imóveis!$S$5)+((Imóveis!$N$5-((Imóveis!$S$5-(IF(AND(Dados!$A1187 &gt;=Imóveis!$Q$5,Dados!$A1187&lt;=Imóveis!$T$5),Imóveis!$S$5-(DATEDIF(Imóveis!$Q$5,Dados!$A1187,"m")),)))*(Imóveis!$N$5/Imóveis!$S$5)))*Imóveis!$P$5))))*IF(AND(Imóveis!$E$5&gt;0,Dados!$A1187&gt;Imóveis!$E$5),0,1)*Imóveis!$I$5</f>
        <v>0</v>
      </c>
      <c r="M1187" s="18">
        <f>IF(Imóveis!$F$6="PRICE",IF(AND(Dados!$A1187&gt;=Imóveis!$Q$6,Dados!$A1187&lt;=Imóveis!$T$6),Imóveis!$U$6,0),IF((IF(AND(Dados!$A1187&gt;=Imóveis!$Q$6,Dados!$A1187&lt;=Imóveis!$T$6),Imóveis!$S$6-(DATEDIF(Imóveis!$Q$6,Dados!$A1187,"m")),0))=0,0,((Imóveis!$N$6/Imóveis!$S$6)+((Imóveis!$N$6-((Imóveis!$S$6-(IF(AND(Dados!$A1187&gt;=Imóveis!$Q$6,Dados!$A1187&lt;=Imóveis!$T$6),Imóveis!$S$6-(DATEDIF(Imóveis!$Q$6,Dados!$A1187,"m")),)))*(Imóveis!$N$6/Imóveis!$S$6)))*Imóveis!$P$6))))*IF(AND(Imóveis!$E$6&gt;0,Dados!$A1187&gt;Imóveis!$E$6),0,1)*Imóveis!$I$6</f>
        <v>0</v>
      </c>
      <c r="N1187" s="18">
        <f t="shared" si="149"/>
        <v>0</v>
      </c>
      <c r="O1187" s="18">
        <f>SUMIFS(Receitas!$F:$F,Receitas!$J:$J,"&lt;="&amp;$A1187,Receitas!$L:$L,"&gt;="&amp;$A1187,Receitas!$C:$C,O$1,Receitas!$M:$M,"Mensal")+SUMIFS(Receitas!$F:$F,Receitas!$J:$J,"&lt;="&amp;$A1187,Receitas!$L:$L,"&gt;="&amp;$A1187,Receitas!$C:$C,O$1,Receitas!$M:$M,$B1187)</f>
        <v>0</v>
      </c>
      <c r="P1187" s="18">
        <f>SUMIFS(Receitas!$F:$F,Receitas!$J:$J,"&lt;="&amp;$A1187,Receitas!$L:$L,"&gt;="&amp;$A1187,Receitas!$C:$C,P$1,Receitas!$M:$M,"Mensal")+SUMIFS(Receitas!$F:$F,Receitas!$J:$J,"&lt;="&amp;$A1187,Receitas!$L:$L,"&gt;="&amp;$A1187,Receitas!$C:$C,P$1,Receitas!$M:$M,$B1187)</f>
        <v>0</v>
      </c>
      <c r="Q1187" s="18">
        <f>SUMIFS(Receitas!$F:$F,Receitas!$J:$J,"&lt;="&amp;$A1187,Receitas!$L:$L,"&gt;="&amp;$A1187,Receitas!$C:$C,Q$1,Receitas!$M:$M,"Mensal")+SUMIFS(Receitas!$F:$F,Receitas!$J:$J,"&lt;="&amp;$A1187,Receitas!$L:$L,"&gt;="&amp;$A1187,Receitas!$C:$C,Q$1,Receitas!$M:$M,$B1187)</f>
        <v>0</v>
      </c>
      <c r="R1187" s="18" cm="1">
        <f t="array" ref="R1187">(IF(AND(Membros!$F$2="Sim",A1187&lt;=MAX(Membros!$E$2:$E$5)),Membros!K$2,IF(AND(A1187&gt;=Membros!J$2,A1187&lt;=MAX(Membros!$E$2:$E$5)),Membros!K$2,0))+IF(AND(Membros!$F$3="Sim",A1187&lt;=MAX(Membros!$E$2:$E$5)),Membros!K$3,IF(AND(A1187&gt;=Membros!J$3,A1187&lt;=MAX(Membros!$E$2:$E$5)),Membros!K$3,0)))*IF(AND(COUNTIFS(Tabela3[Tipo],"Provedor",Tabela3[Simulação Seguro],"Sim")=2,A1187&gt;=MAX(IF(Tabela3[Tipo]="Dependente",Tabela3[Expectativa de Vida (Data)]))),0,1)</f>
        <v>0</v>
      </c>
      <c r="S1187" s="18">
        <f t="shared" si="150"/>
        <v>0</v>
      </c>
      <c r="U1187" s="18">
        <f t="shared" ca="1" si="153"/>
        <v>227365081.10038605</v>
      </c>
      <c r="V1187" s="18">
        <f>SUMIF(Imóveis!E:E,Dados!A:A,Imóveis!Z:Z)-SUMIF(Imóveis!E:E,Dados!A:A,Imóveis!Y:Y)</f>
        <v>0</v>
      </c>
      <c r="W1187" s="18">
        <f>-SUMIF(Projetos!N:N,A1187,Projetos!F:F)</f>
        <v>0</v>
      </c>
      <c r="X1187" s="18">
        <f t="shared" si="147"/>
        <v>0</v>
      </c>
      <c r="Y1187" s="26">
        <f ca="1">(U1187*((Indicadores_Economicos!D$2+1)^(1/12)-1))</f>
        <v>744334.11108121637</v>
      </c>
      <c r="Z1187" s="18">
        <f t="shared" ca="1" si="151"/>
        <v>228109415.21146727</v>
      </c>
      <c r="AA1187" s="18">
        <f ca="1">Auxiliar_Projetos!E1187</f>
        <v>1.8803464620401936E-8</v>
      </c>
      <c r="AB1187" s="18">
        <f ca="1">Auxiliar_Projetos!K1187</f>
        <v>1.4464203554155311E-8</v>
      </c>
      <c r="AC1187" s="18">
        <f ca="1">IF(Z1187-AA1187-AB1187&gt;Investimentos!$C$14,Investimentos!$C$14,IF(Z1187-AA1187-AB1187&lt;Investimentos!$C$14,Z1187-AA1187-AB1187,0))</f>
        <v>300000</v>
      </c>
      <c r="AD1187" s="18">
        <f t="shared" ca="1" si="152"/>
        <v>227809415.21146724</v>
      </c>
      <c r="AE1187" s="18"/>
    </row>
    <row r="1188" spans="1:31" x14ac:dyDescent="0.2">
      <c r="A1188" s="4">
        <v>81755</v>
      </c>
      <c r="B1188" s="5" t="str">
        <f t="shared" si="148"/>
        <v>novembro</v>
      </c>
      <c r="C1188" s="5" t="str">
        <f t="shared" si="154"/>
        <v>2123</v>
      </c>
      <c r="D1188" s="5">
        <f>SUMIFS(Despesas!$F:$F,Despesas!$J:$J,"&lt;="&amp;$A1188,Despesas!$L:$L,"&gt;="&amp;$A1188,Despesas!$C:$C,D$1,Despesas!$M:$M,"Mensal")+SUMIFS(Despesas!$F:$F,Despesas!$J:$J,"&lt;="&amp;$A1188,Despesas!$L:$L,"&gt;="&amp;$A1188,Despesas!$C:$C,D$1,Despesas!$M:$M,$B1188)</f>
        <v>0</v>
      </c>
      <c r="E1188" s="18">
        <f>SUMIFS(Despesas!$F:$F,Despesas!$J:$J,"&lt;="&amp;$A1188,Despesas!$L:$L,"&gt;="&amp;$A1188,Despesas!$C:$C,E$1,Despesas!$M:$M,"Mensal")+SUMIFS(Despesas!$F:$F,Despesas!$J:$J,"&lt;="&amp;$A1188,Despesas!$L:$L,"&gt;="&amp;$A1188,Despesas!$C:$C,E$1,Despesas!$M:$M,$B1188)</f>
        <v>0</v>
      </c>
      <c r="F1188" s="5">
        <f>SUMIFS(Despesas!$F:$F,Despesas!$J:$J,"&lt;="&amp;$A1188,Despesas!$L:$L,"&gt;="&amp;$A1188,Despesas!$C:$C,F$1,Despesas!$M:$M,"Mensal")+SUMIFS(Despesas!$F:$F,Despesas!$J:$J,"&lt;="&amp;$A1188,Despesas!$L:$L,"&gt;="&amp;$A1188,Despesas!$C:$C,F$1,Despesas!$M:$M,$B1188)</f>
        <v>0</v>
      </c>
      <c r="G1188" s="5">
        <f>SUMIFS(Despesas!$F:$F,Despesas!$J:$J,"&lt;="&amp;$A1188,Despesas!$L:$L,"&gt;="&amp;$A1188,Despesas!$C:$C,G$1,Despesas!$M:$M,"Mensal")+SUMIFS(Despesas!$F:$F,Despesas!$J:$J,"&lt;="&amp;$A1188,Despesas!$L:$L,"&gt;="&amp;$A1188,Despesas!$C:$C,G$1,Despesas!$M:$M,$B1188)</f>
        <v>0</v>
      </c>
      <c r="H1188" s="18">
        <f>SUMIFS(Despesas!$F:$F,Despesas!$J:$J,"&lt;="&amp;$A1188,Despesas!$L:$L,"&gt;="&amp;$A1188,Despesas!$C:$C,H$1,Despesas!$M:$M,"Mensal")+SUMIFS(Despesas!$F:$F,Despesas!$J:$J,"&lt;="&amp;$A1188,Despesas!$L:$L,"&gt;="&amp;$A1188,Despesas!$C:$C,H$1,Despesas!$M:$M,$B1188)</f>
        <v>0</v>
      </c>
      <c r="I1188" s="18">
        <f>IF(Imóveis!$F$2="PRICE",IF(AND(Dados!$A1188&gt;=Imóveis!$Q$2,Dados!$A1188&lt;=Imóveis!$T$2),Imóveis!$U$2,0),IF((IF(AND(Dados!$A1188&gt;=Imóveis!$Q$2,Dados!$A1188&lt;=Imóveis!$T$2),Imóveis!$S$2-(DATEDIF(Imóveis!$Q$2,Dados!$A1188,"m")),0))=0,0,((Imóveis!$N$2/Imóveis!$S$2)+((Imóveis!$N$2-((Imóveis!$S$2-(IF(AND(Dados!$A1188&gt;=Imóveis!$Q$2,Dados!$A1188&lt;=Imóveis!$T$2),Imóveis!$S$2-(DATEDIF(Imóveis!$Q$2,Dados!$A1188,"m")),)))*(Imóveis!$N$2/Imóveis!$S$2)))*Imóveis!$P$2))))*IF(AND(Imóveis!$E$2&gt;0,Dados!$A1188&gt;Imóveis!$E$2),0,1)</f>
        <v>0</v>
      </c>
      <c r="J1188" s="18">
        <f>IF(Imóveis!$F$3="PRICE",IF(AND(Dados!$A1188&gt;=Imóveis!$Q$3,Dados!$A1188&lt;=Imóveis!$T$3),Imóveis!$U$3,0),IF((IF(AND(Dados!$A1188&gt;=Imóveis!$Q$3,Dados!$A1188&lt;=Imóveis!$T$3),Imóveis!$S$3-(DATEDIF(Imóveis!$Q$3,Dados!$A1188,"m")),0))=0,0,((Imóveis!$N$3/Imóveis!$S$3)+((Imóveis!$N$3-((Imóveis!$S$3-(IF(AND(Dados!$A1188&gt;=Imóveis!$Q$3,Dados!$A1188&lt;=Imóveis!$T$3),Imóveis!$S$3-(DATEDIF(Imóveis!$Q$3,Dados!$A1188,"m")),)))*(Imóveis!$N$3/Imóveis!$S$3)))*Imóveis!$P$3))))*IF(AND(Imóveis!$E$3&gt;0,Dados!$A1188&gt;Imóveis!$E$3),0,1)</f>
        <v>0</v>
      </c>
      <c r="K1188" s="18">
        <f>IF(Imóveis!$F$4="PRICE",IF(AND(Dados!$A1188&gt;=Imóveis!$Q$4,Dados!$A1188&lt;=Imóveis!$T$4),Imóveis!$U$4,0),IF((IF(AND(Dados!$A1188&gt;=Imóveis!$Q$4,Dados!$A1188&lt;=Imóveis!$T$4),Imóveis!$S$4-(DATEDIF(Imóveis!$Q$4,Dados!$A1188,"m")),0))=0,0,((Imóveis!$N$4/Imóveis!$S$4)+((Imóveis!$N$4-((Imóveis!$S$4-(IF(AND(Dados!$A1188&gt;=Imóveis!$Q$4,Dados!$A1188&lt;=Imóveis!$T$4),Imóveis!$S$4-(DATEDIF(Imóveis!$Q$4,Dados!$A1188,"m")),)))*(Imóveis!$N$4/Imóveis!$S$4)))*Imóveis!$P$4))))*IF(AND(Imóveis!$E$4&gt;0,Dados!$A1188&gt;Imóveis!$E$4),0,1)</f>
        <v>0</v>
      </c>
      <c r="L1188" s="18">
        <f>IF(Imóveis!$F$5="PRICE",IF(AND(Dados!$A1188&gt;=Imóveis!$Q$5,Dados!$A1188&lt;=Imóveis!$T$5),Imóveis!$U$5,0),IF((IF(AND(Dados!$A1188&gt;=Imóveis!$Q$5,Dados!$A1188&lt;=Imóveis!$T$5),Imóveis!$S$5-(DATEDIF(Imóveis!$Q$5,Dados!$A1188,"m")),0))=0,0,((Imóveis!$N$5/Imóveis!$S$5)+((Imóveis!$N$5-((Imóveis!$S$5-(IF(AND(Dados!$A1188 &gt;=Imóveis!$Q$5,Dados!$A1188&lt;=Imóveis!$T$5),Imóveis!$S$5-(DATEDIF(Imóveis!$Q$5,Dados!$A1188,"m")),)))*(Imóveis!$N$5/Imóveis!$S$5)))*Imóveis!$P$5))))*IF(AND(Imóveis!$E$5&gt;0,Dados!$A1188&gt;Imóveis!$E$5),0,1)*Imóveis!$I$5</f>
        <v>0</v>
      </c>
      <c r="M1188" s="18">
        <f>IF(Imóveis!$F$6="PRICE",IF(AND(Dados!$A1188&gt;=Imóveis!$Q$6,Dados!$A1188&lt;=Imóveis!$T$6),Imóveis!$U$6,0),IF((IF(AND(Dados!$A1188&gt;=Imóveis!$Q$6,Dados!$A1188&lt;=Imóveis!$T$6),Imóveis!$S$6-(DATEDIF(Imóveis!$Q$6,Dados!$A1188,"m")),0))=0,0,((Imóveis!$N$6/Imóveis!$S$6)+((Imóveis!$N$6-((Imóveis!$S$6-(IF(AND(Dados!$A1188&gt;=Imóveis!$Q$6,Dados!$A1188&lt;=Imóveis!$T$6),Imóveis!$S$6-(DATEDIF(Imóveis!$Q$6,Dados!$A1188,"m")),)))*(Imóveis!$N$6/Imóveis!$S$6)))*Imóveis!$P$6))))*IF(AND(Imóveis!$E$6&gt;0,Dados!$A1188&gt;Imóveis!$E$6),0,1)*Imóveis!$I$6</f>
        <v>0</v>
      </c>
      <c r="N1188" s="18">
        <f t="shared" si="149"/>
        <v>0</v>
      </c>
      <c r="O1188" s="18">
        <f>SUMIFS(Receitas!$F:$F,Receitas!$J:$J,"&lt;="&amp;$A1188,Receitas!$L:$L,"&gt;="&amp;$A1188,Receitas!$C:$C,O$1,Receitas!$M:$M,"Mensal")+SUMIFS(Receitas!$F:$F,Receitas!$J:$J,"&lt;="&amp;$A1188,Receitas!$L:$L,"&gt;="&amp;$A1188,Receitas!$C:$C,O$1,Receitas!$M:$M,$B1188)</f>
        <v>0</v>
      </c>
      <c r="P1188" s="18">
        <f>SUMIFS(Receitas!$F:$F,Receitas!$J:$J,"&lt;="&amp;$A1188,Receitas!$L:$L,"&gt;="&amp;$A1188,Receitas!$C:$C,P$1,Receitas!$M:$M,"Mensal")+SUMIFS(Receitas!$F:$F,Receitas!$J:$J,"&lt;="&amp;$A1188,Receitas!$L:$L,"&gt;="&amp;$A1188,Receitas!$C:$C,P$1,Receitas!$M:$M,$B1188)</f>
        <v>0</v>
      </c>
      <c r="Q1188" s="18">
        <f>SUMIFS(Receitas!$F:$F,Receitas!$J:$J,"&lt;="&amp;$A1188,Receitas!$L:$L,"&gt;="&amp;$A1188,Receitas!$C:$C,Q$1,Receitas!$M:$M,"Mensal")+SUMIFS(Receitas!$F:$F,Receitas!$J:$J,"&lt;="&amp;$A1188,Receitas!$L:$L,"&gt;="&amp;$A1188,Receitas!$C:$C,Q$1,Receitas!$M:$M,$B1188)</f>
        <v>0</v>
      </c>
      <c r="R1188" s="18" cm="1">
        <f t="array" ref="R1188">(IF(AND(Membros!$F$2="Sim",A1188&lt;=MAX(Membros!$E$2:$E$5)),Membros!K$2,IF(AND(A1188&gt;=Membros!J$2,A1188&lt;=MAX(Membros!$E$2:$E$5)),Membros!K$2,0))+IF(AND(Membros!$F$3="Sim",A1188&lt;=MAX(Membros!$E$2:$E$5)),Membros!K$3,IF(AND(A1188&gt;=Membros!J$3,A1188&lt;=MAX(Membros!$E$2:$E$5)),Membros!K$3,0)))*IF(AND(COUNTIFS(Tabela3[Tipo],"Provedor",Tabela3[Simulação Seguro],"Sim")=2,A1188&gt;=MAX(IF(Tabela3[Tipo]="Dependente",Tabela3[Expectativa de Vida (Data)]))),0,1)</f>
        <v>0</v>
      </c>
      <c r="S1188" s="18">
        <f t="shared" si="150"/>
        <v>0</v>
      </c>
      <c r="U1188" s="18">
        <f t="shared" ca="1" si="153"/>
        <v>228109415.21146727</v>
      </c>
      <c r="V1188" s="18">
        <f>SUMIF(Imóveis!E:E,Dados!A:A,Imóveis!Z:Z)-SUMIF(Imóveis!E:E,Dados!A:A,Imóveis!Y:Y)</f>
        <v>0</v>
      </c>
      <c r="W1188" s="18">
        <f>-SUMIF(Projetos!N:N,A1188,Projetos!F:F)</f>
        <v>0</v>
      </c>
      <c r="X1188" s="18">
        <f t="shared" si="147"/>
        <v>0</v>
      </c>
      <c r="Y1188" s="26">
        <f ca="1">(U1188*((Indicadores_Economicos!D$2+1)^(1/12)-1))</f>
        <v>746770.86727191065</v>
      </c>
      <c r="Z1188" s="18">
        <f t="shared" ca="1" si="151"/>
        <v>228856186.07873917</v>
      </c>
      <c r="AA1188" s="18">
        <f ca="1">Auxiliar_Projetos!E1188</f>
        <v>1.8865022270572917E-8</v>
      </c>
      <c r="AB1188" s="18">
        <f ca="1">Auxiliar_Projetos!K1188</f>
        <v>1.4511555592748372E-8</v>
      </c>
      <c r="AC1188" s="18">
        <f ca="1">IF(Z1188-AA1188-AB1188&gt;Investimentos!$C$14,Investimentos!$C$14,IF(Z1188-AA1188-AB1188&lt;Investimentos!$C$14,Z1188-AA1188-AB1188,0))</f>
        <v>300000</v>
      </c>
      <c r="AD1188" s="18">
        <f t="shared" ca="1" si="152"/>
        <v>228556186.07873914</v>
      </c>
      <c r="AE1188" s="18"/>
    </row>
    <row r="1189" spans="1:31" x14ac:dyDescent="0.2">
      <c r="A1189" s="4">
        <v>81785</v>
      </c>
      <c r="B1189" s="5" t="str">
        <f t="shared" si="148"/>
        <v>dezembro</v>
      </c>
      <c r="C1189" s="5" t="str">
        <f t="shared" si="154"/>
        <v>2123</v>
      </c>
      <c r="D1189" s="5">
        <f>SUMIFS(Despesas!$F:$F,Despesas!$J:$J,"&lt;="&amp;$A1189,Despesas!$L:$L,"&gt;="&amp;$A1189,Despesas!$C:$C,D$1,Despesas!$M:$M,"Mensal")+SUMIFS(Despesas!$F:$F,Despesas!$J:$J,"&lt;="&amp;$A1189,Despesas!$L:$L,"&gt;="&amp;$A1189,Despesas!$C:$C,D$1,Despesas!$M:$M,$B1189)</f>
        <v>0</v>
      </c>
      <c r="E1189" s="18">
        <f>SUMIFS(Despesas!$F:$F,Despesas!$J:$J,"&lt;="&amp;$A1189,Despesas!$L:$L,"&gt;="&amp;$A1189,Despesas!$C:$C,E$1,Despesas!$M:$M,"Mensal")+SUMIFS(Despesas!$F:$F,Despesas!$J:$J,"&lt;="&amp;$A1189,Despesas!$L:$L,"&gt;="&amp;$A1189,Despesas!$C:$C,E$1,Despesas!$M:$M,$B1189)</f>
        <v>0</v>
      </c>
      <c r="F1189" s="5">
        <f>SUMIFS(Despesas!$F:$F,Despesas!$J:$J,"&lt;="&amp;$A1189,Despesas!$L:$L,"&gt;="&amp;$A1189,Despesas!$C:$C,F$1,Despesas!$M:$M,"Mensal")+SUMIFS(Despesas!$F:$F,Despesas!$J:$J,"&lt;="&amp;$A1189,Despesas!$L:$L,"&gt;="&amp;$A1189,Despesas!$C:$C,F$1,Despesas!$M:$M,$B1189)</f>
        <v>0</v>
      </c>
      <c r="G1189" s="5">
        <f>SUMIFS(Despesas!$F:$F,Despesas!$J:$J,"&lt;="&amp;$A1189,Despesas!$L:$L,"&gt;="&amp;$A1189,Despesas!$C:$C,G$1,Despesas!$M:$M,"Mensal")+SUMIFS(Despesas!$F:$F,Despesas!$J:$J,"&lt;="&amp;$A1189,Despesas!$L:$L,"&gt;="&amp;$A1189,Despesas!$C:$C,G$1,Despesas!$M:$M,$B1189)</f>
        <v>0</v>
      </c>
      <c r="H1189" s="18">
        <f>SUMIFS(Despesas!$F:$F,Despesas!$J:$J,"&lt;="&amp;$A1189,Despesas!$L:$L,"&gt;="&amp;$A1189,Despesas!$C:$C,H$1,Despesas!$M:$M,"Mensal")+SUMIFS(Despesas!$F:$F,Despesas!$J:$J,"&lt;="&amp;$A1189,Despesas!$L:$L,"&gt;="&amp;$A1189,Despesas!$C:$C,H$1,Despesas!$M:$M,$B1189)</f>
        <v>0</v>
      </c>
      <c r="I1189" s="18">
        <f>IF(Imóveis!$F$2="PRICE",IF(AND(Dados!$A1189&gt;=Imóveis!$Q$2,Dados!$A1189&lt;=Imóveis!$T$2),Imóveis!$U$2,0),IF((IF(AND(Dados!$A1189&gt;=Imóveis!$Q$2,Dados!$A1189&lt;=Imóveis!$T$2),Imóveis!$S$2-(DATEDIF(Imóveis!$Q$2,Dados!$A1189,"m")),0))=0,0,((Imóveis!$N$2/Imóveis!$S$2)+((Imóveis!$N$2-((Imóveis!$S$2-(IF(AND(Dados!$A1189&gt;=Imóveis!$Q$2,Dados!$A1189&lt;=Imóveis!$T$2),Imóveis!$S$2-(DATEDIF(Imóveis!$Q$2,Dados!$A1189,"m")),)))*(Imóveis!$N$2/Imóveis!$S$2)))*Imóveis!$P$2))))*IF(AND(Imóveis!$E$2&gt;0,Dados!$A1189&gt;Imóveis!$E$2),0,1)</f>
        <v>0</v>
      </c>
      <c r="J1189" s="18">
        <f>IF(Imóveis!$F$3="PRICE",IF(AND(Dados!$A1189&gt;=Imóveis!$Q$3,Dados!$A1189&lt;=Imóveis!$T$3),Imóveis!$U$3,0),IF((IF(AND(Dados!$A1189&gt;=Imóveis!$Q$3,Dados!$A1189&lt;=Imóveis!$T$3),Imóveis!$S$3-(DATEDIF(Imóveis!$Q$3,Dados!$A1189,"m")),0))=0,0,((Imóveis!$N$3/Imóveis!$S$3)+((Imóveis!$N$3-((Imóveis!$S$3-(IF(AND(Dados!$A1189&gt;=Imóveis!$Q$3,Dados!$A1189&lt;=Imóveis!$T$3),Imóveis!$S$3-(DATEDIF(Imóveis!$Q$3,Dados!$A1189,"m")),)))*(Imóveis!$N$3/Imóveis!$S$3)))*Imóveis!$P$3))))*IF(AND(Imóveis!$E$3&gt;0,Dados!$A1189&gt;Imóveis!$E$3),0,1)</f>
        <v>0</v>
      </c>
      <c r="K1189" s="18">
        <f>IF(Imóveis!$F$4="PRICE",IF(AND(Dados!$A1189&gt;=Imóveis!$Q$4,Dados!$A1189&lt;=Imóveis!$T$4),Imóveis!$U$4,0),IF((IF(AND(Dados!$A1189&gt;=Imóveis!$Q$4,Dados!$A1189&lt;=Imóveis!$T$4),Imóveis!$S$4-(DATEDIF(Imóveis!$Q$4,Dados!$A1189,"m")),0))=0,0,((Imóveis!$N$4/Imóveis!$S$4)+((Imóveis!$N$4-((Imóveis!$S$4-(IF(AND(Dados!$A1189&gt;=Imóveis!$Q$4,Dados!$A1189&lt;=Imóveis!$T$4),Imóveis!$S$4-(DATEDIF(Imóveis!$Q$4,Dados!$A1189,"m")),)))*(Imóveis!$N$4/Imóveis!$S$4)))*Imóveis!$P$4))))*IF(AND(Imóveis!$E$4&gt;0,Dados!$A1189&gt;Imóveis!$E$4),0,1)</f>
        <v>0</v>
      </c>
      <c r="L1189" s="18">
        <f>IF(Imóveis!$F$5="PRICE",IF(AND(Dados!$A1189&gt;=Imóveis!$Q$5,Dados!$A1189&lt;=Imóveis!$T$5),Imóveis!$U$5,0),IF((IF(AND(Dados!$A1189&gt;=Imóveis!$Q$5,Dados!$A1189&lt;=Imóveis!$T$5),Imóveis!$S$5-(DATEDIF(Imóveis!$Q$5,Dados!$A1189,"m")),0))=0,0,((Imóveis!$N$5/Imóveis!$S$5)+((Imóveis!$N$5-((Imóveis!$S$5-(IF(AND(Dados!$A1189 &gt;=Imóveis!$Q$5,Dados!$A1189&lt;=Imóveis!$T$5),Imóveis!$S$5-(DATEDIF(Imóveis!$Q$5,Dados!$A1189,"m")),)))*(Imóveis!$N$5/Imóveis!$S$5)))*Imóveis!$P$5))))*IF(AND(Imóveis!$E$5&gt;0,Dados!$A1189&gt;Imóveis!$E$5),0,1)*Imóveis!$I$5</f>
        <v>0</v>
      </c>
      <c r="M1189" s="18">
        <f>IF(Imóveis!$F$6="PRICE",IF(AND(Dados!$A1189&gt;=Imóveis!$Q$6,Dados!$A1189&lt;=Imóveis!$T$6),Imóveis!$U$6,0),IF((IF(AND(Dados!$A1189&gt;=Imóveis!$Q$6,Dados!$A1189&lt;=Imóveis!$T$6),Imóveis!$S$6-(DATEDIF(Imóveis!$Q$6,Dados!$A1189,"m")),0))=0,0,((Imóveis!$N$6/Imóveis!$S$6)+((Imóveis!$N$6-((Imóveis!$S$6-(IF(AND(Dados!$A1189&gt;=Imóveis!$Q$6,Dados!$A1189&lt;=Imóveis!$T$6),Imóveis!$S$6-(DATEDIF(Imóveis!$Q$6,Dados!$A1189,"m")),)))*(Imóveis!$N$6/Imóveis!$S$6)))*Imóveis!$P$6))))*IF(AND(Imóveis!$E$6&gt;0,Dados!$A1189&gt;Imóveis!$E$6),0,1)*Imóveis!$I$6</f>
        <v>0</v>
      </c>
      <c r="N1189" s="18">
        <f t="shared" si="149"/>
        <v>0</v>
      </c>
      <c r="O1189" s="18">
        <f>SUMIFS(Receitas!$F:$F,Receitas!$J:$J,"&lt;="&amp;$A1189,Receitas!$L:$L,"&gt;="&amp;$A1189,Receitas!$C:$C,O$1,Receitas!$M:$M,"Mensal")+SUMIFS(Receitas!$F:$F,Receitas!$J:$J,"&lt;="&amp;$A1189,Receitas!$L:$L,"&gt;="&amp;$A1189,Receitas!$C:$C,O$1,Receitas!$M:$M,$B1189)</f>
        <v>0</v>
      </c>
      <c r="P1189" s="18">
        <f>SUMIFS(Receitas!$F:$F,Receitas!$J:$J,"&lt;="&amp;$A1189,Receitas!$L:$L,"&gt;="&amp;$A1189,Receitas!$C:$C,P$1,Receitas!$M:$M,"Mensal")+SUMIFS(Receitas!$F:$F,Receitas!$J:$J,"&lt;="&amp;$A1189,Receitas!$L:$L,"&gt;="&amp;$A1189,Receitas!$C:$C,P$1,Receitas!$M:$M,$B1189)</f>
        <v>0</v>
      </c>
      <c r="Q1189" s="18">
        <f>SUMIFS(Receitas!$F:$F,Receitas!$J:$J,"&lt;="&amp;$A1189,Receitas!$L:$L,"&gt;="&amp;$A1189,Receitas!$C:$C,Q$1,Receitas!$M:$M,"Mensal")+SUMIFS(Receitas!$F:$F,Receitas!$J:$J,"&lt;="&amp;$A1189,Receitas!$L:$L,"&gt;="&amp;$A1189,Receitas!$C:$C,Q$1,Receitas!$M:$M,$B1189)</f>
        <v>0</v>
      </c>
      <c r="R1189" s="18" cm="1">
        <f t="array" ref="R1189">(IF(AND(Membros!$F$2="Sim",A1189&lt;=MAX(Membros!$E$2:$E$5)),Membros!K$2,IF(AND(A1189&gt;=Membros!J$2,A1189&lt;=MAX(Membros!$E$2:$E$5)),Membros!K$2,0))+IF(AND(Membros!$F$3="Sim",A1189&lt;=MAX(Membros!$E$2:$E$5)),Membros!K$3,IF(AND(A1189&gt;=Membros!J$3,A1189&lt;=MAX(Membros!$E$2:$E$5)),Membros!K$3,0)))*IF(AND(COUNTIFS(Tabela3[Tipo],"Provedor",Tabela3[Simulação Seguro],"Sim")=2,A1189&gt;=MAX(IF(Tabela3[Tipo]="Dependente",Tabela3[Expectativa de Vida (Data)]))),0,1)</f>
        <v>0</v>
      </c>
      <c r="S1189" s="18">
        <f t="shared" si="150"/>
        <v>0</v>
      </c>
      <c r="U1189" s="18">
        <f t="shared" ca="1" si="153"/>
        <v>228856186.07873917</v>
      </c>
      <c r="V1189" s="18">
        <f>SUMIF(Imóveis!E:E,Dados!A:A,Imóveis!Z:Z)-SUMIF(Imóveis!E:E,Dados!A:A,Imóveis!Y:Y)</f>
        <v>0</v>
      </c>
      <c r="W1189" s="18">
        <f>-SUMIF(Projetos!N:N,A1189,Projetos!F:F)</f>
        <v>0</v>
      </c>
      <c r="X1189" s="18">
        <f t="shared" si="147"/>
        <v>0</v>
      </c>
      <c r="Y1189" s="26">
        <f ca="1">(U1189*((Indicadores_Economicos!D$2+1)^(1/12)-1))</f>
        <v>749215.6007682858</v>
      </c>
      <c r="Z1189" s="18">
        <f t="shared" ca="1" si="151"/>
        <v>229605401.67950746</v>
      </c>
      <c r="AA1189" s="18">
        <f ca="1">Auxiliar_Projetos!E1189</f>
        <v>1.8926781444472159E-8</v>
      </c>
      <c r="AB1189" s="18">
        <f ca="1">Auxiliar_Projetos!K1189</f>
        <v>1.4559062649593944E-8</v>
      </c>
      <c r="AC1189" s="18">
        <f ca="1">IF(Z1189-AA1189-AB1189&gt;Investimentos!$C$14,Investimentos!$C$14,IF(Z1189-AA1189-AB1189&lt;Investimentos!$C$14,Z1189-AA1189-AB1189,0))</f>
        <v>300000</v>
      </c>
      <c r="AD1189" s="18">
        <f t="shared" ca="1" si="152"/>
        <v>229305401.67950743</v>
      </c>
      <c r="AE1189" s="18"/>
    </row>
    <row r="1190" spans="1:31" x14ac:dyDescent="0.2">
      <c r="A1190" s="4">
        <v>81816</v>
      </c>
      <c r="B1190" s="5" t="str">
        <f t="shared" si="148"/>
        <v>janeiro</v>
      </c>
      <c r="C1190" s="5" t="str">
        <f t="shared" si="154"/>
        <v>2124</v>
      </c>
      <c r="D1190" s="5">
        <f>SUMIFS(Despesas!$F:$F,Despesas!$J:$J,"&lt;="&amp;$A1190,Despesas!$L:$L,"&gt;="&amp;$A1190,Despesas!$C:$C,D$1,Despesas!$M:$M,"Mensal")+SUMIFS(Despesas!$F:$F,Despesas!$J:$J,"&lt;="&amp;$A1190,Despesas!$L:$L,"&gt;="&amp;$A1190,Despesas!$C:$C,D$1,Despesas!$M:$M,$B1190)</f>
        <v>0</v>
      </c>
      <c r="E1190" s="18">
        <f>SUMIFS(Despesas!$F:$F,Despesas!$J:$J,"&lt;="&amp;$A1190,Despesas!$L:$L,"&gt;="&amp;$A1190,Despesas!$C:$C,E$1,Despesas!$M:$M,"Mensal")+SUMIFS(Despesas!$F:$F,Despesas!$J:$J,"&lt;="&amp;$A1190,Despesas!$L:$L,"&gt;="&amp;$A1190,Despesas!$C:$C,E$1,Despesas!$M:$M,$B1190)</f>
        <v>0</v>
      </c>
      <c r="F1190" s="5">
        <f>SUMIFS(Despesas!$F:$F,Despesas!$J:$J,"&lt;="&amp;$A1190,Despesas!$L:$L,"&gt;="&amp;$A1190,Despesas!$C:$C,F$1,Despesas!$M:$M,"Mensal")+SUMIFS(Despesas!$F:$F,Despesas!$J:$J,"&lt;="&amp;$A1190,Despesas!$L:$L,"&gt;="&amp;$A1190,Despesas!$C:$C,F$1,Despesas!$M:$M,$B1190)</f>
        <v>0</v>
      </c>
      <c r="G1190" s="5">
        <f>SUMIFS(Despesas!$F:$F,Despesas!$J:$J,"&lt;="&amp;$A1190,Despesas!$L:$L,"&gt;="&amp;$A1190,Despesas!$C:$C,G$1,Despesas!$M:$M,"Mensal")+SUMIFS(Despesas!$F:$F,Despesas!$J:$J,"&lt;="&amp;$A1190,Despesas!$L:$L,"&gt;="&amp;$A1190,Despesas!$C:$C,G$1,Despesas!$M:$M,$B1190)</f>
        <v>0</v>
      </c>
      <c r="H1190" s="18">
        <f>SUMIFS(Despesas!$F:$F,Despesas!$J:$J,"&lt;="&amp;$A1190,Despesas!$L:$L,"&gt;="&amp;$A1190,Despesas!$C:$C,H$1,Despesas!$M:$M,"Mensal")+SUMIFS(Despesas!$F:$F,Despesas!$J:$J,"&lt;="&amp;$A1190,Despesas!$L:$L,"&gt;="&amp;$A1190,Despesas!$C:$C,H$1,Despesas!$M:$M,$B1190)</f>
        <v>0</v>
      </c>
      <c r="I1190" s="18">
        <f>IF(Imóveis!$F$2="PRICE",IF(AND(Dados!$A1190&gt;=Imóveis!$Q$2,Dados!$A1190&lt;=Imóveis!$T$2),Imóveis!$U$2,0),IF((IF(AND(Dados!$A1190&gt;=Imóveis!$Q$2,Dados!$A1190&lt;=Imóveis!$T$2),Imóveis!$S$2-(DATEDIF(Imóveis!$Q$2,Dados!$A1190,"m")),0))=0,0,((Imóveis!$N$2/Imóveis!$S$2)+((Imóveis!$N$2-((Imóveis!$S$2-(IF(AND(Dados!$A1190&gt;=Imóveis!$Q$2,Dados!$A1190&lt;=Imóveis!$T$2),Imóveis!$S$2-(DATEDIF(Imóveis!$Q$2,Dados!$A1190,"m")),)))*(Imóveis!$N$2/Imóveis!$S$2)))*Imóveis!$P$2))))*IF(AND(Imóveis!$E$2&gt;0,Dados!$A1190&gt;Imóveis!$E$2),0,1)</f>
        <v>0</v>
      </c>
      <c r="J1190" s="18">
        <f>IF(Imóveis!$F$3="PRICE",IF(AND(Dados!$A1190&gt;=Imóveis!$Q$3,Dados!$A1190&lt;=Imóveis!$T$3),Imóveis!$U$3,0),IF((IF(AND(Dados!$A1190&gt;=Imóveis!$Q$3,Dados!$A1190&lt;=Imóveis!$T$3),Imóveis!$S$3-(DATEDIF(Imóveis!$Q$3,Dados!$A1190,"m")),0))=0,0,((Imóveis!$N$3/Imóveis!$S$3)+((Imóveis!$N$3-((Imóveis!$S$3-(IF(AND(Dados!$A1190&gt;=Imóveis!$Q$3,Dados!$A1190&lt;=Imóveis!$T$3),Imóveis!$S$3-(DATEDIF(Imóveis!$Q$3,Dados!$A1190,"m")),)))*(Imóveis!$N$3/Imóveis!$S$3)))*Imóveis!$P$3))))*IF(AND(Imóveis!$E$3&gt;0,Dados!$A1190&gt;Imóveis!$E$3),0,1)</f>
        <v>0</v>
      </c>
      <c r="K1190" s="18">
        <f>IF(Imóveis!$F$4="PRICE",IF(AND(Dados!$A1190&gt;=Imóveis!$Q$4,Dados!$A1190&lt;=Imóveis!$T$4),Imóveis!$U$4,0),IF((IF(AND(Dados!$A1190&gt;=Imóveis!$Q$4,Dados!$A1190&lt;=Imóveis!$T$4),Imóveis!$S$4-(DATEDIF(Imóveis!$Q$4,Dados!$A1190,"m")),0))=0,0,((Imóveis!$N$4/Imóveis!$S$4)+((Imóveis!$N$4-((Imóveis!$S$4-(IF(AND(Dados!$A1190&gt;=Imóveis!$Q$4,Dados!$A1190&lt;=Imóveis!$T$4),Imóveis!$S$4-(DATEDIF(Imóveis!$Q$4,Dados!$A1190,"m")),)))*(Imóveis!$N$4/Imóveis!$S$4)))*Imóveis!$P$4))))*IF(AND(Imóveis!$E$4&gt;0,Dados!$A1190&gt;Imóveis!$E$4),0,1)</f>
        <v>0</v>
      </c>
      <c r="L1190" s="18">
        <f>IF(Imóveis!$F$5="PRICE",IF(AND(Dados!$A1190&gt;=Imóveis!$Q$5,Dados!$A1190&lt;=Imóveis!$T$5),Imóveis!$U$5,0),IF((IF(AND(Dados!$A1190&gt;=Imóveis!$Q$5,Dados!$A1190&lt;=Imóveis!$T$5),Imóveis!$S$5-(DATEDIF(Imóveis!$Q$5,Dados!$A1190,"m")),0))=0,0,((Imóveis!$N$5/Imóveis!$S$5)+((Imóveis!$N$5-((Imóveis!$S$5-(IF(AND(Dados!$A1190 &gt;=Imóveis!$Q$5,Dados!$A1190&lt;=Imóveis!$T$5),Imóveis!$S$5-(DATEDIF(Imóveis!$Q$5,Dados!$A1190,"m")),)))*(Imóveis!$N$5/Imóveis!$S$5)))*Imóveis!$P$5))))*IF(AND(Imóveis!$E$5&gt;0,Dados!$A1190&gt;Imóveis!$E$5),0,1)*Imóveis!$I$5</f>
        <v>0</v>
      </c>
      <c r="M1190" s="18">
        <f>IF(Imóveis!$F$6="PRICE",IF(AND(Dados!$A1190&gt;=Imóveis!$Q$6,Dados!$A1190&lt;=Imóveis!$T$6),Imóveis!$U$6,0),IF((IF(AND(Dados!$A1190&gt;=Imóveis!$Q$6,Dados!$A1190&lt;=Imóveis!$T$6),Imóveis!$S$6-(DATEDIF(Imóveis!$Q$6,Dados!$A1190,"m")),0))=0,0,((Imóveis!$N$6/Imóveis!$S$6)+((Imóveis!$N$6-((Imóveis!$S$6-(IF(AND(Dados!$A1190&gt;=Imóveis!$Q$6,Dados!$A1190&lt;=Imóveis!$T$6),Imóveis!$S$6-(DATEDIF(Imóveis!$Q$6,Dados!$A1190,"m")),)))*(Imóveis!$N$6/Imóveis!$S$6)))*Imóveis!$P$6))))*IF(AND(Imóveis!$E$6&gt;0,Dados!$A1190&gt;Imóveis!$E$6),0,1)*Imóveis!$I$6</f>
        <v>0</v>
      </c>
      <c r="N1190" s="18">
        <f t="shared" si="149"/>
        <v>0</v>
      </c>
      <c r="O1190" s="18">
        <f>SUMIFS(Receitas!$F:$F,Receitas!$J:$J,"&lt;="&amp;$A1190,Receitas!$L:$L,"&gt;="&amp;$A1190,Receitas!$C:$C,O$1,Receitas!$M:$M,"Mensal")+SUMIFS(Receitas!$F:$F,Receitas!$J:$J,"&lt;="&amp;$A1190,Receitas!$L:$L,"&gt;="&amp;$A1190,Receitas!$C:$C,O$1,Receitas!$M:$M,$B1190)</f>
        <v>0</v>
      </c>
      <c r="P1190" s="18">
        <f>SUMIFS(Receitas!$F:$F,Receitas!$J:$J,"&lt;="&amp;$A1190,Receitas!$L:$L,"&gt;="&amp;$A1190,Receitas!$C:$C,P$1,Receitas!$M:$M,"Mensal")+SUMIFS(Receitas!$F:$F,Receitas!$J:$J,"&lt;="&amp;$A1190,Receitas!$L:$L,"&gt;="&amp;$A1190,Receitas!$C:$C,P$1,Receitas!$M:$M,$B1190)</f>
        <v>0</v>
      </c>
      <c r="Q1190" s="18">
        <f>SUMIFS(Receitas!$F:$F,Receitas!$J:$J,"&lt;="&amp;$A1190,Receitas!$L:$L,"&gt;="&amp;$A1190,Receitas!$C:$C,Q$1,Receitas!$M:$M,"Mensal")+SUMIFS(Receitas!$F:$F,Receitas!$J:$J,"&lt;="&amp;$A1190,Receitas!$L:$L,"&gt;="&amp;$A1190,Receitas!$C:$C,Q$1,Receitas!$M:$M,$B1190)</f>
        <v>0</v>
      </c>
      <c r="R1190" s="18" cm="1">
        <f t="array" ref="R1190">(IF(AND(Membros!$F$2="Sim",A1190&lt;=MAX(Membros!$E$2:$E$5)),Membros!K$2,IF(AND(A1190&gt;=Membros!J$2,A1190&lt;=MAX(Membros!$E$2:$E$5)),Membros!K$2,0))+IF(AND(Membros!$F$3="Sim",A1190&lt;=MAX(Membros!$E$2:$E$5)),Membros!K$3,IF(AND(A1190&gt;=Membros!J$3,A1190&lt;=MAX(Membros!$E$2:$E$5)),Membros!K$3,0)))*IF(AND(COUNTIFS(Tabela3[Tipo],"Provedor",Tabela3[Simulação Seguro],"Sim")=2,A1190&gt;=MAX(IF(Tabela3[Tipo]="Dependente",Tabela3[Expectativa de Vida (Data)]))),0,1)</f>
        <v>0</v>
      </c>
      <c r="S1190" s="18">
        <f t="shared" si="150"/>
        <v>0</v>
      </c>
      <c r="U1190" s="18">
        <f t="shared" ca="1" si="153"/>
        <v>229605401.67950746</v>
      </c>
      <c r="V1190" s="18">
        <f>SUMIF(Imóveis!E:E,Dados!A:A,Imóveis!Z:Z)-SUMIF(Imóveis!E:E,Dados!A:A,Imóveis!Y:Y)</f>
        <v>0</v>
      </c>
      <c r="W1190" s="18">
        <f>-SUMIF(Projetos!N:N,A1190,Projetos!F:F)</f>
        <v>0</v>
      </c>
      <c r="X1190" s="18">
        <f t="shared" si="147"/>
        <v>0</v>
      </c>
      <c r="Y1190" s="26">
        <f ca="1">(U1190*((Indicadores_Economicos!D$2+1)^(1/12)-1))</f>
        <v>751668.337685965</v>
      </c>
      <c r="Z1190" s="18">
        <f t="shared" ca="1" si="151"/>
        <v>230357070.01719344</v>
      </c>
      <c r="AA1190" s="18">
        <f ca="1">Auxiliar_Projetos!E1190</f>
        <v>1.898874280183591E-8</v>
      </c>
      <c r="AB1190" s="18">
        <f ca="1">Auxiliar_Projetos!K1190</f>
        <v>1.4606725232181447E-8</v>
      </c>
      <c r="AC1190" s="18">
        <f ca="1">IF(Z1190-AA1190-AB1190&gt;Investimentos!$C$14,Investimentos!$C$14,IF(Z1190-AA1190-AB1190&lt;Investimentos!$C$14,Z1190-AA1190-AB1190,0))</f>
        <v>300000</v>
      </c>
      <c r="AD1190" s="18">
        <f t="shared" ca="1" si="152"/>
        <v>230057070.01719341</v>
      </c>
      <c r="AE1190" s="18"/>
    </row>
    <row r="1191" spans="1:31" x14ac:dyDescent="0.2">
      <c r="A1191" s="4">
        <v>81847</v>
      </c>
      <c r="B1191" s="5" t="str">
        <f t="shared" si="148"/>
        <v>fevereiro</v>
      </c>
      <c r="C1191" s="5" t="str">
        <f t="shared" si="154"/>
        <v>2124</v>
      </c>
      <c r="D1191" s="5">
        <f>SUMIFS(Despesas!$F:$F,Despesas!$J:$J,"&lt;="&amp;$A1191,Despesas!$L:$L,"&gt;="&amp;$A1191,Despesas!$C:$C,D$1,Despesas!$M:$M,"Mensal")+SUMIFS(Despesas!$F:$F,Despesas!$J:$J,"&lt;="&amp;$A1191,Despesas!$L:$L,"&gt;="&amp;$A1191,Despesas!$C:$C,D$1,Despesas!$M:$M,$B1191)</f>
        <v>0</v>
      </c>
      <c r="E1191" s="18">
        <f>SUMIFS(Despesas!$F:$F,Despesas!$J:$J,"&lt;="&amp;$A1191,Despesas!$L:$L,"&gt;="&amp;$A1191,Despesas!$C:$C,E$1,Despesas!$M:$M,"Mensal")+SUMIFS(Despesas!$F:$F,Despesas!$J:$J,"&lt;="&amp;$A1191,Despesas!$L:$L,"&gt;="&amp;$A1191,Despesas!$C:$C,E$1,Despesas!$M:$M,$B1191)</f>
        <v>0</v>
      </c>
      <c r="F1191" s="5">
        <f>SUMIFS(Despesas!$F:$F,Despesas!$J:$J,"&lt;="&amp;$A1191,Despesas!$L:$L,"&gt;="&amp;$A1191,Despesas!$C:$C,F$1,Despesas!$M:$M,"Mensal")+SUMIFS(Despesas!$F:$F,Despesas!$J:$J,"&lt;="&amp;$A1191,Despesas!$L:$L,"&gt;="&amp;$A1191,Despesas!$C:$C,F$1,Despesas!$M:$M,$B1191)</f>
        <v>0</v>
      </c>
      <c r="G1191" s="5">
        <f>SUMIFS(Despesas!$F:$F,Despesas!$J:$J,"&lt;="&amp;$A1191,Despesas!$L:$L,"&gt;="&amp;$A1191,Despesas!$C:$C,G$1,Despesas!$M:$M,"Mensal")+SUMIFS(Despesas!$F:$F,Despesas!$J:$J,"&lt;="&amp;$A1191,Despesas!$L:$L,"&gt;="&amp;$A1191,Despesas!$C:$C,G$1,Despesas!$M:$M,$B1191)</f>
        <v>0</v>
      </c>
      <c r="H1191" s="18">
        <f>SUMIFS(Despesas!$F:$F,Despesas!$J:$J,"&lt;="&amp;$A1191,Despesas!$L:$L,"&gt;="&amp;$A1191,Despesas!$C:$C,H$1,Despesas!$M:$M,"Mensal")+SUMIFS(Despesas!$F:$F,Despesas!$J:$J,"&lt;="&amp;$A1191,Despesas!$L:$L,"&gt;="&amp;$A1191,Despesas!$C:$C,H$1,Despesas!$M:$M,$B1191)</f>
        <v>0</v>
      </c>
      <c r="I1191" s="18">
        <f>IF(Imóveis!$F$2="PRICE",IF(AND(Dados!$A1191&gt;=Imóveis!$Q$2,Dados!$A1191&lt;=Imóveis!$T$2),Imóveis!$U$2,0),IF((IF(AND(Dados!$A1191&gt;=Imóveis!$Q$2,Dados!$A1191&lt;=Imóveis!$T$2),Imóveis!$S$2-(DATEDIF(Imóveis!$Q$2,Dados!$A1191,"m")),0))=0,0,((Imóveis!$N$2/Imóveis!$S$2)+((Imóveis!$N$2-((Imóveis!$S$2-(IF(AND(Dados!$A1191&gt;=Imóveis!$Q$2,Dados!$A1191&lt;=Imóveis!$T$2),Imóveis!$S$2-(DATEDIF(Imóveis!$Q$2,Dados!$A1191,"m")),)))*(Imóveis!$N$2/Imóveis!$S$2)))*Imóveis!$P$2))))*IF(AND(Imóveis!$E$2&gt;0,Dados!$A1191&gt;Imóveis!$E$2),0,1)</f>
        <v>0</v>
      </c>
      <c r="J1191" s="18">
        <f>IF(Imóveis!$F$3="PRICE",IF(AND(Dados!$A1191&gt;=Imóveis!$Q$3,Dados!$A1191&lt;=Imóveis!$T$3),Imóveis!$U$3,0),IF((IF(AND(Dados!$A1191&gt;=Imóveis!$Q$3,Dados!$A1191&lt;=Imóveis!$T$3),Imóveis!$S$3-(DATEDIF(Imóveis!$Q$3,Dados!$A1191,"m")),0))=0,0,((Imóveis!$N$3/Imóveis!$S$3)+((Imóveis!$N$3-((Imóveis!$S$3-(IF(AND(Dados!$A1191&gt;=Imóveis!$Q$3,Dados!$A1191&lt;=Imóveis!$T$3),Imóveis!$S$3-(DATEDIF(Imóveis!$Q$3,Dados!$A1191,"m")),)))*(Imóveis!$N$3/Imóveis!$S$3)))*Imóveis!$P$3))))*IF(AND(Imóveis!$E$3&gt;0,Dados!$A1191&gt;Imóveis!$E$3),0,1)</f>
        <v>0</v>
      </c>
      <c r="K1191" s="18">
        <f>IF(Imóveis!$F$4="PRICE",IF(AND(Dados!$A1191&gt;=Imóveis!$Q$4,Dados!$A1191&lt;=Imóveis!$T$4),Imóveis!$U$4,0),IF((IF(AND(Dados!$A1191&gt;=Imóveis!$Q$4,Dados!$A1191&lt;=Imóveis!$T$4),Imóveis!$S$4-(DATEDIF(Imóveis!$Q$4,Dados!$A1191,"m")),0))=0,0,((Imóveis!$N$4/Imóveis!$S$4)+((Imóveis!$N$4-((Imóveis!$S$4-(IF(AND(Dados!$A1191&gt;=Imóveis!$Q$4,Dados!$A1191&lt;=Imóveis!$T$4),Imóveis!$S$4-(DATEDIF(Imóveis!$Q$4,Dados!$A1191,"m")),)))*(Imóveis!$N$4/Imóveis!$S$4)))*Imóveis!$P$4))))*IF(AND(Imóveis!$E$4&gt;0,Dados!$A1191&gt;Imóveis!$E$4),0,1)</f>
        <v>0</v>
      </c>
      <c r="L1191" s="18">
        <f>IF(Imóveis!$F$5="PRICE",IF(AND(Dados!$A1191&gt;=Imóveis!$Q$5,Dados!$A1191&lt;=Imóveis!$T$5),Imóveis!$U$5,0),IF((IF(AND(Dados!$A1191&gt;=Imóveis!$Q$5,Dados!$A1191&lt;=Imóveis!$T$5),Imóveis!$S$5-(DATEDIF(Imóveis!$Q$5,Dados!$A1191,"m")),0))=0,0,((Imóveis!$N$5/Imóveis!$S$5)+((Imóveis!$N$5-((Imóveis!$S$5-(IF(AND(Dados!$A1191 &gt;=Imóveis!$Q$5,Dados!$A1191&lt;=Imóveis!$T$5),Imóveis!$S$5-(DATEDIF(Imóveis!$Q$5,Dados!$A1191,"m")),)))*(Imóveis!$N$5/Imóveis!$S$5)))*Imóveis!$P$5))))*IF(AND(Imóveis!$E$5&gt;0,Dados!$A1191&gt;Imóveis!$E$5),0,1)*Imóveis!$I$5</f>
        <v>0</v>
      </c>
      <c r="M1191" s="18">
        <f>IF(Imóveis!$F$6="PRICE",IF(AND(Dados!$A1191&gt;=Imóveis!$Q$6,Dados!$A1191&lt;=Imóveis!$T$6),Imóveis!$U$6,0),IF((IF(AND(Dados!$A1191&gt;=Imóveis!$Q$6,Dados!$A1191&lt;=Imóveis!$T$6),Imóveis!$S$6-(DATEDIF(Imóveis!$Q$6,Dados!$A1191,"m")),0))=0,0,((Imóveis!$N$6/Imóveis!$S$6)+((Imóveis!$N$6-((Imóveis!$S$6-(IF(AND(Dados!$A1191&gt;=Imóveis!$Q$6,Dados!$A1191&lt;=Imóveis!$T$6),Imóveis!$S$6-(DATEDIF(Imóveis!$Q$6,Dados!$A1191,"m")),)))*(Imóveis!$N$6/Imóveis!$S$6)))*Imóveis!$P$6))))*IF(AND(Imóveis!$E$6&gt;0,Dados!$A1191&gt;Imóveis!$E$6),0,1)*Imóveis!$I$6</f>
        <v>0</v>
      </c>
      <c r="N1191" s="18">
        <f t="shared" si="149"/>
        <v>0</v>
      </c>
      <c r="O1191" s="18">
        <f>SUMIFS(Receitas!$F:$F,Receitas!$J:$J,"&lt;="&amp;$A1191,Receitas!$L:$L,"&gt;="&amp;$A1191,Receitas!$C:$C,O$1,Receitas!$M:$M,"Mensal")+SUMIFS(Receitas!$F:$F,Receitas!$J:$J,"&lt;="&amp;$A1191,Receitas!$L:$L,"&gt;="&amp;$A1191,Receitas!$C:$C,O$1,Receitas!$M:$M,$B1191)</f>
        <v>0</v>
      </c>
      <c r="P1191" s="18">
        <f>SUMIFS(Receitas!$F:$F,Receitas!$J:$J,"&lt;="&amp;$A1191,Receitas!$L:$L,"&gt;="&amp;$A1191,Receitas!$C:$C,P$1,Receitas!$M:$M,"Mensal")+SUMIFS(Receitas!$F:$F,Receitas!$J:$J,"&lt;="&amp;$A1191,Receitas!$L:$L,"&gt;="&amp;$A1191,Receitas!$C:$C,P$1,Receitas!$M:$M,$B1191)</f>
        <v>0</v>
      </c>
      <c r="Q1191" s="18">
        <f>SUMIFS(Receitas!$F:$F,Receitas!$J:$J,"&lt;="&amp;$A1191,Receitas!$L:$L,"&gt;="&amp;$A1191,Receitas!$C:$C,Q$1,Receitas!$M:$M,"Mensal")+SUMIFS(Receitas!$F:$F,Receitas!$J:$J,"&lt;="&amp;$A1191,Receitas!$L:$L,"&gt;="&amp;$A1191,Receitas!$C:$C,Q$1,Receitas!$M:$M,$B1191)</f>
        <v>0</v>
      </c>
      <c r="R1191" s="18" cm="1">
        <f t="array" ref="R1191">(IF(AND(Membros!$F$2="Sim",A1191&lt;=MAX(Membros!$E$2:$E$5)),Membros!K$2,IF(AND(A1191&gt;=Membros!J$2,A1191&lt;=MAX(Membros!$E$2:$E$5)),Membros!K$2,0))+IF(AND(Membros!$F$3="Sim",A1191&lt;=MAX(Membros!$E$2:$E$5)),Membros!K$3,IF(AND(A1191&gt;=Membros!J$3,A1191&lt;=MAX(Membros!$E$2:$E$5)),Membros!K$3,0)))*IF(AND(COUNTIFS(Tabela3[Tipo],"Provedor",Tabela3[Simulação Seguro],"Sim")=2,A1191&gt;=MAX(IF(Tabela3[Tipo]="Dependente",Tabela3[Expectativa de Vida (Data)]))),0,1)</f>
        <v>0</v>
      </c>
      <c r="S1191" s="18">
        <f t="shared" si="150"/>
        <v>0</v>
      </c>
      <c r="U1191" s="18">
        <f t="shared" ca="1" si="153"/>
        <v>230357070.01719344</v>
      </c>
      <c r="V1191" s="18">
        <f>SUMIF(Imóveis!E:E,Dados!A:A,Imóveis!Z:Z)-SUMIF(Imóveis!E:E,Dados!A:A,Imóveis!Y:Y)</f>
        <v>0</v>
      </c>
      <c r="W1191" s="18">
        <f>-SUMIF(Projetos!N:N,A1191,Projetos!F:F)</f>
        <v>0</v>
      </c>
      <c r="X1191" s="18">
        <f t="shared" si="147"/>
        <v>0</v>
      </c>
      <c r="Y1191" s="26">
        <f ca="1">(U1191*((Indicadores_Economicos!D$2+1)^(1/12)-1))</f>
        <v>754129.10422606696</v>
      </c>
      <c r="Z1191" s="18">
        <f t="shared" ca="1" si="151"/>
        <v>231111199.12141949</v>
      </c>
      <c r="AA1191" s="18">
        <f ca="1">Auxiliar_Projetos!E1191</f>
        <v>1.9050907004560223E-8</v>
      </c>
      <c r="AB1191" s="18">
        <f ca="1">Auxiliar_Projetos!K1191</f>
        <v>1.4654543849661687E-8</v>
      </c>
      <c r="AC1191" s="18">
        <f ca="1">IF(Z1191-AA1191-AB1191&gt;Investimentos!$C$14,Investimentos!$C$14,IF(Z1191-AA1191-AB1191&lt;Investimentos!$C$14,Z1191-AA1191-AB1191,0))</f>
        <v>300000</v>
      </c>
      <c r="AD1191" s="18">
        <f t="shared" ca="1" si="152"/>
        <v>230811199.12141946</v>
      </c>
      <c r="AE1191" s="18"/>
    </row>
    <row r="1192" spans="1:31" x14ac:dyDescent="0.2">
      <c r="A1192" s="4">
        <v>81876</v>
      </c>
      <c r="B1192" s="5" t="str">
        <f t="shared" si="148"/>
        <v>março</v>
      </c>
      <c r="C1192" s="5" t="str">
        <f t="shared" si="154"/>
        <v>2124</v>
      </c>
      <c r="D1192" s="5">
        <f>SUMIFS(Despesas!$F:$F,Despesas!$J:$J,"&lt;="&amp;$A1192,Despesas!$L:$L,"&gt;="&amp;$A1192,Despesas!$C:$C,D$1,Despesas!$M:$M,"Mensal")+SUMIFS(Despesas!$F:$F,Despesas!$J:$J,"&lt;="&amp;$A1192,Despesas!$L:$L,"&gt;="&amp;$A1192,Despesas!$C:$C,D$1,Despesas!$M:$M,$B1192)</f>
        <v>0</v>
      </c>
      <c r="E1192" s="18">
        <f>SUMIFS(Despesas!$F:$F,Despesas!$J:$J,"&lt;="&amp;$A1192,Despesas!$L:$L,"&gt;="&amp;$A1192,Despesas!$C:$C,E$1,Despesas!$M:$M,"Mensal")+SUMIFS(Despesas!$F:$F,Despesas!$J:$J,"&lt;="&amp;$A1192,Despesas!$L:$L,"&gt;="&amp;$A1192,Despesas!$C:$C,E$1,Despesas!$M:$M,$B1192)</f>
        <v>0</v>
      </c>
      <c r="F1192" s="5">
        <f>SUMIFS(Despesas!$F:$F,Despesas!$J:$J,"&lt;="&amp;$A1192,Despesas!$L:$L,"&gt;="&amp;$A1192,Despesas!$C:$C,F$1,Despesas!$M:$M,"Mensal")+SUMIFS(Despesas!$F:$F,Despesas!$J:$J,"&lt;="&amp;$A1192,Despesas!$L:$L,"&gt;="&amp;$A1192,Despesas!$C:$C,F$1,Despesas!$M:$M,$B1192)</f>
        <v>0</v>
      </c>
      <c r="G1192" s="5">
        <f>SUMIFS(Despesas!$F:$F,Despesas!$J:$J,"&lt;="&amp;$A1192,Despesas!$L:$L,"&gt;="&amp;$A1192,Despesas!$C:$C,G$1,Despesas!$M:$M,"Mensal")+SUMIFS(Despesas!$F:$F,Despesas!$J:$J,"&lt;="&amp;$A1192,Despesas!$L:$L,"&gt;="&amp;$A1192,Despesas!$C:$C,G$1,Despesas!$M:$M,$B1192)</f>
        <v>0</v>
      </c>
      <c r="H1192" s="18">
        <f>SUMIFS(Despesas!$F:$F,Despesas!$J:$J,"&lt;="&amp;$A1192,Despesas!$L:$L,"&gt;="&amp;$A1192,Despesas!$C:$C,H$1,Despesas!$M:$M,"Mensal")+SUMIFS(Despesas!$F:$F,Despesas!$J:$J,"&lt;="&amp;$A1192,Despesas!$L:$L,"&gt;="&amp;$A1192,Despesas!$C:$C,H$1,Despesas!$M:$M,$B1192)</f>
        <v>0</v>
      </c>
      <c r="I1192" s="18">
        <f>IF(Imóveis!$F$2="PRICE",IF(AND(Dados!$A1192&gt;=Imóveis!$Q$2,Dados!$A1192&lt;=Imóveis!$T$2),Imóveis!$U$2,0),IF((IF(AND(Dados!$A1192&gt;=Imóveis!$Q$2,Dados!$A1192&lt;=Imóveis!$T$2),Imóveis!$S$2-(DATEDIF(Imóveis!$Q$2,Dados!$A1192,"m")),0))=0,0,((Imóveis!$N$2/Imóveis!$S$2)+((Imóveis!$N$2-((Imóveis!$S$2-(IF(AND(Dados!$A1192&gt;=Imóveis!$Q$2,Dados!$A1192&lt;=Imóveis!$T$2),Imóveis!$S$2-(DATEDIF(Imóveis!$Q$2,Dados!$A1192,"m")),)))*(Imóveis!$N$2/Imóveis!$S$2)))*Imóveis!$P$2))))*IF(AND(Imóveis!$E$2&gt;0,Dados!$A1192&gt;Imóveis!$E$2),0,1)</f>
        <v>0</v>
      </c>
      <c r="J1192" s="18">
        <f>IF(Imóveis!$F$3="PRICE",IF(AND(Dados!$A1192&gt;=Imóveis!$Q$3,Dados!$A1192&lt;=Imóveis!$T$3),Imóveis!$U$3,0),IF((IF(AND(Dados!$A1192&gt;=Imóveis!$Q$3,Dados!$A1192&lt;=Imóveis!$T$3),Imóveis!$S$3-(DATEDIF(Imóveis!$Q$3,Dados!$A1192,"m")),0))=0,0,((Imóveis!$N$3/Imóveis!$S$3)+((Imóveis!$N$3-((Imóveis!$S$3-(IF(AND(Dados!$A1192&gt;=Imóveis!$Q$3,Dados!$A1192&lt;=Imóveis!$T$3),Imóveis!$S$3-(DATEDIF(Imóveis!$Q$3,Dados!$A1192,"m")),)))*(Imóveis!$N$3/Imóveis!$S$3)))*Imóveis!$P$3))))*IF(AND(Imóveis!$E$3&gt;0,Dados!$A1192&gt;Imóveis!$E$3),0,1)</f>
        <v>0</v>
      </c>
      <c r="K1192" s="18">
        <f>IF(Imóveis!$F$4="PRICE",IF(AND(Dados!$A1192&gt;=Imóveis!$Q$4,Dados!$A1192&lt;=Imóveis!$T$4),Imóveis!$U$4,0),IF((IF(AND(Dados!$A1192&gt;=Imóveis!$Q$4,Dados!$A1192&lt;=Imóveis!$T$4),Imóveis!$S$4-(DATEDIF(Imóveis!$Q$4,Dados!$A1192,"m")),0))=0,0,((Imóveis!$N$4/Imóveis!$S$4)+((Imóveis!$N$4-((Imóveis!$S$4-(IF(AND(Dados!$A1192&gt;=Imóveis!$Q$4,Dados!$A1192&lt;=Imóveis!$T$4),Imóveis!$S$4-(DATEDIF(Imóveis!$Q$4,Dados!$A1192,"m")),)))*(Imóveis!$N$4/Imóveis!$S$4)))*Imóveis!$P$4))))*IF(AND(Imóveis!$E$4&gt;0,Dados!$A1192&gt;Imóveis!$E$4),0,1)</f>
        <v>0</v>
      </c>
      <c r="L1192" s="18">
        <f>IF(Imóveis!$F$5="PRICE",IF(AND(Dados!$A1192&gt;=Imóveis!$Q$5,Dados!$A1192&lt;=Imóveis!$T$5),Imóveis!$U$5,0),IF((IF(AND(Dados!$A1192&gt;=Imóveis!$Q$5,Dados!$A1192&lt;=Imóveis!$T$5),Imóveis!$S$5-(DATEDIF(Imóveis!$Q$5,Dados!$A1192,"m")),0))=0,0,((Imóveis!$N$5/Imóveis!$S$5)+((Imóveis!$N$5-((Imóveis!$S$5-(IF(AND(Dados!$A1192 &gt;=Imóveis!$Q$5,Dados!$A1192&lt;=Imóveis!$T$5),Imóveis!$S$5-(DATEDIF(Imóveis!$Q$5,Dados!$A1192,"m")),)))*(Imóveis!$N$5/Imóveis!$S$5)))*Imóveis!$P$5))))*IF(AND(Imóveis!$E$5&gt;0,Dados!$A1192&gt;Imóveis!$E$5),0,1)*Imóveis!$I$5</f>
        <v>0</v>
      </c>
      <c r="M1192" s="18">
        <f>IF(Imóveis!$F$6="PRICE",IF(AND(Dados!$A1192&gt;=Imóveis!$Q$6,Dados!$A1192&lt;=Imóveis!$T$6),Imóveis!$U$6,0),IF((IF(AND(Dados!$A1192&gt;=Imóveis!$Q$6,Dados!$A1192&lt;=Imóveis!$T$6),Imóveis!$S$6-(DATEDIF(Imóveis!$Q$6,Dados!$A1192,"m")),0))=0,0,((Imóveis!$N$6/Imóveis!$S$6)+((Imóveis!$N$6-((Imóveis!$S$6-(IF(AND(Dados!$A1192&gt;=Imóveis!$Q$6,Dados!$A1192&lt;=Imóveis!$T$6),Imóveis!$S$6-(DATEDIF(Imóveis!$Q$6,Dados!$A1192,"m")),)))*(Imóveis!$N$6/Imóveis!$S$6)))*Imóveis!$P$6))))*IF(AND(Imóveis!$E$6&gt;0,Dados!$A1192&gt;Imóveis!$E$6),0,1)*Imóveis!$I$6</f>
        <v>0</v>
      </c>
      <c r="N1192" s="18">
        <f t="shared" si="149"/>
        <v>0</v>
      </c>
      <c r="O1192" s="18">
        <f>SUMIFS(Receitas!$F:$F,Receitas!$J:$J,"&lt;="&amp;$A1192,Receitas!$L:$L,"&gt;="&amp;$A1192,Receitas!$C:$C,O$1,Receitas!$M:$M,"Mensal")+SUMIFS(Receitas!$F:$F,Receitas!$J:$J,"&lt;="&amp;$A1192,Receitas!$L:$L,"&gt;="&amp;$A1192,Receitas!$C:$C,O$1,Receitas!$M:$M,$B1192)</f>
        <v>0</v>
      </c>
      <c r="P1192" s="18">
        <f>SUMIFS(Receitas!$F:$F,Receitas!$J:$J,"&lt;="&amp;$A1192,Receitas!$L:$L,"&gt;="&amp;$A1192,Receitas!$C:$C,P$1,Receitas!$M:$M,"Mensal")+SUMIFS(Receitas!$F:$F,Receitas!$J:$J,"&lt;="&amp;$A1192,Receitas!$L:$L,"&gt;="&amp;$A1192,Receitas!$C:$C,P$1,Receitas!$M:$M,$B1192)</f>
        <v>0</v>
      </c>
      <c r="Q1192" s="18">
        <f>SUMIFS(Receitas!$F:$F,Receitas!$J:$J,"&lt;="&amp;$A1192,Receitas!$L:$L,"&gt;="&amp;$A1192,Receitas!$C:$C,Q$1,Receitas!$M:$M,"Mensal")+SUMIFS(Receitas!$F:$F,Receitas!$J:$J,"&lt;="&amp;$A1192,Receitas!$L:$L,"&gt;="&amp;$A1192,Receitas!$C:$C,Q$1,Receitas!$M:$M,$B1192)</f>
        <v>0</v>
      </c>
      <c r="R1192" s="18" cm="1">
        <f t="array" ref="R1192">(IF(AND(Membros!$F$2="Sim",A1192&lt;=MAX(Membros!$E$2:$E$5)),Membros!K$2,IF(AND(A1192&gt;=Membros!J$2,A1192&lt;=MAX(Membros!$E$2:$E$5)),Membros!K$2,0))+IF(AND(Membros!$F$3="Sim",A1192&lt;=MAX(Membros!$E$2:$E$5)),Membros!K$3,IF(AND(A1192&gt;=Membros!J$3,A1192&lt;=MAX(Membros!$E$2:$E$5)),Membros!K$3,0)))*IF(AND(COUNTIFS(Tabela3[Tipo],"Provedor",Tabela3[Simulação Seguro],"Sim")=2,A1192&gt;=MAX(IF(Tabela3[Tipo]="Dependente",Tabela3[Expectativa de Vida (Data)]))),0,1)</f>
        <v>0</v>
      </c>
      <c r="S1192" s="18">
        <f t="shared" si="150"/>
        <v>0</v>
      </c>
      <c r="U1192" s="18">
        <f t="shared" ca="1" si="153"/>
        <v>231111199.12141949</v>
      </c>
      <c r="V1192" s="18">
        <f>SUMIF(Imóveis!E:E,Dados!A:A,Imóveis!Z:Z)-SUMIF(Imóveis!E:E,Dados!A:A,Imóveis!Y:Y)</f>
        <v>0</v>
      </c>
      <c r="W1192" s="18">
        <f>-SUMIF(Projetos!N:N,A1192,Projetos!F:F)</f>
        <v>0</v>
      </c>
      <c r="X1192" s="18">
        <f t="shared" si="147"/>
        <v>0</v>
      </c>
      <c r="Y1192" s="26">
        <f ca="1">(U1192*((Indicadores_Economicos!D$2+1)^(1/12)-1))</f>
        <v>756597.9266754858</v>
      </c>
      <c r="Z1192" s="18">
        <f t="shared" ca="1" si="151"/>
        <v>231867797.04809499</v>
      </c>
      <c r="AA1192" s="18">
        <f ca="1">Auxiliar_Projetos!E1192</f>
        <v>1.9113274716708023E-8</v>
      </c>
      <c r="AB1192" s="18">
        <f ca="1">Auxiliar_Projetos!K1192</f>
        <v>1.4702519012852302E-8</v>
      </c>
      <c r="AC1192" s="18">
        <f ca="1">IF(Z1192-AA1192-AB1192&gt;Investimentos!$C$14,Investimentos!$C$14,IF(Z1192-AA1192-AB1192&lt;Investimentos!$C$14,Z1192-AA1192-AB1192,0))</f>
        <v>300000</v>
      </c>
      <c r="AD1192" s="18">
        <f t="shared" ca="1" si="152"/>
        <v>231567797.04809496</v>
      </c>
      <c r="AE1192" s="18"/>
    </row>
    <row r="1193" spans="1:31" x14ac:dyDescent="0.2">
      <c r="A1193" s="4">
        <v>81907</v>
      </c>
      <c r="B1193" s="5" t="str">
        <f t="shared" si="148"/>
        <v>abril</v>
      </c>
      <c r="C1193" s="5" t="str">
        <f t="shared" si="154"/>
        <v>2124</v>
      </c>
      <c r="D1193" s="5">
        <f>SUMIFS(Despesas!$F:$F,Despesas!$J:$J,"&lt;="&amp;$A1193,Despesas!$L:$L,"&gt;="&amp;$A1193,Despesas!$C:$C,D$1,Despesas!$M:$M,"Mensal")+SUMIFS(Despesas!$F:$F,Despesas!$J:$J,"&lt;="&amp;$A1193,Despesas!$L:$L,"&gt;="&amp;$A1193,Despesas!$C:$C,D$1,Despesas!$M:$M,$B1193)</f>
        <v>0</v>
      </c>
      <c r="E1193" s="18">
        <f>SUMIFS(Despesas!$F:$F,Despesas!$J:$J,"&lt;="&amp;$A1193,Despesas!$L:$L,"&gt;="&amp;$A1193,Despesas!$C:$C,E$1,Despesas!$M:$M,"Mensal")+SUMIFS(Despesas!$F:$F,Despesas!$J:$J,"&lt;="&amp;$A1193,Despesas!$L:$L,"&gt;="&amp;$A1193,Despesas!$C:$C,E$1,Despesas!$M:$M,$B1193)</f>
        <v>0</v>
      </c>
      <c r="F1193" s="5">
        <f>SUMIFS(Despesas!$F:$F,Despesas!$J:$J,"&lt;="&amp;$A1193,Despesas!$L:$L,"&gt;="&amp;$A1193,Despesas!$C:$C,F$1,Despesas!$M:$M,"Mensal")+SUMIFS(Despesas!$F:$F,Despesas!$J:$J,"&lt;="&amp;$A1193,Despesas!$L:$L,"&gt;="&amp;$A1193,Despesas!$C:$C,F$1,Despesas!$M:$M,$B1193)</f>
        <v>0</v>
      </c>
      <c r="G1193" s="5">
        <f>SUMIFS(Despesas!$F:$F,Despesas!$J:$J,"&lt;="&amp;$A1193,Despesas!$L:$L,"&gt;="&amp;$A1193,Despesas!$C:$C,G$1,Despesas!$M:$M,"Mensal")+SUMIFS(Despesas!$F:$F,Despesas!$J:$J,"&lt;="&amp;$A1193,Despesas!$L:$L,"&gt;="&amp;$A1193,Despesas!$C:$C,G$1,Despesas!$M:$M,$B1193)</f>
        <v>0</v>
      </c>
      <c r="H1193" s="18">
        <f>SUMIFS(Despesas!$F:$F,Despesas!$J:$J,"&lt;="&amp;$A1193,Despesas!$L:$L,"&gt;="&amp;$A1193,Despesas!$C:$C,H$1,Despesas!$M:$M,"Mensal")+SUMIFS(Despesas!$F:$F,Despesas!$J:$J,"&lt;="&amp;$A1193,Despesas!$L:$L,"&gt;="&amp;$A1193,Despesas!$C:$C,H$1,Despesas!$M:$M,$B1193)</f>
        <v>0</v>
      </c>
      <c r="I1193" s="18">
        <f>IF(Imóveis!$F$2="PRICE",IF(AND(Dados!$A1193&gt;=Imóveis!$Q$2,Dados!$A1193&lt;=Imóveis!$T$2),Imóveis!$U$2,0),IF((IF(AND(Dados!$A1193&gt;=Imóveis!$Q$2,Dados!$A1193&lt;=Imóveis!$T$2),Imóveis!$S$2-(DATEDIF(Imóveis!$Q$2,Dados!$A1193,"m")),0))=0,0,((Imóveis!$N$2/Imóveis!$S$2)+((Imóveis!$N$2-((Imóveis!$S$2-(IF(AND(Dados!$A1193&gt;=Imóveis!$Q$2,Dados!$A1193&lt;=Imóveis!$T$2),Imóveis!$S$2-(DATEDIF(Imóveis!$Q$2,Dados!$A1193,"m")),)))*(Imóveis!$N$2/Imóveis!$S$2)))*Imóveis!$P$2))))*IF(AND(Imóveis!$E$2&gt;0,Dados!$A1193&gt;Imóveis!$E$2),0,1)</f>
        <v>0</v>
      </c>
      <c r="J1193" s="18">
        <f>IF(Imóveis!$F$3="PRICE",IF(AND(Dados!$A1193&gt;=Imóveis!$Q$3,Dados!$A1193&lt;=Imóveis!$T$3),Imóveis!$U$3,0),IF((IF(AND(Dados!$A1193&gt;=Imóveis!$Q$3,Dados!$A1193&lt;=Imóveis!$T$3),Imóveis!$S$3-(DATEDIF(Imóveis!$Q$3,Dados!$A1193,"m")),0))=0,0,((Imóveis!$N$3/Imóveis!$S$3)+((Imóveis!$N$3-((Imóveis!$S$3-(IF(AND(Dados!$A1193&gt;=Imóveis!$Q$3,Dados!$A1193&lt;=Imóveis!$T$3),Imóveis!$S$3-(DATEDIF(Imóveis!$Q$3,Dados!$A1193,"m")),)))*(Imóveis!$N$3/Imóveis!$S$3)))*Imóveis!$P$3))))*IF(AND(Imóveis!$E$3&gt;0,Dados!$A1193&gt;Imóveis!$E$3),0,1)</f>
        <v>0</v>
      </c>
      <c r="K1193" s="18">
        <f>IF(Imóveis!$F$4="PRICE",IF(AND(Dados!$A1193&gt;=Imóveis!$Q$4,Dados!$A1193&lt;=Imóveis!$T$4),Imóveis!$U$4,0),IF((IF(AND(Dados!$A1193&gt;=Imóveis!$Q$4,Dados!$A1193&lt;=Imóveis!$T$4),Imóveis!$S$4-(DATEDIF(Imóveis!$Q$4,Dados!$A1193,"m")),0))=0,0,((Imóveis!$N$4/Imóveis!$S$4)+((Imóveis!$N$4-((Imóveis!$S$4-(IF(AND(Dados!$A1193&gt;=Imóveis!$Q$4,Dados!$A1193&lt;=Imóveis!$T$4),Imóveis!$S$4-(DATEDIF(Imóveis!$Q$4,Dados!$A1193,"m")),)))*(Imóveis!$N$4/Imóveis!$S$4)))*Imóveis!$P$4))))*IF(AND(Imóveis!$E$4&gt;0,Dados!$A1193&gt;Imóveis!$E$4),0,1)</f>
        <v>0</v>
      </c>
      <c r="L1193" s="18">
        <f>IF(Imóveis!$F$5="PRICE",IF(AND(Dados!$A1193&gt;=Imóveis!$Q$5,Dados!$A1193&lt;=Imóveis!$T$5),Imóveis!$U$5,0),IF((IF(AND(Dados!$A1193&gt;=Imóveis!$Q$5,Dados!$A1193&lt;=Imóveis!$T$5),Imóveis!$S$5-(DATEDIF(Imóveis!$Q$5,Dados!$A1193,"m")),0))=0,0,((Imóveis!$N$5/Imóveis!$S$5)+((Imóveis!$N$5-((Imóveis!$S$5-(IF(AND(Dados!$A1193 &gt;=Imóveis!$Q$5,Dados!$A1193&lt;=Imóveis!$T$5),Imóveis!$S$5-(DATEDIF(Imóveis!$Q$5,Dados!$A1193,"m")),)))*(Imóveis!$N$5/Imóveis!$S$5)))*Imóveis!$P$5))))*IF(AND(Imóveis!$E$5&gt;0,Dados!$A1193&gt;Imóveis!$E$5),0,1)*Imóveis!$I$5</f>
        <v>0</v>
      </c>
      <c r="M1193" s="18">
        <f>IF(Imóveis!$F$6="PRICE",IF(AND(Dados!$A1193&gt;=Imóveis!$Q$6,Dados!$A1193&lt;=Imóveis!$T$6),Imóveis!$U$6,0),IF((IF(AND(Dados!$A1193&gt;=Imóveis!$Q$6,Dados!$A1193&lt;=Imóveis!$T$6),Imóveis!$S$6-(DATEDIF(Imóveis!$Q$6,Dados!$A1193,"m")),0))=0,0,((Imóveis!$N$6/Imóveis!$S$6)+((Imóveis!$N$6-((Imóveis!$S$6-(IF(AND(Dados!$A1193&gt;=Imóveis!$Q$6,Dados!$A1193&lt;=Imóveis!$T$6),Imóveis!$S$6-(DATEDIF(Imóveis!$Q$6,Dados!$A1193,"m")),)))*(Imóveis!$N$6/Imóveis!$S$6)))*Imóveis!$P$6))))*IF(AND(Imóveis!$E$6&gt;0,Dados!$A1193&gt;Imóveis!$E$6),0,1)*Imóveis!$I$6</f>
        <v>0</v>
      </c>
      <c r="N1193" s="18">
        <f t="shared" si="149"/>
        <v>0</v>
      </c>
      <c r="O1193" s="18">
        <f>SUMIFS(Receitas!$F:$F,Receitas!$J:$J,"&lt;="&amp;$A1193,Receitas!$L:$L,"&gt;="&amp;$A1193,Receitas!$C:$C,O$1,Receitas!$M:$M,"Mensal")+SUMIFS(Receitas!$F:$F,Receitas!$J:$J,"&lt;="&amp;$A1193,Receitas!$L:$L,"&gt;="&amp;$A1193,Receitas!$C:$C,O$1,Receitas!$M:$M,$B1193)</f>
        <v>0</v>
      </c>
      <c r="P1193" s="18">
        <f>SUMIFS(Receitas!$F:$F,Receitas!$J:$J,"&lt;="&amp;$A1193,Receitas!$L:$L,"&gt;="&amp;$A1193,Receitas!$C:$C,P$1,Receitas!$M:$M,"Mensal")+SUMIFS(Receitas!$F:$F,Receitas!$J:$J,"&lt;="&amp;$A1193,Receitas!$L:$L,"&gt;="&amp;$A1193,Receitas!$C:$C,P$1,Receitas!$M:$M,$B1193)</f>
        <v>0</v>
      </c>
      <c r="Q1193" s="18">
        <f>SUMIFS(Receitas!$F:$F,Receitas!$J:$J,"&lt;="&amp;$A1193,Receitas!$L:$L,"&gt;="&amp;$A1193,Receitas!$C:$C,Q$1,Receitas!$M:$M,"Mensal")+SUMIFS(Receitas!$F:$F,Receitas!$J:$J,"&lt;="&amp;$A1193,Receitas!$L:$L,"&gt;="&amp;$A1193,Receitas!$C:$C,Q$1,Receitas!$M:$M,$B1193)</f>
        <v>0</v>
      </c>
      <c r="R1193" s="18" cm="1">
        <f t="array" ref="R1193">(IF(AND(Membros!$F$2="Sim",A1193&lt;=MAX(Membros!$E$2:$E$5)),Membros!K$2,IF(AND(A1193&gt;=Membros!J$2,A1193&lt;=MAX(Membros!$E$2:$E$5)),Membros!K$2,0))+IF(AND(Membros!$F$3="Sim",A1193&lt;=MAX(Membros!$E$2:$E$5)),Membros!K$3,IF(AND(A1193&gt;=Membros!J$3,A1193&lt;=MAX(Membros!$E$2:$E$5)),Membros!K$3,0)))*IF(AND(COUNTIFS(Tabela3[Tipo],"Provedor",Tabela3[Simulação Seguro],"Sim")=2,A1193&gt;=MAX(IF(Tabela3[Tipo]="Dependente",Tabela3[Expectativa de Vida (Data)]))),0,1)</f>
        <v>0</v>
      </c>
      <c r="S1193" s="18">
        <f t="shared" si="150"/>
        <v>0</v>
      </c>
      <c r="U1193" s="18">
        <f t="shared" ca="1" si="153"/>
        <v>231867797.04809499</v>
      </c>
      <c r="V1193" s="18">
        <f>SUMIF(Imóveis!E:E,Dados!A:A,Imóveis!Z:Z)-SUMIF(Imóveis!E:E,Dados!A:A,Imóveis!Y:Y)</f>
        <v>0</v>
      </c>
      <c r="W1193" s="18">
        <f>-SUMIF(Projetos!N:N,A1193,Projetos!F:F)</f>
        <v>0</v>
      </c>
      <c r="X1193" s="18">
        <f t="shared" si="147"/>
        <v>0</v>
      </c>
      <c r="Y1193" s="26">
        <f ca="1">(U1193*((Indicadores_Economicos!D$2+1)^(1/12)-1))</f>
        <v>759074.83140717261</v>
      </c>
      <c r="Z1193" s="18">
        <f t="shared" ca="1" si="151"/>
        <v>232626871.87950215</v>
      </c>
      <c r="AA1193" s="18">
        <f ca="1">Auxiliar_Projetos!E1193</f>
        <v>1.9175846604516207E-8</v>
      </c>
      <c r="AB1193" s="18">
        <f ca="1">Auxiliar_Projetos!K1193</f>
        <v>1.4750651234243213E-8</v>
      </c>
      <c r="AC1193" s="18">
        <f ca="1">IF(Z1193-AA1193-AB1193&gt;Investimentos!$C$14,Investimentos!$C$14,IF(Z1193-AA1193-AB1193&lt;Investimentos!$C$14,Z1193-AA1193-AB1193,0))</f>
        <v>300000</v>
      </c>
      <c r="AD1193" s="18">
        <f t="shared" ca="1" si="152"/>
        <v>232326871.87950212</v>
      </c>
      <c r="AE1193" s="18"/>
    </row>
    <row r="1194" spans="1:31" x14ac:dyDescent="0.2">
      <c r="A1194" s="4">
        <v>81937</v>
      </c>
      <c r="B1194" s="5" t="str">
        <f t="shared" si="148"/>
        <v>maio</v>
      </c>
      <c r="C1194" s="5" t="str">
        <f t="shared" si="154"/>
        <v>2124</v>
      </c>
      <c r="D1194" s="5">
        <f>SUMIFS(Despesas!$F:$F,Despesas!$J:$J,"&lt;="&amp;$A1194,Despesas!$L:$L,"&gt;="&amp;$A1194,Despesas!$C:$C,D$1,Despesas!$M:$M,"Mensal")+SUMIFS(Despesas!$F:$F,Despesas!$J:$J,"&lt;="&amp;$A1194,Despesas!$L:$L,"&gt;="&amp;$A1194,Despesas!$C:$C,D$1,Despesas!$M:$M,$B1194)</f>
        <v>0</v>
      </c>
      <c r="E1194" s="18">
        <f>SUMIFS(Despesas!$F:$F,Despesas!$J:$J,"&lt;="&amp;$A1194,Despesas!$L:$L,"&gt;="&amp;$A1194,Despesas!$C:$C,E$1,Despesas!$M:$M,"Mensal")+SUMIFS(Despesas!$F:$F,Despesas!$J:$J,"&lt;="&amp;$A1194,Despesas!$L:$L,"&gt;="&amp;$A1194,Despesas!$C:$C,E$1,Despesas!$M:$M,$B1194)</f>
        <v>0</v>
      </c>
      <c r="F1194" s="5">
        <f>SUMIFS(Despesas!$F:$F,Despesas!$J:$J,"&lt;="&amp;$A1194,Despesas!$L:$L,"&gt;="&amp;$A1194,Despesas!$C:$C,F$1,Despesas!$M:$M,"Mensal")+SUMIFS(Despesas!$F:$F,Despesas!$J:$J,"&lt;="&amp;$A1194,Despesas!$L:$L,"&gt;="&amp;$A1194,Despesas!$C:$C,F$1,Despesas!$M:$M,$B1194)</f>
        <v>0</v>
      </c>
      <c r="G1194" s="5">
        <f>SUMIFS(Despesas!$F:$F,Despesas!$J:$J,"&lt;="&amp;$A1194,Despesas!$L:$L,"&gt;="&amp;$A1194,Despesas!$C:$C,G$1,Despesas!$M:$M,"Mensal")+SUMIFS(Despesas!$F:$F,Despesas!$J:$J,"&lt;="&amp;$A1194,Despesas!$L:$L,"&gt;="&amp;$A1194,Despesas!$C:$C,G$1,Despesas!$M:$M,$B1194)</f>
        <v>0</v>
      </c>
      <c r="H1194" s="18">
        <f>SUMIFS(Despesas!$F:$F,Despesas!$J:$J,"&lt;="&amp;$A1194,Despesas!$L:$L,"&gt;="&amp;$A1194,Despesas!$C:$C,H$1,Despesas!$M:$M,"Mensal")+SUMIFS(Despesas!$F:$F,Despesas!$J:$J,"&lt;="&amp;$A1194,Despesas!$L:$L,"&gt;="&amp;$A1194,Despesas!$C:$C,H$1,Despesas!$M:$M,$B1194)</f>
        <v>0</v>
      </c>
      <c r="I1194" s="18">
        <f>IF(Imóveis!$F$2="PRICE",IF(AND(Dados!$A1194&gt;=Imóveis!$Q$2,Dados!$A1194&lt;=Imóveis!$T$2),Imóveis!$U$2,0),IF((IF(AND(Dados!$A1194&gt;=Imóveis!$Q$2,Dados!$A1194&lt;=Imóveis!$T$2),Imóveis!$S$2-(DATEDIF(Imóveis!$Q$2,Dados!$A1194,"m")),0))=0,0,((Imóveis!$N$2/Imóveis!$S$2)+((Imóveis!$N$2-((Imóveis!$S$2-(IF(AND(Dados!$A1194&gt;=Imóveis!$Q$2,Dados!$A1194&lt;=Imóveis!$T$2),Imóveis!$S$2-(DATEDIF(Imóveis!$Q$2,Dados!$A1194,"m")),)))*(Imóveis!$N$2/Imóveis!$S$2)))*Imóveis!$P$2))))*IF(AND(Imóveis!$E$2&gt;0,Dados!$A1194&gt;Imóveis!$E$2),0,1)</f>
        <v>0</v>
      </c>
      <c r="J1194" s="18">
        <f>IF(Imóveis!$F$3="PRICE",IF(AND(Dados!$A1194&gt;=Imóveis!$Q$3,Dados!$A1194&lt;=Imóveis!$T$3),Imóveis!$U$3,0),IF((IF(AND(Dados!$A1194&gt;=Imóveis!$Q$3,Dados!$A1194&lt;=Imóveis!$T$3),Imóveis!$S$3-(DATEDIF(Imóveis!$Q$3,Dados!$A1194,"m")),0))=0,0,((Imóveis!$N$3/Imóveis!$S$3)+((Imóveis!$N$3-((Imóveis!$S$3-(IF(AND(Dados!$A1194&gt;=Imóveis!$Q$3,Dados!$A1194&lt;=Imóveis!$T$3),Imóveis!$S$3-(DATEDIF(Imóveis!$Q$3,Dados!$A1194,"m")),)))*(Imóveis!$N$3/Imóveis!$S$3)))*Imóveis!$P$3))))*IF(AND(Imóveis!$E$3&gt;0,Dados!$A1194&gt;Imóveis!$E$3),0,1)</f>
        <v>0</v>
      </c>
      <c r="K1194" s="18">
        <f>IF(Imóveis!$F$4="PRICE",IF(AND(Dados!$A1194&gt;=Imóveis!$Q$4,Dados!$A1194&lt;=Imóveis!$T$4),Imóveis!$U$4,0),IF((IF(AND(Dados!$A1194&gt;=Imóveis!$Q$4,Dados!$A1194&lt;=Imóveis!$T$4),Imóveis!$S$4-(DATEDIF(Imóveis!$Q$4,Dados!$A1194,"m")),0))=0,0,((Imóveis!$N$4/Imóveis!$S$4)+((Imóveis!$N$4-((Imóveis!$S$4-(IF(AND(Dados!$A1194&gt;=Imóveis!$Q$4,Dados!$A1194&lt;=Imóveis!$T$4),Imóveis!$S$4-(DATEDIF(Imóveis!$Q$4,Dados!$A1194,"m")),)))*(Imóveis!$N$4/Imóveis!$S$4)))*Imóveis!$P$4))))*IF(AND(Imóveis!$E$4&gt;0,Dados!$A1194&gt;Imóveis!$E$4),0,1)</f>
        <v>0</v>
      </c>
      <c r="L1194" s="18">
        <f>IF(Imóveis!$F$5="PRICE",IF(AND(Dados!$A1194&gt;=Imóveis!$Q$5,Dados!$A1194&lt;=Imóveis!$T$5),Imóveis!$U$5,0),IF((IF(AND(Dados!$A1194&gt;=Imóveis!$Q$5,Dados!$A1194&lt;=Imóveis!$T$5),Imóveis!$S$5-(DATEDIF(Imóveis!$Q$5,Dados!$A1194,"m")),0))=0,0,((Imóveis!$N$5/Imóveis!$S$5)+((Imóveis!$N$5-((Imóveis!$S$5-(IF(AND(Dados!$A1194 &gt;=Imóveis!$Q$5,Dados!$A1194&lt;=Imóveis!$T$5),Imóveis!$S$5-(DATEDIF(Imóveis!$Q$5,Dados!$A1194,"m")),)))*(Imóveis!$N$5/Imóveis!$S$5)))*Imóveis!$P$5))))*IF(AND(Imóveis!$E$5&gt;0,Dados!$A1194&gt;Imóveis!$E$5),0,1)*Imóveis!$I$5</f>
        <v>0</v>
      </c>
      <c r="M1194" s="18">
        <f>IF(Imóveis!$F$6="PRICE",IF(AND(Dados!$A1194&gt;=Imóveis!$Q$6,Dados!$A1194&lt;=Imóveis!$T$6),Imóveis!$U$6,0),IF((IF(AND(Dados!$A1194&gt;=Imóveis!$Q$6,Dados!$A1194&lt;=Imóveis!$T$6),Imóveis!$S$6-(DATEDIF(Imóveis!$Q$6,Dados!$A1194,"m")),0))=0,0,((Imóveis!$N$6/Imóveis!$S$6)+((Imóveis!$N$6-((Imóveis!$S$6-(IF(AND(Dados!$A1194&gt;=Imóveis!$Q$6,Dados!$A1194&lt;=Imóveis!$T$6),Imóveis!$S$6-(DATEDIF(Imóveis!$Q$6,Dados!$A1194,"m")),)))*(Imóveis!$N$6/Imóveis!$S$6)))*Imóveis!$P$6))))*IF(AND(Imóveis!$E$6&gt;0,Dados!$A1194&gt;Imóveis!$E$6),0,1)*Imóveis!$I$6</f>
        <v>0</v>
      </c>
      <c r="N1194" s="18">
        <f t="shared" si="149"/>
        <v>0</v>
      </c>
      <c r="O1194" s="18">
        <f>SUMIFS(Receitas!$F:$F,Receitas!$J:$J,"&lt;="&amp;$A1194,Receitas!$L:$L,"&gt;="&amp;$A1194,Receitas!$C:$C,O$1,Receitas!$M:$M,"Mensal")+SUMIFS(Receitas!$F:$F,Receitas!$J:$J,"&lt;="&amp;$A1194,Receitas!$L:$L,"&gt;="&amp;$A1194,Receitas!$C:$C,O$1,Receitas!$M:$M,$B1194)</f>
        <v>0</v>
      </c>
      <c r="P1194" s="18">
        <f>SUMIFS(Receitas!$F:$F,Receitas!$J:$J,"&lt;="&amp;$A1194,Receitas!$L:$L,"&gt;="&amp;$A1194,Receitas!$C:$C,P$1,Receitas!$M:$M,"Mensal")+SUMIFS(Receitas!$F:$F,Receitas!$J:$J,"&lt;="&amp;$A1194,Receitas!$L:$L,"&gt;="&amp;$A1194,Receitas!$C:$C,P$1,Receitas!$M:$M,$B1194)</f>
        <v>0</v>
      </c>
      <c r="Q1194" s="18">
        <f>SUMIFS(Receitas!$F:$F,Receitas!$J:$J,"&lt;="&amp;$A1194,Receitas!$L:$L,"&gt;="&amp;$A1194,Receitas!$C:$C,Q$1,Receitas!$M:$M,"Mensal")+SUMIFS(Receitas!$F:$F,Receitas!$J:$J,"&lt;="&amp;$A1194,Receitas!$L:$L,"&gt;="&amp;$A1194,Receitas!$C:$C,Q$1,Receitas!$M:$M,$B1194)</f>
        <v>0</v>
      </c>
      <c r="R1194" s="18" cm="1">
        <f t="array" ref="R1194">(IF(AND(Membros!$F$2="Sim",A1194&lt;=MAX(Membros!$E$2:$E$5)),Membros!K$2,IF(AND(A1194&gt;=Membros!J$2,A1194&lt;=MAX(Membros!$E$2:$E$5)),Membros!K$2,0))+IF(AND(Membros!$F$3="Sim",A1194&lt;=MAX(Membros!$E$2:$E$5)),Membros!K$3,IF(AND(A1194&gt;=Membros!J$3,A1194&lt;=MAX(Membros!$E$2:$E$5)),Membros!K$3,0)))*IF(AND(COUNTIFS(Tabela3[Tipo],"Provedor",Tabela3[Simulação Seguro],"Sim")=2,A1194&gt;=MAX(IF(Tabela3[Tipo]="Dependente",Tabela3[Expectativa de Vida (Data)]))),0,1)</f>
        <v>0</v>
      </c>
      <c r="S1194" s="18">
        <f t="shared" si="150"/>
        <v>0</v>
      </c>
      <c r="U1194" s="18">
        <f t="shared" ca="1" si="153"/>
        <v>232626871.87950215</v>
      </c>
      <c r="V1194" s="18">
        <f>SUMIF(Imóveis!E:E,Dados!A:A,Imóveis!Z:Z)-SUMIF(Imóveis!E:E,Dados!A:A,Imóveis!Y:Y)</f>
        <v>0</v>
      </c>
      <c r="W1194" s="18">
        <f>-SUMIF(Projetos!N:N,A1194,Projetos!F:F)</f>
        <v>0</v>
      </c>
      <c r="X1194" s="18">
        <f t="shared" si="147"/>
        <v>0</v>
      </c>
      <c r="Y1194" s="26">
        <f ca="1">(U1194*((Indicadores_Economicos!D$2+1)^(1/12)-1))</f>
        <v>761559.84488041617</v>
      </c>
      <c r="Z1194" s="18">
        <f t="shared" ca="1" si="151"/>
        <v>233388431.72438255</v>
      </c>
      <c r="AA1194" s="18">
        <f ca="1">Auxiliar_Projetos!E1194</f>
        <v>1.9238623336402755E-8</v>
      </c>
      <c r="AB1194" s="18">
        <f ca="1">Auxiliar_Projetos!K1194</f>
        <v>1.4798941028002097E-8</v>
      </c>
      <c r="AC1194" s="18">
        <f ca="1">IF(Z1194-AA1194-AB1194&gt;Investimentos!$C$14,Investimentos!$C$14,IF(Z1194-AA1194-AB1194&lt;Investimentos!$C$14,Z1194-AA1194-AB1194,0))</f>
        <v>300000</v>
      </c>
      <c r="AD1194" s="18">
        <f t="shared" ca="1" si="152"/>
        <v>233088431.72438252</v>
      </c>
      <c r="AE1194" s="18"/>
    </row>
    <row r="1195" spans="1:31" x14ac:dyDescent="0.2">
      <c r="A1195" s="4">
        <v>81968</v>
      </c>
      <c r="B1195" s="5" t="str">
        <f t="shared" si="148"/>
        <v>junho</v>
      </c>
      <c r="C1195" s="5" t="str">
        <f t="shared" si="154"/>
        <v>2124</v>
      </c>
      <c r="D1195" s="5">
        <f>SUMIFS(Despesas!$F:$F,Despesas!$J:$J,"&lt;="&amp;$A1195,Despesas!$L:$L,"&gt;="&amp;$A1195,Despesas!$C:$C,D$1,Despesas!$M:$M,"Mensal")+SUMIFS(Despesas!$F:$F,Despesas!$J:$J,"&lt;="&amp;$A1195,Despesas!$L:$L,"&gt;="&amp;$A1195,Despesas!$C:$C,D$1,Despesas!$M:$M,$B1195)</f>
        <v>0</v>
      </c>
      <c r="E1195" s="18">
        <f>SUMIFS(Despesas!$F:$F,Despesas!$J:$J,"&lt;="&amp;$A1195,Despesas!$L:$L,"&gt;="&amp;$A1195,Despesas!$C:$C,E$1,Despesas!$M:$M,"Mensal")+SUMIFS(Despesas!$F:$F,Despesas!$J:$J,"&lt;="&amp;$A1195,Despesas!$L:$L,"&gt;="&amp;$A1195,Despesas!$C:$C,E$1,Despesas!$M:$M,$B1195)</f>
        <v>0</v>
      </c>
      <c r="F1195" s="5">
        <f>SUMIFS(Despesas!$F:$F,Despesas!$J:$J,"&lt;="&amp;$A1195,Despesas!$L:$L,"&gt;="&amp;$A1195,Despesas!$C:$C,F$1,Despesas!$M:$M,"Mensal")+SUMIFS(Despesas!$F:$F,Despesas!$J:$J,"&lt;="&amp;$A1195,Despesas!$L:$L,"&gt;="&amp;$A1195,Despesas!$C:$C,F$1,Despesas!$M:$M,$B1195)</f>
        <v>0</v>
      </c>
      <c r="G1195" s="5">
        <f>SUMIFS(Despesas!$F:$F,Despesas!$J:$J,"&lt;="&amp;$A1195,Despesas!$L:$L,"&gt;="&amp;$A1195,Despesas!$C:$C,G$1,Despesas!$M:$M,"Mensal")+SUMIFS(Despesas!$F:$F,Despesas!$J:$J,"&lt;="&amp;$A1195,Despesas!$L:$L,"&gt;="&amp;$A1195,Despesas!$C:$C,G$1,Despesas!$M:$M,$B1195)</f>
        <v>0</v>
      </c>
      <c r="H1195" s="18">
        <f>SUMIFS(Despesas!$F:$F,Despesas!$J:$J,"&lt;="&amp;$A1195,Despesas!$L:$L,"&gt;="&amp;$A1195,Despesas!$C:$C,H$1,Despesas!$M:$M,"Mensal")+SUMIFS(Despesas!$F:$F,Despesas!$J:$J,"&lt;="&amp;$A1195,Despesas!$L:$L,"&gt;="&amp;$A1195,Despesas!$C:$C,H$1,Despesas!$M:$M,$B1195)</f>
        <v>0</v>
      </c>
      <c r="I1195" s="18">
        <f>IF(Imóveis!$F$2="PRICE",IF(AND(Dados!$A1195&gt;=Imóveis!$Q$2,Dados!$A1195&lt;=Imóveis!$T$2),Imóveis!$U$2,0),IF((IF(AND(Dados!$A1195&gt;=Imóveis!$Q$2,Dados!$A1195&lt;=Imóveis!$T$2),Imóveis!$S$2-(DATEDIF(Imóveis!$Q$2,Dados!$A1195,"m")),0))=0,0,((Imóveis!$N$2/Imóveis!$S$2)+((Imóveis!$N$2-((Imóveis!$S$2-(IF(AND(Dados!$A1195&gt;=Imóveis!$Q$2,Dados!$A1195&lt;=Imóveis!$T$2),Imóveis!$S$2-(DATEDIF(Imóveis!$Q$2,Dados!$A1195,"m")),)))*(Imóveis!$N$2/Imóveis!$S$2)))*Imóveis!$P$2))))*IF(AND(Imóveis!$E$2&gt;0,Dados!$A1195&gt;Imóveis!$E$2),0,1)</f>
        <v>0</v>
      </c>
      <c r="J1195" s="18">
        <f>IF(Imóveis!$F$3="PRICE",IF(AND(Dados!$A1195&gt;=Imóveis!$Q$3,Dados!$A1195&lt;=Imóveis!$T$3),Imóveis!$U$3,0),IF((IF(AND(Dados!$A1195&gt;=Imóveis!$Q$3,Dados!$A1195&lt;=Imóveis!$T$3),Imóveis!$S$3-(DATEDIF(Imóveis!$Q$3,Dados!$A1195,"m")),0))=0,0,((Imóveis!$N$3/Imóveis!$S$3)+((Imóveis!$N$3-((Imóveis!$S$3-(IF(AND(Dados!$A1195&gt;=Imóveis!$Q$3,Dados!$A1195&lt;=Imóveis!$T$3),Imóveis!$S$3-(DATEDIF(Imóveis!$Q$3,Dados!$A1195,"m")),)))*(Imóveis!$N$3/Imóveis!$S$3)))*Imóveis!$P$3))))*IF(AND(Imóveis!$E$3&gt;0,Dados!$A1195&gt;Imóveis!$E$3),0,1)</f>
        <v>0</v>
      </c>
      <c r="K1195" s="18">
        <f>IF(Imóveis!$F$4="PRICE",IF(AND(Dados!$A1195&gt;=Imóveis!$Q$4,Dados!$A1195&lt;=Imóveis!$T$4),Imóveis!$U$4,0),IF((IF(AND(Dados!$A1195&gt;=Imóveis!$Q$4,Dados!$A1195&lt;=Imóveis!$T$4),Imóveis!$S$4-(DATEDIF(Imóveis!$Q$4,Dados!$A1195,"m")),0))=0,0,((Imóveis!$N$4/Imóveis!$S$4)+((Imóveis!$N$4-((Imóveis!$S$4-(IF(AND(Dados!$A1195&gt;=Imóveis!$Q$4,Dados!$A1195&lt;=Imóveis!$T$4),Imóveis!$S$4-(DATEDIF(Imóveis!$Q$4,Dados!$A1195,"m")),)))*(Imóveis!$N$4/Imóveis!$S$4)))*Imóveis!$P$4))))*IF(AND(Imóveis!$E$4&gt;0,Dados!$A1195&gt;Imóveis!$E$4),0,1)</f>
        <v>0</v>
      </c>
      <c r="L1195" s="18">
        <f>IF(Imóveis!$F$5="PRICE",IF(AND(Dados!$A1195&gt;=Imóveis!$Q$5,Dados!$A1195&lt;=Imóveis!$T$5),Imóveis!$U$5,0),IF((IF(AND(Dados!$A1195&gt;=Imóveis!$Q$5,Dados!$A1195&lt;=Imóveis!$T$5),Imóveis!$S$5-(DATEDIF(Imóveis!$Q$5,Dados!$A1195,"m")),0))=0,0,((Imóveis!$N$5/Imóveis!$S$5)+((Imóveis!$N$5-((Imóveis!$S$5-(IF(AND(Dados!$A1195 &gt;=Imóveis!$Q$5,Dados!$A1195&lt;=Imóveis!$T$5),Imóveis!$S$5-(DATEDIF(Imóveis!$Q$5,Dados!$A1195,"m")),)))*(Imóveis!$N$5/Imóveis!$S$5)))*Imóveis!$P$5))))*IF(AND(Imóveis!$E$5&gt;0,Dados!$A1195&gt;Imóveis!$E$5),0,1)*Imóveis!$I$5</f>
        <v>0</v>
      </c>
      <c r="M1195" s="18">
        <f>IF(Imóveis!$F$6="PRICE",IF(AND(Dados!$A1195&gt;=Imóveis!$Q$6,Dados!$A1195&lt;=Imóveis!$T$6),Imóveis!$U$6,0),IF((IF(AND(Dados!$A1195&gt;=Imóveis!$Q$6,Dados!$A1195&lt;=Imóveis!$T$6),Imóveis!$S$6-(DATEDIF(Imóveis!$Q$6,Dados!$A1195,"m")),0))=0,0,((Imóveis!$N$6/Imóveis!$S$6)+((Imóveis!$N$6-((Imóveis!$S$6-(IF(AND(Dados!$A1195&gt;=Imóveis!$Q$6,Dados!$A1195&lt;=Imóveis!$T$6),Imóveis!$S$6-(DATEDIF(Imóveis!$Q$6,Dados!$A1195,"m")),)))*(Imóveis!$N$6/Imóveis!$S$6)))*Imóveis!$P$6))))*IF(AND(Imóveis!$E$6&gt;0,Dados!$A1195&gt;Imóveis!$E$6),0,1)*Imóveis!$I$6</f>
        <v>0</v>
      </c>
      <c r="N1195" s="18">
        <f t="shared" si="149"/>
        <v>0</v>
      </c>
      <c r="O1195" s="18">
        <f>SUMIFS(Receitas!$F:$F,Receitas!$J:$J,"&lt;="&amp;$A1195,Receitas!$L:$L,"&gt;="&amp;$A1195,Receitas!$C:$C,O$1,Receitas!$M:$M,"Mensal")+SUMIFS(Receitas!$F:$F,Receitas!$J:$J,"&lt;="&amp;$A1195,Receitas!$L:$L,"&gt;="&amp;$A1195,Receitas!$C:$C,O$1,Receitas!$M:$M,$B1195)</f>
        <v>0</v>
      </c>
      <c r="P1195" s="18">
        <f>SUMIFS(Receitas!$F:$F,Receitas!$J:$J,"&lt;="&amp;$A1195,Receitas!$L:$L,"&gt;="&amp;$A1195,Receitas!$C:$C,P$1,Receitas!$M:$M,"Mensal")+SUMIFS(Receitas!$F:$F,Receitas!$J:$J,"&lt;="&amp;$A1195,Receitas!$L:$L,"&gt;="&amp;$A1195,Receitas!$C:$C,P$1,Receitas!$M:$M,$B1195)</f>
        <v>0</v>
      </c>
      <c r="Q1195" s="18">
        <f>SUMIFS(Receitas!$F:$F,Receitas!$J:$J,"&lt;="&amp;$A1195,Receitas!$L:$L,"&gt;="&amp;$A1195,Receitas!$C:$C,Q$1,Receitas!$M:$M,"Mensal")+SUMIFS(Receitas!$F:$F,Receitas!$J:$J,"&lt;="&amp;$A1195,Receitas!$L:$L,"&gt;="&amp;$A1195,Receitas!$C:$C,Q$1,Receitas!$M:$M,$B1195)</f>
        <v>0</v>
      </c>
      <c r="R1195" s="18" cm="1">
        <f t="array" ref="R1195">(IF(AND(Membros!$F$2="Sim",A1195&lt;=MAX(Membros!$E$2:$E$5)),Membros!K$2,IF(AND(A1195&gt;=Membros!J$2,A1195&lt;=MAX(Membros!$E$2:$E$5)),Membros!K$2,0))+IF(AND(Membros!$F$3="Sim",A1195&lt;=MAX(Membros!$E$2:$E$5)),Membros!K$3,IF(AND(A1195&gt;=Membros!J$3,A1195&lt;=MAX(Membros!$E$2:$E$5)),Membros!K$3,0)))*IF(AND(COUNTIFS(Tabela3[Tipo],"Provedor",Tabela3[Simulação Seguro],"Sim")=2,A1195&gt;=MAX(IF(Tabela3[Tipo]="Dependente",Tabela3[Expectativa de Vida (Data)]))),0,1)</f>
        <v>0</v>
      </c>
      <c r="S1195" s="18">
        <f t="shared" si="150"/>
        <v>0</v>
      </c>
      <c r="U1195" s="18">
        <f t="shared" ca="1" si="153"/>
        <v>233388431.72438255</v>
      </c>
      <c r="V1195" s="18">
        <f>SUMIF(Imóveis!E:E,Dados!A:A,Imóveis!Z:Z)-SUMIF(Imóveis!E:E,Dados!A:A,Imóveis!Y:Y)</f>
        <v>0</v>
      </c>
      <c r="W1195" s="18">
        <f>-SUMIF(Projetos!N:N,A1195,Projetos!F:F)</f>
        <v>0</v>
      </c>
      <c r="X1195" s="18">
        <f t="shared" si="147"/>
        <v>0</v>
      </c>
      <c r="Y1195" s="26">
        <f ca="1">(U1195*((Indicadores_Economicos!D$2+1)^(1/12)-1))</f>
        <v>764052.99364112632</v>
      </c>
      <c r="Z1195" s="18">
        <f t="shared" ca="1" si="151"/>
        <v>234152484.71802369</v>
      </c>
      <c r="AA1195" s="18">
        <f ca="1">Auxiliar_Projetos!E1195</f>
        <v>1.9301605582973876E-8</v>
      </c>
      <c r="AB1195" s="18">
        <f ca="1">Auxiliar_Projetos!K1195</f>
        <v>1.4847388909979883E-8</v>
      </c>
      <c r="AC1195" s="18">
        <f ca="1">IF(Z1195-AA1195-AB1195&gt;Investimentos!$C$14,Investimentos!$C$14,IF(Z1195-AA1195-AB1195&lt;Investimentos!$C$14,Z1195-AA1195-AB1195,0))</f>
        <v>300000</v>
      </c>
      <c r="AD1195" s="18">
        <f t="shared" ca="1" si="152"/>
        <v>233852484.71802366</v>
      </c>
      <c r="AE1195" s="18"/>
    </row>
    <row r="1196" spans="1:31" x14ac:dyDescent="0.2">
      <c r="A1196" s="4">
        <v>81998</v>
      </c>
      <c r="B1196" s="5" t="str">
        <f t="shared" si="148"/>
        <v>julho</v>
      </c>
      <c r="C1196" s="5" t="str">
        <f t="shared" si="154"/>
        <v>2124</v>
      </c>
      <c r="D1196" s="5">
        <f>SUMIFS(Despesas!$F:$F,Despesas!$J:$J,"&lt;="&amp;$A1196,Despesas!$L:$L,"&gt;="&amp;$A1196,Despesas!$C:$C,D$1,Despesas!$M:$M,"Mensal")+SUMIFS(Despesas!$F:$F,Despesas!$J:$J,"&lt;="&amp;$A1196,Despesas!$L:$L,"&gt;="&amp;$A1196,Despesas!$C:$C,D$1,Despesas!$M:$M,$B1196)</f>
        <v>0</v>
      </c>
      <c r="E1196" s="18">
        <f>SUMIFS(Despesas!$F:$F,Despesas!$J:$J,"&lt;="&amp;$A1196,Despesas!$L:$L,"&gt;="&amp;$A1196,Despesas!$C:$C,E$1,Despesas!$M:$M,"Mensal")+SUMIFS(Despesas!$F:$F,Despesas!$J:$J,"&lt;="&amp;$A1196,Despesas!$L:$L,"&gt;="&amp;$A1196,Despesas!$C:$C,E$1,Despesas!$M:$M,$B1196)</f>
        <v>0</v>
      </c>
      <c r="F1196" s="5">
        <f>SUMIFS(Despesas!$F:$F,Despesas!$J:$J,"&lt;="&amp;$A1196,Despesas!$L:$L,"&gt;="&amp;$A1196,Despesas!$C:$C,F$1,Despesas!$M:$M,"Mensal")+SUMIFS(Despesas!$F:$F,Despesas!$J:$J,"&lt;="&amp;$A1196,Despesas!$L:$L,"&gt;="&amp;$A1196,Despesas!$C:$C,F$1,Despesas!$M:$M,$B1196)</f>
        <v>0</v>
      </c>
      <c r="G1196" s="5">
        <f>SUMIFS(Despesas!$F:$F,Despesas!$J:$J,"&lt;="&amp;$A1196,Despesas!$L:$L,"&gt;="&amp;$A1196,Despesas!$C:$C,G$1,Despesas!$M:$M,"Mensal")+SUMIFS(Despesas!$F:$F,Despesas!$J:$J,"&lt;="&amp;$A1196,Despesas!$L:$L,"&gt;="&amp;$A1196,Despesas!$C:$C,G$1,Despesas!$M:$M,$B1196)</f>
        <v>0</v>
      </c>
      <c r="H1196" s="18">
        <f>SUMIFS(Despesas!$F:$F,Despesas!$J:$J,"&lt;="&amp;$A1196,Despesas!$L:$L,"&gt;="&amp;$A1196,Despesas!$C:$C,H$1,Despesas!$M:$M,"Mensal")+SUMIFS(Despesas!$F:$F,Despesas!$J:$J,"&lt;="&amp;$A1196,Despesas!$L:$L,"&gt;="&amp;$A1196,Despesas!$C:$C,H$1,Despesas!$M:$M,$B1196)</f>
        <v>0</v>
      </c>
      <c r="I1196" s="18">
        <f>IF(Imóveis!$F$2="PRICE",IF(AND(Dados!$A1196&gt;=Imóveis!$Q$2,Dados!$A1196&lt;=Imóveis!$T$2),Imóveis!$U$2,0),IF((IF(AND(Dados!$A1196&gt;=Imóveis!$Q$2,Dados!$A1196&lt;=Imóveis!$T$2),Imóveis!$S$2-(DATEDIF(Imóveis!$Q$2,Dados!$A1196,"m")),0))=0,0,((Imóveis!$N$2/Imóveis!$S$2)+((Imóveis!$N$2-((Imóveis!$S$2-(IF(AND(Dados!$A1196&gt;=Imóveis!$Q$2,Dados!$A1196&lt;=Imóveis!$T$2),Imóveis!$S$2-(DATEDIF(Imóveis!$Q$2,Dados!$A1196,"m")),)))*(Imóveis!$N$2/Imóveis!$S$2)))*Imóveis!$P$2))))*IF(AND(Imóveis!$E$2&gt;0,Dados!$A1196&gt;Imóveis!$E$2),0,1)</f>
        <v>0</v>
      </c>
      <c r="J1196" s="18">
        <f>IF(Imóveis!$F$3="PRICE",IF(AND(Dados!$A1196&gt;=Imóveis!$Q$3,Dados!$A1196&lt;=Imóveis!$T$3),Imóveis!$U$3,0),IF((IF(AND(Dados!$A1196&gt;=Imóveis!$Q$3,Dados!$A1196&lt;=Imóveis!$T$3),Imóveis!$S$3-(DATEDIF(Imóveis!$Q$3,Dados!$A1196,"m")),0))=0,0,((Imóveis!$N$3/Imóveis!$S$3)+((Imóveis!$N$3-((Imóveis!$S$3-(IF(AND(Dados!$A1196&gt;=Imóveis!$Q$3,Dados!$A1196&lt;=Imóveis!$T$3),Imóveis!$S$3-(DATEDIF(Imóveis!$Q$3,Dados!$A1196,"m")),)))*(Imóveis!$N$3/Imóveis!$S$3)))*Imóveis!$P$3))))*IF(AND(Imóveis!$E$3&gt;0,Dados!$A1196&gt;Imóveis!$E$3),0,1)</f>
        <v>0</v>
      </c>
      <c r="K1196" s="18">
        <f>IF(Imóveis!$F$4="PRICE",IF(AND(Dados!$A1196&gt;=Imóveis!$Q$4,Dados!$A1196&lt;=Imóveis!$T$4),Imóveis!$U$4,0),IF((IF(AND(Dados!$A1196&gt;=Imóveis!$Q$4,Dados!$A1196&lt;=Imóveis!$T$4),Imóveis!$S$4-(DATEDIF(Imóveis!$Q$4,Dados!$A1196,"m")),0))=0,0,((Imóveis!$N$4/Imóveis!$S$4)+((Imóveis!$N$4-((Imóveis!$S$4-(IF(AND(Dados!$A1196&gt;=Imóveis!$Q$4,Dados!$A1196&lt;=Imóveis!$T$4),Imóveis!$S$4-(DATEDIF(Imóveis!$Q$4,Dados!$A1196,"m")),)))*(Imóveis!$N$4/Imóveis!$S$4)))*Imóveis!$P$4))))*IF(AND(Imóveis!$E$4&gt;0,Dados!$A1196&gt;Imóveis!$E$4),0,1)</f>
        <v>0</v>
      </c>
      <c r="L1196" s="18">
        <f>IF(Imóveis!$F$5="PRICE",IF(AND(Dados!$A1196&gt;=Imóveis!$Q$5,Dados!$A1196&lt;=Imóveis!$T$5),Imóveis!$U$5,0),IF((IF(AND(Dados!$A1196&gt;=Imóveis!$Q$5,Dados!$A1196&lt;=Imóveis!$T$5),Imóveis!$S$5-(DATEDIF(Imóveis!$Q$5,Dados!$A1196,"m")),0))=0,0,((Imóveis!$N$5/Imóveis!$S$5)+((Imóveis!$N$5-((Imóveis!$S$5-(IF(AND(Dados!$A1196 &gt;=Imóveis!$Q$5,Dados!$A1196&lt;=Imóveis!$T$5),Imóveis!$S$5-(DATEDIF(Imóveis!$Q$5,Dados!$A1196,"m")),)))*(Imóveis!$N$5/Imóveis!$S$5)))*Imóveis!$P$5))))*IF(AND(Imóveis!$E$5&gt;0,Dados!$A1196&gt;Imóveis!$E$5),0,1)*Imóveis!$I$5</f>
        <v>0</v>
      </c>
      <c r="M1196" s="18">
        <f>IF(Imóveis!$F$6="PRICE",IF(AND(Dados!$A1196&gt;=Imóveis!$Q$6,Dados!$A1196&lt;=Imóveis!$T$6),Imóveis!$U$6,0),IF((IF(AND(Dados!$A1196&gt;=Imóveis!$Q$6,Dados!$A1196&lt;=Imóveis!$T$6),Imóveis!$S$6-(DATEDIF(Imóveis!$Q$6,Dados!$A1196,"m")),0))=0,0,((Imóveis!$N$6/Imóveis!$S$6)+((Imóveis!$N$6-((Imóveis!$S$6-(IF(AND(Dados!$A1196&gt;=Imóveis!$Q$6,Dados!$A1196&lt;=Imóveis!$T$6),Imóveis!$S$6-(DATEDIF(Imóveis!$Q$6,Dados!$A1196,"m")),)))*(Imóveis!$N$6/Imóveis!$S$6)))*Imóveis!$P$6))))*IF(AND(Imóveis!$E$6&gt;0,Dados!$A1196&gt;Imóveis!$E$6),0,1)*Imóveis!$I$6</f>
        <v>0</v>
      </c>
      <c r="N1196" s="18">
        <f t="shared" si="149"/>
        <v>0</v>
      </c>
      <c r="O1196" s="18">
        <f>SUMIFS(Receitas!$F:$F,Receitas!$J:$J,"&lt;="&amp;$A1196,Receitas!$L:$L,"&gt;="&amp;$A1196,Receitas!$C:$C,O$1,Receitas!$M:$M,"Mensal")+SUMIFS(Receitas!$F:$F,Receitas!$J:$J,"&lt;="&amp;$A1196,Receitas!$L:$L,"&gt;="&amp;$A1196,Receitas!$C:$C,O$1,Receitas!$M:$M,$B1196)</f>
        <v>0</v>
      </c>
      <c r="P1196" s="18">
        <f>SUMIFS(Receitas!$F:$F,Receitas!$J:$J,"&lt;="&amp;$A1196,Receitas!$L:$L,"&gt;="&amp;$A1196,Receitas!$C:$C,P$1,Receitas!$M:$M,"Mensal")+SUMIFS(Receitas!$F:$F,Receitas!$J:$J,"&lt;="&amp;$A1196,Receitas!$L:$L,"&gt;="&amp;$A1196,Receitas!$C:$C,P$1,Receitas!$M:$M,$B1196)</f>
        <v>0</v>
      </c>
      <c r="Q1196" s="18">
        <f>SUMIFS(Receitas!$F:$F,Receitas!$J:$J,"&lt;="&amp;$A1196,Receitas!$L:$L,"&gt;="&amp;$A1196,Receitas!$C:$C,Q$1,Receitas!$M:$M,"Mensal")+SUMIFS(Receitas!$F:$F,Receitas!$J:$J,"&lt;="&amp;$A1196,Receitas!$L:$L,"&gt;="&amp;$A1196,Receitas!$C:$C,Q$1,Receitas!$M:$M,$B1196)</f>
        <v>0</v>
      </c>
      <c r="R1196" s="18" cm="1">
        <f t="array" ref="R1196">(IF(AND(Membros!$F$2="Sim",A1196&lt;=MAX(Membros!$E$2:$E$5)),Membros!K$2,IF(AND(A1196&gt;=Membros!J$2,A1196&lt;=MAX(Membros!$E$2:$E$5)),Membros!K$2,0))+IF(AND(Membros!$F$3="Sim",A1196&lt;=MAX(Membros!$E$2:$E$5)),Membros!K$3,IF(AND(A1196&gt;=Membros!J$3,A1196&lt;=MAX(Membros!$E$2:$E$5)),Membros!K$3,0)))*IF(AND(COUNTIFS(Tabela3[Tipo],"Provedor",Tabela3[Simulação Seguro],"Sim")=2,A1196&gt;=MAX(IF(Tabela3[Tipo]="Dependente",Tabela3[Expectativa de Vida (Data)]))),0,1)</f>
        <v>0</v>
      </c>
      <c r="S1196" s="18">
        <f t="shared" si="150"/>
        <v>0</v>
      </c>
      <c r="U1196" s="18">
        <f t="shared" ca="1" si="153"/>
        <v>234152484.71802369</v>
      </c>
      <c r="V1196" s="18">
        <f>SUMIF(Imóveis!E:E,Dados!A:A,Imóveis!Z:Z)-SUMIF(Imóveis!E:E,Dados!A:A,Imóveis!Y:Y)</f>
        <v>0</v>
      </c>
      <c r="W1196" s="18">
        <f>-SUMIF(Projetos!N:N,A1196,Projetos!F:F)</f>
        <v>0</v>
      </c>
      <c r="X1196" s="18">
        <f t="shared" si="147"/>
        <v>0</v>
      </c>
      <c r="Y1196" s="26">
        <f ca="1">(U1196*((Indicadores_Economicos!D$2+1)^(1/12)-1))</f>
        <v>766554.30432211747</v>
      </c>
      <c r="Z1196" s="18">
        <f t="shared" ca="1" si="151"/>
        <v>234919039.02234581</v>
      </c>
      <c r="AA1196" s="18">
        <f ca="1">Auxiliar_Projetos!E1196</f>
        <v>1.9364794017031171E-8</v>
      </c>
      <c r="AB1196" s="18">
        <f ca="1">Auxiliar_Projetos!K1196</f>
        <v>1.4895995397716264E-8</v>
      </c>
      <c r="AC1196" s="18">
        <f ca="1">IF(Z1196-AA1196-AB1196&gt;Investimentos!$C$14,Investimentos!$C$14,IF(Z1196-AA1196-AB1196&lt;Investimentos!$C$14,Z1196-AA1196-AB1196,0))</f>
        <v>300000</v>
      </c>
      <c r="AD1196" s="18">
        <f t="shared" ca="1" si="152"/>
        <v>234619039.02234578</v>
      </c>
      <c r="AE1196" s="18"/>
    </row>
    <row r="1197" spans="1:31" x14ac:dyDescent="0.2">
      <c r="A1197" s="4">
        <v>82029</v>
      </c>
      <c r="B1197" s="5" t="str">
        <f t="shared" si="148"/>
        <v>agosto</v>
      </c>
      <c r="C1197" s="5" t="str">
        <f t="shared" si="154"/>
        <v>2124</v>
      </c>
      <c r="D1197" s="5">
        <f>SUMIFS(Despesas!$F:$F,Despesas!$J:$J,"&lt;="&amp;$A1197,Despesas!$L:$L,"&gt;="&amp;$A1197,Despesas!$C:$C,D$1,Despesas!$M:$M,"Mensal")+SUMIFS(Despesas!$F:$F,Despesas!$J:$J,"&lt;="&amp;$A1197,Despesas!$L:$L,"&gt;="&amp;$A1197,Despesas!$C:$C,D$1,Despesas!$M:$M,$B1197)</f>
        <v>0</v>
      </c>
      <c r="E1197" s="18">
        <f>SUMIFS(Despesas!$F:$F,Despesas!$J:$J,"&lt;="&amp;$A1197,Despesas!$L:$L,"&gt;="&amp;$A1197,Despesas!$C:$C,E$1,Despesas!$M:$M,"Mensal")+SUMIFS(Despesas!$F:$F,Despesas!$J:$J,"&lt;="&amp;$A1197,Despesas!$L:$L,"&gt;="&amp;$A1197,Despesas!$C:$C,E$1,Despesas!$M:$M,$B1197)</f>
        <v>0</v>
      </c>
      <c r="F1197" s="5">
        <f>SUMIFS(Despesas!$F:$F,Despesas!$J:$J,"&lt;="&amp;$A1197,Despesas!$L:$L,"&gt;="&amp;$A1197,Despesas!$C:$C,F$1,Despesas!$M:$M,"Mensal")+SUMIFS(Despesas!$F:$F,Despesas!$J:$J,"&lt;="&amp;$A1197,Despesas!$L:$L,"&gt;="&amp;$A1197,Despesas!$C:$C,F$1,Despesas!$M:$M,$B1197)</f>
        <v>0</v>
      </c>
      <c r="G1197" s="5">
        <f>SUMIFS(Despesas!$F:$F,Despesas!$J:$J,"&lt;="&amp;$A1197,Despesas!$L:$L,"&gt;="&amp;$A1197,Despesas!$C:$C,G$1,Despesas!$M:$M,"Mensal")+SUMIFS(Despesas!$F:$F,Despesas!$J:$J,"&lt;="&amp;$A1197,Despesas!$L:$L,"&gt;="&amp;$A1197,Despesas!$C:$C,G$1,Despesas!$M:$M,$B1197)</f>
        <v>0</v>
      </c>
      <c r="H1197" s="18">
        <f>SUMIFS(Despesas!$F:$F,Despesas!$J:$J,"&lt;="&amp;$A1197,Despesas!$L:$L,"&gt;="&amp;$A1197,Despesas!$C:$C,H$1,Despesas!$M:$M,"Mensal")+SUMIFS(Despesas!$F:$F,Despesas!$J:$J,"&lt;="&amp;$A1197,Despesas!$L:$L,"&gt;="&amp;$A1197,Despesas!$C:$C,H$1,Despesas!$M:$M,$B1197)</f>
        <v>0</v>
      </c>
      <c r="I1197" s="18">
        <f>IF(Imóveis!$F$2="PRICE",IF(AND(Dados!$A1197&gt;=Imóveis!$Q$2,Dados!$A1197&lt;=Imóveis!$T$2),Imóveis!$U$2,0),IF((IF(AND(Dados!$A1197&gt;=Imóveis!$Q$2,Dados!$A1197&lt;=Imóveis!$T$2),Imóveis!$S$2-(DATEDIF(Imóveis!$Q$2,Dados!$A1197,"m")),0))=0,0,((Imóveis!$N$2/Imóveis!$S$2)+((Imóveis!$N$2-((Imóveis!$S$2-(IF(AND(Dados!$A1197&gt;=Imóveis!$Q$2,Dados!$A1197&lt;=Imóveis!$T$2),Imóveis!$S$2-(DATEDIF(Imóveis!$Q$2,Dados!$A1197,"m")),)))*(Imóveis!$N$2/Imóveis!$S$2)))*Imóveis!$P$2))))*IF(AND(Imóveis!$E$2&gt;0,Dados!$A1197&gt;Imóveis!$E$2),0,1)</f>
        <v>0</v>
      </c>
      <c r="J1197" s="18">
        <f>IF(Imóveis!$F$3="PRICE",IF(AND(Dados!$A1197&gt;=Imóveis!$Q$3,Dados!$A1197&lt;=Imóveis!$T$3),Imóveis!$U$3,0),IF((IF(AND(Dados!$A1197&gt;=Imóveis!$Q$3,Dados!$A1197&lt;=Imóveis!$T$3),Imóveis!$S$3-(DATEDIF(Imóveis!$Q$3,Dados!$A1197,"m")),0))=0,0,((Imóveis!$N$3/Imóveis!$S$3)+((Imóveis!$N$3-((Imóveis!$S$3-(IF(AND(Dados!$A1197&gt;=Imóveis!$Q$3,Dados!$A1197&lt;=Imóveis!$T$3),Imóveis!$S$3-(DATEDIF(Imóveis!$Q$3,Dados!$A1197,"m")),)))*(Imóveis!$N$3/Imóveis!$S$3)))*Imóveis!$P$3))))*IF(AND(Imóveis!$E$3&gt;0,Dados!$A1197&gt;Imóveis!$E$3),0,1)</f>
        <v>0</v>
      </c>
      <c r="K1197" s="18">
        <f>IF(Imóveis!$F$4="PRICE",IF(AND(Dados!$A1197&gt;=Imóveis!$Q$4,Dados!$A1197&lt;=Imóveis!$T$4),Imóveis!$U$4,0),IF((IF(AND(Dados!$A1197&gt;=Imóveis!$Q$4,Dados!$A1197&lt;=Imóveis!$T$4),Imóveis!$S$4-(DATEDIF(Imóveis!$Q$4,Dados!$A1197,"m")),0))=0,0,((Imóveis!$N$4/Imóveis!$S$4)+((Imóveis!$N$4-((Imóveis!$S$4-(IF(AND(Dados!$A1197&gt;=Imóveis!$Q$4,Dados!$A1197&lt;=Imóveis!$T$4),Imóveis!$S$4-(DATEDIF(Imóveis!$Q$4,Dados!$A1197,"m")),)))*(Imóveis!$N$4/Imóveis!$S$4)))*Imóveis!$P$4))))*IF(AND(Imóveis!$E$4&gt;0,Dados!$A1197&gt;Imóveis!$E$4),0,1)</f>
        <v>0</v>
      </c>
      <c r="L1197" s="18">
        <f>IF(Imóveis!$F$5="PRICE",IF(AND(Dados!$A1197&gt;=Imóveis!$Q$5,Dados!$A1197&lt;=Imóveis!$T$5),Imóveis!$U$5,0),IF((IF(AND(Dados!$A1197&gt;=Imóveis!$Q$5,Dados!$A1197&lt;=Imóveis!$T$5),Imóveis!$S$5-(DATEDIF(Imóveis!$Q$5,Dados!$A1197,"m")),0))=0,0,((Imóveis!$N$5/Imóveis!$S$5)+((Imóveis!$N$5-((Imóveis!$S$5-(IF(AND(Dados!$A1197 &gt;=Imóveis!$Q$5,Dados!$A1197&lt;=Imóveis!$T$5),Imóveis!$S$5-(DATEDIF(Imóveis!$Q$5,Dados!$A1197,"m")),)))*(Imóveis!$N$5/Imóveis!$S$5)))*Imóveis!$P$5))))*IF(AND(Imóveis!$E$5&gt;0,Dados!$A1197&gt;Imóveis!$E$5),0,1)*Imóveis!$I$5</f>
        <v>0</v>
      </c>
      <c r="M1197" s="18">
        <f>IF(Imóveis!$F$6="PRICE",IF(AND(Dados!$A1197&gt;=Imóveis!$Q$6,Dados!$A1197&lt;=Imóveis!$T$6),Imóveis!$U$6,0),IF((IF(AND(Dados!$A1197&gt;=Imóveis!$Q$6,Dados!$A1197&lt;=Imóveis!$T$6),Imóveis!$S$6-(DATEDIF(Imóveis!$Q$6,Dados!$A1197,"m")),0))=0,0,((Imóveis!$N$6/Imóveis!$S$6)+((Imóveis!$N$6-((Imóveis!$S$6-(IF(AND(Dados!$A1197&gt;=Imóveis!$Q$6,Dados!$A1197&lt;=Imóveis!$T$6),Imóveis!$S$6-(DATEDIF(Imóveis!$Q$6,Dados!$A1197,"m")),)))*(Imóveis!$N$6/Imóveis!$S$6)))*Imóveis!$P$6))))*IF(AND(Imóveis!$E$6&gt;0,Dados!$A1197&gt;Imóveis!$E$6),0,1)*Imóveis!$I$6</f>
        <v>0</v>
      </c>
      <c r="N1197" s="18">
        <f t="shared" si="149"/>
        <v>0</v>
      </c>
      <c r="O1197" s="18">
        <f>SUMIFS(Receitas!$F:$F,Receitas!$J:$J,"&lt;="&amp;$A1197,Receitas!$L:$L,"&gt;="&amp;$A1197,Receitas!$C:$C,O$1,Receitas!$M:$M,"Mensal")+SUMIFS(Receitas!$F:$F,Receitas!$J:$J,"&lt;="&amp;$A1197,Receitas!$L:$L,"&gt;="&amp;$A1197,Receitas!$C:$C,O$1,Receitas!$M:$M,$B1197)</f>
        <v>0</v>
      </c>
      <c r="P1197" s="18">
        <f>SUMIFS(Receitas!$F:$F,Receitas!$J:$J,"&lt;="&amp;$A1197,Receitas!$L:$L,"&gt;="&amp;$A1197,Receitas!$C:$C,P$1,Receitas!$M:$M,"Mensal")+SUMIFS(Receitas!$F:$F,Receitas!$J:$J,"&lt;="&amp;$A1197,Receitas!$L:$L,"&gt;="&amp;$A1197,Receitas!$C:$C,P$1,Receitas!$M:$M,$B1197)</f>
        <v>0</v>
      </c>
      <c r="Q1197" s="18">
        <f>SUMIFS(Receitas!$F:$F,Receitas!$J:$J,"&lt;="&amp;$A1197,Receitas!$L:$L,"&gt;="&amp;$A1197,Receitas!$C:$C,Q$1,Receitas!$M:$M,"Mensal")+SUMIFS(Receitas!$F:$F,Receitas!$J:$J,"&lt;="&amp;$A1197,Receitas!$L:$L,"&gt;="&amp;$A1197,Receitas!$C:$C,Q$1,Receitas!$M:$M,$B1197)</f>
        <v>0</v>
      </c>
      <c r="R1197" s="18" cm="1">
        <f t="array" ref="R1197">(IF(AND(Membros!$F$2="Sim",A1197&lt;=MAX(Membros!$E$2:$E$5)),Membros!K$2,IF(AND(A1197&gt;=Membros!J$2,A1197&lt;=MAX(Membros!$E$2:$E$5)),Membros!K$2,0))+IF(AND(Membros!$F$3="Sim",A1197&lt;=MAX(Membros!$E$2:$E$5)),Membros!K$3,IF(AND(A1197&gt;=Membros!J$3,A1197&lt;=MAX(Membros!$E$2:$E$5)),Membros!K$3,0)))*IF(AND(COUNTIFS(Tabela3[Tipo],"Provedor",Tabela3[Simulação Seguro],"Sim")=2,A1197&gt;=MAX(IF(Tabela3[Tipo]="Dependente",Tabela3[Expectativa de Vida (Data)]))),0,1)</f>
        <v>0</v>
      </c>
      <c r="S1197" s="18">
        <f t="shared" si="150"/>
        <v>0</v>
      </c>
      <c r="U1197" s="18">
        <f t="shared" ca="1" si="153"/>
        <v>234919039.02234581</v>
      </c>
      <c r="V1197" s="18">
        <f>SUMIF(Imóveis!E:E,Dados!A:A,Imóveis!Z:Z)-SUMIF(Imóveis!E:E,Dados!A:A,Imóveis!Y:Y)</f>
        <v>0</v>
      </c>
      <c r="W1197" s="18">
        <f>-SUMIF(Projetos!N:N,A1197,Projetos!F:F)</f>
        <v>0</v>
      </c>
      <c r="X1197" s="18">
        <f t="shared" si="147"/>
        <v>0</v>
      </c>
      <c r="Y1197" s="26">
        <f ca="1">(U1197*((Indicadores_Economicos!D$2+1)^(1/12)-1))</f>
        <v>769063.80364339263</v>
      </c>
      <c r="Z1197" s="18">
        <f t="shared" ca="1" si="151"/>
        <v>235688102.82598922</v>
      </c>
      <c r="AA1197" s="18">
        <f ca="1">Auxiliar_Projetos!E1197</f>
        <v>1.9428189313578814E-8</v>
      </c>
      <c r="AB1197" s="18">
        <f ca="1">Auxiliar_Projetos!K1197</f>
        <v>1.4944761010445219E-8</v>
      </c>
      <c r="AC1197" s="18">
        <f ca="1">IF(Z1197-AA1197-AB1197&gt;Investimentos!$C$14,Investimentos!$C$14,IF(Z1197-AA1197-AB1197&lt;Investimentos!$C$14,Z1197-AA1197-AB1197,0))</f>
        <v>300000</v>
      </c>
      <c r="AD1197" s="18">
        <f t="shared" ca="1" si="152"/>
        <v>235388102.82598916</v>
      </c>
      <c r="AE1197" s="18"/>
    </row>
    <row r="1198" spans="1:31" x14ac:dyDescent="0.2">
      <c r="A1198" s="4">
        <v>82060</v>
      </c>
      <c r="B1198" s="5" t="str">
        <f t="shared" si="148"/>
        <v>setembro</v>
      </c>
      <c r="C1198" s="5" t="str">
        <f t="shared" si="154"/>
        <v>2124</v>
      </c>
      <c r="D1198" s="5">
        <f>SUMIFS(Despesas!$F:$F,Despesas!$J:$J,"&lt;="&amp;$A1198,Despesas!$L:$L,"&gt;="&amp;$A1198,Despesas!$C:$C,D$1,Despesas!$M:$M,"Mensal")+SUMIFS(Despesas!$F:$F,Despesas!$J:$J,"&lt;="&amp;$A1198,Despesas!$L:$L,"&gt;="&amp;$A1198,Despesas!$C:$C,D$1,Despesas!$M:$M,$B1198)</f>
        <v>0</v>
      </c>
      <c r="E1198" s="18">
        <f>SUMIFS(Despesas!$F:$F,Despesas!$J:$J,"&lt;="&amp;$A1198,Despesas!$L:$L,"&gt;="&amp;$A1198,Despesas!$C:$C,E$1,Despesas!$M:$M,"Mensal")+SUMIFS(Despesas!$F:$F,Despesas!$J:$J,"&lt;="&amp;$A1198,Despesas!$L:$L,"&gt;="&amp;$A1198,Despesas!$C:$C,E$1,Despesas!$M:$M,$B1198)</f>
        <v>0</v>
      </c>
      <c r="F1198" s="5">
        <f>SUMIFS(Despesas!$F:$F,Despesas!$J:$J,"&lt;="&amp;$A1198,Despesas!$L:$L,"&gt;="&amp;$A1198,Despesas!$C:$C,F$1,Despesas!$M:$M,"Mensal")+SUMIFS(Despesas!$F:$F,Despesas!$J:$J,"&lt;="&amp;$A1198,Despesas!$L:$L,"&gt;="&amp;$A1198,Despesas!$C:$C,F$1,Despesas!$M:$M,$B1198)</f>
        <v>0</v>
      </c>
      <c r="G1198" s="5">
        <f>SUMIFS(Despesas!$F:$F,Despesas!$J:$J,"&lt;="&amp;$A1198,Despesas!$L:$L,"&gt;="&amp;$A1198,Despesas!$C:$C,G$1,Despesas!$M:$M,"Mensal")+SUMIFS(Despesas!$F:$F,Despesas!$J:$J,"&lt;="&amp;$A1198,Despesas!$L:$L,"&gt;="&amp;$A1198,Despesas!$C:$C,G$1,Despesas!$M:$M,$B1198)</f>
        <v>0</v>
      </c>
      <c r="H1198" s="18">
        <f>SUMIFS(Despesas!$F:$F,Despesas!$J:$J,"&lt;="&amp;$A1198,Despesas!$L:$L,"&gt;="&amp;$A1198,Despesas!$C:$C,H$1,Despesas!$M:$M,"Mensal")+SUMIFS(Despesas!$F:$F,Despesas!$J:$J,"&lt;="&amp;$A1198,Despesas!$L:$L,"&gt;="&amp;$A1198,Despesas!$C:$C,H$1,Despesas!$M:$M,$B1198)</f>
        <v>0</v>
      </c>
      <c r="I1198" s="18">
        <f>IF(Imóveis!$F$2="PRICE",IF(AND(Dados!$A1198&gt;=Imóveis!$Q$2,Dados!$A1198&lt;=Imóveis!$T$2),Imóveis!$U$2,0),IF((IF(AND(Dados!$A1198&gt;=Imóveis!$Q$2,Dados!$A1198&lt;=Imóveis!$T$2),Imóveis!$S$2-(DATEDIF(Imóveis!$Q$2,Dados!$A1198,"m")),0))=0,0,((Imóveis!$N$2/Imóveis!$S$2)+((Imóveis!$N$2-((Imóveis!$S$2-(IF(AND(Dados!$A1198&gt;=Imóveis!$Q$2,Dados!$A1198&lt;=Imóveis!$T$2),Imóveis!$S$2-(DATEDIF(Imóveis!$Q$2,Dados!$A1198,"m")),)))*(Imóveis!$N$2/Imóveis!$S$2)))*Imóveis!$P$2))))*IF(AND(Imóveis!$E$2&gt;0,Dados!$A1198&gt;Imóveis!$E$2),0,1)</f>
        <v>0</v>
      </c>
      <c r="J1198" s="18">
        <f>IF(Imóveis!$F$3="PRICE",IF(AND(Dados!$A1198&gt;=Imóveis!$Q$3,Dados!$A1198&lt;=Imóveis!$T$3),Imóveis!$U$3,0),IF((IF(AND(Dados!$A1198&gt;=Imóveis!$Q$3,Dados!$A1198&lt;=Imóveis!$T$3),Imóveis!$S$3-(DATEDIF(Imóveis!$Q$3,Dados!$A1198,"m")),0))=0,0,((Imóveis!$N$3/Imóveis!$S$3)+((Imóveis!$N$3-((Imóveis!$S$3-(IF(AND(Dados!$A1198&gt;=Imóveis!$Q$3,Dados!$A1198&lt;=Imóveis!$T$3),Imóveis!$S$3-(DATEDIF(Imóveis!$Q$3,Dados!$A1198,"m")),)))*(Imóveis!$N$3/Imóveis!$S$3)))*Imóveis!$P$3))))*IF(AND(Imóveis!$E$3&gt;0,Dados!$A1198&gt;Imóveis!$E$3),0,1)</f>
        <v>0</v>
      </c>
      <c r="K1198" s="18">
        <f>IF(Imóveis!$F$4="PRICE",IF(AND(Dados!$A1198&gt;=Imóveis!$Q$4,Dados!$A1198&lt;=Imóveis!$T$4),Imóveis!$U$4,0),IF((IF(AND(Dados!$A1198&gt;=Imóveis!$Q$4,Dados!$A1198&lt;=Imóveis!$T$4),Imóveis!$S$4-(DATEDIF(Imóveis!$Q$4,Dados!$A1198,"m")),0))=0,0,((Imóveis!$N$4/Imóveis!$S$4)+((Imóveis!$N$4-((Imóveis!$S$4-(IF(AND(Dados!$A1198&gt;=Imóveis!$Q$4,Dados!$A1198&lt;=Imóveis!$T$4),Imóveis!$S$4-(DATEDIF(Imóveis!$Q$4,Dados!$A1198,"m")),)))*(Imóveis!$N$4/Imóveis!$S$4)))*Imóveis!$P$4))))*IF(AND(Imóveis!$E$4&gt;0,Dados!$A1198&gt;Imóveis!$E$4),0,1)</f>
        <v>0</v>
      </c>
      <c r="L1198" s="18">
        <f>IF(Imóveis!$F$5="PRICE",IF(AND(Dados!$A1198&gt;=Imóveis!$Q$5,Dados!$A1198&lt;=Imóveis!$T$5),Imóveis!$U$5,0),IF((IF(AND(Dados!$A1198&gt;=Imóveis!$Q$5,Dados!$A1198&lt;=Imóveis!$T$5),Imóveis!$S$5-(DATEDIF(Imóveis!$Q$5,Dados!$A1198,"m")),0))=0,0,((Imóveis!$N$5/Imóveis!$S$5)+((Imóveis!$N$5-((Imóveis!$S$5-(IF(AND(Dados!$A1198 &gt;=Imóveis!$Q$5,Dados!$A1198&lt;=Imóveis!$T$5),Imóveis!$S$5-(DATEDIF(Imóveis!$Q$5,Dados!$A1198,"m")),)))*(Imóveis!$N$5/Imóveis!$S$5)))*Imóveis!$P$5))))*IF(AND(Imóveis!$E$5&gt;0,Dados!$A1198&gt;Imóveis!$E$5),0,1)*Imóveis!$I$5</f>
        <v>0</v>
      </c>
      <c r="M1198" s="18">
        <f>IF(Imóveis!$F$6="PRICE",IF(AND(Dados!$A1198&gt;=Imóveis!$Q$6,Dados!$A1198&lt;=Imóveis!$T$6),Imóveis!$U$6,0),IF((IF(AND(Dados!$A1198&gt;=Imóveis!$Q$6,Dados!$A1198&lt;=Imóveis!$T$6),Imóveis!$S$6-(DATEDIF(Imóveis!$Q$6,Dados!$A1198,"m")),0))=0,0,((Imóveis!$N$6/Imóveis!$S$6)+((Imóveis!$N$6-((Imóveis!$S$6-(IF(AND(Dados!$A1198&gt;=Imóveis!$Q$6,Dados!$A1198&lt;=Imóveis!$T$6),Imóveis!$S$6-(DATEDIF(Imóveis!$Q$6,Dados!$A1198,"m")),)))*(Imóveis!$N$6/Imóveis!$S$6)))*Imóveis!$P$6))))*IF(AND(Imóveis!$E$6&gt;0,Dados!$A1198&gt;Imóveis!$E$6),0,1)*Imóveis!$I$6</f>
        <v>0</v>
      </c>
      <c r="N1198" s="18">
        <f t="shared" si="149"/>
        <v>0</v>
      </c>
      <c r="O1198" s="18">
        <f>SUMIFS(Receitas!$F:$F,Receitas!$J:$J,"&lt;="&amp;$A1198,Receitas!$L:$L,"&gt;="&amp;$A1198,Receitas!$C:$C,O$1,Receitas!$M:$M,"Mensal")+SUMIFS(Receitas!$F:$F,Receitas!$J:$J,"&lt;="&amp;$A1198,Receitas!$L:$L,"&gt;="&amp;$A1198,Receitas!$C:$C,O$1,Receitas!$M:$M,$B1198)</f>
        <v>0</v>
      </c>
      <c r="P1198" s="18">
        <f>SUMIFS(Receitas!$F:$F,Receitas!$J:$J,"&lt;="&amp;$A1198,Receitas!$L:$L,"&gt;="&amp;$A1198,Receitas!$C:$C,P$1,Receitas!$M:$M,"Mensal")+SUMIFS(Receitas!$F:$F,Receitas!$J:$J,"&lt;="&amp;$A1198,Receitas!$L:$L,"&gt;="&amp;$A1198,Receitas!$C:$C,P$1,Receitas!$M:$M,$B1198)</f>
        <v>0</v>
      </c>
      <c r="Q1198" s="18">
        <f>SUMIFS(Receitas!$F:$F,Receitas!$J:$J,"&lt;="&amp;$A1198,Receitas!$L:$L,"&gt;="&amp;$A1198,Receitas!$C:$C,Q$1,Receitas!$M:$M,"Mensal")+SUMIFS(Receitas!$F:$F,Receitas!$J:$J,"&lt;="&amp;$A1198,Receitas!$L:$L,"&gt;="&amp;$A1198,Receitas!$C:$C,Q$1,Receitas!$M:$M,$B1198)</f>
        <v>0</v>
      </c>
      <c r="R1198" s="18" cm="1">
        <f t="array" ref="R1198">(IF(AND(Membros!$F$2="Sim",A1198&lt;=MAX(Membros!$E$2:$E$5)),Membros!K$2,IF(AND(A1198&gt;=Membros!J$2,A1198&lt;=MAX(Membros!$E$2:$E$5)),Membros!K$2,0))+IF(AND(Membros!$F$3="Sim",A1198&lt;=MAX(Membros!$E$2:$E$5)),Membros!K$3,IF(AND(A1198&gt;=Membros!J$3,A1198&lt;=MAX(Membros!$E$2:$E$5)),Membros!K$3,0)))*IF(AND(COUNTIFS(Tabela3[Tipo],"Provedor",Tabela3[Simulação Seguro],"Sim")=2,A1198&gt;=MAX(IF(Tabela3[Tipo]="Dependente",Tabela3[Expectativa de Vida (Data)]))),0,1)</f>
        <v>0</v>
      </c>
      <c r="S1198" s="18">
        <f t="shared" si="150"/>
        <v>0</v>
      </c>
      <c r="U1198" s="18">
        <f t="shared" ca="1" si="153"/>
        <v>235688102.82598922</v>
      </c>
      <c r="V1198" s="18">
        <f>SUMIF(Imóveis!E:E,Dados!A:A,Imóveis!Z:Z)-SUMIF(Imóveis!E:E,Dados!A:A,Imóveis!Y:Y)</f>
        <v>0</v>
      </c>
      <c r="W1198" s="18">
        <f>-SUMIF(Projetos!N:N,A1198,Projetos!F:F)</f>
        <v>0</v>
      </c>
      <c r="X1198" s="18">
        <f t="shared" si="147"/>
        <v>0</v>
      </c>
      <c r="Y1198" s="26">
        <f ca="1">(U1198*((Indicadores_Economicos!D$2+1)^(1/12)-1))</f>
        <v>771581.51841242926</v>
      </c>
      <c r="Z1198" s="18">
        <f t="shared" ca="1" si="151"/>
        <v>236459684.34440166</v>
      </c>
      <c r="AA1198" s="18">
        <f ca="1">Auxiliar_Projetos!E1198</f>
        <v>1.9491792149830768E-8</v>
      </c>
      <c r="AB1198" s="18">
        <f ca="1">Auxiliar_Projetos!K1198</f>
        <v>1.4993686269100568E-8</v>
      </c>
      <c r="AC1198" s="18">
        <f ca="1">IF(Z1198-AA1198-AB1198&gt;Investimentos!$C$14,Investimentos!$C$14,IF(Z1198-AA1198-AB1198&lt;Investimentos!$C$14,Z1198-AA1198-AB1198,0))</f>
        <v>300000</v>
      </c>
      <c r="AD1198" s="18">
        <f t="shared" ca="1" si="152"/>
        <v>236159684.3444016</v>
      </c>
      <c r="AE1198" s="18"/>
    </row>
    <row r="1199" spans="1:31" x14ac:dyDescent="0.2">
      <c r="A1199" s="4">
        <v>82090</v>
      </c>
      <c r="B1199" s="5" t="str">
        <f t="shared" si="148"/>
        <v>outubro</v>
      </c>
      <c r="C1199" s="5" t="str">
        <f t="shared" si="154"/>
        <v>2124</v>
      </c>
      <c r="D1199" s="5">
        <f>SUMIFS(Despesas!$F:$F,Despesas!$J:$J,"&lt;="&amp;$A1199,Despesas!$L:$L,"&gt;="&amp;$A1199,Despesas!$C:$C,D$1,Despesas!$M:$M,"Mensal")+SUMIFS(Despesas!$F:$F,Despesas!$J:$J,"&lt;="&amp;$A1199,Despesas!$L:$L,"&gt;="&amp;$A1199,Despesas!$C:$C,D$1,Despesas!$M:$M,$B1199)</f>
        <v>0</v>
      </c>
      <c r="E1199" s="18">
        <f>SUMIFS(Despesas!$F:$F,Despesas!$J:$J,"&lt;="&amp;$A1199,Despesas!$L:$L,"&gt;="&amp;$A1199,Despesas!$C:$C,E$1,Despesas!$M:$M,"Mensal")+SUMIFS(Despesas!$F:$F,Despesas!$J:$J,"&lt;="&amp;$A1199,Despesas!$L:$L,"&gt;="&amp;$A1199,Despesas!$C:$C,E$1,Despesas!$M:$M,$B1199)</f>
        <v>0</v>
      </c>
      <c r="F1199" s="5">
        <f>SUMIFS(Despesas!$F:$F,Despesas!$J:$J,"&lt;="&amp;$A1199,Despesas!$L:$L,"&gt;="&amp;$A1199,Despesas!$C:$C,F$1,Despesas!$M:$M,"Mensal")+SUMIFS(Despesas!$F:$F,Despesas!$J:$J,"&lt;="&amp;$A1199,Despesas!$L:$L,"&gt;="&amp;$A1199,Despesas!$C:$C,F$1,Despesas!$M:$M,$B1199)</f>
        <v>0</v>
      </c>
      <c r="G1199" s="5">
        <f>SUMIFS(Despesas!$F:$F,Despesas!$J:$J,"&lt;="&amp;$A1199,Despesas!$L:$L,"&gt;="&amp;$A1199,Despesas!$C:$C,G$1,Despesas!$M:$M,"Mensal")+SUMIFS(Despesas!$F:$F,Despesas!$J:$J,"&lt;="&amp;$A1199,Despesas!$L:$L,"&gt;="&amp;$A1199,Despesas!$C:$C,G$1,Despesas!$M:$M,$B1199)</f>
        <v>0</v>
      </c>
      <c r="H1199" s="18">
        <f>SUMIFS(Despesas!$F:$F,Despesas!$J:$J,"&lt;="&amp;$A1199,Despesas!$L:$L,"&gt;="&amp;$A1199,Despesas!$C:$C,H$1,Despesas!$M:$M,"Mensal")+SUMIFS(Despesas!$F:$F,Despesas!$J:$J,"&lt;="&amp;$A1199,Despesas!$L:$L,"&gt;="&amp;$A1199,Despesas!$C:$C,H$1,Despesas!$M:$M,$B1199)</f>
        <v>0</v>
      </c>
      <c r="I1199" s="18">
        <f>IF(Imóveis!$F$2="PRICE",IF(AND(Dados!$A1199&gt;=Imóveis!$Q$2,Dados!$A1199&lt;=Imóveis!$T$2),Imóveis!$U$2,0),IF((IF(AND(Dados!$A1199&gt;=Imóveis!$Q$2,Dados!$A1199&lt;=Imóveis!$T$2),Imóveis!$S$2-(DATEDIF(Imóveis!$Q$2,Dados!$A1199,"m")),0))=0,0,((Imóveis!$N$2/Imóveis!$S$2)+((Imóveis!$N$2-((Imóveis!$S$2-(IF(AND(Dados!$A1199&gt;=Imóveis!$Q$2,Dados!$A1199&lt;=Imóveis!$T$2),Imóveis!$S$2-(DATEDIF(Imóveis!$Q$2,Dados!$A1199,"m")),)))*(Imóveis!$N$2/Imóveis!$S$2)))*Imóveis!$P$2))))*IF(AND(Imóveis!$E$2&gt;0,Dados!$A1199&gt;Imóveis!$E$2),0,1)</f>
        <v>0</v>
      </c>
      <c r="J1199" s="18">
        <f>IF(Imóveis!$F$3="PRICE",IF(AND(Dados!$A1199&gt;=Imóveis!$Q$3,Dados!$A1199&lt;=Imóveis!$T$3),Imóveis!$U$3,0),IF((IF(AND(Dados!$A1199&gt;=Imóveis!$Q$3,Dados!$A1199&lt;=Imóveis!$T$3),Imóveis!$S$3-(DATEDIF(Imóveis!$Q$3,Dados!$A1199,"m")),0))=0,0,((Imóveis!$N$3/Imóveis!$S$3)+((Imóveis!$N$3-((Imóveis!$S$3-(IF(AND(Dados!$A1199&gt;=Imóveis!$Q$3,Dados!$A1199&lt;=Imóveis!$T$3),Imóveis!$S$3-(DATEDIF(Imóveis!$Q$3,Dados!$A1199,"m")),)))*(Imóveis!$N$3/Imóveis!$S$3)))*Imóveis!$P$3))))*IF(AND(Imóveis!$E$3&gt;0,Dados!$A1199&gt;Imóveis!$E$3),0,1)</f>
        <v>0</v>
      </c>
      <c r="K1199" s="18">
        <f>IF(Imóveis!$F$4="PRICE",IF(AND(Dados!$A1199&gt;=Imóveis!$Q$4,Dados!$A1199&lt;=Imóveis!$T$4),Imóveis!$U$4,0),IF((IF(AND(Dados!$A1199&gt;=Imóveis!$Q$4,Dados!$A1199&lt;=Imóveis!$T$4),Imóveis!$S$4-(DATEDIF(Imóveis!$Q$4,Dados!$A1199,"m")),0))=0,0,((Imóveis!$N$4/Imóveis!$S$4)+((Imóveis!$N$4-((Imóveis!$S$4-(IF(AND(Dados!$A1199&gt;=Imóveis!$Q$4,Dados!$A1199&lt;=Imóveis!$T$4),Imóveis!$S$4-(DATEDIF(Imóveis!$Q$4,Dados!$A1199,"m")),)))*(Imóveis!$N$4/Imóveis!$S$4)))*Imóveis!$P$4))))*IF(AND(Imóveis!$E$4&gt;0,Dados!$A1199&gt;Imóveis!$E$4),0,1)</f>
        <v>0</v>
      </c>
      <c r="L1199" s="18">
        <f>IF(Imóveis!$F$5="PRICE",IF(AND(Dados!$A1199&gt;=Imóveis!$Q$5,Dados!$A1199&lt;=Imóveis!$T$5),Imóveis!$U$5,0),IF((IF(AND(Dados!$A1199&gt;=Imóveis!$Q$5,Dados!$A1199&lt;=Imóveis!$T$5),Imóveis!$S$5-(DATEDIF(Imóveis!$Q$5,Dados!$A1199,"m")),0))=0,0,((Imóveis!$N$5/Imóveis!$S$5)+((Imóveis!$N$5-((Imóveis!$S$5-(IF(AND(Dados!$A1199 &gt;=Imóveis!$Q$5,Dados!$A1199&lt;=Imóveis!$T$5),Imóveis!$S$5-(DATEDIF(Imóveis!$Q$5,Dados!$A1199,"m")),)))*(Imóveis!$N$5/Imóveis!$S$5)))*Imóveis!$P$5))))*IF(AND(Imóveis!$E$5&gt;0,Dados!$A1199&gt;Imóveis!$E$5),0,1)*Imóveis!$I$5</f>
        <v>0</v>
      </c>
      <c r="M1199" s="18">
        <f>IF(Imóveis!$F$6="PRICE",IF(AND(Dados!$A1199&gt;=Imóveis!$Q$6,Dados!$A1199&lt;=Imóveis!$T$6),Imóveis!$U$6,0),IF((IF(AND(Dados!$A1199&gt;=Imóveis!$Q$6,Dados!$A1199&lt;=Imóveis!$T$6),Imóveis!$S$6-(DATEDIF(Imóveis!$Q$6,Dados!$A1199,"m")),0))=0,0,((Imóveis!$N$6/Imóveis!$S$6)+((Imóveis!$N$6-((Imóveis!$S$6-(IF(AND(Dados!$A1199&gt;=Imóveis!$Q$6,Dados!$A1199&lt;=Imóveis!$T$6),Imóveis!$S$6-(DATEDIF(Imóveis!$Q$6,Dados!$A1199,"m")),)))*(Imóveis!$N$6/Imóveis!$S$6)))*Imóveis!$P$6))))*IF(AND(Imóveis!$E$6&gt;0,Dados!$A1199&gt;Imóveis!$E$6),0,1)*Imóveis!$I$6</f>
        <v>0</v>
      </c>
      <c r="N1199" s="18">
        <f t="shared" si="149"/>
        <v>0</v>
      </c>
      <c r="O1199" s="18">
        <f>SUMIFS(Receitas!$F:$F,Receitas!$J:$J,"&lt;="&amp;$A1199,Receitas!$L:$L,"&gt;="&amp;$A1199,Receitas!$C:$C,O$1,Receitas!$M:$M,"Mensal")+SUMIFS(Receitas!$F:$F,Receitas!$J:$J,"&lt;="&amp;$A1199,Receitas!$L:$L,"&gt;="&amp;$A1199,Receitas!$C:$C,O$1,Receitas!$M:$M,$B1199)</f>
        <v>0</v>
      </c>
      <c r="P1199" s="18">
        <f>SUMIFS(Receitas!$F:$F,Receitas!$J:$J,"&lt;="&amp;$A1199,Receitas!$L:$L,"&gt;="&amp;$A1199,Receitas!$C:$C,P$1,Receitas!$M:$M,"Mensal")+SUMIFS(Receitas!$F:$F,Receitas!$J:$J,"&lt;="&amp;$A1199,Receitas!$L:$L,"&gt;="&amp;$A1199,Receitas!$C:$C,P$1,Receitas!$M:$M,$B1199)</f>
        <v>0</v>
      </c>
      <c r="Q1199" s="18">
        <f>SUMIFS(Receitas!$F:$F,Receitas!$J:$J,"&lt;="&amp;$A1199,Receitas!$L:$L,"&gt;="&amp;$A1199,Receitas!$C:$C,Q$1,Receitas!$M:$M,"Mensal")+SUMIFS(Receitas!$F:$F,Receitas!$J:$J,"&lt;="&amp;$A1199,Receitas!$L:$L,"&gt;="&amp;$A1199,Receitas!$C:$C,Q$1,Receitas!$M:$M,$B1199)</f>
        <v>0</v>
      </c>
      <c r="R1199" s="18" cm="1">
        <f t="array" ref="R1199">(IF(AND(Membros!$F$2="Sim",A1199&lt;=MAX(Membros!$E$2:$E$5)),Membros!K$2,IF(AND(A1199&gt;=Membros!J$2,A1199&lt;=MAX(Membros!$E$2:$E$5)),Membros!K$2,0))+IF(AND(Membros!$F$3="Sim",A1199&lt;=MAX(Membros!$E$2:$E$5)),Membros!K$3,IF(AND(A1199&gt;=Membros!J$3,A1199&lt;=MAX(Membros!$E$2:$E$5)),Membros!K$3,0)))*IF(AND(COUNTIFS(Tabela3[Tipo],"Provedor",Tabela3[Simulação Seguro],"Sim")=2,A1199&gt;=MAX(IF(Tabela3[Tipo]="Dependente",Tabela3[Expectativa de Vida (Data)]))),0,1)</f>
        <v>0</v>
      </c>
      <c r="S1199" s="18">
        <f t="shared" si="150"/>
        <v>0</v>
      </c>
      <c r="U1199" s="18">
        <f t="shared" ca="1" si="153"/>
        <v>236459684.34440166</v>
      </c>
      <c r="V1199" s="18">
        <f>SUMIF(Imóveis!E:E,Dados!A:A,Imóveis!Z:Z)-SUMIF(Imóveis!E:E,Dados!A:A,Imóveis!Y:Y)</f>
        <v>0</v>
      </c>
      <c r="W1199" s="18">
        <f>-SUMIF(Projetos!N:N,A1199,Projetos!F:F)</f>
        <v>0</v>
      </c>
      <c r="X1199" s="18">
        <f t="shared" si="147"/>
        <v>0</v>
      </c>
      <c r="Y1199" s="26">
        <f ca="1">(U1199*((Indicadores_Economicos!D$2+1)^(1/12)-1))</f>
        <v>774107.47552446555</v>
      </c>
      <c r="Z1199" s="18">
        <f t="shared" ca="1" si="151"/>
        <v>237233791.81992611</v>
      </c>
      <c r="AA1199" s="18">
        <f ca="1">Auxiliar_Projetos!E1199</f>
        <v>1.955560320521802E-8</v>
      </c>
      <c r="AB1199" s="18">
        <f ca="1">Auxiliar_Projetos!K1199</f>
        <v>1.5042771696321534E-8</v>
      </c>
      <c r="AC1199" s="18">
        <f ca="1">IF(Z1199-AA1199-AB1199&gt;Investimentos!$C$14,Investimentos!$C$14,IF(Z1199-AA1199-AB1199&lt;Investimentos!$C$14,Z1199-AA1199-AB1199,0))</f>
        <v>300000</v>
      </c>
      <c r="AD1199" s="18">
        <f t="shared" ca="1" si="152"/>
        <v>236933791.81992605</v>
      </c>
      <c r="AE1199" s="18"/>
    </row>
    <row r="1200" spans="1:31" x14ac:dyDescent="0.2">
      <c r="A1200" s="4">
        <v>82121</v>
      </c>
      <c r="B1200" s="5" t="str">
        <f t="shared" si="148"/>
        <v>novembro</v>
      </c>
      <c r="C1200" s="5" t="str">
        <f t="shared" si="154"/>
        <v>2124</v>
      </c>
      <c r="D1200" s="5">
        <f>SUMIFS(Despesas!$F:$F,Despesas!$J:$J,"&lt;="&amp;$A1200,Despesas!$L:$L,"&gt;="&amp;$A1200,Despesas!$C:$C,D$1,Despesas!$M:$M,"Mensal")+SUMIFS(Despesas!$F:$F,Despesas!$J:$J,"&lt;="&amp;$A1200,Despesas!$L:$L,"&gt;="&amp;$A1200,Despesas!$C:$C,D$1,Despesas!$M:$M,$B1200)</f>
        <v>0</v>
      </c>
      <c r="E1200" s="18">
        <f>SUMIFS(Despesas!$F:$F,Despesas!$J:$J,"&lt;="&amp;$A1200,Despesas!$L:$L,"&gt;="&amp;$A1200,Despesas!$C:$C,E$1,Despesas!$M:$M,"Mensal")+SUMIFS(Despesas!$F:$F,Despesas!$J:$J,"&lt;="&amp;$A1200,Despesas!$L:$L,"&gt;="&amp;$A1200,Despesas!$C:$C,E$1,Despesas!$M:$M,$B1200)</f>
        <v>0</v>
      </c>
      <c r="F1200" s="5">
        <f>SUMIFS(Despesas!$F:$F,Despesas!$J:$J,"&lt;="&amp;$A1200,Despesas!$L:$L,"&gt;="&amp;$A1200,Despesas!$C:$C,F$1,Despesas!$M:$M,"Mensal")+SUMIFS(Despesas!$F:$F,Despesas!$J:$J,"&lt;="&amp;$A1200,Despesas!$L:$L,"&gt;="&amp;$A1200,Despesas!$C:$C,F$1,Despesas!$M:$M,$B1200)</f>
        <v>0</v>
      </c>
      <c r="G1200" s="5">
        <f>SUMIFS(Despesas!$F:$F,Despesas!$J:$J,"&lt;="&amp;$A1200,Despesas!$L:$L,"&gt;="&amp;$A1200,Despesas!$C:$C,G$1,Despesas!$M:$M,"Mensal")+SUMIFS(Despesas!$F:$F,Despesas!$J:$J,"&lt;="&amp;$A1200,Despesas!$L:$L,"&gt;="&amp;$A1200,Despesas!$C:$C,G$1,Despesas!$M:$M,$B1200)</f>
        <v>0</v>
      </c>
      <c r="H1200" s="18">
        <f>SUMIFS(Despesas!$F:$F,Despesas!$J:$J,"&lt;="&amp;$A1200,Despesas!$L:$L,"&gt;="&amp;$A1200,Despesas!$C:$C,H$1,Despesas!$M:$M,"Mensal")+SUMIFS(Despesas!$F:$F,Despesas!$J:$J,"&lt;="&amp;$A1200,Despesas!$L:$L,"&gt;="&amp;$A1200,Despesas!$C:$C,H$1,Despesas!$M:$M,$B1200)</f>
        <v>0</v>
      </c>
      <c r="I1200" s="18">
        <f>IF(Imóveis!$F$2="PRICE",IF(AND(Dados!$A1200&gt;=Imóveis!$Q$2,Dados!$A1200&lt;=Imóveis!$T$2),Imóveis!$U$2,0),IF((IF(AND(Dados!$A1200&gt;=Imóveis!$Q$2,Dados!$A1200&lt;=Imóveis!$T$2),Imóveis!$S$2-(DATEDIF(Imóveis!$Q$2,Dados!$A1200,"m")),0))=0,0,((Imóveis!$N$2/Imóveis!$S$2)+((Imóveis!$N$2-((Imóveis!$S$2-(IF(AND(Dados!$A1200&gt;=Imóveis!$Q$2,Dados!$A1200&lt;=Imóveis!$T$2),Imóveis!$S$2-(DATEDIF(Imóveis!$Q$2,Dados!$A1200,"m")),)))*(Imóveis!$N$2/Imóveis!$S$2)))*Imóveis!$P$2))))*IF(AND(Imóveis!$E$2&gt;0,Dados!$A1200&gt;Imóveis!$E$2),0,1)</f>
        <v>0</v>
      </c>
      <c r="J1200" s="18">
        <f>IF(Imóveis!$F$3="PRICE",IF(AND(Dados!$A1200&gt;=Imóveis!$Q$3,Dados!$A1200&lt;=Imóveis!$T$3),Imóveis!$U$3,0),IF((IF(AND(Dados!$A1200&gt;=Imóveis!$Q$3,Dados!$A1200&lt;=Imóveis!$T$3),Imóveis!$S$3-(DATEDIF(Imóveis!$Q$3,Dados!$A1200,"m")),0))=0,0,((Imóveis!$N$3/Imóveis!$S$3)+((Imóveis!$N$3-((Imóveis!$S$3-(IF(AND(Dados!$A1200&gt;=Imóveis!$Q$3,Dados!$A1200&lt;=Imóveis!$T$3),Imóveis!$S$3-(DATEDIF(Imóveis!$Q$3,Dados!$A1200,"m")),)))*(Imóveis!$N$3/Imóveis!$S$3)))*Imóveis!$P$3))))*IF(AND(Imóveis!$E$3&gt;0,Dados!$A1200&gt;Imóveis!$E$3),0,1)</f>
        <v>0</v>
      </c>
      <c r="K1200" s="18">
        <f>IF(Imóveis!$F$4="PRICE",IF(AND(Dados!$A1200&gt;=Imóveis!$Q$4,Dados!$A1200&lt;=Imóveis!$T$4),Imóveis!$U$4,0),IF((IF(AND(Dados!$A1200&gt;=Imóveis!$Q$4,Dados!$A1200&lt;=Imóveis!$T$4),Imóveis!$S$4-(DATEDIF(Imóveis!$Q$4,Dados!$A1200,"m")),0))=0,0,((Imóveis!$N$4/Imóveis!$S$4)+((Imóveis!$N$4-((Imóveis!$S$4-(IF(AND(Dados!$A1200&gt;=Imóveis!$Q$4,Dados!$A1200&lt;=Imóveis!$T$4),Imóveis!$S$4-(DATEDIF(Imóveis!$Q$4,Dados!$A1200,"m")),)))*(Imóveis!$N$4/Imóveis!$S$4)))*Imóveis!$P$4))))*IF(AND(Imóveis!$E$4&gt;0,Dados!$A1200&gt;Imóveis!$E$4),0,1)</f>
        <v>0</v>
      </c>
      <c r="L1200" s="18">
        <f>IF(Imóveis!$F$5="PRICE",IF(AND(Dados!$A1200&gt;=Imóveis!$Q$5,Dados!$A1200&lt;=Imóveis!$T$5),Imóveis!$U$5,0),IF((IF(AND(Dados!$A1200&gt;=Imóveis!$Q$5,Dados!$A1200&lt;=Imóveis!$T$5),Imóveis!$S$5-(DATEDIF(Imóveis!$Q$5,Dados!$A1200,"m")),0))=0,0,((Imóveis!$N$5/Imóveis!$S$5)+((Imóveis!$N$5-((Imóveis!$S$5-(IF(AND(Dados!$A1200 &gt;=Imóveis!$Q$5,Dados!$A1200&lt;=Imóveis!$T$5),Imóveis!$S$5-(DATEDIF(Imóveis!$Q$5,Dados!$A1200,"m")),)))*(Imóveis!$N$5/Imóveis!$S$5)))*Imóveis!$P$5))))*IF(AND(Imóveis!$E$5&gt;0,Dados!$A1200&gt;Imóveis!$E$5),0,1)*Imóveis!$I$5</f>
        <v>0</v>
      </c>
      <c r="M1200" s="18">
        <f>IF(Imóveis!$F$6="PRICE",IF(AND(Dados!$A1200&gt;=Imóveis!$Q$6,Dados!$A1200&lt;=Imóveis!$T$6),Imóveis!$U$6,0),IF((IF(AND(Dados!$A1200&gt;=Imóveis!$Q$6,Dados!$A1200&lt;=Imóveis!$T$6),Imóveis!$S$6-(DATEDIF(Imóveis!$Q$6,Dados!$A1200,"m")),0))=0,0,((Imóveis!$N$6/Imóveis!$S$6)+((Imóveis!$N$6-((Imóveis!$S$6-(IF(AND(Dados!$A1200&gt;=Imóveis!$Q$6,Dados!$A1200&lt;=Imóveis!$T$6),Imóveis!$S$6-(DATEDIF(Imóveis!$Q$6,Dados!$A1200,"m")),)))*(Imóveis!$N$6/Imóveis!$S$6)))*Imóveis!$P$6))))*IF(AND(Imóveis!$E$6&gt;0,Dados!$A1200&gt;Imóveis!$E$6),0,1)*Imóveis!$I$6</f>
        <v>0</v>
      </c>
      <c r="N1200" s="18">
        <f t="shared" si="149"/>
        <v>0</v>
      </c>
      <c r="O1200" s="18">
        <f>SUMIFS(Receitas!$F:$F,Receitas!$J:$J,"&lt;="&amp;$A1200,Receitas!$L:$L,"&gt;="&amp;$A1200,Receitas!$C:$C,O$1,Receitas!$M:$M,"Mensal")+SUMIFS(Receitas!$F:$F,Receitas!$J:$J,"&lt;="&amp;$A1200,Receitas!$L:$L,"&gt;="&amp;$A1200,Receitas!$C:$C,O$1,Receitas!$M:$M,$B1200)</f>
        <v>0</v>
      </c>
      <c r="P1200" s="18">
        <f>SUMIFS(Receitas!$F:$F,Receitas!$J:$J,"&lt;="&amp;$A1200,Receitas!$L:$L,"&gt;="&amp;$A1200,Receitas!$C:$C,P$1,Receitas!$M:$M,"Mensal")+SUMIFS(Receitas!$F:$F,Receitas!$J:$J,"&lt;="&amp;$A1200,Receitas!$L:$L,"&gt;="&amp;$A1200,Receitas!$C:$C,P$1,Receitas!$M:$M,$B1200)</f>
        <v>0</v>
      </c>
      <c r="Q1200" s="18">
        <f>SUMIFS(Receitas!$F:$F,Receitas!$J:$J,"&lt;="&amp;$A1200,Receitas!$L:$L,"&gt;="&amp;$A1200,Receitas!$C:$C,Q$1,Receitas!$M:$M,"Mensal")+SUMIFS(Receitas!$F:$F,Receitas!$J:$J,"&lt;="&amp;$A1200,Receitas!$L:$L,"&gt;="&amp;$A1200,Receitas!$C:$C,Q$1,Receitas!$M:$M,$B1200)</f>
        <v>0</v>
      </c>
      <c r="R1200" s="18" cm="1">
        <f t="array" ref="R1200">(IF(AND(Membros!$F$2="Sim",A1200&lt;=MAX(Membros!$E$2:$E$5)),Membros!K$2,IF(AND(A1200&gt;=Membros!J$2,A1200&lt;=MAX(Membros!$E$2:$E$5)),Membros!K$2,0))+IF(AND(Membros!$F$3="Sim",A1200&lt;=MAX(Membros!$E$2:$E$5)),Membros!K$3,IF(AND(A1200&gt;=Membros!J$3,A1200&lt;=MAX(Membros!$E$2:$E$5)),Membros!K$3,0)))*IF(AND(COUNTIFS(Tabela3[Tipo],"Provedor",Tabela3[Simulação Seguro],"Sim")=2,A1200&gt;=MAX(IF(Tabela3[Tipo]="Dependente",Tabela3[Expectativa de Vida (Data)]))),0,1)</f>
        <v>0</v>
      </c>
      <c r="S1200" s="18">
        <f t="shared" si="150"/>
        <v>0</v>
      </c>
      <c r="U1200" s="18">
        <f t="shared" ca="1" si="153"/>
        <v>237233791.81992611</v>
      </c>
      <c r="V1200" s="18">
        <f>SUMIF(Imóveis!E:E,Dados!A:A,Imóveis!Z:Z)-SUMIF(Imóveis!E:E,Dados!A:A,Imóveis!Y:Y)</f>
        <v>0</v>
      </c>
      <c r="W1200" s="18">
        <f>-SUMIF(Projetos!N:N,A1200,Projetos!F:F)</f>
        <v>0</v>
      </c>
      <c r="X1200" s="18">
        <f t="shared" si="147"/>
        <v>0</v>
      </c>
      <c r="Y1200" s="26">
        <f ca="1">(U1200*((Indicadores_Economicos!D$2+1)^(1/12)-1))</f>
        <v>776641.70196278754</v>
      </c>
      <c r="Z1200" s="18">
        <f t="shared" ca="1" si="151"/>
        <v>238010433.52188891</v>
      </c>
      <c r="AA1200" s="18">
        <f ca="1">Auxiliar_Projetos!E1200</f>
        <v>1.961962316139584E-8</v>
      </c>
      <c r="AB1200" s="18">
        <f ca="1">Auxiliar_Projetos!K1200</f>
        <v>1.5092017816458316E-8</v>
      </c>
      <c r="AC1200" s="18">
        <f ca="1">IF(Z1200-AA1200-AB1200&gt;Investimentos!$C$14,Investimentos!$C$14,IF(Z1200-AA1200-AB1200&lt;Investimentos!$C$14,Z1200-AA1200-AB1200,0))</f>
        <v>300000</v>
      </c>
      <c r="AD1200" s="18">
        <f t="shared" ca="1" si="152"/>
        <v>237710433.52188885</v>
      </c>
      <c r="AE1200" s="18"/>
    </row>
    <row r="1201" spans="1:31" x14ac:dyDescent="0.2">
      <c r="A1201" s="4">
        <v>82151</v>
      </c>
      <c r="B1201" s="5" t="str">
        <f>TEXT(A1201,"MMMM")</f>
        <v>dezembro</v>
      </c>
      <c r="C1201" s="5" t="str">
        <f>TEXT(A1201,"AAAA")</f>
        <v>2124</v>
      </c>
      <c r="D1201" s="5">
        <f>SUMIFS(Despesas!$F:$F,Despesas!$J:$J,"&lt;="&amp;$A1201,Despesas!$L:$L,"&gt;="&amp;$A1201,Despesas!$C:$C,D$1,Despesas!$M:$M,"Mensal")+SUMIFS(Despesas!$F:$F,Despesas!$J:$J,"&lt;="&amp;$A1201,Despesas!$L:$L,"&gt;="&amp;$A1201,Despesas!$C:$C,D$1,Despesas!$M:$M,$B1201)</f>
        <v>0</v>
      </c>
      <c r="E1201" s="18">
        <f>SUMIFS(Despesas!$F:$F,Despesas!$J:$J,"&lt;="&amp;$A1201,Despesas!$L:$L,"&gt;="&amp;$A1201,Despesas!$C:$C,E$1,Despesas!$M:$M,"Mensal")+SUMIFS(Despesas!$F:$F,Despesas!$J:$J,"&lt;="&amp;$A1201,Despesas!$L:$L,"&gt;="&amp;$A1201,Despesas!$C:$C,E$1,Despesas!$M:$M,$B1201)</f>
        <v>0</v>
      </c>
      <c r="F1201" s="5">
        <f>SUMIFS(Despesas!$F:$F,Despesas!$J:$J,"&lt;="&amp;$A1201,Despesas!$L:$L,"&gt;="&amp;$A1201,Despesas!$C:$C,F$1,Despesas!$M:$M,"Mensal")+SUMIFS(Despesas!$F:$F,Despesas!$J:$J,"&lt;="&amp;$A1201,Despesas!$L:$L,"&gt;="&amp;$A1201,Despesas!$C:$C,F$1,Despesas!$M:$M,$B1201)</f>
        <v>0</v>
      </c>
      <c r="G1201" s="5">
        <f>SUMIFS(Despesas!$F:$F,Despesas!$J:$J,"&lt;="&amp;$A1201,Despesas!$L:$L,"&gt;="&amp;$A1201,Despesas!$C:$C,G$1,Despesas!$M:$M,"Mensal")+SUMIFS(Despesas!$F:$F,Despesas!$J:$J,"&lt;="&amp;$A1201,Despesas!$L:$L,"&gt;="&amp;$A1201,Despesas!$C:$C,G$1,Despesas!$M:$M,$B1201)</f>
        <v>0</v>
      </c>
      <c r="H1201" s="18">
        <f>SUMIFS(Despesas!$F:$F,Despesas!$J:$J,"&lt;="&amp;$A1201,Despesas!$L:$L,"&gt;="&amp;$A1201,Despesas!$C:$C,H$1,Despesas!$M:$M,"Mensal")+SUMIFS(Despesas!$F:$F,Despesas!$J:$J,"&lt;="&amp;$A1201,Despesas!$L:$L,"&gt;="&amp;$A1201,Despesas!$C:$C,H$1,Despesas!$M:$M,$B1201)</f>
        <v>0</v>
      </c>
      <c r="I1201" s="18">
        <f>IF(Imóveis!$F$2="PRICE",IF(AND(Dados!$A1201&gt;=Imóveis!$Q$2,Dados!$A1201&lt;=Imóveis!$T$2),Imóveis!$U$2,0),IF((IF(AND(Dados!$A1201&gt;=Imóveis!$Q$2,Dados!$A1201&lt;=Imóveis!$T$2),Imóveis!$S$2-(DATEDIF(Imóveis!$Q$2,Dados!$A1201,"m")),0))=0,0,((Imóveis!$N$2/Imóveis!$S$2)+((Imóveis!$N$2-((Imóveis!$S$2-(IF(AND(Dados!$A1201&gt;=Imóveis!$Q$2,Dados!$A1201&lt;=Imóveis!$T$2),Imóveis!$S$2-(DATEDIF(Imóveis!$Q$2,Dados!$A1201,"m")),)))*(Imóveis!$N$2/Imóveis!$S$2)))*Imóveis!$P$2))))*IF(AND(Imóveis!$E$2&gt;0,Dados!$A1201&gt;Imóveis!$E$2),0,1)</f>
        <v>0</v>
      </c>
      <c r="J1201" s="18">
        <f>IF(Imóveis!$F$3="PRICE",IF(AND(Dados!$A1201&gt;=Imóveis!$Q$3,Dados!$A1201&lt;=Imóveis!$T$3),Imóveis!$U$3,0),IF((IF(AND(Dados!$A1201&gt;=Imóveis!$Q$3,Dados!$A1201&lt;=Imóveis!$T$3),Imóveis!$S$3-(DATEDIF(Imóveis!$Q$3,Dados!$A1201,"m")),0))=0,0,((Imóveis!$N$3/Imóveis!$S$3)+((Imóveis!$N$3-((Imóveis!$S$3-(IF(AND(Dados!$A1201&gt;=Imóveis!$Q$3,Dados!$A1201&lt;=Imóveis!$T$3),Imóveis!$S$3-(DATEDIF(Imóveis!$Q$3,Dados!$A1201,"m")),)))*(Imóveis!$N$3/Imóveis!$S$3)))*Imóveis!$P$3))))*IF(AND(Imóveis!$E$3&gt;0,Dados!$A1201&gt;Imóveis!$E$3),0,1)</f>
        <v>0</v>
      </c>
      <c r="K1201" s="18">
        <f>IF(Imóveis!$F$4="PRICE",IF(AND(Dados!$A1201&gt;=Imóveis!$Q$4,Dados!$A1201&lt;=Imóveis!$T$4),Imóveis!$U$4,0),IF((IF(AND(Dados!$A1201&gt;=Imóveis!$Q$4,Dados!$A1201&lt;=Imóveis!$T$4),Imóveis!$S$4-(DATEDIF(Imóveis!$Q$4,Dados!$A1201,"m")),0))=0,0,((Imóveis!$N$4/Imóveis!$S$4)+((Imóveis!$N$4-((Imóveis!$S$4-(IF(AND(Dados!$A1201&gt;=Imóveis!$Q$4,Dados!$A1201&lt;=Imóveis!$T$4),Imóveis!$S$4-(DATEDIF(Imóveis!$Q$4,Dados!$A1201,"m")),)))*(Imóveis!$N$4/Imóveis!$S$4)))*Imóveis!$P$4))))*IF(AND(Imóveis!$E$4&gt;0,Dados!$A1201&gt;Imóveis!$E$4),0,1)</f>
        <v>0</v>
      </c>
      <c r="L1201" s="18">
        <f>IF(Imóveis!$F$5="PRICE",IF(AND(Dados!$A1201&gt;=Imóveis!$Q$5,Dados!$A1201&lt;=Imóveis!$T$5),Imóveis!$U$5,0),IF((IF(AND(Dados!$A1201&gt;=Imóveis!$Q$5,Dados!$A1201&lt;=Imóveis!$T$5),Imóveis!$S$5-(DATEDIF(Imóveis!$Q$5,Dados!$A1201,"m")),0))=0,0,((Imóveis!$N$5/Imóveis!$S$5)+((Imóveis!$N$5-((Imóveis!$S$5-(IF(AND(Dados!$A1201 &gt;=Imóveis!$Q$5,Dados!$A1201&lt;=Imóveis!$T$5),Imóveis!$S$5-(DATEDIF(Imóveis!$Q$5,Dados!$A1201,"m")),)))*(Imóveis!$N$5/Imóveis!$S$5)))*Imóveis!$P$5))))*IF(AND(Imóveis!$E$5&gt;0,Dados!$A1201&gt;Imóveis!$E$5),0,1)*Imóveis!$I$5</f>
        <v>0</v>
      </c>
      <c r="M1201" s="18">
        <f>IF(Imóveis!$F$6="PRICE",IF(AND(Dados!$A1201&gt;=Imóveis!$Q$6,Dados!$A1201&lt;=Imóveis!$T$6),Imóveis!$U$6,0),IF((IF(AND(Dados!$A1201&gt;=Imóveis!$Q$6,Dados!$A1201&lt;=Imóveis!$T$6),Imóveis!$S$6-(DATEDIF(Imóveis!$Q$6,Dados!$A1201,"m")),0))=0,0,((Imóveis!$N$6/Imóveis!$S$6)+((Imóveis!$N$6-((Imóveis!$S$6-(IF(AND(Dados!$A1201&gt;=Imóveis!$Q$6,Dados!$A1201&lt;=Imóveis!$T$6),Imóveis!$S$6-(DATEDIF(Imóveis!$Q$6,Dados!$A1201,"m")),)))*(Imóveis!$N$6/Imóveis!$S$6)))*Imóveis!$P$6))))*IF(AND(Imóveis!$E$6&gt;0,Dados!$A1201&gt;Imóveis!$E$6),0,1)*Imóveis!$I$6</f>
        <v>0</v>
      </c>
      <c r="N1201" s="18">
        <f t="shared" si="149"/>
        <v>0</v>
      </c>
      <c r="O1201" s="18">
        <f>SUMIFS(Receitas!$F:$F,Receitas!$J:$J,"&lt;="&amp;$A1201,Receitas!$L:$L,"&gt;="&amp;$A1201,Receitas!$C:$C,O$1,Receitas!$M:$M,"Mensal")+SUMIFS(Receitas!$F:$F,Receitas!$J:$J,"&lt;="&amp;$A1201,Receitas!$L:$L,"&gt;="&amp;$A1201,Receitas!$C:$C,O$1,Receitas!$M:$M,$B1201)</f>
        <v>0</v>
      </c>
      <c r="P1201" s="18">
        <f>SUMIFS(Receitas!$F:$F,Receitas!$J:$J,"&lt;="&amp;$A1201,Receitas!$L:$L,"&gt;="&amp;$A1201,Receitas!$C:$C,P$1,Receitas!$M:$M,"Mensal")+SUMIFS(Receitas!$F:$F,Receitas!$J:$J,"&lt;="&amp;$A1201,Receitas!$L:$L,"&gt;="&amp;$A1201,Receitas!$C:$C,P$1,Receitas!$M:$M,$B1201)</f>
        <v>0</v>
      </c>
      <c r="Q1201" s="18">
        <f>SUMIFS(Receitas!$F:$F,Receitas!$J:$J,"&lt;="&amp;$A1201,Receitas!$L:$L,"&gt;="&amp;$A1201,Receitas!$C:$C,Q$1,Receitas!$M:$M,"Mensal")+SUMIFS(Receitas!$F:$F,Receitas!$J:$J,"&lt;="&amp;$A1201,Receitas!$L:$L,"&gt;="&amp;$A1201,Receitas!$C:$C,Q$1,Receitas!$M:$M,$B1201)</f>
        <v>0</v>
      </c>
      <c r="R1201" s="18" cm="1">
        <f t="array" ref="R1201">(IF(AND(Membros!$F$2="Sim",A1201&lt;=MAX(Membros!$E$2:$E$5)),Membros!K$2,IF(AND(A1201&gt;=Membros!J$2,A1201&lt;=MAX(Membros!$E$2:$E$5)),Membros!K$2,0))+IF(AND(Membros!$F$3="Sim",A1201&lt;=MAX(Membros!$E$2:$E$5)),Membros!K$3,IF(AND(A1201&gt;=Membros!J$3,A1201&lt;=MAX(Membros!$E$2:$E$5)),Membros!K$3,0)))*IF(AND(COUNTIFS(Tabela3[Tipo],"Provedor",Tabela3[Simulação Seguro],"Sim")=2,A1201&gt;=MAX(IF(Tabela3[Tipo]="Dependente",Tabela3[Expectativa de Vida (Data)]))),0,1)</f>
        <v>0</v>
      </c>
      <c r="S1201" s="18">
        <f t="shared" si="150"/>
        <v>0</v>
      </c>
      <c r="U1201" s="18">
        <f t="shared" ca="1" si="153"/>
        <v>238010433.52188891</v>
      </c>
      <c r="V1201" s="18">
        <f>SUMIF(Imóveis!E:E,Dados!A:A,Imóveis!Z:Z)-SUMIF(Imóveis!E:E,Dados!A:A,Imóveis!Y:Y)</f>
        <v>0</v>
      </c>
      <c r="W1201" s="18">
        <f>-SUMIF(Projetos!N:N,A1201,Projetos!F:F)</f>
        <v>0</v>
      </c>
      <c r="X1201" s="18">
        <f t="shared" si="147"/>
        <v>0</v>
      </c>
      <c r="Y1201" s="26">
        <f ca="1">(U1201*((Indicadores_Economicos!D$2+1)^(1/12)-1))</f>
        <v>779184.22479901777</v>
      </c>
      <c r="Z1201" s="18">
        <f t="shared" ca="1" si="151"/>
        <v>238789617.74668792</v>
      </c>
      <c r="AA1201" s="18">
        <f ca="1">Auxiliar_Projetos!E1201</f>
        <v>1.9683852702251053E-8</v>
      </c>
      <c r="AB1201" s="18">
        <f ca="1">Auxiliar_Projetos!K1201</f>
        <v>1.5141425155577711E-8</v>
      </c>
      <c r="AC1201" s="18">
        <f ca="1">IF(Z1201-AA1201-AB1201&gt;Investimentos!$C$14,Investimentos!$C$14,IF(Z1201-AA1201-AB1201&lt;Investimentos!$C$14,Z1201-AA1201-AB1201,0))</f>
        <v>300000</v>
      </c>
      <c r="AD1201" s="18">
        <f t="shared" ca="1" si="152"/>
        <v>238489617.74668786</v>
      </c>
      <c r="AE1201" s="18"/>
    </row>
    <row r="1202" spans="1:31" x14ac:dyDescent="0.2">
      <c r="A1202" s="4"/>
      <c r="B1202" s="5"/>
      <c r="C1202" s="5"/>
    </row>
    <row r="1203" spans="1:31" x14ac:dyDescent="0.2">
      <c r="A1203" s="4"/>
      <c r="B1203" s="5"/>
      <c r="C1203" s="5"/>
      <c r="Z1203" s="18" t="s">
        <v>195</v>
      </c>
    </row>
    <row r="1204" spans="1:31" x14ac:dyDescent="0.2">
      <c r="A1204" s="4"/>
      <c r="B1204" s="5"/>
      <c r="C1204" s="5"/>
      <c r="Z1204" s="18">
        <f>[1]Dados!$CW$1201</f>
        <v>87984896.410454199</v>
      </c>
    </row>
    <row r="1205" spans="1:31" x14ac:dyDescent="0.2">
      <c r="A1205" s="4"/>
      <c r="B1205" s="5"/>
      <c r="C1205" s="5"/>
    </row>
    <row r="1206" spans="1:31" x14ac:dyDescent="0.2">
      <c r="A1206" s="4"/>
      <c r="B1206" s="5"/>
      <c r="C1206" s="5"/>
      <c r="Z1206" s="18" t="s">
        <v>196</v>
      </c>
    </row>
    <row r="1207" spans="1:31" x14ac:dyDescent="0.2">
      <c r="A1207" s="4"/>
      <c r="B1207" s="5"/>
      <c r="C1207" s="5"/>
      <c r="Z1207" s="18">
        <f ca="1">Z1204-Z1201</f>
        <v>-150804721.33623374</v>
      </c>
    </row>
    <row r="1208" spans="1:31" x14ac:dyDescent="0.2">
      <c r="A1208" s="4"/>
      <c r="B1208" s="5"/>
      <c r="C1208" s="5"/>
    </row>
    <row r="1209" spans="1:31" x14ac:dyDescent="0.2">
      <c r="A1209" s="4"/>
      <c r="B1209" s="5"/>
      <c r="C1209" s="5"/>
    </row>
    <row r="1210" spans="1:31" x14ac:dyDescent="0.2">
      <c r="A1210" s="4"/>
      <c r="B1210" s="5"/>
      <c r="C1210" s="5"/>
    </row>
    <row r="1211" spans="1:31" x14ac:dyDescent="0.2">
      <c r="A1211" s="4"/>
      <c r="B1211" s="5"/>
      <c r="C1211" s="5"/>
    </row>
    <row r="1212" spans="1:31" x14ac:dyDescent="0.2">
      <c r="A1212" s="4"/>
      <c r="B1212" s="5"/>
      <c r="C1212" s="5"/>
    </row>
    <row r="1213" spans="1:31" x14ac:dyDescent="0.2">
      <c r="A1213" s="4"/>
      <c r="B1213" s="5"/>
      <c r="C1213" s="5"/>
    </row>
    <row r="1214" spans="1:31" x14ac:dyDescent="0.2">
      <c r="A1214" s="4"/>
      <c r="B1214" s="5"/>
      <c r="C1214" s="5"/>
    </row>
    <row r="1215" spans="1:31" x14ac:dyDescent="0.2">
      <c r="A1215" s="4"/>
      <c r="B1215" s="5"/>
      <c r="C1215" s="5"/>
    </row>
    <row r="1216" spans="1:31" x14ac:dyDescent="0.2">
      <c r="A1216" s="4"/>
      <c r="B1216" s="5"/>
      <c r="C1216" s="5"/>
    </row>
    <row r="1217" spans="1:3" x14ac:dyDescent="0.2">
      <c r="A1217" s="4"/>
      <c r="B1217" s="5"/>
      <c r="C1217" s="5"/>
    </row>
    <row r="1218" spans="1:3" x14ac:dyDescent="0.2">
      <c r="A1218" s="4"/>
      <c r="B1218" s="5"/>
      <c r="C1218" s="5"/>
    </row>
    <row r="1219" spans="1:3" x14ac:dyDescent="0.2">
      <c r="A1219" s="4"/>
      <c r="B1219" s="5"/>
      <c r="C1219" s="5"/>
    </row>
    <row r="1220" spans="1:3" x14ac:dyDescent="0.2">
      <c r="A1220" s="4"/>
      <c r="B1220" s="5"/>
      <c r="C1220" s="5"/>
    </row>
    <row r="1221" spans="1:3" x14ac:dyDescent="0.2">
      <c r="A1221" s="4"/>
      <c r="B1221" s="5"/>
      <c r="C1221" s="5"/>
    </row>
    <row r="1222" spans="1:3" x14ac:dyDescent="0.2">
      <c r="A1222" s="4"/>
      <c r="B1222" s="5"/>
      <c r="C1222" s="5"/>
    </row>
    <row r="1223" spans="1:3" x14ac:dyDescent="0.2">
      <c r="A1223" s="4"/>
      <c r="B1223" s="5"/>
      <c r="C1223" s="5"/>
    </row>
    <row r="1224" spans="1:3" x14ac:dyDescent="0.2">
      <c r="A1224" s="4"/>
      <c r="B1224" s="5"/>
      <c r="C1224" s="5"/>
    </row>
    <row r="1225" spans="1:3" x14ac:dyDescent="0.2">
      <c r="A1225" s="4"/>
      <c r="B1225" s="5"/>
      <c r="C1225" s="5"/>
    </row>
    <row r="1226" spans="1:3" x14ac:dyDescent="0.2">
      <c r="A1226" s="4"/>
      <c r="B1226" s="5"/>
      <c r="C1226" s="5"/>
    </row>
    <row r="1227" spans="1:3" x14ac:dyDescent="0.2">
      <c r="A1227" s="4"/>
      <c r="B1227" s="5"/>
      <c r="C1227" s="5"/>
    </row>
    <row r="1228" spans="1:3" x14ac:dyDescent="0.2">
      <c r="A1228" s="4"/>
      <c r="B1228" s="5"/>
      <c r="C1228" s="5"/>
    </row>
    <row r="1229" spans="1:3" x14ac:dyDescent="0.2">
      <c r="A1229" s="4"/>
      <c r="B1229" s="5"/>
      <c r="C1229" s="5"/>
    </row>
    <row r="1230" spans="1:3" x14ac:dyDescent="0.2">
      <c r="A1230" s="4"/>
      <c r="B1230" s="5"/>
      <c r="C1230" s="5"/>
    </row>
    <row r="1231" spans="1:3" x14ac:dyDescent="0.2">
      <c r="A1231" s="4"/>
      <c r="B1231" s="5"/>
      <c r="C1231" s="5"/>
    </row>
  </sheetData>
  <phoneticPr fontId="2" type="noConversion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46650-B48A-B346-AAA6-A041C9CBBF2A}">
  <sheetPr codeName="Planilha12"/>
  <dimension ref="A1"/>
  <sheetViews>
    <sheetView workbookViewId="0">
      <selection activeCell="H38" sqref="H38"/>
    </sheetView>
  </sheetViews>
  <sheetFormatPr baseColWidth="10" defaultRowHeight="16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3883E-60AA-1143-9474-34F542089117}">
  <sheetPr codeName="Planilha11"/>
  <dimension ref="A1:AF262"/>
  <sheetViews>
    <sheetView topLeftCell="M1" workbookViewId="0">
      <selection activeCell="AC2" sqref="AC2"/>
    </sheetView>
  </sheetViews>
  <sheetFormatPr baseColWidth="10" defaultRowHeight="16" x14ac:dyDescent="0.2"/>
  <cols>
    <col min="1" max="1" width="23.33203125" customWidth="1"/>
    <col min="3" max="3" width="19.83203125" customWidth="1"/>
    <col min="9" max="9" width="11.5" customWidth="1"/>
    <col min="11" max="11" width="19.83203125" customWidth="1"/>
    <col min="13" max="13" width="15.83203125" customWidth="1"/>
    <col min="15" max="15" width="12.33203125" customWidth="1"/>
    <col min="16" max="16" width="15.5" customWidth="1"/>
    <col min="23" max="23" width="13.83203125" bestFit="1" customWidth="1"/>
    <col min="25" max="25" width="12" bestFit="1" customWidth="1"/>
    <col min="29" max="29" width="13.83203125" bestFit="1" customWidth="1"/>
  </cols>
  <sheetData>
    <row r="1" spans="1:32" x14ac:dyDescent="0.2">
      <c r="A1" t="s">
        <v>198</v>
      </c>
      <c r="C1" t="s">
        <v>197</v>
      </c>
      <c r="E1" t="s">
        <v>230</v>
      </c>
      <c r="G1" t="s">
        <v>145</v>
      </c>
      <c r="I1" t="s">
        <v>144</v>
      </c>
      <c r="K1" t="s">
        <v>108</v>
      </c>
      <c r="M1" t="s">
        <v>111</v>
      </c>
      <c r="O1" t="s">
        <v>298</v>
      </c>
      <c r="P1" t="s">
        <v>299</v>
      </c>
      <c r="Q1" t="s">
        <v>300</v>
      </c>
      <c r="S1" t="s">
        <v>301</v>
      </c>
      <c r="U1" s="60" t="s">
        <v>302</v>
      </c>
      <c r="W1" s="58" t="str" cm="1">
        <f t="array" ref="W1:Z49">_xldudf_CORE_PORTFOLIOS_LIST()</f>
        <v>ID</v>
      </c>
      <c r="X1" s="58" t="str">
        <v>Name</v>
      </c>
      <c r="Y1" s="58" t="str">
        <v>Auto R&amp;C</v>
      </c>
      <c r="Z1" s="58" t="str">
        <v>Status</v>
      </c>
      <c r="AB1" s="58" t="s">
        <v>559</v>
      </c>
      <c r="AC1" s="58" t="str">
        <f>_xlfn.XLOOKUP(Investimentos!C2,X:X,W:W)</f>
        <v>7345cab5-b671-4a50-b327-7484b26da984</v>
      </c>
      <c r="AF1" s="2"/>
    </row>
    <row r="2" spans="1:32" x14ac:dyDescent="0.2">
      <c r="A2" t="s">
        <v>174</v>
      </c>
      <c r="C2" t="s">
        <v>199</v>
      </c>
      <c r="E2" t="s">
        <v>13</v>
      </c>
      <c r="G2" t="s">
        <v>20</v>
      </c>
      <c r="I2" s="3" t="e" vm="2">
        <v>#VALUE!</v>
      </c>
      <c r="K2" t="s">
        <v>109</v>
      </c>
      <c r="M2" t="s">
        <v>112</v>
      </c>
      <c r="O2">
        <v>74258</v>
      </c>
      <c r="P2" t="s">
        <v>303</v>
      </c>
      <c r="Q2" t="s">
        <v>270</v>
      </c>
      <c r="S2" t="s">
        <v>304</v>
      </c>
      <c r="U2" s="3" t="s">
        <v>305</v>
      </c>
      <c r="W2" t="str">
        <v>dbe94024-4e67-4e74-ab56-9197b574dc6d</v>
      </c>
      <c r="X2" t="str">
        <v>AZFlow BRL</v>
      </c>
      <c r="Y2" t="b">
        <v>1</v>
      </c>
      <c r="Z2" t="str">
        <v>COMPLETED</v>
      </c>
      <c r="AF2" s="2"/>
    </row>
    <row r="3" spans="1:32" x14ac:dyDescent="0.2">
      <c r="A3" t="s">
        <v>175</v>
      </c>
      <c r="C3" t="s">
        <v>200</v>
      </c>
      <c r="E3" t="s">
        <v>25</v>
      </c>
      <c r="G3" t="s">
        <v>21</v>
      </c>
      <c r="I3" s="3" t="e" vm="3">
        <v>#VALUE!</v>
      </c>
      <c r="K3" t="s">
        <v>110</v>
      </c>
      <c r="M3" t="s">
        <v>113</v>
      </c>
      <c r="O3">
        <v>74580</v>
      </c>
      <c r="P3" t="s">
        <v>307</v>
      </c>
      <c r="Q3" t="s">
        <v>270</v>
      </c>
      <c r="S3" t="s">
        <v>308</v>
      </c>
      <c r="U3" s="61" t="s">
        <v>309</v>
      </c>
      <c r="W3" t="str">
        <v>59daf156-5689-4f46-8d64-8ef68d17edbe</v>
      </c>
      <c r="X3" t="str">
        <v>AdrianoPN</v>
      </c>
      <c r="Y3" t="b">
        <v>1</v>
      </c>
      <c r="Z3" t="str">
        <v>COMPLETED</v>
      </c>
      <c r="AF3" s="2"/>
    </row>
    <row r="4" spans="1:32" x14ac:dyDescent="0.2">
      <c r="A4" t="s">
        <v>192</v>
      </c>
      <c r="C4" t="s">
        <v>229</v>
      </c>
      <c r="E4" t="s">
        <v>26</v>
      </c>
      <c r="G4" t="s">
        <v>146</v>
      </c>
      <c r="O4">
        <v>74763</v>
      </c>
      <c r="P4" t="s">
        <v>311</v>
      </c>
      <c r="Q4" t="s">
        <v>270</v>
      </c>
      <c r="S4" t="s">
        <v>312</v>
      </c>
      <c r="W4" t="str">
        <v>abe98caf-76e4-4a81-a515-a72f0f4dc620</v>
      </c>
      <c r="X4" t="str">
        <v>EduardoRBS</v>
      </c>
      <c r="Y4" t="b">
        <v>1</v>
      </c>
      <c r="Z4" t="str">
        <v>COMPLETED</v>
      </c>
      <c r="AF4" s="2"/>
    </row>
    <row r="5" spans="1:32" x14ac:dyDescent="0.2">
      <c r="A5" t="s">
        <v>218</v>
      </c>
      <c r="E5" t="s">
        <v>27</v>
      </c>
      <c r="O5">
        <v>74879</v>
      </c>
      <c r="P5" t="s">
        <v>314</v>
      </c>
      <c r="Q5" t="s">
        <v>270</v>
      </c>
      <c r="S5" t="s">
        <v>315</v>
      </c>
      <c r="W5" t="str">
        <v>22a612ba-6144-4586-a77a-203958e2c4fd</v>
      </c>
      <c r="X5" t="str">
        <v>PedroLSNP</v>
      </c>
      <c r="Y5" t="b">
        <v>1</v>
      </c>
      <c r="Z5" t="str">
        <v>COMPLETED</v>
      </c>
      <c r="AF5" s="2"/>
    </row>
    <row r="6" spans="1:32" x14ac:dyDescent="0.2">
      <c r="A6" t="s">
        <v>191</v>
      </c>
      <c r="E6" t="s">
        <v>28</v>
      </c>
      <c r="O6">
        <v>74974</v>
      </c>
      <c r="P6" t="s">
        <v>317</v>
      </c>
      <c r="Q6" t="s">
        <v>270</v>
      </c>
      <c r="W6" t="str">
        <v>30e33d1c-28eb-44e4-a145-dfd670bdd378</v>
      </c>
      <c r="X6" t="str">
        <v>PedroO</v>
      </c>
      <c r="Y6" t="b">
        <v>1</v>
      </c>
      <c r="Z6" t="str">
        <v>COMPLETED</v>
      </c>
      <c r="AF6" s="2"/>
    </row>
    <row r="7" spans="1:32" x14ac:dyDescent="0.2">
      <c r="E7" t="s">
        <v>29</v>
      </c>
      <c r="N7" s="2"/>
      <c r="O7">
        <v>75119</v>
      </c>
      <c r="P7" t="s">
        <v>319</v>
      </c>
      <c r="Q7" t="s">
        <v>270</v>
      </c>
      <c r="W7" t="str">
        <v>cc403405-eb8d-412b-989c-9e6d74ce66f7</v>
      </c>
      <c r="X7" t="str">
        <v>FabioHA</v>
      </c>
      <c r="Y7" t="b">
        <v>1</v>
      </c>
      <c r="Z7" t="str">
        <v>COMPLETED</v>
      </c>
      <c r="AF7" s="2"/>
    </row>
    <row r="8" spans="1:32" x14ac:dyDescent="0.2">
      <c r="E8" t="s">
        <v>30</v>
      </c>
      <c r="O8">
        <v>75142</v>
      </c>
      <c r="P8" t="s">
        <v>321</v>
      </c>
      <c r="Q8" t="s">
        <v>270</v>
      </c>
      <c r="W8" t="str">
        <v>7df1be04-88c2-4370-a796-3c16bc66411f</v>
      </c>
      <c r="X8" t="str">
        <v>MaristelaSAR</v>
      </c>
      <c r="Y8" t="b">
        <v>1</v>
      </c>
      <c r="Z8" t="str">
        <v>COMPLETED</v>
      </c>
      <c r="AF8" s="2"/>
    </row>
    <row r="9" spans="1:32" x14ac:dyDescent="0.2">
      <c r="E9" t="s">
        <v>31</v>
      </c>
      <c r="O9">
        <v>118685</v>
      </c>
      <c r="P9" t="s">
        <v>323</v>
      </c>
      <c r="Q9" t="s">
        <v>273</v>
      </c>
      <c r="W9" t="str">
        <v>dc99cbd7-ccaa-47b4-b8cb-b7f687f6bf08</v>
      </c>
      <c r="X9" t="str">
        <v>KlausS</v>
      </c>
      <c r="Y9" t="b">
        <v>1</v>
      </c>
      <c r="Z9" t="str">
        <v>COMPLETED</v>
      </c>
      <c r="AF9" s="2"/>
    </row>
    <row r="10" spans="1:32" x14ac:dyDescent="0.2">
      <c r="E10" t="s">
        <v>32</v>
      </c>
      <c r="O10">
        <v>118689</v>
      </c>
      <c r="P10" t="s">
        <v>325</v>
      </c>
      <c r="Q10" t="s">
        <v>273</v>
      </c>
      <c r="W10" t="str">
        <v>e6bdd9fa-efbd-43a1-bbad-bd16a35a28ea</v>
      </c>
      <c r="X10" t="str">
        <v>RobertoAF</v>
      </c>
      <c r="Y10" t="b">
        <v>1</v>
      </c>
      <c r="Z10" t="str">
        <v>COMPLETED</v>
      </c>
      <c r="AF10" s="2"/>
    </row>
    <row r="11" spans="1:32" x14ac:dyDescent="0.2">
      <c r="E11" t="s">
        <v>33</v>
      </c>
      <c r="O11">
        <v>118692</v>
      </c>
      <c r="P11" t="s">
        <v>327</v>
      </c>
      <c r="Q11" t="s">
        <v>261</v>
      </c>
      <c r="W11" t="str">
        <v>dc934b79-662d-4be4-8218-0996c8b17c3e</v>
      </c>
      <c r="X11" t="str">
        <v>MarceloSA</v>
      </c>
      <c r="Y11" t="b">
        <v>1</v>
      </c>
      <c r="Z11" t="str">
        <v>COMPLETED</v>
      </c>
      <c r="AF11" s="2"/>
    </row>
    <row r="12" spans="1:32" x14ac:dyDescent="0.2">
      <c r="E12" t="s">
        <v>34</v>
      </c>
      <c r="O12">
        <v>118701</v>
      </c>
      <c r="P12" t="s">
        <v>329</v>
      </c>
      <c r="Q12" t="s">
        <v>270</v>
      </c>
      <c r="W12" t="str">
        <v>7345cab5-b671-4a50-b327-7484b26da984</v>
      </c>
      <c r="X12" t="str">
        <v>RodrigoOBM</v>
      </c>
      <c r="Y12" t="b">
        <v>1</v>
      </c>
      <c r="Z12" t="str">
        <v>COMPLETED</v>
      </c>
      <c r="AF12" s="2"/>
    </row>
    <row r="13" spans="1:32" x14ac:dyDescent="0.2">
      <c r="E13" t="s">
        <v>35</v>
      </c>
      <c r="O13">
        <v>118702</v>
      </c>
      <c r="P13" t="s">
        <v>328</v>
      </c>
      <c r="Q13" t="s">
        <v>270</v>
      </c>
      <c r="W13" t="str">
        <v>f4cf9614-7821-4f8e-98b9-7c660db2584d</v>
      </c>
      <c r="X13" t="str">
        <v>ClaudioES</v>
      </c>
      <c r="Y13" t="b">
        <v>1</v>
      </c>
      <c r="Z13" t="str">
        <v>COMPLETED</v>
      </c>
      <c r="AF13" s="2"/>
    </row>
    <row r="14" spans="1:32" x14ac:dyDescent="0.2">
      <c r="E14" t="s">
        <v>36</v>
      </c>
      <c r="O14">
        <v>118703</v>
      </c>
      <c r="P14" t="s">
        <v>332</v>
      </c>
      <c r="Q14" t="s">
        <v>270</v>
      </c>
      <c r="W14" t="str">
        <v>d126db24-6972-4b44-94c2-2186edc22344</v>
      </c>
      <c r="X14" t="str">
        <v>ManuelaBS</v>
      </c>
      <c r="Y14" t="b">
        <v>1</v>
      </c>
      <c r="Z14" t="str">
        <v>COMPLETED</v>
      </c>
      <c r="AF14" s="2"/>
    </row>
    <row r="15" spans="1:32" x14ac:dyDescent="0.2">
      <c r="O15">
        <v>118705</v>
      </c>
      <c r="P15" t="s">
        <v>330</v>
      </c>
      <c r="Q15" t="s">
        <v>270</v>
      </c>
      <c r="W15" t="str">
        <v>13e2de81-4f1d-44bb-b2fe-6ca271e9b929</v>
      </c>
      <c r="X15" t="str">
        <v>ThiagoSBT</v>
      </c>
      <c r="Y15" t="b">
        <v>1</v>
      </c>
      <c r="Z15" t="str">
        <v>COMPLETED</v>
      </c>
      <c r="AF15" s="2"/>
    </row>
    <row r="16" spans="1:32" x14ac:dyDescent="0.2">
      <c r="O16">
        <v>118729</v>
      </c>
      <c r="P16" t="s">
        <v>334</v>
      </c>
      <c r="Q16" t="s">
        <v>270</v>
      </c>
      <c r="W16" t="str">
        <v>63f1ecb4-d5bb-4b71-a2c4-a7c9dffc0e8d</v>
      </c>
      <c r="X16" t="str">
        <v>VictorJVM</v>
      </c>
      <c r="Y16" t="b">
        <v>1</v>
      </c>
      <c r="Z16" t="str">
        <v>COMPLETED</v>
      </c>
      <c r="AF16" s="2"/>
    </row>
    <row r="17" spans="15:32" x14ac:dyDescent="0.2">
      <c r="O17">
        <v>121811</v>
      </c>
      <c r="P17" t="s">
        <v>336</v>
      </c>
      <c r="Q17" t="s">
        <v>279</v>
      </c>
      <c r="W17" t="str">
        <v>4d42d601-6e47-46a7-baca-6df410e3e29f</v>
      </c>
      <c r="X17" t="str">
        <v>AlessandraCF</v>
      </c>
      <c r="Y17" t="b">
        <v>1</v>
      </c>
      <c r="Z17" t="str">
        <v>COMPLETED</v>
      </c>
      <c r="AF17" s="2"/>
    </row>
    <row r="18" spans="15:32" x14ac:dyDescent="0.2">
      <c r="O18">
        <v>121906</v>
      </c>
      <c r="P18" t="s">
        <v>337</v>
      </c>
      <c r="Q18" t="s">
        <v>279</v>
      </c>
      <c r="W18" t="str">
        <v>a6fd2b0a-64a6-4aa5-8573-37699dceca73</v>
      </c>
      <c r="X18" t="str">
        <v>JacquelineMS</v>
      </c>
      <c r="Y18" t="b">
        <v>1</v>
      </c>
      <c r="Z18" t="str">
        <v>COMPLETED</v>
      </c>
      <c r="AF18" s="2"/>
    </row>
    <row r="19" spans="15:32" x14ac:dyDescent="0.2">
      <c r="O19">
        <v>122300</v>
      </c>
      <c r="P19" t="s">
        <v>339</v>
      </c>
      <c r="Q19" t="s">
        <v>279</v>
      </c>
      <c r="W19" t="str">
        <v>25a7ae8e-5882-4cff-b655-b3840c48d30f</v>
      </c>
      <c r="X19" t="str">
        <v>LuciaBPKJ</v>
      </c>
      <c r="Y19" t="b">
        <v>1</v>
      </c>
      <c r="Z19" t="str">
        <v>COMPLETED</v>
      </c>
      <c r="AF19" s="2"/>
    </row>
    <row r="20" spans="15:32" x14ac:dyDescent="0.2">
      <c r="O20">
        <v>122939</v>
      </c>
      <c r="P20" t="s">
        <v>340</v>
      </c>
      <c r="Q20" t="s">
        <v>279</v>
      </c>
      <c r="W20" t="str">
        <v>1a320855-47e4-4912-9d9b-a4f9fae6e664</v>
      </c>
      <c r="X20" t="str">
        <v>KarinCEM</v>
      </c>
      <c r="Y20" t="b">
        <v>1</v>
      </c>
      <c r="Z20" t="str">
        <v>COMPLETED</v>
      </c>
      <c r="AF20" s="2"/>
    </row>
    <row r="21" spans="15:32" x14ac:dyDescent="0.2">
      <c r="O21">
        <v>122970</v>
      </c>
      <c r="P21" t="s">
        <v>271</v>
      </c>
      <c r="Q21" t="s">
        <v>270</v>
      </c>
      <c r="W21" t="str">
        <v>13202901-c089-4621-a0b4-b27b5494c540</v>
      </c>
      <c r="X21" t="str">
        <v>EdsonGO</v>
      </c>
      <c r="Y21" t="b">
        <v>1</v>
      </c>
      <c r="Z21" t="str">
        <v>COMPLETED</v>
      </c>
      <c r="AF21" s="2"/>
    </row>
    <row r="22" spans="15:32" x14ac:dyDescent="0.2">
      <c r="O22">
        <v>122979</v>
      </c>
      <c r="P22" t="s">
        <v>268</v>
      </c>
      <c r="Q22" t="s">
        <v>261</v>
      </c>
      <c r="W22" t="str">
        <v>de3691cf-be4a-4525-8800-b57ead9f7490</v>
      </c>
      <c r="X22" t="str">
        <v>EgoEC</v>
      </c>
      <c r="Y22" t="b">
        <v>1</v>
      </c>
      <c r="Z22" t="str">
        <v>COMPLETED</v>
      </c>
      <c r="AF22" s="2"/>
    </row>
    <row r="23" spans="15:32" x14ac:dyDescent="0.2">
      <c r="O23">
        <v>123592</v>
      </c>
      <c r="P23" t="s">
        <v>343</v>
      </c>
      <c r="Q23" t="s">
        <v>279</v>
      </c>
      <c r="W23" t="str">
        <v>1e27de64-2669-49d3-8c95-1495887e54b0</v>
      </c>
      <c r="X23" t="str">
        <v>IdelcioJB</v>
      </c>
      <c r="Y23" t="b">
        <v>1</v>
      </c>
      <c r="Z23" t="str">
        <v>COMPLETED</v>
      </c>
      <c r="AF23" s="2"/>
    </row>
    <row r="24" spans="15:32" x14ac:dyDescent="0.2">
      <c r="O24">
        <v>123596</v>
      </c>
      <c r="P24" t="s">
        <v>344</v>
      </c>
      <c r="Q24" t="s">
        <v>279</v>
      </c>
      <c r="W24" t="str">
        <v>e8fa4889-02b8-4426-928b-ab177a519b90</v>
      </c>
      <c r="X24" t="str">
        <v>MariaLRG</v>
      </c>
      <c r="Y24" t="b">
        <v>1</v>
      </c>
      <c r="Z24" t="str">
        <v>COMPLETED</v>
      </c>
      <c r="AF24" s="2"/>
    </row>
    <row r="25" spans="15:32" x14ac:dyDescent="0.2">
      <c r="O25">
        <v>124311</v>
      </c>
      <c r="P25" t="s">
        <v>346</v>
      </c>
      <c r="Q25" t="s">
        <v>279</v>
      </c>
      <c r="W25" t="str">
        <v>b29e7991-cca9-463b-9dd9-bb5931a94bea</v>
      </c>
      <c r="X25" t="str">
        <v>EmilioCBF</v>
      </c>
      <c r="Y25" t="b">
        <v>1</v>
      </c>
      <c r="Z25" t="str">
        <v>COMPLETED</v>
      </c>
      <c r="AF25" s="2"/>
    </row>
    <row r="26" spans="15:32" x14ac:dyDescent="0.2">
      <c r="O26">
        <v>124449</v>
      </c>
      <c r="P26" t="s">
        <v>347</v>
      </c>
      <c r="Q26" t="s">
        <v>279</v>
      </c>
      <c r="W26" t="str">
        <v>05817086-25bc-4ca9-88fc-89ff079136da</v>
      </c>
      <c r="X26" t="str">
        <v>TatianaA</v>
      </c>
      <c r="Y26" t="b">
        <v>1</v>
      </c>
      <c r="Z26" t="str">
        <v>COMPLETED</v>
      </c>
      <c r="AF26" s="2"/>
    </row>
    <row r="27" spans="15:32" x14ac:dyDescent="0.2">
      <c r="O27">
        <v>124631</v>
      </c>
      <c r="P27" t="s">
        <v>349</v>
      </c>
      <c r="Q27" t="s">
        <v>279</v>
      </c>
      <c r="W27" t="str">
        <v>ecbb8af6-a556-4b87-889b-edc8bf201d14</v>
      </c>
      <c r="X27" t="str">
        <v>MarianaOP</v>
      </c>
      <c r="Y27" t="b">
        <v>1</v>
      </c>
      <c r="Z27" t="str">
        <v>COMPLETED</v>
      </c>
      <c r="AF27" s="2"/>
    </row>
    <row r="28" spans="15:32" x14ac:dyDescent="0.2">
      <c r="O28">
        <v>130497</v>
      </c>
      <c r="P28" t="s">
        <v>350</v>
      </c>
      <c r="Q28" t="s">
        <v>287</v>
      </c>
      <c r="W28" t="str">
        <v>32e84cb8-f085-4a28-8195-a68f2d71d48e</v>
      </c>
      <c r="X28" t="str">
        <v>KlausS2</v>
      </c>
      <c r="Y28" t="b">
        <v>1</v>
      </c>
      <c r="Z28" t="str">
        <v>COMPLETED</v>
      </c>
      <c r="AF28" s="2"/>
    </row>
    <row r="29" spans="15:32" x14ac:dyDescent="0.2">
      <c r="O29">
        <v>132069</v>
      </c>
      <c r="P29" t="s">
        <v>290</v>
      </c>
      <c r="Q29" t="s">
        <v>287</v>
      </c>
      <c r="W29" t="str">
        <v>b7bd21dd-dfe5-40d4-ad06-05c785530328</v>
      </c>
      <c r="X29" t="str">
        <v>AnaBeatrizCM</v>
      </c>
      <c r="Y29" t="b">
        <v>1</v>
      </c>
      <c r="Z29" t="str">
        <v>COMPLETED</v>
      </c>
      <c r="AF29" s="2"/>
    </row>
    <row r="30" spans="15:32" x14ac:dyDescent="0.2">
      <c r="O30">
        <v>132486</v>
      </c>
      <c r="P30" t="s">
        <v>286</v>
      </c>
      <c r="Q30" t="s">
        <v>287</v>
      </c>
      <c r="W30" t="str">
        <v>8808ac48-b3f5-412d-af11-47c9b24a2d35</v>
      </c>
      <c r="X30" t="str">
        <v>MariaFernandaMSL</v>
      </c>
      <c r="Y30" t="b">
        <v>1</v>
      </c>
      <c r="Z30" t="str">
        <v>COMPLETED</v>
      </c>
      <c r="AF30" s="2"/>
    </row>
    <row r="31" spans="15:32" x14ac:dyDescent="0.2">
      <c r="O31">
        <v>132887</v>
      </c>
      <c r="P31" t="s">
        <v>289</v>
      </c>
      <c r="Q31" t="s">
        <v>287</v>
      </c>
      <c r="W31" t="str">
        <v>4878148e-8ec3-4f6f-b958-127d3c48e39a</v>
      </c>
      <c r="X31" t="str">
        <v>RosanaFR</v>
      </c>
      <c r="Y31" t="b">
        <v>1</v>
      </c>
      <c r="Z31" t="str">
        <v>COMPLETED</v>
      </c>
      <c r="AF31" s="2"/>
    </row>
    <row r="32" spans="15:32" x14ac:dyDescent="0.2">
      <c r="O32">
        <v>134133</v>
      </c>
      <c r="P32" t="s">
        <v>355</v>
      </c>
      <c r="Q32" t="s">
        <v>285</v>
      </c>
      <c r="W32" t="str">
        <v>5d99e540-da97-4bca-abfb-40aa625d8b6f</v>
      </c>
      <c r="X32" t="str">
        <v>IdelcioJB2</v>
      </c>
      <c r="Y32" t="b">
        <v>1</v>
      </c>
      <c r="Z32" t="str">
        <v>COMPLETED</v>
      </c>
      <c r="AF32" s="2"/>
    </row>
    <row r="33" spans="15:32" x14ac:dyDescent="0.2">
      <c r="O33">
        <v>135930</v>
      </c>
      <c r="P33" t="s">
        <v>357</v>
      </c>
      <c r="Q33" t="s">
        <v>287</v>
      </c>
      <c r="W33" t="str">
        <v>d48a41be-e8f7-4d0a-a71d-951e97412189</v>
      </c>
      <c r="X33" t="str">
        <v>PedroBA</v>
      </c>
      <c r="Y33" t="b">
        <v>1</v>
      </c>
      <c r="Z33" t="str">
        <v>COMPLETED</v>
      </c>
      <c r="AF33" s="2"/>
    </row>
    <row r="34" spans="15:32" x14ac:dyDescent="0.2">
      <c r="O34">
        <v>136197</v>
      </c>
      <c r="P34" t="s">
        <v>359</v>
      </c>
      <c r="Q34" t="s">
        <v>287</v>
      </c>
      <c r="W34" t="str">
        <v>7c7fff81-ab03-46f0-87d7-46bfb4509fff</v>
      </c>
      <c r="X34" t="str">
        <v>EduardoMSL</v>
      </c>
      <c r="Y34" t="b">
        <v>1</v>
      </c>
      <c r="Z34" t="str">
        <v>COMPLETED</v>
      </c>
      <c r="AF34" s="2"/>
    </row>
    <row r="35" spans="15:32" x14ac:dyDescent="0.2">
      <c r="O35">
        <v>137390</v>
      </c>
      <c r="P35" t="s">
        <v>288</v>
      </c>
      <c r="Q35" t="s">
        <v>287</v>
      </c>
      <c r="W35" t="str">
        <v>130ffde8-19bb-4e44-835c-ae4c0ece840a</v>
      </c>
      <c r="X35" t="str">
        <v>ClaudiaCB</v>
      </c>
      <c r="Y35" t="b">
        <v>1</v>
      </c>
      <c r="Z35" t="str">
        <v>COMPLETED</v>
      </c>
      <c r="AF35" s="2"/>
    </row>
    <row r="36" spans="15:32" x14ac:dyDescent="0.2">
      <c r="O36">
        <v>137880</v>
      </c>
      <c r="P36" t="s">
        <v>361</v>
      </c>
      <c r="Q36" t="s">
        <v>287</v>
      </c>
      <c r="W36" t="str">
        <v>52bf5950-4714-4580-b6bd-d5f2c1864ec3</v>
      </c>
      <c r="X36" t="str">
        <v>WandaBO</v>
      </c>
      <c r="Y36" t="b">
        <v>1</v>
      </c>
      <c r="Z36" t="str">
        <v>COMPLETED</v>
      </c>
      <c r="AF36" s="2"/>
    </row>
    <row r="37" spans="15:32" x14ac:dyDescent="0.2">
      <c r="O37">
        <v>138022</v>
      </c>
      <c r="P37" t="s">
        <v>363</v>
      </c>
      <c r="Q37" t="s">
        <v>279</v>
      </c>
      <c r="W37" t="str">
        <v>30fd608c-225d-41dd-bf45-432f8afda967</v>
      </c>
      <c r="X37" t="str">
        <v>KalaniRA</v>
      </c>
      <c r="Y37" t="b">
        <v>1</v>
      </c>
      <c r="Z37" t="str">
        <v>COMPLETED</v>
      </c>
      <c r="AF37" s="2"/>
    </row>
    <row r="38" spans="15:32" x14ac:dyDescent="0.2">
      <c r="O38">
        <v>142557</v>
      </c>
      <c r="P38" t="s">
        <v>364</v>
      </c>
      <c r="Q38" t="s">
        <v>261</v>
      </c>
      <c r="W38" t="str">
        <v>5e9aed7c-8f85-48fd-b3fe-e598c63ec663</v>
      </c>
      <c r="X38" t="str">
        <v>DoraBR</v>
      </c>
      <c r="Y38" t="b">
        <v>1</v>
      </c>
      <c r="Z38" t="str">
        <v>COMPLETED</v>
      </c>
      <c r="AF38" s="2"/>
    </row>
    <row r="39" spans="15:32" x14ac:dyDescent="0.2">
      <c r="O39">
        <v>145742</v>
      </c>
      <c r="P39" t="s">
        <v>366</v>
      </c>
      <c r="Q39" t="s">
        <v>261</v>
      </c>
      <c r="W39" t="str">
        <v>68b00baa-0d95-45c8-a905-43443df26c7b</v>
      </c>
      <c r="X39" t="str">
        <v>BrunaBO</v>
      </c>
      <c r="Y39" t="b">
        <v>1</v>
      </c>
      <c r="Z39" t="str">
        <v>COMPLETED</v>
      </c>
      <c r="AF39" s="2"/>
    </row>
    <row r="40" spans="15:32" x14ac:dyDescent="0.2">
      <c r="O40">
        <v>154758</v>
      </c>
      <c r="P40" t="s">
        <v>367</v>
      </c>
      <c r="Q40" t="s">
        <v>275</v>
      </c>
      <c r="W40" t="str">
        <v>299c6ff1-5d66-454d-b340-0c7c794291bf</v>
      </c>
      <c r="X40" t="str">
        <v>AZFlow USD</v>
      </c>
      <c r="Y40" t="b">
        <v>1</v>
      </c>
      <c r="Z40" t="str">
        <v>COMPLETED</v>
      </c>
      <c r="AF40" s="2"/>
    </row>
    <row r="41" spans="15:32" x14ac:dyDescent="0.2">
      <c r="O41">
        <v>165599</v>
      </c>
      <c r="P41" t="s">
        <v>368</v>
      </c>
      <c r="Q41" t="s">
        <v>261</v>
      </c>
      <c r="W41" t="str">
        <v>be034f08-6847-43de-9cb3-963000dfc188</v>
      </c>
      <c r="X41" t="str">
        <v>FabiolaBS</v>
      </c>
      <c r="Y41" t="b">
        <v>1</v>
      </c>
      <c r="Z41" t="str">
        <v>COMPLETED</v>
      </c>
      <c r="AF41" s="2"/>
    </row>
    <row r="42" spans="15:32" x14ac:dyDescent="0.2">
      <c r="O42">
        <v>167915</v>
      </c>
      <c r="P42" t="s">
        <v>370</v>
      </c>
      <c r="Q42" t="s">
        <v>261</v>
      </c>
      <c r="W42" t="str">
        <v>28f2f987-1419-4418-bfc8-fb52b7cc9668</v>
      </c>
      <c r="X42" t="str">
        <v>GilbertoMR</v>
      </c>
      <c r="Y42" t="b">
        <v>1</v>
      </c>
      <c r="Z42" t="str">
        <v>COMPLETED</v>
      </c>
      <c r="AF42" s="2"/>
    </row>
    <row r="43" spans="15:32" x14ac:dyDescent="0.2">
      <c r="O43">
        <v>171442</v>
      </c>
      <c r="P43" t="s">
        <v>372</v>
      </c>
      <c r="Q43" t="s">
        <v>275</v>
      </c>
      <c r="W43" t="str">
        <v>bea75199-6820-4b86-b14b-02e9a697c6bb</v>
      </c>
      <c r="X43" t="str">
        <v>BrunaBO2</v>
      </c>
      <c r="Y43" t="b">
        <v>1</v>
      </c>
      <c r="Z43" t="str">
        <v>COMPLETED</v>
      </c>
      <c r="AF43" s="2"/>
    </row>
    <row r="44" spans="15:32" x14ac:dyDescent="0.2">
      <c r="O44">
        <v>177250</v>
      </c>
      <c r="P44" t="s">
        <v>374</v>
      </c>
      <c r="Q44" t="s">
        <v>270</v>
      </c>
      <c r="W44" t="str">
        <v>5b848bad-a7d0-45ee-a6b4-0174f71c497b</v>
      </c>
      <c r="X44" t="str">
        <v>WilsonRCP</v>
      </c>
      <c r="Y44" t="b">
        <v>1</v>
      </c>
      <c r="Z44" t="str">
        <v/>
      </c>
      <c r="AF44" s="2"/>
    </row>
    <row r="45" spans="15:32" x14ac:dyDescent="0.2">
      <c r="O45">
        <v>177288</v>
      </c>
      <c r="P45" t="s">
        <v>376</v>
      </c>
      <c r="Q45" t="s">
        <v>261</v>
      </c>
      <c r="W45" t="str">
        <v>a1f74f42-49ac-4469-800b-b3c450a51896</v>
      </c>
      <c r="X45" t="str">
        <v>PaulaAR</v>
      </c>
      <c r="Y45" t="b">
        <v>1</v>
      </c>
      <c r="Z45" t="str">
        <v/>
      </c>
      <c r="AF45" s="2"/>
    </row>
    <row r="46" spans="15:32" x14ac:dyDescent="0.2">
      <c r="O46">
        <v>177316</v>
      </c>
      <c r="P46" t="s">
        <v>378</v>
      </c>
      <c r="Q46" t="s">
        <v>273</v>
      </c>
      <c r="W46" t="str">
        <v>a2f9c08b-1c52-493e-b1ae-c5ae30417e6c</v>
      </c>
      <c r="X46" t="str">
        <v>PauloPBN</v>
      </c>
      <c r="Y46" t="b">
        <v>1</v>
      </c>
      <c r="Z46" t="str">
        <v/>
      </c>
      <c r="AF46" s="2"/>
    </row>
    <row r="47" spans="15:32" x14ac:dyDescent="0.2">
      <c r="O47">
        <v>209468</v>
      </c>
      <c r="P47" t="s">
        <v>379</v>
      </c>
      <c r="Q47" t="s">
        <v>261</v>
      </c>
      <c r="W47" t="str">
        <v>64e72c08-0718-46d1-99f4-47fb79fce245</v>
      </c>
      <c r="X47" t="str">
        <v>LiègeVCN</v>
      </c>
      <c r="Y47" t="b">
        <v>1</v>
      </c>
      <c r="Z47" t="str">
        <v>COMPLETED</v>
      </c>
      <c r="AF47" s="2"/>
    </row>
    <row r="48" spans="15:32" x14ac:dyDescent="0.2">
      <c r="O48">
        <v>485456</v>
      </c>
      <c r="P48" t="s">
        <v>381</v>
      </c>
      <c r="Q48" t="s">
        <v>279</v>
      </c>
      <c r="W48" t="str">
        <v>d9316811-d09e-4bad-8d17-0a82b2ea024d</v>
      </c>
      <c r="X48" t="str">
        <v>MelissaSBS</v>
      </c>
      <c r="Y48" t="b">
        <v>1</v>
      </c>
      <c r="Z48" t="str">
        <v>COMPLETED</v>
      </c>
      <c r="AF48" s="2"/>
    </row>
    <row r="49" spans="15:32" x14ac:dyDescent="0.2">
      <c r="O49">
        <v>774381</v>
      </c>
      <c r="P49" t="s">
        <v>383</v>
      </c>
      <c r="Q49" t="s">
        <v>270</v>
      </c>
      <c r="W49" t="str">
        <v>5bffd46b-79b1-4010-a9b4-277a2cb3ee6a</v>
      </c>
      <c r="X49" t="str">
        <v>AdrianaEDR</v>
      </c>
      <c r="Y49" t="b">
        <v>1</v>
      </c>
      <c r="Z49" t="str">
        <v/>
      </c>
      <c r="AF49" s="2"/>
    </row>
    <row r="50" spans="15:32" x14ac:dyDescent="0.2">
      <c r="O50">
        <v>2316944</v>
      </c>
      <c r="P50" t="s">
        <v>354</v>
      </c>
      <c r="Q50" t="s">
        <v>261</v>
      </c>
      <c r="AF50" s="2"/>
    </row>
    <row r="51" spans="15:32" x14ac:dyDescent="0.2">
      <c r="O51">
        <v>2320187</v>
      </c>
      <c r="P51" t="s">
        <v>385</v>
      </c>
      <c r="Q51" t="s">
        <v>261</v>
      </c>
      <c r="AF51" s="2"/>
    </row>
    <row r="52" spans="15:32" x14ac:dyDescent="0.2">
      <c r="O52">
        <v>2320234</v>
      </c>
      <c r="P52" t="s">
        <v>387</v>
      </c>
      <c r="Q52" t="s">
        <v>270</v>
      </c>
      <c r="AF52" s="2"/>
    </row>
    <row r="53" spans="15:32" x14ac:dyDescent="0.2">
      <c r="O53">
        <v>2321357</v>
      </c>
      <c r="P53" t="s">
        <v>389</v>
      </c>
      <c r="Q53" t="s">
        <v>261</v>
      </c>
      <c r="AF53" s="2"/>
    </row>
    <row r="54" spans="15:32" x14ac:dyDescent="0.2">
      <c r="O54">
        <v>2321404</v>
      </c>
      <c r="P54" t="s">
        <v>391</v>
      </c>
      <c r="Q54" t="s">
        <v>275</v>
      </c>
      <c r="AF54" s="2"/>
    </row>
    <row r="55" spans="15:32" x14ac:dyDescent="0.2">
      <c r="O55">
        <v>2321534</v>
      </c>
      <c r="P55" t="s">
        <v>393</v>
      </c>
      <c r="Q55" t="s">
        <v>261</v>
      </c>
      <c r="AF55" s="2"/>
    </row>
    <row r="56" spans="15:32" x14ac:dyDescent="0.2">
      <c r="O56">
        <v>2322863</v>
      </c>
      <c r="P56" t="s">
        <v>395</v>
      </c>
      <c r="Q56" t="s">
        <v>279</v>
      </c>
      <c r="AF56" s="2"/>
    </row>
    <row r="57" spans="15:32" x14ac:dyDescent="0.2">
      <c r="O57">
        <v>2322945</v>
      </c>
      <c r="P57" t="s">
        <v>396</v>
      </c>
      <c r="Q57" t="s">
        <v>261</v>
      </c>
      <c r="AF57" s="2"/>
    </row>
    <row r="58" spans="15:32" x14ac:dyDescent="0.2">
      <c r="O58">
        <v>2323908</v>
      </c>
      <c r="P58" t="s">
        <v>306</v>
      </c>
      <c r="Q58" t="s">
        <v>275</v>
      </c>
      <c r="AF58" s="2"/>
    </row>
    <row r="59" spans="15:32" x14ac:dyDescent="0.2">
      <c r="O59">
        <v>2323939</v>
      </c>
      <c r="P59" t="s">
        <v>397</v>
      </c>
      <c r="Q59" t="s">
        <v>261</v>
      </c>
      <c r="AF59" s="2"/>
    </row>
    <row r="60" spans="15:32" x14ac:dyDescent="0.2">
      <c r="O60">
        <v>2324221</v>
      </c>
      <c r="P60" t="s">
        <v>398</v>
      </c>
      <c r="Q60" t="s">
        <v>261</v>
      </c>
      <c r="AF60" s="2"/>
    </row>
    <row r="61" spans="15:32" x14ac:dyDescent="0.2">
      <c r="O61">
        <v>2324290</v>
      </c>
      <c r="P61" t="s">
        <v>400</v>
      </c>
      <c r="Q61" t="s">
        <v>261</v>
      </c>
      <c r="AF61" s="2"/>
    </row>
    <row r="62" spans="15:32" x14ac:dyDescent="0.2">
      <c r="O62">
        <v>2327154</v>
      </c>
      <c r="P62" t="s">
        <v>402</v>
      </c>
      <c r="Q62" t="s">
        <v>261</v>
      </c>
      <c r="AF62" s="2"/>
    </row>
    <row r="63" spans="15:32" x14ac:dyDescent="0.2">
      <c r="O63">
        <v>2330131</v>
      </c>
      <c r="P63" t="s">
        <v>404</v>
      </c>
      <c r="Q63" t="s">
        <v>261</v>
      </c>
      <c r="AF63" s="2"/>
    </row>
    <row r="64" spans="15:32" x14ac:dyDescent="0.2">
      <c r="O64">
        <v>2330402</v>
      </c>
      <c r="P64" t="s">
        <v>406</v>
      </c>
      <c r="Q64" t="s">
        <v>261</v>
      </c>
      <c r="AF64" s="2"/>
    </row>
    <row r="65" spans="15:32" x14ac:dyDescent="0.2">
      <c r="O65">
        <v>2330426</v>
      </c>
      <c r="P65" t="s">
        <v>407</v>
      </c>
      <c r="Q65" t="s">
        <v>279</v>
      </c>
      <c r="AF65" s="2"/>
    </row>
    <row r="66" spans="15:32" x14ac:dyDescent="0.2">
      <c r="O66">
        <v>2331104</v>
      </c>
      <c r="P66" t="s">
        <v>408</v>
      </c>
      <c r="Q66" t="s">
        <v>284</v>
      </c>
      <c r="AF66" s="2"/>
    </row>
    <row r="67" spans="15:32" x14ac:dyDescent="0.2">
      <c r="O67">
        <v>2332336</v>
      </c>
      <c r="P67" t="s">
        <v>409</v>
      </c>
      <c r="Q67" t="s">
        <v>279</v>
      </c>
      <c r="AF67" s="2"/>
    </row>
    <row r="68" spans="15:32" x14ac:dyDescent="0.2">
      <c r="O68">
        <v>2332925</v>
      </c>
      <c r="P68" t="s">
        <v>410</v>
      </c>
      <c r="Q68" t="s">
        <v>261</v>
      </c>
      <c r="AF68" s="2"/>
    </row>
    <row r="69" spans="15:32" x14ac:dyDescent="0.2">
      <c r="O69">
        <v>2358122</v>
      </c>
      <c r="P69" t="s">
        <v>399</v>
      </c>
      <c r="Q69" t="s">
        <v>279</v>
      </c>
      <c r="AF69" s="2"/>
    </row>
    <row r="70" spans="15:32" x14ac:dyDescent="0.2">
      <c r="O70">
        <v>2359398</v>
      </c>
      <c r="P70" t="s">
        <v>401</v>
      </c>
      <c r="Q70" t="s">
        <v>279</v>
      </c>
      <c r="AF70" s="2"/>
    </row>
    <row r="71" spans="15:32" x14ac:dyDescent="0.2">
      <c r="O71">
        <v>2359830</v>
      </c>
      <c r="P71" t="s">
        <v>412</v>
      </c>
      <c r="Q71" t="s">
        <v>275</v>
      </c>
      <c r="AF71" s="2"/>
    </row>
    <row r="72" spans="15:32" x14ac:dyDescent="0.2">
      <c r="O72">
        <v>2361397</v>
      </c>
      <c r="P72" t="s">
        <v>413</v>
      </c>
      <c r="Q72" t="s">
        <v>261</v>
      </c>
      <c r="AF72" s="2"/>
    </row>
    <row r="73" spans="15:32" x14ac:dyDescent="0.2">
      <c r="O73">
        <v>2361833</v>
      </c>
      <c r="P73" t="s">
        <v>310</v>
      </c>
      <c r="Q73" t="s">
        <v>275</v>
      </c>
      <c r="AF73" s="2"/>
    </row>
    <row r="74" spans="15:32" x14ac:dyDescent="0.2">
      <c r="O74">
        <v>2362776</v>
      </c>
      <c r="P74" t="s">
        <v>414</v>
      </c>
      <c r="Q74" t="s">
        <v>261</v>
      </c>
      <c r="AF74" s="2"/>
    </row>
    <row r="75" spans="15:32" x14ac:dyDescent="0.2">
      <c r="O75">
        <v>2365521</v>
      </c>
      <c r="P75" t="s">
        <v>313</v>
      </c>
      <c r="Q75" t="s">
        <v>275</v>
      </c>
      <c r="AF75" s="2"/>
    </row>
    <row r="76" spans="15:32" x14ac:dyDescent="0.2">
      <c r="O76">
        <v>2365815</v>
      </c>
      <c r="P76" t="s">
        <v>415</v>
      </c>
      <c r="Q76" t="s">
        <v>275</v>
      </c>
      <c r="AF76" s="2"/>
    </row>
    <row r="77" spans="15:32" x14ac:dyDescent="0.2">
      <c r="O77">
        <v>2367917</v>
      </c>
      <c r="P77" t="s">
        <v>316</v>
      </c>
      <c r="Q77" t="s">
        <v>275</v>
      </c>
      <c r="AF77" s="2"/>
    </row>
    <row r="78" spans="15:32" x14ac:dyDescent="0.2">
      <c r="O78">
        <v>2367965</v>
      </c>
      <c r="P78" t="s">
        <v>416</v>
      </c>
      <c r="Q78" t="s">
        <v>275</v>
      </c>
      <c r="AF78" s="2"/>
    </row>
    <row r="79" spans="15:32" x14ac:dyDescent="0.2">
      <c r="O79">
        <v>2369346</v>
      </c>
      <c r="P79" t="s">
        <v>417</v>
      </c>
      <c r="Q79" t="s">
        <v>270</v>
      </c>
      <c r="AF79" s="2"/>
    </row>
    <row r="80" spans="15:32" x14ac:dyDescent="0.2">
      <c r="O80">
        <v>2370044</v>
      </c>
      <c r="P80" t="s">
        <v>418</v>
      </c>
      <c r="Q80" t="s">
        <v>275</v>
      </c>
      <c r="AF80" s="2"/>
    </row>
    <row r="81" spans="15:32" x14ac:dyDescent="0.2">
      <c r="O81">
        <v>2370198</v>
      </c>
      <c r="P81" t="s">
        <v>419</v>
      </c>
      <c r="Q81" t="s">
        <v>275</v>
      </c>
      <c r="AF81" s="2"/>
    </row>
    <row r="82" spans="15:32" x14ac:dyDescent="0.2">
      <c r="O82">
        <v>2370849</v>
      </c>
      <c r="P82" t="s">
        <v>420</v>
      </c>
      <c r="Q82" t="s">
        <v>275</v>
      </c>
      <c r="AF82" s="2"/>
    </row>
    <row r="83" spans="15:32" x14ac:dyDescent="0.2">
      <c r="O83">
        <v>2370968</v>
      </c>
      <c r="P83" t="s">
        <v>356</v>
      </c>
      <c r="Q83" t="s">
        <v>261</v>
      </c>
      <c r="AF83" s="2"/>
    </row>
    <row r="84" spans="15:32" x14ac:dyDescent="0.2">
      <c r="O84">
        <v>2371680</v>
      </c>
      <c r="P84" t="s">
        <v>421</v>
      </c>
      <c r="Q84" t="s">
        <v>275</v>
      </c>
      <c r="AF84" s="2"/>
    </row>
    <row r="85" spans="15:32" x14ac:dyDescent="0.2">
      <c r="O85">
        <v>2407467</v>
      </c>
      <c r="P85" t="s">
        <v>422</v>
      </c>
      <c r="Q85" t="s">
        <v>261</v>
      </c>
      <c r="AF85" s="2"/>
    </row>
    <row r="86" spans="15:32" x14ac:dyDescent="0.2">
      <c r="O86">
        <v>2421254</v>
      </c>
      <c r="P86" t="s">
        <v>403</v>
      </c>
      <c r="Q86" t="s">
        <v>279</v>
      </c>
      <c r="AF86" s="2"/>
    </row>
    <row r="87" spans="15:32" x14ac:dyDescent="0.2">
      <c r="O87">
        <v>2434918</v>
      </c>
      <c r="P87" t="s">
        <v>423</v>
      </c>
      <c r="Q87" t="s">
        <v>261</v>
      </c>
      <c r="AF87" s="2"/>
    </row>
    <row r="88" spans="15:32" x14ac:dyDescent="0.2">
      <c r="O88">
        <v>2435460</v>
      </c>
      <c r="P88" t="s">
        <v>318</v>
      </c>
      <c r="Q88" t="s">
        <v>275</v>
      </c>
      <c r="AF88" s="2"/>
    </row>
    <row r="89" spans="15:32" x14ac:dyDescent="0.2">
      <c r="O89">
        <v>2436809</v>
      </c>
      <c r="P89" t="s">
        <v>424</v>
      </c>
      <c r="Q89" t="s">
        <v>270</v>
      </c>
      <c r="AF89" s="2"/>
    </row>
    <row r="90" spans="15:32" x14ac:dyDescent="0.2">
      <c r="O90">
        <v>2437019</v>
      </c>
      <c r="P90" t="s">
        <v>425</v>
      </c>
      <c r="Q90" t="s">
        <v>261</v>
      </c>
      <c r="AF90" s="2"/>
    </row>
    <row r="91" spans="15:32" x14ac:dyDescent="0.2">
      <c r="O91">
        <v>2438005</v>
      </c>
      <c r="P91" t="s">
        <v>426</v>
      </c>
      <c r="Q91" t="s">
        <v>261</v>
      </c>
      <c r="AF91" s="2"/>
    </row>
    <row r="92" spans="15:32" x14ac:dyDescent="0.2">
      <c r="O92">
        <v>2440235</v>
      </c>
      <c r="P92" t="s">
        <v>427</v>
      </c>
      <c r="Q92" t="s">
        <v>261</v>
      </c>
      <c r="AF92" s="2"/>
    </row>
    <row r="93" spans="15:32" x14ac:dyDescent="0.2">
      <c r="O93">
        <v>2440690</v>
      </c>
      <c r="P93" t="s">
        <v>428</v>
      </c>
      <c r="Q93" t="s">
        <v>275</v>
      </c>
      <c r="AF93" s="2"/>
    </row>
    <row r="94" spans="15:32" x14ac:dyDescent="0.2">
      <c r="O94">
        <v>2441128</v>
      </c>
      <c r="P94" t="s">
        <v>429</v>
      </c>
      <c r="Q94" t="s">
        <v>275</v>
      </c>
      <c r="AF94" s="2"/>
    </row>
    <row r="95" spans="15:32" x14ac:dyDescent="0.2">
      <c r="O95">
        <v>2946665</v>
      </c>
      <c r="P95" t="s">
        <v>430</v>
      </c>
      <c r="Q95" t="s">
        <v>270</v>
      </c>
      <c r="AF95" s="2"/>
    </row>
    <row r="96" spans="15:32" x14ac:dyDescent="0.2">
      <c r="O96">
        <v>2946676</v>
      </c>
      <c r="P96" t="s">
        <v>431</v>
      </c>
      <c r="Q96" t="s">
        <v>270</v>
      </c>
      <c r="AF96" s="2"/>
    </row>
    <row r="97" spans="15:32" x14ac:dyDescent="0.2">
      <c r="O97">
        <v>2946705</v>
      </c>
      <c r="P97" t="s">
        <v>432</v>
      </c>
      <c r="Q97" t="s">
        <v>270</v>
      </c>
      <c r="AF97" s="2"/>
    </row>
    <row r="98" spans="15:32" x14ac:dyDescent="0.2">
      <c r="O98">
        <v>5558135</v>
      </c>
      <c r="P98" t="s">
        <v>433</v>
      </c>
      <c r="Q98" t="s">
        <v>270</v>
      </c>
      <c r="AF98" s="2"/>
    </row>
    <row r="99" spans="15:32" x14ac:dyDescent="0.2">
      <c r="O99">
        <v>5918628</v>
      </c>
      <c r="P99" t="s">
        <v>283</v>
      </c>
      <c r="Q99" t="s">
        <v>284</v>
      </c>
      <c r="AF99" s="2"/>
    </row>
    <row r="100" spans="15:32" x14ac:dyDescent="0.2">
      <c r="O100">
        <v>5926122</v>
      </c>
      <c r="P100" t="s">
        <v>434</v>
      </c>
      <c r="Q100" t="s">
        <v>270</v>
      </c>
      <c r="AF100" s="2"/>
    </row>
    <row r="101" spans="15:32" x14ac:dyDescent="0.2">
      <c r="O101">
        <v>5926123</v>
      </c>
      <c r="P101" t="s">
        <v>435</v>
      </c>
      <c r="Q101" t="s">
        <v>270</v>
      </c>
      <c r="AF101" s="2"/>
    </row>
    <row r="102" spans="15:32" x14ac:dyDescent="0.2">
      <c r="O102">
        <v>54460156</v>
      </c>
      <c r="P102" t="s">
        <v>411</v>
      </c>
      <c r="Q102" t="s">
        <v>287</v>
      </c>
      <c r="AF102" s="2"/>
    </row>
    <row r="103" spans="15:32" x14ac:dyDescent="0.2">
      <c r="O103">
        <v>55626244</v>
      </c>
      <c r="P103" t="s">
        <v>436</v>
      </c>
      <c r="Q103" t="s">
        <v>270</v>
      </c>
      <c r="AF103" s="2"/>
    </row>
    <row r="104" spans="15:32" x14ac:dyDescent="0.2">
      <c r="O104">
        <v>55904967</v>
      </c>
      <c r="P104" t="s">
        <v>437</v>
      </c>
      <c r="Q104" t="s">
        <v>279</v>
      </c>
      <c r="AF104" s="2"/>
    </row>
    <row r="105" spans="15:32" x14ac:dyDescent="0.2">
      <c r="O105">
        <v>56470192</v>
      </c>
      <c r="P105" t="s">
        <v>438</v>
      </c>
      <c r="Q105" t="s">
        <v>270</v>
      </c>
      <c r="AF105" s="2"/>
    </row>
    <row r="106" spans="15:32" x14ac:dyDescent="0.2">
      <c r="O106">
        <v>56470193</v>
      </c>
      <c r="P106" t="s">
        <v>439</v>
      </c>
      <c r="Q106" t="s">
        <v>270</v>
      </c>
      <c r="AF106" s="2"/>
    </row>
    <row r="107" spans="15:32" x14ac:dyDescent="0.2">
      <c r="O107">
        <v>57201142</v>
      </c>
      <c r="P107" t="s">
        <v>440</v>
      </c>
      <c r="Q107" t="s">
        <v>270</v>
      </c>
      <c r="AF107" s="2"/>
    </row>
    <row r="108" spans="15:32" x14ac:dyDescent="0.2">
      <c r="O108">
        <v>57917352</v>
      </c>
      <c r="P108" t="s">
        <v>441</v>
      </c>
      <c r="Q108" t="s">
        <v>261</v>
      </c>
      <c r="AF108" s="2"/>
    </row>
    <row r="109" spans="15:32" x14ac:dyDescent="0.2">
      <c r="O109">
        <v>57978776</v>
      </c>
      <c r="P109" t="s">
        <v>320</v>
      </c>
      <c r="Q109" t="s">
        <v>275</v>
      </c>
      <c r="AF109" s="2"/>
    </row>
    <row r="110" spans="15:32" x14ac:dyDescent="0.2">
      <c r="O110">
        <v>57983646</v>
      </c>
      <c r="P110" t="s">
        <v>331</v>
      </c>
      <c r="Q110" t="s">
        <v>270</v>
      </c>
      <c r="AF110" s="2"/>
    </row>
    <row r="111" spans="15:32" x14ac:dyDescent="0.2">
      <c r="O111">
        <v>57989482</v>
      </c>
      <c r="P111" t="s">
        <v>442</v>
      </c>
      <c r="Q111" t="s">
        <v>261</v>
      </c>
      <c r="AF111" s="2"/>
    </row>
    <row r="112" spans="15:32" x14ac:dyDescent="0.2">
      <c r="O112">
        <v>58045201</v>
      </c>
      <c r="P112" t="s">
        <v>443</v>
      </c>
      <c r="Q112" t="s">
        <v>261</v>
      </c>
      <c r="AF112" s="2"/>
    </row>
    <row r="113" spans="15:32" x14ac:dyDescent="0.2">
      <c r="O113">
        <v>58056382</v>
      </c>
      <c r="P113" t="s">
        <v>444</v>
      </c>
      <c r="Q113" t="s">
        <v>270</v>
      </c>
      <c r="AF113" s="2"/>
    </row>
    <row r="114" spans="15:32" x14ac:dyDescent="0.2">
      <c r="O114">
        <v>58065287</v>
      </c>
      <c r="P114" t="s">
        <v>269</v>
      </c>
      <c r="Q114" t="s">
        <v>270</v>
      </c>
      <c r="AF114" s="2"/>
    </row>
    <row r="115" spans="15:32" x14ac:dyDescent="0.2">
      <c r="O115">
        <v>58076824</v>
      </c>
      <c r="P115" t="s">
        <v>358</v>
      </c>
      <c r="Q115" t="s">
        <v>261</v>
      </c>
      <c r="AF115" s="2"/>
    </row>
    <row r="116" spans="15:32" x14ac:dyDescent="0.2">
      <c r="O116">
        <v>58122150</v>
      </c>
      <c r="P116" t="s">
        <v>445</v>
      </c>
      <c r="Q116" t="s">
        <v>270</v>
      </c>
      <c r="AF116" s="2"/>
    </row>
    <row r="117" spans="15:32" x14ac:dyDescent="0.2">
      <c r="O117">
        <v>58250648</v>
      </c>
      <c r="P117" t="s">
        <v>446</v>
      </c>
      <c r="Q117" t="s">
        <v>270</v>
      </c>
      <c r="AF117" s="2"/>
    </row>
    <row r="118" spans="15:32" x14ac:dyDescent="0.2">
      <c r="O118">
        <v>58363189</v>
      </c>
      <c r="P118" t="s">
        <v>360</v>
      </c>
      <c r="Q118" t="s">
        <v>261</v>
      </c>
      <c r="AF118" s="2"/>
    </row>
    <row r="119" spans="15:32" x14ac:dyDescent="0.2">
      <c r="O119">
        <v>58369243</v>
      </c>
      <c r="P119" t="s">
        <v>333</v>
      </c>
      <c r="Q119" t="s">
        <v>270</v>
      </c>
      <c r="AF119" s="2"/>
    </row>
    <row r="120" spans="15:32" x14ac:dyDescent="0.2">
      <c r="O120">
        <v>58422506</v>
      </c>
      <c r="P120" t="s">
        <v>447</v>
      </c>
      <c r="Q120" t="s">
        <v>270</v>
      </c>
      <c r="AF120" s="2"/>
    </row>
    <row r="121" spans="15:32" x14ac:dyDescent="0.2">
      <c r="O121">
        <v>58438005</v>
      </c>
      <c r="P121" t="s">
        <v>448</v>
      </c>
      <c r="Q121" t="s">
        <v>270</v>
      </c>
      <c r="AF121" s="2"/>
    </row>
    <row r="122" spans="15:32" x14ac:dyDescent="0.2">
      <c r="O122">
        <v>58453487</v>
      </c>
      <c r="P122" t="s">
        <v>449</v>
      </c>
      <c r="Q122" t="s">
        <v>261</v>
      </c>
      <c r="AF122" s="2"/>
    </row>
    <row r="123" spans="15:32" x14ac:dyDescent="0.2">
      <c r="O123">
        <v>58627678</v>
      </c>
      <c r="P123" t="s">
        <v>450</v>
      </c>
      <c r="Q123" t="s">
        <v>270</v>
      </c>
      <c r="AF123" s="2"/>
    </row>
    <row r="124" spans="15:32" x14ac:dyDescent="0.2">
      <c r="O124">
        <v>58733243</v>
      </c>
      <c r="P124" t="s">
        <v>451</v>
      </c>
      <c r="Q124" t="s">
        <v>270</v>
      </c>
      <c r="AF124" s="2"/>
    </row>
    <row r="125" spans="15:32" x14ac:dyDescent="0.2">
      <c r="O125">
        <v>58764344</v>
      </c>
      <c r="P125" t="s">
        <v>452</v>
      </c>
      <c r="Q125" t="s">
        <v>261</v>
      </c>
      <c r="AF125" s="2"/>
    </row>
    <row r="126" spans="15:32" x14ac:dyDescent="0.2">
      <c r="O126">
        <v>58768701</v>
      </c>
      <c r="P126" t="s">
        <v>453</v>
      </c>
      <c r="Q126" t="s">
        <v>270</v>
      </c>
      <c r="AF126" s="2"/>
    </row>
    <row r="127" spans="15:32" x14ac:dyDescent="0.2">
      <c r="O127">
        <v>58808403</v>
      </c>
      <c r="P127" t="s">
        <v>454</v>
      </c>
      <c r="Q127" t="s">
        <v>270</v>
      </c>
      <c r="AF127" s="2"/>
    </row>
    <row r="128" spans="15:32" x14ac:dyDescent="0.2">
      <c r="O128">
        <v>58808404</v>
      </c>
      <c r="P128" t="s">
        <v>455</v>
      </c>
      <c r="Q128" t="s">
        <v>270</v>
      </c>
      <c r="AF128" s="2"/>
    </row>
    <row r="129" spans="15:32" x14ac:dyDescent="0.2">
      <c r="O129">
        <v>58813875</v>
      </c>
      <c r="P129" t="s">
        <v>405</v>
      </c>
      <c r="Q129" t="s">
        <v>279</v>
      </c>
      <c r="AF129" s="2"/>
    </row>
    <row r="130" spans="15:32" x14ac:dyDescent="0.2">
      <c r="O130">
        <v>58832136</v>
      </c>
      <c r="P130" t="s">
        <v>456</v>
      </c>
      <c r="Q130" t="s">
        <v>270</v>
      </c>
      <c r="AF130" s="2"/>
    </row>
    <row r="131" spans="15:32" x14ac:dyDescent="0.2">
      <c r="O131">
        <v>58893324</v>
      </c>
      <c r="P131" t="s">
        <v>457</v>
      </c>
      <c r="Q131" t="s">
        <v>270</v>
      </c>
      <c r="AF131" s="2"/>
    </row>
    <row r="132" spans="15:32" x14ac:dyDescent="0.2">
      <c r="O132">
        <v>58925683</v>
      </c>
      <c r="P132" t="s">
        <v>458</v>
      </c>
      <c r="Q132" t="s">
        <v>279</v>
      </c>
      <c r="AF132" s="2"/>
    </row>
    <row r="133" spans="15:32" x14ac:dyDescent="0.2">
      <c r="O133">
        <v>58972848</v>
      </c>
      <c r="P133" t="s">
        <v>459</v>
      </c>
      <c r="Q133" t="s">
        <v>261</v>
      </c>
      <c r="AF133" s="2"/>
    </row>
    <row r="134" spans="15:32" x14ac:dyDescent="0.2">
      <c r="O134">
        <v>59058769</v>
      </c>
      <c r="P134" t="s">
        <v>460</v>
      </c>
      <c r="Q134" t="s">
        <v>261</v>
      </c>
      <c r="AF134" s="2"/>
    </row>
    <row r="135" spans="15:32" x14ac:dyDescent="0.2">
      <c r="O135">
        <v>59087501</v>
      </c>
      <c r="P135" t="s">
        <v>461</v>
      </c>
      <c r="Q135" t="s">
        <v>261</v>
      </c>
      <c r="AF135" s="2"/>
    </row>
    <row r="136" spans="15:32" x14ac:dyDescent="0.2">
      <c r="O136">
        <v>59692703</v>
      </c>
      <c r="P136" t="s">
        <v>462</v>
      </c>
      <c r="Q136" t="s">
        <v>261</v>
      </c>
      <c r="AF136" s="2"/>
    </row>
    <row r="137" spans="15:32" x14ac:dyDescent="0.2">
      <c r="O137">
        <v>59702993</v>
      </c>
      <c r="P137" t="s">
        <v>463</v>
      </c>
      <c r="Q137" t="s">
        <v>270</v>
      </c>
      <c r="AF137" s="2"/>
    </row>
    <row r="138" spans="15:32" x14ac:dyDescent="0.2">
      <c r="O138">
        <v>61819180</v>
      </c>
      <c r="P138" t="s">
        <v>464</v>
      </c>
      <c r="Q138" t="s">
        <v>279</v>
      </c>
      <c r="AF138" s="2"/>
    </row>
    <row r="139" spans="15:32" x14ac:dyDescent="0.2">
      <c r="O139">
        <v>61871665</v>
      </c>
      <c r="P139" t="s">
        <v>465</v>
      </c>
      <c r="Q139" t="s">
        <v>261</v>
      </c>
      <c r="AF139" s="2"/>
    </row>
    <row r="140" spans="15:32" x14ac:dyDescent="0.2">
      <c r="O140">
        <v>61934440</v>
      </c>
      <c r="P140" t="s">
        <v>362</v>
      </c>
      <c r="Q140" t="s">
        <v>261</v>
      </c>
      <c r="AF140" s="2"/>
    </row>
    <row r="141" spans="15:32" x14ac:dyDescent="0.2">
      <c r="O141">
        <v>62130324</v>
      </c>
      <c r="P141" t="s">
        <v>466</v>
      </c>
      <c r="Q141" t="s">
        <v>261</v>
      </c>
      <c r="AF141" s="2"/>
    </row>
    <row r="142" spans="15:32" x14ac:dyDescent="0.2">
      <c r="O142">
        <v>62205328</v>
      </c>
      <c r="P142" t="s">
        <v>467</v>
      </c>
      <c r="Q142" t="s">
        <v>275</v>
      </c>
      <c r="AF142" s="2"/>
    </row>
    <row r="143" spans="15:32" x14ac:dyDescent="0.2">
      <c r="O143">
        <v>62281884</v>
      </c>
      <c r="P143" t="s">
        <v>365</v>
      </c>
      <c r="Q143" t="s">
        <v>261</v>
      </c>
      <c r="AF143" s="2"/>
    </row>
    <row r="144" spans="15:32" x14ac:dyDescent="0.2">
      <c r="O144">
        <v>62294975</v>
      </c>
      <c r="P144" t="s">
        <v>468</v>
      </c>
      <c r="Q144" t="s">
        <v>261</v>
      </c>
      <c r="AF144" s="2"/>
    </row>
    <row r="145" spans="15:32" x14ac:dyDescent="0.2">
      <c r="O145">
        <v>62294989</v>
      </c>
      <c r="P145" t="s">
        <v>469</v>
      </c>
      <c r="Q145" t="s">
        <v>275</v>
      </c>
      <c r="AF145" s="2"/>
    </row>
    <row r="146" spans="15:32" x14ac:dyDescent="0.2">
      <c r="O146">
        <v>62653213</v>
      </c>
      <c r="P146" t="s">
        <v>335</v>
      </c>
      <c r="Q146" t="s">
        <v>270</v>
      </c>
      <c r="AF146" s="2"/>
    </row>
    <row r="147" spans="15:32" x14ac:dyDescent="0.2">
      <c r="O147">
        <v>62657342</v>
      </c>
      <c r="P147" t="s">
        <v>470</v>
      </c>
      <c r="Q147" t="s">
        <v>275</v>
      </c>
      <c r="AF147" s="2"/>
    </row>
    <row r="148" spans="15:32" x14ac:dyDescent="0.2">
      <c r="O148">
        <v>62817583</v>
      </c>
      <c r="P148" t="s">
        <v>267</v>
      </c>
      <c r="Q148" t="s">
        <v>261</v>
      </c>
      <c r="AF148" s="2"/>
    </row>
    <row r="149" spans="15:32" x14ac:dyDescent="0.2">
      <c r="O149">
        <v>63090483</v>
      </c>
      <c r="P149" t="s">
        <v>471</v>
      </c>
      <c r="Q149" t="s">
        <v>273</v>
      </c>
      <c r="AF149" s="2"/>
    </row>
    <row r="150" spans="15:32" x14ac:dyDescent="0.2">
      <c r="O150">
        <v>63182238</v>
      </c>
      <c r="P150" t="s">
        <v>472</v>
      </c>
      <c r="Q150" t="s">
        <v>270</v>
      </c>
      <c r="AF150" s="2"/>
    </row>
    <row r="151" spans="15:32" x14ac:dyDescent="0.2">
      <c r="O151">
        <v>63233114</v>
      </c>
      <c r="P151" t="s">
        <v>473</v>
      </c>
      <c r="Q151" t="s">
        <v>261</v>
      </c>
      <c r="AF151" s="2"/>
    </row>
    <row r="152" spans="15:32" x14ac:dyDescent="0.2">
      <c r="O152">
        <v>63311357</v>
      </c>
      <c r="P152" t="s">
        <v>474</v>
      </c>
      <c r="Q152" t="s">
        <v>270</v>
      </c>
      <c r="AF152" s="2"/>
    </row>
    <row r="153" spans="15:32" x14ac:dyDescent="0.2">
      <c r="O153">
        <v>63435591</v>
      </c>
      <c r="P153" t="s">
        <v>475</v>
      </c>
      <c r="Q153" t="s">
        <v>261</v>
      </c>
      <c r="AF153" s="2"/>
    </row>
    <row r="154" spans="15:32" x14ac:dyDescent="0.2">
      <c r="O154">
        <v>63487599</v>
      </c>
      <c r="P154" t="s">
        <v>476</v>
      </c>
      <c r="Q154" t="s">
        <v>261</v>
      </c>
      <c r="AF154" s="2"/>
    </row>
    <row r="155" spans="15:32" x14ac:dyDescent="0.2">
      <c r="O155">
        <v>63540912</v>
      </c>
      <c r="P155" t="s">
        <v>477</v>
      </c>
      <c r="Q155" t="s">
        <v>270</v>
      </c>
      <c r="AF155" s="2"/>
    </row>
    <row r="156" spans="15:32" x14ac:dyDescent="0.2">
      <c r="O156">
        <v>63585587</v>
      </c>
      <c r="P156" t="s">
        <v>338</v>
      </c>
      <c r="Q156" t="s">
        <v>270</v>
      </c>
      <c r="AF156" s="2"/>
    </row>
    <row r="157" spans="15:32" x14ac:dyDescent="0.2">
      <c r="O157">
        <v>63639335</v>
      </c>
      <c r="P157" t="s">
        <v>478</v>
      </c>
      <c r="Q157" t="s">
        <v>261</v>
      </c>
      <c r="AF157" s="2"/>
    </row>
    <row r="158" spans="15:32" x14ac:dyDescent="0.2">
      <c r="O158">
        <v>63722630</v>
      </c>
      <c r="P158" t="s">
        <v>479</v>
      </c>
      <c r="Q158" t="s">
        <v>273</v>
      </c>
      <c r="AF158" s="2"/>
    </row>
    <row r="159" spans="15:32" x14ac:dyDescent="0.2">
      <c r="O159">
        <v>63722631</v>
      </c>
      <c r="P159" t="s">
        <v>480</v>
      </c>
      <c r="Q159" t="s">
        <v>273</v>
      </c>
      <c r="AF159" s="2"/>
    </row>
    <row r="160" spans="15:32" x14ac:dyDescent="0.2">
      <c r="O160">
        <v>63722834</v>
      </c>
      <c r="P160" t="s">
        <v>481</v>
      </c>
      <c r="Q160" t="s">
        <v>270</v>
      </c>
      <c r="AF160" s="2"/>
    </row>
    <row r="161" spans="15:32" x14ac:dyDescent="0.2">
      <c r="O161">
        <v>64055258</v>
      </c>
      <c r="P161" t="s">
        <v>341</v>
      </c>
      <c r="Q161" t="s">
        <v>270</v>
      </c>
      <c r="AF161" s="2"/>
    </row>
    <row r="162" spans="15:32" x14ac:dyDescent="0.2">
      <c r="O162">
        <v>64078628</v>
      </c>
      <c r="P162" t="s">
        <v>342</v>
      </c>
      <c r="Q162" t="s">
        <v>270</v>
      </c>
      <c r="AF162" s="2"/>
    </row>
    <row r="163" spans="15:32" x14ac:dyDescent="0.2">
      <c r="O163">
        <v>73839504</v>
      </c>
      <c r="P163" t="s">
        <v>482</v>
      </c>
      <c r="Q163" t="s">
        <v>273</v>
      </c>
      <c r="AF163" s="2"/>
    </row>
    <row r="164" spans="15:32" x14ac:dyDescent="0.2">
      <c r="O164">
        <v>73916935</v>
      </c>
      <c r="P164" t="s">
        <v>345</v>
      </c>
      <c r="Q164" t="s">
        <v>270</v>
      </c>
      <c r="AF164" s="2"/>
    </row>
    <row r="165" spans="15:32" x14ac:dyDescent="0.2">
      <c r="O165">
        <v>73956137</v>
      </c>
      <c r="P165" t="s">
        <v>369</v>
      </c>
      <c r="Q165" t="s">
        <v>261</v>
      </c>
      <c r="AF165" s="2"/>
    </row>
    <row r="166" spans="15:32" x14ac:dyDescent="0.2">
      <c r="O166">
        <v>74133706</v>
      </c>
      <c r="P166" t="s">
        <v>483</v>
      </c>
      <c r="Q166" t="s">
        <v>261</v>
      </c>
      <c r="AF166" s="2"/>
    </row>
    <row r="167" spans="15:32" x14ac:dyDescent="0.2">
      <c r="O167">
        <v>74133708</v>
      </c>
      <c r="P167" t="s">
        <v>484</v>
      </c>
      <c r="Q167" t="s">
        <v>275</v>
      </c>
      <c r="AF167" s="2"/>
    </row>
    <row r="168" spans="15:32" x14ac:dyDescent="0.2">
      <c r="O168">
        <v>74227088</v>
      </c>
      <c r="P168" t="s">
        <v>386</v>
      </c>
      <c r="Q168" t="s">
        <v>273</v>
      </c>
      <c r="AF168" s="2"/>
    </row>
    <row r="169" spans="15:32" x14ac:dyDescent="0.2">
      <c r="O169">
        <v>74246965</v>
      </c>
      <c r="P169" t="s">
        <v>485</v>
      </c>
      <c r="Q169" t="s">
        <v>270</v>
      </c>
      <c r="AF169" s="2"/>
    </row>
    <row r="170" spans="15:32" x14ac:dyDescent="0.2">
      <c r="O170">
        <v>74440237</v>
      </c>
      <c r="P170" t="s">
        <v>371</v>
      </c>
      <c r="Q170" t="s">
        <v>261</v>
      </c>
      <c r="AF170" s="2"/>
    </row>
    <row r="171" spans="15:32" x14ac:dyDescent="0.2">
      <c r="O171">
        <v>74460433</v>
      </c>
      <c r="P171" t="s">
        <v>388</v>
      </c>
      <c r="Q171" t="s">
        <v>273</v>
      </c>
      <c r="AF171" s="2"/>
    </row>
    <row r="172" spans="15:32" x14ac:dyDescent="0.2">
      <c r="O172">
        <v>74826486</v>
      </c>
      <c r="P172" t="s">
        <v>390</v>
      </c>
      <c r="Q172" t="s">
        <v>273</v>
      </c>
      <c r="AF172" s="2"/>
    </row>
    <row r="173" spans="15:32" x14ac:dyDescent="0.2">
      <c r="O173">
        <v>74998661</v>
      </c>
      <c r="P173" t="s">
        <v>291</v>
      </c>
      <c r="Q173" t="s">
        <v>292</v>
      </c>
      <c r="AF173" s="2"/>
    </row>
    <row r="174" spans="15:32" x14ac:dyDescent="0.2">
      <c r="O174">
        <v>75117099</v>
      </c>
      <c r="P174" t="s">
        <v>373</v>
      </c>
      <c r="Q174" t="s">
        <v>261</v>
      </c>
      <c r="AF174" s="2"/>
    </row>
    <row r="175" spans="15:32" x14ac:dyDescent="0.2">
      <c r="O175">
        <v>75162899</v>
      </c>
      <c r="P175" t="s">
        <v>392</v>
      </c>
      <c r="Q175" t="s">
        <v>273</v>
      </c>
      <c r="AF175" s="2"/>
    </row>
    <row r="176" spans="15:32" x14ac:dyDescent="0.2">
      <c r="O176">
        <v>75163098</v>
      </c>
      <c r="P176" t="s">
        <v>486</v>
      </c>
      <c r="Q176" t="s">
        <v>261</v>
      </c>
      <c r="AF176" s="2"/>
    </row>
    <row r="177" spans="15:32" x14ac:dyDescent="0.2">
      <c r="O177">
        <v>75163106</v>
      </c>
      <c r="P177" t="s">
        <v>375</v>
      </c>
      <c r="Q177" t="s">
        <v>261</v>
      </c>
      <c r="AF177" s="2"/>
    </row>
    <row r="178" spans="15:32" x14ac:dyDescent="0.2">
      <c r="O178">
        <v>75225012</v>
      </c>
      <c r="P178" t="s">
        <v>348</v>
      </c>
      <c r="Q178" t="s">
        <v>270</v>
      </c>
      <c r="AF178" s="2"/>
    </row>
    <row r="179" spans="15:32" x14ac:dyDescent="0.2">
      <c r="O179">
        <v>75245057</v>
      </c>
      <c r="P179" t="s">
        <v>487</v>
      </c>
      <c r="Q179" t="s">
        <v>270</v>
      </c>
      <c r="AF179" s="2"/>
    </row>
    <row r="180" spans="15:32" x14ac:dyDescent="0.2">
      <c r="O180">
        <v>75245060</v>
      </c>
      <c r="P180" t="s">
        <v>488</v>
      </c>
      <c r="Q180" t="s">
        <v>261</v>
      </c>
      <c r="AF180" s="2"/>
    </row>
    <row r="181" spans="15:32" x14ac:dyDescent="0.2">
      <c r="O181">
        <v>75359173</v>
      </c>
      <c r="P181" t="s">
        <v>489</v>
      </c>
      <c r="Q181" t="s">
        <v>261</v>
      </c>
      <c r="AF181" s="2"/>
    </row>
    <row r="182" spans="15:32" x14ac:dyDescent="0.2">
      <c r="O182">
        <v>75359174</v>
      </c>
      <c r="P182" t="s">
        <v>490</v>
      </c>
      <c r="Q182" t="s">
        <v>261</v>
      </c>
      <c r="AF182" s="2"/>
    </row>
    <row r="183" spans="15:32" x14ac:dyDescent="0.2">
      <c r="O183">
        <v>75439174</v>
      </c>
      <c r="P183" t="s">
        <v>491</v>
      </c>
      <c r="Q183" t="s">
        <v>270</v>
      </c>
      <c r="AF183" s="2"/>
    </row>
    <row r="184" spans="15:32" x14ac:dyDescent="0.2">
      <c r="O184">
        <v>75439357</v>
      </c>
      <c r="P184" t="s">
        <v>351</v>
      </c>
      <c r="Q184" t="s">
        <v>270</v>
      </c>
      <c r="AF184" s="2"/>
    </row>
    <row r="185" spans="15:32" x14ac:dyDescent="0.2">
      <c r="O185">
        <v>75439359</v>
      </c>
      <c r="P185" t="s">
        <v>352</v>
      </c>
      <c r="Q185" t="s">
        <v>270</v>
      </c>
      <c r="AF185" s="2"/>
    </row>
    <row r="186" spans="15:32" x14ac:dyDescent="0.2">
      <c r="O186">
        <v>75473674</v>
      </c>
      <c r="P186" t="s">
        <v>492</v>
      </c>
      <c r="Q186" t="s">
        <v>285</v>
      </c>
      <c r="AF186" s="2"/>
    </row>
    <row r="187" spans="15:32" x14ac:dyDescent="0.2">
      <c r="O187">
        <v>75473675</v>
      </c>
      <c r="P187" t="s">
        <v>493</v>
      </c>
      <c r="Q187" t="s">
        <v>285</v>
      </c>
      <c r="AF187" s="2"/>
    </row>
    <row r="188" spans="15:32" x14ac:dyDescent="0.2">
      <c r="O188">
        <v>75473680</v>
      </c>
      <c r="P188" t="s">
        <v>494</v>
      </c>
      <c r="Q188" t="s">
        <v>285</v>
      </c>
      <c r="AF188" s="2"/>
    </row>
    <row r="189" spans="15:32" x14ac:dyDescent="0.2">
      <c r="O189">
        <v>75482391</v>
      </c>
      <c r="P189" t="s">
        <v>495</v>
      </c>
      <c r="Q189" t="s">
        <v>285</v>
      </c>
      <c r="AF189" s="2"/>
    </row>
    <row r="190" spans="15:32" x14ac:dyDescent="0.2">
      <c r="O190">
        <v>75491909</v>
      </c>
      <c r="P190" t="s">
        <v>496</v>
      </c>
      <c r="Q190" t="s">
        <v>285</v>
      </c>
      <c r="AF190" s="2"/>
    </row>
    <row r="191" spans="15:32" x14ac:dyDescent="0.2">
      <c r="O191">
        <v>75491910</v>
      </c>
      <c r="P191" t="s">
        <v>497</v>
      </c>
      <c r="Q191" t="s">
        <v>285</v>
      </c>
      <c r="AF191" s="2"/>
    </row>
    <row r="192" spans="15:32" x14ac:dyDescent="0.2">
      <c r="O192">
        <v>75491912</v>
      </c>
      <c r="P192" t="s">
        <v>498</v>
      </c>
      <c r="Q192" t="s">
        <v>285</v>
      </c>
      <c r="AF192" s="2"/>
    </row>
    <row r="193" spans="15:32" x14ac:dyDescent="0.2">
      <c r="O193">
        <v>75491913</v>
      </c>
      <c r="P193" t="s">
        <v>499</v>
      </c>
      <c r="Q193" t="s">
        <v>285</v>
      </c>
      <c r="AF193" s="2"/>
    </row>
    <row r="194" spans="15:32" x14ac:dyDescent="0.2">
      <c r="O194">
        <v>75491964</v>
      </c>
      <c r="P194" t="s">
        <v>500</v>
      </c>
      <c r="Q194" t="s">
        <v>285</v>
      </c>
      <c r="AF194" s="2"/>
    </row>
    <row r="195" spans="15:32" x14ac:dyDescent="0.2">
      <c r="O195">
        <v>75491969</v>
      </c>
      <c r="P195" t="s">
        <v>501</v>
      </c>
      <c r="Q195" t="s">
        <v>285</v>
      </c>
      <c r="AF195" s="2"/>
    </row>
    <row r="196" spans="15:32" x14ac:dyDescent="0.2">
      <c r="O196">
        <v>75512739</v>
      </c>
      <c r="P196" t="s">
        <v>502</v>
      </c>
      <c r="Q196" t="s">
        <v>273</v>
      </c>
      <c r="AF196" s="2"/>
    </row>
    <row r="197" spans="15:32" x14ac:dyDescent="0.2">
      <c r="O197">
        <v>75565273</v>
      </c>
      <c r="P197" t="s">
        <v>503</v>
      </c>
      <c r="Q197" t="s">
        <v>273</v>
      </c>
      <c r="AF197" s="2"/>
    </row>
    <row r="198" spans="15:32" x14ac:dyDescent="0.2">
      <c r="O198">
        <v>75580799</v>
      </c>
      <c r="P198" t="s">
        <v>377</v>
      </c>
      <c r="Q198" t="s">
        <v>261</v>
      </c>
      <c r="AF198" s="2"/>
    </row>
    <row r="199" spans="15:32" x14ac:dyDescent="0.2">
      <c r="O199">
        <v>75656772</v>
      </c>
      <c r="P199" t="s">
        <v>504</v>
      </c>
      <c r="Q199" t="s">
        <v>273</v>
      </c>
      <c r="AF199" s="2"/>
    </row>
    <row r="200" spans="15:32" x14ac:dyDescent="0.2">
      <c r="O200">
        <v>75716998</v>
      </c>
      <c r="P200" t="s">
        <v>505</v>
      </c>
      <c r="Q200" t="s">
        <v>285</v>
      </c>
      <c r="AF200" s="2"/>
    </row>
    <row r="201" spans="15:32" x14ac:dyDescent="0.2">
      <c r="O201">
        <v>75861503</v>
      </c>
      <c r="P201" t="s">
        <v>506</v>
      </c>
      <c r="Q201" t="s">
        <v>261</v>
      </c>
      <c r="AF201" s="2"/>
    </row>
    <row r="202" spans="15:32" x14ac:dyDescent="0.2">
      <c r="O202">
        <v>75967720</v>
      </c>
      <c r="P202" t="s">
        <v>507</v>
      </c>
      <c r="Q202" t="s">
        <v>273</v>
      </c>
      <c r="AF202" s="2"/>
    </row>
    <row r="203" spans="15:32" x14ac:dyDescent="0.2">
      <c r="O203">
        <v>76105482</v>
      </c>
      <c r="P203" t="s">
        <v>322</v>
      </c>
      <c r="Q203" t="s">
        <v>275</v>
      </c>
      <c r="AF203" s="2"/>
    </row>
    <row r="204" spans="15:32" x14ac:dyDescent="0.2">
      <c r="O204">
        <v>76105497</v>
      </c>
      <c r="P204" t="s">
        <v>324</v>
      </c>
      <c r="Q204" t="s">
        <v>275</v>
      </c>
      <c r="AF204" s="2"/>
    </row>
    <row r="205" spans="15:32" x14ac:dyDescent="0.2">
      <c r="O205">
        <v>76105498</v>
      </c>
      <c r="P205" t="s">
        <v>326</v>
      </c>
      <c r="Q205" t="s">
        <v>275</v>
      </c>
      <c r="AF205" s="2"/>
    </row>
    <row r="206" spans="15:32" x14ac:dyDescent="0.2">
      <c r="O206">
        <v>76160205</v>
      </c>
      <c r="P206" t="s">
        <v>508</v>
      </c>
      <c r="Q206" t="s">
        <v>261</v>
      </c>
      <c r="AF206" s="2"/>
    </row>
    <row r="207" spans="15:32" x14ac:dyDescent="0.2">
      <c r="O207">
        <v>76617934</v>
      </c>
      <c r="P207" t="s">
        <v>353</v>
      </c>
      <c r="Q207" t="s">
        <v>270</v>
      </c>
      <c r="AF207" s="2"/>
    </row>
    <row r="208" spans="15:32" x14ac:dyDescent="0.2">
      <c r="O208">
        <v>76667331</v>
      </c>
      <c r="P208" t="s">
        <v>509</v>
      </c>
      <c r="Q208" t="s">
        <v>270</v>
      </c>
      <c r="AF208" s="2"/>
    </row>
    <row r="209" spans="15:32" x14ac:dyDescent="0.2">
      <c r="O209">
        <v>76671645</v>
      </c>
      <c r="P209" t="s">
        <v>510</v>
      </c>
      <c r="Q209" t="s">
        <v>273</v>
      </c>
      <c r="AF209" s="2"/>
    </row>
    <row r="210" spans="15:32" x14ac:dyDescent="0.2">
      <c r="O210">
        <v>76671679</v>
      </c>
      <c r="P210" t="s">
        <v>511</v>
      </c>
      <c r="Q210" t="s">
        <v>279</v>
      </c>
      <c r="AF210" s="2"/>
    </row>
    <row r="211" spans="15:32" x14ac:dyDescent="0.2">
      <c r="O211">
        <v>76671712</v>
      </c>
      <c r="P211" t="s">
        <v>512</v>
      </c>
      <c r="Q211" t="s">
        <v>285</v>
      </c>
      <c r="AF211" s="2"/>
    </row>
    <row r="212" spans="15:32" x14ac:dyDescent="0.2">
      <c r="O212">
        <v>76671713</v>
      </c>
      <c r="P212" t="s">
        <v>513</v>
      </c>
      <c r="Q212" t="s">
        <v>285</v>
      </c>
      <c r="AF212" s="2"/>
    </row>
    <row r="213" spans="15:32" x14ac:dyDescent="0.2">
      <c r="O213">
        <v>76671714</v>
      </c>
      <c r="P213" t="s">
        <v>514</v>
      </c>
      <c r="Q213" t="s">
        <v>285</v>
      </c>
      <c r="AF213" s="2"/>
    </row>
    <row r="214" spans="15:32" x14ac:dyDescent="0.2">
      <c r="O214">
        <v>76671716</v>
      </c>
      <c r="P214" t="s">
        <v>515</v>
      </c>
      <c r="Q214" t="s">
        <v>285</v>
      </c>
      <c r="AF214" s="2"/>
    </row>
    <row r="215" spans="15:32" x14ac:dyDescent="0.2">
      <c r="O215">
        <v>76672544</v>
      </c>
      <c r="P215" t="s">
        <v>516</v>
      </c>
      <c r="Q215" t="s">
        <v>261</v>
      </c>
      <c r="AF215" s="2"/>
    </row>
    <row r="216" spans="15:32" x14ac:dyDescent="0.2">
      <c r="O216">
        <v>76672574</v>
      </c>
      <c r="P216" t="s">
        <v>517</v>
      </c>
      <c r="Q216" t="s">
        <v>261</v>
      </c>
      <c r="AF216" s="2"/>
    </row>
    <row r="217" spans="15:32" x14ac:dyDescent="0.2">
      <c r="O217">
        <v>76679592</v>
      </c>
      <c r="P217" t="s">
        <v>518</v>
      </c>
      <c r="Q217" t="s">
        <v>275</v>
      </c>
      <c r="AF217" s="2"/>
    </row>
    <row r="218" spans="15:32" x14ac:dyDescent="0.2">
      <c r="O218">
        <v>76679597</v>
      </c>
      <c r="P218" t="s">
        <v>519</v>
      </c>
      <c r="Q218" t="s">
        <v>275</v>
      </c>
      <c r="AF218" s="2"/>
    </row>
    <row r="219" spans="15:32" x14ac:dyDescent="0.2">
      <c r="O219">
        <v>78910264</v>
      </c>
      <c r="P219" t="s">
        <v>520</v>
      </c>
      <c r="Q219" t="s">
        <v>273</v>
      </c>
      <c r="AF219" s="2"/>
    </row>
    <row r="220" spans="15:32" x14ac:dyDescent="0.2">
      <c r="O220">
        <v>78913232</v>
      </c>
      <c r="P220" t="s">
        <v>521</v>
      </c>
      <c r="Q220" t="s">
        <v>273</v>
      </c>
      <c r="AF220" s="2"/>
    </row>
    <row r="221" spans="15:32" x14ac:dyDescent="0.2">
      <c r="O221">
        <v>78913235</v>
      </c>
      <c r="P221" t="s">
        <v>522</v>
      </c>
      <c r="Q221" t="s">
        <v>273</v>
      </c>
      <c r="AF221" s="2"/>
    </row>
    <row r="222" spans="15:32" x14ac:dyDescent="0.2">
      <c r="O222">
        <v>78913325</v>
      </c>
      <c r="P222" t="s">
        <v>523</v>
      </c>
      <c r="Q222" t="s">
        <v>273</v>
      </c>
      <c r="AF222" s="2"/>
    </row>
    <row r="223" spans="15:32" x14ac:dyDescent="0.2">
      <c r="O223">
        <v>78913357</v>
      </c>
      <c r="P223" t="s">
        <v>524</v>
      </c>
      <c r="Q223" t="s">
        <v>273</v>
      </c>
      <c r="AF223" s="2"/>
    </row>
    <row r="224" spans="15:32" x14ac:dyDescent="0.2">
      <c r="O224">
        <v>78913412</v>
      </c>
      <c r="P224" t="s">
        <v>525</v>
      </c>
      <c r="Q224" t="s">
        <v>273</v>
      </c>
      <c r="AF224" s="2"/>
    </row>
    <row r="225" spans="15:32" x14ac:dyDescent="0.2">
      <c r="O225">
        <v>78913435</v>
      </c>
      <c r="P225" t="s">
        <v>526</v>
      </c>
      <c r="Q225" t="s">
        <v>273</v>
      </c>
      <c r="AF225" s="2"/>
    </row>
    <row r="226" spans="15:32" x14ac:dyDescent="0.2">
      <c r="O226">
        <v>78913448</v>
      </c>
      <c r="P226" t="s">
        <v>527</v>
      </c>
      <c r="Q226" t="s">
        <v>273</v>
      </c>
      <c r="AF226" s="2"/>
    </row>
    <row r="227" spans="15:32" x14ac:dyDescent="0.2">
      <c r="O227">
        <v>78915295</v>
      </c>
      <c r="P227" t="s">
        <v>528</v>
      </c>
      <c r="Q227" t="s">
        <v>270</v>
      </c>
      <c r="AF227" s="2"/>
    </row>
    <row r="228" spans="15:32" x14ac:dyDescent="0.2">
      <c r="O228">
        <v>78915502</v>
      </c>
      <c r="P228" t="s">
        <v>529</v>
      </c>
      <c r="Q228" t="s">
        <v>273</v>
      </c>
      <c r="AF228" s="2"/>
    </row>
    <row r="229" spans="15:32" x14ac:dyDescent="0.2">
      <c r="O229">
        <v>78915596</v>
      </c>
      <c r="P229" t="s">
        <v>530</v>
      </c>
      <c r="Q229" t="s">
        <v>273</v>
      </c>
      <c r="AF229" s="2"/>
    </row>
    <row r="230" spans="15:32" x14ac:dyDescent="0.2">
      <c r="O230">
        <v>78915602</v>
      </c>
      <c r="P230" t="s">
        <v>531</v>
      </c>
      <c r="Q230" t="s">
        <v>273</v>
      </c>
      <c r="AF230" s="2"/>
    </row>
    <row r="231" spans="15:32" x14ac:dyDescent="0.2">
      <c r="O231">
        <v>78916291</v>
      </c>
      <c r="P231" t="s">
        <v>532</v>
      </c>
      <c r="Q231" t="s">
        <v>273</v>
      </c>
      <c r="AF231" s="2"/>
    </row>
    <row r="232" spans="15:32" x14ac:dyDescent="0.2">
      <c r="O232">
        <v>78916292</v>
      </c>
      <c r="P232" t="s">
        <v>533</v>
      </c>
      <c r="Q232" t="s">
        <v>273</v>
      </c>
      <c r="AF232" s="2"/>
    </row>
    <row r="233" spans="15:32" x14ac:dyDescent="0.2">
      <c r="O233">
        <v>78916293</v>
      </c>
      <c r="P233" t="s">
        <v>534</v>
      </c>
      <c r="Q233" t="s">
        <v>273</v>
      </c>
      <c r="AF233" s="2"/>
    </row>
    <row r="234" spans="15:32" x14ac:dyDescent="0.2">
      <c r="O234">
        <v>78918491</v>
      </c>
      <c r="P234" t="s">
        <v>535</v>
      </c>
      <c r="Q234" t="s">
        <v>273</v>
      </c>
      <c r="AF234" s="2"/>
    </row>
    <row r="235" spans="15:32" x14ac:dyDescent="0.2">
      <c r="O235">
        <v>79001021</v>
      </c>
      <c r="P235" t="s">
        <v>536</v>
      </c>
      <c r="Q235" t="s">
        <v>273</v>
      </c>
      <c r="AF235" s="2"/>
    </row>
    <row r="236" spans="15:32" x14ac:dyDescent="0.2">
      <c r="O236">
        <v>79448008</v>
      </c>
      <c r="P236" t="s">
        <v>537</v>
      </c>
      <c r="Q236" t="s">
        <v>261</v>
      </c>
      <c r="AF236" s="2"/>
    </row>
    <row r="237" spans="15:32" x14ac:dyDescent="0.2">
      <c r="O237">
        <v>79448129</v>
      </c>
      <c r="P237" t="s">
        <v>538</v>
      </c>
      <c r="Q237" t="s">
        <v>261</v>
      </c>
      <c r="AF237" s="2"/>
    </row>
    <row r="238" spans="15:32" x14ac:dyDescent="0.2">
      <c r="O238">
        <v>79448133</v>
      </c>
      <c r="P238" t="s">
        <v>539</v>
      </c>
      <c r="Q238" t="s">
        <v>261</v>
      </c>
      <c r="AF238" s="2"/>
    </row>
    <row r="239" spans="15:32" x14ac:dyDescent="0.2">
      <c r="O239">
        <v>79448139</v>
      </c>
      <c r="P239" t="s">
        <v>540</v>
      </c>
      <c r="Q239" t="s">
        <v>275</v>
      </c>
      <c r="AF239" s="2"/>
    </row>
    <row r="240" spans="15:32" x14ac:dyDescent="0.2">
      <c r="O240">
        <v>79451684</v>
      </c>
      <c r="P240" t="s">
        <v>541</v>
      </c>
      <c r="Q240" t="s">
        <v>261</v>
      </c>
      <c r="AF240" s="2"/>
    </row>
    <row r="241" spans="15:32" x14ac:dyDescent="0.2">
      <c r="O241">
        <v>79457304</v>
      </c>
      <c r="P241" t="s">
        <v>542</v>
      </c>
      <c r="Q241" t="s">
        <v>270</v>
      </c>
      <c r="AF241" s="2"/>
    </row>
    <row r="242" spans="15:32" x14ac:dyDescent="0.2">
      <c r="O242">
        <v>79469370</v>
      </c>
      <c r="P242" t="s">
        <v>543</v>
      </c>
      <c r="Q242" t="s">
        <v>275</v>
      </c>
      <c r="AF242" s="2"/>
    </row>
    <row r="243" spans="15:32" x14ac:dyDescent="0.2">
      <c r="O243">
        <v>79469371</v>
      </c>
      <c r="P243" t="s">
        <v>544</v>
      </c>
      <c r="Q243" t="s">
        <v>275</v>
      </c>
      <c r="AF243" s="2"/>
    </row>
    <row r="244" spans="15:32" x14ac:dyDescent="0.2">
      <c r="O244">
        <v>79469372</v>
      </c>
      <c r="P244" t="s">
        <v>545</v>
      </c>
      <c r="Q244" t="s">
        <v>275</v>
      </c>
      <c r="AF244" s="2"/>
    </row>
    <row r="245" spans="15:32" x14ac:dyDescent="0.2">
      <c r="O245">
        <v>79555975</v>
      </c>
      <c r="P245" t="s">
        <v>394</v>
      </c>
      <c r="Q245" t="s">
        <v>273</v>
      </c>
      <c r="AF245" s="2"/>
    </row>
    <row r="246" spans="15:32" x14ac:dyDescent="0.2">
      <c r="O246">
        <v>79669870</v>
      </c>
      <c r="P246" t="s">
        <v>546</v>
      </c>
      <c r="Q246" t="s">
        <v>273</v>
      </c>
      <c r="AF246" s="2"/>
    </row>
    <row r="247" spans="15:32" x14ac:dyDescent="0.2">
      <c r="O247">
        <v>79889887</v>
      </c>
      <c r="P247" t="s">
        <v>547</v>
      </c>
      <c r="Q247" t="s">
        <v>279</v>
      </c>
      <c r="AF247" s="2"/>
    </row>
    <row r="248" spans="15:32" x14ac:dyDescent="0.2">
      <c r="O248">
        <v>79985889</v>
      </c>
      <c r="P248" t="s">
        <v>548</v>
      </c>
      <c r="Q248" t="s">
        <v>261</v>
      </c>
      <c r="AF248" s="2"/>
    </row>
    <row r="249" spans="15:32" x14ac:dyDescent="0.2">
      <c r="O249">
        <v>80489740</v>
      </c>
      <c r="P249" t="s">
        <v>549</v>
      </c>
      <c r="Q249" t="s">
        <v>273</v>
      </c>
      <c r="AF249" s="2"/>
    </row>
    <row r="250" spans="15:32" x14ac:dyDescent="0.2">
      <c r="O250">
        <v>81875099</v>
      </c>
      <c r="P250" t="s">
        <v>550</v>
      </c>
      <c r="Q250" t="s">
        <v>261</v>
      </c>
      <c r="AF250" s="2"/>
    </row>
    <row r="251" spans="15:32" x14ac:dyDescent="0.2">
      <c r="O251">
        <v>82013501</v>
      </c>
      <c r="P251" t="s">
        <v>380</v>
      </c>
      <c r="Q251" t="s">
        <v>261</v>
      </c>
      <c r="AF251" s="2"/>
    </row>
    <row r="252" spans="15:32" x14ac:dyDescent="0.2">
      <c r="O252">
        <v>82598040</v>
      </c>
      <c r="P252" t="s">
        <v>551</v>
      </c>
      <c r="Q252" t="s">
        <v>273</v>
      </c>
      <c r="AF252" s="2"/>
    </row>
    <row r="253" spans="15:32" x14ac:dyDescent="0.2">
      <c r="O253">
        <v>82601089</v>
      </c>
      <c r="P253" t="s">
        <v>552</v>
      </c>
      <c r="Q253" t="s">
        <v>270</v>
      </c>
      <c r="AF253" s="2"/>
    </row>
    <row r="254" spans="15:32" x14ac:dyDescent="0.2">
      <c r="O254">
        <v>82601090</v>
      </c>
      <c r="P254" t="s">
        <v>553</v>
      </c>
      <c r="Q254" t="s">
        <v>270</v>
      </c>
      <c r="AF254" s="2"/>
    </row>
    <row r="255" spans="15:32" x14ac:dyDescent="0.2">
      <c r="O255">
        <v>82601394</v>
      </c>
      <c r="P255" t="s">
        <v>554</v>
      </c>
      <c r="Q255" t="s">
        <v>275</v>
      </c>
      <c r="AF255" s="2"/>
    </row>
    <row r="256" spans="15:32" x14ac:dyDescent="0.2">
      <c r="O256">
        <v>82601550</v>
      </c>
      <c r="P256" t="s">
        <v>555</v>
      </c>
      <c r="Q256" t="s">
        <v>275</v>
      </c>
      <c r="AF256" s="2"/>
    </row>
    <row r="257" spans="15:32" x14ac:dyDescent="0.2">
      <c r="O257">
        <v>82601775</v>
      </c>
      <c r="P257" t="s">
        <v>556</v>
      </c>
      <c r="Q257" t="s">
        <v>275</v>
      </c>
      <c r="AF257" s="2"/>
    </row>
    <row r="258" spans="15:32" x14ac:dyDescent="0.2">
      <c r="O258">
        <v>82601848</v>
      </c>
      <c r="P258" t="s">
        <v>557</v>
      </c>
      <c r="Q258" t="s">
        <v>261</v>
      </c>
      <c r="AF258" s="2"/>
    </row>
    <row r="259" spans="15:32" x14ac:dyDescent="0.2">
      <c r="O259">
        <v>82601915</v>
      </c>
      <c r="P259" t="s">
        <v>558</v>
      </c>
      <c r="Q259" t="s">
        <v>261</v>
      </c>
      <c r="AF259" s="2"/>
    </row>
    <row r="260" spans="15:32" x14ac:dyDescent="0.2">
      <c r="O260">
        <v>82942997</v>
      </c>
      <c r="P260" t="s">
        <v>382</v>
      </c>
      <c r="Q260" t="s">
        <v>261</v>
      </c>
      <c r="AF260" s="2"/>
    </row>
    <row r="261" spans="15:32" x14ac:dyDescent="0.2">
      <c r="O261">
        <v>82942999</v>
      </c>
      <c r="P261" t="s">
        <v>384</v>
      </c>
      <c r="Q261" t="s">
        <v>261</v>
      </c>
      <c r="AF261" s="2"/>
    </row>
    <row r="262" spans="15:32" x14ac:dyDescent="0.2">
      <c r="O262">
        <v>83526752</v>
      </c>
      <c r="P262" t="s">
        <v>282</v>
      </c>
      <c r="Q262" t="s">
        <v>287</v>
      </c>
      <c r="AF262" s="2"/>
    </row>
  </sheetData>
  <sortState xmlns:xlrd2="http://schemas.microsoft.com/office/spreadsheetml/2017/richdata2" ref="A2:A5">
    <sortCondition ref="A2:A5"/>
  </sortState>
  <pageMargins left="0.511811024" right="0.511811024" top="0.78740157499999996" bottom="0.78740157499999996" header="0.31496062000000002" footer="0.31496062000000002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896F2-20FC-2148-B7DE-1D21651A35F7}">
  <dimension ref="A1:K44"/>
  <sheetViews>
    <sheetView topLeftCell="A8" workbookViewId="0">
      <selection activeCell="E21" sqref="E21"/>
    </sheetView>
  </sheetViews>
  <sheetFormatPr baseColWidth="10" defaultRowHeight="16" x14ac:dyDescent="0.2"/>
  <cols>
    <col min="2" max="2" width="12.33203125" customWidth="1"/>
    <col min="3" max="3" width="13.33203125" customWidth="1"/>
    <col min="4" max="4" width="18.5" bestFit="1" customWidth="1"/>
    <col min="5" max="5" width="21.33203125" bestFit="1" customWidth="1"/>
    <col min="7" max="7" width="15" customWidth="1"/>
    <col min="8" max="8" width="18.33203125" customWidth="1"/>
    <col min="9" max="9" width="19.6640625" customWidth="1"/>
    <col min="10" max="10" width="18.6640625" customWidth="1"/>
    <col min="11" max="11" width="19" customWidth="1"/>
  </cols>
  <sheetData>
    <row r="1" spans="1:11" x14ac:dyDescent="0.2">
      <c r="A1" t="s">
        <v>250</v>
      </c>
      <c r="B1" t="s">
        <v>251</v>
      </c>
      <c r="C1" t="s">
        <v>252</v>
      </c>
      <c r="D1" t="s">
        <v>253</v>
      </c>
      <c r="E1" t="s">
        <v>254</v>
      </c>
      <c r="F1" t="s">
        <v>255</v>
      </c>
      <c r="G1" s="59" t="s">
        <v>295</v>
      </c>
      <c r="H1" t="s">
        <v>256</v>
      </c>
      <c r="I1" t="s">
        <v>257</v>
      </c>
      <c r="J1" t="s">
        <v>258</v>
      </c>
      <c r="K1" t="s">
        <v>259</v>
      </c>
    </row>
    <row r="2" spans="1:11" x14ac:dyDescent="0.2">
      <c r="A2" s="53">
        <v>1</v>
      </c>
      <c r="B2" s="53" t="s">
        <v>103</v>
      </c>
      <c r="C2" s="53">
        <v>62294975</v>
      </c>
      <c r="D2" t="s">
        <v>260</v>
      </c>
      <c r="E2" s="1" t="s">
        <v>261</v>
      </c>
      <c r="F2" s="3" t="s">
        <v>20</v>
      </c>
      <c r="G2" s="57">
        <v>0.01</v>
      </c>
      <c r="H2" s="54">
        <v>0.8</v>
      </c>
      <c r="I2" s="56">
        <f>J2*0.8</f>
        <v>6.4000000000000003E-3</v>
      </c>
      <c r="J2" s="55">
        <f>Tabela520[[#This Row],[% MOEDA]]*Tabela520[[#This Row],[ALOC MOEDA]]</f>
        <v>8.0000000000000002E-3</v>
      </c>
      <c r="K2" s="55">
        <f t="shared" ref="K2:K27" si="0">J2*1.2</f>
        <v>9.5999999999999992E-3</v>
      </c>
    </row>
    <row r="3" spans="1:11" x14ac:dyDescent="0.2">
      <c r="A3" s="53">
        <v>2</v>
      </c>
      <c r="B3" s="53" t="s">
        <v>103</v>
      </c>
      <c r="C3" s="53">
        <v>145742</v>
      </c>
      <c r="D3" t="s">
        <v>262</v>
      </c>
      <c r="E3" s="53" t="s">
        <v>261</v>
      </c>
      <c r="F3" s="3" t="s">
        <v>20</v>
      </c>
      <c r="G3" s="57">
        <v>0.06</v>
      </c>
      <c r="H3" s="54">
        <v>0.8</v>
      </c>
      <c r="I3" s="56">
        <f t="shared" ref="I3:I36" si="1">J3*0.8</f>
        <v>3.8400000000000004E-2</v>
      </c>
      <c r="J3" s="55">
        <f>Tabela520[[#This Row],[% MOEDA]]*Tabela520[[#This Row],[ALOC MOEDA]]</f>
        <v>4.8000000000000001E-2</v>
      </c>
      <c r="K3" s="55">
        <f t="shared" si="0"/>
        <v>5.7599999999999998E-2</v>
      </c>
    </row>
    <row r="4" spans="1:11" x14ac:dyDescent="0.2">
      <c r="A4" s="53">
        <v>3</v>
      </c>
      <c r="B4" s="53" t="s">
        <v>103</v>
      </c>
      <c r="C4" s="53">
        <v>2316944</v>
      </c>
      <c r="D4" t="s">
        <v>263</v>
      </c>
      <c r="E4" s="1" t="s">
        <v>261</v>
      </c>
      <c r="F4" s="3" t="s">
        <v>20</v>
      </c>
      <c r="G4" s="57">
        <v>0.1</v>
      </c>
      <c r="H4" s="54">
        <v>0.8</v>
      </c>
      <c r="I4" s="56">
        <f t="shared" si="1"/>
        <v>6.4000000000000015E-2</v>
      </c>
      <c r="J4" s="55">
        <f>Tabela520[[#This Row],[% MOEDA]]*Tabela520[[#This Row],[ALOC MOEDA]]</f>
        <v>8.0000000000000016E-2</v>
      </c>
      <c r="K4" s="55">
        <f t="shared" si="0"/>
        <v>9.6000000000000016E-2</v>
      </c>
    </row>
    <row r="5" spans="1:11" x14ac:dyDescent="0.2">
      <c r="A5" s="53">
        <v>4</v>
      </c>
      <c r="B5" s="53" t="s">
        <v>103</v>
      </c>
      <c r="C5" s="53">
        <v>58045201</v>
      </c>
      <c r="D5" t="s">
        <v>264</v>
      </c>
      <c r="E5" s="1" t="s">
        <v>261</v>
      </c>
      <c r="F5" s="3" t="s">
        <v>20</v>
      </c>
      <c r="G5" s="57">
        <v>0.1</v>
      </c>
      <c r="H5" s="54">
        <v>0.8</v>
      </c>
      <c r="I5" s="56">
        <f t="shared" si="1"/>
        <v>6.4000000000000015E-2</v>
      </c>
      <c r="J5" s="55">
        <f>Tabela520[[#This Row],[% MOEDA]]*Tabela520[[#This Row],[ALOC MOEDA]]</f>
        <v>8.0000000000000016E-2</v>
      </c>
      <c r="K5" s="55">
        <f t="shared" si="0"/>
        <v>9.6000000000000016E-2</v>
      </c>
    </row>
    <row r="6" spans="1:11" x14ac:dyDescent="0.2">
      <c r="A6" s="53">
        <v>5</v>
      </c>
      <c r="B6" s="53" t="s">
        <v>103</v>
      </c>
      <c r="C6" s="53">
        <v>2330131</v>
      </c>
      <c r="D6" s="53" t="s">
        <v>265</v>
      </c>
      <c r="E6" s="1" t="s">
        <v>261</v>
      </c>
      <c r="F6" s="3" t="s">
        <v>20</v>
      </c>
      <c r="G6" s="57">
        <v>0.06</v>
      </c>
      <c r="H6" s="54">
        <v>0.8</v>
      </c>
      <c r="I6" s="56">
        <f t="shared" si="1"/>
        <v>3.8400000000000004E-2</v>
      </c>
      <c r="J6" s="55">
        <f>Tabela520[[#This Row],[% MOEDA]]*Tabela520[[#This Row],[ALOC MOEDA]]</f>
        <v>4.8000000000000001E-2</v>
      </c>
      <c r="K6" s="55">
        <f t="shared" si="0"/>
        <v>5.7599999999999998E-2</v>
      </c>
    </row>
    <row r="7" spans="1:11" x14ac:dyDescent="0.2">
      <c r="A7" s="53">
        <v>6</v>
      </c>
      <c r="B7" s="53" t="s">
        <v>103</v>
      </c>
      <c r="C7" s="53">
        <v>57989482</v>
      </c>
      <c r="D7" s="53" t="s">
        <v>266</v>
      </c>
      <c r="E7" s="1" t="s">
        <v>261</v>
      </c>
      <c r="F7" s="3" t="s">
        <v>20</v>
      </c>
      <c r="G7" s="57">
        <v>0.06</v>
      </c>
      <c r="H7" s="54">
        <v>0.8</v>
      </c>
      <c r="I7" s="56">
        <f t="shared" si="1"/>
        <v>3.8400000000000004E-2</v>
      </c>
      <c r="J7" s="55">
        <f>Tabela520[[#This Row],[% MOEDA]]*Tabela520[[#This Row],[ALOC MOEDA]]</f>
        <v>4.8000000000000001E-2</v>
      </c>
      <c r="K7" s="55">
        <f t="shared" si="0"/>
        <v>5.7599999999999998E-2</v>
      </c>
    </row>
    <row r="8" spans="1:11" x14ac:dyDescent="0.2">
      <c r="A8" s="53">
        <v>7</v>
      </c>
      <c r="B8" s="53" t="s">
        <v>103</v>
      </c>
      <c r="C8" s="53">
        <v>62817583</v>
      </c>
      <c r="D8" t="s">
        <v>267</v>
      </c>
      <c r="E8" s="1" t="s">
        <v>261</v>
      </c>
      <c r="F8" s="3" t="s">
        <v>20</v>
      </c>
      <c r="G8" s="57">
        <v>7.4999999999999997E-2</v>
      </c>
      <c r="H8" s="54">
        <v>0.8</v>
      </c>
      <c r="I8" s="56">
        <f t="shared" si="1"/>
        <v>4.8000000000000001E-2</v>
      </c>
      <c r="J8" s="55">
        <f>Tabela520[[#This Row],[% MOEDA]]*Tabela520[[#This Row],[ALOC MOEDA]]</f>
        <v>0.06</v>
      </c>
      <c r="K8" s="55">
        <f t="shared" si="0"/>
        <v>7.1999999999999995E-2</v>
      </c>
    </row>
    <row r="9" spans="1:11" x14ac:dyDescent="0.2">
      <c r="A9" s="53">
        <v>8</v>
      </c>
      <c r="B9" s="53" t="s">
        <v>103</v>
      </c>
      <c r="C9" s="53">
        <v>122979</v>
      </c>
      <c r="D9" t="s">
        <v>268</v>
      </c>
      <c r="E9" s="1" t="s">
        <v>261</v>
      </c>
      <c r="F9" s="3" t="s">
        <v>20</v>
      </c>
      <c r="G9" s="57">
        <v>7.4999999999999997E-2</v>
      </c>
      <c r="H9" s="54">
        <v>0.8</v>
      </c>
      <c r="I9" s="56">
        <f t="shared" si="1"/>
        <v>4.8000000000000001E-2</v>
      </c>
      <c r="J9" s="55">
        <f>Tabela520[[#This Row],[% MOEDA]]*Tabela520[[#This Row],[ALOC MOEDA]]</f>
        <v>0.06</v>
      </c>
      <c r="K9" s="55">
        <f t="shared" si="0"/>
        <v>7.1999999999999995E-2</v>
      </c>
    </row>
    <row r="10" spans="1:11" x14ac:dyDescent="0.2">
      <c r="A10" s="53">
        <v>9</v>
      </c>
      <c r="B10" s="53" t="s">
        <v>103</v>
      </c>
      <c r="C10" s="53">
        <v>58065287</v>
      </c>
      <c r="D10" t="s">
        <v>269</v>
      </c>
      <c r="E10" s="1" t="s">
        <v>270</v>
      </c>
      <c r="F10" s="3" t="s">
        <v>20</v>
      </c>
      <c r="G10" s="57">
        <v>7.4999999999999997E-2</v>
      </c>
      <c r="H10" s="54">
        <v>0.8</v>
      </c>
      <c r="I10" s="56">
        <f t="shared" si="1"/>
        <v>4.8000000000000001E-2</v>
      </c>
      <c r="J10" s="55">
        <f>Tabela520[[#This Row],[% MOEDA]]*Tabela520[[#This Row],[ALOC MOEDA]]</f>
        <v>0.06</v>
      </c>
      <c r="K10" s="55">
        <f t="shared" si="0"/>
        <v>7.1999999999999995E-2</v>
      </c>
    </row>
    <row r="11" spans="1:11" x14ac:dyDescent="0.2">
      <c r="A11" s="53">
        <v>10</v>
      </c>
      <c r="B11" s="53" t="s">
        <v>103</v>
      </c>
      <c r="C11" s="53">
        <v>122970</v>
      </c>
      <c r="D11" s="53" t="s">
        <v>271</v>
      </c>
      <c r="E11" s="1" t="s">
        <v>270</v>
      </c>
      <c r="F11" s="3" t="s">
        <v>20</v>
      </c>
      <c r="G11" s="57">
        <v>7.4999999999999997E-2</v>
      </c>
      <c r="H11" s="54">
        <v>0.8</v>
      </c>
      <c r="I11" s="56">
        <f t="shared" si="1"/>
        <v>4.8000000000000001E-2</v>
      </c>
      <c r="J11" s="55">
        <f>Tabela520[[#This Row],[% MOEDA]]*Tabela520[[#This Row],[ALOC MOEDA]]</f>
        <v>0.06</v>
      </c>
      <c r="K11" s="55">
        <f t="shared" si="0"/>
        <v>7.1999999999999995E-2</v>
      </c>
    </row>
    <row r="12" spans="1:11" x14ac:dyDescent="0.2">
      <c r="A12" s="53">
        <v>11</v>
      </c>
      <c r="B12" s="53" t="s">
        <v>103</v>
      </c>
      <c r="C12" s="53">
        <v>75002437</v>
      </c>
      <c r="D12" s="53" t="s">
        <v>272</v>
      </c>
      <c r="E12" s="1" t="s">
        <v>273</v>
      </c>
      <c r="F12" s="3" t="s">
        <v>20</v>
      </c>
      <c r="G12" s="57">
        <v>0.05</v>
      </c>
      <c r="H12" s="54">
        <v>0.8</v>
      </c>
      <c r="I12" s="56">
        <f t="shared" si="1"/>
        <v>3.2000000000000008E-2</v>
      </c>
      <c r="J12" s="55">
        <f>Tabela520[[#This Row],[% MOEDA]]*Tabela520[[#This Row],[ALOC MOEDA]]</f>
        <v>4.0000000000000008E-2</v>
      </c>
      <c r="K12" s="55">
        <f t="shared" si="0"/>
        <v>4.8000000000000008E-2</v>
      </c>
    </row>
    <row r="13" spans="1:11" x14ac:dyDescent="0.2">
      <c r="A13" s="53">
        <v>12</v>
      </c>
      <c r="B13" s="53" t="s">
        <v>103</v>
      </c>
      <c r="C13" s="53">
        <v>62294989</v>
      </c>
      <c r="D13" t="s">
        <v>274</v>
      </c>
      <c r="E13" s="1" t="s">
        <v>275</v>
      </c>
      <c r="F13" s="3" t="s">
        <v>20</v>
      </c>
      <c r="G13" s="57">
        <v>0.05</v>
      </c>
      <c r="H13" s="54">
        <v>0.8</v>
      </c>
      <c r="I13" s="56">
        <f t="shared" si="1"/>
        <v>3.2000000000000008E-2</v>
      </c>
      <c r="J13" s="55">
        <f>Tabela520[[#This Row],[% MOEDA]]*Tabela520[[#This Row],[ALOC MOEDA]]</f>
        <v>4.0000000000000008E-2</v>
      </c>
      <c r="K13" s="55">
        <f t="shared" si="0"/>
        <v>4.8000000000000008E-2</v>
      </c>
    </row>
    <row r="14" spans="1:11" x14ac:dyDescent="0.2">
      <c r="A14" s="53">
        <v>13</v>
      </c>
      <c r="B14" s="53" t="s">
        <v>103</v>
      </c>
      <c r="C14" s="53">
        <v>74133708</v>
      </c>
      <c r="D14" s="53" t="s">
        <v>276</v>
      </c>
      <c r="E14" s="1" t="s">
        <v>275</v>
      </c>
      <c r="F14" s="3" t="s">
        <v>20</v>
      </c>
      <c r="G14" s="57">
        <v>0.05</v>
      </c>
      <c r="H14" s="54">
        <v>0.8</v>
      </c>
      <c r="I14" s="56">
        <f t="shared" si="1"/>
        <v>3.2000000000000008E-2</v>
      </c>
      <c r="J14" s="55">
        <f>Tabela520[[#This Row],[% MOEDA]]*Tabela520[[#This Row],[ALOC MOEDA]]</f>
        <v>4.0000000000000008E-2</v>
      </c>
      <c r="K14" s="55">
        <f t="shared" si="0"/>
        <v>4.8000000000000008E-2</v>
      </c>
    </row>
    <row r="15" spans="1:11" x14ac:dyDescent="0.2">
      <c r="A15" s="53">
        <v>14</v>
      </c>
      <c r="B15" s="53" t="s">
        <v>103</v>
      </c>
      <c r="C15" s="53">
        <v>2322502</v>
      </c>
      <c r="D15" s="53" t="s">
        <v>277</v>
      </c>
      <c r="E15" s="1" t="s">
        <v>275</v>
      </c>
      <c r="F15" s="3" t="s">
        <v>20</v>
      </c>
      <c r="G15" s="57">
        <v>0.05</v>
      </c>
      <c r="H15" s="54">
        <v>0.8</v>
      </c>
      <c r="I15" s="56">
        <f t="shared" si="1"/>
        <v>3.2000000000000008E-2</v>
      </c>
      <c r="J15" s="55">
        <f>Tabela520[[#This Row],[% MOEDA]]*Tabela520[[#This Row],[ALOC MOEDA]]</f>
        <v>4.0000000000000008E-2</v>
      </c>
      <c r="K15" s="55">
        <f t="shared" si="0"/>
        <v>4.8000000000000008E-2</v>
      </c>
    </row>
    <row r="16" spans="1:11" x14ac:dyDescent="0.2">
      <c r="A16" s="53">
        <v>15</v>
      </c>
      <c r="B16" s="53" t="s">
        <v>103</v>
      </c>
      <c r="C16" s="53">
        <v>2330426</v>
      </c>
      <c r="D16" t="s">
        <v>278</v>
      </c>
      <c r="E16" s="1" t="s">
        <v>279</v>
      </c>
      <c r="F16" s="3" t="s">
        <v>20</v>
      </c>
      <c r="G16" s="57">
        <v>0.02</v>
      </c>
      <c r="H16" s="54">
        <v>0.8</v>
      </c>
      <c r="I16" s="56">
        <f t="shared" si="1"/>
        <v>1.2800000000000001E-2</v>
      </c>
      <c r="J16" s="55">
        <f>Tabela520[[#This Row],[% MOEDA]]*Tabela520[[#This Row],[ALOC MOEDA]]</f>
        <v>1.6E-2</v>
      </c>
      <c r="K16" s="55">
        <f t="shared" si="0"/>
        <v>1.9199999999999998E-2</v>
      </c>
    </row>
    <row r="17" spans="1:11" x14ac:dyDescent="0.2">
      <c r="A17" s="53">
        <v>16</v>
      </c>
      <c r="B17" s="53" t="s">
        <v>103</v>
      </c>
      <c r="C17" s="53">
        <v>2431426</v>
      </c>
      <c r="D17" t="s">
        <v>280</v>
      </c>
      <c r="E17" s="53" t="s">
        <v>279</v>
      </c>
      <c r="F17" s="3" t="s">
        <v>20</v>
      </c>
      <c r="G17" s="57">
        <v>0.03</v>
      </c>
      <c r="H17" s="54">
        <v>0.8</v>
      </c>
      <c r="I17" s="56">
        <f t="shared" si="1"/>
        <v>1.9200000000000002E-2</v>
      </c>
      <c r="J17" s="55">
        <f>Tabela520[[#This Row],[% MOEDA]]*Tabela520[[#This Row],[ALOC MOEDA]]</f>
        <v>2.4E-2</v>
      </c>
      <c r="K17" s="55">
        <f t="shared" si="0"/>
        <v>2.8799999999999999E-2</v>
      </c>
    </row>
    <row r="18" spans="1:11" x14ac:dyDescent="0.2">
      <c r="A18" s="53">
        <v>17</v>
      </c>
      <c r="B18" s="53" t="s">
        <v>103</v>
      </c>
      <c r="C18" s="53">
        <v>167649</v>
      </c>
      <c r="D18" t="s">
        <v>281</v>
      </c>
      <c r="E18" s="53" t="s">
        <v>279</v>
      </c>
      <c r="F18" s="3" t="s">
        <v>20</v>
      </c>
      <c r="G18" s="57">
        <v>0.02</v>
      </c>
      <c r="H18" s="54">
        <v>0.8</v>
      </c>
      <c r="I18" s="56">
        <f t="shared" si="1"/>
        <v>1.2800000000000001E-2</v>
      </c>
      <c r="J18" s="55">
        <f>Tabela520[[#This Row],[% MOEDA]]*Tabela520[[#This Row],[ALOC MOEDA]]</f>
        <v>1.6E-2</v>
      </c>
      <c r="K18" s="55">
        <f t="shared" si="0"/>
        <v>1.9199999999999998E-2</v>
      </c>
    </row>
    <row r="19" spans="1:11" x14ac:dyDescent="0.2">
      <c r="A19" s="53">
        <v>18</v>
      </c>
      <c r="B19" s="53" t="s">
        <v>103</v>
      </c>
      <c r="C19" s="53">
        <v>83526752</v>
      </c>
      <c r="D19" s="53" t="s">
        <v>282</v>
      </c>
      <c r="E19" s="1" t="s">
        <v>279</v>
      </c>
      <c r="F19" s="3" t="s">
        <v>20</v>
      </c>
      <c r="G19" s="57">
        <v>0.03</v>
      </c>
      <c r="H19" s="54">
        <v>0.8</v>
      </c>
      <c r="I19" s="56">
        <f t="shared" si="1"/>
        <v>1.9200000000000002E-2</v>
      </c>
      <c r="J19" s="55">
        <f>Tabela520[[#This Row],[% MOEDA]]*Tabela520[[#This Row],[ALOC MOEDA]]</f>
        <v>2.4E-2</v>
      </c>
      <c r="K19" s="55">
        <f t="shared" si="0"/>
        <v>2.8799999999999999E-2</v>
      </c>
    </row>
    <row r="20" spans="1:11" x14ac:dyDescent="0.2">
      <c r="A20" s="53">
        <v>19</v>
      </c>
      <c r="B20" s="53" t="s">
        <v>103</v>
      </c>
      <c r="C20" s="53">
        <v>5918628</v>
      </c>
      <c r="D20" t="s">
        <v>283</v>
      </c>
      <c r="E20" s="53" t="s">
        <v>284</v>
      </c>
      <c r="F20" s="3" t="s">
        <v>20</v>
      </c>
      <c r="G20" s="57">
        <v>0.01</v>
      </c>
      <c r="H20" s="54">
        <v>0.8</v>
      </c>
      <c r="I20" s="56">
        <f t="shared" si="1"/>
        <v>6.4000000000000003E-3</v>
      </c>
      <c r="J20" s="55">
        <f>Tabela520[[#This Row],[% MOEDA]]*Tabela520[[#This Row],[ALOC MOEDA]]</f>
        <v>8.0000000000000002E-3</v>
      </c>
      <c r="K20" s="55">
        <f t="shared" si="0"/>
        <v>9.5999999999999992E-3</v>
      </c>
    </row>
    <row r="21" spans="1:11" x14ac:dyDescent="0.2">
      <c r="A21" s="53">
        <v>20</v>
      </c>
      <c r="B21" s="53" t="s">
        <v>103</v>
      </c>
      <c r="C21" s="53">
        <v>63534588</v>
      </c>
      <c r="D21" s="53" t="s">
        <v>293</v>
      </c>
      <c r="E21" t="s">
        <v>285</v>
      </c>
      <c r="F21" s="3" t="s">
        <v>21</v>
      </c>
      <c r="G21" s="55">
        <v>0.2</v>
      </c>
      <c r="H21" s="54">
        <v>0.2</v>
      </c>
      <c r="I21" s="56">
        <f t="shared" si="1"/>
        <v>3.2000000000000008E-2</v>
      </c>
      <c r="J21" s="55">
        <f>Tabela520[[#This Row],[% MOEDA]]*Tabela520[[#This Row],[ALOC MOEDA]]</f>
        <v>4.0000000000000008E-2</v>
      </c>
      <c r="K21" s="55">
        <f t="shared" si="0"/>
        <v>4.8000000000000008E-2</v>
      </c>
    </row>
    <row r="22" spans="1:11" x14ac:dyDescent="0.2">
      <c r="A22" s="53">
        <v>21</v>
      </c>
      <c r="B22" s="53" t="s">
        <v>103</v>
      </c>
      <c r="C22" s="53">
        <v>132257</v>
      </c>
      <c r="D22" s="53" t="s">
        <v>294</v>
      </c>
      <c r="E22" t="s">
        <v>285</v>
      </c>
      <c r="F22" s="3" t="s">
        <v>21</v>
      </c>
      <c r="G22" s="55">
        <v>0.25</v>
      </c>
      <c r="H22" s="54">
        <v>0.2</v>
      </c>
      <c r="I22" s="56">
        <f t="shared" si="1"/>
        <v>4.0000000000000008E-2</v>
      </c>
      <c r="J22" s="55">
        <f>Tabela520[[#This Row],[% MOEDA]]*Tabela520[[#This Row],[ALOC MOEDA]]</f>
        <v>0.05</v>
      </c>
      <c r="K22" s="55">
        <f t="shared" si="0"/>
        <v>0.06</v>
      </c>
    </row>
    <row r="23" spans="1:11" x14ac:dyDescent="0.2">
      <c r="A23" s="53">
        <v>22</v>
      </c>
      <c r="B23" s="53" t="s">
        <v>103</v>
      </c>
      <c r="C23" s="53">
        <v>132486</v>
      </c>
      <c r="D23" t="s">
        <v>286</v>
      </c>
      <c r="E23" t="s">
        <v>287</v>
      </c>
      <c r="F23" s="3" t="s">
        <v>21</v>
      </c>
      <c r="G23" s="55">
        <v>0.25</v>
      </c>
      <c r="H23" s="54">
        <v>0.2</v>
      </c>
      <c r="I23" s="56">
        <f t="shared" si="1"/>
        <v>4.0000000000000008E-2</v>
      </c>
      <c r="J23" s="55">
        <f>Tabela520[[#This Row],[% MOEDA]]*Tabela520[[#This Row],[ALOC MOEDA]]</f>
        <v>0.05</v>
      </c>
      <c r="K23" s="55">
        <f t="shared" si="0"/>
        <v>0.06</v>
      </c>
    </row>
    <row r="24" spans="1:11" x14ac:dyDescent="0.2">
      <c r="A24" s="53">
        <v>23</v>
      </c>
      <c r="B24" s="53" t="s">
        <v>103</v>
      </c>
      <c r="C24" s="53">
        <v>137390</v>
      </c>
      <c r="D24" t="s">
        <v>288</v>
      </c>
      <c r="E24" t="s">
        <v>287</v>
      </c>
      <c r="F24" s="3" t="s">
        <v>21</v>
      </c>
      <c r="G24" s="55">
        <v>0.16</v>
      </c>
      <c r="H24" s="54">
        <v>0.2</v>
      </c>
      <c r="I24" s="56">
        <f t="shared" si="1"/>
        <v>2.5600000000000001E-2</v>
      </c>
      <c r="J24" s="55">
        <f>Tabela520[[#This Row],[% MOEDA]]*Tabela520[[#This Row],[ALOC MOEDA]]</f>
        <v>3.2000000000000001E-2</v>
      </c>
      <c r="K24" s="55">
        <f t="shared" si="0"/>
        <v>3.8399999999999997E-2</v>
      </c>
    </row>
    <row r="25" spans="1:11" x14ac:dyDescent="0.2">
      <c r="A25" s="53">
        <v>24</v>
      </c>
      <c r="B25" s="53" t="s">
        <v>103</v>
      </c>
      <c r="C25" s="53">
        <v>132887</v>
      </c>
      <c r="D25" t="s">
        <v>289</v>
      </c>
      <c r="E25" t="s">
        <v>287</v>
      </c>
      <c r="F25" s="3" t="s">
        <v>21</v>
      </c>
      <c r="G25" s="55">
        <v>0.1</v>
      </c>
      <c r="H25" s="54">
        <v>0.2</v>
      </c>
      <c r="I25" s="56">
        <f t="shared" si="1"/>
        <v>1.6000000000000004E-2</v>
      </c>
      <c r="J25" s="55">
        <f>Tabela520[[#This Row],[% MOEDA]]*Tabela520[[#This Row],[ALOC MOEDA]]</f>
        <v>2.0000000000000004E-2</v>
      </c>
      <c r="K25" s="55">
        <f t="shared" si="0"/>
        <v>2.4000000000000004E-2</v>
      </c>
    </row>
    <row r="26" spans="1:11" x14ac:dyDescent="0.2">
      <c r="A26" s="53">
        <v>25</v>
      </c>
      <c r="B26" s="53" t="s">
        <v>103</v>
      </c>
      <c r="C26" s="53">
        <v>132069</v>
      </c>
      <c r="D26" t="s">
        <v>290</v>
      </c>
      <c r="E26" t="s">
        <v>287</v>
      </c>
      <c r="F26" s="3" t="s">
        <v>21</v>
      </c>
      <c r="G26" s="55">
        <f>5%*0.6</f>
        <v>0.03</v>
      </c>
      <c r="H26" s="54">
        <v>0.2</v>
      </c>
      <c r="I26" s="56">
        <f t="shared" si="1"/>
        <v>4.8000000000000004E-3</v>
      </c>
      <c r="J26" s="55">
        <f>Tabela520[[#This Row],[% MOEDA]]*Tabela520[[#This Row],[ALOC MOEDA]]</f>
        <v>6.0000000000000001E-3</v>
      </c>
      <c r="K26" s="55">
        <f t="shared" si="0"/>
        <v>7.1999999999999998E-3</v>
      </c>
    </row>
    <row r="27" spans="1:11" x14ac:dyDescent="0.2">
      <c r="A27" s="53">
        <v>26</v>
      </c>
      <c r="B27" s="53" t="s">
        <v>103</v>
      </c>
      <c r="C27" s="53">
        <v>74998661</v>
      </c>
      <c r="D27" t="s">
        <v>291</v>
      </c>
      <c r="E27" s="53" t="s">
        <v>292</v>
      </c>
      <c r="F27" s="3" t="s">
        <v>21</v>
      </c>
      <c r="G27" s="55">
        <v>0.01</v>
      </c>
      <c r="H27" s="54">
        <v>0.2</v>
      </c>
      <c r="I27" s="56">
        <f t="shared" si="1"/>
        <v>1.6000000000000001E-3</v>
      </c>
      <c r="J27" s="55">
        <f>Tabela520[[#This Row],[% MOEDA]]*Tabela520[[#This Row],[ALOC MOEDA]]</f>
        <v>2E-3</v>
      </c>
      <c r="K27" s="55">
        <f t="shared" si="0"/>
        <v>2.3999999999999998E-3</v>
      </c>
    </row>
    <row r="28" spans="1:11" x14ac:dyDescent="0.2">
      <c r="A28" s="53">
        <v>1</v>
      </c>
      <c r="B28" s="53" t="s">
        <v>237</v>
      </c>
      <c r="C28" s="53">
        <v>62294975</v>
      </c>
      <c r="D28" t="s">
        <v>260</v>
      </c>
      <c r="E28" s="1" t="s">
        <v>261</v>
      </c>
      <c r="F28" s="3" t="s">
        <v>20</v>
      </c>
      <c r="G28" s="55">
        <v>0.02</v>
      </c>
      <c r="H28" s="54">
        <v>1</v>
      </c>
      <c r="I28" s="56">
        <f>J28*0.8</f>
        <v>1.6E-2</v>
      </c>
      <c r="J28" s="55">
        <f>Tabela520[[#This Row],[% MOEDA]]*Tabela520[[#This Row],[ALOC MOEDA]]</f>
        <v>0.02</v>
      </c>
      <c r="K28" s="55">
        <f>J28*1.2</f>
        <v>2.4E-2</v>
      </c>
    </row>
    <row r="29" spans="1:11" x14ac:dyDescent="0.2">
      <c r="A29" s="53">
        <v>2</v>
      </c>
      <c r="B29" s="53" t="s">
        <v>237</v>
      </c>
      <c r="C29" s="53">
        <v>145742</v>
      </c>
      <c r="D29" t="s">
        <v>262</v>
      </c>
      <c r="E29" s="53" t="s">
        <v>261</v>
      </c>
      <c r="F29" s="3" t="s">
        <v>20</v>
      </c>
      <c r="G29" s="55">
        <v>0.2</v>
      </c>
      <c r="H29" s="54">
        <v>1</v>
      </c>
      <c r="I29" s="56">
        <f t="shared" si="1"/>
        <v>0.16000000000000003</v>
      </c>
      <c r="J29" s="55">
        <f>Tabela520[[#This Row],[% MOEDA]]*Tabela520[[#This Row],[ALOC MOEDA]]</f>
        <v>0.2</v>
      </c>
      <c r="K29" s="55">
        <f t="shared" ref="K29:K36" si="2">J29*1.2</f>
        <v>0.24</v>
      </c>
    </row>
    <row r="30" spans="1:11" x14ac:dyDescent="0.2">
      <c r="A30" s="53">
        <v>3</v>
      </c>
      <c r="B30" s="53" t="s">
        <v>237</v>
      </c>
      <c r="C30" s="53">
        <v>2316944</v>
      </c>
      <c r="D30" t="s">
        <v>263</v>
      </c>
      <c r="E30" s="1" t="s">
        <v>261</v>
      </c>
      <c r="F30" s="3" t="s">
        <v>20</v>
      </c>
      <c r="G30" s="55">
        <v>0.2</v>
      </c>
      <c r="H30" s="54">
        <v>1</v>
      </c>
      <c r="I30" s="56">
        <f t="shared" si="1"/>
        <v>0.16000000000000003</v>
      </c>
      <c r="J30" s="55">
        <f>Tabela520[[#This Row],[% MOEDA]]*Tabela520[[#This Row],[ALOC MOEDA]]</f>
        <v>0.2</v>
      </c>
      <c r="K30" s="55">
        <f t="shared" si="2"/>
        <v>0.24</v>
      </c>
    </row>
    <row r="31" spans="1:11" x14ac:dyDescent="0.2">
      <c r="A31" s="53">
        <v>4</v>
      </c>
      <c r="B31" s="53" t="s">
        <v>237</v>
      </c>
      <c r="C31" s="53">
        <v>58045201</v>
      </c>
      <c r="D31" t="s">
        <v>264</v>
      </c>
      <c r="E31" s="1" t="s">
        <v>261</v>
      </c>
      <c r="F31" s="3" t="s">
        <v>20</v>
      </c>
      <c r="G31" s="55">
        <v>0.2</v>
      </c>
      <c r="H31" s="54">
        <v>1</v>
      </c>
      <c r="I31" s="56">
        <f t="shared" si="1"/>
        <v>0.16000000000000003</v>
      </c>
      <c r="J31" s="55">
        <f>Tabela520[[#This Row],[% MOEDA]]*Tabela520[[#This Row],[ALOC MOEDA]]</f>
        <v>0.2</v>
      </c>
      <c r="K31" s="55">
        <f t="shared" si="2"/>
        <v>0.24</v>
      </c>
    </row>
    <row r="32" spans="1:11" x14ac:dyDescent="0.2">
      <c r="A32" s="53">
        <v>5</v>
      </c>
      <c r="B32" s="53" t="s">
        <v>237</v>
      </c>
      <c r="C32" s="53">
        <v>57989482</v>
      </c>
      <c r="D32" s="53" t="s">
        <v>266</v>
      </c>
      <c r="E32" s="1" t="s">
        <v>261</v>
      </c>
      <c r="F32" s="3" t="s">
        <v>20</v>
      </c>
      <c r="G32" s="55">
        <v>0.1</v>
      </c>
      <c r="H32" s="54">
        <v>1</v>
      </c>
      <c r="I32" s="56">
        <f t="shared" si="1"/>
        <v>8.0000000000000016E-2</v>
      </c>
      <c r="J32" s="55">
        <f>Tabela520[[#This Row],[% MOEDA]]*Tabela520[[#This Row],[ALOC MOEDA]]</f>
        <v>0.1</v>
      </c>
      <c r="K32" s="55">
        <f t="shared" si="2"/>
        <v>0.12</v>
      </c>
    </row>
    <row r="33" spans="1:11" x14ac:dyDescent="0.2">
      <c r="A33" s="53">
        <v>6</v>
      </c>
      <c r="B33" s="53" t="s">
        <v>237</v>
      </c>
      <c r="C33" s="53">
        <v>62817583</v>
      </c>
      <c r="D33" t="s">
        <v>267</v>
      </c>
      <c r="E33" s="1" t="s">
        <v>261</v>
      </c>
      <c r="F33" s="3" t="s">
        <v>20</v>
      </c>
      <c r="G33" s="55">
        <v>0.1</v>
      </c>
      <c r="H33" s="54">
        <v>1</v>
      </c>
      <c r="I33" s="56">
        <f t="shared" si="1"/>
        <v>8.0000000000000016E-2</v>
      </c>
      <c r="J33" s="55">
        <f>Tabela520[[#This Row],[% MOEDA]]*Tabela520[[#This Row],[ALOC MOEDA]]</f>
        <v>0.1</v>
      </c>
      <c r="K33" s="55">
        <f t="shared" si="2"/>
        <v>0.12</v>
      </c>
    </row>
    <row r="34" spans="1:11" x14ac:dyDescent="0.2">
      <c r="A34" s="53">
        <v>7</v>
      </c>
      <c r="B34" s="53" t="s">
        <v>237</v>
      </c>
      <c r="C34" s="53">
        <v>122979</v>
      </c>
      <c r="D34" t="s">
        <v>268</v>
      </c>
      <c r="E34" s="1" t="s">
        <v>261</v>
      </c>
      <c r="F34" s="3" t="s">
        <v>20</v>
      </c>
      <c r="G34" s="55">
        <v>0.06</v>
      </c>
      <c r="H34" s="54">
        <v>1</v>
      </c>
      <c r="I34" s="56">
        <f t="shared" si="1"/>
        <v>4.8000000000000001E-2</v>
      </c>
      <c r="J34" s="55">
        <f>Tabela520[[#This Row],[% MOEDA]]*Tabela520[[#This Row],[ALOC MOEDA]]</f>
        <v>0.06</v>
      </c>
      <c r="K34" s="55">
        <f t="shared" si="2"/>
        <v>7.1999999999999995E-2</v>
      </c>
    </row>
    <row r="35" spans="1:11" x14ac:dyDescent="0.2">
      <c r="A35" s="53">
        <v>8</v>
      </c>
      <c r="B35" s="53" t="s">
        <v>237</v>
      </c>
      <c r="C35" s="53">
        <v>58065287</v>
      </c>
      <c r="D35" t="s">
        <v>269</v>
      </c>
      <c r="E35" s="1" t="s">
        <v>270</v>
      </c>
      <c r="F35" s="3" t="s">
        <v>20</v>
      </c>
      <c r="G35" s="55">
        <v>0.06</v>
      </c>
      <c r="H35" s="54">
        <v>1</v>
      </c>
      <c r="I35" s="56">
        <f t="shared" si="1"/>
        <v>4.8000000000000001E-2</v>
      </c>
      <c r="J35" s="55">
        <f>Tabela520[[#This Row],[% MOEDA]]*Tabela520[[#This Row],[ALOC MOEDA]]</f>
        <v>0.06</v>
      </c>
      <c r="K35" s="55">
        <f t="shared" si="2"/>
        <v>7.1999999999999995E-2</v>
      </c>
    </row>
    <row r="36" spans="1:11" x14ac:dyDescent="0.2">
      <c r="A36" s="53">
        <v>9</v>
      </c>
      <c r="B36" s="53" t="s">
        <v>237</v>
      </c>
      <c r="C36" s="53">
        <v>122970</v>
      </c>
      <c r="D36" s="53" t="s">
        <v>271</v>
      </c>
      <c r="E36" s="1" t="s">
        <v>270</v>
      </c>
      <c r="F36" s="3" t="s">
        <v>20</v>
      </c>
      <c r="G36" s="55">
        <v>0.06</v>
      </c>
      <c r="H36" s="54">
        <v>1</v>
      </c>
      <c r="I36" s="56">
        <f t="shared" si="1"/>
        <v>4.8000000000000001E-2</v>
      </c>
      <c r="J36" s="55">
        <f>Tabela520[[#This Row],[% MOEDA]]*Tabela520[[#This Row],[ALOC MOEDA]]</f>
        <v>0.06</v>
      </c>
      <c r="K36" s="55">
        <f t="shared" si="2"/>
        <v>7.1999999999999995E-2</v>
      </c>
    </row>
    <row r="37" spans="1:11" x14ac:dyDescent="0.2">
      <c r="A37" s="53">
        <v>1</v>
      </c>
      <c r="B37" s="53" t="s">
        <v>238</v>
      </c>
      <c r="C37" s="53">
        <v>79669870</v>
      </c>
      <c r="D37" t="s">
        <v>296</v>
      </c>
      <c r="E37" t="s">
        <v>285</v>
      </c>
      <c r="F37" s="3" t="s">
        <v>21</v>
      </c>
      <c r="G37" s="55">
        <v>0.4</v>
      </c>
      <c r="H37" s="54">
        <v>1</v>
      </c>
      <c r="I37" s="56">
        <f>J37*0.8</f>
        <v>0.32000000000000006</v>
      </c>
      <c r="J37" s="55">
        <f>Tabela520[[#This Row],[% MOEDA]]*Tabela520[[#This Row],[ALOC MOEDA]]</f>
        <v>0.4</v>
      </c>
      <c r="K37" s="55">
        <f>J37*1.2</f>
        <v>0.48</v>
      </c>
    </row>
    <row r="38" spans="1:11" x14ac:dyDescent="0.2">
      <c r="A38" s="53">
        <v>2</v>
      </c>
      <c r="B38" s="53" t="s">
        <v>238</v>
      </c>
      <c r="C38" s="53">
        <v>63534588</v>
      </c>
      <c r="D38" s="53" t="s">
        <v>293</v>
      </c>
      <c r="E38" t="s">
        <v>285</v>
      </c>
      <c r="F38" s="3" t="s">
        <v>21</v>
      </c>
      <c r="G38" s="55">
        <v>0.2</v>
      </c>
      <c r="H38" s="54">
        <v>1</v>
      </c>
      <c r="I38" s="56">
        <f t="shared" ref="I38:I42" si="3">J38*0.8</f>
        <v>0.16000000000000003</v>
      </c>
      <c r="J38" s="55">
        <f>Tabela520[[#This Row],[% MOEDA]]*Tabela520[[#This Row],[ALOC MOEDA]]</f>
        <v>0.2</v>
      </c>
      <c r="K38" s="55">
        <f t="shared" ref="K38:K39" si="4">J38*1.2</f>
        <v>0.24</v>
      </c>
    </row>
    <row r="39" spans="1:11" x14ac:dyDescent="0.2">
      <c r="A39" s="53">
        <v>3</v>
      </c>
      <c r="B39" s="53" t="s">
        <v>238</v>
      </c>
      <c r="C39" s="53">
        <v>132257</v>
      </c>
      <c r="D39" s="53" t="s">
        <v>294</v>
      </c>
      <c r="E39" t="s">
        <v>285</v>
      </c>
      <c r="F39" s="3" t="s">
        <v>21</v>
      </c>
      <c r="G39" s="55">
        <v>0.2</v>
      </c>
      <c r="H39" s="54">
        <v>1</v>
      </c>
      <c r="I39" s="56">
        <f t="shared" si="3"/>
        <v>0.16000000000000003</v>
      </c>
      <c r="J39" s="55">
        <f>Tabela520[[#This Row],[% MOEDA]]*Tabela520[[#This Row],[ALOC MOEDA]]</f>
        <v>0.2</v>
      </c>
      <c r="K39" s="55">
        <f t="shared" si="4"/>
        <v>0.24</v>
      </c>
    </row>
    <row r="40" spans="1:11" x14ac:dyDescent="0.2">
      <c r="A40" s="53">
        <v>4</v>
      </c>
      <c r="B40" s="53" t="s">
        <v>238</v>
      </c>
      <c r="C40" s="53">
        <v>132486</v>
      </c>
      <c r="D40" t="s">
        <v>286</v>
      </c>
      <c r="E40" t="s">
        <v>287</v>
      </c>
      <c r="F40" s="3" t="s">
        <v>21</v>
      </c>
      <c r="G40" s="55">
        <v>0.1</v>
      </c>
      <c r="H40" s="54">
        <v>1</v>
      </c>
      <c r="I40" s="56">
        <f t="shared" si="3"/>
        <v>8.0000000000000016E-2</v>
      </c>
      <c r="J40" s="55">
        <f>Tabela520[[#This Row],[% MOEDA]]*Tabela520[[#This Row],[ALOC MOEDA]]</f>
        <v>0.1</v>
      </c>
      <c r="K40" s="55">
        <f>J40*1.2</f>
        <v>0.12</v>
      </c>
    </row>
    <row r="41" spans="1:11" x14ac:dyDescent="0.2">
      <c r="A41" s="53">
        <v>5</v>
      </c>
      <c r="B41" s="53" t="s">
        <v>238</v>
      </c>
      <c r="C41" s="53">
        <v>137390</v>
      </c>
      <c r="D41" t="s">
        <v>288</v>
      </c>
      <c r="E41" t="s">
        <v>287</v>
      </c>
      <c r="F41" s="3" t="s">
        <v>21</v>
      </c>
      <c r="G41" s="55">
        <v>0.05</v>
      </c>
      <c r="H41" s="54">
        <v>1</v>
      </c>
      <c r="I41" s="56">
        <f t="shared" si="3"/>
        <v>4.0000000000000008E-2</v>
      </c>
      <c r="J41" s="55">
        <f>Tabela520[[#This Row],[% MOEDA]]*Tabela520[[#This Row],[ALOC MOEDA]]</f>
        <v>0.05</v>
      </c>
      <c r="K41" s="55">
        <f>J41*1.2</f>
        <v>0.06</v>
      </c>
    </row>
    <row r="42" spans="1:11" x14ac:dyDescent="0.2">
      <c r="A42" s="53">
        <v>6</v>
      </c>
      <c r="B42" s="53" t="s">
        <v>238</v>
      </c>
      <c r="C42" s="53">
        <v>132887</v>
      </c>
      <c r="D42" t="s">
        <v>289</v>
      </c>
      <c r="E42" t="s">
        <v>287</v>
      </c>
      <c r="F42" s="3" t="s">
        <v>21</v>
      </c>
      <c r="G42" s="55">
        <v>0.05</v>
      </c>
      <c r="H42" s="54">
        <v>1</v>
      </c>
      <c r="I42" s="56">
        <f t="shared" si="3"/>
        <v>4.0000000000000008E-2</v>
      </c>
      <c r="J42" s="55">
        <f>Tabela520[[#This Row],[% MOEDA]]*Tabela520[[#This Row],[ALOC MOEDA]]</f>
        <v>0.05</v>
      </c>
      <c r="K42" s="55">
        <f>J42*1.2</f>
        <v>0.06</v>
      </c>
    </row>
    <row r="43" spans="1:11" x14ac:dyDescent="0.2">
      <c r="A43" s="53">
        <v>1</v>
      </c>
      <c r="B43" s="53" t="s">
        <v>297</v>
      </c>
      <c r="C43" s="53">
        <v>145742</v>
      </c>
      <c r="D43" t="s">
        <v>262</v>
      </c>
      <c r="E43" s="53" t="s">
        <v>261</v>
      </c>
      <c r="F43" s="3" t="s">
        <v>20</v>
      </c>
      <c r="G43" s="8">
        <v>0.2</v>
      </c>
      <c r="H43" s="54">
        <v>1</v>
      </c>
      <c r="I43" s="56">
        <f>J43*0.8</f>
        <v>0.16000000000000003</v>
      </c>
      <c r="J43" s="55">
        <f>Tabela520[[#This Row],[% MOEDA]]*Tabela520[[#This Row],[ALOC MOEDA]]</f>
        <v>0.2</v>
      </c>
      <c r="K43" s="55">
        <f>J43*1.2</f>
        <v>0.24</v>
      </c>
    </row>
    <row r="44" spans="1:11" x14ac:dyDescent="0.2">
      <c r="A44" s="53">
        <v>2</v>
      </c>
      <c r="B44" s="53" t="s">
        <v>297</v>
      </c>
      <c r="C44" s="53">
        <v>2316944</v>
      </c>
      <c r="D44" t="s">
        <v>263</v>
      </c>
      <c r="E44" s="1" t="s">
        <v>261</v>
      </c>
      <c r="F44" s="3" t="s">
        <v>20</v>
      </c>
      <c r="G44" s="8">
        <v>0.8</v>
      </c>
      <c r="H44" s="54">
        <v>1</v>
      </c>
      <c r="I44" s="56">
        <f t="shared" ref="I44" si="5">J44*0.8</f>
        <v>0.64000000000000012</v>
      </c>
      <c r="J44" s="55">
        <f>Tabela520[[#This Row],[% MOEDA]]*Tabela520[[#This Row],[ALOC MOEDA]]</f>
        <v>0.8</v>
      </c>
      <c r="K44" s="55">
        <f>J44*1.2</f>
        <v>0.96</v>
      </c>
    </row>
  </sheetData>
  <conditionalFormatting sqref="A2:K44">
    <cfRule type="expression" dxfId="3" priority="1">
      <formula>$B2="Liquidez"</formula>
    </cfRule>
    <cfRule type="expression" dxfId="2" priority="2">
      <formula>$B2="Projetos USD"</formula>
    </cfRule>
    <cfRule type="expression" dxfId="1" priority="3">
      <formula>$B2="Projetos BRL"</formula>
    </cfRule>
    <cfRule type="expression" dxfId="0" priority="4">
      <formula>$B2="Longevidade"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B20B8-26B7-DB4D-9100-E6E6B8ECE1F8}">
  <sheetPr codeName="Planilha10"/>
  <dimension ref="A1:F9"/>
  <sheetViews>
    <sheetView zoomScale="215" workbookViewId="0">
      <selection activeCell="F14" sqref="F14"/>
    </sheetView>
  </sheetViews>
  <sheetFormatPr baseColWidth="10" defaultRowHeight="16" x14ac:dyDescent="0.2"/>
  <cols>
    <col min="1" max="1" width="13.5" bestFit="1" customWidth="1"/>
    <col min="2" max="2" width="10.6640625" bestFit="1" customWidth="1"/>
  </cols>
  <sheetData>
    <row r="1" spans="1:6" x14ac:dyDescent="0.2">
      <c r="A1" s="3" t="s">
        <v>21</v>
      </c>
      <c r="B1" s="3" t="s">
        <v>20</v>
      </c>
      <c r="D1" t="s">
        <v>123</v>
      </c>
    </row>
    <row r="2" spans="1:6" x14ac:dyDescent="0.2">
      <c r="A2" s="34" vm="1">
        <f ca="1">B8</f>
        <v>5.5757000000000003</v>
      </c>
      <c r="B2" s="12" cm="1">
        <f t="array" aca="1" ref="B2" ca="1">_FV(Listas!I3,"Preço")</f>
        <v>0.18029999999999999</v>
      </c>
      <c r="D2" s="29">
        <v>0.04</v>
      </c>
    </row>
    <row r="3" spans="1:6" x14ac:dyDescent="0.2">
      <c r="D3" s="30">
        <f>(D2+1)^(1/12)-1</f>
        <v>3.2737397821989145E-3</v>
      </c>
    </row>
    <row r="5" spans="1:6" x14ac:dyDescent="0.2">
      <c r="B5">
        <v>1</v>
      </c>
      <c r="F5" s="41"/>
    </row>
    <row r="6" spans="1:6" x14ac:dyDescent="0.2">
      <c r="A6" t="e" vm="2">
        <v>#VALUE!</v>
      </c>
      <c r="B6" s="1">
        <f ca="1">C6-B5</f>
        <v>45847</v>
      </c>
      <c r="C6" s="1">
        <f ca="1">WORKDAY.INTL(TODAY(),-1)</f>
        <v>45848</v>
      </c>
      <c r="D6" s="1"/>
    </row>
    <row r="7" spans="1:6" x14ac:dyDescent="0.2">
      <c r="A7" t="str" cm="1">
        <f t="array" aca="1" ref="A7:B9" ca="1">_xlfn.STOCKHISTORY(A6,B6,C6)</f>
        <v>Data</v>
      </c>
      <c r="B7" s="1" t="str">
        <f ca="1"/>
        <v>Fechamento</v>
      </c>
      <c r="C7" s="1"/>
    </row>
    <row r="8" spans="1:6" x14ac:dyDescent="0.2">
      <c r="A8" vm="4">
        <f ca="1"/>
        <v>45847</v>
      </c>
      <c r="B8" s="33" vm="1">
        <f ca="1"/>
        <v>5.5757000000000003</v>
      </c>
    </row>
    <row r="9" spans="1:6" x14ac:dyDescent="0.2">
      <c r="A9" vm="5">
        <f ca="1"/>
        <v>45848</v>
      </c>
      <c r="B9" s="33" vm="6">
        <f ca="1"/>
        <v>5.5312999999999999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Usuários</vt:lpstr>
      <vt:lpstr>Planejamento</vt:lpstr>
      <vt:lpstr>Membros</vt:lpstr>
      <vt:lpstr>Imóveis</vt:lpstr>
      <vt:lpstr>Investimentos</vt:lpstr>
      <vt:lpstr>Receitas</vt:lpstr>
      <vt:lpstr>Despesas</vt:lpstr>
      <vt:lpstr>Projetos</vt:lpstr>
      <vt:lpstr>Auxiliar_Projetos</vt:lpstr>
      <vt:lpstr>Dados</vt:lpstr>
      <vt:lpstr>Gráfico</vt:lpstr>
      <vt:lpstr>Listas</vt:lpstr>
      <vt:lpstr>Parametros_Portfolio</vt:lpstr>
      <vt:lpstr>Indicadores_Economicos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Orlandi</dc:creator>
  <cp:keywords/>
  <dc:description/>
  <cp:lastModifiedBy>Pedro Orlandi</cp:lastModifiedBy>
  <dcterms:created xsi:type="dcterms:W3CDTF">2024-12-12T17:22:39Z</dcterms:created>
  <dcterms:modified xsi:type="dcterms:W3CDTF">2025-07-11T18:45:33Z</dcterms:modified>
  <cp:category/>
</cp:coreProperties>
</file>